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Weekly Planner" sheetId="3" r:id="rId3"/>
    <sheet name="Monthly Planner" sheetId="4" r:id="rId4"/>
    <sheet name="Settings" sheetId="5" r:id="rId5"/>
    <sheet name="Lists" sheetId="6" r:id="rId6"/>
    <sheet name="Household" sheetId="7" r:id="rId7"/>
    <sheet name="Recipes" sheetId="8" r:id="rId8"/>
    <sheet name="Recipe Ingredients" sheetId="9" r:id="rId9"/>
    <sheet name="Ingredients" sheetId="10" r:id="rId10"/>
    <sheet name="Meal Plan" sheetId="11" r:id="rId11"/>
    <sheet name="Grocery List" sheetId="12" r:id="rId12"/>
    <sheet name="Pantry" sheetId="13" r:id="rId13"/>
    <sheet name="Staples" sheetId="14" r:id="rId14"/>
    <sheet name="Leftovers" sheetId="15" r:id="rId15"/>
    <sheet name="Food Waste" sheetId="16" r:id="rId16"/>
    <sheet name="Meal Prep" sheetId="17" r:id="rId17"/>
    <sheet name="Dietary Filters" sheetId="18" r:id="rId18"/>
    <sheet name="Nutrition" sheetId="19" r:id="rId19"/>
    <sheet name="Budget" sheetId="20" r:id="rId20"/>
    <sheet name="Recipe Costs" sheetId="21" r:id="rId21"/>
    <sheet name="Converter" sheetId="22" r:id="rId22"/>
    <sheet name="Rotation" sheetId="23" r:id="rId23"/>
    <sheet name="Food Safety" sheetId="24" r:id="rId24"/>
    <sheet name="Fridge &amp; Freezer" sheetId="25" r:id="rId25"/>
    <sheet name="Grocery Spending" sheetId="26" r:id="rId26"/>
    <sheet name="Store Prices" sheetId="27" r:id="rId27"/>
    <sheet name="Stores" sheetId="28" r:id="rId28"/>
    <sheet name="Events" sheetId="29" r:id="rId29"/>
    <sheet name="Goals" sheetId="30" r:id="rId30"/>
    <sheet name="Sustainability" sheetId="31" r:id="rId31"/>
    <sheet name="Reports" sheetId="32" r:id="rId32"/>
    <sheet name="Print Week" sheetId="33" r:id="rId33"/>
    <sheet name="Print Shopping" sheetId="34" r:id="rId34"/>
    <sheet name="Print Recipe" sheetId="35" r:id="rId35"/>
    <sheet name="Help" sheetId="36" r:id="rId36"/>
  </sheets>
  <definedNames>
    <definedName name="_xlnm._FilterDatabase" localSheetId="28" hidden="1">'Events'!$A$4:$W$44</definedName>
    <definedName name="_xlnm._FilterDatabase" localSheetId="15" hidden="1">'Food Waste'!$A$4:$T$154</definedName>
    <definedName name="_xlnm._FilterDatabase" localSheetId="29" hidden="1">'Goals'!$A$4:$R$44</definedName>
    <definedName name="_xlnm._FilterDatabase" localSheetId="11" hidden="1">'Grocery List'!$A$4:$Z$304</definedName>
    <definedName name="_xlnm._FilterDatabase" localSheetId="25" hidden="1">'Grocery Spending'!$A$4:$W$404</definedName>
    <definedName name="_xlnm._FilterDatabase" localSheetId="6" hidden="1">'Household'!$A$4:$Y$16</definedName>
    <definedName name="_xlnm._FilterDatabase" localSheetId="9" hidden="1">'Ingredients'!$A$4:$AO$304</definedName>
    <definedName name="_xlnm._FilterDatabase" localSheetId="14" hidden="1">'Leftovers'!$A$4:$S$124</definedName>
    <definedName name="_xlnm._FilterDatabase" localSheetId="10" hidden="1">'Meal Plan'!$A$4:$AG$504</definedName>
    <definedName name="_xlnm._FilterDatabase" localSheetId="16" hidden="1">'Meal Prep'!$A$4:$Y$124</definedName>
    <definedName name="_xlnm._FilterDatabase" localSheetId="12" hidden="1">'Pantry'!$A$4:$Y$304</definedName>
    <definedName name="_xlnm._FilterDatabase" localSheetId="8" hidden="1">'Recipe Ingredients'!$A$4:$AB$1204</definedName>
    <definedName name="_xlnm._FilterDatabase" localSheetId="7" hidden="1">'Recipes'!$A$4:$BF$204</definedName>
    <definedName name="_xlnm._FilterDatabase" localSheetId="13" hidden="1">'Staples'!$A$4:$S$104</definedName>
    <definedName name="_xlnm._FilterDatabase" localSheetId="26" hidden="1">'Store Prices'!$A$4:$Q$304</definedName>
    <definedName name="_xlnm._FilterDatabase" localSheetId="27" hidden="1">'Stores'!$A$4:$X$44</definedName>
    <definedName name="ActiveList">Lists!$G$174:$G$185</definedName>
    <definedName name="AgeGroupList">Lists!$I$174:$I$187</definedName>
    <definedName name="AisleList">Lists!$G$59:$G$82</definedName>
    <definedName name="AllergenList">Lists!$C$59:$C$81</definedName>
    <definedName name="AnnualBudget">Settings!$D$29</definedName>
    <definedName name="BoughtLunch">'Recipe Costs'!$D$11</definedName>
    <definedName name="BudgetLineList">Lists!$A$190:$A$206</definedName>
    <definedName name="CalorieTarget">Settings!$D$35</definedName>
    <definedName name="CarbTarget">Settings!$D$37</definedName>
    <definedName name="CardFactor">'Print Recipe'!$H$6</definedName>
    <definedName name="CardPeople">'Print Recipe'!$D$5</definedName>
    <definedName name="CardRecipe">'Print Recipe'!$B$5</definedName>
    <definedName name="ContainerList">Lists!$A$85:$A$101</definedName>
    <definedName name="CookingMethodList">Lists!$C$31:$C$50</definedName>
    <definedName name="CuisineList">Lists!$A$31:$A$56</definedName>
    <definedName name="DashKey">Dashboard!$F$5</definedName>
    <definedName name="DashMonth">Dashboard!$D$5</definedName>
    <definedName name="DashWeek">Dashboard!$B$5</definedName>
    <definedName name="DefaultServings">Settings!$D$21</definedName>
    <definedName name="DietList">Lists!$A$59:$A$81</definedName>
    <definedName name="DifficultyList">Lists!$E$31:$E$41</definedName>
    <definedName name="DirectionList">Lists!$C$210:$C$219</definedName>
    <definedName name="DisposalList">Lists!$E$210:$E$222</definedName>
    <definedName name="EatingOutBudget">Settings!$D$30</definedName>
    <definedName name="EventNames">OFFSET(Events!$B$5,0,0,MAX(1,COUNTIF(Events!$B$5:$B$44,"?*")),1)</definedName>
    <definedName name="EventPrefix">Settings!$D$67</definedName>
    <definedName name="EventStatusList">Lists!$A$210:$A$223</definedName>
    <definedName name="EventTypeList">Lists!$C$107:$C$126</definedName>
    <definedName name="ExpiryWarningDays">Settings!$D$45</definedName>
    <definedName name="FatTarget">Settings!$D$38</definedName>
    <definedName name="FibreTarget">Settings!$D$39</definedName>
    <definedName name="FilterAllergen">'Dietary Filters'!$D$11</definedName>
    <definedName name="FilterCategory">'Dietary Filters'!$D$7</definedName>
    <definedName name="FilterCost">'Dietary Filters'!$D$10</definedName>
    <definedName name="FilterDiet">'Dietary Filters'!$D$6</definedName>
    <definedName name="FilterMethod">'Dietary Filters'!$D$8</definedName>
    <definedName name="FilterTime">'Dietary Filters'!$D$9</definedName>
    <definedName name="FreezerDays">Settings!$D$47</definedName>
    <definedName name="FrequencyList">Lists!$I$129:$I$142</definedName>
    <definedName name="GoalCategoryList">Lists!$E$129:$E$143</definedName>
    <definedName name="GoalNames">OFFSET(Goals!$B$5,0,0,MAX(1,COUNTIF(Goals!$B$5:$B$44,"?*")),1)</definedName>
    <definedName name="GoalStatusList">Lists!$G$129:$G$142</definedName>
    <definedName name="GroceryCategoryList">Lists!$E$59:$E$80</definedName>
    <definedName name="GroceryPrefix">Settings!$D$65</definedName>
    <definedName name="HomeCookedTarget">Settings!$D$53</definedName>
    <definedName name="HouseCook">Settings!$D$7</definedName>
    <definedName name="HouseEmail">Settings!$D$8</definedName>
    <definedName name="HouseMembers">Settings!$D$10</definedName>
    <definedName name="HouseName">Settings!$D$6</definedName>
    <definedName name="HouseNotes">Settings!$D$12</definedName>
    <definedName name="HouseTown">Settings!$D$9</definedName>
    <definedName name="IngredientIDs">OFFSET(Ingredients!$A$5,0,0,MAX(1,COUNTIF(Ingredients!$A$5:$A$304,"?*")),1)</definedName>
    <definedName name="IngredientNames">OFFSET(Ingredients!$B$5,0,0,MAX(1,COUNTIF(Ingredients!$B$5:$B$304,"?*")),1)</definedName>
    <definedName name="IngredientPrefix">Settings!$D$62</definedName>
    <definedName name="LeftoverDays">Settings!$D$46</definedName>
    <definedName name="LeftoverItems">OFFSET(Leftovers!$B$5,0,0,MAX(1,COUNTIF(Leftovers!$B$5:$B$124,"?*")),1)</definedName>
    <definedName name="LeftoverPrefix">Settings!$D$66</definedName>
    <definedName name="LeftoverStatusList">Lists!$E$107:$E$121</definedName>
    <definedName name="LowStockDays">Settings!$D$48</definedName>
    <definedName name="MainStore">Settings!$D$11</definedName>
    <definedName name="MealPrefix">Settings!$D$63</definedName>
    <definedName name="MealSlotList">Lists!$E$9:$E$23</definedName>
    <definedName name="MealStatusList">Lists!$G$9:$G$24</definedName>
    <definedName name="MeasureList">Lists!$G$210:$G$226</definedName>
    <definedName name="MeasureSystem">Settings!$D$20</definedName>
    <definedName name="MemberNames">OFFSET(Household!$B$5,0,0,MAX(1,COUNTIF(Household!$B$5:$B$16,"?*")),1)</definedName>
    <definedName name="MemberRoleList">Lists!$A$107:$A$121</definedName>
    <definedName name="MonthList">Lists!$G$152:$G$171</definedName>
    <definedName name="MonthlyBudget">Settings!$D$28</definedName>
    <definedName name="NewRecipeTarget">Settings!$D$54</definedName>
    <definedName name="PackedLunchTarget">Settings!$D$56</definedName>
    <definedName name="PantryItems">OFFSET(Pantry!$B$5,0,0,MAX(1,COUNTIF(Pantry!$B$5:$B$304,"?*")),1)</definedName>
    <definedName name="PantryPrefix">Settings!$D$64</definedName>
    <definedName name="PaymentList">Lists!$E$190:$E$203</definedName>
    <definedName name="PlanDates">OFFSET('Meal Plan'!$B$5,0,0,MAX(1,COUNTIF('Meal Plan'!$B$5:$B$504,"?*")),1)</definedName>
    <definedName name="PlanKeys">OFFSET('Meal Plan'!$AE$5,0,0,MAX(1,COUNTIF('Meal Plan'!$AE$5:$AE$504,"?*")),1)</definedName>
    <definedName name="PlanMonthName">'Monthly Planner'!$B$5</definedName>
    <definedName name="PlanMonthStart">'Monthly Planner'!$D$5</definedName>
    <definedName name="PlanRecipes">OFFSET('Meal Plan'!$G$5,0,0,MAX(1,COUNTIF('Meal Plan'!$G$5:$G$504,"?*")),1)</definedName>
    <definedName name="PlanStart">Settings!$D$16</definedName>
    <definedName name="PlanYear">Settings!$D$15</definedName>
    <definedName name="PortionSizeList">Lists!$I$31:$I$42</definedName>
    <definedName name="PrepDay">Settings!$D$19</definedName>
    <definedName name="PrepJobs">OFFSET('Meal Prep'!$B$5,0,0,MAX(1,COUNTIF('Meal Prep'!$B$5:$B$124,"?*")),1)</definedName>
    <definedName name="PrepLeadDays">Settings!$D$49</definedName>
    <definedName name="PrepStatusList">Lists!$I$190:$I$201</definedName>
    <definedName name="PrepTaskList">Lists!$I$85:$I$104</definedName>
    <definedName name="PriceLevelList">Lists!$G$190:$G$201</definedName>
    <definedName name="_xlnm.Print_Area" localSheetId="28">'Events'!$A$1:$W$44</definedName>
    <definedName name="_xlnm.Print_Area" localSheetId="15">'Food Waste'!$A$1:$T$154</definedName>
    <definedName name="_xlnm.Print_Area" localSheetId="29">'Goals'!$A$1:$R$44</definedName>
    <definedName name="_xlnm.Print_Area" localSheetId="11">'Grocery List'!$A$1:$Z$304</definedName>
    <definedName name="_xlnm.Print_Area" localSheetId="25">'Grocery Spending'!$A$1:$W$404</definedName>
    <definedName name="_xlnm.Print_Area" localSheetId="6">'Household'!$A$1:$Y$16</definedName>
    <definedName name="_xlnm.Print_Area" localSheetId="9">'Ingredients'!$A$1:$AO$304</definedName>
    <definedName name="_xlnm.Print_Area" localSheetId="14">'Leftovers'!$A$1:$S$124</definedName>
    <definedName name="_xlnm.Print_Area" localSheetId="10">'Meal Plan'!$A$1:$AG$504</definedName>
    <definedName name="_xlnm.Print_Area" localSheetId="16">'Meal Prep'!$A$1:$Y$124</definedName>
    <definedName name="_xlnm.Print_Area" localSheetId="3">'Monthly Planner'!$A$1:$G$38</definedName>
    <definedName name="_xlnm.Print_Area" localSheetId="12">'Pantry'!$A$1:$Y$304</definedName>
    <definedName name="_xlnm.Print_Area" localSheetId="34">'Print Recipe'!$A$1:$F$37</definedName>
    <definedName name="_xlnm.Print_Area" localSheetId="33">'Print Shopping'!$A$1:$F$63</definedName>
    <definedName name="_xlnm.Print_Area" localSheetId="32">'Print Week'!$A$1:$F$33</definedName>
    <definedName name="_xlnm.Print_Area" localSheetId="8">'Recipe Ingredients'!$A$1:$AB$1204</definedName>
    <definedName name="_xlnm.Print_Area" localSheetId="7">'Recipes'!$A$1:$BF$204</definedName>
    <definedName name="_xlnm.Print_Area" localSheetId="13">'Staples'!$A$1:$S$104</definedName>
    <definedName name="_xlnm.Print_Area" localSheetId="26">'Store Prices'!$A$1:$Q$304</definedName>
    <definedName name="_xlnm.Print_Area" localSheetId="27">'Stores'!$A$1:$X$44</definedName>
    <definedName name="_xlnm.Print_Area" localSheetId="2">'Weekly Planner'!$A$1:$I$33</definedName>
    <definedName name="_xlnm.Print_Titles" localSheetId="28">'Events'!$1:$4</definedName>
    <definedName name="_xlnm.Print_Titles" localSheetId="15">'Food Waste'!$1:$4</definedName>
    <definedName name="_xlnm.Print_Titles" localSheetId="29">'Goals'!$1:$4</definedName>
    <definedName name="_xlnm.Print_Titles" localSheetId="11">'Grocery List'!$1:$4</definedName>
    <definedName name="_xlnm.Print_Titles" localSheetId="25">'Grocery Spending'!$1:$4</definedName>
    <definedName name="_xlnm.Print_Titles" localSheetId="6">'Household'!$1:$4</definedName>
    <definedName name="_xlnm.Print_Titles" localSheetId="9">'Ingredients'!$1:$4</definedName>
    <definedName name="_xlnm.Print_Titles" localSheetId="14">'Leftovers'!$1:$4</definedName>
    <definedName name="_xlnm.Print_Titles" localSheetId="10">'Meal Plan'!$1:$4</definedName>
    <definedName name="_xlnm.Print_Titles" localSheetId="16">'Meal Prep'!$1:$4</definedName>
    <definedName name="_xlnm.Print_Titles" localSheetId="12">'Pantry'!$1:$4</definedName>
    <definedName name="_xlnm.Print_Titles" localSheetId="8">'Recipe Ingredients'!$1:$4</definedName>
    <definedName name="_xlnm.Print_Titles" localSheetId="7">'Recipes'!$1:$4</definedName>
    <definedName name="_xlnm.Print_Titles" localSheetId="13">'Staples'!$1:$4</definedName>
    <definedName name="_xlnm.Print_Titles" localSheetId="26">'Store Prices'!$1:$4</definedName>
    <definedName name="_xlnm.Print_Titles" localSheetId="27">'Stores'!$1:$4</definedName>
    <definedName name="PriorityList">Lists!$E$85:$E$96</definedName>
    <definedName name="ProteinTarget">Settings!$D$36</definedName>
    <definedName name="RatingList">Lists!$C$152:$C$164</definedName>
    <definedName name="RecipeCategoryList">Lists!$I$9:$I$28</definedName>
    <definedName name="RecipeIDs">OFFSET(Recipes!$A$5,0,0,MAX(1,COUNTIF(Recipes!$A$5:$A$204,"?*")),1)</definedName>
    <definedName name="RecipeNames">OFFSET(Recipes!$B$5,0,0,MAX(1,COUNTIF(Recipes!$B$5:$B$204,"?*")),1)</definedName>
    <definedName name="RecipePrefix">Settings!$D$61</definedName>
    <definedName name="ReportMonth">Reports!$B$5</definedName>
    <definedName name="ReportMonths">Reports!$L$5</definedName>
    <definedName name="ReportStart">Reports!$C$5</definedName>
    <definedName name="RotationGapDays">Settings!$D$50</definedName>
    <definedName name="RoundingList">Lists!$E$174:$E$183</definedName>
    <definedName name="RoundingRule">Settings!$D$24</definedName>
    <definedName name="ScaleFactor">Converter!$H$34</definedName>
    <definedName name="ScalePeople">Converter!$D$33</definedName>
    <definedName name="ScaleRecipe">Converter!$D$32</definedName>
    <definedName name="SeasonList">Lists!$A$152:$A$164</definedName>
    <definedName name="ShopFrom">Settings!$D$22</definedName>
    <definedName name="ShoppingDay">Settings!$D$18</definedName>
    <definedName name="ShoppingStatusList">Lists!$C$85:$C$99</definedName>
    <definedName name="ShopTo">Settings!$D$23</definedName>
    <definedName name="SodiumLimit">Settings!$D$41</definedName>
    <definedName name="SpendCategoryList">Lists!$C$129:$C$148</definedName>
    <definedName name="SpendMonths">OFFSET('Grocery Spending'!$E$5,0,0,MAX(1,COUNTIF('Grocery Spending'!$E$5:$E$404,"?*")),1)</definedName>
    <definedName name="SpendPrefix">Settings!$D$68</definedName>
    <definedName name="SpendTypeList">Lists!$C$190:$C$207</definedName>
    <definedName name="SpiceLevelList">Lists!$G$31:$G$43</definedName>
    <definedName name="StapleNames">OFFSET(Staples!$B$5,0,0,MAX(1,COUNTIF(Staples!$B$5:$B$104,"?*")),1)</definedName>
    <definedName name="StorageList">Lists!$I$59:$I$75</definedName>
    <definedName name="StoreNames">OFFSET(Stores!$B$5,0,0,MAX(1,COUNTIF(Stores!$B$5:$B$44,"?*")),1)</definedName>
    <definedName name="StoreTypeList">Lists!$A$129:$A$149</definedName>
    <definedName name="SugarLimit">Settings!$D$40</definedName>
    <definedName name="SystemList">Lists!$C$174:$C$183</definedName>
    <definedName name="TakeawayCost">'Recipe Costs'!$D$10</definedName>
    <definedName name="TakeawayLimit">Settings!$D$55</definedName>
    <definedName name="TaskStatusList">Lists!$G$85:$G$97</definedName>
    <definedName name="TextureList">Lists!$E$152:$E$167</definedName>
    <definedName name="UnitBases">Lists!$C$233:$C$272</definedName>
    <definedName name="UnitFactors">Lists!$D$233:$D$272</definedName>
    <definedName name="UnitKinds">Lists!$B$233:$B$272</definedName>
    <definedName name="UnitList">Lists!$A$233:$A$272</definedName>
    <definedName name="UnitNames">Lists!$A$233:$A$272</definedName>
    <definedName name="WasteActionList">Lists!$I$107:$I$119</definedName>
    <definedName name="WasteCostTarget">Settings!$D$31</definedName>
    <definedName name="WasteReasonList">Lists!$G$107:$G$124</definedName>
    <definedName name="WasteTarget">Settings!$D$57</definedName>
    <definedName name="WaterTarget">Settings!$D$42</definedName>
    <definedName name="WeekdayList">Lists!$I$152:$I$166</definedName>
    <definedName name="WeeklyBudget">Settings!$D$27</definedName>
    <definedName name="WeekPick">'Weekly Planner'!$B$5</definedName>
    <definedName name="WeekStart">Settings!$D$17</definedName>
    <definedName name="WeekStartList">Lists!$A$174:$A$183</definedName>
    <definedName name="YesNoList">Lists!$A$9:$A$18</definedName>
    <definedName name="YesNoNAList">Lists!$C$9:$C$19</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Everyone who eats here, including the ones who only turn up at weekends.</t>
        </r>
      </text>
    </comment>
    <comment ref="D4" authorId="0">
      <text>
        <r>
          <rPr>
            <sz val="8"/>
            <color indexed="81"/>
            <rFont val="Tahoma"/>
            <family val="2"/>
          </rPr>
          <t>Only used to suggest a portion size.</t>
        </r>
      </text>
    </comment>
    <comment ref="E4" authorId="0">
      <text>
        <r>
          <rPr>
            <sz val="8"/>
            <color indexed="81"/>
            <rFont val="Tahoma"/>
            <family val="2"/>
          </rPr>
          <t>1 is an adult portion. A small child might be 0.5, a teenager 1.5. The planner multiplies by this.</t>
        </r>
      </text>
    </comment>
    <comment ref="G4" authorId="0">
      <text>
        <r>
          <rPr>
            <sz val="8"/>
            <color indexed="81"/>
            <rFont val="Tahoma"/>
            <family val="2"/>
          </rPr>
          <t>The serious ones. Recipes containing them are flagged - but always read the label yourself.</t>
        </r>
      </text>
    </comment>
    <comment ref="H4" authorId="0">
      <text>
        <r>
          <rPr>
            <sz val="8"/>
            <color indexed="81"/>
            <rFont val="Tahoma"/>
            <family val="2"/>
          </rPr>
          <t>Things they would rather not eat: 'mushrooms', 'anything spicy'.</t>
        </r>
      </text>
    </comment>
    <comment ref="J4" authorId="0">
      <text>
        <r>
          <rPr>
            <sz val="8"/>
            <color indexed="81"/>
            <rFont val="Tahoma"/>
            <family val="2"/>
          </rPr>
          <t>Worth filling in - it makes the 'what shall we have?' question much easier.</t>
        </r>
      </text>
    </comment>
    <comment ref="O4" authorId="0">
      <text>
        <r>
          <rPr>
            <sz val="8"/>
            <color indexed="81"/>
            <rFont val="Tahoma"/>
            <family val="2"/>
          </rPr>
          <t>Leave blank to use the household target on the Settings tab.</t>
        </r>
      </text>
    </comment>
    <comment ref="R4" authorId="0">
      <text>
        <r>
          <rPr>
            <sz val="8"/>
            <color indexed="81"/>
            <rFont val="Tahoma"/>
            <family val="2"/>
          </rPr>
          <t>'Tuesday and Thursday'. The weekly planner shows it so nobody can claim they forgot.</t>
        </r>
      </text>
    </comment>
    <comment ref="T4" authorId="0">
      <text>
        <r>
          <rPr>
            <sz val="8"/>
            <color indexed="81"/>
            <rFont val="Tahoma"/>
            <family val="2"/>
          </rPr>
          <t>Washing up, bins, packing lunches.</t>
        </r>
      </text>
    </comment>
    <comment ref="U4" authorId="0">
      <text>
        <r>
          <rPr>
            <sz val="8"/>
            <color indexed="81"/>
            <rFont val="Tahoma"/>
            <family val="2"/>
          </rPr>
          <t>How many meals this person is down to cook.</t>
        </r>
      </text>
    </comment>
    <comment ref="V4" authorId="0">
      <text>
        <r>
          <rPr>
            <sz val="8"/>
            <color indexed="81"/>
            <rFont val="Tahoma"/>
            <family val="2"/>
          </rPr>
          <t>So the special events tab can remind you.</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The ID the meal planner, the shopping list and the cost tabs all refer to. Generated for you.</t>
        </r>
      </text>
    </comment>
    <comment ref="B4" authorId="0">
      <text>
        <r>
          <rPr>
            <sz val="8"/>
            <color indexed="81"/>
            <rFont val="Tahoma"/>
            <family val="2"/>
          </rPr>
          <t>One row per recipe. The ingredients go on the Recipe Ingredients tab, one line each.</t>
        </r>
      </text>
    </comment>
    <comment ref="D4" authorId="0">
      <text>
        <r>
          <rPr>
            <sz val="8"/>
            <color indexed="81"/>
            <rFont val="Tahoma"/>
            <family val="2"/>
          </rPr>
          <t>Which meal of the day it normally turns up at.</t>
        </r>
      </text>
    </comment>
    <comment ref="G4" authorId="0">
      <text>
        <r>
          <rPr>
            <sz val="8"/>
            <color indexed="81"/>
            <rFont val="Tahoma"/>
            <family val="2"/>
          </rPr>
          <t>How many people the quantities on the Recipe Ingredients tab feed. Everything scales from this.</t>
        </r>
      </text>
    </comment>
    <comment ref="K4" authorId="0">
      <text>
        <r>
          <rPr>
            <sz val="8"/>
            <color indexed="81"/>
            <rFont val="Tahoma"/>
            <family val="2"/>
          </rPr>
          <t>30 minutes or less, start to finish.</t>
        </r>
      </text>
    </comment>
    <comment ref="N4" authorId="0">
      <text>
        <r>
          <rPr>
            <sz val="8"/>
            <color indexed="81"/>
            <rFont val="Tahoma"/>
            <family val="2"/>
          </rPr>
          <t>Anything you need out of the cupboard: blender, slow cooker, baking tin.</t>
        </r>
      </text>
    </comment>
    <comment ref="Q4" authorId="0">
      <text>
        <r>
          <rPr>
            <sz val="8"/>
            <color indexed="81"/>
            <rFont val="Tahoma"/>
            <family val="2"/>
          </rPr>
          <t>Does it survive being made in advance and reheated?</t>
        </r>
      </text>
    </comment>
    <comment ref="T4" authorId="0">
      <text>
        <r>
          <rPr>
            <sz val="8"/>
            <color indexed="81"/>
            <rFont val="Tahoma"/>
            <family val="2"/>
          </rPr>
          <t>The dietary filters use this plus the allergens worked out from the ingredients.</t>
        </r>
      </text>
    </comment>
    <comment ref="W4" authorId="0">
      <text>
        <r>
          <rPr>
            <sz val="8"/>
            <color indexed="81"/>
            <rFont val="Tahoma"/>
            <family val="2"/>
          </rPr>
          <t>Free text: 'payday treat', 'uses up leftovers', 'lunchbox'. Filter on it.</t>
        </r>
      </text>
    </comment>
    <comment ref="Y4" authorId="0">
      <text>
        <r>
          <rPr>
            <sz val="8"/>
            <color indexed="81"/>
            <rFont val="Tahoma"/>
            <family val="2"/>
          </rPr>
          <t>Paste the URL, or the page number of the book.</t>
        </r>
      </text>
    </comment>
    <comment ref="Z4" authorId="0">
      <text>
        <r>
          <rPr>
            <sz val="8"/>
            <color indexed="81"/>
            <rFont val="Tahoma"/>
            <family val="2"/>
          </rPr>
          <t>A spreadsheet cannot keep the photo itself tidy - paste a cloud link instead.</t>
        </r>
      </text>
    </comment>
    <comment ref="AA4" authorId="0">
      <text>
        <r>
          <rPr>
            <sz val="8"/>
            <color indexed="81"/>
            <rFont val="Tahoma"/>
            <family val="2"/>
          </rPr>
          <t>Short numbered steps. 1. Chop... 2. Fry... Keep it to what you would scribble on a card.</t>
        </r>
      </text>
    </comment>
    <comment ref="AB4" authorId="0">
      <text>
        <r>
          <rPr>
            <sz val="8"/>
            <color indexed="81"/>
            <rFont val="Tahoma"/>
            <family val="2"/>
          </rPr>
          <t>Counted from the Recipe Ingredients tab.</t>
        </r>
      </text>
    </comment>
    <comment ref="AC4" authorId="0">
      <text>
        <r>
          <rPr>
            <sz val="8"/>
            <color indexed="81"/>
            <rFont val="Tahoma"/>
            <family val="2"/>
          </rPr>
          <t>Added up from the ingredient prices. Change a price once and every recipe re-prices itself.</t>
        </r>
      </text>
    </comment>
    <comment ref="AJ4" authorId="0">
      <text>
        <r>
          <rPr>
            <sz val="8"/>
            <color indexed="81"/>
            <rFont val="Tahoma"/>
            <family val="2"/>
          </rPr>
          <t>Counted from the allergen column of each ingredient. Always read the actual labels as well.</t>
        </r>
      </text>
    </comment>
    <comment ref="AK4" authorId="0">
      <text>
        <r>
          <rPr>
            <sz val="8"/>
            <color indexed="81"/>
            <rFont val="Tahoma"/>
            <family val="2"/>
          </rPr>
          <t>1 = cheapest a serving. Used by the Recipe Costs page.</t>
        </r>
      </text>
    </comment>
    <comment ref="AL4" authorId="0">
      <text>
        <r>
          <rPr>
            <sz val="8"/>
            <color indexed="81"/>
            <rFont val="Tahoma"/>
            <family val="2"/>
          </rPr>
          <t>1 when the recipe passes every control on the Dietary Filters page.</t>
        </r>
      </text>
    </comment>
    <comment ref="AN4" authorId="0">
      <text>
        <r>
          <rPr>
            <sz val="8"/>
            <color indexed="81"/>
            <rFont val="Tahoma"/>
            <family val="2"/>
          </rPr>
          <t>1 = planned most often.</t>
        </r>
      </text>
    </comment>
    <comment ref="AO4" authorId="0">
      <text>
        <r>
          <rPr>
            <sz val="8"/>
            <color indexed="81"/>
            <rFont val="Tahoma"/>
            <family val="2"/>
          </rPr>
          <t>1 = most calories a serving.</t>
        </r>
      </text>
    </comment>
    <comment ref="AP4" authorId="0">
      <text>
        <r>
          <rPr>
            <sz val="8"/>
            <color indexed="81"/>
            <rFont val="Tahoma"/>
            <family val="2"/>
          </rPr>
          <t>1 = most protein a serving.</t>
        </r>
      </text>
    </comment>
    <comment ref="AQ4" authorId="0">
      <text>
        <r>
          <rPr>
            <sz val="8"/>
            <color indexed="81"/>
            <rFont val="Tahoma"/>
            <family val="2"/>
          </rPr>
          <t>1 = most fibre a serving.</t>
        </r>
      </text>
    </comment>
    <comment ref="AR4" authorId="0">
      <text>
        <r>
          <rPr>
            <sz val="8"/>
            <color indexed="81"/>
            <rFont val="Tahoma"/>
            <family val="2"/>
          </rPr>
          <t>1 = the recipe you have left alone the longest.</t>
        </r>
      </text>
    </comment>
    <comment ref="AT4" authorId="0">
      <text>
        <r>
          <rPr>
            <sz val="8"/>
            <color indexed="81"/>
            <rFont val="Tahoma"/>
            <family val="2"/>
          </rPr>
          <t>How many recipes-worth the grocery list has to buy for. Driven by the dates on the Grocery List tab.</t>
        </r>
      </text>
    </comment>
    <comment ref="AW4" authorId="0">
      <text>
        <r>
          <rPr>
            <sz val="8"/>
            <color indexed="81"/>
            <rFont val="Tahoma"/>
            <family val="2"/>
          </rPr>
          <t>1 to 5. The rotation planner leans on this.</t>
        </r>
      </text>
    </comment>
    <comment ref="AX4" authorId="0">
      <text>
        <r>
          <rPr>
            <sz val="8"/>
            <color indexed="81"/>
            <rFont val="Tahoma"/>
            <family val="2"/>
          </rPr>
          <t>What everyone else thought.</t>
        </r>
      </text>
    </comment>
    <comment ref="BB4" authorId="0">
      <text>
        <r>
          <rPr>
            <sz val="8"/>
            <color indexed="81"/>
            <rFont val="Tahoma"/>
            <family val="2"/>
          </rPr>
          <t>Automatic, from the meal plan.</t>
        </r>
      </text>
    </comment>
    <comment ref="BD4" authorId="0">
      <text>
        <r>
          <rPr>
            <sz val="8"/>
            <color indexed="81"/>
            <rFont val="Tahoma"/>
            <family val="2"/>
          </rPr>
          <t>'Double the garlic', 'kids pick out the peppers', 'needs 10 minutes longer in our oven'.</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recipe this line belongs to. The drop-down lists every ID on the Recipes tab.</t>
        </r>
      </text>
    </comment>
    <comment ref="D4" authorId="0">
      <text>
        <r>
          <rPr>
            <sz val="8"/>
            <color indexed="81"/>
            <rFont val="Tahoma"/>
            <family val="2"/>
          </rPr>
          <t>Must match the Ingredients tab exactly - choose from the drop-down and it always will.</t>
        </r>
      </text>
    </comment>
    <comment ref="E4" authorId="0">
      <text>
        <r>
          <rPr>
            <sz val="8"/>
            <color indexed="81"/>
            <rFont val="Tahoma"/>
            <family val="2"/>
          </rPr>
          <t>For the number of servings on the Recipes tab, not per person.</t>
        </r>
      </text>
    </comment>
    <comment ref="F4" authorId="0">
      <text>
        <r>
          <rPr>
            <sz val="8"/>
            <color indexed="81"/>
            <rFont val="Tahoma"/>
            <family val="2"/>
          </rPr>
          <t>Any unit from the table on the Lists tab - kg, g, ml, tbsp, cup, each. It is converted for you.</t>
        </r>
      </text>
    </comment>
    <comment ref="G4" authorId="0">
      <text>
        <r>
          <rPr>
            <sz val="8"/>
            <color indexed="81"/>
            <rFont val="Tahoma"/>
            <family val="2"/>
          </rPr>
          <t>'finely chopped', 'drained', 'at room temperature'.</t>
        </r>
      </text>
    </comment>
    <comment ref="H4" authorId="0">
      <text>
        <r>
          <rPr>
            <sz val="8"/>
            <color indexed="81"/>
            <rFont val="Tahoma"/>
            <family val="2"/>
          </rPr>
          <t>Optional: 'sauce', 'topping', 'marinade' - keeps long recipes readable.</t>
        </r>
      </text>
    </comment>
    <comment ref="I4" authorId="0">
      <text>
        <r>
          <rPr>
            <sz val="8"/>
            <color indexed="81"/>
            <rFont val="Tahoma"/>
            <family val="2"/>
          </rPr>
          <t>Optional ingredients are still costed but are marked on the shopping list so you can skip them.</t>
        </r>
      </text>
    </comment>
    <comment ref="J4" authorId="0">
      <text>
        <r>
          <rPr>
            <sz val="8"/>
            <color indexed="81"/>
            <rFont val="Tahoma"/>
            <family val="2"/>
          </rPr>
          <t>Automatic: the quantity converted to g, ml or each using the unit table on the Lists tab.</t>
        </r>
      </text>
    </comment>
    <comment ref="N4" authorId="0">
      <text>
        <r>
          <rPr>
            <sz val="8"/>
            <color indexed="81"/>
            <rFont val="Tahoma"/>
            <family val="2"/>
          </rPr>
          <t>Quantity x the price per unit from the Ingredients tab. Blank if the units do not match - fix the unit and it fills itself in.</t>
        </r>
      </text>
    </comment>
    <comment ref="P4" authorId="0">
      <text>
        <r>
          <rPr>
            <sz val="8"/>
            <color indexed="81"/>
            <rFont val="Tahoma"/>
            <family val="2"/>
          </rPr>
          <t>How many 'per 100 g' blocks this line is worth.</t>
        </r>
      </text>
    </comment>
    <comment ref="X4" authorId="0">
      <text>
        <r>
          <rPr>
            <sz val="8"/>
            <color indexed="81"/>
            <rFont val="Tahoma"/>
            <family val="2"/>
          </rPr>
          <t>How many recipes-worth of this dish the shopping window asks for.</t>
        </r>
      </text>
    </comment>
    <comment ref="Y4" authorId="0">
      <text>
        <r>
          <rPr>
            <sz val="8"/>
            <color indexed="81"/>
            <rFont val="Tahoma"/>
            <family val="2"/>
          </rPr>
          <t>Quantity x planned batches. This is the number the grocery list adds up.</t>
        </r>
      </text>
    </comment>
    <comment ref="Z4" authorId="0">
      <text>
        <r>
          <rPr>
            <sz val="8"/>
            <color indexed="81"/>
            <rFont val="Tahoma"/>
            <family val="2"/>
          </rPr>
          <t>Recipe ID plus the line number within that recipe - how the recipe scaler walks the ingredient list.</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 one spelling and stick to it - 'chicken breast', not 'chicken breasts' as well. The grocery list adds up by this name.</t>
        </r>
      </text>
    </comment>
    <comment ref="C4" authorId="0">
      <text>
        <r>
          <rPr>
            <sz val="8"/>
            <color indexed="81"/>
            <rFont val="Tahoma"/>
            <family val="2"/>
          </rPr>
          <t>Groups the shopping list.</t>
        </r>
      </text>
    </comment>
    <comment ref="D4" authorId="0">
      <text>
        <r>
          <rPr>
            <sz val="8"/>
            <color indexed="81"/>
            <rFont val="Tahoma"/>
            <family val="2"/>
          </rPr>
          <t>Sorts the printed list into the order you walk round the shop.</t>
        </r>
      </text>
    </comment>
    <comment ref="G4" authorId="0">
      <text>
        <r>
          <rPr>
            <sz val="8"/>
            <color indexed="81"/>
            <rFont val="Tahoma"/>
            <family val="2"/>
          </rPr>
          <t>The unit you cook with: g, ml or each. Recipe quantities in any other unit are converted to this.</t>
        </r>
      </text>
    </comment>
    <comment ref="H4" authorId="0">
      <text>
        <r>
          <rPr>
            <sz val="8"/>
            <color indexed="81"/>
            <rFont val="Tahoma"/>
            <family val="2"/>
          </rPr>
          <t>How much is in the pack you normally buy, in the unit above. A 400 g tin = 400.</t>
        </r>
      </text>
    </comment>
    <comment ref="J4" authorId="0">
      <text>
        <r>
          <rPr>
            <sz val="8"/>
            <color indexed="81"/>
            <rFont val="Tahoma"/>
            <family val="2"/>
          </rPr>
          <t>Automatic. This is what every recipe cost is built from.</t>
        </r>
      </text>
    </comment>
    <comment ref="K4" authorId="0">
      <text>
        <r>
          <rPr>
            <sz val="8"/>
            <color indexed="81"/>
            <rFont val="Tahoma"/>
            <family val="2"/>
          </rPr>
          <t>Cost per 100 g or 100 ml - the number to compare between brands and pack sizes.</t>
        </r>
      </text>
    </comment>
    <comment ref="L4" authorId="0">
      <text>
        <r>
          <rPr>
            <sz val="8"/>
            <color indexed="81"/>
            <rFont val="Tahoma"/>
            <family val="2"/>
          </rPr>
          <t>What you have actually been paying, from the purchase log.</t>
        </r>
      </text>
    </comment>
    <comment ref="M4" authorId="0">
      <text>
        <r>
          <rPr>
            <sz val="8"/>
            <color indexed="81"/>
            <rFont val="Tahoma"/>
            <family val="2"/>
          </rPr>
          <t>The lowest price per unit any store on the Store Prices tab charges for it.</t>
        </r>
      </text>
    </comment>
    <comment ref="O4" authorId="0">
      <text>
        <r>
          <rPr>
            <sz val="8"/>
            <color indexed="81"/>
            <rFont val="Tahoma"/>
            <family val="2"/>
          </rPr>
          <t>What you would save per 100 g / 100 ml by buying it where it is cheapest.</t>
        </r>
      </text>
    </comment>
    <comment ref="P4" authorId="0">
      <text>
        <r>
          <rPr>
            <sz val="8"/>
            <color indexed="81"/>
            <rFont val="Tahoma"/>
            <family val="2"/>
          </rPr>
          <t>Per 100 g or 100 ml from the label - or per item for anything measured in 'each', like an egg.</t>
        </r>
      </text>
    </comment>
    <comment ref="W4" authorId="0">
      <text>
        <r>
          <rPr>
            <sz val="8"/>
            <color indexed="81"/>
            <rFont val="Tahoma"/>
            <family val="2"/>
          </rPr>
          <t>Flags every recipe that uses this ingredient.</t>
        </r>
      </text>
    </comment>
    <comment ref="X4" authorId="0">
      <text>
        <r>
          <rPr>
            <sz val="8"/>
            <color indexed="81"/>
            <rFont val="Tahoma"/>
            <family val="2"/>
          </rPr>
          <t>The strictest diet this ingredient fits.</t>
        </r>
      </text>
    </comment>
    <comment ref="Z4" authorId="0">
      <text>
        <r>
          <rPr>
            <sz val="8"/>
            <color indexed="81"/>
            <rFont val="Tahoma"/>
            <family val="2"/>
          </rPr>
          <t>Typical shelf life once you get it home. Used to suggest an expiry date when you add it to the pantry.</t>
        </r>
      </text>
    </comment>
    <comment ref="AB4" authorId="0">
      <text>
        <r>
          <rPr>
            <sz val="8"/>
            <color indexed="81"/>
            <rFont val="Tahoma"/>
            <family val="2"/>
          </rPr>
          <t>What you use when the shop has run out.</t>
        </r>
      </text>
    </comment>
    <comment ref="AC4" authorId="0">
      <text>
        <r>
          <rPr>
            <sz val="8"/>
            <color indexed="81"/>
            <rFont val="Tahoma"/>
            <family val="2"/>
          </rPr>
          <t>Updated by hand, or left to the purchase log.</t>
        </r>
      </text>
    </comment>
    <comment ref="AD4" authorId="0">
      <text>
        <r>
          <rPr>
            <sz val="8"/>
            <color indexed="81"/>
            <rFont val="Tahoma"/>
            <family val="2"/>
          </rPr>
          <t>Automatic, in the unit above. Comes from the Pantry tab.</t>
        </r>
      </text>
    </comment>
    <comment ref="AF4" authorId="0">
      <text>
        <r>
          <rPr>
            <sz val="8"/>
            <color indexed="81"/>
            <rFont val="Tahoma"/>
            <family val="2"/>
          </rPr>
          <t>How many of your recipes call for it.</t>
        </r>
      </text>
    </comment>
    <comment ref="AG4" authorId="0">
      <text>
        <r>
          <rPr>
            <sz val="8"/>
            <color indexed="81"/>
            <rFont val="Tahoma"/>
            <family val="2"/>
          </rPr>
          <t>Everything your planned meals call for in the shopping window, in base units.</t>
        </r>
      </text>
    </comment>
    <comment ref="AH4" authorId="0">
      <text>
        <r>
          <rPr>
            <sz val="8"/>
            <color indexed="81"/>
            <rFont val="Tahoma"/>
            <family val="2"/>
          </rPr>
          <t>Cost per 100 times the number of recipes that use it - a rough 'where the money goes' score.</t>
        </r>
      </text>
    </comment>
    <comment ref="AI4" authorId="0">
      <text>
        <r>
          <rPr>
            <sz val="8"/>
            <color indexed="81"/>
            <rFont val="Tahoma"/>
            <family val="2"/>
          </rPr>
          <t>1 = the ingredient you spend most on.</t>
        </r>
      </text>
    </comment>
    <comment ref="AK4" authorId="0">
      <text>
        <r>
          <rPr>
            <sz val="8"/>
            <color indexed="81"/>
            <rFont val="Tahoma"/>
            <family val="2"/>
          </rPr>
          <t>1 = binned most often.</t>
        </r>
      </text>
    </comment>
    <comment ref="AL4" authorId="0">
      <text>
        <r>
          <rPr>
            <sz val="8"/>
            <color indexed="81"/>
            <rFont val="Tahoma"/>
            <family val="2"/>
          </rPr>
          <t>Position on the automatic grocery list.</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One row per meal. Use the Weekly Planner tab to see it laid out as a week.</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F4" authorId="0">
      <text>
        <r>
          <rPr>
            <sz val="8"/>
            <color indexed="81"/>
            <rFont val="Tahoma"/>
            <family val="2"/>
          </rPr>
          <t>Breakfast, Lunch, Dinner, Snack... set your own on the Settings tab.</t>
        </r>
      </text>
    </comment>
    <comment ref="G4" authorId="0">
      <text>
        <r>
          <rPr>
            <sz val="8"/>
            <color indexed="81"/>
            <rFont val="Tahoma"/>
            <family val="2"/>
          </rPr>
          <t>Leave blank for a meal you are not cooking from a recipe - eating out, leftovers, cereal.</t>
        </r>
      </text>
    </comment>
    <comment ref="H4" authorId="0">
      <text>
        <r>
          <rPr>
            <sz val="8"/>
            <color indexed="81"/>
            <rFont val="Tahoma"/>
            <family val="2"/>
          </rPr>
          <t>Filled in from the recipe, or from whatever you typed in the next column.</t>
        </r>
      </text>
    </comment>
    <comment ref="I4" authorId="0">
      <text>
        <r>
          <rPr>
            <sz val="8"/>
            <color indexed="81"/>
            <rFont val="Tahoma"/>
            <family val="2"/>
          </rPr>
          <t>'Leftover chilli', 'Fish and chips', 'Mum cooking'. No recipe needed.</t>
        </r>
      </text>
    </comment>
    <comment ref="J4" authorId="0">
      <text>
        <r>
          <rPr>
            <sz val="8"/>
            <color indexed="81"/>
            <rFont val="Tahoma"/>
            <family val="2"/>
          </rPr>
          <t>Defaults to your household size if you leave it blank - set that on the Settings tab.</t>
        </r>
      </text>
    </comment>
    <comment ref="L4" authorId="0">
      <text>
        <r>
          <rPr>
            <sz val="8"/>
            <color indexed="81"/>
            <rFont val="Tahoma"/>
            <family val="2"/>
          </rPr>
          <t>People to feed divided by what the recipe serves. 1.5 means one and a half times the quantities.</t>
        </r>
      </text>
    </comment>
    <comment ref="M4" authorId="0">
      <text>
        <r>
          <rPr>
            <sz val="8"/>
            <color indexed="81"/>
            <rFont val="Tahoma"/>
            <family val="2"/>
          </rPr>
          <t>Yes puts its ingredients on the grocery list. Set it to No for a meal you have already shopped for, or one you are eating out.</t>
        </r>
      </text>
    </comment>
    <comment ref="P4" authorId="0">
      <text>
        <r>
          <rPr>
            <sz val="8"/>
            <color indexed="81"/>
            <rFont val="Tahoma"/>
            <family val="2"/>
          </rPr>
          <t>Leave blank for everybody, or name the ones who are in.</t>
        </r>
      </text>
    </comment>
    <comment ref="Q4" authorId="0">
      <text>
        <r>
          <rPr>
            <sz val="8"/>
            <color indexed="81"/>
            <rFont val="Tahoma"/>
            <family val="2"/>
          </rPr>
          <t>Extra servings you mean to make. They show up on the Leftovers tab.</t>
        </r>
      </text>
    </comment>
    <comment ref="R4" authorId="0">
      <text>
        <r>
          <rPr>
            <sz val="8"/>
            <color indexed="81"/>
            <rFont val="Tahoma"/>
            <family val="2"/>
          </rPr>
          <t>Flags it on the Meal Prep tab.</t>
        </r>
      </text>
    </comment>
    <comment ref="S4" authorId="0">
      <text>
        <r>
          <rPr>
            <sz val="8"/>
            <color indexed="81"/>
            <rFont val="Tahoma"/>
            <family val="2"/>
          </rPr>
          <t>Links the meal to anything on the Special Events tab.</t>
        </r>
      </text>
    </comment>
    <comment ref="T4" authorId="0">
      <text>
        <r>
          <rPr>
            <sz val="8"/>
            <color indexed="81"/>
            <rFont val="Tahoma"/>
            <family val="2"/>
          </rPr>
          <t>Cost per serving from the recipe x the number of people. What it should cost, not what you spent.</t>
        </r>
      </text>
    </comment>
    <comment ref="U4" authorId="0">
      <text>
        <r>
          <rPr>
            <sz val="8"/>
            <color indexed="81"/>
            <rFont val="Tahoma"/>
            <family val="2"/>
          </rPr>
          <t>Only for meals out or takeaways - the weekly shop goes on the Grocery Spending tab.</t>
        </r>
      </text>
    </comment>
    <comment ref="AE4" authorId="0">
      <text>
        <r>
          <rPr>
            <sz val="8"/>
            <color indexed="81"/>
            <rFont val="Tahoma"/>
            <family val="2"/>
          </rPr>
          <t>Date and meal together - how the weekly and monthly planners find this row.</t>
        </r>
      </text>
    </comment>
  </commentList>
</comments>
</file>

<file path=xl/comments6.xml><?xml version="1.0" encoding="utf-8"?>
<comments xmlns="http://schemas.openxmlformats.org/spreadsheetml/2006/main">
  <authors>
    <author>Novality Store</author>
  </authors>
  <commentList>
    <comment ref="B4" authorId="0">
      <text>
        <r>
          <rPr>
            <sz val="8"/>
            <color indexed="81"/>
            <rFont val="Tahoma"/>
            <family val="2"/>
          </rPr>
          <t>Automatic. Every ingredient your planned meals need, in the order they appear in the price book.</t>
        </r>
      </text>
    </comment>
    <comment ref="D4" authorId="0">
      <text>
        <r>
          <rPr>
            <sz val="8"/>
            <color indexed="81"/>
            <rFont val="Tahoma"/>
            <family val="2"/>
          </rPr>
          <t>Sort by this column to walk the shop once.</t>
        </r>
      </text>
    </comment>
    <comment ref="F4" authorId="0">
      <text>
        <r>
          <rPr>
            <sz val="8"/>
            <color indexed="81"/>
            <rFont val="Tahoma"/>
            <family val="2"/>
          </rPr>
          <t>Everything the planned meals call for, in base units.</t>
        </r>
      </text>
    </comment>
    <comment ref="H4" authorId="0">
      <text>
        <r>
          <rPr>
            <sz val="8"/>
            <color indexed="81"/>
            <rFont val="Tahoma"/>
            <family val="2"/>
          </rPr>
          <t>Straight from the Pantry tab - this is the deduction that stops you buying a fourth jar of cumin.</t>
        </r>
      </text>
    </comment>
    <comment ref="M4" authorId="0">
      <text>
        <r>
          <rPr>
            <sz val="8"/>
            <color indexed="81"/>
            <rFont val="Tahoma"/>
            <family val="2"/>
          </rPr>
          <t>How many of the pack you normally buy. 1.2 tins becomes 2 tins, because shops do not sell 0.2 of a tin.</t>
        </r>
      </text>
    </comment>
    <comment ref="N4" authorId="0">
      <text>
        <r>
          <rPr>
            <sz val="8"/>
            <color indexed="81"/>
            <rFont val="Tahoma"/>
            <family val="2"/>
          </rPr>
          <t>Follows the rounding rule on the Settings tab.</t>
        </r>
      </text>
    </comment>
    <comment ref="P4" authorId="0">
      <text>
        <r>
          <rPr>
            <sz val="8"/>
            <color indexed="81"/>
            <rFont val="Tahoma"/>
            <family val="2"/>
          </rPr>
          <t>Watch this against your weekly budget as you plan.</t>
        </r>
      </text>
    </comment>
    <comment ref="R4" authorId="0">
      <text>
        <r>
          <rPr>
            <sz val="8"/>
            <color indexed="81"/>
            <rFont val="Tahoma"/>
            <family val="2"/>
          </rPr>
          <t>Position on the printable shopping list.</t>
        </r>
      </text>
    </comment>
    <comment ref="S4" authorId="0">
      <text>
        <r>
          <rPr>
            <sz val="8"/>
            <color indexed="81"/>
            <rFont val="Tahoma"/>
            <family val="2"/>
          </rPr>
          <t>How many of the week's recipes want it.</t>
        </r>
      </text>
    </comment>
    <comment ref="T4" authorId="0">
      <text>
        <r>
          <rPr>
            <sz val="8"/>
            <color indexed="81"/>
            <rFont val="Tahoma"/>
            <family val="2"/>
          </rPr>
          <t>Yes means every recipe that wants it treats it as optional - skip it if money is tight.</t>
        </r>
      </text>
    </comment>
    <comment ref="V4" authorId="0">
      <text>
        <r>
          <rPr>
            <sz val="8"/>
            <color indexed="81"/>
            <rFont val="Tahoma"/>
            <family val="2"/>
          </rPr>
          <t>Tick as you shop. Ticked rows drop out of the remaining total below.</t>
        </r>
      </text>
    </comment>
    <comment ref="W4" authorId="0">
      <text>
        <r>
          <rPr>
            <sz val="8"/>
            <color indexed="81"/>
            <rFont val="Tahoma"/>
            <family val="2"/>
          </rPr>
          <t>Optional - fill it in at the till and the workbook shows you the gap between estimate and reality.</t>
        </r>
      </text>
    </comment>
    <comment ref="X4" authorId="0">
      <text>
        <r>
          <rPr>
            <sz val="8"/>
            <color indexed="81"/>
            <rFont val="Tahoma"/>
            <family val="2"/>
          </rPr>
          <t>What you bought instead when the shelf was empty.</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Choose from the Ingredients tab so the grocery list can match it. Add anything new there first.</t>
        </r>
      </text>
    </comment>
    <comment ref="D4" authorId="0">
      <text>
        <r>
          <rPr>
            <sz val="8"/>
            <color indexed="81"/>
            <rFont val="Tahoma"/>
            <family val="2"/>
          </rPr>
          <t>Cupboard, Fridge, Freezer, Spice rack... The fridge and freezer tab filters on this.</t>
        </r>
      </text>
    </comment>
    <comment ref="E4" authorId="0">
      <text>
        <r>
          <rPr>
            <sz val="8"/>
            <color indexed="81"/>
            <rFont val="Tahoma"/>
            <family val="2"/>
          </rPr>
          <t>Update it when you notice, not every meal. Even a rough number beats no number.</t>
        </r>
      </text>
    </comment>
    <comment ref="G4" authorId="0">
      <text>
        <r>
          <rPr>
            <sz val="8"/>
            <color indexed="81"/>
            <rFont val="Tahoma"/>
            <family val="2"/>
          </rPr>
          <t>What the grocery list deducts.</t>
        </r>
      </text>
    </comment>
    <comment ref="K4" authorId="0">
      <text>
        <r>
          <rPr>
            <sz val="8"/>
            <color indexed="81"/>
            <rFont val="Tahoma"/>
            <family val="2"/>
          </rPr>
          <t>Leave it blank and the workbook estimates one from the shelf life on the Ingredients tab.</t>
        </r>
      </text>
    </comment>
    <comment ref="M4" authorId="0">
      <text>
        <r>
          <rPr>
            <sz val="8"/>
            <color indexed="81"/>
            <rFont val="Tahoma"/>
            <family val="2"/>
          </rPr>
          <t>Your date if you typed one, otherwise bought date + shelf life.</t>
        </r>
      </text>
    </comment>
    <comment ref="P4" authorId="0">
      <text>
        <r>
          <rPr>
            <sz val="8"/>
            <color indexed="81"/>
            <rFont val="Tahoma"/>
            <family val="2"/>
          </rPr>
          <t>What is sitting in your cupboards, at price book prices.</t>
        </r>
      </text>
    </comment>
    <comment ref="Q4" authorId="0">
      <text>
        <r>
          <rPr>
            <sz val="8"/>
            <color indexed="81"/>
            <rFont val="Tahoma"/>
            <family val="2"/>
          </rPr>
          <t>Your re-order level. Below this it is flagged as low stock - the staples list uses it.</t>
        </r>
      </text>
    </comment>
    <comment ref="S4" authorId="0">
      <text>
        <r>
          <rPr>
            <sz val="8"/>
            <color indexed="81"/>
            <rFont val="Tahoma"/>
            <family val="2"/>
          </rPr>
          <t>What should be left once you have cooked this week's meals.</t>
        </r>
      </text>
    </comment>
    <comment ref="T4" authorId="0">
      <text>
        <r>
          <rPr>
            <sz val="8"/>
            <color indexed="81"/>
            <rFont val="Tahoma"/>
            <family val="2"/>
          </rPr>
          <t>Things you never want to run out of.</t>
        </r>
      </text>
    </comment>
    <comment ref="U4" authorId="0">
      <text>
        <r>
          <rPr>
            <sz val="8"/>
            <color indexed="81"/>
            <rFont val="Tahoma"/>
            <family val="2"/>
          </rPr>
          <t>1 = the fridge item with the least time left.</t>
        </r>
      </text>
    </comment>
    <comment ref="V4" authorId="0">
      <text>
        <r>
          <rPr>
            <sz val="8"/>
            <color indexed="81"/>
            <rFont val="Tahoma"/>
            <family val="2"/>
          </rPr>
          <t>1 = the freezer item with the least time left.</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E4" authorId="0">
      <text>
        <r>
          <rPr>
            <sz val="8"/>
            <color indexed="81"/>
            <rFont val="Tahoma"/>
            <family val="2"/>
          </rPr>
          <t>Your par level: the amount you want on the shelf at all times, in base units.</t>
        </r>
      </text>
    </comment>
    <comment ref="H4" authorId="0">
      <text>
        <r>
          <rPr>
            <sz val="8"/>
            <color indexed="81"/>
            <rFont val="Tahoma"/>
            <family val="2"/>
          </rPr>
          <t>Roughly how much the house gets through in a week. A guess is fine - it only drives the countdown.</t>
        </r>
      </text>
    </comment>
    <comment ref="P4" authorId="0">
      <text>
        <r>
          <rPr>
            <sz val="8"/>
            <color indexed="81"/>
            <rFont val="Tahoma"/>
            <family val="2"/>
          </rPr>
          <t>Only if you have the space and it does not go off - bulk buying something you bin is not a saving.</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'Half the chilli', 'roast chicken - two portions'.</t>
        </r>
      </text>
    </comment>
    <comment ref="C4" authorId="0">
      <text>
        <r>
          <rPr>
            <sz val="8"/>
            <color indexed="81"/>
            <rFont val="Tahoma"/>
            <family val="2"/>
          </rPr>
          <t>Optional. Links it back so the cost per portion is worked out for you.</t>
        </r>
      </text>
    </comment>
    <comment ref="G4" authorId="0">
      <text>
        <r>
          <rPr>
            <sz val="8"/>
            <color indexed="81"/>
            <rFont val="Tahoma"/>
            <family val="2"/>
          </rPr>
          <t>Fridge or freezer - it changes how long you have.</t>
        </r>
      </text>
    </comment>
    <comment ref="H4" authorId="0">
      <text>
        <r>
          <rPr>
            <sz val="8"/>
            <color indexed="81"/>
            <rFont val="Tahoma"/>
            <family val="2"/>
          </rPr>
          <t>'Big glass box', 'blue lid' - so you can find it.</t>
        </r>
      </text>
    </comment>
    <comment ref="J4" authorId="0">
      <text>
        <r>
          <rPr>
            <sz val="8"/>
            <color indexed="81"/>
            <rFont val="Tahoma"/>
            <family val="2"/>
          </rPr>
          <t>Cooked date plus the fridge or freezer window from the Settings tab.</t>
        </r>
      </text>
    </comment>
    <comment ref="M4" authorId="0">
      <text>
        <r>
          <rPr>
            <sz val="8"/>
            <color indexed="81"/>
            <rFont val="Tahoma"/>
            <family val="2"/>
          </rPr>
          <t>What you would pay to make it again - the number that makes leftovers feel worth eating.</t>
        </r>
      </text>
    </comment>
    <comment ref="N4" authorId="0">
      <text>
        <r>
          <rPr>
            <sz val="8"/>
            <color indexed="81"/>
            <rFont val="Tahoma"/>
            <family val="2"/>
          </rPr>
          <t>When you intend to eat it. Add the meal to the plan as well and it shows up in the week.</t>
        </r>
      </text>
    </comment>
    <comment ref="P4" authorId="0">
      <text>
        <r>
          <rPr>
            <sz val="8"/>
            <color indexed="81"/>
            <rFont val="Tahoma"/>
            <family val="2"/>
          </rPr>
          <t>1 = eat this one next. Drives the Fridge &amp; Freezer queue and the printable week.</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Week number of the year, using the week start day set on the Settings tab.</t>
        </r>
      </text>
    </comment>
    <comment ref="D4" authorId="0">
      <text>
        <r>
          <rPr>
            <sz val="8"/>
            <color indexed="81"/>
            <rFont val="Tahoma"/>
            <family val="2"/>
          </rPr>
          <t>Automatic. Every monthly report groups on this.</t>
        </r>
      </text>
    </comment>
    <comment ref="E4" authorId="0">
      <text>
        <r>
          <rPr>
            <sz val="8"/>
            <color indexed="81"/>
            <rFont val="Tahoma"/>
            <family val="2"/>
          </rPr>
          <t>Pick an ingredient where you can - it prices the waste for you.</t>
        </r>
      </text>
    </comment>
    <comment ref="F4" authorId="0">
      <text>
        <r>
          <rPr>
            <sz val="8"/>
            <color indexed="81"/>
            <rFont val="Tahoma"/>
            <family val="2"/>
          </rPr>
          <t>'Half a takeaway', 'the kids' leftovers'.</t>
        </r>
      </text>
    </comment>
    <comment ref="L4" authorId="0">
      <text>
        <r>
          <rPr>
            <sz val="8"/>
            <color indexed="81"/>
            <rFont val="Tahoma"/>
            <family val="2"/>
          </rPr>
          <t>Worked out from the price book, or your own figure in the next column.</t>
        </r>
      </text>
    </comment>
    <comment ref="M4" authorId="0">
      <text>
        <r>
          <rPr>
            <sz val="8"/>
            <color indexed="81"/>
            <rFont val="Tahoma"/>
            <family val="2"/>
          </rPr>
          <t>Use this for anything not in the price book.</t>
        </r>
      </text>
    </comment>
    <comment ref="N4" authorId="0">
      <text>
        <r>
          <rPr>
            <sz val="8"/>
            <color indexed="81"/>
            <rFont val="Tahoma"/>
            <family val="2"/>
          </rPr>
          <t>Be honest. The pattern in this column is the whole point of the tab.</t>
        </r>
      </text>
    </comment>
    <comment ref="O4" authorId="0">
      <text>
        <r>
          <rPr>
            <sz val="8"/>
            <color indexed="81"/>
            <rFont val="Tahoma"/>
            <family val="2"/>
          </rPr>
          <t>Peelings and bones are not. A forgotten bag of spinach is.</t>
        </r>
      </text>
    </comment>
    <comment ref="Q4" authorId="0">
      <text>
        <r>
          <rPr>
            <sz val="8"/>
            <color indexed="81"/>
            <rFont val="Tahoma"/>
            <family val="2"/>
          </rPr>
          <t>Compost and food waste collections are better than landfill, but not buying it is better still.</t>
        </r>
      </text>
    </comment>
    <comment ref="R4" authorId="0">
      <text>
        <r>
          <rPr>
            <sz val="8"/>
            <color indexed="81"/>
            <rFont val="Tahoma"/>
            <family val="2"/>
          </rPr>
          <t>'Freeze half on the day', 'buy the small bag', 'actually check the fridge first'.</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'Chop all the veg', 'cook a big pot of bolognese', 'portion the chicken for the freezer'.</t>
        </r>
      </text>
    </comment>
    <comment ref="C4" authorId="0">
      <text>
        <r>
          <rPr>
            <sz val="8"/>
            <color indexed="81"/>
            <rFont val="Tahoma"/>
            <family val="2"/>
          </rPr>
          <t>Your usual prep day is set on the Settings tab.</t>
        </r>
      </text>
    </comment>
    <comment ref="G4" authorId="0">
      <text>
        <r>
          <rPr>
            <sz val="8"/>
            <color indexed="81"/>
            <rFont val="Tahoma"/>
            <family val="2"/>
          </rPr>
          <t>How many times the recipe. Two batches of a recipe that serves four is eight portions.</t>
        </r>
      </text>
    </comment>
    <comment ref="K4" authorId="0">
      <text>
        <r>
          <rPr>
            <sz val="8"/>
            <color indexed="81"/>
            <rFont val="Tahoma"/>
            <family val="2"/>
          </rPr>
          <t>Your estimate. Blank uses the recipe's own prep plus cook time.</t>
        </r>
      </text>
    </comment>
    <comment ref="M4" authorId="0">
      <text>
        <r>
          <rPr>
            <sz val="8"/>
            <color indexed="81"/>
            <rFont val="Tahoma"/>
            <family val="2"/>
          </rPr>
          <t>The number that proves batch cooking works - watch it fall as the batches get bigger.</t>
        </r>
      </text>
    </comment>
    <comment ref="R4" authorId="0">
      <text>
        <r>
          <rPr>
            <sz val="8"/>
            <color indexed="81"/>
            <rFont val="Tahoma"/>
            <family val="2"/>
          </rPr>
          <t>Planned meals in that window that use this recipe.</t>
        </r>
      </text>
    </comment>
    <comment ref="V4" authorId="0">
      <text>
        <r>
          <rPr>
            <sz val="8"/>
            <color indexed="81"/>
            <rFont val="Tahoma"/>
            <family val="2"/>
          </rPr>
          <t>1 = the next unfinished prep job by date.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G4" authorId="0">
      <text>
        <r>
          <rPr>
            <sz val="8"/>
            <color indexed="81"/>
            <rFont val="Tahoma"/>
            <family val="2"/>
          </rPr>
          <t>Weekly shop, top-up, takeaway, eating out, treat. The budget splits on this.</t>
        </r>
      </text>
    </comment>
    <comment ref="H4" authorId="0">
      <text>
        <r>
          <rPr>
            <sz val="8"/>
            <color indexed="81"/>
            <rFont val="Tahoma"/>
            <family val="2"/>
          </rPr>
          <t>Pick an ingredient to track its price over time, or just type 'weekly shop'.</t>
        </r>
      </text>
    </comment>
    <comment ref="K4" authorId="0">
      <text>
        <r>
          <rPr>
            <sz val="8"/>
            <color indexed="81"/>
            <rFont val="Tahoma"/>
            <family val="2"/>
          </rPr>
          <t>What left your account.</t>
        </r>
      </text>
    </comment>
    <comment ref="O4" authorId="0">
      <text>
        <r>
          <rPr>
            <sz val="8"/>
            <color indexed="81"/>
            <rFont val="Tahoma"/>
            <family val="2"/>
          </rPr>
          <t>No means it was an impulse buy - the dashboard counts them.</t>
        </r>
      </text>
    </comment>
    <comment ref="Q4" authorId="0">
      <text>
        <r>
          <rPr>
            <sz val="8"/>
            <color indexed="81"/>
            <rFont val="Tahoma"/>
            <family val="2"/>
          </rPr>
          <t>Set to Yes if this one ended up in the bin - it feeds the waste report.</t>
        </r>
      </text>
    </comment>
    <comment ref="T4" authorId="0">
      <text>
        <r>
          <rPr>
            <sz val="8"/>
            <color indexed="81"/>
            <rFont val="Tahoma"/>
            <family val="2"/>
          </rPr>
          <t>Everything logged in the same month as this row.</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Own brand against the big name is usually the biggest single saving in a shop.</t>
        </r>
      </text>
    </comment>
    <comment ref="E4" authorId="0">
      <text>
        <r>
          <rPr>
            <sz val="8"/>
            <color indexed="81"/>
            <rFont val="Tahoma"/>
            <family val="2"/>
          </rPr>
          <t>In the base unit for that ingredient - g, ml or each.</t>
        </r>
      </text>
    </comment>
    <comment ref="H4" authorId="0">
      <text>
        <r>
          <rPr>
            <sz val="8"/>
            <color indexed="81"/>
            <rFont val="Tahoma"/>
            <family val="2"/>
          </rPr>
          <t>Offer prices are worth logging but do not plan the month around them.</t>
        </r>
      </text>
    </comment>
    <comment ref="J4" authorId="0">
      <text>
        <r>
          <rPr>
            <sz val="8"/>
            <color indexed="81"/>
            <rFont val="Tahoma"/>
            <family val="2"/>
          </rPr>
          <t>The comparable number. This is the column to sort.</t>
        </r>
      </text>
    </comment>
    <comment ref="L4" authorId="0">
      <text>
        <r>
          <rPr>
            <sz val="8"/>
            <color indexed="81"/>
            <rFont val="Tahoma"/>
            <family val="2"/>
          </rPr>
          <t>Negative means this shop is cheaper per 100 than the price you have in the Ingredients tab.</t>
        </r>
      </text>
    </comment>
    <comment ref="M4" authorId="0">
      <text>
        <r>
          <rPr>
            <sz val="8"/>
            <color indexed="81"/>
            <rFont val="Tahoma"/>
            <family val="2"/>
          </rPr>
          <t>Yes means no other shop you have logged beats this price per unit.</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Supermarkets, the market stall, the butcher, the online shop - anywhere food money goes.</t>
        </r>
      </text>
    </comment>
    <comment ref="F4" authorId="0">
      <text>
        <r>
          <rPr>
            <sz val="8"/>
            <color indexed="81"/>
            <rFont val="Tahoma"/>
            <family val="2"/>
          </rPr>
          <t>'Veg and bread', 'cheap store cupboard', 'the only place that does the oat milk'.</t>
        </r>
      </text>
    </comment>
    <comment ref="J4" authorId="0">
      <text>
        <r>
          <rPr>
            <sz val="8"/>
            <color indexed="81"/>
            <rFont val="Tahoma"/>
            <family val="2"/>
          </rPr>
          <t>'Thursday 6-7pm'. Handy next to the shopping day.</t>
        </r>
      </text>
    </comment>
    <comment ref="O4" authorId="0">
      <text>
        <r>
          <rPr>
            <sz val="8"/>
            <color indexed="81"/>
            <rFont val="Tahoma"/>
            <family val="2"/>
          </rPr>
          <t>How many lines of the price book you have checked at this shop.</t>
        </r>
      </text>
    </comment>
    <comment ref="P4" authorId="0">
      <text>
        <r>
          <rPr>
            <sz val="8"/>
            <color indexed="81"/>
            <rFont val="Tahoma"/>
            <family val="2"/>
          </rPr>
          <t>How many ingredients this shop wins on price.</t>
        </r>
      </text>
    </comment>
    <comment ref="U4" authorId="0">
      <text>
        <r>
          <rPr>
            <sz val="8"/>
            <color indexed="81"/>
            <rFont val="Tahoma"/>
            <family val="2"/>
          </rPr>
          <t>1 = where most of the money goes.</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'Dad's birthday dinner', 'Christmas Day', 'book club'. The name appears in the meal plan drop-down.</t>
        </r>
      </text>
    </comment>
    <comment ref="G4" authorId="0">
      <text>
        <r>
          <rPr>
            <sz val="8"/>
            <color indexed="81"/>
            <rFont val="Tahoma"/>
            <family val="2"/>
          </rPr>
          <t>Including the household - it is the number you cook for.</t>
        </r>
      </text>
    </comment>
    <comment ref="J4" authorId="0">
      <text>
        <r>
          <rPr>
            <sz val="8"/>
            <color indexed="81"/>
            <rFont val="Tahoma"/>
            <family val="2"/>
          </rPr>
          <t>Children count as half a portion - change the formula if your children eat like mine.</t>
        </r>
      </text>
    </comment>
    <comment ref="K4" authorId="0">
      <text>
        <r>
          <rPr>
            <sz val="8"/>
            <color indexed="81"/>
            <rFont val="Tahoma"/>
            <family val="2"/>
          </rPr>
          <t>'One vegan, one coeliac, no nuts at all'. Check it against the Allergens tab before you shop.</t>
        </r>
      </text>
    </comment>
    <comment ref="M4" authorId="0">
      <text>
        <r>
          <rPr>
            <sz val="8"/>
            <color indexed="81"/>
            <rFont val="Tahoma"/>
            <family val="2"/>
          </rPr>
          <t>From every meal on the plan tagged with this occasion.</t>
        </r>
      </text>
    </comment>
    <comment ref="Q4" authorId="0">
      <text>
        <r>
          <rPr>
            <sz val="8"/>
            <color indexed="81"/>
            <rFont val="Tahoma"/>
            <family val="2"/>
          </rPr>
          <t>The running order: nibbles, starter, main, pudding.</t>
        </r>
      </text>
    </comment>
    <comment ref="R4" authorId="0">
      <text>
        <r>
          <rPr>
            <sz val="8"/>
            <color indexed="81"/>
            <rFont val="Tahoma"/>
            <family val="2"/>
          </rPr>
          <t>Work backwards from the meal - most of the stress is in the timetable, not the food.</t>
        </r>
      </text>
    </comment>
    <comment ref="W4" authorId="0">
      <text>
        <r>
          <rPr>
            <sz val="8"/>
            <color indexed="81"/>
            <rFont val="Tahoma"/>
            <family val="2"/>
          </rPr>
          <t>What worked, what to never attempt again.</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Write it as something you would actually say: 'stop ordering pizza on Fridays'.</t>
        </r>
      </text>
    </comment>
    <comment ref="D4" authorId="0">
      <text>
        <r>
          <rPr>
            <sz val="8"/>
            <color indexed="81"/>
            <rFont val="Tahoma"/>
            <family val="2"/>
          </rPr>
          <t>Pick one of the measures the workbook can count for itself, or choose 'Your own count' and fill in the actual column by hand.</t>
        </r>
      </text>
    </comment>
    <comment ref="F4" authorId="0">
      <text>
        <r>
          <rPr>
            <sz val="8"/>
            <color indexed="81"/>
            <rFont val="Tahoma"/>
            <family val="2"/>
          </rPr>
          <t>'Hit or beat' for things you want more of, 'Stay under' for spending and waste.</t>
        </r>
      </text>
    </comment>
    <comment ref="H4" authorId="0">
      <text>
        <r>
          <rPr>
            <sz val="8"/>
            <color indexed="81"/>
            <rFont val="Tahoma"/>
            <family val="2"/>
          </rPr>
          <t>Only needed for goals the workbook cannot count.</t>
        </r>
      </text>
    </comment>
    <comment ref="L4" authorId="0">
      <text>
        <r>
          <rPr>
            <sz val="8"/>
            <color indexed="81"/>
            <rFont val="Tahoma"/>
            <family val="2"/>
          </rPr>
          <t>The reason you will remember in week three.</t>
        </r>
      </text>
    </comment>
  </commentList>
</comments>
</file>

<file path=xl/sharedStrings.xml><?xml version="1.0" encoding="utf-8"?>
<sst xmlns="http://schemas.openxmlformats.org/spreadsheetml/2006/main" count="5633" uniqueCount="1880">
  <si>
    <t>Automated Meal Planner &amp; Grocery List Spreadsheet</t>
  </si>
  <si>
    <t>Novality Store  |  v1.0.0</t>
  </si>
  <si>
    <t>Plan the week, price it before you shop, and stop buying things you already own.</t>
  </si>
  <si>
    <t>&gt; Start Here</t>
  </si>
  <si>
    <t>&gt; Dashboard</t>
  </si>
  <si>
    <t>&gt; Recipes</t>
  </si>
  <si>
    <t>&gt; Week</t>
  </si>
  <si>
    <t>&gt; Month</t>
  </si>
  <si>
    <t>&gt; Grocery</t>
  </si>
  <si>
    <t>Everything in this workbook is linked. Type something once - a recipe, a price, a meal - and it turns up everywhere it is needed: the planner, the shopping list, the budget, the nutrition tracker and the alerts. Cream cells are yours to fill in; grey cells are formulas and are locked so they cannot be broken by accident.</t>
  </si>
  <si>
    <t>Six steps to set it up</t>
  </si>
  <si>
    <t>Step</t>
  </si>
  <si>
    <t>Where</t>
  </si>
  <si>
    <t>What to do</t>
  </si>
  <si>
    <t>1</t>
  </si>
  <si>
    <t>Settings</t>
  </si>
  <si>
    <t>Your household, how many you feed, the weekly budget, your shopping day and your nutrition targets. Ten minutes, and it feeds every other tab.</t>
  </si>
  <si>
    <t>2</t>
  </si>
  <si>
    <t>Household</t>
  </si>
  <si>
    <t>One row per person: portion size, diet, allergies, what they will not touch and which meals they are in for.</t>
  </si>
  <si>
    <t>3</t>
  </si>
  <si>
    <t>Ingredients</t>
  </si>
  <si>
    <t>The price book. Pack size and pack price for the thirty things you buy most. This is what prices every recipe and every shopping list, so it is the tab worth the effort.</t>
  </si>
  <si>
    <t>4</t>
  </si>
  <si>
    <t>Recipes + Recipe Ingredients</t>
  </si>
  <si>
    <t>Add a recipe, then list its ingredients one line each with a quantity and a unit. The cost, the calories and the allergens are worked out for you.</t>
  </si>
  <si>
    <t>5</t>
  </si>
  <si>
    <t>Pantry</t>
  </si>
  <si>
    <t>What is already in the cupboard, the fridge and the freezer. This is what stops the grocery list buying things you own.</t>
  </si>
  <si>
    <t>6</t>
  </si>
  <si>
    <t>Meal Plan</t>
  </si>
  <si>
    <t>Plan the week: date, meal, recipe, how many you are feeding. The Weekly Planner shows it as a week and the Grocery List builds itself.</t>
  </si>
  <si>
    <t>How the automatic grocery list works</t>
  </si>
  <si>
    <t>1. The Meal Plan says you are cooking recipe R-0002 on Tuesday for 4 people.</t>
  </si>
  <si>
    <t>2. The recipe serves 6, so everything in it is multiplied by 0.67 - that is the scaling, done for you.</t>
  </si>
  <si>
    <t>3. Each ingredient line is converted to a base unit: 2 tbsp of oil becomes 30 ml, 1 kg of mince becomes 1000 g.</t>
  </si>
  <si>
    <t>4. Every meal in the shopping window is added up by ingredient, so three recipes using onions make one line.</t>
  </si>
  <si>
    <t>5. Whatever the Pantry says you already own is taken off.</t>
  </si>
  <si>
    <t>6. What is left is rounded up to whole packs and priced from the Ingredients tab - that is your list, with a total, before you leave the house.</t>
  </si>
  <si>
    <t>The weekly rhythm</t>
  </si>
  <si>
    <t>FRIDAY (10 minutes) - look at the Pantry 'Use soon' list and the Leftovers tab, then plan next week on the Meal Plan tab.</t>
  </si>
  <si>
    <t>SATURDAY MORNING - open the Grocery List, tick off anything you already have, print it or take the laptop, and shop.</t>
  </si>
  <si>
    <t>AFTER THE SHOP (2 minutes) - log the total on the Grocery Spending tab and update the Pantry for the big items.</t>
  </si>
  <si>
    <t>PREP DAY - work through the Meal Prep tab: two or three jobs, not ten.</t>
  </si>
  <si>
    <t>DURING THE WEEK - mark meals 'Eaten' as you go and log leftovers while you are putting them in the fridge.</t>
  </si>
  <si>
    <t>END OF THE MONTH - read the Dashboard and the Food Waste tab, and change one thing.</t>
  </si>
  <si>
    <t>What is in the workbook</t>
  </si>
  <si>
    <t>Tab</t>
  </si>
  <si>
    <t>What it is for</t>
  </si>
  <si>
    <t>Dashboard</t>
  </si>
  <si>
    <t>This week at a glance - cost, meals, alerts</t>
  </si>
  <si>
    <t>Weekly Planner</t>
  </si>
  <si>
    <t>Seven days on one page, ready to print</t>
  </si>
  <si>
    <t>Monthly Planner</t>
  </si>
  <si>
    <t>The month as a calendar grid</t>
  </si>
  <si>
    <t>Household, budget, targets, shopping window</t>
  </si>
  <si>
    <t>Lists</t>
  </si>
  <si>
    <t>Every drop-down, plus the unit conversion table</t>
  </si>
  <si>
    <t>Who eats here, portions, diets and allergies</t>
  </si>
  <si>
    <t>Recipes</t>
  </si>
  <si>
    <t>THE RECIPE BOOK - cost and nutrition worked out</t>
  </si>
  <si>
    <t>Recipe Ingredients</t>
  </si>
  <si>
    <t>What goes in each recipe. The engine room</t>
  </si>
  <si>
    <t>The price book: pack sizes, prices, nutrition</t>
  </si>
  <si>
    <t>THE MAIN TAB - one row per planned meal</t>
  </si>
  <si>
    <t>Grocery List</t>
  </si>
  <si>
    <t>Builds itself from the plan, minus the pantry</t>
  </si>
  <si>
    <t>What you own, what it is worth, what expires when</t>
  </si>
  <si>
    <t>Staples</t>
  </si>
  <si>
    <t>Par levels for the things you never want to run out of</t>
  </si>
  <si>
    <t>Leftovers</t>
  </si>
  <si>
    <t>What is in the fridge and how long you have</t>
  </si>
  <si>
    <t>Food Waste</t>
  </si>
  <si>
    <t>What got binned and what it cost</t>
  </si>
  <si>
    <t>Meal Prep</t>
  </si>
  <si>
    <t>Batch cooking: portions made, minutes per portion</t>
  </si>
  <si>
    <t>Grocery Spending</t>
  </si>
  <si>
    <t>Every shop and takeaway against the budget</t>
  </si>
  <si>
    <t>Store Prices</t>
  </si>
  <si>
    <t>The same item priced in three shops</t>
  </si>
  <si>
    <t>Stores</t>
  </si>
  <si>
    <t>Where you shop, hours, delivery, loyalty</t>
  </si>
  <si>
    <t>Events</t>
  </si>
  <si>
    <t>Birthdays and occasions with a head count and budget</t>
  </si>
  <si>
    <t>Goals</t>
  </si>
  <si>
    <t>Three or four food habits, measured automatically</t>
  </si>
  <si>
    <t>Help</t>
  </si>
  <si>
    <t>Every question answered, including the honest limits</t>
  </si>
  <si>
    <t>Good to know</t>
  </si>
  <si>
    <t>PROTECTION - every sheet is protected so the formulas cannot be edited by accident. The password is 'premium'. Review &gt; Unprotect Sheet if you want to change something.</t>
  </si>
  <si>
    <t>ADDING ROWS - every register has spare rows ready to use. Right click a row inside the list and choose Insert to add more; the formulas copy down.</t>
  </si>
  <si>
    <t>SORTING - use the filter arrows in the header row rather than re-sorting the sheet, so the recipe IDs keep matching the other tabs.</t>
  </si>
  <si>
    <t>DROP DOWNS - every list lives on the Lists tab, including the unit table. Add a unit there and it works everywhere.</t>
  </si>
  <si>
    <t>UNITS - weights convert to grams, volumes to millilitres, and counted things stay as 'each'. Weight and volume are deliberately kept apart because 100 ml of oil is not 100 g.</t>
  </si>
  <si>
    <t>GOOGLE SHEETS - File &gt; Import works, and everything except the sheet protection carries over.</t>
  </si>
  <si>
    <t>YOUR CURRENCY - set the symbol on the Settings tab, or rebuild the workbook with a different currency.</t>
  </si>
  <si>
    <t>What a spreadsheet can and cannot do</t>
  </si>
  <si>
    <t>Being straight with you. This workbook does the arithmetic on the information you give it: it cannot read the barcodes in your cupboard, it cannot check tonight's shelf prices, and it will not order the shopping for you. The automatic grocery list is only as good as your ingredient lines and units - a recipe that says 'a splash of oil' cannot be added up. Nutrition comes from the numbers you copy off the packet and is a guide, not medical advice. Allergen flags and use-by dates are a second pair of eyes, not a guarantee: always read the label and trust your nose. Reminders appear on the tabs - a spreadsheet cannot push a notification to your phone. What it does do is turn a vague plan into a priced shopping list in ten minutes a week, and show you exactly where the food money goes.</t>
  </si>
  <si>
    <t>Automated Meal Planner &amp; Grocery List Spreadsheet  |  Novality Store  |  version 1.0.0</t>
  </si>
  <si>
    <t>This week, this month and the year so far - all from the numbers you have already entered.</t>
  </si>
  <si>
    <t>Week of</t>
  </si>
  <si>
    <t>Month</t>
  </si>
  <si>
    <t>Month key</t>
  </si>
  <si>
    <t>Updated</t>
  </si>
  <si>
    <t>Meals planned this week</t>
  </si>
  <si>
    <t>every slot with something in it</t>
  </si>
  <si>
    <t>Planned cost this week</t>
  </si>
  <si>
    <t>at price book prices</t>
  </si>
  <si>
    <t>This week's shopping list</t>
  </si>
  <si>
    <t>what the list adds up to</t>
  </si>
  <si>
    <t>Left in the weekly budget</t>
  </si>
  <si>
    <t>green is money left</t>
  </si>
  <si>
    <t>Spent this month</t>
  </si>
  <si>
    <t>every shop, takeaway and meal out</t>
  </si>
  <si>
    <t>Pantry value</t>
  </si>
  <si>
    <t>what is sitting in the cupboards</t>
  </si>
  <si>
    <t>Food wasted this month</t>
  </si>
  <si>
    <t>target under $15</t>
  </si>
  <si>
    <t>Cooked at home this week</t>
  </si>
  <si>
    <t>target 18 a week</t>
  </si>
  <si>
    <t>Needs your attention</t>
  </si>
  <si>
    <t>What</t>
  </si>
  <si>
    <t>How many</t>
  </si>
  <si>
    <t>What it means</t>
  </si>
  <si>
    <t>Where to fix it</t>
  </si>
  <si>
    <t>Food about to go off</t>
  </si>
  <si>
    <t>Already expired</t>
  </si>
  <si>
    <t>Leftovers waiting</t>
  </si>
  <si>
    <t>Staples below par</t>
  </si>
  <si>
    <t>Ingredients with no price</t>
  </si>
  <si>
    <t>Recipe lines to fix</t>
  </si>
  <si>
    <t>Days with nothing planned</t>
  </si>
  <si>
    <t>Prep jobs outstanding</t>
  </si>
  <si>
    <t>Goals behind target</t>
  </si>
  <si>
    <t>This week's dinners</t>
  </si>
  <si>
    <t>Day</t>
  </si>
  <si>
    <t>Week</t>
  </si>
  <si>
    <t>Dinner</t>
  </si>
  <si>
    <t>Cost</t>
  </si>
  <si>
    <t>The year so far</t>
  </si>
  <si>
    <t>Grocery spend</t>
  </si>
  <si>
    <t>Budget</t>
  </si>
  <si>
    <t>Difference</t>
  </si>
  <si>
    <t>Eating out</t>
  </si>
  <si>
    <t>Food waste</t>
  </si>
  <si>
    <t>Meals cooked at home</t>
  </si>
  <si>
    <t>Trend</t>
  </si>
  <si>
    <t>Spend, waste and home cooking by month. The little charts on the right are, top to bottom: grocery spend, food waste, meals cooked at home.</t>
  </si>
  <si>
    <t>The year in one line</t>
  </si>
  <si>
    <t>Spent on food</t>
  </si>
  <si>
    <t>Food budget</t>
  </si>
  <si>
    <t>Wasted</t>
  </si>
  <si>
    <t>Waste as a share</t>
  </si>
  <si>
    <t>Recipes in the book</t>
  </si>
  <si>
    <t>Everything on this page is live. If a number looks wrong, the fix is always on the tab named in the 'Where to fix it' column - never here.</t>
  </si>
  <si>
    <t>Weekly Meal Planner</t>
  </si>
  <si>
    <t>One week at a glance - what you are eating, what it costs and what still needs cooking.</t>
  </si>
  <si>
    <t/>
  </si>
  <si>
    <t>Week starting</t>
  </si>
  <si>
    <t>Week number</t>
  </si>
  <si>
    <t>People</t>
  </si>
  <si>
    <t>Weekly budget</t>
  </si>
  <si>
    <t>Change the date above to any Monday - every box on the page follows it. Meals themselves are added on the Meal Plan tab; this page is the view, not the entry form.</t>
  </si>
  <si>
    <t>Meal</t>
  </si>
  <si>
    <t>Week total</t>
  </si>
  <si>
    <t>Breakfast</t>
  </si>
  <si>
    <t>Morning snack</t>
  </si>
  <si>
    <t>Lunch</t>
  </si>
  <si>
    <t>Afternoon snack</t>
  </si>
  <si>
    <t>Evening snack</t>
  </si>
  <si>
    <t>Dessert</t>
  </si>
  <si>
    <t>Cost of the day</t>
  </si>
  <si>
    <t>Calories a head</t>
  </si>
  <si>
    <t>Who is cooking</t>
  </si>
  <si>
    <t>This week in numbers</t>
  </si>
  <si>
    <t>Meals planned</t>
  </si>
  <si>
    <t>Planned food cost</t>
  </si>
  <si>
    <t>recipes only - the shop may differ</t>
  </si>
  <si>
    <t>Against the budget</t>
  </si>
  <si>
    <t>Cooked at home</t>
  </si>
  <si>
    <t>Before the week starts</t>
  </si>
  <si>
    <t>Job</t>
  </si>
  <si>
    <t>Where it stands</t>
  </si>
  <si>
    <t>Detail</t>
  </si>
  <si>
    <t>Shopping list built</t>
  </si>
  <si>
    <t>Shopping done</t>
  </si>
  <si>
    <t>Prep jobs for this week</t>
  </si>
  <si>
    <t>Leftovers to eat first</t>
  </si>
  <si>
    <t>Printing: this page is set to one page wide. Print it on a Sunday, stick it on the fridge and the week looks after itself.</t>
  </si>
  <si>
    <t>Monthly Meal Planner</t>
  </si>
  <si>
    <t>The whole month on one page - dinners, lunches and what each day costs. Print it and pin it up.</t>
  </si>
  <si>
    <t>October</t>
  </si>
  <si>
    <t>First day</t>
  </si>
  <si>
    <t>Each box shows the dinner in bold type, then the lunch, then what the day costs. Empty boxes are days with nothing planned - the gaps are the point.</t>
  </si>
  <si>
    <t>The month in numbers</t>
  </si>
  <si>
    <t>Days covered</t>
  </si>
  <si>
    <t>Monthly budget</t>
  </si>
  <si>
    <t>Eaten out</t>
  </si>
  <si>
    <t>Tip: plan the month roughly - the same six or seven dinners on a rotation is fine - then fine tune one week at a time on the Weekly Planner.</t>
  </si>
  <si>
    <t>Household Setup &amp; Settings</t>
  </si>
  <si>
    <t>Fill in the cream cells once. Grey cells are locked formulas. Everything else in the workbook reads these values.</t>
  </si>
  <si>
    <t>1. Your household</t>
  </si>
  <si>
    <t>Household name</t>
  </si>
  <si>
    <t>The Harper Household</t>
  </si>
  <si>
    <t>Shown on every printable page and report.</t>
  </si>
  <si>
    <t>Main cook / planner</t>
  </si>
  <si>
    <t>Maya Harper</t>
  </si>
  <si>
    <t>Email</t>
  </si>
  <si>
    <t>maya@harperhome.com</t>
  </si>
  <si>
    <t>Town / city</t>
  </si>
  <si>
    <t>Portland, OR</t>
  </si>
  <si>
    <t>People to cook for</t>
  </si>
  <si>
    <t>Used as the default serving count and to work out the cost per person.</t>
  </si>
  <si>
    <t>Usual supermarket</t>
  </si>
  <si>
    <t>Greenfield Market</t>
  </si>
  <si>
    <t>The store the grocery list defaults to.</t>
  </si>
  <si>
    <t>Notes about the household</t>
  </si>
  <si>
    <t>Two adults, two children, one nut allergy in the house</t>
  </si>
  <si>
    <t>2. Planning window</t>
  </si>
  <si>
    <t>Planning year</t>
  </si>
  <si>
    <t>The year the monthly planner and the reports open on.</t>
  </si>
  <si>
    <t>Meal planning starts on</t>
  </si>
  <si>
    <t>The first day of week 1 on the weekly planner. Usually a Monday.</t>
  </si>
  <si>
    <t>Week starts on</t>
  </si>
  <si>
    <t>Monday</t>
  </si>
  <si>
    <t>Used by the planner grids and the week numbers.</t>
  </si>
  <si>
    <t>Shopping day</t>
  </si>
  <si>
    <t>Saturday</t>
  </si>
  <si>
    <t>The grocery list counts down to this day.</t>
  </si>
  <si>
    <t>Meal prep day</t>
  </si>
  <si>
    <t>Sunday</t>
  </si>
  <si>
    <t>Measurement system</t>
  </si>
  <si>
    <t>Metric</t>
  </si>
  <si>
    <t>Metric shows grams and millilitres, Imperial shows ounces and cups. Both always work - this only changes what the converter leads with.</t>
  </si>
  <si>
    <t>Default servings per meal</t>
  </si>
  <si>
    <t>Shopping list covers from</t>
  </si>
  <si>
    <t>The grocery list adds up every meal planned between these two dates. Type over the dates whenever you want a different window - the whole list rebuilds itself.</t>
  </si>
  <si>
    <t>Shopping list covers to</t>
  </si>
  <si>
    <t>Six days after the start gives you one week. Make it +13 for a fortnight's shop.</t>
  </si>
  <si>
    <t>Rounding on the grocery list</t>
  </si>
  <si>
    <t>Whole packs</t>
  </si>
  <si>
    <t>'Whole packs' turns 1.3 tins into 2 tins - what the shop actually sells you. 'Exact quantity' leaves the raw number.</t>
  </si>
  <si>
    <t>3. Food budget</t>
  </si>
  <si>
    <t>Weekly food budget</t>
  </si>
  <si>
    <t>Groceries only - eating out has its own line.</t>
  </si>
  <si>
    <t>Monthly food budget</t>
  </si>
  <si>
    <t>Yearly food budget</t>
  </si>
  <si>
    <t>Eating out / takeaway budget (month)</t>
  </si>
  <si>
    <t>Food waste cost you will accept (month)</t>
  </si>
  <si>
    <t>The waste dashboard turns red above this.</t>
  </si>
  <si>
    <t>4. Daily nutrition targets (per person)</t>
  </si>
  <si>
    <t>Optional. Leave them as they are if you only want the planning and the shopping - nothing else depends on them. These are general placeholders, not medical advice; set your own from your own guidance.</t>
  </si>
  <si>
    <t>Calories a day</t>
  </si>
  <si>
    <t>Protein (g)</t>
  </si>
  <si>
    <t>Carbohydrates (g)</t>
  </si>
  <si>
    <t>Fat (g)</t>
  </si>
  <si>
    <t>Fibre (g)</t>
  </si>
  <si>
    <t>Sugar limit (g)</t>
  </si>
  <si>
    <t>Sodium limit (mg)</t>
  </si>
  <si>
    <t>Water target (glasses a day)</t>
  </si>
  <si>
    <t>5. Reminder windows</t>
  </si>
  <si>
    <t>Warn me this many days before food expires</t>
  </si>
  <si>
    <t>Drives the 'use it soon' flags on the fridge, freezer and pantry tabs.</t>
  </si>
  <si>
    <t>Days a cooked leftover keeps in the fridge</t>
  </si>
  <si>
    <t>A guide for the leftovers tab, not a food safety ruling - go by how it looks and smells, and by local guidance.</t>
  </si>
  <si>
    <t>Days before a freezer item is 'old'</t>
  </si>
  <si>
    <t>Days of stock that counts as low</t>
  </si>
  <si>
    <t>Flag prep tasks this many days early</t>
  </si>
  <si>
    <t>Days before a meal can repeat</t>
  </si>
  <si>
    <t>The rotation planner flags anything cooked again sooner than this.</t>
  </si>
  <si>
    <t>6. Habit targets</t>
  </si>
  <si>
    <t>Home cooked meals a week</t>
  </si>
  <si>
    <t>New recipes a month</t>
  </si>
  <si>
    <t>Takeaways a month (limit)</t>
  </si>
  <si>
    <t>Packed lunches a week</t>
  </si>
  <si>
    <t>Food waste target (share of spend)</t>
  </si>
  <si>
    <t>7. ID prefixes</t>
  </si>
  <si>
    <t>The letters in front of the automatic numbers. Change them before you start entering data, not after.</t>
  </si>
  <si>
    <t>Recipe IDs</t>
  </si>
  <si>
    <t>R-</t>
  </si>
  <si>
    <t>Ingredient IDs</t>
  </si>
  <si>
    <t>ING-</t>
  </si>
  <si>
    <t>Planned meal IDs</t>
  </si>
  <si>
    <t>M-</t>
  </si>
  <si>
    <t>Pantry item IDs</t>
  </si>
  <si>
    <t>P-</t>
  </si>
  <si>
    <t>Shopping line IDs</t>
  </si>
  <si>
    <t>G-</t>
  </si>
  <si>
    <t>Leftover IDs</t>
  </si>
  <si>
    <t>L-</t>
  </si>
  <si>
    <t>Event IDs</t>
  </si>
  <si>
    <t>E-</t>
  </si>
  <si>
    <t>Purchase IDs</t>
  </si>
  <si>
    <t>S-</t>
  </si>
  <si>
    <t>8. About this workbook</t>
  </si>
  <si>
    <t>Product</t>
  </si>
  <si>
    <t>Version</t>
  </si>
  <si>
    <t>1.0.0</t>
  </si>
  <si>
    <t>Created by</t>
  </si>
  <si>
    <t>Novality Store</t>
  </si>
  <si>
    <t>Sheet protection password</t>
  </si>
  <si>
    <t>premium</t>
  </si>
  <si>
    <t>Review &gt; Unprotect Sheet if you need to change a formula.</t>
  </si>
  <si>
    <t>Currency</t>
  </si>
  <si>
    <t>$ (USD)</t>
  </si>
  <si>
    <t>Changed your mind about something here? Everything updates straight away - the planner, the grocery list, the budget and the dashboard all read these cells rather than keeping their own copy.</t>
  </si>
  <si>
    <t>Drop Down Lists</t>
  </si>
  <si>
    <t>Every list the workbook offers you. Edit, add or delete an entry and the drop down that uses it changes everywhere.</t>
  </si>
  <si>
    <t>Add new entries directly under the last one in a column - the lists are sized with room to grow, and blanks are ignored. Do not delete a whole column: a drop down pointing at a missing list stops working.</t>
  </si>
  <si>
    <t>The drop downs</t>
  </si>
  <si>
    <t>YesNo</t>
  </si>
  <si>
    <t>Yes</t>
  </si>
  <si>
    <t>No</t>
  </si>
  <si>
    <t>YesNoNA</t>
  </si>
  <si>
    <t>N/A</t>
  </si>
  <si>
    <t>MealSlot</t>
  </si>
  <si>
    <t>MealStatus</t>
  </si>
  <si>
    <t>Planned</t>
  </si>
  <si>
    <t>Prepared</t>
  </si>
  <si>
    <t>Eaten</t>
  </si>
  <si>
    <t>Skipped</t>
  </si>
  <si>
    <t>Ate out</t>
  </si>
  <si>
    <t>Takeaway</t>
  </si>
  <si>
    <t>Cancelled</t>
  </si>
  <si>
    <t>RecipeCategory</t>
  </si>
  <si>
    <t>Main</t>
  </si>
  <si>
    <t>Side</t>
  </si>
  <si>
    <t>Soup</t>
  </si>
  <si>
    <t>Salad</t>
  </si>
  <si>
    <t>Snack</t>
  </si>
  <si>
    <t>Baking</t>
  </si>
  <si>
    <t>Sauce &amp; dip</t>
  </si>
  <si>
    <t>Drink</t>
  </si>
  <si>
    <t>Batch base</t>
  </si>
  <si>
    <t>Lunchbox</t>
  </si>
  <si>
    <t>Cuisine</t>
  </si>
  <si>
    <t>American</t>
  </si>
  <si>
    <t>British</t>
  </si>
  <si>
    <t>Chinese</t>
  </si>
  <si>
    <t>French</t>
  </si>
  <si>
    <t>Greek</t>
  </si>
  <si>
    <t>Indian</t>
  </si>
  <si>
    <t>Italian</t>
  </si>
  <si>
    <t>Japanese</t>
  </si>
  <si>
    <t>Korean</t>
  </si>
  <si>
    <t>Mexican</t>
  </si>
  <si>
    <t>Middle Eastern</t>
  </si>
  <si>
    <t>Spanish</t>
  </si>
  <si>
    <t>Thai</t>
  </si>
  <si>
    <t>Vietnamese</t>
  </si>
  <si>
    <t>Caribbean</t>
  </si>
  <si>
    <t>African</t>
  </si>
  <si>
    <t>Fusion</t>
  </si>
  <si>
    <t>Other</t>
  </si>
  <si>
    <t>CookingMethod</t>
  </si>
  <si>
    <t>Oven</t>
  </si>
  <si>
    <t>Hob</t>
  </si>
  <si>
    <t>One pot</t>
  </si>
  <si>
    <t>Slow cooker</t>
  </si>
  <si>
    <t>Pressure cooker</t>
  </si>
  <si>
    <t>Air fryer</t>
  </si>
  <si>
    <t>Grill</t>
  </si>
  <si>
    <t>Barbecue</t>
  </si>
  <si>
    <t>Microwave</t>
  </si>
  <si>
    <t>No cook</t>
  </si>
  <si>
    <t>Blender</t>
  </si>
  <si>
    <t>Bread machine</t>
  </si>
  <si>
    <t>Difficulty</t>
  </si>
  <si>
    <t>Easy</t>
  </si>
  <si>
    <t>Medium</t>
  </si>
  <si>
    <t>Hard</t>
  </si>
  <si>
    <t>SpiceLevel</t>
  </si>
  <si>
    <t>None</t>
  </si>
  <si>
    <t>Mild</t>
  </si>
  <si>
    <t>Hot</t>
  </si>
  <si>
    <t>Very hot</t>
  </si>
  <si>
    <t>PortionSize</t>
  </si>
  <si>
    <t>Small</t>
  </si>
  <si>
    <t>Regular</t>
  </si>
  <si>
    <t>Large</t>
  </si>
  <si>
    <t>Extra large</t>
  </si>
  <si>
    <t>Diet</t>
  </si>
  <si>
    <t>Vegetarian</t>
  </si>
  <si>
    <t>Vegan</t>
  </si>
  <si>
    <t>Pescatarian</t>
  </si>
  <si>
    <t>Gluten-free</t>
  </si>
  <si>
    <t>Dairy-free</t>
  </si>
  <si>
    <t>Egg-free</t>
  </si>
  <si>
    <t>Nut-free</t>
  </si>
  <si>
    <t>Soy-free</t>
  </si>
  <si>
    <t>Low sodium</t>
  </si>
  <si>
    <t>Low carb</t>
  </si>
  <si>
    <t>High protein</t>
  </si>
  <si>
    <t>High fibre</t>
  </si>
  <si>
    <t>Halal</t>
  </si>
  <si>
    <t>Kosher</t>
  </si>
  <si>
    <t>No restriction</t>
  </si>
  <si>
    <t>Allergen</t>
  </si>
  <si>
    <t>Celery</t>
  </si>
  <si>
    <t>Cereals with gluten</t>
  </si>
  <si>
    <t>Crustaceans</t>
  </si>
  <si>
    <t>Eggs</t>
  </si>
  <si>
    <t>Fish</t>
  </si>
  <si>
    <t>Lupin</t>
  </si>
  <si>
    <t>Milk</t>
  </si>
  <si>
    <t>Molluscs</t>
  </si>
  <si>
    <t>Mustard</t>
  </si>
  <si>
    <t>Nuts</t>
  </si>
  <si>
    <t>Peanuts</t>
  </si>
  <si>
    <t>Sesame</t>
  </si>
  <si>
    <t>Soya</t>
  </si>
  <si>
    <t>Sulphites</t>
  </si>
  <si>
    <t>GroceryCategory</t>
  </si>
  <si>
    <t>Produce</t>
  </si>
  <si>
    <t>Meat &amp; seafood</t>
  </si>
  <si>
    <t>Dairy &amp; eggs</t>
  </si>
  <si>
    <t>Bakery</t>
  </si>
  <si>
    <t>Pantry staples</t>
  </si>
  <si>
    <t>Frozen</t>
  </si>
  <si>
    <t>Beverages</t>
  </si>
  <si>
    <t>Spices &amp; seasonings</t>
  </si>
  <si>
    <t>Snacks</t>
  </si>
  <si>
    <t>Baby &amp; kids</t>
  </si>
  <si>
    <t>Health &amp; personal care</t>
  </si>
  <si>
    <t>Pet</t>
  </si>
  <si>
    <t>Aisle</t>
  </si>
  <si>
    <t>1 - Produce</t>
  </si>
  <si>
    <t>2 - Bakery</t>
  </si>
  <si>
    <t>3 - Deli &amp; cheese</t>
  </si>
  <si>
    <t>4 - Meat &amp; fish</t>
  </si>
  <si>
    <t>5 - Dairy &amp; eggs</t>
  </si>
  <si>
    <t>6 - Frozen</t>
  </si>
  <si>
    <t>7 - Tins &amp; jars</t>
  </si>
  <si>
    <t>8 - Pasta, rice &amp; grains</t>
  </si>
  <si>
    <t>9 - Baking</t>
  </si>
  <si>
    <t>10 - Spices &amp; sauces</t>
  </si>
  <si>
    <t>11 - Snacks</t>
  </si>
  <si>
    <t>12 - Drinks</t>
  </si>
  <si>
    <t>13 - Household</t>
  </si>
  <si>
    <t>14 - Health</t>
  </si>
  <si>
    <t>Online only</t>
  </si>
  <si>
    <t>Market stall</t>
  </si>
  <si>
    <t>Storage</t>
  </si>
  <si>
    <t>Cupboard</t>
  </si>
  <si>
    <t>Fridge</t>
  </si>
  <si>
    <t>Freezer</t>
  </si>
  <si>
    <t>Fruit bowl</t>
  </si>
  <si>
    <t>Spice rack</t>
  </si>
  <si>
    <t>Garage shelf</t>
  </si>
  <si>
    <t>Cellar</t>
  </si>
  <si>
    <t>Container</t>
  </si>
  <si>
    <t>Glass box</t>
  </si>
  <si>
    <t>Plastic box</t>
  </si>
  <si>
    <t>Freezer bag</t>
  </si>
  <si>
    <t>Jar</t>
  </si>
  <si>
    <t>Foil tray</t>
  </si>
  <si>
    <t>Vacuum bag</t>
  </si>
  <si>
    <t>Original pack</t>
  </si>
  <si>
    <t>Wrapped plate</t>
  </si>
  <si>
    <t>Bowl with lid</t>
  </si>
  <si>
    <t>ShoppingStatus</t>
  </si>
  <si>
    <t>To buy</t>
  </si>
  <si>
    <t>On the list</t>
  </si>
  <si>
    <t>Bought</t>
  </si>
  <si>
    <t>Substituted</t>
  </si>
  <si>
    <t>Out of stock</t>
  </si>
  <si>
    <t>Not needed</t>
  </si>
  <si>
    <t>Ordered</t>
  </si>
  <si>
    <t>Priority</t>
  </si>
  <si>
    <t>Must have</t>
  </si>
  <si>
    <t>Nice to have</t>
  </si>
  <si>
    <t>Only if cheap</t>
  </si>
  <si>
    <t>Stock up</t>
  </si>
  <si>
    <t>TaskStatus</t>
  </si>
  <si>
    <t>To do</t>
  </si>
  <si>
    <t>In progress</t>
  </si>
  <si>
    <t>Done</t>
  </si>
  <si>
    <t>Blocked</t>
  </si>
  <si>
    <t>PrepTask</t>
  </si>
  <si>
    <t>Wash &amp; chop</t>
  </si>
  <si>
    <t>Marinate</t>
  </si>
  <si>
    <t>Batch cook</t>
  </si>
  <si>
    <t>Bake</t>
  </si>
  <si>
    <t>Portion &amp; label</t>
  </si>
  <si>
    <t>Freeze</t>
  </si>
  <si>
    <t>Defrost</t>
  </si>
  <si>
    <t>Soak</t>
  </si>
  <si>
    <t>Make sauce</t>
  </si>
  <si>
    <t>Pack lunchboxes</t>
  </si>
  <si>
    <t>Shop</t>
  </si>
  <si>
    <t>Tidy</t>
  </si>
  <si>
    <t>MemberRole</t>
  </si>
  <si>
    <t>Cook</t>
  </si>
  <si>
    <t>Shopper</t>
  </si>
  <si>
    <t>Helper</t>
  </si>
  <si>
    <t>Dishes</t>
  </si>
  <si>
    <t>Lunchbox duty</t>
  </si>
  <si>
    <t>Guest</t>
  </si>
  <si>
    <t>Child</t>
  </si>
  <si>
    <t>EventType</t>
  </si>
  <si>
    <t>Birthday</t>
  </si>
  <si>
    <t>Christmas</t>
  </si>
  <si>
    <t>Thanksgiving</t>
  </si>
  <si>
    <t>Easter</t>
  </si>
  <si>
    <t>Dinner party</t>
  </si>
  <si>
    <t>Picnic</t>
  </si>
  <si>
    <t>Potluck</t>
  </si>
  <si>
    <t>Sunday lunch</t>
  </si>
  <si>
    <t>Anniversary</t>
  </si>
  <si>
    <t>School event</t>
  </si>
  <si>
    <t>LeftoverStatus</t>
  </si>
  <si>
    <t>In the fridge</t>
  </si>
  <si>
    <t>In the freezer</t>
  </si>
  <si>
    <t>Frozen for later</t>
  </si>
  <si>
    <t>Binned</t>
  </si>
  <si>
    <t>Given away</t>
  </si>
  <si>
    <t>WasteReason</t>
  </si>
  <si>
    <t>Expired</t>
  </si>
  <si>
    <t>Went mouldy</t>
  </si>
  <si>
    <t>Cooked too much</t>
  </si>
  <si>
    <t>Did not like it</t>
  </si>
  <si>
    <t>Forgot about it</t>
  </si>
  <si>
    <t>Freezer burn</t>
  </si>
  <si>
    <t>Left out too long</t>
  </si>
  <si>
    <t>Bought too much</t>
  </si>
  <si>
    <t>Plate scrapings</t>
  </si>
  <si>
    <t>WasteAction</t>
  </si>
  <si>
    <t>Composted</t>
  </si>
  <si>
    <t>Fed to pets</t>
  </si>
  <si>
    <t>Donated</t>
  </si>
  <si>
    <t>StoreType</t>
  </si>
  <si>
    <t>Supermarket</t>
  </si>
  <si>
    <t>Discounter</t>
  </si>
  <si>
    <t>Local grocer</t>
  </si>
  <si>
    <t>Butcher</t>
  </si>
  <si>
    <t>Fishmonger</t>
  </si>
  <si>
    <t>Farm shop</t>
  </si>
  <si>
    <t>Market</t>
  </si>
  <si>
    <t>Online delivery</t>
  </si>
  <si>
    <t>Wholesale</t>
  </si>
  <si>
    <t>Convenience</t>
  </si>
  <si>
    <t>Restaurant</t>
  </si>
  <si>
    <t>SpendCategory</t>
  </si>
  <si>
    <t>Groceries</t>
  </si>
  <si>
    <t>Fresh top-up</t>
  </si>
  <si>
    <t>Bulk shop</t>
  </si>
  <si>
    <t>Coffee &amp; drinks</t>
  </si>
  <si>
    <t>Work lunch</t>
  </si>
  <si>
    <t>School meals</t>
  </si>
  <si>
    <t>Subscription box</t>
  </si>
  <si>
    <t>Delivery fee</t>
  </si>
  <si>
    <t>GoalCategory</t>
  </si>
  <si>
    <t>Health</t>
  </si>
  <si>
    <t>Waste</t>
  </si>
  <si>
    <t>Habit</t>
  </si>
  <si>
    <t>Variety</t>
  </si>
  <si>
    <t>Skill</t>
  </si>
  <si>
    <t>Time</t>
  </si>
  <si>
    <t>GoalStatus</t>
  </si>
  <si>
    <t>Not started</t>
  </si>
  <si>
    <t>On track</t>
  </si>
  <si>
    <t>Behind</t>
  </si>
  <si>
    <t>Complete</t>
  </si>
  <si>
    <t>Paused</t>
  </si>
  <si>
    <t>Frequency</t>
  </si>
  <si>
    <t>Daily</t>
  </si>
  <si>
    <t>Weekly</t>
  </si>
  <si>
    <t>Fortnightly</t>
  </si>
  <si>
    <t>Monthly</t>
  </si>
  <si>
    <t>Occasionally</t>
  </si>
  <si>
    <t>One-off</t>
  </si>
  <si>
    <t>Season</t>
  </si>
  <si>
    <t>All year</t>
  </si>
  <si>
    <t>Spring</t>
  </si>
  <si>
    <t>Summer</t>
  </si>
  <si>
    <t>Autumn</t>
  </si>
  <si>
    <t>Winter</t>
  </si>
  <si>
    <t>Rating</t>
  </si>
  <si>
    <t>5 - Make it again</t>
  </si>
  <si>
    <t>4 - Good</t>
  </si>
  <si>
    <t>3 - Fine</t>
  </si>
  <si>
    <t>2 - Needs work</t>
  </si>
  <si>
    <t>1 - Never again</t>
  </si>
  <si>
    <t>Texture</t>
  </si>
  <si>
    <t>Any</t>
  </si>
  <si>
    <t>Soft</t>
  </si>
  <si>
    <t>Crunchy</t>
  </si>
  <si>
    <t>Creamy</t>
  </si>
  <si>
    <t>Crispy</t>
  </si>
  <si>
    <t>Smooth</t>
  </si>
  <si>
    <t>No lumps</t>
  </si>
  <si>
    <t>Not slimy</t>
  </si>
  <si>
    <t>January</t>
  </si>
  <si>
    <t>February</t>
  </si>
  <si>
    <t>March</t>
  </si>
  <si>
    <t>April</t>
  </si>
  <si>
    <t>May</t>
  </si>
  <si>
    <t>June</t>
  </si>
  <si>
    <t>July</t>
  </si>
  <si>
    <t>August</t>
  </si>
  <si>
    <t>September</t>
  </si>
  <si>
    <t>November</t>
  </si>
  <si>
    <t>December</t>
  </si>
  <si>
    <t>Weekday</t>
  </si>
  <si>
    <t>Tuesday</t>
  </si>
  <si>
    <t>Wednesday</t>
  </si>
  <si>
    <t>Thursday</t>
  </si>
  <si>
    <t>Friday</t>
  </si>
  <si>
    <t>WeekStart</t>
  </si>
  <si>
    <t>System</t>
  </si>
  <si>
    <t>Imperial</t>
  </si>
  <si>
    <t>Rounding</t>
  </si>
  <si>
    <t>Exact quantity</t>
  </si>
  <si>
    <t>Active</t>
  </si>
  <si>
    <t>Occasional</t>
  </si>
  <si>
    <t>Away</t>
  </si>
  <si>
    <t>Inactive</t>
  </si>
  <si>
    <t>AgeGroup</t>
  </si>
  <si>
    <t>Adult</t>
  </si>
  <si>
    <t>Teenager</t>
  </si>
  <si>
    <t>Toddler</t>
  </si>
  <si>
    <t>Baby</t>
  </si>
  <si>
    <t>Senior</t>
  </si>
  <si>
    <t>BudgetLine</t>
  </si>
  <si>
    <t>Weekly shop</t>
  </si>
  <si>
    <t>Top-up shop</t>
  </si>
  <si>
    <t>Coffee &amp; treats</t>
  </si>
  <si>
    <t>Lunches out</t>
  </si>
  <si>
    <t>Special occasion</t>
  </si>
  <si>
    <t>Pet food</t>
  </si>
  <si>
    <t>SpendType</t>
  </si>
  <si>
    <t>Payment</t>
  </si>
  <si>
    <t>Card</t>
  </si>
  <si>
    <t>Cash</t>
  </si>
  <si>
    <t>Online</t>
  </si>
  <si>
    <t>Loyalty points</t>
  </si>
  <si>
    <t>Voucher</t>
  </si>
  <si>
    <t>Shared account</t>
  </si>
  <si>
    <t>PriceLevel</t>
  </si>
  <si>
    <t>Mid-range</t>
  </si>
  <si>
    <t>Premium</t>
  </si>
  <si>
    <t>Varies</t>
  </si>
  <si>
    <t>PrepStatus</t>
  </si>
  <si>
    <t>Prepping</t>
  </si>
  <si>
    <t>EventStatus</t>
  </si>
  <si>
    <t>Idea</t>
  </si>
  <si>
    <t>Menu set</t>
  </si>
  <si>
    <t>Direction</t>
  </si>
  <si>
    <t>Hit or beat</t>
  </si>
  <si>
    <t>Stay under</t>
  </si>
  <si>
    <t>Disposal</t>
  </si>
  <si>
    <t>General bin</t>
  </si>
  <si>
    <t>Food waste caddy</t>
  </si>
  <si>
    <t>Compost</t>
  </si>
  <si>
    <t>Measure</t>
  </si>
  <si>
    <t>Takeaways a month</t>
  </si>
  <si>
    <t>Grocery spend this month</t>
  </si>
  <si>
    <t>New recipes this month</t>
  </si>
  <si>
    <t>Food waste this month</t>
  </si>
  <si>
    <t>Leftovers eaten</t>
  </si>
  <si>
    <t>Meals prepped ahead</t>
  </si>
  <si>
    <t>Your own count</t>
  </si>
  <si>
    <t>Measurement units and how they convert</t>
  </si>
  <si>
    <t>This little table is what makes the grocery list add up. Every quantity you type on a recipe is multiplied by the factor below to get grams, millilitres or a simple count, so two tablespoons of oil and 100 ml of oil end up on one line of the shopping list. Add a unit here and it works everywhere.</t>
  </si>
  <si>
    <t>Unit</t>
  </si>
  <si>
    <t>Measures</t>
  </si>
  <si>
    <t>Base unit</t>
  </si>
  <si>
    <t>1 unit = this many base units</t>
  </si>
  <si>
    <t>g</t>
  </si>
  <si>
    <t>Weight</t>
  </si>
  <si>
    <t>kg</t>
  </si>
  <si>
    <t>mg</t>
  </si>
  <si>
    <t>oz</t>
  </si>
  <si>
    <t>lb</t>
  </si>
  <si>
    <t>ml</t>
  </si>
  <si>
    <t>Volume</t>
  </si>
  <si>
    <t>l</t>
  </si>
  <si>
    <t>tsp</t>
  </si>
  <si>
    <t>tbsp</t>
  </si>
  <si>
    <t>cup</t>
  </si>
  <si>
    <t>fl oz</t>
  </si>
  <si>
    <t>pint (US)</t>
  </si>
  <si>
    <t>pint (UK)</t>
  </si>
  <si>
    <t>quart</t>
  </si>
  <si>
    <t>gallon (US)</t>
  </si>
  <si>
    <t>each</t>
  </si>
  <si>
    <t>Count</t>
  </si>
  <si>
    <t>clove</t>
  </si>
  <si>
    <t>slice</t>
  </si>
  <si>
    <t>pinch</t>
  </si>
  <si>
    <t>handful</t>
  </si>
  <si>
    <t>bunch</t>
  </si>
  <si>
    <t>sprig</t>
  </si>
  <si>
    <t>can</t>
  </si>
  <si>
    <t>jar</t>
  </si>
  <si>
    <t>packet</t>
  </si>
  <si>
    <t>bag</t>
  </si>
  <si>
    <t>bottle</t>
  </si>
  <si>
    <t>loaf</t>
  </si>
  <si>
    <t>sheet</t>
  </si>
  <si>
    <t>to taste</t>
  </si>
  <si>
    <t>A note on cups and grams: converting a volume into a weight depends on what is in the cup (a cup of flour and a cup of honey weigh very different amounts). The workbook keeps weights and volumes apart rather than guessing - if you buy an ingredient by weight, write its recipe quantities by weight too.</t>
  </si>
  <si>
    <t>Household &amp; Preferences</t>
  </si>
  <si>
    <t>Who eats here, what they can and cannot eat, and how much of it - the numbers behind every portion in the workbook.</t>
  </si>
  <si>
    <t>&gt; Pantry</t>
  </si>
  <si>
    <t>&gt; Budget</t>
  </si>
  <si>
    <t>&gt; Help</t>
  </si>
  <si>
    <t>Fill this in once. The portion factors add up to the household size the planner uses when you do not type a number of servings.</t>
  </si>
  <si>
    <t>ID</t>
  </si>
  <si>
    <t>Name</t>
  </si>
  <si>
    <t>Role</t>
  </si>
  <si>
    <t>Age group</t>
  </si>
  <si>
    <t>Portion factor</t>
  </si>
  <si>
    <t>Allergies</t>
  </si>
  <si>
    <t>Avoids</t>
  </si>
  <si>
    <t>Will not touch</t>
  </si>
  <si>
    <t>Favourites</t>
  </si>
  <si>
    <t>In for breakfast?</t>
  </si>
  <si>
    <t>In for lunch?</t>
  </si>
  <si>
    <t>In for dinner?</t>
  </si>
  <si>
    <t>Takes a packed lunch?</t>
  </si>
  <si>
    <t>Daily calories</t>
  </si>
  <si>
    <t>Calories used</t>
  </si>
  <si>
    <t>Cooks?</t>
  </si>
  <si>
    <t>Cooking nights</t>
  </si>
  <si>
    <t>Does the shopping?</t>
  </si>
  <si>
    <t>Kitchen jobs</t>
  </si>
  <si>
    <t>Meals planned for them</t>
  </si>
  <si>
    <t>Status</t>
  </si>
  <si>
    <t>Check</t>
  </si>
  <si>
    <t>Notes</t>
  </si>
  <si>
    <t>Olives</t>
  </si>
  <si>
    <t>Anything with chilli</t>
  </si>
  <si>
    <t>Most nights</t>
  </si>
  <si>
    <t>Meal plan, big shop</t>
  </si>
  <si>
    <t>Does the planning on a Friday with a coffee.</t>
  </si>
  <si>
    <t>Tom Harper</t>
  </si>
  <si>
    <t>Mushrooms</t>
  </si>
  <si>
    <t>Curry night</t>
  </si>
  <si>
    <t>Tuesday and Thursday</t>
  </si>
  <si>
    <t>Top-up shop, washing up</t>
  </si>
  <si>
    <t>Takes a packed lunch four days out of five.</t>
  </si>
  <si>
    <t>Rory Harper</t>
  </si>
  <si>
    <t>Anything 'mixed up'</t>
  </si>
  <si>
    <t>Pasta, pancakes</t>
  </si>
  <si>
    <t>Sunday pudding</t>
  </si>
  <si>
    <t>Lunchboxes</t>
  </si>
  <si>
    <t>Went vegetarian in March - needs a protein swap on meat nights.</t>
  </si>
  <si>
    <t>Esme Harper</t>
  </si>
  <si>
    <t>Mushrooms, anything spicy</t>
  </si>
  <si>
    <t>Pancakes</t>
  </si>
  <si>
    <t>Laying the table</t>
  </si>
  <si>
    <t>Peanut allergy - no peanut butter in the house, check every label.</t>
  </si>
  <si>
    <t>The household in numbers</t>
  </si>
  <si>
    <t>Total portions</t>
  </si>
  <si>
    <t>Daily calories for the house</t>
  </si>
  <si>
    <t>Allergies on file</t>
  </si>
  <si>
    <t>Packed lunches</t>
  </si>
  <si>
    <t>Cooks in the house</t>
  </si>
  <si>
    <t>Recipe Database</t>
  </si>
  <si>
    <t>Every recipe you cook, with its cost and nutrition worked out from the ingredients rather than typed in.</t>
  </si>
  <si>
    <t>Add the recipe here first, then list its ingredients on the Recipe Ingredients tab using the ID in column A. That is what makes the grocery list automatic.</t>
  </si>
  <si>
    <t>Recipe</t>
  </si>
  <si>
    <t>Category</t>
  </si>
  <si>
    <t>Usual meal</t>
  </si>
  <si>
    <t>What it is</t>
  </si>
  <si>
    <t>Serves</t>
  </si>
  <si>
    <t>Prep (min)</t>
  </si>
  <si>
    <t>Cook (min)</t>
  </si>
  <si>
    <t>Total (min)</t>
  </si>
  <si>
    <t>Quick meal?</t>
  </si>
  <si>
    <t>Method</t>
  </si>
  <si>
    <t>Equipment</t>
  </si>
  <si>
    <t>One pot?</t>
  </si>
  <si>
    <t>No cook?</t>
  </si>
  <si>
    <t>Batch / prep friendly?</t>
  </si>
  <si>
    <t>Freezes well?</t>
  </si>
  <si>
    <t>Kid friendly?</t>
  </si>
  <si>
    <t>Suits</t>
  </si>
  <si>
    <t>Spice level</t>
  </si>
  <si>
    <t>Best season</t>
  </si>
  <si>
    <t>Tags</t>
  </si>
  <si>
    <t>Where it came from</t>
  </si>
  <si>
    <t>Link</t>
  </si>
  <si>
    <t>Photo link</t>
  </si>
  <si>
    <t>How to make it</t>
  </si>
  <si>
    <t>Cost to make</t>
  </si>
  <si>
    <t>Cost per serving</t>
  </si>
  <si>
    <t>Calories a serving</t>
  </si>
  <si>
    <t>Carbs (g)</t>
  </si>
  <si>
    <t>Allergens in it</t>
  </si>
  <si>
    <t>Cost rank</t>
  </si>
  <si>
    <t>Matches the filter</t>
  </si>
  <si>
    <t>Filter rank</t>
  </si>
  <si>
    <t>Popularity rank</t>
  </si>
  <si>
    <t>Calorie rank</t>
  </si>
  <si>
    <t>Protein rank</t>
  </si>
  <si>
    <t>Fibre rank</t>
  </si>
  <si>
    <t>Rotation rank</t>
  </si>
  <si>
    <t>Sort key</t>
  </si>
  <si>
    <t>Batches in the shopping window</t>
  </si>
  <si>
    <t>Cost in the window</t>
  </si>
  <si>
    <t>Missing a price</t>
  </si>
  <si>
    <t>Your rating</t>
  </si>
  <si>
    <t>Family score</t>
  </si>
  <si>
    <t>Favourite?</t>
  </si>
  <si>
    <t>Times planned</t>
  </si>
  <si>
    <t>Times cooked</t>
  </si>
  <si>
    <t>Last cooked</t>
  </si>
  <si>
    <t>Days since</t>
  </si>
  <si>
    <t>Tweaks &amp; notes</t>
  </si>
  <si>
    <t>Added on</t>
  </si>
  <si>
    <t>Weeknight chicken traybake</t>
  </si>
  <si>
    <t>Weeknight chicken traybake - 6 ingredients, serves 4.</t>
  </si>
  <si>
    <t>Roasting tin</t>
  </si>
  <si>
    <t>one tray, no washing up</t>
  </si>
  <si>
    <t>Family favourite</t>
  </si>
  <si>
    <t>1. Prep everything first. 2. Cook as usual. 3. Taste before you serve it.</t>
  </si>
  <si>
    <t>Beef bolognese</t>
  </si>
  <si>
    <t>Beef bolognese - 7 ingredients, serves 6.</t>
  </si>
  <si>
    <t>Big pan</t>
  </si>
  <si>
    <t>batch base, freezer friendly</t>
  </si>
  <si>
    <t>Red lentil dhal</t>
  </si>
  <si>
    <t>Red lentil dhal - 6 ingredients, serves 4.</t>
  </si>
  <si>
    <t>cheap, store cupboard</t>
  </si>
  <si>
    <t>Salmon, new potatoes &amp; greens</t>
  </si>
  <si>
    <t>Salmon, new potatoes &amp; greens - 5 ingredients, serves 2.</t>
  </si>
  <si>
    <t>payday treat</t>
  </si>
  <si>
    <t>Chickpea &amp; spinach curry</t>
  </si>
  <si>
    <t>Chickpea &amp; spinach curry - 6 ingredients, serves 4.</t>
  </si>
  <si>
    <t>store cupboard</t>
  </si>
  <si>
    <t>Tomato &amp; mascarpone pasta</t>
  </si>
  <si>
    <t>Tomato &amp; mascarpone pasta - 5 ingredients, serves 4.</t>
  </si>
  <si>
    <t>twenty minutes flat</t>
  </si>
  <si>
    <t>Chicken fajitas</t>
  </si>
  <si>
    <t>Chicken fajitas - 6 ingredients, serves 4.</t>
  </si>
  <si>
    <t>friday night</t>
  </si>
  <si>
    <t>Black bean chilli</t>
  </si>
  <si>
    <t>Black bean chilli - 6 ingredients, serves 6.</t>
  </si>
  <si>
    <t>batch base</t>
  </si>
  <si>
    <t>Veg-packed shepherd's pie</t>
  </si>
  <si>
    <t>Veg-packed shepherd's pie - 7 ingredients, serves 6.</t>
  </si>
  <si>
    <t>hides the carrots</t>
  </si>
  <si>
    <t>Teriyaki salmon &amp; rice</t>
  </si>
  <si>
    <t>Teriyaki salmon &amp; rice - 5 ingredients, serves 2.</t>
  </si>
  <si>
    <t>Overnight oats</t>
  </si>
  <si>
    <t>Overnight oats - 5 ingredients, serves 2.</t>
  </si>
  <si>
    <t>make it the night before</t>
  </si>
  <si>
    <t>Scrambled eggs on toast</t>
  </si>
  <si>
    <t>Scrambled eggs on toast - 4 ingredients, serves 2.</t>
  </si>
  <si>
    <t>Banana pancakes</t>
  </si>
  <si>
    <t>Banana pancakes - 5 ingredients, serves 4.</t>
  </si>
  <si>
    <t>saturday morning</t>
  </si>
  <si>
    <t>Couscous lunch jars</t>
  </si>
  <si>
    <t>Couscous lunch jars - 6 ingredients, serves 4.</t>
  </si>
  <si>
    <t>lunchbox, prep ahead</t>
  </si>
  <si>
    <t>Hummus &amp; veg wraps</t>
  </si>
  <si>
    <t>Hummus &amp; veg wraps - 4 ingredients, serves 2.</t>
  </si>
  <si>
    <t>lunchbox</t>
  </si>
  <si>
    <t>Leftover soup</t>
  </si>
  <si>
    <t>Leftover soup - 5 ingredients, serves 4.</t>
  </si>
  <si>
    <t>uses up leftovers</t>
  </si>
  <si>
    <t>Tofu stir fry</t>
  </si>
  <si>
    <t>Tofu stir fry - 6 ingredients, serves 4.</t>
  </si>
  <si>
    <t>Apple crumble</t>
  </si>
  <si>
    <t>Apple crumble - 4 ingredients, serves 6.</t>
  </si>
  <si>
    <t>sunday pudding</t>
  </si>
  <si>
    <t>One line per ingredient per recipe. This is what turns a meal plan into a shopping list.</t>
  </si>
  <si>
    <t>Sort or filter by Recipe ID to work on one recipe at a time. Everything to the right of the unit column fills itself in.</t>
  </si>
  <si>
    <t>Recipe ID</t>
  </si>
  <si>
    <t>Ingredient</t>
  </si>
  <si>
    <t>Quantity</t>
  </si>
  <si>
    <t>Prepared how</t>
  </si>
  <si>
    <t>Part of the recipe</t>
  </si>
  <si>
    <t>Optional?</t>
  </si>
  <si>
    <t>In base units</t>
  </si>
  <si>
    <t>Priced in</t>
  </si>
  <si>
    <t>Cost per unit</t>
  </si>
  <si>
    <t>Line cost</t>
  </si>
  <si>
    <t>Cost a serving</t>
  </si>
  <si>
    <t>Per 100</t>
  </si>
  <si>
    <t>Calories</t>
  </si>
  <si>
    <t>Shopping category</t>
  </si>
  <si>
    <t>Planned batches</t>
  </si>
  <si>
    <t>Needed for the plan</t>
  </si>
  <si>
    <t>Scale key</t>
  </si>
  <si>
    <t>Key</t>
  </si>
  <si>
    <t>R-0001</t>
  </si>
  <si>
    <t>Chicken thighs</t>
  </si>
  <si>
    <t>skin on</t>
  </si>
  <si>
    <t>Potatoes</t>
  </si>
  <si>
    <t>cut into chunks</t>
  </si>
  <si>
    <t>Peppers</t>
  </si>
  <si>
    <t>sliced</t>
  </si>
  <si>
    <t>Onions</t>
  </si>
  <si>
    <t>wedges</t>
  </si>
  <si>
    <t>Olive oil</t>
  </si>
  <si>
    <t>Paprika</t>
  </si>
  <si>
    <t>R-0002</t>
  </si>
  <si>
    <t>Beef mince 5%</t>
  </si>
  <si>
    <t>finely chopped</t>
  </si>
  <si>
    <t>Carrots</t>
  </si>
  <si>
    <t>grated</t>
  </si>
  <si>
    <t>Garlic</t>
  </si>
  <si>
    <t>crushed</t>
  </si>
  <si>
    <t>Chopped tomatoes</t>
  </si>
  <si>
    <t>Pasta</t>
  </si>
  <si>
    <t>Parmesan</t>
  </si>
  <si>
    <t>R-0003</t>
  </si>
  <si>
    <t>Red lentils</t>
  </si>
  <si>
    <t>rinsed</t>
  </si>
  <si>
    <t>chopped</t>
  </si>
  <si>
    <t>Curry paste</t>
  </si>
  <si>
    <t>Coconut milk</t>
  </si>
  <si>
    <t>Spinach</t>
  </si>
  <si>
    <t>R-0004</t>
  </si>
  <si>
    <t>Salmon fillet</t>
  </si>
  <si>
    <t>halved</t>
  </si>
  <si>
    <t>Broccoli</t>
  </si>
  <si>
    <t>Lemon</t>
  </si>
  <si>
    <t>R-0005</t>
  </si>
  <si>
    <t>Chickpeas</t>
  </si>
  <si>
    <t>drained</t>
  </si>
  <si>
    <t>Rice</t>
  </si>
  <si>
    <t>R-0006</t>
  </si>
  <si>
    <t>R-0007</t>
  </si>
  <si>
    <t>Chicken breast</t>
  </si>
  <si>
    <t>Tortilla wraps</t>
  </si>
  <si>
    <t>Cheddar</t>
  </si>
  <si>
    <t>R-0008</t>
  </si>
  <si>
    <t>Black beans</t>
  </si>
  <si>
    <t>diced</t>
  </si>
  <si>
    <t>Cumin</t>
  </si>
  <si>
    <t>R-0009</t>
  </si>
  <si>
    <t>mashed</t>
  </si>
  <si>
    <t>Frozen peas</t>
  </si>
  <si>
    <t>Stock cubes</t>
  </si>
  <si>
    <t>Butter</t>
  </si>
  <si>
    <t>for the mash</t>
  </si>
  <si>
    <t>R-0010</t>
  </si>
  <si>
    <t>Soy sauce</t>
  </si>
  <si>
    <t>Honey</t>
  </si>
  <si>
    <t>R-0011</t>
  </si>
  <si>
    <t>Porridge oats</t>
  </si>
  <si>
    <t>Greek yoghurt</t>
  </si>
  <si>
    <t>Frozen berries</t>
  </si>
  <si>
    <t>R-0012</t>
  </si>
  <si>
    <t>beaten</t>
  </si>
  <si>
    <t>Bread</t>
  </si>
  <si>
    <t>toasted</t>
  </si>
  <si>
    <t>R-0013</t>
  </si>
  <si>
    <t>Flour</t>
  </si>
  <si>
    <t>Bananas</t>
  </si>
  <si>
    <t>for the pan</t>
  </si>
  <si>
    <t>R-0014</t>
  </si>
  <si>
    <t>Couscous</t>
  </si>
  <si>
    <t>Tomatoes</t>
  </si>
  <si>
    <t>Courgette</t>
  </si>
  <si>
    <t>roasted</t>
  </si>
  <si>
    <t>juiced</t>
  </si>
  <si>
    <t>R-0015</t>
  </si>
  <si>
    <t>R-0016</t>
  </si>
  <si>
    <t>R-0017</t>
  </si>
  <si>
    <t>Tofu</t>
  </si>
  <si>
    <t>cubed</t>
  </si>
  <si>
    <t>florets</t>
  </si>
  <si>
    <t>R-0018</t>
  </si>
  <si>
    <t>Apples</t>
  </si>
  <si>
    <t>peeled and sliced</t>
  </si>
  <si>
    <t>cold, cubed</t>
  </si>
  <si>
    <t>Ingredient line check</t>
  </si>
  <si>
    <t>Lines entered</t>
  </si>
  <si>
    <t>Recipes covered</t>
  </si>
  <si>
    <t>Lines with a cost</t>
  </si>
  <si>
    <t>Unit mismatches</t>
  </si>
  <si>
    <t>Not in the price book</t>
  </si>
  <si>
    <t>Total value of all recipes</t>
  </si>
  <si>
    <t>Ingredients &amp; Prices</t>
  </si>
  <si>
    <t>Your price book. Every recipe cost, every shopping total and every nutrition figure in the workbook is built from this one list.</t>
  </si>
  <si>
    <t>Fill in the pack size and pack price for the twenty or thirty things you buy every week and the rest of the workbook starts doing the maths for you.</t>
  </si>
  <si>
    <t>Usual store</t>
  </si>
  <si>
    <t>Preferred brand</t>
  </si>
  <si>
    <t>Measured in</t>
  </si>
  <si>
    <t>Pack size</t>
  </si>
  <si>
    <t>Pack price</t>
  </si>
  <si>
    <t>Cost per 100</t>
  </si>
  <si>
    <t>Average price paid</t>
  </si>
  <si>
    <t>Cheapest store price</t>
  </si>
  <si>
    <t>Cheapest at</t>
  </si>
  <si>
    <t>Saving per 100</t>
  </si>
  <si>
    <t>Calories per 100 / item</t>
  </si>
  <si>
    <t>Protein per 100 (g)</t>
  </si>
  <si>
    <t>Carbs per 100 (g)</t>
  </si>
  <si>
    <t>Fat per 100 (g)</t>
  </si>
  <si>
    <t>Fibre per 100 (g)</t>
  </si>
  <si>
    <t>Sugar per 100 (g)</t>
  </si>
  <si>
    <t>Sodium per 100 (mg)</t>
  </si>
  <si>
    <t>Keeps for (days)</t>
  </si>
  <si>
    <t>Store it in</t>
  </si>
  <si>
    <t>Swap it for</t>
  </si>
  <si>
    <t>Last bought</t>
  </si>
  <si>
    <t>In the pantry now</t>
  </si>
  <si>
    <t>Value in stock</t>
  </si>
  <si>
    <t>Used in recipes</t>
  </si>
  <si>
    <t>Spend key</t>
  </si>
  <si>
    <t>Spend rank</t>
  </si>
  <si>
    <t>Times binned</t>
  </si>
  <si>
    <t>Waste rank</t>
  </si>
  <si>
    <t>Rank</t>
  </si>
  <si>
    <t>On the list now</t>
  </si>
  <si>
    <t>Discount Larder</t>
  </si>
  <si>
    <t>Hill Farm Shop</t>
  </si>
  <si>
    <t>Own brand</t>
  </si>
  <si>
    <t>Corner Express</t>
  </si>
  <si>
    <t>Sweet potato</t>
  </si>
  <si>
    <t>Online Grocer</t>
  </si>
  <si>
    <t>Peanut butter</t>
  </si>
  <si>
    <t>Price book summary</t>
  </si>
  <si>
    <t>Ingredients listed</t>
  </si>
  <si>
    <t>With a price</t>
  </si>
  <si>
    <t>Value in the pantry</t>
  </si>
  <si>
    <t>Average cost per 100</t>
  </si>
  <si>
    <t>Could be cheaper elsewhere</t>
  </si>
  <si>
    <t>Every planned meal in one list. The weekly and monthly planners, the grocery list and the budget all read from here.</t>
  </si>
  <si>
    <t>You can plan straight onto this tab, or use the Weekly Planner and let it write the rows for you.</t>
  </si>
  <si>
    <t>Date</t>
  </si>
  <si>
    <t>What you are eating</t>
  </si>
  <si>
    <t>Or type it in</t>
  </si>
  <si>
    <t>People to feed</t>
  </si>
  <si>
    <t>Servings used</t>
  </si>
  <si>
    <t>Recipe batches</t>
  </si>
  <si>
    <t>Shop for it?</t>
  </si>
  <si>
    <t>Who is eating</t>
  </si>
  <si>
    <t>Planned leftovers</t>
  </si>
  <si>
    <t>Prep ahead?</t>
  </si>
  <si>
    <t>Occasion</t>
  </si>
  <si>
    <t>Planned cost</t>
  </si>
  <si>
    <t>Actual spend</t>
  </si>
  <si>
    <t>Calories each</t>
  </si>
  <si>
    <t>Protein each (g)</t>
  </si>
  <si>
    <t>Carbs each (g)</t>
  </si>
  <si>
    <t>Fat each (g)</t>
  </si>
  <si>
    <t>Fibre each (g)</t>
  </si>
  <si>
    <t>Calories on the table</t>
  </si>
  <si>
    <t>Minutes in the kitchen</t>
  </si>
  <si>
    <t>Cooked at home?</t>
  </si>
  <si>
    <t>Leftovers from the fridge</t>
  </si>
  <si>
    <t>Takeaway - curry house</t>
  </si>
  <si>
    <t>Friday treat. Over budget but worth it.</t>
  </si>
  <si>
    <t>Sunday lunch with Nan</t>
  </si>
  <si>
    <t>Plan summary</t>
  </si>
  <si>
    <t>From a recipe</t>
  </si>
  <si>
    <t>Eaten out / takeaway</t>
  </si>
  <si>
    <t>Still to cook</t>
  </si>
  <si>
    <t>Automatic Grocery List</t>
  </si>
  <si>
    <t>Built from your meal plan, minus what is already in the pantry, grouped by aisle and priced as you go.</t>
  </si>
  <si>
    <t>Nothing to type on the left hand side - change the shopping window on the Settings tab and the whole list rebuilds. Tick 'Got it?' as you shop.</t>
  </si>
  <si>
    <t>#</t>
  </si>
  <si>
    <t>Item</t>
  </si>
  <si>
    <t>Store</t>
  </si>
  <si>
    <t>Needed</t>
  </si>
  <si>
    <t>Already have</t>
  </si>
  <si>
    <t>Still short</t>
  </si>
  <si>
    <t>Packs to buy</t>
  </si>
  <si>
    <t>Buy this much</t>
  </si>
  <si>
    <t>Estimated cost</t>
  </si>
  <si>
    <t>Running total</t>
  </si>
  <si>
    <t>Buy rank</t>
  </si>
  <si>
    <t>For how many meals</t>
  </si>
  <si>
    <t>Optional only?</t>
  </si>
  <si>
    <t>Got it?</t>
  </si>
  <si>
    <t>Actually paid</t>
  </si>
  <si>
    <t>Swapped for</t>
  </si>
  <si>
    <t>Note</t>
  </si>
  <si>
    <t>This shop</t>
  </si>
  <si>
    <t>Items on the list</t>
  </si>
  <si>
    <t>Already in stock</t>
  </si>
  <si>
    <t>Still to buy</t>
  </si>
  <si>
    <t>Picked up so far</t>
  </si>
  <si>
    <t>Left to pick up</t>
  </si>
  <si>
    <t>The estimate is measured against the weekly grocery budget on the Settings tab. Change the shopping window there too - this list follows it.</t>
  </si>
  <si>
    <t>Shopping window</t>
  </si>
  <si>
    <t>Days to the shopping day</t>
  </si>
  <si>
    <t>Store by store</t>
  </si>
  <si>
    <t>Items</t>
  </si>
  <si>
    <t>Still to pick up</t>
  </si>
  <si>
    <t>Cheaper elsewhere</t>
  </si>
  <si>
    <t>Extras - things no recipe asked for</t>
  </si>
  <si>
    <t>Bin bags, washing up liquid, a birthday cake. These rows are yours to type in and they are added to the grand total at the bottom.</t>
  </si>
  <si>
    <t>Extras total</t>
  </si>
  <si>
    <t>Typed in by you - no recipe needed.</t>
  </si>
  <si>
    <t>Everything in the trolley</t>
  </si>
  <si>
    <t>Recipes plus extras. Compare it with the weekly budget above.</t>
  </si>
  <si>
    <t>Pantry Inventory</t>
  </si>
  <si>
    <t>What you already own, what it is worth and what is about to go off - the tab that shrinks your shopping list.</t>
  </si>
  <si>
    <t>One row per thing you have in stock. You do not have to be perfect - even counting the ten things you buy most often saves real money.</t>
  </si>
  <si>
    <t>Where it lives</t>
  </si>
  <si>
    <t>How much is left</t>
  </si>
  <si>
    <t>Opened?</t>
  </si>
  <si>
    <t>Bought on</t>
  </si>
  <si>
    <t>Use by</t>
  </si>
  <si>
    <t>Keeps for</t>
  </si>
  <si>
    <t>Best before (worked out)</t>
  </si>
  <si>
    <t>Days left</t>
  </si>
  <si>
    <t>Value</t>
  </si>
  <si>
    <t>Keep at least</t>
  </si>
  <si>
    <t>Plan needs</t>
  </si>
  <si>
    <t>Left after the plan</t>
  </si>
  <si>
    <t>Staple?</t>
  </si>
  <si>
    <t>Fridge rank</t>
  </si>
  <si>
    <t>Freezer rank</t>
  </si>
  <si>
    <t>Needs using</t>
  </si>
  <si>
    <t>Pantry at a glance</t>
  </si>
  <si>
    <t>Items in stock</t>
  </si>
  <si>
    <t>Use within 5 days</t>
  </si>
  <si>
    <t>Low stock</t>
  </si>
  <si>
    <t>Tip: filter the Status column on 'Use soon' before you plan next week. Cooking what you already have is the single biggest saving in this workbook.</t>
  </si>
  <si>
    <t>Pantry Staples</t>
  </si>
  <si>
    <t>Par levels for the things that should always be in the cupboard, with a countdown to the day they run out.</t>
  </si>
  <si>
    <t>Staple</t>
  </si>
  <si>
    <t>Always keep</t>
  </si>
  <si>
    <t>In stock</t>
  </si>
  <si>
    <t>Short by</t>
  </si>
  <si>
    <t>Used a week</t>
  </si>
  <si>
    <t>Weeks left</t>
  </si>
  <si>
    <t>Buy before</t>
  </si>
  <si>
    <t>Cost to restock</t>
  </si>
  <si>
    <t>Buy it at</t>
  </si>
  <si>
    <t>Worth buying big?</t>
  </si>
  <si>
    <t>Restock list</t>
  </si>
  <si>
    <t>Staples tracked</t>
  </si>
  <si>
    <t>Below par</t>
  </si>
  <si>
    <t>Running out this week</t>
  </si>
  <si>
    <t>Cost to restock everything</t>
  </si>
  <si>
    <t>Leftovers Tracker</t>
  </si>
  <si>
    <t>What is in the fridge from last night, what it is worth and how long you have to eat it.</t>
  </si>
  <si>
    <t>From which recipe</t>
  </si>
  <si>
    <t>Cooked on</t>
  </si>
  <si>
    <t>Portions left</t>
  </si>
  <si>
    <t>Stored in</t>
  </si>
  <si>
    <t>Days it keeps</t>
  </si>
  <si>
    <t>Eat it by</t>
  </si>
  <si>
    <t>Cost a portion</t>
  </si>
  <si>
    <t>Worth</t>
  </si>
  <si>
    <t>Planned for</t>
  </si>
  <si>
    <t>Who is having it</t>
  </si>
  <si>
    <t>Queue rank</t>
  </si>
  <si>
    <t>What happened</t>
  </si>
  <si>
    <t>Half the bolognese</t>
  </si>
  <si>
    <t>Shepherd's pie - two portions</t>
  </si>
  <si>
    <t>Chilli for the freezer</t>
  </si>
  <si>
    <t>Label it or it will be a mystery in a month</t>
  </si>
  <si>
    <t>Dhal</t>
  </si>
  <si>
    <t>Roast potatoes</t>
  </si>
  <si>
    <t>Traybake chicken</t>
  </si>
  <si>
    <t>Leftovers scoreboard</t>
  </si>
  <si>
    <t>Portions in the house</t>
  </si>
  <si>
    <t>Eat today or tomorrow</t>
  </si>
  <si>
    <t>Past their date</t>
  </si>
  <si>
    <t>Eaten so far</t>
  </si>
  <si>
    <t>Binned so far</t>
  </si>
  <si>
    <t>Money saved by eating them</t>
  </si>
  <si>
    <t>Food Waste Log</t>
  </si>
  <si>
    <t>What got thrown away, what it cost and what would have stopped it.</t>
  </si>
  <si>
    <t>What went in the bin</t>
  </si>
  <si>
    <t>Or describe it</t>
  </si>
  <si>
    <t>How much</t>
  </si>
  <si>
    <t>What it cost</t>
  </si>
  <si>
    <t>Your estimate</t>
  </si>
  <si>
    <t>Why</t>
  </si>
  <si>
    <t>Avoidable?</t>
  </si>
  <si>
    <t>Where it was</t>
  </si>
  <si>
    <t>How it was thrown</t>
  </si>
  <si>
    <t>What would have stopped it</t>
  </si>
  <si>
    <t>Wasted this month</t>
  </si>
  <si>
    <t>Buy the small bag, or freeze half</t>
  </si>
  <si>
    <t>Freeze half the loaf on the day we buy it</t>
  </si>
  <si>
    <t>Check the date before the top-up shop</t>
  </si>
  <si>
    <t>Keep them at eye level, not in the drawer</t>
  </si>
  <si>
    <t>Smaller bag from the farm shop</t>
  </si>
  <si>
    <t>One pot a week is enough</t>
  </si>
  <si>
    <t>Esme's portion is too big</t>
  </si>
  <si>
    <t>Only buy them when a recipe needs them</t>
  </si>
  <si>
    <t>What waste is costing you</t>
  </si>
  <si>
    <t>Items binned</t>
  </si>
  <si>
    <t>Total cost</t>
  </si>
  <si>
    <t>This month</t>
  </si>
  <si>
    <t>Avoidable share</t>
  </si>
  <si>
    <t>A year at this rate</t>
  </si>
  <si>
    <t>Target a month</t>
  </si>
  <si>
    <t>Against target</t>
  </si>
  <si>
    <t>Meal Prep &amp; Batch Cooking</t>
  </si>
  <si>
    <t>What you are making ahead, how many portions it gives you and what each one costs in money and minutes.</t>
  </si>
  <si>
    <t>Plan two or three jobs for your prep day, not ten. The minutes-a-portion column tells you which ones are worth repeating.</t>
  </si>
  <si>
    <t>Prep job</t>
  </si>
  <si>
    <t>Prep day</t>
  </si>
  <si>
    <t>What you are cooking</t>
  </si>
  <si>
    <t>Batches</t>
  </si>
  <si>
    <t>Serves (each)</t>
  </si>
  <si>
    <t>Portions made</t>
  </si>
  <si>
    <t>Minutes (recipe)</t>
  </si>
  <si>
    <t>Time needed</t>
  </si>
  <si>
    <t>Minutes used</t>
  </si>
  <si>
    <t>Minutes a portion</t>
  </si>
  <si>
    <t>Containers</t>
  </si>
  <si>
    <t>Covers meals from</t>
  </si>
  <si>
    <t>Covers meals to</t>
  </si>
  <si>
    <t>Meals it covers</t>
  </si>
  <si>
    <t>Who is doing it</t>
  </si>
  <si>
    <t>Cost of the batch</t>
  </si>
  <si>
    <t>To-do rank</t>
  </si>
  <si>
    <t>Big pot of bolognese</t>
  </si>
  <si>
    <t>Chop all the veg for the week</t>
  </si>
  <si>
    <t>Overnight oats x4</t>
  </si>
  <si>
    <t>Shepherd's pie - double batch</t>
  </si>
  <si>
    <t>Pancake batter for Saturday</t>
  </si>
  <si>
    <t>Batch cooking pays off</t>
  </si>
  <si>
    <t>Prep jobs</t>
  </si>
  <si>
    <t>Hours in the kitchen</t>
  </si>
  <si>
    <t>Average minutes a portion</t>
  </si>
  <si>
    <t>Cost of the batches</t>
  </si>
  <si>
    <t>Average cost a portion</t>
  </si>
  <si>
    <t>Still to make</t>
  </si>
  <si>
    <t>Dietary Filters</t>
  </si>
  <si>
    <t>Pick the rules, get the list. Every recipe that fits, with the time, the cost and the calories.</t>
  </si>
  <si>
    <t>Set the rules</t>
  </si>
  <si>
    <t>Vegetarian, vegan, gluten-free... 'Any' turns the filter off.</t>
  </si>
  <si>
    <t>Mains, soups, lunchboxes, puddings.</t>
  </si>
  <si>
    <t>Only the slow cooker? Only no-cook? Choose it here.</t>
  </si>
  <si>
    <t>Ready within (minutes)</t>
  </si>
  <si>
    <t>Total time, prep plus cook. 0 means no limit.</t>
  </si>
  <si>
    <t>Cost a serving up to</t>
  </si>
  <si>
    <t>0 means no limit. Try your per-meal budget from the Budget tab.</t>
  </si>
  <si>
    <t>Avoid this allergen</t>
  </si>
  <si>
    <t>Hides every recipe with that allergen anywhere in its ingredients.</t>
  </si>
  <si>
    <t>What you can make</t>
  </si>
  <si>
    <t>Blank rows mean nothing else matched - loosen a rule.</t>
  </si>
  <si>
    <t>Total time</t>
  </si>
  <si>
    <t>Freezes?</t>
  </si>
  <si>
    <t>Who in the house this suits</t>
  </si>
  <si>
    <t>Person</t>
  </si>
  <si>
    <t>Recipes that suit their diet</t>
  </si>
  <si>
    <t>Recipes to avoid</t>
  </si>
  <si>
    <t>Allergen filtering looks at the allergen tag on each ingredient in the price book, so it is only as complete as those tags. It is a sorting tool, not a safety check: for a real allergy, read the label on the actual packet every single time, and remember that 'may contain' warnings never appear in a spreadsheet.</t>
  </si>
  <si>
    <t>Calories &amp; Macros</t>
  </si>
  <si>
    <t>What the plan adds up to, a head, a day - measured against your own targets.</t>
  </si>
  <si>
    <t>Your daily targets</t>
  </si>
  <si>
    <t>Sugar (g)</t>
  </si>
  <si>
    <t>Sodium (mg)</t>
  </si>
  <si>
    <t>Water (glasses)</t>
  </si>
  <si>
    <t>Set these on the Settings tab. They are one set of numbers for the household - the Household tab holds a calorie figure per person if you want to be more precise.</t>
  </si>
  <si>
    <t>This week, a head, a day</t>
  </si>
  <si>
    <t>Average</t>
  </si>
  <si>
    <t>Calories (kcal)</t>
  </si>
  <si>
    <t>Meals logged</t>
  </si>
  <si>
    <t>How the week compares</t>
  </si>
  <si>
    <t>Average a day</t>
  </si>
  <si>
    <t>Target</t>
  </si>
  <si>
    <t>% of target</t>
  </si>
  <si>
    <t>Verdict</t>
  </si>
  <si>
    <t>Where the calories come from</t>
  </si>
  <si>
    <t>Calories a week</t>
  </si>
  <si>
    <t>Share of the week</t>
  </si>
  <si>
    <t>Average a meal</t>
  </si>
  <si>
    <t>The recipes doing the heavy lifting</t>
  </si>
  <si>
    <t>Highest calorie recipes</t>
  </si>
  <si>
    <t>A serving</t>
  </si>
  <si>
    <t>Most protein</t>
  </si>
  <si>
    <t>Most fibre</t>
  </si>
  <si>
    <t>Honest limits: these numbers come from the 'per 100' figures you typed into the Ingredients tab, multiplied by the quantities in your recipes. Cooking losses, oil left in the pan, who actually ate the bigger portion - none of that is in here. Treat it as a direction of travel, not a food diary, and never as medical or dietary advice.</t>
  </si>
  <si>
    <t>Food Budget</t>
  </si>
  <si>
    <t>Planned against actual, month by month, with the split that shows where it really goes.</t>
  </si>
  <si>
    <t>A year</t>
  </si>
  <si>
    <t>Per person a week</t>
  </si>
  <si>
    <t>Per meal</t>
  </si>
  <si>
    <t>Change these on the Settings tab. Per meal assumes three meals a day for everyone - a useful reality check when the weekly figure feels mean.</t>
  </si>
  <si>
    <t>Month by month</t>
  </si>
  <si>
    <t>Eating out &amp; takeaway</t>
  </si>
  <si>
    <t>Total spent</t>
  </si>
  <si>
    <t>Left</t>
  </si>
  <si>
    <t>% of budget</t>
  </si>
  <si>
    <t>Spend a head</t>
  </si>
  <si>
    <t>Year</t>
  </si>
  <si>
    <t>What the money goes on</t>
  </si>
  <si>
    <t>Type of spend</t>
  </si>
  <si>
    <t>Year to date</t>
  </si>
  <si>
    <t>Share of the year</t>
  </si>
  <si>
    <t>Times logged</t>
  </si>
  <si>
    <t>Shops</t>
  </si>
  <si>
    <t>Spent</t>
  </si>
  <si>
    <t>Average shop</t>
  </si>
  <si>
    <t>Share</t>
  </si>
  <si>
    <t>Price level</t>
  </si>
  <si>
    <t>Planned against actual</t>
  </si>
  <si>
    <t>The planner prices your meals from the Ingredients tab. The till tells you what really happened. The gap between them is the honest measure of how good your price book is - and of how much gets bought that was never planned.</t>
  </si>
  <si>
    <t>Planned (recipes)</t>
  </si>
  <si>
    <t>Actual (receipts)</t>
  </si>
  <si>
    <t>Unplanned buys</t>
  </si>
  <si>
    <t>Impulse spend</t>
  </si>
  <si>
    <t>The year</t>
  </si>
  <si>
    <t>What the workbook has saved you</t>
  </si>
  <si>
    <t>Cheaper shops available</t>
  </si>
  <si>
    <t>Waste avoided against target</t>
  </si>
  <si>
    <t>Batch cooking against takeaway</t>
  </si>
  <si>
    <t>These are estimates, not accounting. 'Leftovers eaten' values the portions you did not have to cook again; 'cheaper shops available' is the ceiling if you always bought where it is cheapest; the batch cooking figure compares your prepped portions with what a takeaway portion costs you.</t>
  </si>
  <si>
    <t>Recipe Costing</t>
  </si>
  <si>
    <t>Every recipe priced from your own shopping, cheapest first.</t>
  </si>
  <si>
    <t>Cheapest meal a serving</t>
  </si>
  <si>
    <t>the one to cook when money is tight</t>
  </si>
  <si>
    <t>Average meal a serving</t>
  </si>
  <si>
    <t>across every recipe with a price</t>
  </si>
  <si>
    <t>Dearest meal a serving</t>
  </si>
  <si>
    <t>worth saving for a Friday</t>
  </si>
  <si>
    <t>Recipes still unpriced</t>
  </si>
  <si>
    <t>add the ingredient prices and they appear</t>
  </si>
  <si>
    <t>What you are comparing against</t>
  </si>
  <si>
    <t>A takeaway for the household costs</t>
  </si>
  <si>
    <t>Your own figure for one takeaway meal for everybody. Used in the saving column below.</t>
  </si>
  <si>
    <t>A bought lunch costs</t>
  </si>
  <si>
    <t>Meal deal, café sandwich, canteen - whatever you would otherwise pay.</t>
  </si>
  <si>
    <t>Every recipe, cheapest first</t>
  </si>
  <si>
    <t>Per 100 calories</t>
  </si>
  <si>
    <t>Minutes</t>
  </si>
  <si>
    <t>Saving against a takeaway</t>
  </si>
  <si>
    <t>The expensive ingredients</t>
  </si>
  <si>
    <t>Sorted by what you spend on them across every recipe - the five lines at the top are where a swap or a cheaper shop pays off most.</t>
  </si>
  <si>
    <t>Total across recipes</t>
  </si>
  <si>
    <t>Cheapest store</t>
  </si>
  <si>
    <t>Saving available</t>
  </si>
  <si>
    <t>Cost by kind of meal</t>
  </si>
  <si>
    <t>Average a serving</t>
  </si>
  <si>
    <t>Cheapest</t>
  </si>
  <si>
    <t>Dearest</t>
  </si>
  <si>
    <t>Average minutes</t>
  </si>
  <si>
    <t>A recipe is only as well priced as its ingredient lines. Anything flagged on the Recipe Ingredients tab - a missing price, a unit that does not match the price book - is left out of these figures rather than guessed at, so a suspiciously cheap recipe usually means a missing line rather than a bargain.</t>
  </si>
  <si>
    <t>Converter &amp; Recipe Scaler</t>
  </si>
  <si>
    <t>Change the units, or change how many people you are feeding - the quantities follow.</t>
  </si>
  <si>
    <t>Convert a quantity</t>
  </si>
  <si>
    <t>Type an amount and a unit on the left, choose the unit you want on the right. Anything that cannot be converted - grams into millilitres, say - says so instead of guessing.</t>
  </si>
  <si>
    <t>Amount</t>
  </si>
  <si>
    <t>From</t>
  </si>
  <si>
    <t>To</t>
  </si>
  <si>
    <t>Answer</t>
  </si>
  <si>
    <t>The ones you look up every time</t>
  </si>
  <si>
    <t>Imperial / cups</t>
  </si>
  <si>
    <t>1 teaspoon</t>
  </si>
  <si>
    <t>5 ml</t>
  </si>
  <si>
    <t>100 g flour</t>
  </si>
  <si>
    <t>about 3/4 cup</t>
  </si>
  <si>
    <t>1 tablespoon</t>
  </si>
  <si>
    <t>15 ml (3 tsp)</t>
  </si>
  <si>
    <t>100 g sugar</t>
  </si>
  <si>
    <t>1/2 cup</t>
  </si>
  <si>
    <t>1 cup</t>
  </si>
  <si>
    <t>240 ml</t>
  </si>
  <si>
    <t>100 g butter</t>
  </si>
  <si>
    <t>7 tablespoons</t>
  </si>
  <si>
    <t>250 ml</t>
  </si>
  <si>
    <t>about 1 cup</t>
  </si>
  <si>
    <t>100 g rice</t>
  </si>
  <si>
    <t>1/2 cup uncooked</t>
  </si>
  <si>
    <t>500 ml</t>
  </si>
  <si>
    <t>about 2 cups</t>
  </si>
  <si>
    <t>1 egg (medium)</t>
  </si>
  <si>
    <t>about 50 g</t>
  </si>
  <si>
    <t>1 litre</t>
  </si>
  <si>
    <t>about 4 cups</t>
  </si>
  <si>
    <t>1 clove garlic</t>
  </si>
  <si>
    <t>1 teaspoon minced</t>
  </si>
  <si>
    <t>100 g</t>
  </si>
  <si>
    <t>3.5 oz</t>
  </si>
  <si>
    <t>Oven 180C fan</t>
  </si>
  <si>
    <t>350F / gas 4</t>
  </si>
  <si>
    <t>500 g</t>
  </si>
  <si>
    <t>1 lb 2 oz</t>
  </si>
  <si>
    <t>Oven 200C fan</t>
  </si>
  <si>
    <t>400F / gas 6</t>
  </si>
  <si>
    <t>1 kg</t>
  </si>
  <si>
    <t>2 lb 3 oz</t>
  </si>
  <si>
    <t>Oven 220C fan</t>
  </si>
  <si>
    <t>425F / gas 7</t>
  </si>
  <si>
    <t>Cup measures are the US cup (240 ml). Flour and sugar weights are approximate because a cup of flour depends on how hard you pack it - weigh it if the baking matters.</t>
  </si>
  <si>
    <t>Scale a recipe</t>
  </si>
  <si>
    <t>Pick the recipe ID. The Recipes tab lists them.</t>
  </si>
  <si>
    <t>Every quantity below is multiplied to suit.</t>
  </si>
  <si>
    <t>Recipe name</t>
  </si>
  <si>
    <t>Normally serves</t>
  </si>
  <si>
    <t>Scale factor</t>
  </si>
  <si>
    <t>Original</t>
  </si>
  <si>
    <t>You need</t>
  </si>
  <si>
    <t>Scaled totals</t>
  </si>
  <si>
    <t>Scaling multiplies every quantity by the same number, which is right for ingredients and wrong for cooking times. A double batch of stew takes a little longer to come to the boil, not twice as long; a doubled cake needs a bigger tin, not two of the same. Spices and salt rarely want doubling either - taste as you go.</t>
  </si>
  <si>
    <t>Meal Rotation &amp; Variety</t>
  </si>
  <si>
    <t>What you cook, how often, and what has been forgotten at the back of the recipe book.</t>
  </si>
  <si>
    <t>everything you could cook</t>
  </si>
  <si>
    <t>Cooked in the last 30 days</t>
  </si>
  <si>
    <t>the ones in active service</t>
  </si>
  <si>
    <t>Never cooked</t>
  </si>
  <si>
    <t>worth a go, or worth deleting</t>
  </si>
  <si>
    <t>Variety score</t>
  </si>
  <si>
    <t>different recipes / meals cooked</t>
  </si>
  <si>
    <t>A variety score of 100% means every meal in the last month was a different recipe; 25% means you cooked the same four things. Neither is right or wrong - but if it is low and you are bored, the list underneath is where to look.</t>
  </si>
  <si>
    <t>Not cooked for the longest</t>
  </si>
  <si>
    <t>Days ago</t>
  </si>
  <si>
    <t>Your greatest hits</t>
  </si>
  <si>
    <t>Variety by cuisine and method</t>
  </si>
  <si>
    <t>Share of meals</t>
  </si>
  <si>
    <t>Cooked twice inside the rotation gap</t>
  </si>
  <si>
    <t>Your rotation gap is set to 14 days on the Settings tab. These recipes have come round faster than that - fine if they are favourites, worth swapping if they are just habit.</t>
  </si>
  <si>
    <t>Suggested swap</t>
  </si>
  <si>
    <t>The 'suggested swap' column is deliberately simple: it offers the recipe you have left alone the longest. A spreadsheet cannot know that nobody fancies fish on a Monday.</t>
  </si>
  <si>
    <t>Food Safety &amp; Allergens</t>
  </si>
  <si>
    <t>Who reacts to what, where things live and how hot it needs to be.</t>
  </si>
  <si>
    <t>People with an allergy</t>
  </si>
  <si>
    <t>from the Household tab</t>
  </si>
  <si>
    <t>Ingredients carrying an allergen</t>
  </si>
  <si>
    <t>tagged in the price book</t>
  </si>
  <si>
    <t>Recipes with a flagged ingredient</t>
  </si>
  <si>
    <t>check these against the real labels</t>
  </si>
  <si>
    <t>Pantry items past their date</t>
  </si>
  <si>
    <t>deal with these first</t>
  </si>
  <si>
    <t>Allergen grid</t>
  </si>
  <si>
    <t>Each row is one of the fourteen allergens that must be declared on food labels in the UK and EU. 'In the house' counts the ingredients in your price book carrying that tag.</t>
  </si>
  <si>
    <t>In the pantry</t>
  </si>
  <si>
    <t>Recipes to check before you serve them</t>
  </si>
  <si>
    <t>Allergen note</t>
  </si>
  <si>
    <t>Where things live</t>
  </si>
  <si>
    <t>Place</t>
  </si>
  <si>
    <t>Temperature</t>
  </si>
  <si>
    <t>What goes there</t>
  </si>
  <si>
    <t>In your pantry now</t>
  </si>
  <si>
    <t>0-5C</t>
  </si>
  <si>
    <t>Milk, cooked leftovers, opened jars, raw meat on the bottom shelf</t>
  </si>
  <si>
    <t>-18C</t>
  </si>
  <si>
    <t>Batch cooking, bread, herbs, anything near its date</t>
  </si>
  <si>
    <t>Cool and dark</t>
  </si>
  <si>
    <t>Tins, pasta, rice, flour, oil away from the hob</t>
  </si>
  <si>
    <t>Room temperature</t>
  </si>
  <si>
    <t>Bananas, tomatoes, citrus, avocados</t>
  </si>
  <si>
    <t>Not the fridge</t>
  </si>
  <si>
    <t>Potatoes, onions, garlic, bread, honey</t>
  </si>
  <si>
    <t>Cooked through means</t>
  </si>
  <si>
    <t>How you know</t>
  </si>
  <si>
    <t>Poultry</t>
  </si>
  <si>
    <t>75C / 165F</t>
  </si>
  <si>
    <t>No pink, juices run clear</t>
  </si>
  <si>
    <t>Minced meat &amp; burgers</t>
  </si>
  <si>
    <t>70C / 160F</t>
  </si>
  <si>
    <t>All the way through</t>
  </si>
  <si>
    <t>Pork</t>
  </si>
  <si>
    <t>Rest it for five minutes</t>
  </si>
  <si>
    <t>Whole cuts of beef &amp; lamb</t>
  </si>
  <si>
    <t>55-70C</t>
  </si>
  <si>
    <t>Rare to well done - your call</t>
  </si>
  <si>
    <t>63C / 145F</t>
  </si>
  <si>
    <t>Flakes easily</t>
  </si>
  <si>
    <t>Reheating anything</t>
  </si>
  <si>
    <t>Piping hot right through, once only</t>
  </si>
  <si>
    <t>Check it with a thermometer once a year</t>
  </si>
  <si>
    <t>-18C or colder</t>
  </si>
  <si>
    <t>Food stays safe indefinitely; quality drops</t>
  </si>
  <si>
    <t>Leftovers, reheating and the freezer</t>
  </si>
  <si>
    <t>COOL IT FAST - get leftovers into the fridge within two hours, in a shallow container so they cool quickly.</t>
  </si>
  <si>
    <t>THE FRIDGE WINDOW - this workbook assumes 3 days for cooked leftovers; change it on the Settings tab if your household rule differs.</t>
  </si>
  <si>
    <t>THE FREEZER WINDOW - 90 days is the quality reminder, not a safety limit. Frozen food stays safe; it just stops tasting of much.</t>
  </si>
  <si>
    <t>REHEAT ONCE - reheat a portion once, until it is piping hot all the way through. Not twice.</t>
  </si>
  <si>
    <t>DEFROST IN THE FRIDGE - overnight, not on the worktop. Plan it on the Meal Prep tab the day before.</t>
  </si>
  <si>
    <t>RICE - cool it and refrigerate it quickly, eat it within a day, reheat it once, properly.</t>
  </si>
  <si>
    <t>WHEN IN DOUBT - the use-by date on the packet beats anything this spreadsheet works out. Throw it out and log it on the Food Waste tab.</t>
  </si>
  <si>
    <t>Plain English: this tab organises what you told it. It cannot see 'may contain' warnings, recipe changes by the manufacturer, or cross-contamination in your own kitchen. For a serious allergy, the label on the packet in your hand is the only source that counts - every time, even for a product you have bought for years.</t>
  </si>
  <si>
    <t>Fridge &amp; Freezer</t>
  </si>
  <si>
    <t>The cold storage list, sorted by what needs eating first.</t>
  </si>
  <si>
    <t>items logged</t>
  </si>
  <si>
    <t>Needs eating this week</t>
  </si>
  <si>
    <t>within 5 days of the date</t>
  </si>
  <si>
    <t>Value in cold storage</t>
  </si>
  <si>
    <t>Soonest to expire at the top. Plan a meal round the first three and the rest looks after itself.</t>
  </si>
  <si>
    <t>The freezer is where food goes to be forgotten. Label everything, and work through the top of this list once a month.</t>
  </si>
  <si>
    <t>Leftovers waiting to be eaten</t>
  </si>
  <si>
    <t>Portions</t>
  </si>
  <si>
    <t>Cooked</t>
  </si>
  <si>
    <t>Eat by</t>
  </si>
  <si>
    <t>Taking something out of the freezer</t>
  </si>
  <si>
    <t>Size</t>
  </si>
  <si>
    <t>In cold water</t>
  </si>
  <si>
    <t>Never</t>
  </si>
  <si>
    <t>Small portion (1-2 servings)</t>
  </si>
  <si>
    <t>Overnight</t>
  </si>
  <si>
    <t>1-2 hours, change the water</t>
  </si>
  <si>
    <t>On the worktop all day</t>
  </si>
  <si>
    <t>Family batch (4-6 servings)</t>
  </si>
  <si>
    <t>24 hours</t>
  </si>
  <si>
    <t>Not really practical</t>
  </si>
  <si>
    <t>In the sun or a warm kitchen</t>
  </si>
  <si>
    <t>Whole chicken</t>
  </si>
  <si>
    <t>24-36 hours</t>
  </si>
  <si>
    <t>2-3 hours, change the water</t>
  </si>
  <si>
    <t>Refreezing once thawed</t>
  </si>
  <si>
    <t>Bread, cake, pastry</t>
  </si>
  <si>
    <t>A couple of hours out of the freezer</t>
  </si>
  <si>
    <t>-</t>
  </si>
  <si>
    <t>Worrying about it - it is fine</t>
  </si>
  <si>
    <t>Soup, stew, sauce</t>
  </si>
  <si>
    <t>Straight into the pan on a low heat</t>
  </si>
  <si>
    <t>Reheating twice</t>
  </si>
  <si>
    <t>Days left comes from the use-by date you typed in, or from the shelf life on the Ingredients tab if you left it blank. Both are estimates - the packet and your own senses outrank this page every time.</t>
  </si>
  <si>
    <t>Every shop, top-up and takeaway, so the budget tabs can compare what you planned with what you paid.</t>
  </si>
  <si>
    <t>One line per shop is plenty to track a budget. Line by line entry is only worth it for the handful of items whose price you want to watch.</t>
  </si>
  <si>
    <t>Item or description</t>
  </si>
  <si>
    <t>Price per unit</t>
  </si>
  <si>
    <t>Who paid</t>
  </si>
  <si>
    <t>Paid with</t>
  </si>
  <si>
    <t>Planned?</t>
  </si>
  <si>
    <t>Budget line</t>
  </si>
  <si>
    <t>Thrown away?</t>
  </si>
  <si>
    <t>Receipt link</t>
  </si>
  <si>
    <t>That month's budget</t>
  </si>
  <si>
    <t>Over budget?</t>
  </si>
  <si>
    <t>Milk and bread</t>
  </si>
  <si>
    <t>Veg box</t>
  </si>
  <si>
    <t>Store cupboard stock-up</t>
  </si>
  <si>
    <t>Curry House</t>
  </si>
  <si>
    <t>Friday takeaway</t>
  </si>
  <si>
    <t>Tins and frozen</t>
  </si>
  <si>
    <t>The Lantern</t>
  </si>
  <si>
    <t>Birthday lunch</t>
  </si>
  <si>
    <t>Eggs and veg</t>
  </si>
  <si>
    <t>Spending summary</t>
  </si>
  <si>
    <t>Shops logged</t>
  </si>
  <si>
    <t>Left this month</t>
  </si>
  <si>
    <t>Store Price Comparison</t>
  </si>
  <si>
    <t>What the same ingredient costs in each shop, reduced to one comparable number.</t>
  </si>
  <si>
    <t>Brand</t>
  </si>
  <si>
    <t>On offer?</t>
  </si>
  <si>
    <t>Price book cost</t>
  </si>
  <si>
    <t>Against the price book</t>
  </si>
  <si>
    <t>Cheapest so far?</t>
  </si>
  <si>
    <t>Price checked</t>
  </si>
  <si>
    <t>How old</t>
  </si>
  <si>
    <t>Branded</t>
  </si>
  <si>
    <t>What shopping around is worth</t>
  </si>
  <si>
    <t>Prices logged</t>
  </si>
  <si>
    <t>Ingredients covered</t>
  </si>
  <si>
    <t>Stores compared</t>
  </si>
  <si>
    <t>Checked this year</t>
  </si>
  <si>
    <t>Total saving if you always bought cheapest</t>
  </si>
  <si>
    <t>The saving on the right is the sum of every 'cheaper elsewhere' gap per 100 units. It is a ceiling, not a promise - petrol, time and the fact that nobody shops in four places all take a bite out of it.</t>
  </si>
  <si>
    <t>Grocery Stores</t>
  </si>
  <si>
    <t>Where you shop, what each one is good for and what each one costs you.</t>
  </si>
  <si>
    <t>Add a store here and it appears in every store drop-down in the workbook.</t>
  </si>
  <si>
    <t>Type</t>
  </si>
  <si>
    <t>Minutes away</t>
  </si>
  <si>
    <t>Best for</t>
  </si>
  <si>
    <t>Delivers?</t>
  </si>
  <si>
    <t>Minimum order</t>
  </si>
  <si>
    <t>Usual slot</t>
  </si>
  <si>
    <t>Loyalty card</t>
  </si>
  <si>
    <t>Opening hours</t>
  </si>
  <si>
    <t>Items priced here</t>
  </si>
  <si>
    <t>Cheapest on</t>
  </si>
  <si>
    <t>Spent here</t>
  </si>
  <si>
    <t>On this week's list</t>
  </si>
  <si>
    <t>High Street</t>
  </si>
  <si>
    <t>The weekly shop, decent veg</t>
  </si>
  <si>
    <t>Saturday 9-10am</t>
  </si>
  <si>
    <t>Greenfield points</t>
  </si>
  <si>
    <t>7am - 10pm</t>
  </si>
  <si>
    <t>Default store for most of the price book.</t>
  </si>
  <si>
    <t>Retail park</t>
  </si>
  <si>
    <t>Store cupboard, tins, frozen</t>
  </si>
  <si>
    <t>8am - 8pm</t>
  </si>
  <si>
    <t>Worth a monthly stock-up run, not a weekly trip.</t>
  </si>
  <si>
    <t>Hill Lane</t>
  </si>
  <si>
    <t>Veg box, eggs, meat for special occasions</t>
  </si>
  <si>
    <t>Thursday afternoon</t>
  </si>
  <si>
    <t>9am - 5pm</t>
  </si>
  <si>
    <t>Dearer per 100g but the veg lasts twice as long.</t>
  </si>
  <si>
    <t>End of the road</t>
  </si>
  <si>
    <t>Milk and bread emergencies</t>
  </si>
  <si>
    <t>6am - 11pm</t>
  </si>
  <si>
    <t>Convenient and expensive - the top-up habit to break.</t>
  </si>
  <si>
    <t>Delivered</t>
  </si>
  <si>
    <t>Heavy and bulky, world food aisle</t>
  </si>
  <si>
    <t>Wednesday 7-8pm</t>
  </si>
  <si>
    <t>Free delivery pass</t>
  </si>
  <si>
    <t>Any time</t>
  </si>
  <si>
    <t>Friday night when nobody wants to cook</t>
  </si>
  <si>
    <t>5pm - 11pm</t>
  </si>
  <si>
    <t>Logged here so the takeaway spend lands in the same budget as the shopping.</t>
  </si>
  <si>
    <t>Market Square</t>
  </si>
  <si>
    <t>Birthdays and anniversaries</t>
  </si>
  <si>
    <t>12pm - 10pm</t>
  </si>
  <si>
    <t>Eating out counts as food spend - that is rather the point of tracking it.</t>
  </si>
  <si>
    <t>Special Events</t>
  </si>
  <si>
    <t>Occasions with a head count, a budget and a timetable - and a menu that flows into the normal shopping list.</t>
  </si>
  <si>
    <t>Add the occasion here, then add its meals to the Meal Plan with this occasion chosen - that is what gets the ingredients onto the grocery list.</t>
  </si>
  <si>
    <t>Days to go</t>
  </si>
  <si>
    <t>Guests</t>
  </si>
  <si>
    <t>Adults</t>
  </si>
  <si>
    <t>Children</t>
  </si>
  <si>
    <t>Portions to cook</t>
  </si>
  <si>
    <t>Dietary needs</t>
  </si>
  <si>
    <t>Actual cost</t>
  </si>
  <si>
    <t>Against budget</t>
  </si>
  <si>
    <t>Menu</t>
  </si>
  <si>
    <t>Start cooking</t>
  </si>
  <si>
    <t>Shopping done?</t>
  </si>
  <si>
    <t>Who is hosting</t>
  </si>
  <si>
    <t>13:00</t>
  </si>
  <si>
    <t>Nan does not eat pork</t>
  </si>
  <si>
    <t>Roast chicken, all the trimmings, apple crumble</t>
  </si>
  <si>
    <t>Rory is doing the pudding.</t>
  </si>
  <si>
    <t>Esme's birthday tea</t>
  </si>
  <si>
    <t>16:00</t>
  </si>
  <si>
    <t>Two peanut allergies, one dairy free</t>
  </si>
  <si>
    <t>Pancakes, fruit, chocolate cake</t>
  </si>
  <si>
    <t>Nothing with peanuts in the house that day.</t>
  </si>
  <si>
    <t>Book club</t>
  </si>
  <si>
    <t>19:30</t>
  </si>
  <si>
    <t>One vegan</t>
  </si>
  <si>
    <t>Dhal, flatbreads, salad</t>
  </si>
  <si>
    <t>Tom's work barbecue</t>
  </si>
  <si>
    <t>12:00</t>
  </si>
  <si>
    <t>Burgers, salads, the usual</t>
  </si>
  <si>
    <t>Bought far too much bread again.</t>
  </si>
  <si>
    <t>Food Goals &amp; Habits</t>
  </si>
  <si>
    <t>Three or four goals, measured by the numbers already in this workbook.</t>
  </si>
  <si>
    <t>Goal</t>
  </si>
  <si>
    <t>Area</t>
  </si>
  <si>
    <t>Measured by</t>
  </si>
  <si>
    <t>Aim to</t>
  </si>
  <si>
    <t>Measured now</t>
  </si>
  <si>
    <t>Where you are</t>
  </si>
  <si>
    <t>Progress</t>
  </si>
  <si>
    <t>On track?</t>
  </si>
  <si>
    <t>Why it matters</t>
  </si>
  <si>
    <t>Started</t>
  </si>
  <si>
    <t>Review on</t>
  </si>
  <si>
    <t>Whose goal</t>
  </si>
  <si>
    <t>Cook at home six nights a week</t>
  </si>
  <si>
    <t>Takeaways were creeping back up to twice a week</t>
  </si>
  <si>
    <t>Keep the grocery shop under £780 a month</t>
  </si>
  <si>
    <t>It drifted to £900 last winter</t>
  </si>
  <si>
    <t>Two new recipes a month</t>
  </si>
  <si>
    <t>We were eating the same six dinners on a loop</t>
  </si>
  <si>
    <t>Waste less than £15 of food a month</t>
  </si>
  <si>
    <t>The salad drawer was a graveyard</t>
  </si>
  <si>
    <t>Mostly bagged salad and bread.</t>
  </si>
  <si>
    <t>Four takeaways a month, no more</t>
  </si>
  <si>
    <t>£40 a go adds up fast</t>
  </si>
  <si>
    <t>Five packed lunches a week</t>
  </si>
  <si>
    <t>Meal deals were £7 a day</t>
  </si>
  <si>
    <t>How the habits are going</t>
  </si>
  <si>
    <t>Goals set</t>
  </si>
  <si>
    <t>Average progress</t>
  </si>
  <si>
    <t>Due a review</t>
  </si>
  <si>
    <t>Finished</t>
  </si>
  <si>
    <t>Food Waste &amp; Sustainability</t>
  </si>
  <si>
    <t>What goes in the bin, what it costs, and the handful of habits that change it.</t>
  </si>
  <si>
    <t>the number worth staring at</t>
  </si>
  <si>
    <t>peelings and bones are not avoidable</t>
  </si>
  <si>
    <t>Waste as a share of the shop</t>
  </si>
  <si>
    <t>target under 5%</t>
  </si>
  <si>
    <t>Why food gets thrown away</t>
  </si>
  <si>
    <t>Reason</t>
  </si>
  <si>
    <t>Times</t>
  </si>
  <si>
    <t>Share of the waste</t>
  </si>
  <si>
    <t>Most common item</t>
  </si>
  <si>
    <t>The things you bin most</t>
  </si>
  <si>
    <t>Cost so far</t>
  </si>
  <si>
    <t>Still buying it?</t>
  </si>
  <si>
    <t>What would stop it</t>
  </si>
  <si>
    <t>Where it ends up</t>
  </si>
  <si>
    <t>Disposal route</t>
  </si>
  <si>
    <t>Seven things that actually work</t>
  </si>
  <si>
    <t>Shop your own cupboards first</t>
  </si>
  <si>
    <t>The Pantry deduction on the grocery list does this for you - the saving only lands if you keep the pantry roughly honest.</t>
  </si>
  <si>
    <t>Freeze half on the day you buy it</t>
  </si>
  <si>
    <t>Bread, milk, cooked rice, herbs, cheese. The freezer window on the Settings tab tracks it.</t>
  </si>
  <si>
    <t>Plan one 'use it up' meal a week</t>
  </si>
  <si>
    <t>Soup, fried rice, frittata, traybake. Add it to the Meal Plan with no recipe and the ingredients come out of the fridge rather than the shop.</t>
  </si>
  <si>
    <t>Buy the smaller bag of salad</t>
  </si>
  <si>
    <t>The big bag is cheaper per 100 g only if you eat all of it. Check the Food Waste log before you decide.</t>
  </si>
  <si>
    <t>Use the Leftovers tab as a menu</t>
  </si>
  <si>
    <t>Portions with a value attached get eaten; mystery boxes get binned.</t>
  </si>
  <si>
    <t>Keep a 'eat me first' shelf</t>
  </si>
  <si>
    <t>One shelf, everything close to its date. Costs nothing, works better than any app.</t>
  </si>
  <si>
    <t>Cook from the freezer once a week</t>
  </si>
  <si>
    <t>The Fridge &amp; Freezer page sorts it by how long it has been in there.</t>
  </si>
  <si>
    <t>Eating with the seasons</t>
  </si>
  <si>
    <t>Ingredients tagged</t>
  </si>
  <si>
    <t>Recipes tagged</t>
  </si>
  <si>
    <t>The honest version: a spreadsheet cannot measure your carbon footprint, and anyone who says their meal planner can is guessing. What this page does measure is money in the bin, which is the part you control and the part that changes behaviour. Log a month properly and the pattern is usually obvious - and usually three or four items.</t>
  </si>
  <si>
    <t>Reporting &amp; Analytics</t>
  </si>
  <si>
    <t>Pick a month; every table on this page follows it.</t>
  </si>
  <si>
    <t>Leave it blank and the page shows the month you are in. The list comes from the Lists tab.</t>
  </si>
  <si>
    <t>Total food spend</t>
  </si>
  <si>
    <t>every receipt</t>
  </si>
  <si>
    <t>Cost per head per day</t>
  </si>
  <si>
    <t>the comparable number</t>
  </si>
  <si>
    <t>from the meal plan</t>
  </si>
  <si>
    <t>Food binned</t>
  </si>
  <si>
    <t>the avoidable part hurts</t>
  </si>
  <si>
    <t>under 100% is the win</t>
  </si>
  <si>
    <t>Where the money went</t>
  </si>
  <si>
    <t>Last month</t>
  </si>
  <si>
    <t>Change</t>
  </si>
  <si>
    <t>Monthly average</t>
  </si>
  <si>
    <t>Total</t>
  </si>
  <si>
    <t>What the month looked like in the kitchen</t>
  </si>
  <si>
    <t>Dinners cooked at home</t>
  </si>
  <si>
    <t>the headline habit</t>
  </si>
  <si>
    <t>Takeaways and meals out</t>
  </si>
  <si>
    <t>no judgement, just the number</t>
  </si>
  <si>
    <t>Different recipes used</t>
  </si>
  <si>
    <t>variety, not volume</t>
  </si>
  <si>
    <t>New recipes added</t>
  </si>
  <si>
    <t>one a month is plenty</t>
  </si>
  <si>
    <t>where the easy money is</t>
  </si>
  <si>
    <t>Batch cook sessions</t>
  </si>
  <si>
    <t>from the Meal Prep tab</t>
  </si>
  <si>
    <t>Portions frozen</t>
  </si>
  <si>
    <t>future you says thanks</t>
  </si>
  <si>
    <t>Week by week inside the month</t>
  </si>
  <si>
    <t>Week beginning</t>
  </si>
  <si>
    <t>Cost per head</t>
  </si>
  <si>
    <t>The year in one table</t>
  </si>
  <si>
    <t>Spend</t>
  </si>
  <si>
    <t>Over/under</t>
  </si>
  <si>
    <t>Meals at home</t>
  </si>
  <si>
    <t>Takeaways</t>
  </si>
  <si>
    <t>Shops, ranked by what you spend there</t>
  </si>
  <si>
    <t>Visits</t>
  </si>
  <si>
    <t>Average basket</t>
  </si>
  <si>
    <t>Share of spend</t>
  </si>
  <si>
    <t>Copy any of these tables straight out - they are plain cells, not a pivot table, so paste works properly. If a month looks empty, check the Grocery Spending tab has dates in it: every table on this page keys off the month column, which is worked out from the date you type.</t>
  </si>
  <si>
    <t>This Week's Meals</t>
  </si>
  <si>
    <t>When</t>
  </si>
  <si>
    <t>Who</t>
  </si>
  <si>
    <t>Eat these first</t>
  </si>
  <si>
    <t>Leftover or item</t>
  </si>
  <si>
    <t>Shopping List</t>
  </si>
  <si>
    <t>Got</t>
  </si>
  <si>
    <t>Extras</t>
  </si>
  <si>
    <t>Printed from the Grocery List tab - change the shopping window on Settings and print again.</t>
  </si>
  <si>
    <t>Recipe Card</t>
  </si>
  <si>
    <t>For how many</t>
  </si>
  <si>
    <t>Pick a recipe ID, set the number of people, print.</t>
  </si>
  <si>
    <t>Per serving</t>
  </si>
  <si>
    <t>Help &amp; How It Works</t>
  </si>
  <si>
    <t>Setup, the tab list, the automation chain, and what to do when a number looks wrong.</t>
  </si>
  <si>
    <t>Short version: fill in Settings, Household, Ingredients and Recipes, then plan some meals. Everything else is worked out for you. Every white cell is yours to type in; every shaded cell is a formula and is locked.</t>
  </si>
  <si>
    <t>Setting up, in order</t>
  </si>
  <si>
    <t>1. Settings</t>
  </si>
  <si>
    <t>Household name, who cooks, the week start, your shopping window, budgets and targets. Ten minutes here and everything else has something to work with.</t>
  </si>
  <si>
    <t>2. Household</t>
  </si>
  <si>
    <t>One row per person. The portion factor is the important one - a teenager eating 1.4 portions and a toddler eating 0.6 is why 'serves 4' never quite works.</t>
  </si>
  <si>
    <t>3. Lists</t>
  </si>
  <si>
    <t>Only if you want different categories, cuisines, stores or units. Everything else reads its dropdowns from here, so edit the list rather than typing a one-off value.</t>
  </si>
  <si>
    <t>4. Ingredients</t>
  </si>
  <si>
    <t>Name, pack size, pack price, base unit. This is the tab that makes costing work; without prices the grocery list still works but the money columns stay blank.</t>
  </si>
  <si>
    <t>5. Recipes</t>
  </si>
  <si>
    <t>Name, servings, timings, category. Then the lines go on Recipe Ingredients - one row per ingredient per recipe.</t>
  </si>
  <si>
    <t>6. Meal Plan</t>
  </si>
  <si>
    <t>Pick a date, a slot and a recipe. The Weekly Planner and Monthly Planner are views of this tab, so you can plan from whichever one suits you.</t>
  </si>
  <si>
    <t>7. Grocery List</t>
  </si>
  <si>
    <t>Nothing to do. Set the shopping window on Settings and the list builds itself from the plan, minus what the Pantry says you already have.</t>
  </si>
  <si>
    <t>What each tab is for</t>
  </si>
  <si>
    <t>What it does</t>
  </si>
  <si>
    <t>Start Here</t>
  </si>
  <si>
    <t>The ten minute setup and where everything lives.</t>
  </si>
  <si>
    <t>The week at a glance: cost, calories, what needs attention, what is being eaten.</t>
  </si>
  <si>
    <t>Seven days by seven meal slots. Pick a week with the date at the top.</t>
  </si>
  <si>
    <t>The same plan as a calendar month, with dinners in the day cells.</t>
  </si>
  <si>
    <t>Every number the workbook uses to make a decision.</t>
  </si>
  <si>
    <t>The dropdown lists, and the unit conversion table.</t>
  </si>
  <si>
    <t>Who eats, what they eat, what they cannot eat.</t>
  </si>
  <si>
    <t>The recipe book. Cost, calories and macros come back from the ingredient lines.</t>
  </si>
  <si>
    <t>One row per ingredient per recipe. The engine room.</t>
  </si>
  <si>
    <t>Prices, pack sizes, nutrition per 100, allergens, storage.</t>
  </si>
  <si>
    <t>Every planned meal as a row - the single source of truth behind both planners.</t>
  </si>
  <si>
    <t>Built from the plan minus the pantry. Sorted by aisle for the actual shop.</t>
  </si>
  <si>
    <t>What is in the cupboards, with value and expiry.</t>
  </si>
  <si>
    <t>The things you always want in: tick when they run low.</t>
  </si>
  <si>
    <t>Portions in the fridge, with a use-by and a value.</t>
  </si>
  <si>
    <t>What got binned, why, and what it cost.</t>
  </si>
  <si>
    <t>Batch cooking sessions and what they cover.</t>
  </si>
  <si>
    <t>Six dropdowns; the recipes that survive all six.</t>
  </si>
  <si>
    <t>Nutrition</t>
  </si>
  <si>
    <t>Daily calories and macros against the targets.</t>
  </si>
  <si>
    <t>Twelve months of planned against actual, by type and by store.</t>
  </si>
  <si>
    <t>Recipe Costs</t>
  </si>
  <si>
    <t>Cheapest meals first, and where the money goes.</t>
  </si>
  <si>
    <t>Converter</t>
  </si>
  <si>
    <t>Unit conversion and the recipe scaler.</t>
  </si>
  <si>
    <t>Rotation</t>
  </si>
  <si>
    <t>Variety: what you cook too often and what you have forgotten.</t>
  </si>
  <si>
    <t>Food Safety</t>
  </si>
  <si>
    <t>Allergens by household member, storage times and cooking temperatures.</t>
  </si>
  <si>
    <t>Cold storage sorted by what needs eating first.</t>
  </si>
  <si>
    <t>Every receipt. This is what the budget compares against.</t>
  </si>
  <si>
    <t>The same item at different shops, and the cheapest one.</t>
  </si>
  <si>
    <t>Where you shop, travel time, delivery, price level.</t>
  </si>
  <si>
    <t>Dinners, parties and holidays with their own budget.</t>
  </si>
  <si>
    <t>A handful of food habits with a measure attached.</t>
  </si>
  <si>
    <t>Sustainability</t>
  </si>
  <si>
    <t>Why food gets binned and what stops it.</t>
  </si>
  <si>
    <t>Reports</t>
  </si>
  <si>
    <t>A month on one page, and the year in one table.</t>
  </si>
  <si>
    <t>Print Week</t>
  </si>
  <si>
    <t>The week's meals on one sheet for the fridge door.</t>
  </si>
  <si>
    <t>Print Shopping</t>
  </si>
  <si>
    <t>The shopping list with tick boxes.</t>
  </si>
  <si>
    <t>Print Recipe</t>
  </si>
  <si>
    <t>One recipe scaled to any number of people.</t>
  </si>
  <si>
    <t>How the shopping list builds itself</t>
  </si>
  <si>
    <t>Step 1</t>
  </si>
  <si>
    <t>You set a shopping window on Settings (Shop from / Shop to).</t>
  </si>
  <si>
    <t>Step 2</t>
  </si>
  <si>
    <t>Meal Plan rows inside that window are counted. Each row knows its recipe and how many people are eating, so it knows its scale.</t>
  </si>
  <si>
    <t>Step 3</t>
  </si>
  <si>
    <t>Recipes totals up how many batches of each recipe the window needs.</t>
  </si>
  <si>
    <t>Step 4</t>
  </si>
  <si>
    <t>Recipe Ingredients multiplies every line by those batches and converts it to a base unit - grams, millilitres or each.</t>
  </si>
  <si>
    <t>Step 5</t>
  </si>
  <si>
    <t>Ingredients adds up the total needed for the window, takes off what the Pantry says you already have, and ranks what is short.</t>
  </si>
  <si>
    <t>Step 6</t>
  </si>
  <si>
    <t>Grocery List reads that ranking, rounds up to whole packs, prices it from the cheapest store, and groups it by aisle.</t>
  </si>
  <si>
    <t>Step 7</t>
  </si>
  <si>
    <t>Print Shopping prints that same list with tick boxes.</t>
  </si>
  <si>
    <t>Every step is an ordinary formula you can click on and read. There are no macros in this file, which is also why it opens without a security warning.</t>
  </si>
  <si>
    <t>When something looks wrong</t>
  </si>
  <si>
    <t>Symptom</t>
  </si>
  <si>
    <t>What it usually is</t>
  </si>
  <si>
    <t>The grocery list is empty</t>
  </si>
  <si>
    <t>Check Shop from and Shop to on Settings cover days that actually have meals planned, and that those meals point at a recipe rather than free text.</t>
  </si>
  <si>
    <t>An ingredient is on the list but I have loads</t>
  </si>
  <si>
    <t>The Pantry quantity is what gets deducted. If the cupboard is full but the Pantry says zero, the list will buy it again.</t>
  </si>
  <si>
    <t>Costs are blank or far too low</t>
  </si>
  <si>
    <t>An ingredient with no pack price costs nothing. The Recipes tab has a 'missing a price' flag that tells you which.</t>
  </si>
  <si>
    <t>A conversion looks wrong</t>
  </si>
  <si>
    <t>Weight and volume are never converted into each other - a spreadsheet cannot know the density of your flour. Enter the line in the unit you will measure it in.</t>
  </si>
  <si>
    <t>#N/A or #VALUE! in a cell</t>
  </si>
  <si>
    <t>Nearly always a name typed slightly differently from the list - 'Tomatoes' and 'tomatoes ' are two ingredients. Use the dropdowns.</t>
  </si>
  <si>
    <t>A sheet will not let me type</t>
  </si>
  <si>
    <t>Formula cells are locked on purpose. The password is on the Start Here tab; Review then Unprotect Sheet if you really want to change a calculation.</t>
  </si>
  <si>
    <t>The numbers did not update</t>
  </si>
  <si>
    <t>Press F9. If that does not do it, Formulas then Calculation Options then Automatic.</t>
  </si>
  <si>
    <t>What this workbook cannot do</t>
  </si>
  <si>
    <t>Automatic shopping lists need structured ingredients and consistent units. 'A splash of oil' cannot be added up; '15 ml oil' can.</t>
  </si>
  <si>
    <t>Nutrition is only as good as the per-100 figures you type in, and this is not medical or dietary advice. If something matters clinically, check it with a professional.</t>
  </si>
  <si>
    <t>Allergen and storage columns are memory aids, not guarantees. Always read the actual label - recipes change, so do products.</t>
  </si>
  <si>
    <t>Nothing here can send you a push notification, email you, or order the shopping. It is a spreadsheet; it works when you open it.</t>
  </si>
  <si>
    <t>Prices go stale. The store price tab is a snapshot of what you last saw, not a live feed.</t>
  </si>
  <si>
    <t>Shortcuts worth knowing</t>
  </si>
  <si>
    <t>Keys</t>
  </si>
  <si>
    <t>Ctrl + ;</t>
  </si>
  <si>
    <t>Today's date into the cell</t>
  </si>
  <si>
    <t>Alt + Down</t>
  </si>
  <si>
    <t>Open the dropdown in a validated cell</t>
  </si>
  <si>
    <t>F9</t>
  </si>
  <si>
    <t>Recalculate everything</t>
  </si>
  <si>
    <t>Ctrl + Page Down</t>
  </si>
  <si>
    <t>Next tab</t>
  </si>
  <si>
    <t>Ctrl + Shift + Down</t>
  </si>
  <si>
    <t>Select to the bottom of the column</t>
  </si>
  <si>
    <t>Ctrl + D</t>
  </si>
  <si>
    <t>Copy the cell above - the quickest way to extend a formula column into new rows</t>
  </si>
  <si>
    <t>Ctrl + F</t>
  </si>
  <si>
    <t>Find - faster than scrolling the Recipes tab</t>
  </si>
  <si>
    <t>Adding more rows</t>
  </si>
  <si>
    <t>Every register has spare rows below the sample data - just keep typing.</t>
  </si>
  <si>
    <t>If you run out, select the last row, copy it, and insert copied cells. That carries the formulas and the dropdowns with it.</t>
  </si>
  <si>
    <t>Formula columns are locked; use the password on Start Here if you need to unlock a sheet first.</t>
  </si>
  <si>
    <t>Deleting rows is safe. Deleting whole columns is not - other tabs point at them by name.</t>
  </si>
  <si>
    <t>Printing</t>
  </si>
  <si>
    <t>Print Week, Print Shopping and Print Recipe are already set up to fit a page - just press print.</t>
  </si>
  <si>
    <t>Everything else is set to fit the page width; use landscape for the wide registers.</t>
  </si>
  <si>
    <t>The printables read live data, so there is never a stale copy to tidy up.</t>
  </si>
  <si>
    <t>Automated Meal Planner &amp; Grocery List Spreadsheet - built by Novality Store. No macros, no add-ins, no internet connection required. Works in Excel 2010 and later, and in Google Sheets and LibreOffice with minor cosmetic differences.</t>
  </si>
</sst>
</file>

<file path=xl/styles.xml><?xml version="1.0" encoding="utf-8"?>
<styleSheet xmlns="http://schemas.openxmlformats.org/spreadsheetml/2006/main">
  <numFmts count="12">
    <numFmt numFmtId="164" formatCode="dd-mmm-yyyy"/>
    <numFmt numFmtId="165" formatCode="#,##0"/>
    <numFmt numFmtId="164" formatCode="dd-mmm-yyyy"/>
    <numFmt numFmtId="165" formatCode="#,##0"/>
    <numFmt numFmtId="166" formatCode="$#,##0.00;[Red]-$#,##0.00"/>
    <numFmt numFmtId="167" formatCode="ddd d"/>
    <numFmt numFmtId="166" formatCode="$#,##0.00;[Red]-$#,##0.00"/>
    <numFmt numFmtId="166" formatCode="$#,##0.00;[Red]-$#,##0.00"/>
    <numFmt numFmtId="168" formatCode="0.0%"/>
    <numFmt numFmtId="169" formatCode="ddd d mmm"/>
    <numFmt numFmtId="170" formatCode="#,##0.00"/>
    <numFmt numFmtId="171" formatCode="d mmm"/>
    <numFmt numFmtId="165" formatCode="#,##0"/>
    <numFmt numFmtId="166" formatCode="$#,##0.00;[Red]-$#,##0.00"/>
    <numFmt numFmtId="168" formatCode="0.0%"/>
    <numFmt numFmtId="172" formatCode="#,##0.0"/>
    <numFmt numFmtId="170" formatCode="#,##0.00"/>
    <numFmt numFmtId="172" formatCode="#,##0.0"/>
    <numFmt numFmtId="173" formatCode="0%"/>
    <numFmt numFmtId="173" formatCode="0%"/>
    <numFmt numFmtId="173" formatCode="0%"/>
    <numFmt numFmtId="174" formatCode="h:mm AM/PM"/>
    <numFmt numFmtId="175" formatCode="mmmm"/>
    <numFmt numFmtId="165" formatCode="#,##0"/>
    <numFmt numFmtId="169" formatCode="ddd d mmm"/>
    <numFmt numFmtId="166" formatCode="$#,##0.00;[Red]-$#,##0.00"/>
    <numFmt numFmtId="164" formatCode="dd-mmm-yyyy"/>
    <numFmt numFmtId="172" formatCode="#,##0.0"/>
    <numFmt numFmtId="170" formatCode="#,##0.00"/>
  </numFmts>
  <fonts count="22">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A6560"/>
      <name val="Calibri"/>
      <family val="2"/>
      <scheme val="minor"/>
    </font>
    <font>
      <b/>
      <u/>
      <sz val="9"/>
      <color rgb="FF2A4A8B"/>
      <name val="Calibri"/>
      <family val="2"/>
      <scheme val="minor"/>
    </font>
    <font>
      <sz val="9"/>
      <color rgb="FF1E2C22"/>
      <name val="Calibri"/>
      <family val="2"/>
      <scheme val="minor"/>
    </font>
    <font>
      <b/>
      <sz val="11"/>
      <color rgb="FFFFFFFF"/>
      <name val="Calibri"/>
      <family val="2"/>
      <scheme val="minor"/>
    </font>
    <font>
      <b/>
      <sz val="9"/>
      <color rgb="FFFFFFFF"/>
      <name val="Calibri"/>
      <family val="2"/>
      <scheme val="minor"/>
    </font>
    <font>
      <b/>
      <sz val="10"/>
      <color rgb="FF1E2C22"/>
      <name val="Calibri"/>
      <family val="2"/>
      <scheme val="minor"/>
    </font>
    <font>
      <i/>
      <sz val="9"/>
      <color rgb="FF5A6560"/>
      <name val="Calibri"/>
      <family val="2"/>
      <scheme val="minor"/>
    </font>
    <font>
      <sz val="10"/>
      <color rgb="FF1E2C22"/>
      <name val="Calibri"/>
      <family val="2"/>
      <scheme val="minor"/>
    </font>
    <font>
      <sz val="10"/>
      <color theme="1"/>
      <name val="Calibri"/>
      <family val="2"/>
      <scheme val="minor"/>
    </font>
    <font>
      <b/>
      <sz val="16"/>
      <color rgb="FF1E2C22"/>
      <name val="Calibri"/>
      <family val="2"/>
      <scheme val="minor"/>
    </font>
    <font>
      <i/>
      <sz val="8"/>
      <color rgb="FF5A6560"/>
      <name val="Calibri"/>
      <family val="2"/>
      <scheme val="minor"/>
    </font>
    <font>
      <sz val="9"/>
      <color rgb="FF5A6560"/>
      <name val="Calibri"/>
      <family val="2"/>
      <scheme val="minor"/>
    </font>
    <font>
      <b/>
      <sz val="11"/>
      <color rgb="FF2F5E43"/>
      <name val="Calibri"/>
      <family val="2"/>
      <scheme val="minor"/>
    </font>
    <font>
      <sz val="8"/>
      <color rgb="FF1E2C22"/>
      <name val="Calibri"/>
      <family val="2"/>
      <scheme val="minor"/>
    </font>
    <font>
      <b/>
      <sz val="10"/>
      <color rgb="FF2F5E43"/>
      <name val="Calibri"/>
      <family val="2"/>
      <scheme val="minor"/>
    </font>
    <font>
      <b/>
      <sz val="10"/>
      <color theme="1"/>
      <name val="Calibri"/>
      <family val="2"/>
      <scheme val="minor"/>
    </font>
    <font>
      <u/>
      <sz val="10"/>
      <color rgb="FF2A4A8B"/>
      <name val="Calibri"/>
      <family val="2"/>
      <scheme val="minor"/>
    </font>
    <font>
      <b/>
      <sz val="16"/>
      <color rgb="FF2F5E43"/>
      <name val="Calibri"/>
      <family val="2"/>
      <scheme val="minor"/>
    </font>
  </fonts>
  <fills count="10">
    <fill>
      <patternFill patternType="none"/>
    </fill>
    <fill>
      <patternFill patternType="gray125"/>
    </fill>
    <fill>
      <patternFill patternType="solid">
        <fgColor rgb="FF2F5E43"/>
        <bgColor indexed="64"/>
      </patternFill>
    </fill>
    <fill>
      <patternFill patternType="solid">
        <fgColor rgb="FFF7FAF8"/>
        <bgColor indexed="64"/>
      </patternFill>
    </fill>
    <fill>
      <patternFill patternType="solid">
        <fgColor rgb="FFFBE9DC"/>
        <bgColor indexed="64"/>
      </patternFill>
    </fill>
    <fill>
      <patternFill patternType="solid">
        <fgColor rgb="FF4E8A63"/>
        <bgColor indexed="64"/>
      </patternFill>
    </fill>
    <fill>
      <patternFill patternType="solid">
        <fgColor rgb="FFFFFDF7"/>
        <bgColor indexed="64"/>
      </patternFill>
    </fill>
    <fill>
      <patternFill patternType="solid">
        <fgColor rgb="FFEFF4F0"/>
        <bgColor indexed="64"/>
      </patternFill>
    </fill>
    <fill>
      <patternFill patternType="solid">
        <fgColor rgb="FFFFFFFF"/>
        <bgColor indexed="64"/>
      </patternFill>
    </fill>
    <fill>
      <patternFill patternType="solid">
        <fgColor rgb="FFE2EFE6"/>
        <bgColor indexed="64"/>
      </patternFill>
    </fill>
  </fills>
  <borders count="8">
    <border>
      <left/>
      <right/>
      <top/>
      <bottom/>
      <diagonal/>
    </border>
    <border>
      <left style="thin">
        <color rgb="FFD9703C"/>
      </left>
      <right style="thin">
        <color rgb="FFD9703C"/>
      </right>
      <top style="thin">
        <color rgb="FFD9703C"/>
      </top>
      <bottom style="thin">
        <color rgb="FFD9703C"/>
      </bottom>
      <diagonal/>
    </border>
    <border>
      <left style="thin">
        <color rgb="FF2F5E43"/>
      </left>
      <right style="thin">
        <color rgb="FF2F5E43"/>
      </right>
      <top style="thin">
        <color rgb="FF2F5E43"/>
      </top>
      <bottom style="thin">
        <color rgb="FF2F5E43"/>
      </bottom>
      <diagonal/>
    </border>
    <border>
      <left style="thin">
        <color rgb="FFE8DEC6"/>
      </left>
      <right style="thin">
        <color rgb="FFE8DEC6"/>
      </right>
      <top style="thin">
        <color rgb="FFE8DEC6"/>
      </top>
      <bottom style="thin">
        <color rgb="FFE8DEC6"/>
      </bottom>
      <diagonal/>
    </border>
    <border>
      <left style="thin">
        <color rgb="FFD2E0D6"/>
      </left>
      <right style="thin">
        <color rgb="FFD2E0D6"/>
      </right>
      <top style="thin">
        <color rgb="FFD2E0D6"/>
      </top>
      <bottom style="thin">
        <color rgb="FFD2E0D6"/>
      </bottom>
      <diagonal/>
    </border>
    <border>
      <left style="thin">
        <color rgb="FFC2D4C7"/>
      </left>
      <right style="thin">
        <color rgb="FFC2D4C7"/>
      </right>
      <top style="thin">
        <color rgb="FFC2D4C7"/>
      </top>
      <bottom style="thin">
        <color rgb="FFC2D4C7"/>
      </bottom>
      <diagonal/>
    </border>
    <border>
      <left style="thin">
        <color rgb="FF1E2C22"/>
      </left>
      <right style="thin">
        <color rgb="FF1E2C22"/>
      </right>
      <top style="thin">
        <color rgb="FF1E2C22"/>
      </top>
      <bottom style="thin">
        <color rgb="FF1E2C22"/>
      </bottom>
      <diagonal/>
    </border>
    <border>
      <left/>
      <right/>
      <top/>
      <bottom style="thin">
        <color rgb="FF1E2C22"/>
      </bottom>
      <diagonal/>
    </border>
  </borders>
  <cellStyleXfs count="1">
    <xf numFmtId="0" fontId="0" fillId="0" borderId="0"/>
  </cellStyleXfs>
  <cellXfs count="69">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8" fillId="5" borderId="0" xfId="0" applyFont="1" applyFill="1" applyAlignment="1">
      <alignment horizontal="left" vertical="center" indent="1"/>
    </xf>
    <xf numFmtId="0" fontId="9" fillId="0" borderId="0" xfId="0" applyFont="1" applyAlignment="1">
      <alignment horizontal="left" vertical="center" indent="1"/>
    </xf>
    <xf numFmtId="0" fontId="10" fillId="0" borderId="0" xfId="0" applyFont="1" applyAlignment="1">
      <alignment horizontal="left" vertical="top" wrapText="1"/>
    </xf>
    <xf numFmtId="0" fontId="11" fillId="0" borderId="0" xfId="0" applyFont="1" applyAlignment="1">
      <alignment horizontal="left" vertical="center" indent="1"/>
    </xf>
    <xf numFmtId="0" fontId="4" fillId="0" borderId="0" xfId="0" applyFont="1" applyAlignment="1">
      <alignment horizontal="left" vertical="center"/>
    </xf>
    <xf numFmtId="164" fontId="12" fillId="6" borderId="3" xfId="0" applyNumberFormat="1" applyFont="1" applyFill="1" applyBorder="1" applyAlignment="1" applyProtection="1">
      <alignment horizontal="center" vertical="center"/>
      <protection locked="0"/>
    </xf>
    <xf numFmtId="0" fontId="11" fillId="0" borderId="0" xfId="0" applyFont="1" applyAlignment="1">
      <alignment horizontal="right" vertical="center"/>
    </xf>
    <xf numFmtId="0" fontId="11" fillId="7" borderId="4" xfId="0" applyFont="1" applyFill="1" applyBorder="1" applyAlignment="1">
      <alignment horizontal="left" vertical="center"/>
    </xf>
    <xf numFmtId="165" fontId="11" fillId="7" borderId="4" xfId="0" applyNumberFormat="1" applyFont="1" applyFill="1" applyBorder="1" applyAlignment="1">
      <alignment horizontal="right" vertical="center"/>
    </xf>
    <xf numFmtId="164" fontId="11" fillId="7" borderId="4" xfId="0" applyNumberFormat="1" applyFont="1" applyFill="1" applyBorder="1" applyAlignment="1">
      <alignment horizontal="center" vertical="center"/>
    </xf>
    <xf numFmtId="165" fontId="13" fillId="8" borderId="5" xfId="0" applyNumberFormat="1" applyFont="1" applyFill="1" applyBorder="1" applyAlignment="1">
      <alignment horizontal="center" vertical="center"/>
    </xf>
    <xf numFmtId="166" fontId="13" fillId="8" borderId="5" xfId="0" applyNumberFormat="1" applyFont="1" applyFill="1" applyBorder="1" applyAlignment="1">
      <alignment horizontal="center" vertical="center"/>
    </xf>
    <xf numFmtId="0" fontId="14" fillId="8" borderId="5" xfId="0" applyFont="1" applyFill="1" applyBorder="1" applyAlignment="1">
      <alignment horizontal="center" vertical="center"/>
    </xf>
    <xf numFmtId="167" fontId="8" fillId="2" borderId="2" xfId="0" applyNumberFormat="1" applyFont="1" applyFill="1" applyBorder="1" applyAlignment="1">
      <alignment horizontal="center" vertical="center" wrapText="1"/>
    </xf>
    <xf numFmtId="0" fontId="11" fillId="7" borderId="4" xfId="0" applyFont="1" applyFill="1" applyBorder="1" applyAlignment="1">
      <alignment horizontal="left" vertical="top" wrapText="1"/>
    </xf>
    <xf numFmtId="166" fontId="11" fillId="7" borderId="4" xfId="0" applyNumberFormat="1" applyFont="1" applyFill="1" applyBorder="1" applyAlignment="1">
      <alignment horizontal="right" vertical="center"/>
    </xf>
    <xf numFmtId="166" fontId="3" fillId="2" borderId="0" xfId="0" applyNumberFormat="1" applyFont="1" applyFill="1" applyAlignment="1">
      <alignment horizontal="right" vertical="center"/>
    </xf>
    <xf numFmtId="168" fontId="11" fillId="7" borderId="4" xfId="0" applyNumberFormat="1" applyFont="1" applyFill="1" applyBorder="1" applyAlignment="1">
      <alignment horizontal="center" vertical="center"/>
    </xf>
    <xf numFmtId="0" fontId="15" fillId="3" borderId="0" xfId="0" applyFont="1" applyFill="1" applyAlignment="1">
      <alignment horizontal="left" vertical="center"/>
    </xf>
    <xf numFmtId="169" fontId="8" fillId="2" borderId="2" xfId="0" applyNumberFormat="1" applyFont="1" applyFill="1" applyBorder="1" applyAlignment="1">
      <alignment horizontal="center" vertical="center" wrapText="1"/>
    </xf>
    <xf numFmtId="170" fontId="11" fillId="7" borderId="4" xfId="0" applyNumberFormat="1" applyFont="1" applyFill="1" applyBorder="1" applyAlignment="1">
      <alignment horizontal="right" vertical="center"/>
    </xf>
    <xf numFmtId="0" fontId="9" fillId="7" borderId="4" xfId="0" applyFont="1" applyFill="1" applyBorder="1" applyAlignment="1">
      <alignment horizontal="center" vertical="center"/>
    </xf>
    <xf numFmtId="0" fontId="12" fillId="6" borderId="3" xfId="0" applyFont="1" applyFill="1" applyBorder="1" applyAlignment="1" applyProtection="1">
      <alignment horizontal="left" vertical="center"/>
      <protection locked="0"/>
    </xf>
    <xf numFmtId="171" fontId="16" fillId="9" borderId="5" xfId="0" applyNumberFormat="1" applyFont="1" applyFill="1" applyBorder="1" applyAlignment="1">
      <alignment horizontal="left" vertical="center" indent="1"/>
    </xf>
    <xf numFmtId="0" fontId="17" fillId="8" borderId="5" xfId="0" applyFont="1" applyFill="1" applyBorder="1" applyAlignment="1">
      <alignment horizontal="left" vertical="center" indent="1"/>
    </xf>
    <xf numFmtId="165" fontId="12" fillId="6" borderId="3" xfId="0" applyNumberFormat="1" applyFont="1" applyFill="1" applyBorder="1" applyAlignment="1" applyProtection="1">
      <alignment horizontal="right" vertical="center"/>
      <protection locked="0"/>
    </xf>
    <xf numFmtId="166" fontId="12" fillId="6" borderId="3" xfId="0" applyNumberFormat="1" applyFont="1" applyFill="1" applyBorder="1" applyAlignment="1" applyProtection="1">
      <alignment horizontal="right" vertical="center"/>
      <protection locked="0"/>
    </xf>
    <xf numFmtId="168" fontId="12" fillId="6" borderId="3" xfId="0" applyNumberFormat="1" applyFont="1" applyFill="1" applyBorder="1" applyAlignment="1" applyProtection="1">
      <alignment horizontal="center" vertical="center"/>
      <protection locked="0"/>
    </xf>
    <xf numFmtId="172" fontId="12" fillId="6" borderId="3" xfId="0" applyNumberFormat="1" applyFont="1" applyFill="1" applyBorder="1" applyAlignment="1" applyProtection="1">
      <alignment horizontal="right" vertical="center"/>
      <protection locked="0"/>
    </xf>
    <xf numFmtId="0" fontId="18" fillId="7" borderId="4" xfId="0" applyFont="1" applyFill="1" applyBorder="1" applyAlignment="1">
      <alignment horizontal="left" vertical="center"/>
    </xf>
    <xf numFmtId="0" fontId="12" fillId="6" borderId="3" xfId="0" applyFont="1" applyFill="1" applyBorder="1" applyAlignment="1" applyProtection="1">
      <alignment horizontal="center" vertical="center"/>
      <protection locked="0"/>
    </xf>
    <xf numFmtId="170" fontId="12" fillId="6" borderId="3" xfId="0" applyNumberFormat="1" applyFont="1" applyFill="1" applyBorder="1" applyAlignment="1" applyProtection="1">
      <alignment horizontal="right" vertical="center"/>
      <protection locked="0"/>
    </xf>
    <xf numFmtId="0" fontId="19" fillId="6" borderId="3" xfId="0" applyFont="1" applyFill="1" applyBorder="1" applyAlignment="1" applyProtection="1">
      <alignment horizontal="center" vertical="center"/>
      <protection locked="0"/>
    </xf>
    <xf numFmtId="0" fontId="12" fillId="6" borderId="3" xfId="0" applyFont="1" applyFill="1" applyBorder="1" applyAlignment="1" applyProtection="1">
      <alignment horizontal="left" vertical="top" wrapText="1"/>
      <protection locked="0"/>
    </xf>
    <xf numFmtId="0" fontId="10" fillId="3" borderId="0" xfId="0" applyFont="1" applyFill="1" applyAlignment="1">
      <alignment horizontal="left" vertical="top" wrapText="1"/>
    </xf>
    <xf numFmtId="172" fontId="11" fillId="7" borderId="4" xfId="0" applyNumberFormat="1" applyFont="1" applyFill="1" applyBorder="1" applyAlignment="1">
      <alignment horizontal="right" vertical="center"/>
    </xf>
    <xf numFmtId="0" fontId="11" fillId="7" borderId="4" xfId="0" applyFont="1" applyFill="1" applyBorder="1" applyAlignment="1">
      <alignment horizontal="center" vertical="center"/>
    </xf>
    <xf numFmtId="0" fontId="20" fillId="6" borderId="3" xfId="0" applyFont="1" applyFill="1" applyBorder="1" applyAlignment="1" applyProtection="1">
      <alignment horizontal="left" vertical="center"/>
      <protection locked="0"/>
    </xf>
    <xf numFmtId="0" fontId="3" fillId="2" borderId="0" xfId="0" applyFont="1" applyFill="1" applyAlignment="1">
      <alignment horizontal="left" vertical="center" indent="1"/>
    </xf>
    <xf numFmtId="0" fontId="3" fillId="2" borderId="0" xfId="0" applyFont="1" applyFill="1" applyAlignment="1">
      <alignment horizontal="left" vertical="center"/>
    </xf>
    <xf numFmtId="173" fontId="11" fillId="7" borderId="4" xfId="0" applyNumberFormat="1" applyFont="1" applyFill="1" applyBorder="1" applyAlignment="1">
      <alignment horizontal="center" vertical="center"/>
    </xf>
    <xf numFmtId="0" fontId="13" fillId="8" borderId="5" xfId="0" applyFont="1" applyFill="1" applyBorder="1" applyAlignment="1">
      <alignment horizontal="left" vertical="center"/>
    </xf>
    <xf numFmtId="0" fontId="13" fillId="8" borderId="5" xfId="0" applyFont="1" applyFill="1" applyBorder="1" applyAlignment="1">
      <alignment horizontal="center" vertical="center"/>
    </xf>
    <xf numFmtId="0" fontId="3" fillId="2" borderId="0" xfId="0" applyFont="1" applyFill="1" applyAlignment="1">
      <alignment horizontal="right" vertical="center"/>
    </xf>
    <xf numFmtId="173" fontId="3" fillId="2" borderId="0" xfId="0" applyNumberFormat="1" applyFont="1" applyFill="1" applyAlignment="1">
      <alignment horizontal="right" vertical="center"/>
    </xf>
    <xf numFmtId="173" fontId="13" fillId="8" borderId="5" xfId="0" applyNumberFormat="1" applyFont="1" applyFill="1" applyBorder="1" applyAlignment="1">
      <alignment horizontal="center" vertical="center"/>
    </xf>
    <xf numFmtId="174" fontId="12" fillId="6" borderId="3" xfId="0" applyNumberFormat="1" applyFont="1" applyFill="1" applyBorder="1" applyAlignment="1" applyProtection="1">
      <alignment horizontal="center" vertical="center"/>
      <protection locked="0"/>
    </xf>
    <xf numFmtId="175" fontId="11" fillId="7" borderId="4" xfId="0" applyNumberFormat="1" applyFont="1" applyFill="1" applyBorder="1" applyAlignment="1">
      <alignment horizontal="left" vertical="center"/>
    </xf>
    <xf numFmtId="165" fontId="3" fillId="2" borderId="0" xfId="0" applyNumberFormat="1" applyFont="1" applyFill="1" applyAlignment="1">
      <alignment horizontal="right" vertical="center"/>
    </xf>
    <xf numFmtId="0" fontId="21" fillId="0" borderId="0" xfId="0" applyFont="1" applyAlignment="1">
      <alignment horizontal="left" vertical="center"/>
    </xf>
    <xf numFmtId="169" fontId="9" fillId="0" borderId="0" xfId="0" applyNumberFormat="1" applyFont="1" applyAlignment="1">
      <alignment horizontal="left" vertical="center" indent="1"/>
    </xf>
    <xf numFmtId="0" fontId="12" fillId="0" borderId="0" xfId="0" applyFont="1" applyAlignment="1">
      <alignment horizontal="left" vertical="top" wrapText="1"/>
    </xf>
    <xf numFmtId="166" fontId="12" fillId="0" borderId="0" xfId="0" applyNumberFormat="1" applyFont="1" applyAlignment="1">
      <alignment horizontal="right" vertical="center"/>
    </xf>
    <xf numFmtId="0" fontId="12" fillId="0" borderId="0" xfId="0" applyFont="1" applyAlignment="1">
      <alignment horizontal="left" vertical="center"/>
    </xf>
    <xf numFmtId="0" fontId="12" fillId="0" borderId="6" xfId="0" applyFont="1" applyBorder="1" applyAlignment="1" applyProtection="1">
      <alignment horizontal="left" vertical="top" wrapText="1"/>
      <protection locked="0"/>
    </xf>
    <xf numFmtId="164" fontId="12" fillId="0" borderId="0" xfId="0" applyNumberFormat="1" applyFont="1" applyAlignment="1">
      <alignment horizontal="center" vertical="center"/>
    </xf>
    <xf numFmtId="172" fontId="12" fillId="0" borderId="0" xfId="0" applyNumberFormat="1" applyFont="1" applyAlignment="1">
      <alignment horizontal="right" vertical="center"/>
    </xf>
    <xf numFmtId="0" fontId="12" fillId="0" borderId="7" xfId="0" applyFont="1" applyBorder="1" applyAlignment="1" applyProtection="1">
      <alignment horizontal="left" vertical="center"/>
      <protection locked="0"/>
    </xf>
    <xf numFmtId="170" fontId="12" fillId="0" borderId="0" xfId="0" applyNumberFormat="1" applyFont="1" applyAlignment="1">
      <alignment horizontal="right" vertical="center"/>
    </xf>
  </cellXfs>
  <cellStyles count="1">
    <cellStyle name="Normal" xfId="0" builtinId="0"/>
  </cellStyles>
  <dxfs count="5">
    <dxf>
      <font>
        <color rgb="FF8A5A00"/>
      </font>
      <fill>
        <patternFill>
          <bgColor rgb="FFFFF1CF"/>
        </patternFill>
      </fill>
    </dxf>
    <dxf>
      <font>
        <color rgb="FF0E6B45"/>
      </font>
      <fill>
        <patternFill>
          <bgColor rgb="FFD9F2E4"/>
        </patternFill>
      </fill>
    </dxf>
    <dxf>
      <font>
        <color rgb="FF9C1C2E"/>
      </font>
      <fill>
        <patternFill>
          <bgColor rgb="FFFBD9DD"/>
        </patternFill>
      </fill>
    </dxf>
    <dxf>
      <font>
        <i/>
        <color rgb="FF5A6560"/>
      </font>
    </dxf>
    <dxf>
      <font>
        <color rgb="FF2A4A8B"/>
      </font>
      <fill>
        <patternFill>
          <bgColor rgb="FFDEE8F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sheet1.xml><?xml version="1.0" encoding="utf-8"?>
<worksheet xmlns="http://schemas.openxmlformats.org/spreadsheetml/2006/main" xmlns:r="http://schemas.openxmlformats.org/officeDocument/2006/relationships">
  <sheetPr>
    <tabColor rgb="FF2F5E43"/>
    <pageSetUpPr fitToPage="1"/>
  </sheetPr>
  <dimension ref="A1:L69"/>
  <sheetViews>
    <sheetView showGridLines="0" tabSelected="1" workbookViewId="0">
      <pane ySplit="4" topLeftCell="A5" activePane="bottomLeft" state="frozen"/>
      <selection pane="bottomLeft"/>
    </sheetView>
  </sheetViews>
  <sheetFormatPr defaultRowHeight="15"/>
  <cols>
    <col min="1" max="1" width="4.7109375" customWidth="1"/>
    <col min="2" max="2" width="22.7109375" customWidth="1"/>
    <col min="3" max="3" width="30.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2" max="2" width="8.7109375" customWidth="1"/>
    <col min="3" max="3" width="26.7109375" customWidth="1"/>
    <col min="4" max="4" width="68.7109375" customWidth="1"/>
    <col min="2" max="2" width="26.7109375" customWidth="1"/>
    <col min="3" max="3" width="70.7109375" customWidth="1"/>
  </cols>
  <sheetData>
    <row r="1" spans="1:12" ht="34" customHeight="1">
      <c r="A1" s="2" t="s">
        <v>0</v>
      </c>
      <c r="B1" s="2"/>
      <c r="C1" s="2"/>
      <c r="D1" s="2"/>
      <c r="E1" s="2"/>
      <c r="F1" s="2"/>
      <c r="G1" s="2"/>
      <c r="H1" s="2"/>
      <c r="I1" s="2"/>
      <c r="J1" s="3" t="s">
        <v>1</v>
      </c>
      <c r="K1" s="3"/>
      <c r="L1" s="3"/>
    </row>
    <row r="2" spans="1:12" ht="18" customHeight="1">
      <c r="A2" s="4" t="s">
        <v>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ht="46" customHeight="1">
      <c r="B5" s="6" t="s">
        <v>9</v>
      </c>
      <c r="C5" s="6"/>
      <c r="D5" s="6"/>
      <c r="E5" s="6"/>
      <c r="F5" s="6"/>
      <c r="G5" s="6"/>
      <c r="H5" s="6"/>
      <c r="I5" s="6"/>
      <c r="J5" s="6"/>
      <c r="K5" s="6"/>
      <c r="L5" s="6"/>
    </row>
    <row r="7" spans="1:12" ht="20" customHeight="1">
      <c r="A7" s="7" t="s">
        <v>10</v>
      </c>
      <c r="B7" s="7"/>
      <c r="C7" s="7"/>
      <c r="D7" s="7"/>
      <c r="E7" s="7"/>
      <c r="F7" s="7"/>
      <c r="G7" s="7"/>
      <c r="H7" s="7"/>
      <c r="I7" s="7"/>
      <c r="J7" s="7"/>
      <c r="K7" s="7"/>
      <c r="L7" s="7"/>
    </row>
    <row r="8" spans="1:12" ht="26" customHeight="1">
      <c r="B8" s="8" t="s">
        <v>11</v>
      </c>
      <c r="C8" s="9" t="s">
        <v>12</v>
      </c>
      <c r="D8" s="9" t="s">
        <v>13</v>
      </c>
    </row>
    <row r="9" spans="1:12" ht="32" customHeight="1">
      <c r="B9" s="10" t="s">
        <v>14</v>
      </c>
      <c r="C9" s="11" t="s">
        <v>15</v>
      </c>
      <c r="D9" s="12" t="s">
        <v>16</v>
      </c>
      <c r="E9" s="12"/>
      <c r="F9" s="12"/>
      <c r="G9" s="12"/>
      <c r="H9" s="12"/>
      <c r="I9" s="12"/>
      <c r="J9" s="12"/>
      <c r="K9" s="12"/>
      <c r="L9" s="12"/>
    </row>
    <row r="10" spans="1:12" ht="32" customHeight="1">
      <c r="B10" s="10" t="s">
        <v>17</v>
      </c>
      <c r="C10" s="11" t="s">
        <v>18</v>
      </c>
      <c r="D10" s="12" t="s">
        <v>19</v>
      </c>
      <c r="E10" s="12"/>
      <c r="F10" s="12"/>
      <c r="G10" s="12"/>
      <c r="H10" s="12"/>
      <c r="I10" s="12"/>
      <c r="J10" s="12"/>
      <c r="K10" s="12"/>
      <c r="L10" s="12"/>
    </row>
    <row r="11" spans="1:12" ht="32" customHeight="1">
      <c r="B11" s="10" t="s">
        <v>20</v>
      </c>
      <c r="C11" s="11" t="s">
        <v>21</v>
      </c>
      <c r="D11" s="12" t="s">
        <v>22</v>
      </c>
      <c r="E11" s="12"/>
      <c r="F11" s="12"/>
      <c r="G11" s="12"/>
      <c r="H11" s="12"/>
      <c r="I11" s="12"/>
      <c r="J11" s="12"/>
      <c r="K11" s="12"/>
      <c r="L11" s="12"/>
    </row>
    <row r="12" spans="1:12" ht="32" customHeight="1">
      <c r="B12" s="10" t="s">
        <v>23</v>
      </c>
      <c r="C12" s="11" t="s">
        <v>24</v>
      </c>
      <c r="D12" s="12" t="s">
        <v>25</v>
      </c>
      <c r="E12" s="12"/>
      <c r="F12" s="12"/>
      <c r="G12" s="12"/>
      <c r="H12" s="12"/>
      <c r="I12" s="12"/>
      <c r="J12" s="12"/>
      <c r="K12" s="12"/>
      <c r="L12" s="12"/>
    </row>
    <row r="13" spans="1:12" ht="32" customHeight="1">
      <c r="B13" s="10" t="s">
        <v>26</v>
      </c>
      <c r="C13" s="11" t="s">
        <v>27</v>
      </c>
      <c r="D13" s="12" t="s">
        <v>28</v>
      </c>
      <c r="E13" s="12"/>
      <c r="F13" s="12"/>
      <c r="G13" s="12"/>
      <c r="H13" s="12"/>
      <c r="I13" s="12"/>
      <c r="J13" s="12"/>
      <c r="K13" s="12"/>
      <c r="L13" s="12"/>
    </row>
    <row r="14" spans="1:12" ht="32" customHeight="1">
      <c r="B14" s="10" t="s">
        <v>29</v>
      </c>
      <c r="C14" s="11" t="s">
        <v>30</v>
      </c>
      <c r="D14" s="12" t="s">
        <v>31</v>
      </c>
      <c r="E14" s="12"/>
      <c r="F14" s="12"/>
      <c r="G14" s="12"/>
      <c r="H14" s="12"/>
      <c r="I14" s="12"/>
      <c r="J14" s="12"/>
      <c r="K14" s="12"/>
      <c r="L14" s="12"/>
    </row>
    <row r="16" spans="1:12" ht="20" customHeight="1">
      <c r="A16" s="7" t="s">
        <v>32</v>
      </c>
      <c r="B16" s="7"/>
      <c r="C16" s="7"/>
      <c r="D16" s="7"/>
      <c r="E16" s="7"/>
      <c r="F16" s="7"/>
      <c r="G16" s="7"/>
      <c r="H16" s="7"/>
      <c r="I16" s="7"/>
      <c r="J16" s="7"/>
      <c r="K16" s="7"/>
      <c r="L16" s="7"/>
    </row>
    <row r="17" spans="1:12" ht="26" customHeight="1">
      <c r="B17" s="13" t="s">
        <v>33</v>
      </c>
      <c r="C17" s="13"/>
      <c r="D17" s="13"/>
      <c r="E17" s="13"/>
      <c r="F17" s="13"/>
      <c r="G17" s="13"/>
      <c r="H17" s="13"/>
      <c r="I17" s="13"/>
      <c r="J17" s="13"/>
      <c r="K17" s="13"/>
      <c r="L17" s="13"/>
    </row>
    <row r="18" spans="1:12" ht="26" customHeight="1">
      <c r="B18" s="13" t="s">
        <v>34</v>
      </c>
      <c r="C18" s="13"/>
      <c r="D18" s="13"/>
      <c r="E18" s="13"/>
      <c r="F18" s="13"/>
      <c r="G18" s="13"/>
      <c r="H18" s="13"/>
      <c r="I18" s="13"/>
      <c r="J18" s="13"/>
      <c r="K18" s="13"/>
      <c r="L18" s="13"/>
    </row>
    <row r="19" spans="1:12" ht="26" customHeight="1">
      <c r="B19" s="13" t="s">
        <v>35</v>
      </c>
      <c r="C19" s="13"/>
      <c r="D19" s="13"/>
      <c r="E19" s="13"/>
      <c r="F19" s="13"/>
      <c r="G19" s="13"/>
      <c r="H19" s="13"/>
      <c r="I19" s="13"/>
      <c r="J19" s="13"/>
      <c r="K19" s="13"/>
      <c r="L19" s="13"/>
    </row>
    <row r="20" spans="1:12" ht="26" customHeight="1">
      <c r="B20" s="13" t="s">
        <v>36</v>
      </c>
      <c r="C20" s="13"/>
      <c r="D20" s="13"/>
      <c r="E20" s="13"/>
      <c r="F20" s="13"/>
      <c r="G20" s="13"/>
      <c r="H20" s="13"/>
      <c r="I20" s="13"/>
      <c r="J20" s="13"/>
      <c r="K20" s="13"/>
      <c r="L20" s="13"/>
    </row>
    <row r="21" spans="1:12" ht="26" customHeight="1">
      <c r="B21" s="13" t="s">
        <v>37</v>
      </c>
      <c r="C21" s="13"/>
      <c r="D21" s="13"/>
      <c r="E21" s="13"/>
      <c r="F21" s="13"/>
      <c r="G21" s="13"/>
      <c r="H21" s="13"/>
      <c r="I21" s="13"/>
      <c r="J21" s="13"/>
      <c r="K21" s="13"/>
      <c r="L21" s="13"/>
    </row>
    <row r="22" spans="1:12" ht="26" customHeight="1">
      <c r="B22" s="13" t="s">
        <v>38</v>
      </c>
      <c r="C22" s="13"/>
      <c r="D22" s="13"/>
      <c r="E22" s="13"/>
      <c r="F22" s="13"/>
      <c r="G22" s="13"/>
      <c r="H22" s="13"/>
      <c r="I22" s="13"/>
      <c r="J22" s="13"/>
      <c r="K22" s="13"/>
      <c r="L22" s="13"/>
    </row>
    <row r="24" spans="1:12" ht="20" customHeight="1">
      <c r="A24" s="7" t="s">
        <v>39</v>
      </c>
      <c r="B24" s="7"/>
      <c r="C24" s="7"/>
      <c r="D24" s="7"/>
      <c r="E24" s="7"/>
      <c r="F24" s="7"/>
      <c r="G24" s="7"/>
      <c r="H24" s="7"/>
      <c r="I24" s="7"/>
      <c r="J24" s="7"/>
      <c r="K24" s="7"/>
      <c r="L24" s="7"/>
    </row>
    <row r="25" spans="1:12" ht="26" customHeight="1">
      <c r="B25" s="13" t="s">
        <v>40</v>
      </c>
      <c r="C25" s="13"/>
      <c r="D25" s="13"/>
      <c r="E25" s="13"/>
      <c r="F25" s="13"/>
      <c r="G25" s="13"/>
      <c r="H25" s="13"/>
      <c r="I25" s="13"/>
      <c r="J25" s="13"/>
      <c r="K25" s="13"/>
      <c r="L25" s="13"/>
    </row>
    <row r="26" spans="1:12" ht="26" customHeight="1">
      <c r="B26" s="13" t="s">
        <v>41</v>
      </c>
      <c r="C26" s="13"/>
      <c r="D26" s="13"/>
      <c r="E26" s="13"/>
      <c r="F26" s="13"/>
      <c r="G26" s="13"/>
      <c r="H26" s="13"/>
      <c r="I26" s="13"/>
      <c r="J26" s="13"/>
      <c r="K26" s="13"/>
      <c r="L26" s="13"/>
    </row>
    <row r="27" spans="1:12" ht="26" customHeight="1">
      <c r="B27" s="13" t="s">
        <v>42</v>
      </c>
      <c r="C27" s="13"/>
      <c r="D27" s="13"/>
      <c r="E27" s="13"/>
      <c r="F27" s="13"/>
      <c r="G27" s="13"/>
      <c r="H27" s="13"/>
      <c r="I27" s="13"/>
      <c r="J27" s="13"/>
      <c r="K27" s="13"/>
      <c r="L27" s="13"/>
    </row>
    <row r="28" spans="1:12" ht="26" customHeight="1">
      <c r="B28" s="13" t="s">
        <v>43</v>
      </c>
      <c r="C28" s="13"/>
      <c r="D28" s="13"/>
      <c r="E28" s="13"/>
      <c r="F28" s="13"/>
      <c r="G28" s="13"/>
      <c r="H28" s="13"/>
      <c r="I28" s="13"/>
      <c r="J28" s="13"/>
      <c r="K28" s="13"/>
      <c r="L28" s="13"/>
    </row>
    <row r="29" spans="1:12" ht="26" customHeight="1">
      <c r="B29" s="13" t="s">
        <v>44</v>
      </c>
      <c r="C29" s="13"/>
      <c r="D29" s="13"/>
      <c r="E29" s="13"/>
      <c r="F29" s="13"/>
      <c r="G29" s="13"/>
      <c r="H29" s="13"/>
      <c r="I29" s="13"/>
      <c r="J29" s="13"/>
      <c r="K29" s="13"/>
      <c r="L29" s="13"/>
    </row>
    <row r="30" spans="1:12" ht="26" customHeight="1">
      <c r="B30" s="13" t="s">
        <v>45</v>
      </c>
      <c r="C30" s="13"/>
      <c r="D30" s="13"/>
      <c r="E30" s="13"/>
      <c r="F30" s="13"/>
      <c r="G30" s="13"/>
      <c r="H30" s="13"/>
      <c r="I30" s="13"/>
      <c r="J30" s="13"/>
      <c r="K30" s="13"/>
      <c r="L30" s="13"/>
    </row>
    <row r="32" spans="1:12" ht="20" customHeight="1">
      <c r="A32" s="7" t="s">
        <v>46</v>
      </c>
      <c r="B32" s="7"/>
      <c r="C32" s="7"/>
      <c r="D32" s="7"/>
      <c r="E32" s="7"/>
      <c r="F32" s="7"/>
      <c r="G32" s="7"/>
      <c r="H32" s="7"/>
      <c r="I32" s="7"/>
      <c r="J32" s="7"/>
      <c r="K32" s="7"/>
      <c r="L32" s="7"/>
    </row>
    <row r="33" spans="2:12" ht="26" customHeight="1">
      <c r="B33" s="8" t="s">
        <v>47</v>
      </c>
      <c r="C33" s="9" t="s">
        <v>48</v>
      </c>
    </row>
    <row r="34" spans="2:12">
      <c r="B34" s="11" t="s">
        <v>49</v>
      </c>
      <c r="C34" s="13" t="s">
        <v>50</v>
      </c>
      <c r="D34" s="13"/>
      <c r="E34" s="13"/>
      <c r="F34" s="13"/>
      <c r="G34" s="13"/>
      <c r="H34" s="13"/>
      <c r="I34" s="13"/>
      <c r="J34" s="13"/>
      <c r="K34" s="13"/>
      <c r="L34" s="13"/>
    </row>
    <row r="35" spans="2:12">
      <c r="B35" s="11" t="s">
        <v>51</v>
      </c>
      <c r="C35" s="13" t="s">
        <v>52</v>
      </c>
      <c r="D35" s="13"/>
      <c r="E35" s="13"/>
      <c r="F35" s="13"/>
      <c r="G35" s="13"/>
      <c r="H35" s="13"/>
      <c r="I35" s="13"/>
      <c r="J35" s="13"/>
      <c r="K35" s="13"/>
      <c r="L35" s="13"/>
    </row>
    <row r="36" spans="2:12">
      <c r="B36" s="11" t="s">
        <v>53</v>
      </c>
      <c r="C36" s="13" t="s">
        <v>54</v>
      </c>
      <c r="D36" s="13"/>
      <c r="E36" s="13"/>
      <c r="F36" s="13"/>
      <c r="G36" s="13"/>
      <c r="H36" s="13"/>
      <c r="I36" s="13"/>
      <c r="J36" s="13"/>
      <c r="K36" s="13"/>
      <c r="L36" s="13"/>
    </row>
    <row r="37" spans="2:12">
      <c r="B37" s="11" t="s">
        <v>15</v>
      </c>
      <c r="C37" s="13" t="s">
        <v>55</v>
      </c>
      <c r="D37" s="13"/>
      <c r="E37" s="13"/>
      <c r="F37" s="13"/>
      <c r="G37" s="13"/>
      <c r="H37" s="13"/>
      <c r="I37" s="13"/>
      <c r="J37" s="13"/>
      <c r="K37" s="13"/>
      <c r="L37" s="13"/>
    </row>
    <row r="38" spans="2:12">
      <c r="B38" s="11" t="s">
        <v>56</v>
      </c>
      <c r="C38" s="13" t="s">
        <v>57</v>
      </c>
      <c r="D38" s="13"/>
      <c r="E38" s="13"/>
      <c r="F38" s="13"/>
      <c r="G38" s="13"/>
      <c r="H38" s="13"/>
      <c r="I38" s="13"/>
      <c r="J38" s="13"/>
      <c r="K38" s="13"/>
      <c r="L38" s="13"/>
    </row>
    <row r="39" spans="2:12">
      <c r="B39" s="11" t="s">
        <v>18</v>
      </c>
      <c r="C39" s="13" t="s">
        <v>58</v>
      </c>
      <c r="D39" s="13"/>
      <c r="E39" s="13"/>
      <c r="F39" s="13"/>
      <c r="G39" s="13"/>
      <c r="H39" s="13"/>
      <c r="I39" s="13"/>
      <c r="J39" s="13"/>
      <c r="K39" s="13"/>
      <c r="L39" s="13"/>
    </row>
    <row r="40" spans="2:12">
      <c r="B40" s="11" t="s">
        <v>59</v>
      </c>
      <c r="C40" s="13" t="s">
        <v>60</v>
      </c>
      <c r="D40" s="13"/>
      <c r="E40" s="13"/>
      <c r="F40" s="13"/>
      <c r="G40" s="13"/>
      <c r="H40" s="13"/>
      <c r="I40" s="13"/>
      <c r="J40" s="13"/>
      <c r="K40" s="13"/>
      <c r="L40" s="13"/>
    </row>
    <row r="41" spans="2:12">
      <c r="B41" s="11" t="s">
        <v>61</v>
      </c>
      <c r="C41" s="13" t="s">
        <v>62</v>
      </c>
      <c r="D41" s="13"/>
      <c r="E41" s="13"/>
      <c r="F41" s="13"/>
      <c r="G41" s="13"/>
      <c r="H41" s="13"/>
      <c r="I41" s="13"/>
      <c r="J41" s="13"/>
      <c r="K41" s="13"/>
      <c r="L41" s="13"/>
    </row>
    <row r="42" spans="2:12">
      <c r="B42" s="11" t="s">
        <v>21</v>
      </c>
      <c r="C42" s="13" t="s">
        <v>63</v>
      </c>
      <c r="D42" s="13"/>
      <c r="E42" s="13"/>
      <c r="F42" s="13"/>
      <c r="G42" s="13"/>
      <c r="H42" s="13"/>
      <c r="I42" s="13"/>
      <c r="J42" s="13"/>
      <c r="K42" s="13"/>
      <c r="L42" s="13"/>
    </row>
    <row r="43" spans="2:12">
      <c r="B43" s="11" t="s">
        <v>30</v>
      </c>
      <c r="C43" s="13" t="s">
        <v>64</v>
      </c>
      <c r="D43" s="13"/>
      <c r="E43" s="13"/>
      <c r="F43" s="13"/>
      <c r="G43" s="13"/>
      <c r="H43" s="13"/>
      <c r="I43" s="13"/>
      <c r="J43" s="13"/>
      <c r="K43" s="13"/>
      <c r="L43" s="13"/>
    </row>
    <row r="44" spans="2:12">
      <c r="B44" s="11" t="s">
        <v>65</v>
      </c>
      <c r="C44" s="13" t="s">
        <v>66</v>
      </c>
      <c r="D44" s="13"/>
      <c r="E44" s="13"/>
      <c r="F44" s="13"/>
      <c r="G44" s="13"/>
      <c r="H44" s="13"/>
      <c r="I44" s="13"/>
      <c r="J44" s="13"/>
      <c r="K44" s="13"/>
      <c r="L44" s="13"/>
    </row>
    <row r="45" spans="2:12">
      <c r="B45" s="11" t="s">
        <v>27</v>
      </c>
      <c r="C45" s="13" t="s">
        <v>67</v>
      </c>
      <c r="D45" s="13"/>
      <c r="E45" s="13"/>
      <c r="F45" s="13"/>
      <c r="G45" s="13"/>
      <c r="H45" s="13"/>
      <c r="I45" s="13"/>
      <c r="J45" s="13"/>
      <c r="K45" s="13"/>
      <c r="L45" s="13"/>
    </row>
    <row r="46" spans="2:12">
      <c r="B46" s="11" t="s">
        <v>68</v>
      </c>
      <c r="C46" s="13" t="s">
        <v>69</v>
      </c>
      <c r="D46" s="13"/>
      <c r="E46" s="13"/>
      <c r="F46" s="13"/>
      <c r="G46" s="13"/>
      <c r="H46" s="13"/>
      <c r="I46" s="13"/>
      <c r="J46" s="13"/>
      <c r="K46" s="13"/>
      <c r="L46" s="13"/>
    </row>
    <row r="47" spans="2:12">
      <c r="B47" s="11" t="s">
        <v>70</v>
      </c>
      <c r="C47" s="13" t="s">
        <v>71</v>
      </c>
      <c r="D47" s="13"/>
      <c r="E47" s="13"/>
      <c r="F47" s="13"/>
      <c r="G47" s="13"/>
      <c r="H47" s="13"/>
      <c r="I47" s="13"/>
      <c r="J47" s="13"/>
      <c r="K47" s="13"/>
      <c r="L47" s="13"/>
    </row>
    <row r="48" spans="2:12">
      <c r="B48" s="11" t="s">
        <v>72</v>
      </c>
      <c r="C48" s="13" t="s">
        <v>73</v>
      </c>
      <c r="D48" s="13"/>
      <c r="E48" s="13"/>
      <c r="F48" s="13"/>
      <c r="G48" s="13"/>
      <c r="H48" s="13"/>
      <c r="I48" s="13"/>
      <c r="J48" s="13"/>
      <c r="K48" s="13"/>
      <c r="L48" s="13"/>
    </row>
    <row r="49" spans="1:12">
      <c r="B49" s="11" t="s">
        <v>74</v>
      </c>
      <c r="C49" s="13" t="s">
        <v>75</v>
      </c>
      <c r="D49" s="13"/>
      <c r="E49" s="13"/>
      <c r="F49" s="13"/>
      <c r="G49" s="13"/>
      <c r="H49" s="13"/>
      <c r="I49" s="13"/>
      <c r="J49" s="13"/>
      <c r="K49" s="13"/>
      <c r="L49" s="13"/>
    </row>
    <row r="50" spans="1:12">
      <c r="B50" s="11" t="s">
        <v>76</v>
      </c>
      <c r="C50" s="13" t="s">
        <v>77</v>
      </c>
      <c r="D50" s="13"/>
      <c r="E50" s="13"/>
      <c r="F50" s="13"/>
      <c r="G50" s="13"/>
      <c r="H50" s="13"/>
      <c r="I50" s="13"/>
      <c r="J50" s="13"/>
      <c r="K50" s="13"/>
      <c r="L50" s="13"/>
    </row>
    <row r="51" spans="1:12">
      <c r="B51" s="11" t="s">
        <v>78</v>
      </c>
      <c r="C51" s="13" t="s">
        <v>79</v>
      </c>
      <c r="D51" s="13"/>
      <c r="E51" s="13"/>
      <c r="F51" s="13"/>
      <c r="G51" s="13"/>
      <c r="H51" s="13"/>
      <c r="I51" s="13"/>
      <c r="J51" s="13"/>
      <c r="K51" s="13"/>
      <c r="L51" s="13"/>
    </row>
    <row r="52" spans="1:12">
      <c r="B52" s="11" t="s">
        <v>80</v>
      </c>
      <c r="C52" s="13" t="s">
        <v>81</v>
      </c>
      <c r="D52" s="13"/>
      <c r="E52" s="13"/>
      <c r="F52" s="13"/>
      <c r="G52" s="13"/>
      <c r="H52" s="13"/>
      <c r="I52" s="13"/>
      <c r="J52" s="13"/>
      <c r="K52" s="13"/>
      <c r="L52" s="13"/>
    </row>
    <row r="53" spans="1:12">
      <c r="B53" s="11" t="s">
        <v>82</v>
      </c>
      <c r="C53" s="13" t="s">
        <v>83</v>
      </c>
      <c r="D53" s="13"/>
      <c r="E53" s="13"/>
      <c r="F53" s="13"/>
      <c r="G53" s="13"/>
      <c r="H53" s="13"/>
      <c r="I53" s="13"/>
      <c r="J53" s="13"/>
      <c r="K53" s="13"/>
      <c r="L53" s="13"/>
    </row>
    <row r="54" spans="1:12">
      <c r="B54" s="11" t="s">
        <v>84</v>
      </c>
      <c r="C54" s="13" t="s">
        <v>85</v>
      </c>
      <c r="D54" s="13"/>
      <c r="E54" s="13"/>
      <c r="F54" s="13"/>
      <c r="G54" s="13"/>
      <c r="H54" s="13"/>
      <c r="I54" s="13"/>
      <c r="J54" s="13"/>
      <c r="K54" s="13"/>
      <c r="L54" s="13"/>
    </row>
    <row r="55" spans="1:12">
      <c r="B55" s="11" t="s">
        <v>86</v>
      </c>
      <c r="C55" s="13" t="s">
        <v>87</v>
      </c>
      <c r="D55" s="13"/>
      <c r="E55" s="13"/>
      <c r="F55" s="13"/>
      <c r="G55" s="13"/>
      <c r="H55" s="13"/>
      <c r="I55" s="13"/>
      <c r="J55" s="13"/>
      <c r="K55" s="13"/>
      <c r="L55" s="13"/>
    </row>
    <row r="57" spans="1:12" ht="20" customHeight="1">
      <c r="A57" s="7" t="s">
        <v>88</v>
      </c>
      <c r="B57" s="7"/>
      <c r="C57" s="7"/>
      <c r="D57" s="7"/>
      <c r="E57" s="7"/>
      <c r="F57" s="7"/>
      <c r="G57" s="7"/>
      <c r="H57" s="7"/>
      <c r="I57" s="7"/>
      <c r="J57" s="7"/>
      <c r="K57" s="7"/>
      <c r="L57" s="7"/>
    </row>
    <row r="58" spans="1:12" ht="28" customHeight="1">
      <c r="B58" s="13" t="s">
        <v>89</v>
      </c>
      <c r="C58" s="13"/>
      <c r="D58" s="13"/>
      <c r="E58" s="13"/>
      <c r="F58" s="13"/>
      <c r="G58" s="13"/>
      <c r="H58" s="13"/>
      <c r="I58" s="13"/>
      <c r="J58" s="13"/>
      <c r="K58" s="13"/>
      <c r="L58" s="13"/>
    </row>
    <row r="59" spans="1:12" ht="28" customHeight="1">
      <c r="B59" s="13" t="s">
        <v>90</v>
      </c>
      <c r="C59" s="13"/>
      <c r="D59" s="13"/>
      <c r="E59" s="13"/>
      <c r="F59" s="13"/>
      <c r="G59" s="13"/>
      <c r="H59" s="13"/>
      <c r="I59" s="13"/>
      <c r="J59" s="13"/>
      <c r="K59" s="13"/>
      <c r="L59" s="13"/>
    </row>
    <row r="60" spans="1:12" ht="28" customHeight="1">
      <c r="B60" s="13" t="s">
        <v>91</v>
      </c>
      <c r="C60" s="13"/>
      <c r="D60" s="13"/>
      <c r="E60" s="13"/>
      <c r="F60" s="13"/>
      <c r="G60" s="13"/>
      <c r="H60" s="13"/>
      <c r="I60" s="13"/>
      <c r="J60" s="13"/>
      <c r="K60" s="13"/>
      <c r="L60" s="13"/>
    </row>
    <row r="61" spans="1:12" ht="28" customHeight="1">
      <c r="B61" s="13" t="s">
        <v>92</v>
      </c>
      <c r="C61" s="13"/>
      <c r="D61" s="13"/>
      <c r="E61" s="13"/>
      <c r="F61" s="13"/>
      <c r="G61" s="13"/>
      <c r="H61" s="13"/>
      <c r="I61" s="13"/>
      <c r="J61" s="13"/>
      <c r="K61" s="13"/>
      <c r="L61" s="13"/>
    </row>
    <row r="62" spans="1:12" ht="28" customHeight="1">
      <c r="B62" s="13" t="s">
        <v>93</v>
      </c>
      <c r="C62" s="13"/>
      <c r="D62" s="13"/>
      <c r="E62" s="13"/>
      <c r="F62" s="13"/>
      <c r="G62" s="13"/>
      <c r="H62" s="13"/>
      <c r="I62" s="13"/>
      <c r="J62" s="13"/>
      <c r="K62" s="13"/>
      <c r="L62" s="13"/>
    </row>
    <row r="63" spans="1:12" ht="28" customHeight="1">
      <c r="B63" s="13" t="s">
        <v>94</v>
      </c>
      <c r="C63" s="13"/>
      <c r="D63" s="13"/>
      <c r="E63" s="13"/>
      <c r="F63" s="13"/>
      <c r="G63" s="13"/>
      <c r="H63" s="13"/>
      <c r="I63" s="13"/>
      <c r="J63" s="13"/>
      <c r="K63" s="13"/>
      <c r="L63" s="13"/>
    </row>
    <row r="64" spans="1:12" ht="28" customHeight="1">
      <c r="B64" s="13" t="s">
        <v>95</v>
      </c>
      <c r="C64" s="13"/>
      <c r="D64" s="13"/>
      <c r="E64" s="13"/>
      <c r="F64" s="13"/>
      <c r="G64" s="13"/>
      <c r="H64" s="13"/>
      <c r="I64" s="13"/>
      <c r="J64" s="13"/>
      <c r="K64" s="13"/>
      <c r="L64" s="13"/>
    </row>
    <row r="66" spans="1:12" ht="20" customHeight="1">
      <c r="A66" s="7" t="s">
        <v>96</v>
      </c>
      <c r="B66" s="7"/>
      <c r="C66" s="7"/>
      <c r="D66" s="7"/>
      <c r="E66" s="7"/>
      <c r="F66" s="7"/>
      <c r="G66" s="7"/>
      <c r="H66" s="7"/>
      <c r="I66" s="7"/>
      <c r="J66" s="7"/>
      <c r="K66" s="7"/>
      <c r="L66" s="7"/>
    </row>
    <row r="67" spans="1:12" ht="92" customHeight="1">
      <c r="B67" s="6" t="s">
        <v>97</v>
      </c>
      <c r="C67" s="6"/>
      <c r="D67" s="6"/>
      <c r="E67" s="6"/>
      <c r="F67" s="6"/>
      <c r="G67" s="6"/>
      <c r="H67" s="6"/>
      <c r="I67" s="6"/>
      <c r="J67" s="6"/>
      <c r="K67" s="6"/>
      <c r="L67" s="6"/>
    </row>
    <row r="69" spans="1:12">
      <c r="B69" s="14" t="s">
        <v>98</v>
      </c>
      <c r="C69" s="14"/>
      <c r="D69" s="14"/>
      <c r="E69" s="14"/>
      <c r="F69" s="14"/>
      <c r="G69" s="14"/>
      <c r="H69" s="14"/>
      <c r="I69" s="14"/>
      <c r="J69" s="14"/>
      <c r="K69" s="14"/>
      <c r="L69" s="14"/>
    </row>
  </sheetData>
  <sheetProtection password="EC7C" sheet="1" objects="1" scenarios="1" formatCells="0" formatColumns="0" formatRows="0" insertRows="0" insertHyperlinks="0" deleteRows="0" autoFilter="0"/>
  <mergeCells count="65">
    <mergeCell ref="A1:I1"/>
    <mergeCell ref="J1:L1"/>
    <mergeCell ref="A2:L2"/>
    <mergeCell ref="A3:B3"/>
    <mergeCell ref="C3:D3"/>
    <mergeCell ref="E3:F3"/>
    <mergeCell ref="G3:H3"/>
    <mergeCell ref="I3:J3"/>
    <mergeCell ref="K3:L3"/>
    <mergeCell ref="B5:L5"/>
    <mergeCell ref="A7:L7"/>
    <mergeCell ref="D9:L9"/>
    <mergeCell ref="D10:L10"/>
    <mergeCell ref="D11:L11"/>
    <mergeCell ref="D12:L12"/>
    <mergeCell ref="D13:L13"/>
    <mergeCell ref="D14:L14"/>
    <mergeCell ref="A16:L16"/>
    <mergeCell ref="B17:L17"/>
    <mergeCell ref="B18:L18"/>
    <mergeCell ref="B19:L19"/>
    <mergeCell ref="B20:L20"/>
    <mergeCell ref="B21:L21"/>
    <mergeCell ref="B22:L22"/>
    <mergeCell ref="A24:L24"/>
    <mergeCell ref="B25:L25"/>
    <mergeCell ref="B26:L26"/>
    <mergeCell ref="B27:L27"/>
    <mergeCell ref="B28:L28"/>
    <mergeCell ref="B29:L29"/>
    <mergeCell ref="B30:L30"/>
    <mergeCell ref="A32:L32"/>
    <mergeCell ref="C34:L34"/>
    <mergeCell ref="C35:L35"/>
    <mergeCell ref="C36:L36"/>
    <mergeCell ref="C37:L37"/>
    <mergeCell ref="C38:L38"/>
    <mergeCell ref="C39:L39"/>
    <mergeCell ref="C40:L40"/>
    <mergeCell ref="C41:L41"/>
    <mergeCell ref="C42:L42"/>
    <mergeCell ref="C43:L43"/>
    <mergeCell ref="C44:L44"/>
    <mergeCell ref="C45:L45"/>
    <mergeCell ref="C46:L46"/>
    <mergeCell ref="C47:L47"/>
    <mergeCell ref="C48:L48"/>
    <mergeCell ref="C49:L49"/>
    <mergeCell ref="C50:L50"/>
    <mergeCell ref="C51:L51"/>
    <mergeCell ref="C52:L52"/>
    <mergeCell ref="C53:L53"/>
    <mergeCell ref="C54:L54"/>
    <mergeCell ref="C55:L55"/>
    <mergeCell ref="A57:L57"/>
    <mergeCell ref="B58:L58"/>
    <mergeCell ref="B59:L59"/>
    <mergeCell ref="B60:L60"/>
    <mergeCell ref="B61:L61"/>
    <mergeCell ref="B62:L62"/>
    <mergeCell ref="B63:L63"/>
    <mergeCell ref="B64:L64"/>
    <mergeCell ref="A66:L66"/>
    <mergeCell ref="B67:L67"/>
    <mergeCell ref="B69:L69"/>
  </mergeCell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s>
  <pageMargins left="0.4" right="0.4" top="0.6" bottom="0.5" header="0.3" footer="0.3"/>
  <pageSetup paperSize="9" fitToHeight="0" orientation="landscape"/>
  <headerFooter>
    <oddHeader>&amp;L&amp;"Calibri,Bold"&amp;12&amp;C&amp;"Calibri,Bold"&amp;11Start Here&amp;R&amp;"Calibri,Italic"&amp;9Automated Meal Planner &amp; Grocery List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2F5E43"/>
    <pageSetUpPr fitToPage="1"/>
  </sheetPr>
  <dimension ref="A1:L53"/>
  <sheetViews>
    <sheetView showGridLines="0" workbookViewId="0">
      <pane ySplit="4" topLeftCell="A5" activePane="bottomLeft" state="frozen"/>
      <selection pane="bottomLeft"/>
    </sheetView>
  </sheetViews>
  <sheetFormatPr defaultRowHeight="15"/>
  <cols>
    <col min="1" max="1" width="2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6.7109375" customWidth="1"/>
    <col min="2" max="2" width="11.7109375" customWidth="1"/>
    <col min="3" max="3" width="46.7109375" customWidth="1"/>
    <col min="4" max="4" width="20.7109375" customWidth="1"/>
    <col min="1" max="1" width="12.7109375" customWidth="1"/>
    <col min="2" max="2" width="14.7109375" customWidth="1"/>
    <col min="3" max="3" width="12.7109375" customWidth="1"/>
    <col min="4" max="4" width="12.7109375" customWidth="1"/>
    <col min="5" max="5" width="12.7109375" customWidth="1"/>
    <col min="6" max="6" width="12.7109375" customWidth="1"/>
    <col min="7" max="7" width="20.7109375" customWidth="1"/>
    <col min="8" max="8" width="16.7109375" customWidth="1"/>
    <col min="1" max="1" width="14.7109375" customWidth="1"/>
    <col min="2" max="2" width="13.7109375" customWidth="1"/>
    <col min="3" max="3" width="12.7109375" customWidth="1"/>
    <col min="4" max="4" width="11.7109375" customWidth="1"/>
    <col min="5" max="5" width="15.7109375" customWidth="1"/>
    <col min="6" max="6" width="20.7109375" customWidth="1"/>
    <col min="7" max="7" width="17.7109375" customWidth="1"/>
    <col min="8" max="8" width="13.7109375" customWidth="1"/>
  </cols>
  <sheetData>
    <row r="1" spans="1:12" ht="34" customHeight="1">
      <c r="A1" s="2" t="s">
        <v>49</v>
      </c>
      <c r="B1" s="2"/>
      <c r="C1" s="2"/>
      <c r="D1" s="2"/>
      <c r="E1" s="2"/>
      <c r="F1" s="2"/>
      <c r="G1" s="2"/>
      <c r="H1" s="2"/>
      <c r="I1" s="2"/>
      <c r="J1" s="3" t="s">
        <v>1</v>
      </c>
      <c r="K1" s="3"/>
      <c r="L1" s="3"/>
    </row>
    <row r="2" spans="1:12" ht="18" customHeight="1">
      <c r="A2" s="4" t="s">
        <v>99</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c r="A5" s="11" t="s">
        <v>100</v>
      </c>
      <c r="B5" s="15">
        <f>WeekPick</f>
        <v>0</v>
      </c>
      <c r="C5" s="16" t="s">
        <v>101</v>
      </c>
      <c r="D5" s="17">
        <f>TEXT(TODAY(),"mmmm yyyy")</f>
        <v>0</v>
      </c>
      <c r="E5" s="16" t="s">
        <v>102</v>
      </c>
      <c r="F5" s="17">
        <f>TEXT(TODAY(),"yyyy-mm")</f>
        <v>0</v>
      </c>
      <c r="G5" s="16" t="s">
        <v>18</v>
      </c>
      <c r="H5" s="18">
        <f>HouseMembers</f>
        <v>0</v>
      </c>
      <c r="I5" s="16" t="s">
        <v>103</v>
      </c>
      <c r="J5" s="16"/>
      <c r="K5" s="19">
        <f>TODAY()</f>
        <v>0</v>
      </c>
    </row>
    <row r="7" spans="1:12">
      <c r="A7" s="10" t="s">
        <v>104</v>
      </c>
      <c r="B7" s="10"/>
      <c r="C7" s="10"/>
      <c r="D7" s="10" t="s">
        <v>106</v>
      </c>
      <c r="E7" s="10"/>
      <c r="F7" s="10"/>
      <c r="G7" s="10" t="s">
        <v>108</v>
      </c>
      <c r="H7" s="10"/>
      <c r="I7" s="10"/>
      <c r="J7" s="10" t="s">
        <v>110</v>
      </c>
      <c r="K7" s="10"/>
      <c r="L7" s="10"/>
    </row>
    <row r="8" spans="1:12" ht="26" customHeight="1">
      <c r="A8" s="20">
        <f>COUNTIFS('Meal Plan'!$B$5:$B$504,"&gt;="&amp;DashWeek,'Meal Plan'!$B$5:$B$504,"&lt;="&amp;DashWeek+6)</f>
        <v>0</v>
      </c>
      <c r="B8" s="20"/>
      <c r="C8" s="20"/>
      <c r="D8" s="21">
        <f>SUMIFS('Meal Plan'!$T$5:$T$504,'Meal Plan'!$B$5:$B$504,"&gt;="&amp;DashWeek,'Meal Plan'!$B$5:$B$504,"&lt;="&amp;DashWeek+6)</f>
        <v>0</v>
      </c>
      <c r="E8" s="21"/>
      <c r="F8" s="21"/>
      <c r="G8" s="21">
        <f>SUM('Grocery List'!$O$5:$O$304)</f>
        <v>0</v>
      </c>
      <c r="H8" s="21"/>
      <c r="I8" s="21"/>
      <c r="J8" s="21">
        <f>WeeklyBudget-SUM('Grocery List'!$O$5:$O$304)</f>
        <v>0</v>
      </c>
      <c r="K8" s="21"/>
      <c r="L8" s="21"/>
    </row>
    <row r="9" spans="1:12">
      <c r="A9" s="22" t="s">
        <v>105</v>
      </c>
      <c r="B9" s="22"/>
      <c r="C9" s="22"/>
      <c r="D9" s="22" t="s">
        <v>107</v>
      </c>
      <c r="E9" s="22"/>
      <c r="F9" s="22"/>
      <c r="G9" s="22" t="s">
        <v>109</v>
      </c>
      <c r="H9" s="22"/>
      <c r="I9" s="22"/>
      <c r="J9" s="22" t="s">
        <v>111</v>
      </c>
      <c r="K9" s="22"/>
      <c r="L9" s="22"/>
    </row>
    <row r="11" spans="1:12">
      <c r="A11" s="10" t="s">
        <v>112</v>
      </c>
      <c r="B11" s="10"/>
      <c r="C11" s="10"/>
      <c r="D11" s="10" t="s">
        <v>114</v>
      </c>
      <c r="E11" s="10"/>
      <c r="F11" s="10"/>
      <c r="G11" s="10" t="s">
        <v>116</v>
      </c>
      <c r="H11" s="10"/>
      <c r="I11" s="10"/>
      <c r="J11" s="10" t="s">
        <v>118</v>
      </c>
      <c r="K11" s="10"/>
      <c r="L11" s="10"/>
    </row>
    <row r="12" spans="1:12" ht="26" customHeight="1">
      <c r="A12" s="21">
        <f>SUMIFS('Grocery Spending'!$K$5:$K$404,'Grocery Spending'!$E$5:$E$404,DashKey)</f>
        <v>0</v>
      </c>
      <c r="B12" s="21"/>
      <c r="C12" s="21"/>
      <c r="D12" s="21">
        <f>SUM(Pantry!$P$5:$P$304)</f>
        <v>0</v>
      </c>
      <c r="E12" s="21"/>
      <c r="F12" s="21"/>
      <c r="G12" s="21">
        <f>SUMIFS('Food Waste'!$L$5:$L$154,'Food Waste'!$D$5:$D$154,DashKey)</f>
        <v>0</v>
      </c>
      <c r="H12" s="21"/>
      <c r="I12" s="21"/>
      <c r="J12" s="20">
        <f>COUNTIFS('Meal Plan'!$B$5:$B$504,"&gt;="&amp;DashWeek,'Meal Plan'!$B$5:$B$504,"&lt;="&amp;DashWeek+6,'Meal Plan'!$AD$5:$AD$504,"Yes")</f>
        <v>0</v>
      </c>
      <c r="K12" s="20"/>
      <c r="L12" s="20"/>
    </row>
    <row r="13" spans="1:12">
      <c r="A13" s="22" t="s">
        <v>113</v>
      </c>
      <c r="B13" s="22"/>
      <c r="C13" s="22"/>
      <c r="D13" s="22" t="s">
        <v>115</v>
      </c>
      <c r="E13" s="22"/>
      <c r="F13" s="22"/>
      <c r="G13" s="22" t="s">
        <v>117</v>
      </c>
      <c r="H13" s="22"/>
      <c r="I13" s="22"/>
      <c r="J13" s="22" t="s">
        <v>119</v>
      </c>
      <c r="K13" s="22"/>
      <c r="L13" s="22"/>
    </row>
    <row r="15" spans="1:12" ht="20" customHeight="1">
      <c r="A15" s="7" t="s">
        <v>120</v>
      </c>
      <c r="B15" s="7"/>
      <c r="C15" s="7"/>
      <c r="D15" s="7"/>
      <c r="E15" s="7"/>
      <c r="F15" s="7"/>
      <c r="G15" s="7"/>
      <c r="H15" s="7"/>
      <c r="I15" s="7"/>
      <c r="J15" s="7"/>
      <c r="K15" s="7"/>
      <c r="L15" s="7"/>
    </row>
    <row r="16" spans="1:12" ht="26" customHeight="1">
      <c r="A16" s="8" t="s">
        <v>121</v>
      </c>
      <c r="B16" s="9" t="s">
        <v>122</v>
      </c>
      <c r="C16" s="9" t="s">
        <v>123</v>
      </c>
      <c r="D16" s="9" t="s">
        <v>124</v>
      </c>
    </row>
    <row r="17" spans="1:12">
      <c r="A17" s="11" t="s">
        <v>125</v>
      </c>
      <c r="B17" s="18">
        <f>COUNTIF(Pantry!$W$5:$W$304,"Use soon")</f>
        <v>0</v>
      </c>
      <c r="C17" s="17">
        <f>"Use these within 5 days or they are money in the bin"</f>
        <v>0</v>
      </c>
      <c r="D17" s="17"/>
      <c r="E17" s="17"/>
      <c r="F17" s="17"/>
      <c r="G17" s="17"/>
      <c r="H17" s="17"/>
      <c r="I17" s="17"/>
      <c r="J17" s="17"/>
      <c r="K17" s="13" t="s">
        <v>27</v>
      </c>
      <c r="L17" s="13"/>
    </row>
    <row r="18" spans="1:12">
      <c r="A18" s="11" t="s">
        <v>126</v>
      </c>
      <c r="B18" s="18">
        <f>COUNTIF(Pantry!$W$5:$W$304,"Expired")</f>
        <v>0</v>
      </c>
      <c r="C18" s="17">
        <f>"Past their date - check, then bin and log them"</f>
        <v>0</v>
      </c>
      <c r="D18" s="17"/>
      <c r="E18" s="17"/>
      <c r="F18" s="17"/>
      <c r="G18" s="17"/>
      <c r="H18" s="17"/>
      <c r="I18" s="17"/>
      <c r="J18" s="17"/>
      <c r="K18" s="13" t="s">
        <v>27</v>
      </c>
      <c r="L18" s="13"/>
    </row>
    <row r="19" spans="1:12">
      <c r="A19" s="11" t="s">
        <v>127</v>
      </c>
      <c r="B19" s="18">
        <f>SUMIFS(Leftovers!$F$5:$F$124,Leftovers!$Q$5:$Q$124,"&lt;&gt;Eaten",Leftovers!$Q$5:$Q$124,"&lt;&gt;Binned")</f>
        <v>0</v>
      </c>
      <c r="C19" s="17">
        <f>"Portions in the fridge or freezer worth "&amp;TEXT(SUMIFS(Leftovers!$M$5:$M$124,Leftovers!$Q$5:$Q$124,"&lt;&gt;Eaten",Leftovers!$Q$5:$Q$124,"&lt;&gt;Binned"),"0.00")</f>
        <v>0</v>
      </c>
      <c r="D19" s="17"/>
      <c r="E19" s="17"/>
      <c r="F19" s="17"/>
      <c r="G19" s="17"/>
      <c r="H19" s="17"/>
      <c r="I19" s="17"/>
      <c r="J19" s="17"/>
      <c r="K19" s="13" t="s">
        <v>70</v>
      </c>
      <c r="L19" s="13"/>
    </row>
    <row r="20" spans="1:12">
      <c r="A20" s="11" t="s">
        <v>128</v>
      </c>
      <c r="B20" s="18">
        <f>COUNTIF(Staples!$Q$5:$Q$104,"Low stock")+COUNTIF(Staples!$Q$5:$Q$104,"Out of stock")</f>
        <v>0</v>
      </c>
      <c r="C20" s="17">
        <f>"Things you said you never want to run out of"</f>
        <v>0</v>
      </c>
      <c r="D20" s="17"/>
      <c r="E20" s="17"/>
      <c r="F20" s="17"/>
      <c r="G20" s="17"/>
      <c r="H20" s="17"/>
      <c r="I20" s="17"/>
      <c r="J20" s="17"/>
      <c r="K20" s="13" t="s">
        <v>68</v>
      </c>
      <c r="L20" s="13"/>
    </row>
    <row r="21" spans="1:12">
      <c r="A21" s="11" t="s">
        <v>129</v>
      </c>
      <c r="B21" s="18">
        <f>COUNTIFS(Ingredients!$B$5:$B$304,"&lt;&gt;",Ingredients!$I$5:$I$304,"")</f>
        <v>0</v>
      </c>
      <c r="C21" s="17">
        <f>"Until these have a price, recipes using them are under-costed"</f>
        <v>0</v>
      </c>
      <c r="D21" s="17"/>
      <c r="E21" s="17"/>
      <c r="F21" s="17"/>
      <c r="G21" s="17"/>
      <c r="H21" s="17"/>
      <c r="I21" s="17"/>
      <c r="J21" s="17"/>
      <c r="K21" s="13" t="s">
        <v>21</v>
      </c>
      <c r="L21" s="13"/>
    </row>
    <row r="22" spans="1:12">
      <c r="A22" s="11" t="s">
        <v>130</v>
      </c>
      <c r="B22" s="18">
        <f>COUNTIF('Recipe Ingredients'!$AB$5:$AB$1204,"Missing*")+COUNTIF('Recipe Ingredients'!$AB$5:$AB$1204,"Check - *")</f>
        <v>0</v>
      </c>
      <c r="C22" s="17">
        <f>"Unit mismatches or ingredients not in the price book - they are left out of the shopping list"</f>
        <v>0</v>
      </c>
      <c r="D22" s="17"/>
      <c r="E22" s="17"/>
      <c r="F22" s="17"/>
      <c r="G22" s="17"/>
      <c r="H22" s="17"/>
      <c r="I22" s="17"/>
      <c r="J22" s="17"/>
      <c r="K22" s="13" t="s">
        <v>61</v>
      </c>
      <c r="L22" s="13"/>
    </row>
    <row r="23" spans="1:12">
      <c r="A23" s="11" t="s">
        <v>131</v>
      </c>
      <c r="B23" s="18">
        <f>(COUNTIFS('Meal Plan'!$B$5:$B$504,DashWeek+0,'Meal Plan'!$F$5:$F$504,"Dinner")=0)*1+(COUNTIFS('Meal Plan'!$B$5:$B$504,DashWeek+1,'Meal Plan'!$F$5:$F$504,"Dinner")=0)*1+(COUNTIFS('Meal Plan'!$B$5:$B$504,DashWeek+2,'Meal Plan'!$F$5:$F$504,"Dinner")=0)*1+(COUNTIFS('Meal Plan'!$B$5:$B$504,DashWeek+3,'Meal Plan'!$F$5:$F$504,"Dinner")=0)*1+(COUNTIFS('Meal Plan'!$B$5:$B$504,DashWeek+4,'Meal Plan'!$F$5:$F$504,"Dinner")=0)*1+(COUNTIFS('Meal Plan'!$B$5:$B$504,DashWeek+5,'Meal Plan'!$F$5:$F$504,"Dinner")=0)*1+(COUNTIFS('Meal Plan'!$B$5:$B$504,DashWeek+6,'Meal Plan'!$F$5:$F$504,"Dinner")=0)*1</f>
        <v>0</v>
      </c>
      <c r="C23" s="17">
        <f>"Dinner slots still empty in the week you are looking at"</f>
        <v>0</v>
      </c>
      <c r="D23" s="17"/>
      <c r="E23" s="17"/>
      <c r="F23" s="17"/>
      <c r="G23" s="17"/>
      <c r="H23" s="17"/>
      <c r="I23" s="17"/>
      <c r="J23" s="17"/>
      <c r="K23" s="13" t="s">
        <v>30</v>
      </c>
      <c r="L23" s="13"/>
    </row>
    <row r="24" spans="1:12">
      <c r="A24" s="11" t="s">
        <v>132</v>
      </c>
      <c r="B24" s="18">
        <f>COUNTIFS('Meal Prep'!$W$5:$W$124,"&lt;&gt;Done",'Meal Prep'!$B$5:$B$124,"&lt;&gt;")</f>
        <v>0</v>
      </c>
      <c r="C24" s="17">
        <f>"Batch cooking you planned but have not made yet"</f>
        <v>0</v>
      </c>
      <c r="D24" s="17"/>
      <c r="E24" s="17"/>
      <c r="F24" s="17"/>
      <c r="G24" s="17"/>
      <c r="H24" s="17"/>
      <c r="I24" s="17"/>
      <c r="J24" s="17"/>
      <c r="K24" s="13" t="s">
        <v>74</v>
      </c>
      <c r="L24" s="13"/>
    </row>
    <row r="25" spans="1:12">
      <c r="A25" s="11" t="s">
        <v>133</v>
      </c>
      <c r="B25" s="18">
        <f>COUNTIF(Goals!$K$5:$K$44,"No")</f>
        <v>0</v>
      </c>
      <c r="C25" s="17">
        <f>"Worth five minutes with a cup of tea"</f>
        <v>0</v>
      </c>
      <c r="D25" s="17"/>
      <c r="E25" s="17"/>
      <c r="F25" s="17"/>
      <c r="G25" s="17"/>
      <c r="H25" s="17"/>
      <c r="I25" s="17"/>
      <c r="J25" s="17"/>
      <c r="K25" s="13" t="s">
        <v>84</v>
      </c>
      <c r="L25" s="13"/>
    </row>
    <row r="27" spans="1:12" ht="20" customHeight="1">
      <c r="A27" s="7" t="s">
        <v>134</v>
      </c>
      <c r="B27" s="7"/>
      <c r="C27" s="7"/>
      <c r="D27" s="7"/>
      <c r="E27" s="7"/>
      <c r="F27" s="7"/>
      <c r="G27" s="7"/>
      <c r="H27" s="7"/>
      <c r="I27" s="7"/>
      <c r="J27" s="7"/>
      <c r="K27" s="7"/>
      <c r="L27" s="7"/>
    </row>
    <row r="28" spans="1:12">
      <c r="A28" s="8" t="s">
        <v>135</v>
      </c>
      <c r="B28" s="23">
        <f>DashWeek+0</f>
        <v>0</v>
      </c>
      <c r="C28" s="23">
        <f>DashWeek+1</f>
        <v>0</v>
      </c>
      <c r="D28" s="23">
        <f>DashWeek+2</f>
        <v>0</v>
      </c>
      <c r="E28" s="23">
        <f>DashWeek+3</f>
        <v>0</v>
      </c>
      <c r="F28" s="23">
        <f>DashWeek+4</f>
        <v>0</v>
      </c>
      <c r="G28" s="23">
        <f>DashWeek+5</f>
        <v>0</v>
      </c>
      <c r="H28" s="23">
        <f>DashWeek+6</f>
        <v>0</v>
      </c>
      <c r="I28" s="9" t="s">
        <v>136</v>
      </c>
    </row>
    <row r="29" spans="1:12" ht="30" customHeight="1">
      <c r="A29" s="11" t="s">
        <v>137</v>
      </c>
      <c r="B29" s="24">
        <f>IFERROR(INDEX('Meal Plan'!$H$5:$H$504,MATCH(TEXT(B$28,"yyyy-mm-dd")&amp;"|Dinner",'Meal Plan'!$AE$5:$AE$504,0)),"-")</f>
        <v>0</v>
      </c>
      <c r="C29" s="24">
        <f>IFERROR(INDEX('Meal Plan'!$H$5:$H$504,MATCH(TEXT(C$28,"yyyy-mm-dd")&amp;"|Dinner",'Meal Plan'!$AE$5:$AE$504,0)),"-")</f>
        <v>0</v>
      </c>
      <c r="D29" s="24">
        <f>IFERROR(INDEX('Meal Plan'!$H$5:$H$504,MATCH(TEXT(D$28,"yyyy-mm-dd")&amp;"|Dinner",'Meal Plan'!$AE$5:$AE$504,0)),"-")</f>
        <v>0</v>
      </c>
      <c r="E29" s="24">
        <f>IFERROR(INDEX('Meal Plan'!$H$5:$H$504,MATCH(TEXT(E$28,"yyyy-mm-dd")&amp;"|Dinner",'Meal Plan'!$AE$5:$AE$504,0)),"-")</f>
        <v>0</v>
      </c>
      <c r="F29" s="24">
        <f>IFERROR(INDEX('Meal Plan'!$H$5:$H$504,MATCH(TEXT(F$28,"yyyy-mm-dd")&amp;"|Dinner",'Meal Plan'!$AE$5:$AE$504,0)),"-")</f>
        <v>0</v>
      </c>
      <c r="G29" s="24">
        <f>IFERROR(INDEX('Meal Plan'!$H$5:$H$504,MATCH(TEXT(G$28,"yyyy-mm-dd")&amp;"|Dinner",'Meal Plan'!$AE$5:$AE$504,0)),"-")</f>
        <v>0</v>
      </c>
      <c r="H29" s="24">
        <f>IFERROR(INDEX('Meal Plan'!$H$5:$H$504,MATCH(TEXT(H$28,"yyyy-mm-dd")&amp;"|Dinner",'Meal Plan'!$AE$5:$AE$504,0)),"-")</f>
        <v>0</v>
      </c>
      <c r="I29" s="18">
        <f>COUNTIFS('Meal Plan'!$B$5:$B$504,"&gt;="&amp;DashWeek,'Meal Plan'!$B$5:$B$504,"&lt;="&amp;DashWeek+6,'Meal Plan'!$F$5:$F$504,"Dinner")</f>
        <v>0</v>
      </c>
    </row>
    <row r="30" spans="1:12">
      <c r="A30" s="11" t="s">
        <v>138</v>
      </c>
      <c r="B30" s="25">
        <f>IF(B$28="","",SUMIFS('Meal Plan'!$T$5:$T$504,'Meal Plan'!$B$5:$B$504,B$28))</f>
        <v>0</v>
      </c>
      <c r="C30" s="25">
        <f>IF(C$28="","",SUMIFS('Meal Plan'!$T$5:$T$504,'Meal Plan'!$B$5:$B$504,C$28))</f>
        <v>0</v>
      </c>
      <c r="D30" s="25">
        <f>IF(D$28="","",SUMIFS('Meal Plan'!$T$5:$T$504,'Meal Plan'!$B$5:$B$504,D$28))</f>
        <v>0</v>
      </c>
      <c r="E30" s="25">
        <f>IF(E$28="","",SUMIFS('Meal Plan'!$T$5:$T$504,'Meal Plan'!$B$5:$B$504,E$28))</f>
        <v>0</v>
      </c>
      <c r="F30" s="25">
        <f>IF(F$28="","",SUMIFS('Meal Plan'!$T$5:$T$504,'Meal Plan'!$B$5:$B$504,F$28))</f>
        <v>0</v>
      </c>
      <c r="G30" s="25">
        <f>IF(G$28="","",SUMIFS('Meal Plan'!$T$5:$T$504,'Meal Plan'!$B$5:$B$504,G$28))</f>
        <v>0</v>
      </c>
      <c r="H30" s="25">
        <f>IF(H$28="","",SUMIFS('Meal Plan'!$T$5:$T$504,'Meal Plan'!$B$5:$B$504,H$28))</f>
        <v>0</v>
      </c>
      <c r="I30" s="26">
        <f>SUMIFS('Meal Plan'!$T$5:$T$504,'Meal Plan'!$B$5:$B$504,"&gt;="&amp;DashWeek,'Meal Plan'!$B$5:$B$504,"&lt;="&amp;DashWeek+6)</f>
        <v>0</v>
      </c>
    </row>
    <row r="32" spans="1:12" ht="20" customHeight="1">
      <c r="A32" s="7" t="s">
        <v>139</v>
      </c>
      <c r="B32" s="7"/>
      <c r="C32" s="7"/>
      <c r="D32" s="7"/>
      <c r="E32" s="7"/>
      <c r="F32" s="7"/>
      <c r="G32" s="7"/>
      <c r="H32" s="7"/>
      <c r="I32" s="7"/>
      <c r="J32" s="7"/>
      <c r="K32" s="7"/>
      <c r="L32" s="7"/>
    </row>
    <row r="33" spans="1:12" ht="26" customHeight="1">
      <c r="A33" s="8" t="s">
        <v>101</v>
      </c>
      <c r="B33" s="9" t="s">
        <v>140</v>
      </c>
      <c r="C33" s="9" t="s">
        <v>141</v>
      </c>
      <c r="D33" s="9" t="s">
        <v>142</v>
      </c>
      <c r="E33" s="9" t="s">
        <v>143</v>
      </c>
      <c r="F33" s="9" t="s">
        <v>144</v>
      </c>
      <c r="G33" s="9" t="s">
        <v>145</v>
      </c>
      <c r="H33" s="9" t="s">
        <v>146</v>
      </c>
    </row>
    <row r="34" spans="1:12">
      <c r="A34" s="17">
        <f>TEXT(DATE(PlanYear,1,1),"mmm")</f>
        <v>0</v>
      </c>
      <c r="B34" s="25">
        <f>SUMIFS('Grocery Spending'!$K$5:$K$404,'Grocery Spending'!$E$5:$E$404,TEXT(DATE(PlanYear,1,1),"yyyy-mm"))</f>
        <v>0</v>
      </c>
      <c r="C34" s="25">
        <f>MonthlyBudget</f>
        <v>0</v>
      </c>
      <c r="D34" s="25">
        <f>MonthlyBudget-SUMIFS('Grocery Spending'!$K$5:$K$404,'Grocery Spending'!$E$5:$E$404,TEXT(DATE(PlanYear,1,1),"yyyy-mm"))</f>
        <v>0</v>
      </c>
      <c r="E34" s="25">
        <f>SUMIFS('Grocery Spending'!$K$5:$K$404,'Grocery Spending'!$E$5:$E$404,TEXT(DATE(PlanYear,1,1),"yyyy-mm"),'Grocery Spending'!$G$5:$G$404,"Eating out")+SUMIFS('Grocery Spending'!$K$5:$K$404,'Grocery Spending'!$E$5:$E$404,TEXT(DATE(PlanYear,1,1),"yyyy-mm"),'Grocery Spending'!$G$5:$G$404,"Takeaway")</f>
        <v>0</v>
      </c>
      <c r="F34" s="25">
        <f>SUMIFS('Food Waste'!$L$5:$L$154,'Food Waste'!$D$5:$D$154,TEXT(DATE(PlanYear,1,1),"yyyy-mm"))</f>
        <v>0</v>
      </c>
      <c r="G34" s="18">
        <f>COUNTIFS('Meal Plan'!$E$5:$E$504,TEXT(DATE(PlanYear,1,1),"yyyy-mm"),'Meal Plan'!$AD$5:$AD$504,"Yes")</f>
        <v>0</v>
      </c>
    </row>
    <row r="35" spans="1:12">
      <c r="A35" s="17">
        <f>TEXT(DATE(PlanYear,2,1),"mmm")</f>
        <v>0</v>
      </c>
      <c r="B35" s="25">
        <f>SUMIFS('Grocery Spending'!$K$5:$K$404,'Grocery Spending'!$E$5:$E$404,TEXT(DATE(PlanYear,2,1),"yyyy-mm"))</f>
        <v>0</v>
      </c>
      <c r="C35" s="25">
        <f>MonthlyBudget</f>
        <v>0</v>
      </c>
      <c r="D35" s="25">
        <f>MonthlyBudget-SUMIFS('Grocery Spending'!$K$5:$K$404,'Grocery Spending'!$E$5:$E$404,TEXT(DATE(PlanYear,2,1),"yyyy-mm"))</f>
        <v>0</v>
      </c>
      <c r="E35" s="25">
        <f>SUMIFS('Grocery Spending'!$K$5:$K$404,'Grocery Spending'!$E$5:$E$404,TEXT(DATE(PlanYear,2,1),"yyyy-mm"),'Grocery Spending'!$G$5:$G$404,"Eating out")+SUMIFS('Grocery Spending'!$K$5:$K$404,'Grocery Spending'!$E$5:$E$404,TEXT(DATE(PlanYear,2,1),"yyyy-mm"),'Grocery Spending'!$G$5:$G$404,"Takeaway")</f>
        <v>0</v>
      </c>
      <c r="F35" s="25">
        <f>SUMIFS('Food Waste'!$L$5:$L$154,'Food Waste'!$D$5:$D$154,TEXT(DATE(PlanYear,2,1),"yyyy-mm"))</f>
        <v>0</v>
      </c>
      <c r="G35" s="18">
        <f>COUNTIFS('Meal Plan'!$E$5:$E$504,TEXT(DATE(PlanYear,2,1),"yyyy-mm"),'Meal Plan'!$AD$5:$AD$504,"Yes")</f>
        <v>0</v>
      </c>
    </row>
    <row r="36" spans="1:12">
      <c r="A36" s="17">
        <f>TEXT(DATE(PlanYear,3,1),"mmm")</f>
        <v>0</v>
      </c>
      <c r="B36" s="25">
        <f>SUMIFS('Grocery Spending'!$K$5:$K$404,'Grocery Spending'!$E$5:$E$404,TEXT(DATE(PlanYear,3,1),"yyyy-mm"))</f>
        <v>0</v>
      </c>
      <c r="C36" s="25">
        <f>MonthlyBudget</f>
        <v>0</v>
      </c>
      <c r="D36" s="25">
        <f>MonthlyBudget-SUMIFS('Grocery Spending'!$K$5:$K$404,'Grocery Spending'!$E$5:$E$404,TEXT(DATE(PlanYear,3,1),"yyyy-mm"))</f>
        <v>0</v>
      </c>
      <c r="E36" s="25">
        <f>SUMIFS('Grocery Spending'!$K$5:$K$404,'Grocery Spending'!$E$5:$E$404,TEXT(DATE(PlanYear,3,1),"yyyy-mm"),'Grocery Spending'!$G$5:$G$404,"Eating out")+SUMIFS('Grocery Spending'!$K$5:$K$404,'Grocery Spending'!$E$5:$E$404,TEXT(DATE(PlanYear,3,1),"yyyy-mm"),'Grocery Spending'!$G$5:$G$404,"Takeaway")</f>
        <v>0</v>
      </c>
      <c r="F36" s="25">
        <f>SUMIFS('Food Waste'!$L$5:$L$154,'Food Waste'!$D$5:$D$154,TEXT(DATE(PlanYear,3,1),"yyyy-mm"))</f>
        <v>0</v>
      </c>
      <c r="G36" s="18">
        <f>COUNTIFS('Meal Plan'!$E$5:$E$504,TEXT(DATE(PlanYear,3,1),"yyyy-mm"),'Meal Plan'!$AD$5:$AD$504,"Yes")</f>
        <v>0</v>
      </c>
    </row>
    <row r="37" spans="1:12">
      <c r="A37" s="17">
        <f>TEXT(DATE(PlanYear,4,1),"mmm")</f>
        <v>0</v>
      </c>
      <c r="B37" s="25">
        <f>SUMIFS('Grocery Spending'!$K$5:$K$404,'Grocery Spending'!$E$5:$E$404,TEXT(DATE(PlanYear,4,1),"yyyy-mm"))</f>
        <v>0</v>
      </c>
      <c r="C37" s="25">
        <f>MonthlyBudget</f>
        <v>0</v>
      </c>
      <c r="D37" s="25">
        <f>MonthlyBudget-SUMIFS('Grocery Spending'!$K$5:$K$404,'Grocery Spending'!$E$5:$E$404,TEXT(DATE(PlanYear,4,1),"yyyy-mm"))</f>
        <v>0</v>
      </c>
      <c r="E37" s="25">
        <f>SUMIFS('Grocery Spending'!$K$5:$K$404,'Grocery Spending'!$E$5:$E$404,TEXT(DATE(PlanYear,4,1),"yyyy-mm"),'Grocery Spending'!$G$5:$G$404,"Eating out")+SUMIFS('Grocery Spending'!$K$5:$K$404,'Grocery Spending'!$E$5:$E$404,TEXT(DATE(PlanYear,4,1),"yyyy-mm"),'Grocery Spending'!$G$5:$G$404,"Takeaway")</f>
        <v>0</v>
      </c>
      <c r="F37" s="25">
        <f>SUMIFS('Food Waste'!$L$5:$L$154,'Food Waste'!$D$5:$D$154,TEXT(DATE(PlanYear,4,1),"yyyy-mm"))</f>
        <v>0</v>
      </c>
      <c r="G37" s="18">
        <f>COUNTIFS('Meal Plan'!$E$5:$E$504,TEXT(DATE(PlanYear,4,1),"yyyy-mm"),'Meal Plan'!$AD$5:$AD$504,"Yes")</f>
        <v>0</v>
      </c>
    </row>
    <row r="38" spans="1:12">
      <c r="A38" s="17">
        <f>TEXT(DATE(PlanYear,5,1),"mmm")</f>
        <v>0</v>
      </c>
      <c r="B38" s="25">
        <f>SUMIFS('Grocery Spending'!$K$5:$K$404,'Grocery Spending'!$E$5:$E$404,TEXT(DATE(PlanYear,5,1),"yyyy-mm"))</f>
        <v>0</v>
      </c>
      <c r="C38" s="25">
        <f>MonthlyBudget</f>
        <v>0</v>
      </c>
      <c r="D38" s="25">
        <f>MonthlyBudget-SUMIFS('Grocery Spending'!$K$5:$K$404,'Grocery Spending'!$E$5:$E$404,TEXT(DATE(PlanYear,5,1),"yyyy-mm"))</f>
        <v>0</v>
      </c>
      <c r="E38" s="25">
        <f>SUMIFS('Grocery Spending'!$K$5:$K$404,'Grocery Spending'!$E$5:$E$404,TEXT(DATE(PlanYear,5,1),"yyyy-mm"),'Grocery Spending'!$G$5:$G$404,"Eating out")+SUMIFS('Grocery Spending'!$K$5:$K$404,'Grocery Spending'!$E$5:$E$404,TEXT(DATE(PlanYear,5,1),"yyyy-mm"),'Grocery Spending'!$G$5:$G$404,"Takeaway")</f>
        <v>0</v>
      </c>
      <c r="F38" s="25">
        <f>SUMIFS('Food Waste'!$L$5:$L$154,'Food Waste'!$D$5:$D$154,TEXT(DATE(PlanYear,5,1),"yyyy-mm"))</f>
        <v>0</v>
      </c>
      <c r="G38" s="18">
        <f>COUNTIFS('Meal Plan'!$E$5:$E$504,TEXT(DATE(PlanYear,5,1),"yyyy-mm"),'Meal Plan'!$AD$5:$AD$504,"Yes")</f>
        <v>0</v>
      </c>
    </row>
    <row r="39" spans="1:12">
      <c r="A39" s="17">
        <f>TEXT(DATE(PlanYear,6,1),"mmm")</f>
        <v>0</v>
      </c>
      <c r="B39" s="25">
        <f>SUMIFS('Grocery Spending'!$K$5:$K$404,'Grocery Spending'!$E$5:$E$404,TEXT(DATE(PlanYear,6,1),"yyyy-mm"))</f>
        <v>0</v>
      </c>
      <c r="C39" s="25">
        <f>MonthlyBudget</f>
        <v>0</v>
      </c>
      <c r="D39" s="25">
        <f>MonthlyBudget-SUMIFS('Grocery Spending'!$K$5:$K$404,'Grocery Spending'!$E$5:$E$404,TEXT(DATE(PlanYear,6,1),"yyyy-mm"))</f>
        <v>0</v>
      </c>
      <c r="E39" s="25">
        <f>SUMIFS('Grocery Spending'!$K$5:$K$404,'Grocery Spending'!$E$5:$E$404,TEXT(DATE(PlanYear,6,1),"yyyy-mm"),'Grocery Spending'!$G$5:$G$404,"Eating out")+SUMIFS('Grocery Spending'!$K$5:$K$404,'Grocery Spending'!$E$5:$E$404,TEXT(DATE(PlanYear,6,1),"yyyy-mm"),'Grocery Spending'!$G$5:$G$404,"Takeaway")</f>
        <v>0</v>
      </c>
      <c r="F39" s="25">
        <f>SUMIFS('Food Waste'!$L$5:$L$154,'Food Waste'!$D$5:$D$154,TEXT(DATE(PlanYear,6,1),"yyyy-mm"))</f>
        <v>0</v>
      </c>
      <c r="G39" s="18">
        <f>COUNTIFS('Meal Plan'!$E$5:$E$504,TEXT(DATE(PlanYear,6,1),"yyyy-mm"),'Meal Plan'!$AD$5:$AD$504,"Yes")</f>
        <v>0</v>
      </c>
    </row>
    <row r="40" spans="1:12">
      <c r="A40" s="17">
        <f>TEXT(DATE(PlanYear,7,1),"mmm")</f>
        <v>0</v>
      </c>
      <c r="B40" s="25">
        <f>SUMIFS('Grocery Spending'!$K$5:$K$404,'Grocery Spending'!$E$5:$E$404,TEXT(DATE(PlanYear,7,1),"yyyy-mm"))</f>
        <v>0</v>
      </c>
      <c r="C40" s="25">
        <f>MonthlyBudget</f>
        <v>0</v>
      </c>
      <c r="D40" s="25">
        <f>MonthlyBudget-SUMIFS('Grocery Spending'!$K$5:$K$404,'Grocery Spending'!$E$5:$E$404,TEXT(DATE(PlanYear,7,1),"yyyy-mm"))</f>
        <v>0</v>
      </c>
      <c r="E40" s="25">
        <f>SUMIFS('Grocery Spending'!$K$5:$K$404,'Grocery Spending'!$E$5:$E$404,TEXT(DATE(PlanYear,7,1),"yyyy-mm"),'Grocery Spending'!$G$5:$G$404,"Eating out")+SUMIFS('Grocery Spending'!$K$5:$K$404,'Grocery Spending'!$E$5:$E$404,TEXT(DATE(PlanYear,7,1),"yyyy-mm"),'Grocery Spending'!$G$5:$G$404,"Takeaway")</f>
        <v>0</v>
      </c>
      <c r="F40" s="25">
        <f>SUMIFS('Food Waste'!$L$5:$L$154,'Food Waste'!$D$5:$D$154,TEXT(DATE(PlanYear,7,1),"yyyy-mm"))</f>
        <v>0</v>
      </c>
      <c r="G40" s="18">
        <f>COUNTIFS('Meal Plan'!$E$5:$E$504,TEXT(DATE(PlanYear,7,1),"yyyy-mm"),'Meal Plan'!$AD$5:$AD$504,"Yes")</f>
        <v>0</v>
      </c>
    </row>
    <row r="41" spans="1:12">
      <c r="A41" s="17">
        <f>TEXT(DATE(PlanYear,8,1),"mmm")</f>
        <v>0</v>
      </c>
      <c r="B41" s="25">
        <f>SUMIFS('Grocery Spending'!$K$5:$K$404,'Grocery Spending'!$E$5:$E$404,TEXT(DATE(PlanYear,8,1),"yyyy-mm"))</f>
        <v>0</v>
      </c>
      <c r="C41" s="25">
        <f>MonthlyBudget</f>
        <v>0</v>
      </c>
      <c r="D41" s="25">
        <f>MonthlyBudget-SUMIFS('Grocery Spending'!$K$5:$K$404,'Grocery Spending'!$E$5:$E$404,TEXT(DATE(PlanYear,8,1),"yyyy-mm"))</f>
        <v>0</v>
      </c>
      <c r="E41" s="25">
        <f>SUMIFS('Grocery Spending'!$K$5:$K$404,'Grocery Spending'!$E$5:$E$404,TEXT(DATE(PlanYear,8,1),"yyyy-mm"),'Grocery Spending'!$G$5:$G$404,"Eating out")+SUMIFS('Grocery Spending'!$K$5:$K$404,'Grocery Spending'!$E$5:$E$404,TEXT(DATE(PlanYear,8,1),"yyyy-mm"),'Grocery Spending'!$G$5:$G$404,"Takeaway")</f>
        <v>0</v>
      </c>
      <c r="F41" s="25">
        <f>SUMIFS('Food Waste'!$L$5:$L$154,'Food Waste'!$D$5:$D$154,TEXT(DATE(PlanYear,8,1),"yyyy-mm"))</f>
        <v>0</v>
      </c>
      <c r="G41" s="18">
        <f>COUNTIFS('Meal Plan'!$E$5:$E$504,TEXT(DATE(PlanYear,8,1),"yyyy-mm"),'Meal Plan'!$AD$5:$AD$504,"Yes")</f>
        <v>0</v>
      </c>
    </row>
    <row r="42" spans="1:12">
      <c r="A42" s="17">
        <f>TEXT(DATE(PlanYear,9,1),"mmm")</f>
        <v>0</v>
      </c>
      <c r="B42" s="25">
        <f>SUMIFS('Grocery Spending'!$K$5:$K$404,'Grocery Spending'!$E$5:$E$404,TEXT(DATE(PlanYear,9,1),"yyyy-mm"))</f>
        <v>0</v>
      </c>
      <c r="C42" s="25">
        <f>MonthlyBudget</f>
        <v>0</v>
      </c>
      <c r="D42" s="25">
        <f>MonthlyBudget-SUMIFS('Grocery Spending'!$K$5:$K$404,'Grocery Spending'!$E$5:$E$404,TEXT(DATE(PlanYear,9,1),"yyyy-mm"))</f>
        <v>0</v>
      </c>
      <c r="E42" s="25">
        <f>SUMIFS('Grocery Spending'!$K$5:$K$404,'Grocery Spending'!$E$5:$E$404,TEXT(DATE(PlanYear,9,1),"yyyy-mm"),'Grocery Spending'!$G$5:$G$404,"Eating out")+SUMIFS('Grocery Spending'!$K$5:$K$404,'Grocery Spending'!$E$5:$E$404,TEXT(DATE(PlanYear,9,1),"yyyy-mm"),'Grocery Spending'!$G$5:$G$404,"Takeaway")</f>
        <v>0</v>
      </c>
      <c r="F42" s="25">
        <f>SUMIFS('Food Waste'!$L$5:$L$154,'Food Waste'!$D$5:$D$154,TEXT(DATE(PlanYear,9,1),"yyyy-mm"))</f>
        <v>0</v>
      </c>
      <c r="G42" s="18">
        <f>COUNTIFS('Meal Plan'!$E$5:$E$504,TEXT(DATE(PlanYear,9,1),"yyyy-mm"),'Meal Plan'!$AD$5:$AD$504,"Yes")</f>
        <v>0</v>
      </c>
    </row>
    <row r="43" spans="1:12">
      <c r="A43" s="17">
        <f>TEXT(DATE(PlanYear,10,1),"mmm")</f>
        <v>0</v>
      </c>
      <c r="B43" s="25">
        <f>SUMIFS('Grocery Spending'!$K$5:$K$404,'Grocery Spending'!$E$5:$E$404,TEXT(DATE(PlanYear,10,1),"yyyy-mm"))</f>
        <v>0</v>
      </c>
      <c r="C43" s="25">
        <f>MonthlyBudget</f>
        <v>0</v>
      </c>
      <c r="D43" s="25">
        <f>MonthlyBudget-SUMIFS('Grocery Spending'!$K$5:$K$404,'Grocery Spending'!$E$5:$E$404,TEXT(DATE(PlanYear,10,1),"yyyy-mm"))</f>
        <v>0</v>
      </c>
      <c r="E43" s="25">
        <f>SUMIFS('Grocery Spending'!$K$5:$K$404,'Grocery Spending'!$E$5:$E$404,TEXT(DATE(PlanYear,10,1),"yyyy-mm"),'Grocery Spending'!$G$5:$G$404,"Eating out")+SUMIFS('Grocery Spending'!$K$5:$K$404,'Grocery Spending'!$E$5:$E$404,TEXT(DATE(PlanYear,10,1),"yyyy-mm"),'Grocery Spending'!$G$5:$G$404,"Takeaway")</f>
        <v>0</v>
      </c>
      <c r="F43" s="25">
        <f>SUMIFS('Food Waste'!$L$5:$L$154,'Food Waste'!$D$5:$D$154,TEXT(DATE(PlanYear,10,1),"yyyy-mm"))</f>
        <v>0</v>
      </c>
      <c r="G43" s="18">
        <f>COUNTIFS('Meal Plan'!$E$5:$E$504,TEXT(DATE(PlanYear,10,1),"yyyy-mm"),'Meal Plan'!$AD$5:$AD$504,"Yes")</f>
        <v>0</v>
      </c>
    </row>
    <row r="44" spans="1:12">
      <c r="A44" s="17">
        <f>TEXT(DATE(PlanYear,11,1),"mmm")</f>
        <v>0</v>
      </c>
      <c r="B44" s="25">
        <f>SUMIFS('Grocery Spending'!$K$5:$K$404,'Grocery Spending'!$E$5:$E$404,TEXT(DATE(PlanYear,11,1),"yyyy-mm"))</f>
        <v>0</v>
      </c>
      <c r="C44" s="25">
        <f>MonthlyBudget</f>
        <v>0</v>
      </c>
      <c r="D44" s="25">
        <f>MonthlyBudget-SUMIFS('Grocery Spending'!$K$5:$K$404,'Grocery Spending'!$E$5:$E$404,TEXT(DATE(PlanYear,11,1),"yyyy-mm"))</f>
        <v>0</v>
      </c>
      <c r="E44" s="25">
        <f>SUMIFS('Grocery Spending'!$K$5:$K$404,'Grocery Spending'!$E$5:$E$404,TEXT(DATE(PlanYear,11,1),"yyyy-mm"),'Grocery Spending'!$G$5:$G$404,"Eating out")+SUMIFS('Grocery Spending'!$K$5:$K$404,'Grocery Spending'!$E$5:$E$404,TEXT(DATE(PlanYear,11,1),"yyyy-mm"),'Grocery Spending'!$G$5:$G$404,"Takeaway")</f>
        <v>0</v>
      </c>
      <c r="F44" s="25">
        <f>SUMIFS('Food Waste'!$L$5:$L$154,'Food Waste'!$D$5:$D$154,TEXT(DATE(PlanYear,11,1),"yyyy-mm"))</f>
        <v>0</v>
      </c>
      <c r="G44" s="18">
        <f>COUNTIFS('Meal Plan'!$E$5:$E$504,TEXT(DATE(PlanYear,11,1),"yyyy-mm"),'Meal Plan'!$AD$5:$AD$504,"Yes")</f>
        <v>0</v>
      </c>
    </row>
    <row r="45" spans="1:12">
      <c r="A45" s="17">
        <f>TEXT(DATE(PlanYear,12,1),"mmm")</f>
        <v>0</v>
      </c>
      <c r="B45" s="25">
        <f>SUMIFS('Grocery Spending'!$K$5:$K$404,'Grocery Spending'!$E$5:$E$404,TEXT(DATE(PlanYear,12,1),"yyyy-mm"))</f>
        <v>0</v>
      </c>
      <c r="C45" s="25">
        <f>MonthlyBudget</f>
        <v>0</v>
      </c>
      <c r="D45" s="25">
        <f>MonthlyBudget-SUMIFS('Grocery Spending'!$K$5:$K$404,'Grocery Spending'!$E$5:$E$404,TEXT(DATE(PlanYear,12,1),"yyyy-mm"))</f>
        <v>0</v>
      </c>
      <c r="E45" s="25">
        <f>SUMIFS('Grocery Spending'!$K$5:$K$404,'Grocery Spending'!$E$5:$E$404,TEXT(DATE(PlanYear,12,1),"yyyy-mm"),'Grocery Spending'!$G$5:$G$404,"Eating out")+SUMIFS('Grocery Spending'!$K$5:$K$404,'Grocery Spending'!$E$5:$E$404,TEXT(DATE(PlanYear,12,1),"yyyy-mm"),'Grocery Spending'!$G$5:$G$404,"Takeaway")</f>
        <v>0</v>
      </c>
      <c r="F45" s="25">
        <f>SUMIFS('Food Waste'!$L$5:$L$154,'Food Waste'!$D$5:$D$154,TEXT(DATE(PlanYear,12,1),"yyyy-mm"))</f>
        <v>0</v>
      </c>
      <c r="G45" s="18">
        <f>COUNTIFS('Meal Plan'!$E$5:$E$504,TEXT(DATE(PlanYear,12,1),"yyyy-mm"),'Meal Plan'!$AD$5:$AD$504,"Yes")</f>
        <v>0</v>
      </c>
    </row>
    <row r="47" spans="1:12">
      <c r="A47" s="12" t="s">
        <v>147</v>
      </c>
      <c r="B47" s="12"/>
      <c r="C47" s="12"/>
      <c r="D47" s="12"/>
      <c r="E47" s="12"/>
      <c r="F47" s="12"/>
      <c r="G47" s="12"/>
      <c r="H47" s="12"/>
      <c r="I47" s="12"/>
      <c r="J47" s="12"/>
      <c r="K47" s="12"/>
      <c r="L47" s="12"/>
    </row>
    <row r="49" spans="1:12" ht="20" customHeight="1">
      <c r="A49" s="7" t="s">
        <v>148</v>
      </c>
      <c r="B49" s="7"/>
      <c r="C49" s="7"/>
      <c r="D49" s="7"/>
      <c r="E49" s="7"/>
      <c r="F49" s="7"/>
      <c r="G49" s="7"/>
      <c r="H49" s="7"/>
      <c r="I49" s="7"/>
      <c r="J49" s="7"/>
      <c r="K49" s="7"/>
      <c r="L49" s="7"/>
    </row>
    <row r="50" spans="1:12" ht="26" customHeight="1">
      <c r="A50" s="8" t="s">
        <v>149</v>
      </c>
      <c r="B50" s="9" t="s">
        <v>150</v>
      </c>
      <c r="C50" s="9" t="s">
        <v>142</v>
      </c>
      <c r="D50" s="9" t="s">
        <v>151</v>
      </c>
      <c r="E50" s="9" t="s">
        <v>152</v>
      </c>
      <c r="F50" s="9" t="s">
        <v>145</v>
      </c>
      <c r="G50" s="9" t="s">
        <v>153</v>
      </c>
      <c r="H50" s="9" t="s">
        <v>114</v>
      </c>
    </row>
    <row r="51" spans="1:12">
      <c r="A51" s="25">
        <f>SUM('Grocery Spending'!$K$5:$K$404)</f>
        <v>0</v>
      </c>
      <c r="B51" s="25">
        <f>AnnualBudget</f>
        <v>0</v>
      </c>
      <c r="C51" s="25">
        <f>AnnualBudget-SUM('Grocery Spending'!$K$5:$K$404)</f>
        <v>0</v>
      </c>
      <c r="D51" s="25">
        <f>SUM('Food Waste'!$L$5:$L$154)</f>
        <v>0</v>
      </c>
      <c r="E51" s="27">
        <f>IFERROR(SUM('Food Waste'!$L$5:$L$154)/SUM('Grocery Spending'!$K$5:$K$404),"")</f>
        <v>0</v>
      </c>
      <c r="F51" s="18">
        <f>COUNTIF('Meal Plan'!$AD$5:$AD$504,"Yes")</f>
        <v>0</v>
      </c>
      <c r="G51" s="18">
        <f>COUNTIF(Recipes!$B$5:$B$204,"&lt;&gt;")</f>
        <v>0</v>
      </c>
      <c r="H51" s="25">
        <f>SUM(Pantry!$P$5:$P$304)</f>
        <v>0</v>
      </c>
    </row>
    <row r="53" spans="1:12" ht="26" customHeight="1">
      <c r="A53" s="6" t="s">
        <v>154</v>
      </c>
      <c r="B53" s="6"/>
      <c r="C53" s="6"/>
      <c r="D53" s="6"/>
      <c r="E53" s="6"/>
      <c r="F53" s="6"/>
      <c r="G53" s="6"/>
      <c r="H53" s="6"/>
      <c r="I53" s="6"/>
      <c r="J53" s="6"/>
      <c r="K53" s="6"/>
      <c r="L53" s="6"/>
    </row>
  </sheetData>
  <sheetProtection password="EC7C" sheet="1" objects="1" scenarios="1" formatCells="0" formatColumns="0" formatRows="0" insertRows="0" insertHyperlinks="0" deleteRows="0" autoFilter="0"/>
  <mergeCells count="58">
    <mergeCell ref="A1:I1"/>
    <mergeCell ref="J1:L1"/>
    <mergeCell ref="A2:L2"/>
    <mergeCell ref="A3:B3"/>
    <mergeCell ref="C3:D3"/>
    <mergeCell ref="E3:F3"/>
    <mergeCell ref="G3:H3"/>
    <mergeCell ref="I3:J3"/>
    <mergeCell ref="K3:L3"/>
    <mergeCell ref="I5:J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L15"/>
    <mergeCell ref="C17:J17"/>
    <mergeCell ref="K17:L17"/>
    <mergeCell ref="C18:J18"/>
    <mergeCell ref="K18:L18"/>
    <mergeCell ref="C19:J19"/>
    <mergeCell ref="K19:L19"/>
    <mergeCell ref="C20:J20"/>
    <mergeCell ref="K20:L20"/>
    <mergeCell ref="C21:J21"/>
    <mergeCell ref="K21:L21"/>
    <mergeCell ref="C22:J22"/>
    <mergeCell ref="K22:L22"/>
    <mergeCell ref="C23:J23"/>
    <mergeCell ref="K23:L23"/>
    <mergeCell ref="C24:J24"/>
    <mergeCell ref="K24:L24"/>
    <mergeCell ref="C25:J25"/>
    <mergeCell ref="K25:L25"/>
    <mergeCell ref="A27:L27"/>
    <mergeCell ref="A32:L32"/>
    <mergeCell ref="A47:L47"/>
    <mergeCell ref="A49:L49"/>
    <mergeCell ref="A53:L53"/>
  </mergeCells>
  <conditionalFormatting sqref="B17:B25">
    <cfRule type="cellIs" dxfId="0" priority="1" operator="greaterThan">
      <formula>0</formula>
    </cfRule>
    <cfRule type="cellIs" dxfId="1" priority="2" operator="equal">
      <formula>0</formula>
    </cfRule>
  </conditionalFormatting>
  <conditionalFormatting sqref="B34:B45">
    <cfRule type="dataBar" priority="4">
      <dataBar>
        <cfvo type="min" val="0"/>
        <cfvo type="max" val="0"/>
        <color rgb="FF4E8A63"/>
      </dataBar>
    </cfRule>
  </conditionalFormatting>
  <conditionalFormatting sqref="D34:D45">
    <cfRule type="cellIs" dxfId="2" priority="3" operator="lessThan">
      <formula>0</formula>
    </cfRule>
  </conditionalFormatting>
  <conditionalFormatting sqref="E51">
    <cfRule type="cellIs" dxfId="0" priority="6" operator="greaterThan">
      <formula>0.05</formula>
    </cfRule>
  </conditionalFormatting>
  <conditionalFormatting sqref="F34:F45">
    <cfRule type="dataBar" priority="5">
      <dataBar>
        <cfvo type="min" val="0"/>
        <cfvo type="max" val="0"/>
        <color rgb="FFD9703C"/>
      </dataBar>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s>
  <pageMargins left="0.4" right="0.4" top="0.6" bottom="0.5" header="0.3" footer="0.3"/>
  <pageSetup paperSize="9" fitToHeight="0" orientation="landscape"/>
  <headerFooter>
    <oddHeader>&amp;L&amp;"Calibri,Bold"&amp;12&amp;C&amp;"Calibri,Bold"&amp;11Dashboard&amp;R&amp;"Calibri,Italic"&amp;9Automated Meal Planner &amp; Grocery List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4E8A63"/>
          <x14:colorNegative theme="5"/>
          <x14:colorAxis rgb="FF000000"/>
          <x14:colorMarkers theme="4" tint="-0.499984740745262"/>
          <x14:colorFirst theme="4" tint="0.39997558519241921"/>
          <x14:colorLast theme="4" tint="0.39997558519241921"/>
          <x14:colorHigh theme="4"/>
          <x14:colorLow theme="4"/>
          <x14:sparklines>
            <x14:sparkline>
              <xm:f>Dashboard!G34:G45</xm:f>
              <xm:sqref>H36</xm:sqref>
            </x14:sparkline>
          </x14:sparklines>
        </x14:sparklineGroup>
        <x14:sparklineGroup type="column" displayEmptyCellsAs="gap">
          <x14:colorSeries rgb="FFD9703C"/>
          <x14:colorNegative theme="5"/>
          <x14:colorAxis rgb="FF000000"/>
          <x14:colorMarkers theme="4" tint="-0.499984740745262"/>
          <x14:colorFirst theme="4" tint="0.39997558519241921"/>
          <x14:colorLast theme="4" tint="0.39997558519241921"/>
          <x14:colorHigh theme="4"/>
          <x14:colorLow theme="4"/>
          <x14:sparklines>
            <x14:sparkline>
              <xm:f>Dashboard!F34:F45</xm:f>
              <xm:sqref>H35</xm:sqref>
            </x14:sparkline>
          </x14:sparklines>
        </x14:sparklineGroup>
        <x14:sparklineGroup type="column" displayEmptyCellsAs="gap">
          <x14:colorSeries rgb="FF2F5E43"/>
          <x14:colorNegative theme="5"/>
          <x14:colorAxis rgb="FF000000"/>
          <x14:colorMarkers theme="4" tint="-0.499984740745262"/>
          <x14:colorFirst theme="4" tint="0.39997558519241921"/>
          <x14:colorLast theme="4" tint="0.39997558519241921"/>
          <x14:colorHigh theme="4"/>
          <x14:colorLow theme="4"/>
          <x14:sparklines>
            <x14:sparkline>
              <xm:f>Dashboard!B34:B45</xm:f>
              <xm:sqref>H34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D9703C"/>
    <pageSetUpPr fitToPage="1"/>
  </sheetPr>
  <dimension ref="A1:I32"/>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6.7109375" customWidth="1"/>
    <col min="2" max="2" width="19.7109375" customWidth="1"/>
    <col min="3" max="3" width="19.7109375" customWidth="1"/>
    <col min="4" max="4" width="19.7109375" customWidth="1"/>
    <col min="5" max="5" width="19.7109375" customWidth="1"/>
    <col min="6" max="6" width="19.7109375" customWidth="1"/>
    <col min="7" max="7" width="19.7109375" customWidth="1"/>
    <col min="8" max="8" width="19.7109375" customWidth="1"/>
    <col min="9" max="9" width="15.7109375" customWidth="1"/>
    <col min="1" max="1" width="26.7109375" customWidth="1"/>
    <col min="2" max="2" width="20.7109375" customWidth="1"/>
    <col min="3" max="3" width="44.7109375" customWidth="1"/>
  </cols>
  <sheetData>
    <row r="1" spans="1:9" ht="34" customHeight="1">
      <c r="A1" s="2" t="s">
        <v>155</v>
      </c>
      <c r="B1" s="2"/>
      <c r="C1" s="2"/>
      <c r="D1" s="2"/>
      <c r="E1" s="2"/>
      <c r="F1" s="2"/>
      <c r="G1" s="3" t="s">
        <v>1</v>
      </c>
      <c r="H1" s="3"/>
      <c r="I1" s="3"/>
    </row>
    <row r="2" spans="1:9" ht="18" customHeight="1">
      <c r="A2" s="4" t="s">
        <v>156</v>
      </c>
      <c r="B2" s="4"/>
      <c r="C2" s="4"/>
      <c r="D2" s="4"/>
      <c r="E2" s="4"/>
      <c r="F2" s="4"/>
      <c r="G2" s="4"/>
      <c r="H2" s="4"/>
      <c r="I2" s="4"/>
    </row>
    <row r="3" spans="1:9" ht="16" customHeight="1">
      <c r="A3" s="5" t="s">
        <v>3</v>
      </c>
      <c r="B3" s="5"/>
      <c r="C3" s="5" t="s">
        <v>4</v>
      </c>
      <c r="D3" s="5"/>
      <c r="E3" s="5" t="s">
        <v>5</v>
      </c>
      <c r="F3" s="5"/>
      <c r="G3" s="5" t="s">
        <v>6</v>
      </c>
      <c r="H3" s="5"/>
      <c r="I3" s="28" t="s">
        <v>157</v>
      </c>
    </row>
    <row r="5" spans="1:9">
      <c r="A5" s="11" t="s">
        <v>158</v>
      </c>
      <c r="B5" s="15">
        <v>46300</v>
      </c>
      <c r="C5" s="16" t="s">
        <v>159</v>
      </c>
      <c r="D5" s="18">
        <f>WEEKNUM(WeekPick,IF(WeekStart="Sunday",1,2))</f>
        <v>0</v>
      </c>
      <c r="E5" s="16" t="s">
        <v>160</v>
      </c>
      <c r="F5" s="18">
        <f>DefaultServings</f>
        <v>0</v>
      </c>
      <c r="G5" s="16" t="s">
        <v>161</v>
      </c>
      <c r="H5" s="25">
        <f>WeeklyBudget</f>
        <v>0</v>
      </c>
    </row>
    <row r="6" spans="1:9" ht="26" customHeight="1">
      <c r="A6" s="6" t="s">
        <v>162</v>
      </c>
      <c r="B6" s="6"/>
      <c r="C6" s="6"/>
      <c r="D6" s="6"/>
      <c r="E6" s="6"/>
      <c r="F6" s="6"/>
      <c r="G6" s="6"/>
      <c r="H6" s="6"/>
      <c r="I6" s="6"/>
    </row>
    <row r="7" spans="1:9" ht="26" customHeight="1">
      <c r="A7" s="8" t="s">
        <v>163</v>
      </c>
      <c r="B7" s="29">
        <f>WeekPick+0</f>
        <v>0</v>
      </c>
      <c r="C7" s="29">
        <f>WeekPick+1</f>
        <v>0</v>
      </c>
      <c r="D7" s="29">
        <f>WeekPick+2</f>
        <v>0</v>
      </c>
      <c r="E7" s="29">
        <f>WeekPick+3</f>
        <v>0</v>
      </c>
      <c r="F7" s="29">
        <f>WeekPick+4</f>
        <v>0</v>
      </c>
      <c r="G7" s="29">
        <f>WeekPick+5</f>
        <v>0</v>
      </c>
      <c r="H7" s="29">
        <f>WeekPick+6</f>
        <v>0</v>
      </c>
      <c r="I7" s="9" t="s">
        <v>164</v>
      </c>
    </row>
    <row r="8" spans="1:9" ht="30" customHeight="1">
      <c r="A8" s="11" t="s">
        <v>165</v>
      </c>
      <c r="B8" s="24">
        <f>IF(B$7="","",IFERROR(INDEX('Meal Plan'!$H$5:$H$504,MATCH(TEXT(B$7,"yyyy-mm-dd")&amp;"|"&amp;"Breakfast",'Meal Plan'!$AE$5:$AE$504,0)),""))</f>
        <v>0</v>
      </c>
      <c r="C8" s="24">
        <f>IF(C$7="","",IFERROR(INDEX('Meal Plan'!$H$5:$H$504,MATCH(TEXT(C$7,"yyyy-mm-dd")&amp;"|"&amp;"Breakfast",'Meal Plan'!$AE$5:$AE$504,0)),""))</f>
        <v>0</v>
      </c>
      <c r="D8" s="24">
        <f>IF(D$7="","",IFERROR(INDEX('Meal Plan'!$H$5:$H$504,MATCH(TEXT(D$7,"yyyy-mm-dd")&amp;"|"&amp;"Breakfast",'Meal Plan'!$AE$5:$AE$504,0)),""))</f>
        <v>0</v>
      </c>
      <c r="E8" s="24">
        <f>IF(E$7="","",IFERROR(INDEX('Meal Plan'!$H$5:$H$504,MATCH(TEXT(E$7,"yyyy-mm-dd")&amp;"|"&amp;"Breakfast",'Meal Plan'!$AE$5:$AE$504,0)),""))</f>
        <v>0</v>
      </c>
      <c r="F8" s="24">
        <f>IF(F$7="","",IFERROR(INDEX('Meal Plan'!$H$5:$H$504,MATCH(TEXT(F$7,"yyyy-mm-dd")&amp;"|"&amp;"Breakfast",'Meal Plan'!$AE$5:$AE$504,0)),""))</f>
        <v>0</v>
      </c>
      <c r="G8" s="24">
        <f>IF(G$7="","",IFERROR(INDEX('Meal Plan'!$H$5:$H$504,MATCH(TEXT(G$7,"yyyy-mm-dd")&amp;"|"&amp;"Breakfast",'Meal Plan'!$AE$5:$AE$504,0)),""))</f>
        <v>0</v>
      </c>
      <c r="H8" s="24">
        <f>IF(H$7="","",IFERROR(INDEX('Meal Plan'!$H$5:$H$504,MATCH(TEXT(H$7,"yyyy-mm-dd")&amp;"|"&amp;"Breakfast",'Meal Plan'!$AE$5:$AE$504,0)),""))</f>
        <v>0</v>
      </c>
      <c r="I8" s="18">
        <f>COUNTIFS('Meal Plan'!$B$5:$B$504,"&gt;="&amp;WeekPick,'Meal Plan'!$B$5:$B$504,"&lt;="&amp;WeekPick+6,'Meal Plan'!$F$5:$F$504,"Breakfast")</f>
        <v>0</v>
      </c>
    </row>
    <row r="9" spans="1:9" ht="30" customHeight="1">
      <c r="A9" s="11" t="s">
        <v>166</v>
      </c>
      <c r="B9" s="24">
        <f>IF(B$7="","",IFERROR(INDEX('Meal Plan'!$H$5:$H$504,MATCH(TEXT(B$7,"yyyy-mm-dd")&amp;"|"&amp;"Morning snack",'Meal Plan'!$AE$5:$AE$504,0)),""))</f>
        <v>0</v>
      </c>
      <c r="C9" s="24">
        <f>IF(C$7="","",IFERROR(INDEX('Meal Plan'!$H$5:$H$504,MATCH(TEXT(C$7,"yyyy-mm-dd")&amp;"|"&amp;"Morning snack",'Meal Plan'!$AE$5:$AE$504,0)),""))</f>
        <v>0</v>
      </c>
      <c r="D9" s="24">
        <f>IF(D$7="","",IFERROR(INDEX('Meal Plan'!$H$5:$H$504,MATCH(TEXT(D$7,"yyyy-mm-dd")&amp;"|"&amp;"Morning snack",'Meal Plan'!$AE$5:$AE$504,0)),""))</f>
        <v>0</v>
      </c>
      <c r="E9" s="24">
        <f>IF(E$7="","",IFERROR(INDEX('Meal Plan'!$H$5:$H$504,MATCH(TEXT(E$7,"yyyy-mm-dd")&amp;"|"&amp;"Morning snack",'Meal Plan'!$AE$5:$AE$504,0)),""))</f>
        <v>0</v>
      </c>
      <c r="F9" s="24">
        <f>IF(F$7="","",IFERROR(INDEX('Meal Plan'!$H$5:$H$504,MATCH(TEXT(F$7,"yyyy-mm-dd")&amp;"|"&amp;"Morning snack",'Meal Plan'!$AE$5:$AE$504,0)),""))</f>
        <v>0</v>
      </c>
      <c r="G9" s="24">
        <f>IF(G$7="","",IFERROR(INDEX('Meal Plan'!$H$5:$H$504,MATCH(TEXT(G$7,"yyyy-mm-dd")&amp;"|"&amp;"Morning snack",'Meal Plan'!$AE$5:$AE$504,0)),""))</f>
        <v>0</v>
      </c>
      <c r="H9" s="24">
        <f>IF(H$7="","",IFERROR(INDEX('Meal Plan'!$H$5:$H$504,MATCH(TEXT(H$7,"yyyy-mm-dd")&amp;"|"&amp;"Morning snack",'Meal Plan'!$AE$5:$AE$504,0)),""))</f>
        <v>0</v>
      </c>
      <c r="I9" s="18">
        <f>COUNTIFS('Meal Plan'!$B$5:$B$504,"&gt;="&amp;WeekPick,'Meal Plan'!$B$5:$B$504,"&lt;="&amp;WeekPick+6,'Meal Plan'!$F$5:$F$504,"Morning snack")</f>
        <v>0</v>
      </c>
    </row>
    <row r="10" spans="1:9" ht="30" customHeight="1">
      <c r="A10" s="11" t="s">
        <v>167</v>
      </c>
      <c r="B10" s="24">
        <f>IF(B$7="","",IFERROR(INDEX('Meal Plan'!$H$5:$H$504,MATCH(TEXT(B$7,"yyyy-mm-dd")&amp;"|"&amp;"Lunch",'Meal Plan'!$AE$5:$AE$504,0)),""))</f>
        <v>0</v>
      </c>
      <c r="C10" s="24">
        <f>IF(C$7="","",IFERROR(INDEX('Meal Plan'!$H$5:$H$504,MATCH(TEXT(C$7,"yyyy-mm-dd")&amp;"|"&amp;"Lunch",'Meal Plan'!$AE$5:$AE$504,0)),""))</f>
        <v>0</v>
      </c>
      <c r="D10" s="24">
        <f>IF(D$7="","",IFERROR(INDEX('Meal Plan'!$H$5:$H$504,MATCH(TEXT(D$7,"yyyy-mm-dd")&amp;"|"&amp;"Lunch",'Meal Plan'!$AE$5:$AE$504,0)),""))</f>
        <v>0</v>
      </c>
      <c r="E10" s="24">
        <f>IF(E$7="","",IFERROR(INDEX('Meal Plan'!$H$5:$H$504,MATCH(TEXT(E$7,"yyyy-mm-dd")&amp;"|"&amp;"Lunch",'Meal Plan'!$AE$5:$AE$504,0)),""))</f>
        <v>0</v>
      </c>
      <c r="F10" s="24">
        <f>IF(F$7="","",IFERROR(INDEX('Meal Plan'!$H$5:$H$504,MATCH(TEXT(F$7,"yyyy-mm-dd")&amp;"|"&amp;"Lunch",'Meal Plan'!$AE$5:$AE$504,0)),""))</f>
        <v>0</v>
      </c>
      <c r="G10" s="24">
        <f>IF(G$7="","",IFERROR(INDEX('Meal Plan'!$H$5:$H$504,MATCH(TEXT(G$7,"yyyy-mm-dd")&amp;"|"&amp;"Lunch",'Meal Plan'!$AE$5:$AE$504,0)),""))</f>
        <v>0</v>
      </c>
      <c r="H10" s="24">
        <f>IF(H$7="","",IFERROR(INDEX('Meal Plan'!$H$5:$H$504,MATCH(TEXT(H$7,"yyyy-mm-dd")&amp;"|"&amp;"Lunch",'Meal Plan'!$AE$5:$AE$504,0)),""))</f>
        <v>0</v>
      </c>
      <c r="I10" s="18">
        <f>COUNTIFS('Meal Plan'!$B$5:$B$504,"&gt;="&amp;WeekPick,'Meal Plan'!$B$5:$B$504,"&lt;="&amp;WeekPick+6,'Meal Plan'!$F$5:$F$504,"Lunch")</f>
        <v>0</v>
      </c>
    </row>
    <row r="11" spans="1:9" ht="30" customHeight="1">
      <c r="A11" s="11" t="s">
        <v>168</v>
      </c>
      <c r="B11" s="24">
        <f>IF(B$7="","",IFERROR(INDEX('Meal Plan'!$H$5:$H$504,MATCH(TEXT(B$7,"yyyy-mm-dd")&amp;"|"&amp;"Afternoon snack",'Meal Plan'!$AE$5:$AE$504,0)),""))</f>
        <v>0</v>
      </c>
      <c r="C11" s="24">
        <f>IF(C$7="","",IFERROR(INDEX('Meal Plan'!$H$5:$H$504,MATCH(TEXT(C$7,"yyyy-mm-dd")&amp;"|"&amp;"Afternoon snack",'Meal Plan'!$AE$5:$AE$504,0)),""))</f>
        <v>0</v>
      </c>
      <c r="D11" s="24">
        <f>IF(D$7="","",IFERROR(INDEX('Meal Plan'!$H$5:$H$504,MATCH(TEXT(D$7,"yyyy-mm-dd")&amp;"|"&amp;"Afternoon snack",'Meal Plan'!$AE$5:$AE$504,0)),""))</f>
        <v>0</v>
      </c>
      <c r="E11" s="24">
        <f>IF(E$7="","",IFERROR(INDEX('Meal Plan'!$H$5:$H$504,MATCH(TEXT(E$7,"yyyy-mm-dd")&amp;"|"&amp;"Afternoon snack",'Meal Plan'!$AE$5:$AE$504,0)),""))</f>
        <v>0</v>
      </c>
      <c r="F11" s="24">
        <f>IF(F$7="","",IFERROR(INDEX('Meal Plan'!$H$5:$H$504,MATCH(TEXT(F$7,"yyyy-mm-dd")&amp;"|"&amp;"Afternoon snack",'Meal Plan'!$AE$5:$AE$504,0)),""))</f>
        <v>0</v>
      </c>
      <c r="G11" s="24">
        <f>IF(G$7="","",IFERROR(INDEX('Meal Plan'!$H$5:$H$504,MATCH(TEXT(G$7,"yyyy-mm-dd")&amp;"|"&amp;"Afternoon snack",'Meal Plan'!$AE$5:$AE$504,0)),""))</f>
        <v>0</v>
      </c>
      <c r="H11" s="24">
        <f>IF(H$7="","",IFERROR(INDEX('Meal Plan'!$H$5:$H$504,MATCH(TEXT(H$7,"yyyy-mm-dd")&amp;"|"&amp;"Afternoon snack",'Meal Plan'!$AE$5:$AE$504,0)),""))</f>
        <v>0</v>
      </c>
      <c r="I11" s="18">
        <f>COUNTIFS('Meal Plan'!$B$5:$B$504,"&gt;="&amp;WeekPick,'Meal Plan'!$B$5:$B$504,"&lt;="&amp;WeekPick+6,'Meal Plan'!$F$5:$F$504,"Afternoon snack")</f>
        <v>0</v>
      </c>
    </row>
    <row r="12" spans="1:9" ht="30" customHeight="1">
      <c r="A12" s="11" t="s">
        <v>137</v>
      </c>
      <c r="B12" s="24">
        <f>IF(B$7="","",IFERROR(INDEX('Meal Plan'!$H$5:$H$504,MATCH(TEXT(B$7,"yyyy-mm-dd")&amp;"|"&amp;"Dinner",'Meal Plan'!$AE$5:$AE$504,0)),""))</f>
        <v>0</v>
      </c>
      <c r="C12" s="24">
        <f>IF(C$7="","",IFERROR(INDEX('Meal Plan'!$H$5:$H$504,MATCH(TEXT(C$7,"yyyy-mm-dd")&amp;"|"&amp;"Dinner",'Meal Plan'!$AE$5:$AE$504,0)),""))</f>
        <v>0</v>
      </c>
      <c r="D12" s="24">
        <f>IF(D$7="","",IFERROR(INDEX('Meal Plan'!$H$5:$H$504,MATCH(TEXT(D$7,"yyyy-mm-dd")&amp;"|"&amp;"Dinner",'Meal Plan'!$AE$5:$AE$504,0)),""))</f>
        <v>0</v>
      </c>
      <c r="E12" s="24">
        <f>IF(E$7="","",IFERROR(INDEX('Meal Plan'!$H$5:$H$504,MATCH(TEXT(E$7,"yyyy-mm-dd")&amp;"|"&amp;"Dinner",'Meal Plan'!$AE$5:$AE$504,0)),""))</f>
        <v>0</v>
      </c>
      <c r="F12" s="24">
        <f>IF(F$7="","",IFERROR(INDEX('Meal Plan'!$H$5:$H$504,MATCH(TEXT(F$7,"yyyy-mm-dd")&amp;"|"&amp;"Dinner",'Meal Plan'!$AE$5:$AE$504,0)),""))</f>
        <v>0</v>
      </c>
      <c r="G12" s="24">
        <f>IF(G$7="","",IFERROR(INDEX('Meal Plan'!$H$5:$H$504,MATCH(TEXT(G$7,"yyyy-mm-dd")&amp;"|"&amp;"Dinner",'Meal Plan'!$AE$5:$AE$504,0)),""))</f>
        <v>0</v>
      </c>
      <c r="H12" s="24">
        <f>IF(H$7="","",IFERROR(INDEX('Meal Plan'!$H$5:$H$504,MATCH(TEXT(H$7,"yyyy-mm-dd")&amp;"|"&amp;"Dinner",'Meal Plan'!$AE$5:$AE$504,0)),""))</f>
        <v>0</v>
      </c>
      <c r="I12" s="18">
        <f>COUNTIFS('Meal Plan'!$B$5:$B$504,"&gt;="&amp;WeekPick,'Meal Plan'!$B$5:$B$504,"&lt;="&amp;WeekPick+6,'Meal Plan'!$F$5:$F$504,"Dinner")</f>
        <v>0</v>
      </c>
    </row>
    <row r="13" spans="1:9" ht="30" customHeight="1">
      <c r="A13" s="11" t="s">
        <v>169</v>
      </c>
      <c r="B13" s="24">
        <f>IF(B$7="","",IFERROR(INDEX('Meal Plan'!$H$5:$H$504,MATCH(TEXT(B$7,"yyyy-mm-dd")&amp;"|"&amp;"Evening snack",'Meal Plan'!$AE$5:$AE$504,0)),""))</f>
        <v>0</v>
      </c>
      <c r="C13" s="24">
        <f>IF(C$7="","",IFERROR(INDEX('Meal Plan'!$H$5:$H$504,MATCH(TEXT(C$7,"yyyy-mm-dd")&amp;"|"&amp;"Evening snack",'Meal Plan'!$AE$5:$AE$504,0)),""))</f>
        <v>0</v>
      </c>
      <c r="D13" s="24">
        <f>IF(D$7="","",IFERROR(INDEX('Meal Plan'!$H$5:$H$504,MATCH(TEXT(D$7,"yyyy-mm-dd")&amp;"|"&amp;"Evening snack",'Meal Plan'!$AE$5:$AE$504,0)),""))</f>
        <v>0</v>
      </c>
      <c r="E13" s="24">
        <f>IF(E$7="","",IFERROR(INDEX('Meal Plan'!$H$5:$H$504,MATCH(TEXT(E$7,"yyyy-mm-dd")&amp;"|"&amp;"Evening snack",'Meal Plan'!$AE$5:$AE$504,0)),""))</f>
        <v>0</v>
      </c>
      <c r="F13" s="24">
        <f>IF(F$7="","",IFERROR(INDEX('Meal Plan'!$H$5:$H$504,MATCH(TEXT(F$7,"yyyy-mm-dd")&amp;"|"&amp;"Evening snack",'Meal Plan'!$AE$5:$AE$504,0)),""))</f>
        <v>0</v>
      </c>
      <c r="G13" s="24">
        <f>IF(G$7="","",IFERROR(INDEX('Meal Plan'!$H$5:$H$504,MATCH(TEXT(G$7,"yyyy-mm-dd")&amp;"|"&amp;"Evening snack",'Meal Plan'!$AE$5:$AE$504,0)),""))</f>
        <v>0</v>
      </c>
      <c r="H13" s="24">
        <f>IF(H$7="","",IFERROR(INDEX('Meal Plan'!$H$5:$H$504,MATCH(TEXT(H$7,"yyyy-mm-dd")&amp;"|"&amp;"Evening snack",'Meal Plan'!$AE$5:$AE$504,0)),""))</f>
        <v>0</v>
      </c>
      <c r="I13" s="18">
        <f>COUNTIFS('Meal Plan'!$B$5:$B$504,"&gt;="&amp;WeekPick,'Meal Plan'!$B$5:$B$504,"&lt;="&amp;WeekPick+6,'Meal Plan'!$F$5:$F$504,"Evening snack")</f>
        <v>0</v>
      </c>
    </row>
    <row r="14" spans="1:9" ht="30" customHeight="1">
      <c r="A14" s="11" t="s">
        <v>170</v>
      </c>
      <c r="B14" s="24">
        <f>IF(B$7="","",IFERROR(INDEX('Meal Plan'!$H$5:$H$504,MATCH(TEXT(B$7,"yyyy-mm-dd")&amp;"|"&amp;"Dessert",'Meal Plan'!$AE$5:$AE$504,0)),""))</f>
        <v>0</v>
      </c>
      <c r="C14" s="24">
        <f>IF(C$7="","",IFERROR(INDEX('Meal Plan'!$H$5:$H$504,MATCH(TEXT(C$7,"yyyy-mm-dd")&amp;"|"&amp;"Dessert",'Meal Plan'!$AE$5:$AE$504,0)),""))</f>
        <v>0</v>
      </c>
      <c r="D14" s="24">
        <f>IF(D$7="","",IFERROR(INDEX('Meal Plan'!$H$5:$H$504,MATCH(TEXT(D$7,"yyyy-mm-dd")&amp;"|"&amp;"Dessert",'Meal Plan'!$AE$5:$AE$504,0)),""))</f>
        <v>0</v>
      </c>
      <c r="E14" s="24">
        <f>IF(E$7="","",IFERROR(INDEX('Meal Plan'!$H$5:$H$504,MATCH(TEXT(E$7,"yyyy-mm-dd")&amp;"|"&amp;"Dessert",'Meal Plan'!$AE$5:$AE$504,0)),""))</f>
        <v>0</v>
      </c>
      <c r="F14" s="24">
        <f>IF(F$7="","",IFERROR(INDEX('Meal Plan'!$H$5:$H$504,MATCH(TEXT(F$7,"yyyy-mm-dd")&amp;"|"&amp;"Dessert",'Meal Plan'!$AE$5:$AE$504,0)),""))</f>
        <v>0</v>
      </c>
      <c r="G14" s="24">
        <f>IF(G$7="","",IFERROR(INDEX('Meal Plan'!$H$5:$H$504,MATCH(TEXT(G$7,"yyyy-mm-dd")&amp;"|"&amp;"Dessert",'Meal Plan'!$AE$5:$AE$504,0)),""))</f>
        <v>0</v>
      </c>
      <c r="H14" s="24">
        <f>IF(H$7="","",IFERROR(INDEX('Meal Plan'!$H$5:$H$504,MATCH(TEXT(H$7,"yyyy-mm-dd")&amp;"|"&amp;"Dessert",'Meal Plan'!$AE$5:$AE$504,0)),""))</f>
        <v>0</v>
      </c>
      <c r="I14" s="18">
        <f>COUNTIFS('Meal Plan'!$B$5:$B$504,"&gt;="&amp;WeekPick,'Meal Plan'!$B$5:$B$504,"&lt;="&amp;WeekPick+6,'Meal Plan'!$F$5:$F$504,"Dessert")</f>
        <v>0</v>
      </c>
    </row>
    <row r="15" spans="1:9">
      <c r="A15" s="11" t="s">
        <v>171</v>
      </c>
      <c r="B15" s="25">
        <f>IF(B$7="","",SUMIFS('Meal Plan'!$T$5:$T$504,'Meal Plan'!$B$5:$B$504,B$7))</f>
        <v>0</v>
      </c>
      <c r="C15" s="25">
        <f>IF(C$7="","",SUMIFS('Meal Plan'!$T$5:$T$504,'Meal Plan'!$B$5:$B$504,C$7))</f>
        <v>0</v>
      </c>
      <c r="D15" s="25">
        <f>IF(D$7="","",SUMIFS('Meal Plan'!$T$5:$T$504,'Meal Plan'!$B$5:$B$504,D$7))</f>
        <v>0</v>
      </c>
      <c r="E15" s="25">
        <f>IF(E$7="","",SUMIFS('Meal Plan'!$T$5:$T$504,'Meal Plan'!$B$5:$B$504,E$7))</f>
        <v>0</v>
      </c>
      <c r="F15" s="25">
        <f>IF(F$7="","",SUMIFS('Meal Plan'!$T$5:$T$504,'Meal Plan'!$B$5:$B$504,F$7))</f>
        <v>0</v>
      </c>
      <c r="G15" s="25">
        <f>IF(G$7="","",SUMIFS('Meal Plan'!$T$5:$T$504,'Meal Plan'!$B$5:$B$504,G$7))</f>
        <v>0</v>
      </c>
      <c r="H15" s="25">
        <f>IF(H$7="","",SUMIFS('Meal Plan'!$T$5:$T$504,'Meal Plan'!$B$5:$B$504,H$7))</f>
        <v>0</v>
      </c>
      <c r="I15" s="26">
        <f>SUMIFS('Meal Plan'!$T$5:$T$504,'Meal Plan'!$B$5:$B$504,"&gt;="&amp;WeekPick,'Meal Plan'!$B$5:$B$504,"&lt;="&amp;WeekPick+6)</f>
        <v>0</v>
      </c>
    </row>
    <row r="16" spans="1:9">
      <c r="A16" s="11" t="s">
        <v>172</v>
      </c>
      <c r="B16" s="30">
        <f>IF(B$7="","",IFERROR(SUMIFS('Meal Plan'!$AA$5:$AA$504,'Meal Plan'!$B$5:$B$504,B$7)/DefaultServings,""))</f>
        <v>0</v>
      </c>
      <c r="C16" s="30">
        <f>IF(C$7="","",IFERROR(SUMIFS('Meal Plan'!$AA$5:$AA$504,'Meal Plan'!$B$5:$B$504,C$7)/DefaultServings,""))</f>
        <v>0</v>
      </c>
      <c r="D16" s="30">
        <f>IF(D$7="","",IFERROR(SUMIFS('Meal Plan'!$AA$5:$AA$504,'Meal Plan'!$B$5:$B$504,D$7)/DefaultServings,""))</f>
        <v>0</v>
      </c>
      <c r="E16" s="30">
        <f>IF(E$7="","",IFERROR(SUMIFS('Meal Plan'!$AA$5:$AA$504,'Meal Plan'!$B$5:$B$504,E$7)/DefaultServings,""))</f>
        <v>0</v>
      </c>
      <c r="F16" s="30">
        <f>IF(F$7="","",IFERROR(SUMIFS('Meal Plan'!$AA$5:$AA$504,'Meal Plan'!$B$5:$B$504,F$7)/DefaultServings,""))</f>
        <v>0</v>
      </c>
      <c r="G16" s="30">
        <f>IF(G$7="","",IFERROR(SUMIFS('Meal Plan'!$AA$5:$AA$504,'Meal Plan'!$B$5:$B$504,G$7)/DefaultServings,""))</f>
        <v>0</v>
      </c>
      <c r="H16" s="30">
        <f>IF(H$7="","",IFERROR(SUMIFS('Meal Plan'!$AA$5:$AA$504,'Meal Plan'!$B$5:$B$504,H$7)/DefaultServings,""))</f>
        <v>0</v>
      </c>
      <c r="I16" s="30">
        <f>IFERROR(SUMIFS('Meal Plan'!$AA$5:$AA$504,'Meal Plan'!$B$5:$B$504,"&gt;="&amp;WeekPick,'Meal Plan'!$B$5:$B$504,"&lt;="&amp;WeekPick+6)/(DefaultServings*7),"")</f>
        <v>0</v>
      </c>
    </row>
    <row r="17" spans="1:9">
      <c r="A17" s="11" t="s">
        <v>173</v>
      </c>
      <c r="B17" s="17">
        <f>IF(B$7="","",IFERROR(INDEX('Meal Plan'!$O$5:$O$504,MATCH(TEXT(B$7,"yyyy-mm-dd")&amp;"|"&amp;"Dinner",'Meal Plan'!$AE$5:$AE$504,0)),""))</f>
        <v>0</v>
      </c>
      <c r="C17" s="17">
        <f>IF(C$7="","",IFERROR(INDEX('Meal Plan'!$O$5:$O$504,MATCH(TEXT(C$7,"yyyy-mm-dd")&amp;"|"&amp;"Dinner",'Meal Plan'!$AE$5:$AE$504,0)),""))</f>
        <v>0</v>
      </c>
      <c r="D17" s="17">
        <f>IF(D$7="","",IFERROR(INDEX('Meal Plan'!$O$5:$O$504,MATCH(TEXT(D$7,"yyyy-mm-dd")&amp;"|"&amp;"Dinner",'Meal Plan'!$AE$5:$AE$504,0)),""))</f>
        <v>0</v>
      </c>
      <c r="E17" s="17">
        <f>IF(E$7="","",IFERROR(INDEX('Meal Plan'!$O$5:$O$504,MATCH(TEXT(E$7,"yyyy-mm-dd")&amp;"|"&amp;"Dinner",'Meal Plan'!$AE$5:$AE$504,0)),""))</f>
        <v>0</v>
      </c>
      <c r="F17" s="17">
        <f>IF(F$7="","",IFERROR(INDEX('Meal Plan'!$O$5:$O$504,MATCH(TEXT(F$7,"yyyy-mm-dd")&amp;"|"&amp;"Dinner",'Meal Plan'!$AE$5:$AE$504,0)),""))</f>
        <v>0</v>
      </c>
      <c r="G17" s="17">
        <f>IF(G$7="","",IFERROR(INDEX('Meal Plan'!$O$5:$O$504,MATCH(TEXT(G$7,"yyyy-mm-dd")&amp;"|"&amp;"Dinner",'Meal Plan'!$AE$5:$AE$504,0)),""))</f>
        <v>0</v>
      </c>
      <c r="H17" s="17">
        <f>IF(H$7="","",IFERROR(INDEX('Meal Plan'!$O$5:$O$504,MATCH(TEXT(H$7,"yyyy-mm-dd")&amp;"|"&amp;"Dinner",'Meal Plan'!$AE$5:$AE$504,0)),""))</f>
        <v>0</v>
      </c>
      <c r="I17" s="18">
        <f>COUNTIFS('Meal Plan'!$B$5:$B$504,"&gt;="&amp;WeekPick,'Meal Plan'!$B$5:$B$504,"&lt;="&amp;WeekPick+6,'Meal Plan'!$O$5:$O$504,"&lt;&gt;")</f>
        <v>0</v>
      </c>
    </row>
    <row r="19" spans="1:9" ht="20" customHeight="1">
      <c r="A19" s="7" t="s">
        <v>174</v>
      </c>
      <c r="B19" s="7"/>
      <c r="C19" s="7"/>
      <c r="D19" s="7"/>
      <c r="E19" s="7"/>
      <c r="F19" s="7"/>
      <c r="G19" s="7"/>
      <c r="H19" s="7"/>
      <c r="I19" s="7"/>
    </row>
    <row r="20" spans="1:9">
      <c r="A20" s="10" t="s">
        <v>175</v>
      </c>
      <c r="B20" s="10"/>
      <c r="C20" s="10" t="s">
        <v>176</v>
      </c>
      <c r="D20" s="10"/>
      <c r="E20" s="10" t="s">
        <v>178</v>
      </c>
      <c r="F20" s="10"/>
      <c r="G20" s="10" t="s">
        <v>179</v>
      </c>
      <c r="H20" s="10"/>
    </row>
    <row r="21" spans="1:9" ht="26" customHeight="1">
      <c r="A21" s="20">
        <f>COUNTIFS('Meal Plan'!$B$5:$B$504,"&gt;="&amp;WeekPick,'Meal Plan'!$B$5:$B$504,"&lt;="&amp;WeekPick+6)</f>
        <v>0</v>
      </c>
      <c r="B21" s="20"/>
      <c r="C21" s="21">
        <f>SUMIFS('Meal Plan'!$T$5:$T$504,'Meal Plan'!$B$5:$B$504,"&gt;="&amp;WeekPick,'Meal Plan'!$B$5:$B$504,"&lt;="&amp;WeekPick+6)</f>
        <v>0</v>
      </c>
      <c r="D21" s="21"/>
      <c r="E21" s="21">
        <f>WeeklyBudget-SUMIFS('Meal Plan'!$T$5:$T$504,'Meal Plan'!$B$5:$B$504,"&gt;="&amp;WeekPick,'Meal Plan'!$B$5:$B$504,"&lt;="&amp;WeekPick+6)</f>
        <v>0</v>
      </c>
      <c r="F21" s="21"/>
      <c r="G21" s="20">
        <f>COUNTIFS('Meal Plan'!$B$5:$B$504,"&gt;="&amp;WeekPick,'Meal Plan'!$B$5:$B$504,"&lt;="&amp;WeekPick+6,'Meal Plan'!$AD$5:$AD$504,"Yes")</f>
        <v>0</v>
      </c>
      <c r="H21" s="20"/>
    </row>
    <row r="22" spans="1:9">
      <c r="A22" s="22" t="s">
        <v>105</v>
      </c>
      <c r="B22" s="22"/>
      <c r="C22" s="22" t="s">
        <v>177</v>
      </c>
      <c r="D22" s="22"/>
      <c r="E22" s="22" t="s">
        <v>111</v>
      </c>
      <c r="F22" s="22"/>
      <c r="G22" s="22" t="s">
        <v>119</v>
      </c>
      <c r="H22" s="22"/>
    </row>
    <row r="24" spans="1:9" ht="20" customHeight="1">
      <c r="A24" s="7" t="s">
        <v>180</v>
      </c>
      <c r="B24" s="7"/>
      <c r="C24" s="7"/>
      <c r="D24" s="7"/>
      <c r="E24" s="7"/>
      <c r="F24" s="7"/>
      <c r="G24" s="7"/>
      <c r="H24" s="7"/>
      <c r="I24" s="7"/>
    </row>
    <row r="25" spans="1:9" ht="26" customHeight="1">
      <c r="A25" s="8" t="s">
        <v>181</v>
      </c>
      <c r="B25" s="9" t="s">
        <v>182</v>
      </c>
      <c r="C25" s="9" t="s">
        <v>183</v>
      </c>
    </row>
    <row r="26" spans="1:9">
      <c r="A26" s="13" t="s">
        <v>184</v>
      </c>
      <c r="B26" s="31">
        <f>IF(COUNTIF('Grocery List'!$B$5:$B$304,"&lt;&gt;")=0,"Nothing on it","Ready")</f>
        <v>0</v>
      </c>
      <c r="C26" s="17">
        <f>"The list covers "&amp;TEXT(ShopFrom,"d mmm")&amp;" to "&amp;TEXT(ShopTo,"d mmm")&amp;" - "&amp;COUNTIF('Grocery List'!$B$5:$B$304,"&lt;&gt;")&amp;" items, about "&amp;TEXT(SUM('Grocery List'!$O$5:$O$304),"0.00")</f>
        <v>0</v>
      </c>
      <c r="D26" s="17"/>
      <c r="E26" s="17"/>
      <c r="F26" s="17"/>
      <c r="G26" s="17"/>
      <c r="H26" s="17"/>
      <c r="I26" s="17"/>
    </row>
    <row r="27" spans="1:9">
      <c r="A27" s="13" t="s">
        <v>185</v>
      </c>
      <c r="B27" s="31">
        <f>IF(COUNTIF('Grocery List'!$V$5:$V$304,"Yes")=0,"Not started",IF(COUNTIFS('Grocery List'!$I$5:$I$304,"&gt;0",'Grocery List'!$V$5:$V$304,"&lt;&gt;Yes")=0,"Done","In progress"))</f>
        <v>0</v>
      </c>
      <c r="C27" s="17">
        <f>COUNTIF('Grocery List'!$V$5:$V$304,"Yes")&amp;" of "&amp;COUNTIFS('Grocery List'!$I$5:$I$304,"&gt;0")&amp;" items ticked off"</f>
        <v>0</v>
      </c>
      <c r="D27" s="17"/>
      <c r="E27" s="17"/>
      <c r="F27" s="17"/>
      <c r="G27" s="17"/>
      <c r="H27" s="17"/>
      <c r="I27" s="17"/>
    </row>
    <row r="28" spans="1:9">
      <c r="A28" s="13" t="s">
        <v>186</v>
      </c>
      <c r="B28" s="31">
        <f>IF(COUNTIFS('Meal Prep'!$C$5:$C$124,"&gt;="&amp;WeekPick,'Meal Prep'!$C$5:$C$124,"&lt;="&amp;WeekPick+6)=0,"None planned",IF(COUNTIFS('Meal Prep'!$C$5:$C$124,"&gt;="&amp;WeekPick,'Meal Prep'!$C$5:$C$124,"&lt;="&amp;WeekPick+6,'Meal Prep'!$W$5:$W$124,"&lt;&gt;Done")=0,"Done","To do"))</f>
        <v>0</v>
      </c>
      <c r="C28" s="17">
        <f>COUNTIFS('Meal Prep'!$C$5:$C$124,"&gt;="&amp;WeekPick,'Meal Prep'!$C$5:$C$124,"&lt;="&amp;WeekPick+6)&amp;" job(s) on the prep day"</f>
        <v>0</v>
      </c>
      <c r="D28" s="17"/>
      <c r="E28" s="17"/>
      <c r="F28" s="17"/>
      <c r="G28" s="17"/>
      <c r="H28" s="17"/>
      <c r="I28" s="17"/>
    </row>
    <row r="29" spans="1:9">
      <c r="A29" s="13" t="s">
        <v>187</v>
      </c>
      <c r="B29" s="31">
        <f>IF(COUNTIFS(Leftovers!$Q$5:$Q$124,"&lt;&gt;Eaten",Leftovers!$Q$5:$Q$124,"&lt;&gt;Binned")=0,"None","Use soon")</f>
        <v>0</v>
      </c>
      <c r="C29" s="17">
        <f>SUMIFS(Leftovers!$F$5:$F$124,Leftovers!$Q$5:$Q$124,"&lt;&gt;Eaten",Leftovers!$Q$5:$Q$124,"&lt;&gt;Binned")&amp;" portion(s) in the fridge or freezer"</f>
        <v>0</v>
      </c>
      <c r="D29" s="17"/>
      <c r="E29" s="17"/>
      <c r="F29" s="17"/>
      <c r="G29" s="17"/>
      <c r="H29" s="17"/>
      <c r="I29" s="17"/>
    </row>
    <row r="30" spans="1:9">
      <c r="A30" s="13" t="s">
        <v>125</v>
      </c>
      <c r="B30" s="31">
        <f>IF(COUNTIF(Pantry!$W$5:$W$304,"Use soon")=0,"All good","Use soon")</f>
        <v>0</v>
      </c>
      <c r="C30" s="17">
        <f>COUNTIF(Pantry!$W$5:$W$304,"Use soon")&amp;" pantry item(s) within "&amp;ExpiryWarningDays&amp;" days of their date"</f>
        <v>0</v>
      </c>
      <c r="D30" s="17"/>
      <c r="E30" s="17"/>
      <c r="F30" s="17"/>
      <c r="G30" s="17"/>
      <c r="H30" s="17"/>
      <c r="I30" s="17"/>
    </row>
    <row r="32" spans="1:9" ht="24" customHeight="1">
      <c r="A32" s="6" t="s">
        <v>188</v>
      </c>
      <c r="B32" s="6"/>
      <c r="C32" s="6"/>
      <c r="D32" s="6"/>
      <c r="E32" s="6"/>
      <c r="F32" s="6"/>
      <c r="G32" s="6"/>
      <c r="H32" s="6"/>
      <c r="I32" s="6"/>
    </row>
  </sheetData>
  <sheetProtection password="EC7C" sheet="1" objects="1" scenarios="1" formatCells="0" formatColumns="0" formatRows="0" insertRows="0" insertHyperlinks="0" deleteRows="0" autoFilter="0"/>
  <mergeCells count="28">
    <mergeCell ref="A1:F1"/>
    <mergeCell ref="G1:I1"/>
    <mergeCell ref="A2:I2"/>
    <mergeCell ref="A3:B3"/>
    <mergeCell ref="C3:D3"/>
    <mergeCell ref="E3:F3"/>
    <mergeCell ref="G3:H3"/>
    <mergeCell ref="A6:I6"/>
    <mergeCell ref="A19:I19"/>
    <mergeCell ref="A20:B20"/>
    <mergeCell ref="A21:B21"/>
    <mergeCell ref="A22:B22"/>
    <mergeCell ref="C20:D20"/>
    <mergeCell ref="C21:D21"/>
    <mergeCell ref="C22:D22"/>
    <mergeCell ref="E20:F20"/>
    <mergeCell ref="E21:F21"/>
    <mergeCell ref="E22:F22"/>
    <mergeCell ref="G20:H20"/>
    <mergeCell ref="G21:H21"/>
    <mergeCell ref="G22:H22"/>
    <mergeCell ref="A24:I24"/>
    <mergeCell ref="C26:I26"/>
    <mergeCell ref="C27:I27"/>
    <mergeCell ref="C28:I28"/>
    <mergeCell ref="C29:I29"/>
    <mergeCell ref="C30:I30"/>
    <mergeCell ref="A32:I32"/>
  </mergeCells>
  <conditionalFormatting sqref="B15:H15">
    <cfRule type="expression" dxfId="0" priority="1">
      <formula>AND(B15&lt;&gt;"",B15&gt;WeeklyBudget/7)</formula>
    </cfRule>
    <cfRule type="expression" dxfId="1" priority="2">
      <formula>AND(B15&lt;&gt;"",B15&lt;=WeeklyBudget/7)</formula>
    </cfRule>
  </conditionalFormatting>
  <conditionalFormatting sqref="B16:H16">
    <cfRule type="expression" dxfId="0" priority="3">
      <formula>AND(B16&lt;&gt;"",B16&gt;CalorieTarget)</formula>
    </cfRule>
  </conditionalFormatting>
  <conditionalFormatting sqref="B26:B30">
    <cfRule type="containsText" dxfId="1" priority="4" operator="containsText" text="Done">
      <formula>NOT(ISERROR(SEARCH("Done",B26)))</formula>
    </cfRule>
    <cfRule type="containsText" dxfId="1" priority="5" operator="containsText" text="Ready">
      <formula>NOT(ISERROR(SEARCH("Ready",B26)))</formula>
    </cfRule>
    <cfRule type="containsText" dxfId="0" priority="6" operator="containsText" text="To do">
      <formula>NOT(ISERROR(SEARCH("To do",B26)))</formula>
    </cfRule>
    <cfRule type="containsText" dxfId="0" priority="7" operator="containsText" text="In progress">
      <formula>NOT(ISERROR(SEARCH("In progress",B26)))</formula>
    </cfRule>
    <cfRule type="containsText" dxfId="0" priority="8" operator="containsText" text="Use soon">
      <formula>NOT(ISERROR(SEARCH("Use soon",B26)))</formula>
    </cfRule>
    <cfRule type="containsText" dxfId="3" priority="9" operator="containsText" text="None">
      <formula>NOT(ISERROR(SEARCH("None",B26)))</formula>
    </cfRule>
    <cfRule type="containsText" dxfId="3" priority="10" operator="containsText" text="Nothing on it">
      <formula>NOT(ISERROR(SEARCH("Nothing on it",B26)))</formula>
    </cfRule>
    <cfRule type="containsText" dxfId="1" priority="11" operator="containsText" text="All good">
      <formula>NOT(ISERROR(SEARCH("All good",B26)))</formula>
    </cfRule>
    <cfRule type="containsText" dxfId="0" priority="12" operator="containsText" text="Not started">
      <formula>NOT(ISERROR(SEARCH("Not started",B26)))</formula>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&amp;L&amp;"Calibri,Bold"&amp;12&amp;C&amp;"Calibri,Bold"&amp;11Weekly Planner&amp;R&amp;"Calibri,Italic"&amp;9Automated Meal Planner &amp; Grocery List Spreadsheet</oddHeader>
    <oddFooter>&amp;L&amp;"Calibri,Italic"&amp;8Novality Store - v1.0.0&amp;C&amp;"Calibri,Italic"&amp;8Page &amp;P of &amp;N&amp;R&amp;"Calibri,Italic"&amp;8&amp;D</oddFooter>
  </headerFooter>
</worksheet>
</file>

<file path=xl/worksheets/sheet4.xml><?xml version="1.0" encoding="utf-8"?>
<worksheet xmlns="http://schemas.openxmlformats.org/spreadsheetml/2006/main" xmlns:r="http://schemas.openxmlformats.org/officeDocument/2006/relationships">
  <sheetPr>
    <tabColor rgb="FFD9703C"/>
    <pageSetUpPr fitToPage="1"/>
  </sheetPr>
  <dimension ref="A1:G37"/>
  <sheetViews>
    <sheetView showGridLines="0" workbookViewId="0">
      <pane ySplit="7" topLeftCell="A8" activePane="bottomLeft" state="frozen"/>
      <selection pane="bottomLeft"/>
    </sheetView>
  </sheetViews>
  <sheetFormatPr defaultRowHeight="15"/>
  <cols>
    <col min="1" max="1" width="21.7109375" customWidth="1"/>
    <col min="2" max="2" width="21.7109375" customWidth="1"/>
    <col min="3" max="3" width="21.7109375" customWidth="1"/>
    <col min="4" max="4" width="21.7109375" customWidth="1"/>
    <col min="5" max="5" width="21.7109375" customWidth="1"/>
    <col min="6" max="6" width="21.7109375" customWidth="1"/>
    <col min="7" max="7" width="21.7109375" customWidth="1"/>
    <col min="1" max="1" width="14.7109375" customWidth="1"/>
    <col min="2" max="2" width="13.7109375" customWidth="1"/>
    <col min="3" max="3" width="17.7109375" customWidth="1"/>
    <col min="4" max="4" width="14.7109375" customWidth="1"/>
    <col min="5" max="5" width="13.7109375" customWidth="1"/>
    <col min="6" max="6" width="15.7109375" customWidth="1"/>
    <col min="7" max="7" width="13.7109375" customWidth="1"/>
  </cols>
  <sheetData>
    <row r="1" spans="1:7" ht="34" customHeight="1">
      <c r="A1" s="2" t="s">
        <v>189</v>
      </c>
      <c r="B1" s="2"/>
      <c r="C1" s="2"/>
      <c r="D1" s="2"/>
      <c r="E1" s="3" t="s">
        <v>1</v>
      </c>
      <c r="F1" s="3"/>
      <c r="G1" s="3"/>
    </row>
    <row r="2" spans="1:7" ht="18" customHeight="1">
      <c r="A2" s="4" t="s">
        <v>190</v>
      </c>
      <c r="B2" s="4"/>
      <c r="C2" s="4"/>
      <c r="D2" s="4"/>
      <c r="E2" s="4"/>
      <c r="F2" s="4"/>
      <c r="G2" s="4"/>
    </row>
    <row r="3" spans="1:7" ht="16" customHeight="1">
      <c r="A3" s="5" t="s">
        <v>3</v>
      </c>
      <c r="B3" s="5"/>
      <c r="C3" s="5" t="s">
        <v>4</v>
      </c>
      <c r="D3" s="5"/>
      <c r="E3" s="5" t="s">
        <v>5</v>
      </c>
      <c r="F3" s="5"/>
      <c r="G3" s="28" t="s">
        <v>157</v>
      </c>
    </row>
    <row r="5" spans="1:7">
      <c r="A5" s="11" t="s">
        <v>101</v>
      </c>
      <c r="B5" s="32" t="s">
        <v>191</v>
      </c>
      <c r="C5" s="16" t="s">
        <v>192</v>
      </c>
      <c r="D5" s="19">
        <f>DATE(PlanYear,MAX(1,IFERROR(MATCH(PlanMonthName,MonthList,0),MONTH(TODAY()))),1)</f>
        <v>0</v>
      </c>
      <c r="E5" s="16" t="s">
        <v>175</v>
      </c>
      <c r="F5" s="18">
        <f>COUNTIFS('Meal Plan'!$B$5:$B$504,"&gt;="&amp;PlanMonthStart,'Meal Plan'!$B$5:$B$504,"&lt;="&amp;EOMONTH(PlanMonthStart,0))</f>
        <v>0</v>
      </c>
      <c r="G5" s="25">
        <f>SUMIFS('Meal Plan'!$T$5:$T$504,'Meal Plan'!$B$5:$B$504,"&gt;="&amp;PlanMonthStart,'Meal Plan'!$B$5:$B$504,"&lt;="&amp;EOMONTH(PlanMonthStart,0))</f>
        <v>0</v>
      </c>
    </row>
    <row r="6" spans="1:7" ht="26" customHeight="1">
      <c r="A6" s="6" t="s">
        <v>193</v>
      </c>
      <c r="B6" s="6"/>
      <c r="C6" s="6"/>
      <c r="D6" s="6"/>
      <c r="E6" s="6"/>
      <c r="F6" s="6"/>
      <c r="G6" s="6"/>
    </row>
    <row r="7" spans="1:7" ht="24" customHeight="1">
      <c r="A7" s="9">
        <f>TEXT(PlanMonthStart-MOD(WEEKDAY(PlanMonthStart,IF(WeekStart="Sunday",1,2))-1,7)+0,"dddd")</f>
        <v>0</v>
      </c>
      <c r="B7" s="9">
        <f>TEXT(PlanMonthStart-MOD(WEEKDAY(PlanMonthStart,IF(WeekStart="Sunday",1,2))-1,7)+1,"dddd")</f>
        <v>0</v>
      </c>
      <c r="C7" s="9">
        <f>TEXT(PlanMonthStart-MOD(WEEKDAY(PlanMonthStart,IF(WeekStart="Sunday",1,2))-1,7)+2,"dddd")</f>
        <v>0</v>
      </c>
      <c r="D7" s="9">
        <f>TEXT(PlanMonthStart-MOD(WEEKDAY(PlanMonthStart,IF(WeekStart="Sunday",1,2))-1,7)+3,"dddd")</f>
        <v>0</v>
      </c>
      <c r="E7" s="9">
        <f>TEXT(PlanMonthStart-MOD(WEEKDAY(PlanMonthStart,IF(WeekStart="Sunday",1,2))-1,7)+4,"dddd")</f>
        <v>0</v>
      </c>
      <c r="F7" s="9">
        <f>TEXT(PlanMonthStart-MOD(WEEKDAY(PlanMonthStart,IF(WeekStart="Sunday",1,2))-1,7)+5,"dddd")</f>
        <v>0</v>
      </c>
      <c r="G7" s="9">
        <f>TEXT(PlanMonthStart-MOD(WEEKDAY(PlanMonthStart,IF(WeekStart="Sunday",1,2))-1,7)+6,"dddd")</f>
        <v>0</v>
      </c>
    </row>
    <row r="8" spans="1:7" ht="16" customHeight="1">
      <c r="A8" s="33">
        <f>PlanMonthStart-MOD(WEEKDAY(PlanMonthStart,IF(WeekStart="Sunday",1,2))-1,7)+0</f>
        <v>0</v>
      </c>
      <c r="B8" s="33">
        <f>PlanMonthStart-MOD(WEEKDAY(PlanMonthStart,IF(WeekStart="Sunday",1,2))-1,7)+1</f>
        <v>0</v>
      </c>
      <c r="C8" s="33">
        <f>PlanMonthStart-MOD(WEEKDAY(PlanMonthStart,IF(WeekStart="Sunday",1,2))-1,7)+2</f>
        <v>0</v>
      </c>
      <c r="D8" s="33">
        <f>PlanMonthStart-MOD(WEEKDAY(PlanMonthStart,IF(WeekStart="Sunday",1,2))-1,7)+3</f>
        <v>0</v>
      </c>
      <c r="E8" s="33">
        <f>PlanMonthStart-MOD(WEEKDAY(PlanMonthStart,IF(WeekStart="Sunday",1,2))-1,7)+4</f>
        <v>0</v>
      </c>
      <c r="F8" s="33">
        <f>PlanMonthStart-MOD(WEEKDAY(PlanMonthStart,IF(WeekStart="Sunday",1,2))-1,7)+5</f>
        <v>0</v>
      </c>
      <c r="G8" s="33">
        <f>PlanMonthStart-MOD(WEEKDAY(PlanMonthStart,IF(WeekStart="Sunday",1,2))-1,7)+6</f>
        <v>0</v>
      </c>
    </row>
    <row r="9" spans="1:7" ht="26" customHeight="1">
      <c r="A9" s="34">
        <f>IF(A$8="","",IFERROR(INDEX('Meal Plan'!$H$5:$H$504,MATCH(TEXT(A$8,"yyyy-mm-dd")&amp;"|"&amp;"Dinner",'Meal Plan'!$AE$5:$AE$504,0)),""))</f>
        <v>0</v>
      </c>
      <c r="B9" s="34">
        <f>IF(B$8="","",IFERROR(INDEX('Meal Plan'!$H$5:$H$504,MATCH(TEXT(B$8,"yyyy-mm-dd")&amp;"|"&amp;"Dinner",'Meal Plan'!$AE$5:$AE$504,0)),""))</f>
        <v>0</v>
      </c>
      <c r="C9" s="34">
        <f>IF(C$8="","",IFERROR(INDEX('Meal Plan'!$H$5:$H$504,MATCH(TEXT(C$8,"yyyy-mm-dd")&amp;"|"&amp;"Dinner",'Meal Plan'!$AE$5:$AE$504,0)),""))</f>
        <v>0</v>
      </c>
      <c r="D9" s="34">
        <f>IF(D$8="","",IFERROR(INDEX('Meal Plan'!$H$5:$H$504,MATCH(TEXT(D$8,"yyyy-mm-dd")&amp;"|"&amp;"Dinner",'Meal Plan'!$AE$5:$AE$504,0)),""))</f>
        <v>0</v>
      </c>
      <c r="E9" s="34">
        <f>IF(E$8="","",IFERROR(INDEX('Meal Plan'!$H$5:$H$504,MATCH(TEXT(E$8,"yyyy-mm-dd")&amp;"|"&amp;"Dinner",'Meal Plan'!$AE$5:$AE$504,0)),""))</f>
        <v>0</v>
      </c>
      <c r="F9" s="34">
        <f>IF(F$8="","",IFERROR(INDEX('Meal Plan'!$H$5:$H$504,MATCH(TEXT(F$8,"yyyy-mm-dd")&amp;"|"&amp;"Dinner",'Meal Plan'!$AE$5:$AE$504,0)),""))</f>
        <v>0</v>
      </c>
      <c r="G9" s="34">
        <f>IF(G$8="","",IFERROR(INDEX('Meal Plan'!$H$5:$H$504,MATCH(TEXT(G$8,"yyyy-mm-dd")&amp;"|"&amp;"Dinner",'Meal Plan'!$AE$5:$AE$504,0)),""))</f>
        <v>0</v>
      </c>
    </row>
    <row r="10" spans="1:7" ht="22" customHeight="1">
      <c r="A10" s="24">
        <f>IF(A$8="","",IFERROR(INDEX('Meal Plan'!$H$5:$H$504,MATCH(TEXT(A$8,"yyyy-mm-dd")&amp;"|"&amp;"Lunch",'Meal Plan'!$AE$5:$AE$504,0)),""))</f>
        <v>0</v>
      </c>
      <c r="B10" s="24">
        <f>IF(B$8="","",IFERROR(INDEX('Meal Plan'!$H$5:$H$504,MATCH(TEXT(B$8,"yyyy-mm-dd")&amp;"|"&amp;"Lunch",'Meal Plan'!$AE$5:$AE$504,0)),""))</f>
        <v>0</v>
      </c>
      <c r="C10" s="24">
        <f>IF(C$8="","",IFERROR(INDEX('Meal Plan'!$H$5:$H$504,MATCH(TEXT(C$8,"yyyy-mm-dd")&amp;"|"&amp;"Lunch",'Meal Plan'!$AE$5:$AE$504,0)),""))</f>
        <v>0</v>
      </c>
      <c r="D10" s="24">
        <f>IF(D$8="","",IFERROR(INDEX('Meal Plan'!$H$5:$H$504,MATCH(TEXT(D$8,"yyyy-mm-dd")&amp;"|"&amp;"Lunch",'Meal Plan'!$AE$5:$AE$504,0)),""))</f>
        <v>0</v>
      </c>
      <c r="E10" s="24">
        <f>IF(E$8="","",IFERROR(INDEX('Meal Plan'!$H$5:$H$504,MATCH(TEXT(E$8,"yyyy-mm-dd")&amp;"|"&amp;"Lunch",'Meal Plan'!$AE$5:$AE$504,0)),""))</f>
        <v>0</v>
      </c>
      <c r="F10" s="24">
        <f>IF(F$8="","",IFERROR(INDEX('Meal Plan'!$H$5:$H$504,MATCH(TEXT(F$8,"yyyy-mm-dd")&amp;"|"&amp;"Lunch",'Meal Plan'!$AE$5:$AE$504,0)),""))</f>
        <v>0</v>
      </c>
      <c r="G10" s="24">
        <f>IF(G$8="","",IFERROR(INDEX('Meal Plan'!$H$5:$H$504,MATCH(TEXT(G$8,"yyyy-mm-dd")&amp;"|"&amp;"Lunch",'Meal Plan'!$AE$5:$AE$504,0)),""))</f>
        <v>0</v>
      </c>
    </row>
    <row r="11" spans="1:7" ht="16" customHeight="1">
      <c r="A11" s="25">
        <f>IF(A$8="","",IF(SUMIFS('Meal Plan'!$T$5:$T$504,'Meal Plan'!$B$5:$B$504,A$8)=0,"",SUMIFS('Meal Plan'!$T$5:$T$504,'Meal Plan'!$B$5:$B$504,A$8)))</f>
        <v>0</v>
      </c>
      <c r="B11" s="25">
        <f>IF(B$8="","",IF(SUMIFS('Meal Plan'!$T$5:$T$504,'Meal Plan'!$B$5:$B$504,B$8)=0,"",SUMIFS('Meal Plan'!$T$5:$T$504,'Meal Plan'!$B$5:$B$504,B$8)))</f>
        <v>0</v>
      </c>
      <c r="C11" s="25">
        <f>IF(C$8="","",IF(SUMIFS('Meal Plan'!$T$5:$T$504,'Meal Plan'!$B$5:$B$504,C$8)=0,"",SUMIFS('Meal Plan'!$T$5:$T$504,'Meal Plan'!$B$5:$B$504,C$8)))</f>
        <v>0</v>
      </c>
      <c r="D11" s="25">
        <f>IF(D$8="","",IF(SUMIFS('Meal Plan'!$T$5:$T$504,'Meal Plan'!$B$5:$B$504,D$8)=0,"",SUMIFS('Meal Plan'!$T$5:$T$504,'Meal Plan'!$B$5:$B$504,D$8)))</f>
        <v>0</v>
      </c>
      <c r="E11" s="25">
        <f>IF(E$8="","",IF(SUMIFS('Meal Plan'!$T$5:$T$504,'Meal Plan'!$B$5:$B$504,E$8)=0,"",SUMIFS('Meal Plan'!$T$5:$T$504,'Meal Plan'!$B$5:$B$504,E$8)))</f>
        <v>0</v>
      </c>
      <c r="F11" s="25">
        <f>IF(F$8="","",IF(SUMIFS('Meal Plan'!$T$5:$T$504,'Meal Plan'!$B$5:$B$504,F$8)=0,"",SUMIFS('Meal Plan'!$T$5:$T$504,'Meal Plan'!$B$5:$B$504,F$8)))</f>
        <v>0</v>
      </c>
      <c r="G11" s="25">
        <f>IF(G$8="","",IF(SUMIFS('Meal Plan'!$T$5:$T$504,'Meal Plan'!$B$5:$B$504,G$8)=0,"",SUMIFS('Meal Plan'!$T$5:$T$504,'Meal Plan'!$B$5:$B$504,G$8)))</f>
        <v>0</v>
      </c>
    </row>
    <row r="12" spans="1:7" ht="16" customHeight="1">
      <c r="A12" s="33">
        <f>PlanMonthStart-MOD(WEEKDAY(PlanMonthStart,IF(WeekStart="Sunday",1,2))-1,7)+7</f>
        <v>0</v>
      </c>
      <c r="B12" s="33">
        <f>PlanMonthStart-MOD(WEEKDAY(PlanMonthStart,IF(WeekStart="Sunday",1,2))-1,7)+8</f>
        <v>0</v>
      </c>
      <c r="C12" s="33">
        <f>PlanMonthStart-MOD(WEEKDAY(PlanMonthStart,IF(WeekStart="Sunday",1,2))-1,7)+9</f>
        <v>0</v>
      </c>
      <c r="D12" s="33">
        <f>PlanMonthStart-MOD(WEEKDAY(PlanMonthStart,IF(WeekStart="Sunday",1,2))-1,7)+10</f>
        <v>0</v>
      </c>
      <c r="E12" s="33">
        <f>PlanMonthStart-MOD(WEEKDAY(PlanMonthStart,IF(WeekStart="Sunday",1,2))-1,7)+11</f>
        <v>0</v>
      </c>
      <c r="F12" s="33">
        <f>PlanMonthStart-MOD(WEEKDAY(PlanMonthStart,IF(WeekStart="Sunday",1,2))-1,7)+12</f>
        <v>0</v>
      </c>
      <c r="G12" s="33">
        <f>PlanMonthStart-MOD(WEEKDAY(PlanMonthStart,IF(WeekStart="Sunday",1,2))-1,7)+13</f>
        <v>0</v>
      </c>
    </row>
    <row r="13" spans="1:7" ht="26" customHeight="1">
      <c r="A13" s="34">
        <f>IF(A$12="","",IFERROR(INDEX('Meal Plan'!$H$5:$H$504,MATCH(TEXT(A$12,"yyyy-mm-dd")&amp;"|"&amp;"Dinner",'Meal Plan'!$AE$5:$AE$504,0)),""))</f>
        <v>0</v>
      </c>
      <c r="B13" s="34">
        <f>IF(B$12="","",IFERROR(INDEX('Meal Plan'!$H$5:$H$504,MATCH(TEXT(B$12,"yyyy-mm-dd")&amp;"|"&amp;"Dinner",'Meal Plan'!$AE$5:$AE$504,0)),""))</f>
        <v>0</v>
      </c>
      <c r="C13" s="34">
        <f>IF(C$12="","",IFERROR(INDEX('Meal Plan'!$H$5:$H$504,MATCH(TEXT(C$12,"yyyy-mm-dd")&amp;"|"&amp;"Dinner",'Meal Plan'!$AE$5:$AE$504,0)),""))</f>
        <v>0</v>
      </c>
      <c r="D13" s="34">
        <f>IF(D$12="","",IFERROR(INDEX('Meal Plan'!$H$5:$H$504,MATCH(TEXT(D$12,"yyyy-mm-dd")&amp;"|"&amp;"Dinner",'Meal Plan'!$AE$5:$AE$504,0)),""))</f>
        <v>0</v>
      </c>
      <c r="E13" s="34">
        <f>IF(E$12="","",IFERROR(INDEX('Meal Plan'!$H$5:$H$504,MATCH(TEXT(E$12,"yyyy-mm-dd")&amp;"|"&amp;"Dinner",'Meal Plan'!$AE$5:$AE$504,0)),""))</f>
        <v>0</v>
      </c>
      <c r="F13" s="34">
        <f>IF(F$12="","",IFERROR(INDEX('Meal Plan'!$H$5:$H$504,MATCH(TEXT(F$12,"yyyy-mm-dd")&amp;"|"&amp;"Dinner",'Meal Plan'!$AE$5:$AE$504,0)),""))</f>
        <v>0</v>
      </c>
      <c r="G13" s="34">
        <f>IF(G$12="","",IFERROR(INDEX('Meal Plan'!$H$5:$H$504,MATCH(TEXT(G$12,"yyyy-mm-dd")&amp;"|"&amp;"Dinner",'Meal Plan'!$AE$5:$AE$504,0)),""))</f>
        <v>0</v>
      </c>
    </row>
    <row r="14" spans="1:7" ht="22" customHeight="1">
      <c r="A14" s="24">
        <f>IF(A$12="","",IFERROR(INDEX('Meal Plan'!$H$5:$H$504,MATCH(TEXT(A$12,"yyyy-mm-dd")&amp;"|"&amp;"Lunch",'Meal Plan'!$AE$5:$AE$504,0)),""))</f>
        <v>0</v>
      </c>
      <c r="B14" s="24">
        <f>IF(B$12="","",IFERROR(INDEX('Meal Plan'!$H$5:$H$504,MATCH(TEXT(B$12,"yyyy-mm-dd")&amp;"|"&amp;"Lunch",'Meal Plan'!$AE$5:$AE$504,0)),""))</f>
        <v>0</v>
      </c>
      <c r="C14" s="24">
        <f>IF(C$12="","",IFERROR(INDEX('Meal Plan'!$H$5:$H$504,MATCH(TEXT(C$12,"yyyy-mm-dd")&amp;"|"&amp;"Lunch",'Meal Plan'!$AE$5:$AE$504,0)),""))</f>
        <v>0</v>
      </c>
      <c r="D14" s="24">
        <f>IF(D$12="","",IFERROR(INDEX('Meal Plan'!$H$5:$H$504,MATCH(TEXT(D$12,"yyyy-mm-dd")&amp;"|"&amp;"Lunch",'Meal Plan'!$AE$5:$AE$504,0)),""))</f>
        <v>0</v>
      </c>
      <c r="E14" s="24">
        <f>IF(E$12="","",IFERROR(INDEX('Meal Plan'!$H$5:$H$504,MATCH(TEXT(E$12,"yyyy-mm-dd")&amp;"|"&amp;"Lunch",'Meal Plan'!$AE$5:$AE$504,0)),""))</f>
        <v>0</v>
      </c>
      <c r="F14" s="24">
        <f>IF(F$12="","",IFERROR(INDEX('Meal Plan'!$H$5:$H$504,MATCH(TEXT(F$12,"yyyy-mm-dd")&amp;"|"&amp;"Lunch",'Meal Plan'!$AE$5:$AE$504,0)),""))</f>
        <v>0</v>
      </c>
      <c r="G14" s="24">
        <f>IF(G$12="","",IFERROR(INDEX('Meal Plan'!$H$5:$H$504,MATCH(TEXT(G$12,"yyyy-mm-dd")&amp;"|"&amp;"Lunch",'Meal Plan'!$AE$5:$AE$504,0)),""))</f>
        <v>0</v>
      </c>
    </row>
    <row r="15" spans="1:7" ht="16" customHeight="1">
      <c r="A15" s="25">
        <f>IF(A$12="","",IF(SUMIFS('Meal Plan'!$T$5:$T$504,'Meal Plan'!$B$5:$B$504,A$12)=0,"",SUMIFS('Meal Plan'!$T$5:$T$504,'Meal Plan'!$B$5:$B$504,A$12)))</f>
        <v>0</v>
      </c>
      <c r="B15" s="25">
        <f>IF(B$12="","",IF(SUMIFS('Meal Plan'!$T$5:$T$504,'Meal Plan'!$B$5:$B$504,B$12)=0,"",SUMIFS('Meal Plan'!$T$5:$T$504,'Meal Plan'!$B$5:$B$504,B$12)))</f>
        <v>0</v>
      </c>
      <c r="C15" s="25">
        <f>IF(C$12="","",IF(SUMIFS('Meal Plan'!$T$5:$T$504,'Meal Plan'!$B$5:$B$504,C$12)=0,"",SUMIFS('Meal Plan'!$T$5:$T$504,'Meal Plan'!$B$5:$B$504,C$12)))</f>
        <v>0</v>
      </c>
      <c r="D15" s="25">
        <f>IF(D$12="","",IF(SUMIFS('Meal Plan'!$T$5:$T$504,'Meal Plan'!$B$5:$B$504,D$12)=0,"",SUMIFS('Meal Plan'!$T$5:$T$504,'Meal Plan'!$B$5:$B$504,D$12)))</f>
        <v>0</v>
      </c>
      <c r="E15" s="25">
        <f>IF(E$12="","",IF(SUMIFS('Meal Plan'!$T$5:$T$504,'Meal Plan'!$B$5:$B$504,E$12)=0,"",SUMIFS('Meal Plan'!$T$5:$T$504,'Meal Plan'!$B$5:$B$504,E$12)))</f>
        <v>0</v>
      </c>
      <c r="F15" s="25">
        <f>IF(F$12="","",IF(SUMIFS('Meal Plan'!$T$5:$T$504,'Meal Plan'!$B$5:$B$504,F$12)=0,"",SUMIFS('Meal Plan'!$T$5:$T$504,'Meal Plan'!$B$5:$B$504,F$12)))</f>
        <v>0</v>
      </c>
      <c r="G15" s="25">
        <f>IF(G$12="","",IF(SUMIFS('Meal Plan'!$T$5:$T$504,'Meal Plan'!$B$5:$B$504,G$12)=0,"",SUMIFS('Meal Plan'!$T$5:$T$504,'Meal Plan'!$B$5:$B$504,G$12)))</f>
        <v>0</v>
      </c>
    </row>
    <row r="16" spans="1:7" ht="16" customHeight="1">
      <c r="A16" s="33">
        <f>PlanMonthStart-MOD(WEEKDAY(PlanMonthStart,IF(WeekStart="Sunday",1,2))-1,7)+14</f>
        <v>0</v>
      </c>
      <c r="B16" s="33">
        <f>PlanMonthStart-MOD(WEEKDAY(PlanMonthStart,IF(WeekStart="Sunday",1,2))-1,7)+15</f>
        <v>0</v>
      </c>
      <c r="C16" s="33">
        <f>PlanMonthStart-MOD(WEEKDAY(PlanMonthStart,IF(WeekStart="Sunday",1,2))-1,7)+16</f>
        <v>0</v>
      </c>
      <c r="D16" s="33">
        <f>PlanMonthStart-MOD(WEEKDAY(PlanMonthStart,IF(WeekStart="Sunday",1,2))-1,7)+17</f>
        <v>0</v>
      </c>
      <c r="E16" s="33">
        <f>PlanMonthStart-MOD(WEEKDAY(PlanMonthStart,IF(WeekStart="Sunday",1,2))-1,7)+18</f>
        <v>0</v>
      </c>
      <c r="F16" s="33">
        <f>PlanMonthStart-MOD(WEEKDAY(PlanMonthStart,IF(WeekStart="Sunday",1,2))-1,7)+19</f>
        <v>0</v>
      </c>
      <c r="G16" s="33">
        <f>PlanMonthStart-MOD(WEEKDAY(PlanMonthStart,IF(WeekStart="Sunday",1,2))-1,7)+20</f>
        <v>0</v>
      </c>
    </row>
    <row r="17" spans="1:7" ht="26" customHeight="1">
      <c r="A17" s="34">
        <f>IF(A$16="","",IFERROR(INDEX('Meal Plan'!$H$5:$H$504,MATCH(TEXT(A$16,"yyyy-mm-dd")&amp;"|"&amp;"Dinner",'Meal Plan'!$AE$5:$AE$504,0)),""))</f>
        <v>0</v>
      </c>
      <c r="B17" s="34">
        <f>IF(B$16="","",IFERROR(INDEX('Meal Plan'!$H$5:$H$504,MATCH(TEXT(B$16,"yyyy-mm-dd")&amp;"|"&amp;"Dinner",'Meal Plan'!$AE$5:$AE$504,0)),""))</f>
        <v>0</v>
      </c>
      <c r="C17" s="34">
        <f>IF(C$16="","",IFERROR(INDEX('Meal Plan'!$H$5:$H$504,MATCH(TEXT(C$16,"yyyy-mm-dd")&amp;"|"&amp;"Dinner",'Meal Plan'!$AE$5:$AE$504,0)),""))</f>
        <v>0</v>
      </c>
      <c r="D17" s="34">
        <f>IF(D$16="","",IFERROR(INDEX('Meal Plan'!$H$5:$H$504,MATCH(TEXT(D$16,"yyyy-mm-dd")&amp;"|"&amp;"Dinner",'Meal Plan'!$AE$5:$AE$504,0)),""))</f>
        <v>0</v>
      </c>
      <c r="E17" s="34">
        <f>IF(E$16="","",IFERROR(INDEX('Meal Plan'!$H$5:$H$504,MATCH(TEXT(E$16,"yyyy-mm-dd")&amp;"|"&amp;"Dinner",'Meal Plan'!$AE$5:$AE$504,0)),""))</f>
        <v>0</v>
      </c>
      <c r="F17" s="34">
        <f>IF(F$16="","",IFERROR(INDEX('Meal Plan'!$H$5:$H$504,MATCH(TEXT(F$16,"yyyy-mm-dd")&amp;"|"&amp;"Dinner",'Meal Plan'!$AE$5:$AE$504,0)),""))</f>
        <v>0</v>
      </c>
      <c r="G17" s="34">
        <f>IF(G$16="","",IFERROR(INDEX('Meal Plan'!$H$5:$H$504,MATCH(TEXT(G$16,"yyyy-mm-dd")&amp;"|"&amp;"Dinner",'Meal Plan'!$AE$5:$AE$504,0)),""))</f>
        <v>0</v>
      </c>
    </row>
    <row r="18" spans="1:7" ht="22" customHeight="1">
      <c r="A18" s="24">
        <f>IF(A$16="","",IFERROR(INDEX('Meal Plan'!$H$5:$H$504,MATCH(TEXT(A$16,"yyyy-mm-dd")&amp;"|"&amp;"Lunch",'Meal Plan'!$AE$5:$AE$504,0)),""))</f>
        <v>0</v>
      </c>
      <c r="B18" s="24">
        <f>IF(B$16="","",IFERROR(INDEX('Meal Plan'!$H$5:$H$504,MATCH(TEXT(B$16,"yyyy-mm-dd")&amp;"|"&amp;"Lunch",'Meal Plan'!$AE$5:$AE$504,0)),""))</f>
        <v>0</v>
      </c>
      <c r="C18" s="24">
        <f>IF(C$16="","",IFERROR(INDEX('Meal Plan'!$H$5:$H$504,MATCH(TEXT(C$16,"yyyy-mm-dd")&amp;"|"&amp;"Lunch",'Meal Plan'!$AE$5:$AE$504,0)),""))</f>
        <v>0</v>
      </c>
      <c r="D18" s="24">
        <f>IF(D$16="","",IFERROR(INDEX('Meal Plan'!$H$5:$H$504,MATCH(TEXT(D$16,"yyyy-mm-dd")&amp;"|"&amp;"Lunch",'Meal Plan'!$AE$5:$AE$504,0)),""))</f>
        <v>0</v>
      </c>
      <c r="E18" s="24">
        <f>IF(E$16="","",IFERROR(INDEX('Meal Plan'!$H$5:$H$504,MATCH(TEXT(E$16,"yyyy-mm-dd")&amp;"|"&amp;"Lunch",'Meal Plan'!$AE$5:$AE$504,0)),""))</f>
        <v>0</v>
      </c>
      <c r="F18" s="24">
        <f>IF(F$16="","",IFERROR(INDEX('Meal Plan'!$H$5:$H$504,MATCH(TEXT(F$16,"yyyy-mm-dd")&amp;"|"&amp;"Lunch",'Meal Plan'!$AE$5:$AE$504,0)),""))</f>
        <v>0</v>
      </c>
      <c r="G18" s="24">
        <f>IF(G$16="","",IFERROR(INDEX('Meal Plan'!$H$5:$H$504,MATCH(TEXT(G$16,"yyyy-mm-dd")&amp;"|"&amp;"Lunch",'Meal Plan'!$AE$5:$AE$504,0)),""))</f>
        <v>0</v>
      </c>
    </row>
    <row r="19" spans="1:7" ht="16" customHeight="1">
      <c r="A19" s="25">
        <f>IF(A$16="","",IF(SUMIFS('Meal Plan'!$T$5:$T$504,'Meal Plan'!$B$5:$B$504,A$16)=0,"",SUMIFS('Meal Plan'!$T$5:$T$504,'Meal Plan'!$B$5:$B$504,A$16)))</f>
        <v>0</v>
      </c>
      <c r="B19" s="25">
        <f>IF(B$16="","",IF(SUMIFS('Meal Plan'!$T$5:$T$504,'Meal Plan'!$B$5:$B$504,B$16)=0,"",SUMIFS('Meal Plan'!$T$5:$T$504,'Meal Plan'!$B$5:$B$504,B$16)))</f>
        <v>0</v>
      </c>
      <c r="C19" s="25">
        <f>IF(C$16="","",IF(SUMIFS('Meal Plan'!$T$5:$T$504,'Meal Plan'!$B$5:$B$504,C$16)=0,"",SUMIFS('Meal Plan'!$T$5:$T$504,'Meal Plan'!$B$5:$B$504,C$16)))</f>
        <v>0</v>
      </c>
      <c r="D19" s="25">
        <f>IF(D$16="","",IF(SUMIFS('Meal Plan'!$T$5:$T$504,'Meal Plan'!$B$5:$B$504,D$16)=0,"",SUMIFS('Meal Plan'!$T$5:$T$504,'Meal Plan'!$B$5:$B$504,D$16)))</f>
        <v>0</v>
      </c>
      <c r="E19" s="25">
        <f>IF(E$16="","",IF(SUMIFS('Meal Plan'!$T$5:$T$504,'Meal Plan'!$B$5:$B$504,E$16)=0,"",SUMIFS('Meal Plan'!$T$5:$T$504,'Meal Plan'!$B$5:$B$504,E$16)))</f>
        <v>0</v>
      </c>
      <c r="F19" s="25">
        <f>IF(F$16="","",IF(SUMIFS('Meal Plan'!$T$5:$T$504,'Meal Plan'!$B$5:$B$504,F$16)=0,"",SUMIFS('Meal Plan'!$T$5:$T$504,'Meal Plan'!$B$5:$B$504,F$16)))</f>
        <v>0</v>
      </c>
      <c r="G19" s="25">
        <f>IF(G$16="","",IF(SUMIFS('Meal Plan'!$T$5:$T$504,'Meal Plan'!$B$5:$B$504,G$16)=0,"",SUMIFS('Meal Plan'!$T$5:$T$504,'Meal Plan'!$B$5:$B$504,G$16)))</f>
        <v>0</v>
      </c>
    </row>
    <row r="20" spans="1:7" ht="16" customHeight="1">
      <c r="A20" s="33">
        <f>PlanMonthStart-MOD(WEEKDAY(PlanMonthStart,IF(WeekStart="Sunday",1,2))-1,7)+21</f>
        <v>0</v>
      </c>
      <c r="B20" s="33">
        <f>PlanMonthStart-MOD(WEEKDAY(PlanMonthStart,IF(WeekStart="Sunday",1,2))-1,7)+22</f>
        <v>0</v>
      </c>
      <c r="C20" s="33">
        <f>PlanMonthStart-MOD(WEEKDAY(PlanMonthStart,IF(WeekStart="Sunday",1,2))-1,7)+23</f>
        <v>0</v>
      </c>
      <c r="D20" s="33">
        <f>PlanMonthStart-MOD(WEEKDAY(PlanMonthStart,IF(WeekStart="Sunday",1,2))-1,7)+24</f>
        <v>0</v>
      </c>
      <c r="E20" s="33">
        <f>PlanMonthStart-MOD(WEEKDAY(PlanMonthStart,IF(WeekStart="Sunday",1,2))-1,7)+25</f>
        <v>0</v>
      </c>
      <c r="F20" s="33">
        <f>PlanMonthStart-MOD(WEEKDAY(PlanMonthStart,IF(WeekStart="Sunday",1,2))-1,7)+26</f>
        <v>0</v>
      </c>
      <c r="G20" s="33">
        <f>PlanMonthStart-MOD(WEEKDAY(PlanMonthStart,IF(WeekStart="Sunday",1,2))-1,7)+27</f>
        <v>0</v>
      </c>
    </row>
    <row r="21" spans="1:7" ht="26" customHeight="1">
      <c r="A21" s="34">
        <f>IF(A$20="","",IFERROR(INDEX('Meal Plan'!$H$5:$H$504,MATCH(TEXT(A$20,"yyyy-mm-dd")&amp;"|"&amp;"Dinner",'Meal Plan'!$AE$5:$AE$504,0)),""))</f>
        <v>0</v>
      </c>
      <c r="B21" s="34">
        <f>IF(B$20="","",IFERROR(INDEX('Meal Plan'!$H$5:$H$504,MATCH(TEXT(B$20,"yyyy-mm-dd")&amp;"|"&amp;"Dinner",'Meal Plan'!$AE$5:$AE$504,0)),""))</f>
        <v>0</v>
      </c>
      <c r="C21" s="34">
        <f>IF(C$20="","",IFERROR(INDEX('Meal Plan'!$H$5:$H$504,MATCH(TEXT(C$20,"yyyy-mm-dd")&amp;"|"&amp;"Dinner",'Meal Plan'!$AE$5:$AE$504,0)),""))</f>
        <v>0</v>
      </c>
      <c r="D21" s="34">
        <f>IF(D$20="","",IFERROR(INDEX('Meal Plan'!$H$5:$H$504,MATCH(TEXT(D$20,"yyyy-mm-dd")&amp;"|"&amp;"Dinner",'Meal Plan'!$AE$5:$AE$504,0)),""))</f>
        <v>0</v>
      </c>
      <c r="E21" s="34">
        <f>IF(E$20="","",IFERROR(INDEX('Meal Plan'!$H$5:$H$504,MATCH(TEXT(E$20,"yyyy-mm-dd")&amp;"|"&amp;"Dinner",'Meal Plan'!$AE$5:$AE$504,0)),""))</f>
        <v>0</v>
      </c>
      <c r="F21" s="34">
        <f>IF(F$20="","",IFERROR(INDEX('Meal Plan'!$H$5:$H$504,MATCH(TEXT(F$20,"yyyy-mm-dd")&amp;"|"&amp;"Dinner",'Meal Plan'!$AE$5:$AE$504,0)),""))</f>
        <v>0</v>
      </c>
      <c r="G21" s="34">
        <f>IF(G$20="","",IFERROR(INDEX('Meal Plan'!$H$5:$H$504,MATCH(TEXT(G$20,"yyyy-mm-dd")&amp;"|"&amp;"Dinner",'Meal Plan'!$AE$5:$AE$504,0)),""))</f>
        <v>0</v>
      </c>
    </row>
    <row r="22" spans="1:7" ht="22" customHeight="1">
      <c r="A22" s="24">
        <f>IF(A$20="","",IFERROR(INDEX('Meal Plan'!$H$5:$H$504,MATCH(TEXT(A$20,"yyyy-mm-dd")&amp;"|"&amp;"Lunch",'Meal Plan'!$AE$5:$AE$504,0)),""))</f>
        <v>0</v>
      </c>
      <c r="B22" s="24">
        <f>IF(B$20="","",IFERROR(INDEX('Meal Plan'!$H$5:$H$504,MATCH(TEXT(B$20,"yyyy-mm-dd")&amp;"|"&amp;"Lunch",'Meal Plan'!$AE$5:$AE$504,0)),""))</f>
        <v>0</v>
      </c>
      <c r="C22" s="24">
        <f>IF(C$20="","",IFERROR(INDEX('Meal Plan'!$H$5:$H$504,MATCH(TEXT(C$20,"yyyy-mm-dd")&amp;"|"&amp;"Lunch",'Meal Plan'!$AE$5:$AE$504,0)),""))</f>
        <v>0</v>
      </c>
      <c r="D22" s="24">
        <f>IF(D$20="","",IFERROR(INDEX('Meal Plan'!$H$5:$H$504,MATCH(TEXT(D$20,"yyyy-mm-dd")&amp;"|"&amp;"Lunch",'Meal Plan'!$AE$5:$AE$504,0)),""))</f>
        <v>0</v>
      </c>
      <c r="E22" s="24">
        <f>IF(E$20="","",IFERROR(INDEX('Meal Plan'!$H$5:$H$504,MATCH(TEXT(E$20,"yyyy-mm-dd")&amp;"|"&amp;"Lunch",'Meal Plan'!$AE$5:$AE$504,0)),""))</f>
        <v>0</v>
      </c>
      <c r="F22" s="24">
        <f>IF(F$20="","",IFERROR(INDEX('Meal Plan'!$H$5:$H$504,MATCH(TEXT(F$20,"yyyy-mm-dd")&amp;"|"&amp;"Lunch",'Meal Plan'!$AE$5:$AE$504,0)),""))</f>
        <v>0</v>
      </c>
      <c r="G22" s="24">
        <f>IF(G$20="","",IFERROR(INDEX('Meal Plan'!$H$5:$H$504,MATCH(TEXT(G$20,"yyyy-mm-dd")&amp;"|"&amp;"Lunch",'Meal Plan'!$AE$5:$AE$504,0)),""))</f>
        <v>0</v>
      </c>
    </row>
    <row r="23" spans="1:7" ht="16" customHeight="1">
      <c r="A23" s="25">
        <f>IF(A$20="","",IF(SUMIFS('Meal Plan'!$T$5:$T$504,'Meal Plan'!$B$5:$B$504,A$20)=0,"",SUMIFS('Meal Plan'!$T$5:$T$504,'Meal Plan'!$B$5:$B$504,A$20)))</f>
        <v>0</v>
      </c>
      <c r="B23" s="25">
        <f>IF(B$20="","",IF(SUMIFS('Meal Plan'!$T$5:$T$504,'Meal Plan'!$B$5:$B$504,B$20)=0,"",SUMIFS('Meal Plan'!$T$5:$T$504,'Meal Plan'!$B$5:$B$504,B$20)))</f>
        <v>0</v>
      </c>
      <c r="C23" s="25">
        <f>IF(C$20="","",IF(SUMIFS('Meal Plan'!$T$5:$T$504,'Meal Plan'!$B$5:$B$504,C$20)=0,"",SUMIFS('Meal Plan'!$T$5:$T$504,'Meal Plan'!$B$5:$B$504,C$20)))</f>
        <v>0</v>
      </c>
      <c r="D23" s="25">
        <f>IF(D$20="","",IF(SUMIFS('Meal Plan'!$T$5:$T$504,'Meal Plan'!$B$5:$B$504,D$20)=0,"",SUMIFS('Meal Plan'!$T$5:$T$504,'Meal Plan'!$B$5:$B$504,D$20)))</f>
        <v>0</v>
      </c>
      <c r="E23" s="25">
        <f>IF(E$20="","",IF(SUMIFS('Meal Plan'!$T$5:$T$504,'Meal Plan'!$B$5:$B$504,E$20)=0,"",SUMIFS('Meal Plan'!$T$5:$T$504,'Meal Plan'!$B$5:$B$504,E$20)))</f>
        <v>0</v>
      </c>
      <c r="F23" s="25">
        <f>IF(F$20="","",IF(SUMIFS('Meal Plan'!$T$5:$T$504,'Meal Plan'!$B$5:$B$504,F$20)=0,"",SUMIFS('Meal Plan'!$T$5:$T$504,'Meal Plan'!$B$5:$B$504,F$20)))</f>
        <v>0</v>
      </c>
      <c r="G23" s="25">
        <f>IF(G$20="","",IF(SUMIFS('Meal Plan'!$T$5:$T$504,'Meal Plan'!$B$5:$B$504,G$20)=0,"",SUMIFS('Meal Plan'!$T$5:$T$504,'Meal Plan'!$B$5:$B$504,G$20)))</f>
        <v>0</v>
      </c>
    </row>
    <row r="24" spans="1:7" ht="16" customHeight="1">
      <c r="A24" s="33">
        <f>PlanMonthStart-MOD(WEEKDAY(PlanMonthStart,IF(WeekStart="Sunday",1,2))-1,7)+28</f>
        <v>0</v>
      </c>
      <c r="B24" s="33">
        <f>PlanMonthStart-MOD(WEEKDAY(PlanMonthStart,IF(WeekStart="Sunday",1,2))-1,7)+29</f>
        <v>0</v>
      </c>
      <c r="C24" s="33">
        <f>PlanMonthStart-MOD(WEEKDAY(PlanMonthStart,IF(WeekStart="Sunday",1,2))-1,7)+30</f>
        <v>0</v>
      </c>
      <c r="D24" s="33">
        <f>PlanMonthStart-MOD(WEEKDAY(PlanMonthStart,IF(WeekStart="Sunday",1,2))-1,7)+31</f>
        <v>0</v>
      </c>
      <c r="E24" s="33">
        <f>PlanMonthStart-MOD(WEEKDAY(PlanMonthStart,IF(WeekStart="Sunday",1,2))-1,7)+32</f>
        <v>0</v>
      </c>
      <c r="F24" s="33">
        <f>PlanMonthStart-MOD(WEEKDAY(PlanMonthStart,IF(WeekStart="Sunday",1,2))-1,7)+33</f>
        <v>0</v>
      </c>
      <c r="G24" s="33">
        <f>PlanMonthStart-MOD(WEEKDAY(PlanMonthStart,IF(WeekStart="Sunday",1,2))-1,7)+34</f>
        <v>0</v>
      </c>
    </row>
    <row r="25" spans="1:7" ht="26" customHeight="1">
      <c r="A25" s="34">
        <f>IF(A$24="","",IFERROR(INDEX('Meal Plan'!$H$5:$H$504,MATCH(TEXT(A$24,"yyyy-mm-dd")&amp;"|"&amp;"Dinner",'Meal Plan'!$AE$5:$AE$504,0)),""))</f>
        <v>0</v>
      </c>
      <c r="B25" s="34">
        <f>IF(B$24="","",IFERROR(INDEX('Meal Plan'!$H$5:$H$504,MATCH(TEXT(B$24,"yyyy-mm-dd")&amp;"|"&amp;"Dinner",'Meal Plan'!$AE$5:$AE$504,0)),""))</f>
        <v>0</v>
      </c>
      <c r="C25" s="34">
        <f>IF(C$24="","",IFERROR(INDEX('Meal Plan'!$H$5:$H$504,MATCH(TEXT(C$24,"yyyy-mm-dd")&amp;"|"&amp;"Dinner",'Meal Plan'!$AE$5:$AE$504,0)),""))</f>
        <v>0</v>
      </c>
      <c r="D25" s="34">
        <f>IF(D$24="","",IFERROR(INDEX('Meal Plan'!$H$5:$H$504,MATCH(TEXT(D$24,"yyyy-mm-dd")&amp;"|"&amp;"Dinner",'Meal Plan'!$AE$5:$AE$504,0)),""))</f>
        <v>0</v>
      </c>
      <c r="E25" s="34">
        <f>IF(E$24="","",IFERROR(INDEX('Meal Plan'!$H$5:$H$504,MATCH(TEXT(E$24,"yyyy-mm-dd")&amp;"|"&amp;"Dinner",'Meal Plan'!$AE$5:$AE$504,0)),""))</f>
        <v>0</v>
      </c>
      <c r="F25" s="34">
        <f>IF(F$24="","",IFERROR(INDEX('Meal Plan'!$H$5:$H$504,MATCH(TEXT(F$24,"yyyy-mm-dd")&amp;"|"&amp;"Dinner",'Meal Plan'!$AE$5:$AE$504,0)),""))</f>
        <v>0</v>
      </c>
      <c r="G25" s="34">
        <f>IF(G$24="","",IFERROR(INDEX('Meal Plan'!$H$5:$H$504,MATCH(TEXT(G$24,"yyyy-mm-dd")&amp;"|"&amp;"Dinner",'Meal Plan'!$AE$5:$AE$504,0)),""))</f>
        <v>0</v>
      </c>
    </row>
    <row r="26" spans="1:7" ht="22" customHeight="1">
      <c r="A26" s="24">
        <f>IF(A$24="","",IFERROR(INDEX('Meal Plan'!$H$5:$H$504,MATCH(TEXT(A$24,"yyyy-mm-dd")&amp;"|"&amp;"Lunch",'Meal Plan'!$AE$5:$AE$504,0)),""))</f>
        <v>0</v>
      </c>
      <c r="B26" s="24">
        <f>IF(B$24="","",IFERROR(INDEX('Meal Plan'!$H$5:$H$504,MATCH(TEXT(B$24,"yyyy-mm-dd")&amp;"|"&amp;"Lunch",'Meal Plan'!$AE$5:$AE$504,0)),""))</f>
        <v>0</v>
      </c>
      <c r="C26" s="24">
        <f>IF(C$24="","",IFERROR(INDEX('Meal Plan'!$H$5:$H$504,MATCH(TEXT(C$24,"yyyy-mm-dd")&amp;"|"&amp;"Lunch",'Meal Plan'!$AE$5:$AE$504,0)),""))</f>
        <v>0</v>
      </c>
      <c r="D26" s="24">
        <f>IF(D$24="","",IFERROR(INDEX('Meal Plan'!$H$5:$H$504,MATCH(TEXT(D$24,"yyyy-mm-dd")&amp;"|"&amp;"Lunch",'Meal Plan'!$AE$5:$AE$504,0)),""))</f>
        <v>0</v>
      </c>
      <c r="E26" s="24">
        <f>IF(E$24="","",IFERROR(INDEX('Meal Plan'!$H$5:$H$504,MATCH(TEXT(E$24,"yyyy-mm-dd")&amp;"|"&amp;"Lunch",'Meal Plan'!$AE$5:$AE$504,0)),""))</f>
        <v>0</v>
      </c>
      <c r="F26" s="24">
        <f>IF(F$24="","",IFERROR(INDEX('Meal Plan'!$H$5:$H$504,MATCH(TEXT(F$24,"yyyy-mm-dd")&amp;"|"&amp;"Lunch",'Meal Plan'!$AE$5:$AE$504,0)),""))</f>
        <v>0</v>
      </c>
      <c r="G26" s="24">
        <f>IF(G$24="","",IFERROR(INDEX('Meal Plan'!$H$5:$H$504,MATCH(TEXT(G$24,"yyyy-mm-dd")&amp;"|"&amp;"Lunch",'Meal Plan'!$AE$5:$AE$504,0)),""))</f>
        <v>0</v>
      </c>
    </row>
    <row r="27" spans="1:7" ht="16" customHeight="1">
      <c r="A27" s="25">
        <f>IF(A$24="","",IF(SUMIFS('Meal Plan'!$T$5:$T$504,'Meal Plan'!$B$5:$B$504,A$24)=0,"",SUMIFS('Meal Plan'!$T$5:$T$504,'Meal Plan'!$B$5:$B$504,A$24)))</f>
        <v>0</v>
      </c>
      <c r="B27" s="25">
        <f>IF(B$24="","",IF(SUMIFS('Meal Plan'!$T$5:$T$504,'Meal Plan'!$B$5:$B$504,B$24)=0,"",SUMIFS('Meal Plan'!$T$5:$T$504,'Meal Plan'!$B$5:$B$504,B$24)))</f>
        <v>0</v>
      </c>
      <c r="C27" s="25">
        <f>IF(C$24="","",IF(SUMIFS('Meal Plan'!$T$5:$T$504,'Meal Plan'!$B$5:$B$504,C$24)=0,"",SUMIFS('Meal Plan'!$T$5:$T$504,'Meal Plan'!$B$5:$B$504,C$24)))</f>
        <v>0</v>
      </c>
      <c r="D27" s="25">
        <f>IF(D$24="","",IF(SUMIFS('Meal Plan'!$T$5:$T$504,'Meal Plan'!$B$5:$B$504,D$24)=0,"",SUMIFS('Meal Plan'!$T$5:$T$504,'Meal Plan'!$B$5:$B$504,D$24)))</f>
        <v>0</v>
      </c>
      <c r="E27" s="25">
        <f>IF(E$24="","",IF(SUMIFS('Meal Plan'!$T$5:$T$504,'Meal Plan'!$B$5:$B$504,E$24)=0,"",SUMIFS('Meal Plan'!$T$5:$T$504,'Meal Plan'!$B$5:$B$504,E$24)))</f>
        <v>0</v>
      </c>
      <c r="F27" s="25">
        <f>IF(F$24="","",IF(SUMIFS('Meal Plan'!$T$5:$T$504,'Meal Plan'!$B$5:$B$504,F$24)=0,"",SUMIFS('Meal Plan'!$T$5:$T$504,'Meal Plan'!$B$5:$B$504,F$24)))</f>
        <v>0</v>
      </c>
      <c r="G27" s="25">
        <f>IF(G$24="","",IF(SUMIFS('Meal Plan'!$T$5:$T$504,'Meal Plan'!$B$5:$B$504,G$24)=0,"",SUMIFS('Meal Plan'!$T$5:$T$504,'Meal Plan'!$B$5:$B$504,G$24)))</f>
        <v>0</v>
      </c>
    </row>
    <row r="28" spans="1:7" ht="16" customHeight="1">
      <c r="A28" s="33">
        <f>PlanMonthStart-MOD(WEEKDAY(PlanMonthStart,IF(WeekStart="Sunday",1,2))-1,7)+35</f>
        <v>0</v>
      </c>
      <c r="B28" s="33">
        <f>PlanMonthStart-MOD(WEEKDAY(PlanMonthStart,IF(WeekStart="Sunday",1,2))-1,7)+36</f>
        <v>0</v>
      </c>
      <c r="C28" s="33">
        <f>PlanMonthStart-MOD(WEEKDAY(PlanMonthStart,IF(WeekStart="Sunday",1,2))-1,7)+37</f>
        <v>0</v>
      </c>
      <c r="D28" s="33">
        <f>PlanMonthStart-MOD(WEEKDAY(PlanMonthStart,IF(WeekStart="Sunday",1,2))-1,7)+38</f>
        <v>0</v>
      </c>
      <c r="E28" s="33">
        <f>PlanMonthStart-MOD(WEEKDAY(PlanMonthStart,IF(WeekStart="Sunday",1,2))-1,7)+39</f>
        <v>0</v>
      </c>
      <c r="F28" s="33">
        <f>PlanMonthStart-MOD(WEEKDAY(PlanMonthStart,IF(WeekStart="Sunday",1,2))-1,7)+40</f>
        <v>0</v>
      </c>
      <c r="G28" s="33">
        <f>PlanMonthStart-MOD(WEEKDAY(PlanMonthStart,IF(WeekStart="Sunday",1,2))-1,7)+41</f>
        <v>0</v>
      </c>
    </row>
    <row r="29" spans="1:7" ht="26" customHeight="1">
      <c r="A29" s="34">
        <f>IF(A$28="","",IFERROR(INDEX('Meal Plan'!$H$5:$H$504,MATCH(TEXT(A$28,"yyyy-mm-dd")&amp;"|"&amp;"Dinner",'Meal Plan'!$AE$5:$AE$504,0)),""))</f>
        <v>0</v>
      </c>
      <c r="B29" s="34">
        <f>IF(B$28="","",IFERROR(INDEX('Meal Plan'!$H$5:$H$504,MATCH(TEXT(B$28,"yyyy-mm-dd")&amp;"|"&amp;"Dinner",'Meal Plan'!$AE$5:$AE$504,0)),""))</f>
        <v>0</v>
      </c>
      <c r="C29" s="34">
        <f>IF(C$28="","",IFERROR(INDEX('Meal Plan'!$H$5:$H$504,MATCH(TEXT(C$28,"yyyy-mm-dd")&amp;"|"&amp;"Dinner",'Meal Plan'!$AE$5:$AE$504,0)),""))</f>
        <v>0</v>
      </c>
      <c r="D29" s="34">
        <f>IF(D$28="","",IFERROR(INDEX('Meal Plan'!$H$5:$H$504,MATCH(TEXT(D$28,"yyyy-mm-dd")&amp;"|"&amp;"Dinner",'Meal Plan'!$AE$5:$AE$504,0)),""))</f>
        <v>0</v>
      </c>
      <c r="E29" s="34">
        <f>IF(E$28="","",IFERROR(INDEX('Meal Plan'!$H$5:$H$504,MATCH(TEXT(E$28,"yyyy-mm-dd")&amp;"|"&amp;"Dinner",'Meal Plan'!$AE$5:$AE$504,0)),""))</f>
        <v>0</v>
      </c>
      <c r="F29" s="34">
        <f>IF(F$28="","",IFERROR(INDEX('Meal Plan'!$H$5:$H$504,MATCH(TEXT(F$28,"yyyy-mm-dd")&amp;"|"&amp;"Dinner",'Meal Plan'!$AE$5:$AE$504,0)),""))</f>
        <v>0</v>
      </c>
      <c r="G29" s="34">
        <f>IF(G$28="","",IFERROR(INDEX('Meal Plan'!$H$5:$H$504,MATCH(TEXT(G$28,"yyyy-mm-dd")&amp;"|"&amp;"Dinner",'Meal Plan'!$AE$5:$AE$504,0)),""))</f>
        <v>0</v>
      </c>
    </row>
    <row r="30" spans="1:7" ht="22" customHeight="1">
      <c r="A30" s="24">
        <f>IF(A$28="","",IFERROR(INDEX('Meal Plan'!$H$5:$H$504,MATCH(TEXT(A$28,"yyyy-mm-dd")&amp;"|"&amp;"Lunch",'Meal Plan'!$AE$5:$AE$504,0)),""))</f>
        <v>0</v>
      </c>
      <c r="B30" s="24">
        <f>IF(B$28="","",IFERROR(INDEX('Meal Plan'!$H$5:$H$504,MATCH(TEXT(B$28,"yyyy-mm-dd")&amp;"|"&amp;"Lunch",'Meal Plan'!$AE$5:$AE$504,0)),""))</f>
        <v>0</v>
      </c>
      <c r="C30" s="24">
        <f>IF(C$28="","",IFERROR(INDEX('Meal Plan'!$H$5:$H$504,MATCH(TEXT(C$28,"yyyy-mm-dd")&amp;"|"&amp;"Lunch",'Meal Plan'!$AE$5:$AE$504,0)),""))</f>
        <v>0</v>
      </c>
      <c r="D30" s="24">
        <f>IF(D$28="","",IFERROR(INDEX('Meal Plan'!$H$5:$H$504,MATCH(TEXT(D$28,"yyyy-mm-dd")&amp;"|"&amp;"Lunch",'Meal Plan'!$AE$5:$AE$504,0)),""))</f>
        <v>0</v>
      </c>
      <c r="E30" s="24">
        <f>IF(E$28="","",IFERROR(INDEX('Meal Plan'!$H$5:$H$504,MATCH(TEXT(E$28,"yyyy-mm-dd")&amp;"|"&amp;"Lunch",'Meal Plan'!$AE$5:$AE$504,0)),""))</f>
        <v>0</v>
      </c>
      <c r="F30" s="24">
        <f>IF(F$28="","",IFERROR(INDEX('Meal Plan'!$H$5:$H$504,MATCH(TEXT(F$28,"yyyy-mm-dd")&amp;"|"&amp;"Lunch",'Meal Plan'!$AE$5:$AE$504,0)),""))</f>
        <v>0</v>
      </c>
      <c r="G30" s="24">
        <f>IF(G$28="","",IFERROR(INDEX('Meal Plan'!$H$5:$H$504,MATCH(TEXT(G$28,"yyyy-mm-dd")&amp;"|"&amp;"Lunch",'Meal Plan'!$AE$5:$AE$504,0)),""))</f>
        <v>0</v>
      </c>
    </row>
    <row r="31" spans="1:7" ht="16" customHeight="1">
      <c r="A31" s="25">
        <f>IF(A$28="","",IF(SUMIFS('Meal Plan'!$T$5:$T$504,'Meal Plan'!$B$5:$B$504,A$28)=0,"",SUMIFS('Meal Plan'!$T$5:$T$504,'Meal Plan'!$B$5:$B$504,A$28)))</f>
        <v>0</v>
      </c>
      <c r="B31" s="25">
        <f>IF(B$28="","",IF(SUMIFS('Meal Plan'!$T$5:$T$504,'Meal Plan'!$B$5:$B$504,B$28)=0,"",SUMIFS('Meal Plan'!$T$5:$T$504,'Meal Plan'!$B$5:$B$504,B$28)))</f>
        <v>0</v>
      </c>
      <c r="C31" s="25">
        <f>IF(C$28="","",IF(SUMIFS('Meal Plan'!$T$5:$T$504,'Meal Plan'!$B$5:$B$504,C$28)=0,"",SUMIFS('Meal Plan'!$T$5:$T$504,'Meal Plan'!$B$5:$B$504,C$28)))</f>
        <v>0</v>
      </c>
      <c r="D31" s="25">
        <f>IF(D$28="","",IF(SUMIFS('Meal Plan'!$T$5:$T$504,'Meal Plan'!$B$5:$B$504,D$28)=0,"",SUMIFS('Meal Plan'!$T$5:$T$504,'Meal Plan'!$B$5:$B$504,D$28)))</f>
        <v>0</v>
      </c>
      <c r="E31" s="25">
        <f>IF(E$28="","",IF(SUMIFS('Meal Plan'!$T$5:$T$504,'Meal Plan'!$B$5:$B$504,E$28)=0,"",SUMIFS('Meal Plan'!$T$5:$T$504,'Meal Plan'!$B$5:$B$504,E$28)))</f>
        <v>0</v>
      </c>
      <c r="F31" s="25">
        <f>IF(F$28="","",IF(SUMIFS('Meal Plan'!$T$5:$T$504,'Meal Plan'!$B$5:$B$504,F$28)=0,"",SUMIFS('Meal Plan'!$T$5:$T$504,'Meal Plan'!$B$5:$B$504,F$28)))</f>
        <v>0</v>
      </c>
      <c r="G31" s="25">
        <f>IF(G$28="","",IF(SUMIFS('Meal Plan'!$T$5:$T$504,'Meal Plan'!$B$5:$B$504,G$28)=0,"",SUMIFS('Meal Plan'!$T$5:$T$504,'Meal Plan'!$B$5:$B$504,G$28)))</f>
        <v>0</v>
      </c>
    </row>
    <row r="33" spans="1:7" ht="20" customHeight="1">
      <c r="A33" s="7" t="s">
        <v>194</v>
      </c>
      <c r="B33" s="7"/>
      <c r="C33" s="7"/>
      <c r="D33" s="7"/>
      <c r="E33" s="7"/>
      <c r="F33" s="7"/>
      <c r="G33" s="7"/>
    </row>
    <row r="34" spans="1:7" ht="26" customHeight="1">
      <c r="A34" s="8" t="s">
        <v>175</v>
      </c>
      <c r="B34" s="9" t="s">
        <v>195</v>
      </c>
      <c r="C34" s="9" t="s">
        <v>176</v>
      </c>
      <c r="D34" s="9" t="s">
        <v>196</v>
      </c>
      <c r="E34" s="9" t="s">
        <v>142</v>
      </c>
      <c r="F34" s="9" t="s">
        <v>179</v>
      </c>
      <c r="G34" s="9" t="s">
        <v>197</v>
      </c>
    </row>
    <row r="35" spans="1:7">
      <c r="A35" s="18">
        <f>COUNTIFS('Meal Plan'!$B$5:$B$504,"&gt;="&amp;PlanMonthStart,'Meal Plan'!$B$5:$B$504,"&lt;="&amp;EOMONTH(PlanMonthStart,0))</f>
        <v>0</v>
      </c>
      <c r="B35" s="18">
        <f>SUMPRODUCT((COUNTIFS('Meal Plan'!$B$5:$B$504,"&gt;="&amp;PlanMonthStart,'Meal Plan'!$B$5:$B$504,"&lt;="&amp;EOMONTH(PlanMonthStart,0),'Meal Plan'!$B$5:$B$504,'Meal Plan'!$B$5:$B$504)&gt;0)*1)/MAX(1,1)</f>
        <v>0</v>
      </c>
      <c r="C35" s="25">
        <f>SUMIFS('Meal Plan'!$T$5:$T$504,'Meal Plan'!$B$5:$B$504,"&gt;="&amp;PlanMonthStart,'Meal Plan'!$B$5:$B$504,"&lt;="&amp;EOMONTH(PlanMonthStart,0))</f>
        <v>0</v>
      </c>
      <c r="D35" s="25">
        <f>MonthlyBudget</f>
        <v>0</v>
      </c>
      <c r="E35" s="25">
        <f>MonthlyBudget-SUMIFS('Meal Plan'!$T$5:$T$504,'Meal Plan'!$B$5:$B$504,"&gt;="&amp;PlanMonthStart,'Meal Plan'!$B$5:$B$504,"&lt;="&amp;EOMONTH(PlanMonthStart,0))</f>
        <v>0</v>
      </c>
      <c r="F35" s="18">
        <f>COUNTIFS('Meal Plan'!$B$5:$B$504,"&gt;="&amp;PlanMonthStart,'Meal Plan'!$B$5:$B$504,"&lt;="&amp;EOMONTH(PlanMonthStart,0),'Meal Plan'!$AD$5:$AD$504,"Yes")</f>
        <v>0</v>
      </c>
      <c r="G35" s="18">
        <f>COUNTIFS('Meal Plan'!$B$5:$B$504,"&gt;="&amp;PlanMonthStart,'Meal Plan'!$B$5:$B$504,"&lt;="&amp;EOMONTH(PlanMonthStart,0),'Meal Plan'!$AD$5:$AD$504,"No")</f>
        <v>0</v>
      </c>
    </row>
    <row r="37" spans="1:7" ht="24" customHeight="1">
      <c r="A37" s="6" t="s">
        <v>198</v>
      </c>
      <c r="B37" s="6"/>
      <c r="C37" s="6"/>
      <c r="D37" s="6"/>
      <c r="E37" s="6"/>
      <c r="F37" s="6"/>
      <c r="G37" s="6"/>
    </row>
  </sheetData>
  <sheetProtection password="EC7C" sheet="1" objects="1" scenarios="1" formatCells="0" formatColumns="0" formatRows="0" insertRows="0" insertHyperlinks="0" deleteRows="0" autoFilter="0"/>
  <mergeCells count="9">
    <mergeCell ref="A1:D1"/>
    <mergeCell ref="E1:G1"/>
    <mergeCell ref="A2:G2"/>
    <mergeCell ref="A3:B3"/>
    <mergeCell ref="C3:D3"/>
    <mergeCell ref="E3:F3"/>
    <mergeCell ref="A6:G6"/>
    <mergeCell ref="A33:G33"/>
    <mergeCell ref="A37:G37"/>
  </mergeCells>
  <conditionalFormatting sqref="A12:A15">
    <cfRule type="expression" dxfId="3" priority="8">
      <formula>MONTH(A$12)&lt;&gt;MONTH(PlanMonthStart)</formula>
    </cfRule>
  </conditionalFormatting>
  <conditionalFormatting sqref="A16:A19">
    <cfRule type="expression" dxfId="3" priority="15">
      <formula>MONTH(A$16)&lt;&gt;MONTH(PlanMonthStart)</formula>
    </cfRule>
  </conditionalFormatting>
  <conditionalFormatting sqref="A20:A23">
    <cfRule type="expression" dxfId="3" priority="22">
      <formula>MONTH(A$20)&lt;&gt;MONTH(PlanMonthStart)</formula>
    </cfRule>
  </conditionalFormatting>
  <conditionalFormatting sqref="A24:A27">
    <cfRule type="expression" dxfId="3" priority="29">
      <formula>MONTH(A$24)&lt;&gt;MONTH(PlanMonthStart)</formula>
    </cfRule>
  </conditionalFormatting>
  <conditionalFormatting sqref="A28:A31">
    <cfRule type="expression" dxfId="3" priority="36">
      <formula>MONTH(A$28)&lt;&gt;MONTH(PlanMonthStart)</formula>
    </cfRule>
  </conditionalFormatting>
  <conditionalFormatting sqref="A8:A11">
    <cfRule type="expression" dxfId="3" priority="1">
      <formula>MONTH(A$8)&lt;&gt;MONTH(PlanMonthStart)</formula>
    </cfRule>
  </conditionalFormatting>
  <conditionalFormatting sqref="B12:B15">
    <cfRule type="expression" dxfId="3" priority="9">
      <formula>MONTH(B$12)&lt;&gt;MONTH(PlanMonthStart)</formula>
    </cfRule>
  </conditionalFormatting>
  <conditionalFormatting sqref="B16:B19">
    <cfRule type="expression" dxfId="3" priority="16">
      <formula>MONTH(B$16)&lt;&gt;MONTH(PlanMonthStart)</formula>
    </cfRule>
  </conditionalFormatting>
  <conditionalFormatting sqref="B20:B23">
    <cfRule type="expression" dxfId="3" priority="23">
      <formula>MONTH(B$20)&lt;&gt;MONTH(PlanMonthStart)</formula>
    </cfRule>
  </conditionalFormatting>
  <conditionalFormatting sqref="B24:B27">
    <cfRule type="expression" dxfId="3" priority="30">
      <formula>MONTH(B$24)&lt;&gt;MONTH(PlanMonthStart)</formula>
    </cfRule>
  </conditionalFormatting>
  <conditionalFormatting sqref="B28:B31">
    <cfRule type="expression" dxfId="3" priority="37">
      <formula>MONTH(B$28)&lt;&gt;MONTH(PlanMonthStart)</formula>
    </cfRule>
  </conditionalFormatting>
  <conditionalFormatting sqref="B8:B11">
    <cfRule type="expression" dxfId="3" priority="2">
      <formula>MONTH(B$8)&lt;&gt;MONTH(PlanMonthStart)</formula>
    </cfRule>
  </conditionalFormatting>
  <conditionalFormatting sqref="C12:C15">
    <cfRule type="expression" dxfId="3" priority="10">
      <formula>MONTH(C$12)&lt;&gt;MONTH(PlanMonthStart)</formula>
    </cfRule>
  </conditionalFormatting>
  <conditionalFormatting sqref="C16:C19">
    <cfRule type="expression" dxfId="3" priority="17">
      <formula>MONTH(C$16)&lt;&gt;MONTH(PlanMonthStart)</formula>
    </cfRule>
  </conditionalFormatting>
  <conditionalFormatting sqref="C20:C23">
    <cfRule type="expression" dxfId="3" priority="24">
      <formula>MONTH(C$20)&lt;&gt;MONTH(PlanMonthStart)</formula>
    </cfRule>
  </conditionalFormatting>
  <conditionalFormatting sqref="C24:C27">
    <cfRule type="expression" dxfId="3" priority="31">
      <formula>MONTH(C$24)&lt;&gt;MONTH(PlanMonthStart)</formula>
    </cfRule>
  </conditionalFormatting>
  <conditionalFormatting sqref="C28:C31">
    <cfRule type="expression" dxfId="3" priority="38">
      <formula>MONTH(C$28)&lt;&gt;MONTH(PlanMonthStart)</formula>
    </cfRule>
  </conditionalFormatting>
  <conditionalFormatting sqref="C8:C11">
    <cfRule type="expression" dxfId="3" priority="3">
      <formula>MONTH(C$8)&lt;&gt;MONTH(PlanMonthStart)</formula>
    </cfRule>
  </conditionalFormatting>
  <conditionalFormatting sqref="D12:D15">
    <cfRule type="expression" dxfId="3" priority="11">
      <formula>MONTH(D$12)&lt;&gt;MONTH(PlanMonthStart)</formula>
    </cfRule>
  </conditionalFormatting>
  <conditionalFormatting sqref="D16:D19">
    <cfRule type="expression" dxfId="3" priority="18">
      <formula>MONTH(D$16)&lt;&gt;MONTH(PlanMonthStart)</formula>
    </cfRule>
  </conditionalFormatting>
  <conditionalFormatting sqref="D20:D23">
    <cfRule type="expression" dxfId="3" priority="25">
      <formula>MONTH(D$20)&lt;&gt;MONTH(PlanMonthStart)</formula>
    </cfRule>
  </conditionalFormatting>
  <conditionalFormatting sqref="D24:D27">
    <cfRule type="expression" dxfId="3" priority="32">
      <formula>MONTH(D$24)&lt;&gt;MONTH(PlanMonthStart)</formula>
    </cfRule>
  </conditionalFormatting>
  <conditionalFormatting sqref="D28:D31">
    <cfRule type="expression" dxfId="3" priority="39">
      <formula>MONTH(D$28)&lt;&gt;MONTH(PlanMonthStart)</formula>
    </cfRule>
  </conditionalFormatting>
  <conditionalFormatting sqref="D8:D11">
    <cfRule type="expression" dxfId="3" priority="4">
      <formula>MONTH(D$8)&lt;&gt;MONTH(PlanMonthStart)</formula>
    </cfRule>
  </conditionalFormatting>
  <conditionalFormatting sqref="E12:E15">
    <cfRule type="expression" dxfId="3" priority="12">
      <formula>MONTH(E$12)&lt;&gt;MONTH(PlanMonthStart)</formula>
    </cfRule>
  </conditionalFormatting>
  <conditionalFormatting sqref="E16:E19">
    <cfRule type="expression" dxfId="3" priority="19">
      <formula>MONTH(E$16)&lt;&gt;MONTH(PlanMonthStart)</formula>
    </cfRule>
  </conditionalFormatting>
  <conditionalFormatting sqref="E20:E23">
    <cfRule type="expression" dxfId="3" priority="26">
      <formula>MONTH(E$20)&lt;&gt;MONTH(PlanMonthStart)</formula>
    </cfRule>
  </conditionalFormatting>
  <conditionalFormatting sqref="E24:E27">
    <cfRule type="expression" dxfId="3" priority="33">
      <formula>MONTH(E$24)&lt;&gt;MONTH(PlanMonthStart)</formula>
    </cfRule>
  </conditionalFormatting>
  <conditionalFormatting sqref="E28:E31">
    <cfRule type="expression" dxfId="3" priority="40">
      <formula>MONTH(E$28)&lt;&gt;MONTH(PlanMonthStart)</formula>
    </cfRule>
  </conditionalFormatting>
  <conditionalFormatting sqref="E35">
    <cfRule type="cellIs" dxfId="2" priority="43" operator="lessThan">
      <formula>0</formula>
    </cfRule>
  </conditionalFormatting>
  <conditionalFormatting sqref="E8:E11">
    <cfRule type="expression" dxfId="3" priority="5">
      <formula>MONTH(E$8)&lt;&gt;MONTH(PlanMonthStart)</formula>
    </cfRule>
  </conditionalFormatting>
  <conditionalFormatting sqref="F12:F15">
    <cfRule type="expression" dxfId="3" priority="13">
      <formula>MONTH(F$12)&lt;&gt;MONTH(PlanMonthStart)</formula>
    </cfRule>
  </conditionalFormatting>
  <conditionalFormatting sqref="F16:F19">
    <cfRule type="expression" dxfId="3" priority="20">
      <formula>MONTH(F$16)&lt;&gt;MONTH(PlanMonthStart)</formula>
    </cfRule>
  </conditionalFormatting>
  <conditionalFormatting sqref="F20:F23">
    <cfRule type="expression" dxfId="3" priority="27">
      <formula>MONTH(F$20)&lt;&gt;MONTH(PlanMonthStart)</formula>
    </cfRule>
  </conditionalFormatting>
  <conditionalFormatting sqref="F24:F27">
    <cfRule type="expression" dxfId="3" priority="34">
      <formula>MONTH(F$24)&lt;&gt;MONTH(PlanMonthStart)</formula>
    </cfRule>
  </conditionalFormatting>
  <conditionalFormatting sqref="F28:F31">
    <cfRule type="expression" dxfId="3" priority="41">
      <formula>MONTH(F$28)&lt;&gt;MONTH(PlanMonthStart)</formula>
    </cfRule>
  </conditionalFormatting>
  <conditionalFormatting sqref="F8:F11">
    <cfRule type="expression" dxfId="3" priority="6">
      <formula>MONTH(F$8)&lt;&gt;MONTH(PlanMonthStart)</formula>
    </cfRule>
  </conditionalFormatting>
  <conditionalFormatting sqref="G12:G15">
    <cfRule type="expression" dxfId="3" priority="14">
      <formula>MONTH(G$12)&lt;&gt;MONTH(PlanMonthStart)</formula>
    </cfRule>
  </conditionalFormatting>
  <conditionalFormatting sqref="G16:G19">
    <cfRule type="expression" dxfId="3" priority="21">
      <formula>MONTH(G$16)&lt;&gt;MONTH(PlanMonthStart)</formula>
    </cfRule>
  </conditionalFormatting>
  <conditionalFormatting sqref="G20:G23">
    <cfRule type="expression" dxfId="3" priority="28">
      <formula>MONTH(G$20)&lt;&gt;MONTH(PlanMonthStart)</formula>
    </cfRule>
  </conditionalFormatting>
  <conditionalFormatting sqref="G24:G27">
    <cfRule type="expression" dxfId="3" priority="35">
      <formula>MONTH(G$24)&lt;&gt;MONTH(PlanMonthStart)</formula>
    </cfRule>
  </conditionalFormatting>
  <conditionalFormatting sqref="G28:G31">
    <cfRule type="expression" dxfId="3" priority="42">
      <formula>MONTH(G$28)&lt;&gt;MONTH(PlanMonthStart)</formula>
    </cfRule>
  </conditionalFormatting>
  <conditionalFormatting sqref="G8:G11">
    <cfRule type="expression" dxfId="3" priority="7">
      <formula>MONTH(G$8)&lt;&gt;MONTH(PlanMonthStart)</formula>
    </cfRule>
  </conditionalFormatting>
  <dataValidations count="1">
    <dataValidation type="list" allowBlank="1" showInputMessage="1" showErrorMessage="1" sqref="B5">
      <formula1>MonthList</formula1>
    </dataValidation>
  </dataValidation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&amp;L&amp;"Calibri,Bold"&amp;12&amp;C&amp;"Calibri,Bold"&amp;11Monthly Planner&amp;R&amp;"Calibri,Italic"&amp;9Automated Meal Planner &amp; Grocery List Spreadsheet</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D9703C"/>
    <pageSetUpPr fitToPage="1"/>
  </sheetPr>
  <dimension ref="A1:I77"/>
  <sheetViews>
    <sheetView showGridLines="0" workbookViewId="0">
      <pane ySplit="4" topLeftCell="A5" activePane="bottomLeft" state="frozen"/>
      <selection pane="bottomLeft"/>
    </sheetView>
  </sheetViews>
  <sheetFormatPr defaultRowHeight="15"/>
  <cols>
    <col min="1" max="1" width="3.2109375" customWidth="1"/>
    <col min="2" max="2" width="30.7109375" style="13" customWidth="1"/>
    <col min="3" max="3" width="16.7109375" style="13" customWidth="1"/>
    <col min="4" max="4" width="26.7109375" customWidth="1"/>
    <col min="5" max="5" width="20.7109375" customWidth="1"/>
    <col min="6" max="9" width="17.7109375" style="12" customWidth="1"/>
  </cols>
  <sheetData>
    <row r="1" spans="1:9" ht="34" customHeight="1">
      <c r="A1" s="2" t="s">
        <v>199</v>
      </c>
      <c r="B1" s="2"/>
      <c r="C1" s="2"/>
      <c r="D1" s="2"/>
      <c r="E1" s="2"/>
      <c r="F1" s="2"/>
      <c r="G1" s="3" t="s">
        <v>1</v>
      </c>
      <c r="H1" s="3"/>
      <c r="I1" s="3"/>
    </row>
    <row r="2" spans="1:9" ht="18" customHeight="1">
      <c r="A2" s="4" t="s">
        <v>200</v>
      </c>
      <c r="B2" s="4"/>
      <c r="C2" s="4"/>
      <c r="D2" s="4"/>
      <c r="E2" s="4"/>
      <c r="F2" s="4"/>
      <c r="G2" s="4"/>
      <c r="H2" s="4"/>
      <c r="I2" s="4"/>
    </row>
    <row r="3" spans="1:9" ht="16" customHeight="1">
      <c r="A3" s="5" t="s">
        <v>3</v>
      </c>
      <c r="B3" s="5"/>
      <c r="C3" s="5" t="s">
        <v>4</v>
      </c>
      <c r="D3" s="5"/>
      <c r="E3" s="5" t="s">
        <v>5</v>
      </c>
      <c r="F3" s="5"/>
      <c r="G3" s="5" t="s">
        <v>6</v>
      </c>
      <c r="H3" s="5"/>
      <c r="I3" s="28" t="s">
        <v>157</v>
      </c>
    </row>
    <row r="5" spans="1:9" ht="20" customHeight="1">
      <c r="A5" s="7" t="s">
        <v>201</v>
      </c>
      <c r="B5" s="7"/>
      <c r="C5" s="7"/>
      <c r="D5" s="7"/>
      <c r="E5" s="7"/>
      <c r="F5" s="7"/>
      <c r="G5" s="7"/>
      <c r="H5" s="7"/>
      <c r="I5" s="7"/>
    </row>
    <row r="6" spans="1:9">
      <c r="B6" s="11" t="s">
        <v>202</v>
      </c>
      <c r="C6" s="11"/>
      <c r="D6" s="32" t="s">
        <v>203</v>
      </c>
      <c r="E6" s="32"/>
      <c r="F6" s="12" t="s">
        <v>204</v>
      </c>
      <c r="G6" s="12"/>
      <c r="H6" s="12"/>
      <c r="I6" s="12"/>
    </row>
    <row r="7" spans="1:9">
      <c r="B7" s="11" t="s">
        <v>205</v>
      </c>
      <c r="C7" s="11"/>
      <c r="D7" s="32" t="s">
        <v>206</v>
      </c>
      <c r="E7" s="32"/>
    </row>
    <row r="8" spans="1:9">
      <c r="B8" s="11" t="s">
        <v>207</v>
      </c>
      <c r="C8" s="11"/>
      <c r="D8" s="32" t="s">
        <v>208</v>
      </c>
      <c r="E8" s="32"/>
    </row>
    <row r="9" spans="1:9">
      <c r="B9" s="11" t="s">
        <v>209</v>
      </c>
      <c r="C9" s="11"/>
      <c r="D9" s="32" t="s">
        <v>210</v>
      </c>
      <c r="E9" s="32"/>
    </row>
    <row r="10" spans="1:9">
      <c r="B10" s="11" t="s">
        <v>211</v>
      </c>
      <c r="C10" s="11"/>
      <c r="D10" s="35">
        <v>4</v>
      </c>
      <c r="E10" s="12" t="s">
        <v>212</v>
      </c>
      <c r="F10" s="12"/>
      <c r="G10" s="12"/>
      <c r="H10" s="12"/>
    </row>
    <row r="11" spans="1:9">
      <c r="B11" s="11" t="s">
        <v>213</v>
      </c>
      <c r="C11" s="11"/>
      <c r="D11" s="32" t="s">
        <v>214</v>
      </c>
      <c r="E11" s="32"/>
      <c r="F11" s="12" t="s">
        <v>215</v>
      </c>
      <c r="G11" s="12"/>
      <c r="H11" s="12"/>
      <c r="I11" s="12"/>
    </row>
    <row r="12" spans="1:9">
      <c r="B12" s="11" t="s">
        <v>216</v>
      </c>
      <c r="C12" s="11"/>
      <c r="D12" s="32" t="s">
        <v>217</v>
      </c>
      <c r="E12" s="32"/>
    </row>
    <row r="14" spans="1:9" ht="20" customHeight="1">
      <c r="A14" s="7" t="s">
        <v>218</v>
      </c>
      <c r="B14" s="7"/>
      <c r="C14" s="7"/>
      <c r="D14" s="7"/>
      <c r="E14" s="7"/>
      <c r="F14" s="7"/>
      <c r="G14" s="7"/>
      <c r="H14" s="7"/>
      <c r="I14" s="7"/>
    </row>
    <row r="15" spans="1:9">
      <c r="B15" s="11" t="s">
        <v>219</v>
      </c>
      <c r="C15" s="11"/>
      <c r="D15" s="35">
        <v>2026</v>
      </c>
      <c r="E15" s="12" t="s">
        <v>220</v>
      </c>
      <c r="F15" s="12"/>
      <c r="G15" s="12"/>
      <c r="H15" s="12"/>
    </row>
    <row r="16" spans="1:9">
      <c r="B16" s="11" t="s">
        <v>221</v>
      </c>
      <c r="C16" s="11"/>
      <c r="D16" s="15">
        <v>46300</v>
      </c>
      <c r="E16" s="12" t="s">
        <v>222</v>
      </c>
      <c r="F16" s="12"/>
      <c r="G16" s="12"/>
      <c r="H16" s="12"/>
    </row>
    <row r="17" spans="1:9">
      <c r="B17" s="11" t="s">
        <v>223</v>
      </c>
      <c r="C17" s="11"/>
      <c r="D17" s="32" t="s">
        <v>224</v>
      </c>
      <c r="E17" s="12" t="s">
        <v>225</v>
      </c>
      <c r="F17" s="12"/>
      <c r="G17" s="12"/>
      <c r="H17" s="12"/>
    </row>
    <row r="18" spans="1:9">
      <c r="B18" s="11" t="s">
        <v>226</v>
      </c>
      <c r="C18" s="11"/>
      <c r="D18" s="32" t="s">
        <v>227</v>
      </c>
      <c r="E18" s="12" t="s">
        <v>228</v>
      </c>
      <c r="F18" s="12"/>
      <c r="G18" s="12"/>
      <c r="H18" s="12"/>
    </row>
    <row r="19" spans="1:9">
      <c r="B19" s="11" t="s">
        <v>229</v>
      </c>
      <c r="C19" s="11"/>
      <c r="D19" s="32" t="s">
        <v>230</v>
      </c>
    </row>
    <row r="20" spans="1:9">
      <c r="B20" s="11" t="s">
        <v>231</v>
      </c>
      <c r="C20" s="11"/>
      <c r="D20" s="32" t="s">
        <v>232</v>
      </c>
      <c r="E20" s="12" t="s">
        <v>233</v>
      </c>
      <c r="F20" s="12"/>
      <c r="G20" s="12"/>
      <c r="H20" s="12"/>
    </row>
    <row r="21" spans="1:9">
      <c r="B21" s="11" t="s">
        <v>234</v>
      </c>
      <c r="C21" s="11"/>
      <c r="D21" s="35">
        <v>4</v>
      </c>
    </row>
    <row r="22" spans="1:9">
      <c r="B22" s="11" t="s">
        <v>235</v>
      </c>
      <c r="C22" s="11"/>
      <c r="D22" s="15">
        <f>PlanStart</f>
        <v>0</v>
      </c>
      <c r="E22" s="12" t="s">
        <v>236</v>
      </c>
      <c r="F22" s="12"/>
      <c r="G22" s="12"/>
      <c r="H22" s="12"/>
    </row>
    <row r="23" spans="1:9">
      <c r="B23" s="11" t="s">
        <v>237</v>
      </c>
      <c r="C23" s="11"/>
      <c r="D23" s="15">
        <f>ShopFrom+6</f>
        <v>0</v>
      </c>
      <c r="E23" s="12" t="s">
        <v>238</v>
      </c>
      <c r="F23" s="12"/>
      <c r="G23" s="12"/>
      <c r="H23" s="12"/>
    </row>
    <row r="24" spans="1:9">
      <c r="B24" s="11" t="s">
        <v>239</v>
      </c>
      <c r="C24" s="11"/>
      <c r="D24" s="32" t="s">
        <v>240</v>
      </c>
      <c r="E24" s="32"/>
      <c r="F24" s="12" t="s">
        <v>241</v>
      </c>
      <c r="G24" s="12"/>
      <c r="H24" s="12"/>
      <c r="I24" s="12"/>
    </row>
    <row r="26" spans="1:9" ht="20" customHeight="1">
      <c r="A26" s="7" t="s">
        <v>242</v>
      </c>
      <c r="B26" s="7"/>
      <c r="C26" s="7"/>
      <c r="D26" s="7"/>
      <c r="E26" s="7"/>
      <c r="F26" s="7"/>
      <c r="G26" s="7"/>
      <c r="H26" s="7"/>
      <c r="I26" s="7"/>
    </row>
    <row r="27" spans="1:9">
      <c r="B27" s="11" t="s">
        <v>243</v>
      </c>
      <c r="C27" s="11"/>
      <c r="D27" s="36">
        <v>180</v>
      </c>
      <c r="E27" s="12" t="s">
        <v>244</v>
      </c>
      <c r="F27" s="12"/>
      <c r="G27" s="12"/>
      <c r="H27" s="12"/>
    </row>
    <row r="28" spans="1:9">
      <c r="B28" s="11" t="s">
        <v>245</v>
      </c>
      <c r="C28" s="11"/>
      <c r="D28" s="36">
        <v>780</v>
      </c>
    </row>
    <row r="29" spans="1:9">
      <c r="B29" s="11" t="s">
        <v>246</v>
      </c>
      <c r="C29" s="11"/>
      <c r="D29" s="36">
        <v>9360</v>
      </c>
    </row>
    <row r="30" spans="1:9">
      <c r="B30" s="11" t="s">
        <v>247</v>
      </c>
      <c r="C30" s="11"/>
      <c r="D30" s="36">
        <v>120</v>
      </c>
    </row>
    <row r="31" spans="1:9">
      <c r="B31" s="11" t="s">
        <v>248</v>
      </c>
      <c r="C31" s="11"/>
      <c r="D31" s="36">
        <v>15</v>
      </c>
      <c r="E31" s="12" t="s">
        <v>249</v>
      </c>
      <c r="F31" s="12"/>
      <c r="G31" s="12"/>
      <c r="H31" s="12"/>
    </row>
    <row r="33" spans="1:9" ht="20" customHeight="1">
      <c r="A33" s="7" t="s">
        <v>250</v>
      </c>
      <c r="B33" s="7"/>
      <c r="C33" s="7"/>
      <c r="D33" s="7"/>
      <c r="E33" s="7"/>
      <c r="F33" s="7"/>
      <c r="G33" s="7"/>
      <c r="H33" s="7"/>
      <c r="I33" s="7"/>
    </row>
    <row r="34" spans="1:9" ht="30" customHeight="1">
      <c r="B34" s="6" t="s">
        <v>251</v>
      </c>
      <c r="C34" s="6"/>
      <c r="D34" s="6"/>
      <c r="E34" s="6"/>
      <c r="F34" s="6"/>
      <c r="G34" s="6"/>
      <c r="H34" s="6"/>
      <c r="I34" s="6"/>
    </row>
    <row r="35" spans="1:9">
      <c r="B35" s="11" t="s">
        <v>252</v>
      </c>
      <c r="C35" s="11"/>
      <c r="D35" s="35">
        <v>2000</v>
      </c>
    </row>
    <row r="36" spans="1:9">
      <c r="B36" s="11" t="s">
        <v>253</v>
      </c>
      <c r="C36" s="11"/>
      <c r="D36" s="35">
        <v>90</v>
      </c>
    </row>
    <row r="37" spans="1:9">
      <c r="B37" s="11" t="s">
        <v>254</v>
      </c>
      <c r="C37" s="11"/>
      <c r="D37" s="35">
        <v>230</v>
      </c>
    </row>
    <row r="38" spans="1:9">
      <c r="B38" s="11" t="s">
        <v>255</v>
      </c>
      <c r="C38" s="11"/>
      <c r="D38" s="35">
        <v>70</v>
      </c>
    </row>
    <row r="39" spans="1:9">
      <c r="B39" s="11" t="s">
        <v>256</v>
      </c>
      <c r="C39" s="11"/>
      <c r="D39" s="35">
        <v>30</v>
      </c>
    </row>
    <row r="40" spans="1:9">
      <c r="B40" s="11" t="s">
        <v>257</v>
      </c>
      <c r="C40" s="11"/>
      <c r="D40" s="35">
        <v>50</v>
      </c>
    </row>
    <row r="41" spans="1:9">
      <c r="B41" s="11" t="s">
        <v>258</v>
      </c>
      <c r="C41" s="11"/>
      <c r="D41" s="35">
        <v>2300</v>
      </c>
    </row>
    <row r="42" spans="1:9">
      <c r="B42" s="11" t="s">
        <v>259</v>
      </c>
      <c r="C42" s="11"/>
      <c r="D42" s="35">
        <v>8</v>
      </c>
    </row>
    <row r="44" spans="1:9" ht="20" customHeight="1">
      <c r="A44" s="7" t="s">
        <v>260</v>
      </c>
      <c r="B44" s="7"/>
      <c r="C44" s="7"/>
      <c r="D44" s="7"/>
      <c r="E44" s="7"/>
      <c r="F44" s="7"/>
      <c r="G44" s="7"/>
      <c r="H44" s="7"/>
      <c r="I44" s="7"/>
    </row>
    <row r="45" spans="1:9">
      <c r="B45" s="11" t="s">
        <v>261</v>
      </c>
      <c r="C45" s="11"/>
      <c r="D45" s="35">
        <v>5</v>
      </c>
      <c r="E45" s="12" t="s">
        <v>262</v>
      </c>
      <c r="F45" s="12"/>
      <c r="G45" s="12"/>
      <c r="H45" s="12"/>
    </row>
    <row r="46" spans="1:9">
      <c r="B46" s="11" t="s">
        <v>263</v>
      </c>
      <c r="C46" s="11"/>
      <c r="D46" s="35">
        <v>3</v>
      </c>
      <c r="E46" s="12" t="s">
        <v>264</v>
      </c>
      <c r="F46" s="12"/>
      <c r="G46" s="12"/>
      <c r="H46" s="12"/>
    </row>
    <row r="47" spans="1:9">
      <c r="B47" s="11" t="s">
        <v>265</v>
      </c>
      <c r="C47" s="11"/>
      <c r="D47" s="35">
        <v>90</v>
      </c>
    </row>
    <row r="48" spans="1:9">
      <c r="B48" s="11" t="s">
        <v>266</v>
      </c>
      <c r="C48" s="11"/>
      <c r="D48" s="35">
        <v>7</v>
      </c>
    </row>
    <row r="49" spans="1:9">
      <c r="B49" s="11" t="s">
        <v>267</v>
      </c>
      <c r="C49" s="11"/>
      <c r="D49" s="35">
        <v>2</v>
      </c>
    </row>
    <row r="50" spans="1:9">
      <c r="B50" s="11" t="s">
        <v>268</v>
      </c>
      <c r="C50" s="11"/>
      <c r="D50" s="35">
        <v>14</v>
      </c>
      <c r="E50" s="12" t="s">
        <v>269</v>
      </c>
      <c r="F50" s="12"/>
      <c r="G50" s="12"/>
      <c r="H50" s="12"/>
    </row>
    <row r="52" spans="1:9" ht="20" customHeight="1">
      <c r="A52" s="7" t="s">
        <v>270</v>
      </c>
      <c r="B52" s="7"/>
      <c r="C52" s="7"/>
      <c r="D52" s="7"/>
      <c r="E52" s="7"/>
      <c r="F52" s="7"/>
      <c r="G52" s="7"/>
      <c r="H52" s="7"/>
      <c r="I52" s="7"/>
    </row>
    <row r="53" spans="1:9">
      <c r="B53" s="11" t="s">
        <v>271</v>
      </c>
      <c r="C53" s="11"/>
      <c r="D53" s="35">
        <v>18</v>
      </c>
    </row>
    <row r="54" spans="1:9">
      <c r="B54" s="11" t="s">
        <v>272</v>
      </c>
      <c r="C54" s="11"/>
      <c r="D54" s="35">
        <v>2</v>
      </c>
    </row>
    <row r="55" spans="1:9">
      <c r="B55" s="11" t="s">
        <v>273</v>
      </c>
      <c r="C55" s="11"/>
      <c r="D55" s="35">
        <v>4</v>
      </c>
    </row>
    <row r="56" spans="1:9">
      <c r="B56" s="11" t="s">
        <v>274</v>
      </c>
      <c r="C56" s="11"/>
      <c r="D56" s="35">
        <v>5</v>
      </c>
    </row>
    <row r="57" spans="1:9">
      <c r="B57" s="11" t="s">
        <v>275</v>
      </c>
      <c r="C57" s="11"/>
      <c r="D57" s="37">
        <v>0.05</v>
      </c>
    </row>
    <row r="59" spans="1:9" ht="20" customHeight="1">
      <c r="A59" s="7" t="s">
        <v>276</v>
      </c>
      <c r="B59" s="7"/>
      <c r="C59" s="7"/>
      <c r="D59" s="7"/>
      <c r="E59" s="7"/>
      <c r="F59" s="7"/>
      <c r="G59" s="7"/>
      <c r="H59" s="7"/>
      <c r="I59" s="7"/>
    </row>
    <row r="60" spans="1:9" ht="24" customHeight="1">
      <c r="B60" s="6" t="s">
        <v>277</v>
      </c>
      <c r="C60" s="6"/>
      <c r="D60" s="6"/>
      <c r="E60" s="6"/>
      <c r="F60" s="6"/>
      <c r="G60" s="6"/>
      <c r="H60" s="6"/>
      <c r="I60" s="6"/>
    </row>
    <row r="61" spans="1:9">
      <c r="B61" s="11" t="s">
        <v>278</v>
      </c>
      <c r="C61" s="11"/>
      <c r="D61" s="32" t="s">
        <v>279</v>
      </c>
    </row>
    <row r="62" spans="1:9">
      <c r="B62" s="11" t="s">
        <v>280</v>
      </c>
      <c r="C62" s="11"/>
      <c r="D62" s="32" t="s">
        <v>281</v>
      </c>
    </row>
    <row r="63" spans="1:9">
      <c r="B63" s="11" t="s">
        <v>282</v>
      </c>
      <c r="C63" s="11"/>
      <c r="D63" s="32" t="s">
        <v>283</v>
      </c>
    </row>
    <row r="64" spans="1:9">
      <c r="B64" s="11" t="s">
        <v>284</v>
      </c>
      <c r="C64" s="11"/>
      <c r="D64" s="32" t="s">
        <v>285</v>
      </c>
    </row>
    <row r="65" spans="1:9">
      <c r="B65" s="11" t="s">
        <v>286</v>
      </c>
      <c r="C65" s="11"/>
      <c r="D65" s="32" t="s">
        <v>287</v>
      </c>
    </row>
    <row r="66" spans="1:9">
      <c r="B66" s="11" t="s">
        <v>288</v>
      </c>
      <c r="C66" s="11"/>
      <c r="D66" s="32" t="s">
        <v>289</v>
      </c>
    </row>
    <row r="67" spans="1:9">
      <c r="B67" s="11" t="s">
        <v>290</v>
      </c>
      <c r="C67" s="11"/>
      <c r="D67" s="32" t="s">
        <v>291</v>
      </c>
    </row>
    <row r="68" spans="1:9">
      <c r="B68" s="11" t="s">
        <v>292</v>
      </c>
      <c r="C68" s="11"/>
      <c r="D68" s="32" t="s">
        <v>293</v>
      </c>
    </row>
    <row r="70" spans="1:9" ht="20" customHeight="1">
      <c r="A70" s="7" t="s">
        <v>294</v>
      </c>
      <c r="B70" s="7"/>
      <c r="C70" s="7"/>
      <c r="D70" s="7"/>
      <c r="E70" s="7"/>
      <c r="F70" s="7"/>
      <c r="G70" s="7"/>
      <c r="H70" s="7"/>
      <c r="I70" s="7"/>
    </row>
    <row r="71" spans="1:9">
      <c r="B71" s="11" t="s">
        <v>295</v>
      </c>
      <c r="C71" s="11"/>
      <c r="D71" s="17" t="s">
        <v>0</v>
      </c>
      <c r="E71" s="17"/>
      <c r="F71" s="17"/>
    </row>
    <row r="72" spans="1:9">
      <c r="B72" s="11" t="s">
        <v>296</v>
      </c>
      <c r="C72" s="11"/>
      <c r="D72" s="17" t="s">
        <v>297</v>
      </c>
    </row>
    <row r="73" spans="1:9">
      <c r="B73" s="11" t="s">
        <v>298</v>
      </c>
      <c r="C73" s="11"/>
      <c r="D73" s="17" t="s">
        <v>299</v>
      </c>
    </row>
    <row r="74" spans="1:9">
      <c r="B74" s="11" t="s">
        <v>300</v>
      </c>
      <c r="C74" s="11"/>
      <c r="D74" s="17" t="s">
        <v>301</v>
      </c>
      <c r="E74" s="12" t="s">
        <v>302</v>
      </c>
      <c r="F74" s="12"/>
      <c r="G74" s="12"/>
      <c r="H74" s="12"/>
    </row>
    <row r="75" spans="1:9">
      <c r="B75" s="11" t="s">
        <v>303</v>
      </c>
      <c r="C75" s="11"/>
      <c r="D75" s="17" t="s">
        <v>304</v>
      </c>
    </row>
    <row r="77" spans="1:9" ht="30" customHeight="1">
      <c r="B77" s="6" t="s">
        <v>305</v>
      </c>
      <c r="C77" s="6"/>
      <c r="D77" s="6"/>
      <c r="E77" s="6"/>
      <c r="F77" s="6"/>
      <c r="G77" s="6"/>
      <c r="H77" s="6"/>
      <c r="I77" s="6"/>
    </row>
  </sheetData>
  <sheetProtection password="EC7C" sheet="1" objects="1" scenarios="1" formatCells="0" formatColumns="0" formatRows="0" insertRows="0" insertHyperlinks="0" deleteRows="0" autoFilter="0"/>
  <mergeCells count="97">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E10:H10"/>
    <mergeCell ref="B11:C11"/>
    <mergeCell ref="D11:E11"/>
    <mergeCell ref="F11:I11"/>
    <mergeCell ref="B12:C12"/>
    <mergeCell ref="D12:E12"/>
    <mergeCell ref="A14:I14"/>
    <mergeCell ref="B15:C15"/>
    <mergeCell ref="E15:H15"/>
    <mergeCell ref="B16:C16"/>
    <mergeCell ref="E16:H16"/>
    <mergeCell ref="B17:C17"/>
    <mergeCell ref="E17:H17"/>
    <mergeCell ref="B18:C18"/>
    <mergeCell ref="E18:H18"/>
    <mergeCell ref="B19:C19"/>
    <mergeCell ref="B20:C20"/>
    <mergeCell ref="E20:H20"/>
    <mergeCell ref="B21:C21"/>
    <mergeCell ref="B22:C22"/>
    <mergeCell ref="E22:H22"/>
    <mergeCell ref="B23:C23"/>
    <mergeCell ref="E23:H23"/>
    <mergeCell ref="B24:C24"/>
    <mergeCell ref="D24:E24"/>
    <mergeCell ref="F24:I24"/>
    <mergeCell ref="A26:I26"/>
    <mergeCell ref="B27:C27"/>
    <mergeCell ref="E27:H27"/>
    <mergeCell ref="B28:C28"/>
    <mergeCell ref="B29:C29"/>
    <mergeCell ref="B30:C30"/>
    <mergeCell ref="B31:C31"/>
    <mergeCell ref="E31:H31"/>
    <mergeCell ref="A33:I33"/>
    <mergeCell ref="B34:I34"/>
    <mergeCell ref="B35:C35"/>
    <mergeCell ref="B36:C36"/>
    <mergeCell ref="B37:C37"/>
    <mergeCell ref="B38:C38"/>
    <mergeCell ref="B39:C39"/>
    <mergeCell ref="B40:C40"/>
    <mergeCell ref="B41:C41"/>
    <mergeCell ref="B42:C42"/>
    <mergeCell ref="A44:I44"/>
    <mergeCell ref="B45:C45"/>
    <mergeCell ref="E45:H45"/>
    <mergeCell ref="B46:C46"/>
    <mergeCell ref="E46:H46"/>
    <mergeCell ref="B47:C47"/>
    <mergeCell ref="B48:C48"/>
    <mergeCell ref="B49:C49"/>
    <mergeCell ref="B50:C50"/>
    <mergeCell ref="E50:H50"/>
    <mergeCell ref="A52:I52"/>
    <mergeCell ref="B53:C53"/>
    <mergeCell ref="B54:C54"/>
    <mergeCell ref="B55:C55"/>
    <mergeCell ref="B56:C56"/>
    <mergeCell ref="B57:C57"/>
    <mergeCell ref="A59:I59"/>
    <mergeCell ref="B60:I60"/>
    <mergeCell ref="B61:C61"/>
    <mergeCell ref="B62:C62"/>
    <mergeCell ref="B63:C63"/>
    <mergeCell ref="B64:C64"/>
    <mergeCell ref="B65:C65"/>
    <mergeCell ref="B66:C66"/>
    <mergeCell ref="B67:C67"/>
    <mergeCell ref="B68:C68"/>
    <mergeCell ref="A70:I70"/>
    <mergeCell ref="B71:C71"/>
    <mergeCell ref="D71:F71"/>
    <mergeCell ref="B72:C72"/>
    <mergeCell ref="B73:C73"/>
    <mergeCell ref="B74:C74"/>
    <mergeCell ref="E74:H74"/>
    <mergeCell ref="B75:C75"/>
    <mergeCell ref="B77:I77"/>
  </mergeCells>
  <dataValidations count="35">
    <dataValidation type="whole" allowBlank="1" showInputMessage="1" showErrorMessage="1" errorTitle="Check the value" error="Enter a number between 1 and 30." sqref="D10">
      <formula1>1</formula1>
      <formula2>30</formula2>
    </dataValidation>
    <dataValidation type="whole" allowBlank="1" showInputMessage="1" showErrorMessage="1" errorTitle="Check the value" error="Enter a number between 2000 and 2100." sqref="D15">
      <formula1>2000</formula1>
      <formula2>2100</formula2>
    </dataValidation>
    <dataValidation type="date" allowBlank="1" showInputMessage="1" showErrorMessage="1" errorTitle="Check the date" error="Enter a real date between 2000 and 2100." sqref="D16">
      <formula1>36526</formula1>
      <formula2>73415</formula2>
    </dataValidation>
    <dataValidation type="list" allowBlank="1" showInputMessage="1" showErrorMessage="1" sqref="D17">
      <formula1>WeekStartList</formula1>
    </dataValidation>
    <dataValidation type="list" allowBlank="1" showInputMessage="1" showErrorMessage="1" sqref="D18">
      <formula1>WeekdayList</formula1>
    </dataValidation>
    <dataValidation type="list" allowBlank="1" showInputMessage="1" showErrorMessage="1" sqref="D19">
      <formula1>WeekdayList</formula1>
    </dataValidation>
    <dataValidation type="list" allowBlank="1" showInputMessage="1" showErrorMessage="1" sqref="D20">
      <formula1>SystemList</formula1>
    </dataValidation>
    <dataValidation type="whole" allowBlank="1" showInputMessage="1" showErrorMessage="1" errorTitle="Check the value" error="Enter a number between 1 and 50." sqref="D21">
      <formula1>1</formula1>
      <formula2>50</formula2>
    </dataValidation>
    <dataValidation type="date" allowBlank="1" showInputMessage="1" showErrorMessage="1" errorTitle="Check the date" error="Enter a real date between 2000 and 2100." sqref="D22">
      <formula1>36526</formula1>
      <formula2>73415</formula2>
    </dataValidation>
    <dataValidation type="date" allowBlank="1" showInputMessage="1" showErrorMessage="1" errorTitle="Check the date" error="Enter a real date between 2000 and 2100." sqref="D23">
      <formula1>36526</formula1>
      <formula2>73415</formula2>
    </dataValidation>
    <dataValidation type="list" allowBlank="1" showInputMessage="1" showErrorMessage="1" sqref="D24">
      <formula1>RoundingList</formula1>
    </dataValidation>
    <dataValidation type="decimal" allowBlank="1" showInputMessage="1" showErrorMessage="1" errorTitle="Check the value" error="Enter a number between 0 and 100000." sqref="D27">
      <formula1>0</formula1>
      <formula2>100000</formula2>
    </dataValidation>
    <dataValidation type="decimal" allowBlank="1" showInputMessage="1" showErrorMessage="1" errorTitle="Check the value" error="Enter a number between 0 and 1000000." sqref="D28">
      <formula1>0</formula1>
      <formula2>1000000</formula2>
    </dataValidation>
    <dataValidation type="decimal" allowBlank="1" showInputMessage="1" showErrorMessage="1" errorTitle="Check the value" error="Enter a number between 0 and 10000000." sqref="D29">
      <formula1>0</formula1>
      <formula2>10000000</formula2>
    </dataValidation>
    <dataValidation type="decimal" allowBlank="1" showInputMessage="1" showErrorMessage="1" errorTitle="Check the value" error="Enter a number between 0 and 100000." sqref="D30">
      <formula1>0</formula1>
      <formula2>100000</formula2>
    </dataValidation>
    <dataValidation type="decimal" allowBlank="1" showInputMessage="1" showErrorMessage="1" errorTitle="Check the value" error="Enter a number between 0 and 100000." sqref="D31">
      <formula1>0</formula1>
      <formula2>100000</formula2>
    </dataValidation>
    <dataValidation type="whole" allowBlank="1" showInputMessage="1" showErrorMessage="1" errorTitle="Check the value" error="Enter a number between 0 and 20000." sqref="D35">
      <formula1>0</formula1>
      <formula2>20000</formula2>
    </dataValidation>
    <dataValidation type="whole" allowBlank="1" showInputMessage="1" showErrorMessage="1" errorTitle="Check the value" error="Enter a number between 0 and 1000." sqref="D36">
      <formula1>0</formula1>
      <formula2>1000</formula2>
    </dataValidation>
    <dataValidation type="whole" allowBlank="1" showInputMessage="1" showErrorMessage="1" errorTitle="Check the value" error="Enter a number between 0 and 2000." sqref="D37">
      <formula1>0</formula1>
      <formula2>2000</formula2>
    </dataValidation>
    <dataValidation type="whole" allowBlank="1" showInputMessage="1" showErrorMessage="1" errorTitle="Check the value" error="Enter a number between 0 and 1000." sqref="D38">
      <formula1>0</formula1>
      <formula2>1000</formula2>
    </dataValidation>
    <dataValidation type="whole" allowBlank="1" showInputMessage="1" showErrorMessage="1" errorTitle="Check the value" error="Enter a number between 0 and 500." sqref="D39">
      <formula1>0</formula1>
      <formula2>500</formula2>
    </dataValidation>
    <dataValidation type="whole" allowBlank="1" showInputMessage="1" showErrorMessage="1" errorTitle="Check the value" error="Enter a number between 0 and 1000." sqref="D40">
      <formula1>0</formula1>
      <formula2>1000</formula2>
    </dataValidation>
    <dataValidation type="whole" allowBlank="1" showInputMessage="1" showErrorMessage="1" errorTitle="Check the value" error="Enter a number between 0 and 20000." sqref="D41">
      <formula1>0</formula1>
      <formula2>20000</formula2>
    </dataValidation>
    <dataValidation type="whole" allowBlank="1" showInputMessage="1" showErrorMessage="1" errorTitle="Check the value" error="Enter a number between 0 and 40." sqref="D42">
      <formula1>0</formula1>
      <formula2>40</formula2>
    </dataValidation>
    <dataValidation type="whole" allowBlank="1" showInputMessage="1" showErrorMessage="1" errorTitle="Check the value" error="Enter a number between 0 and 120." sqref="D45">
      <formula1>0</formula1>
      <formula2>120</formula2>
    </dataValidation>
    <dataValidation type="whole" allowBlank="1" showInputMessage="1" showErrorMessage="1" errorTitle="Check the value" error="Enter a number between 0 and 30." sqref="D46">
      <formula1>0</formula1>
      <formula2>30</formula2>
    </dataValidation>
    <dataValidation type="whole" allowBlank="1" showInputMessage="1" showErrorMessage="1" errorTitle="Check the value" error="Enter a number between 0 and 1000." sqref="D47">
      <formula1>0</formula1>
      <formula2>1000</formula2>
    </dataValidation>
    <dataValidation type="whole" allowBlank="1" showInputMessage="1" showErrorMessage="1" errorTitle="Check the value" error="Enter a number between 0 and 365." sqref="D48">
      <formula1>0</formula1>
      <formula2>365</formula2>
    </dataValidation>
    <dataValidation type="whole" allowBlank="1" showInputMessage="1" showErrorMessage="1" errorTitle="Check the value" error="Enter a number between 0 and 30." sqref="D49">
      <formula1>0</formula1>
      <formula2>30</formula2>
    </dataValidation>
    <dataValidation type="whole" allowBlank="1" showInputMessage="1" showErrorMessage="1" errorTitle="Check the value" error="Enter a number between 0 and 365." sqref="D50">
      <formula1>0</formula1>
      <formula2>365</formula2>
    </dataValidation>
    <dataValidation type="whole" allowBlank="1" showInputMessage="1" showErrorMessage="1" errorTitle="Check the value" error="Enter a number between 0 and 100." sqref="D53">
      <formula1>0</formula1>
      <formula2>100</formula2>
    </dataValidation>
    <dataValidation type="whole" allowBlank="1" showInputMessage="1" showErrorMessage="1" errorTitle="Check the value" error="Enter a number between 0 and 100." sqref="D54">
      <formula1>0</formula1>
      <formula2>100</formula2>
    </dataValidation>
    <dataValidation type="whole" allowBlank="1" showInputMessage="1" showErrorMessage="1" errorTitle="Check the value" error="Enter a number between 0 and 100." sqref="D55">
      <formula1>0</formula1>
      <formula2>100</formula2>
    </dataValidation>
    <dataValidation type="whole" allowBlank="1" showInputMessage="1" showErrorMessage="1" errorTitle="Check the value" error="Enter a number between 0 and 100." sqref="D56">
      <formula1>0</formula1>
      <formula2>100</formula2>
    </dataValidation>
    <dataValidation type="decimal" allowBlank="1" showInputMessage="1" showErrorMessage="1" errorTitle="Check the value" error="Enter a number between 0 and 1." sqref="D57">
      <formula1>0</formula1>
      <formula2>1</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&amp;L&amp;"Calibri,Bold"&amp;12&amp;C&amp;"Calibri,Bold"&amp;11Settings&amp;R&amp;"Calibri,Italic"&amp;9Automated Meal Planner &amp; Grocery List Spreadsheet</oddHeader>
    <oddFooter>&amp;L&amp;"Calibri,Italic"&amp;8Novality Store - v1.0.0&amp;C&amp;"Calibri,Italic"&amp;8Page &amp;P of &amp;N&amp;R&amp;"Calibri,Italic"&amp;8&amp;D</oddFooter>
  </headerFooter>
</worksheet>
</file>

<file path=xl/worksheets/sheet6.xml><?xml version="1.0" encoding="utf-8"?>
<worksheet xmlns="http://schemas.openxmlformats.org/spreadsheetml/2006/main" xmlns:r="http://schemas.openxmlformats.org/officeDocument/2006/relationships">
  <sheetPr>
    <tabColor rgb="FF5A6560"/>
    <pageSetUpPr fitToPage="1"/>
  </sheetPr>
  <dimension ref="A1:J275"/>
  <sheetViews>
    <sheetView showGridLines="0" workbookViewId="0">
      <pane ySplit="4" topLeftCell="A5" activePane="bottomLeft" state="frozen"/>
      <selection pane="bottomLeft"/>
    </sheetView>
  </sheetViews>
  <sheetFormatPr defaultRowHeight="15"/>
  <cols>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1" max="1" width="14.7109375" customWidth="1"/>
    <col min="2" max="2" width="12.7109375" customWidth="1"/>
    <col min="3" max="3" width="12.7109375" customWidth="1"/>
    <col min="4" max="4" width="30.7109375" customWidth="1"/>
  </cols>
  <sheetData>
    <row r="1" spans="1:10" ht="34" customHeight="1">
      <c r="A1" s="2" t="s">
        <v>306</v>
      </c>
      <c r="B1" s="2"/>
      <c r="C1" s="2"/>
      <c r="D1" s="2"/>
      <c r="E1" s="2"/>
      <c r="F1" s="2"/>
      <c r="G1" s="2"/>
      <c r="H1" s="3" t="s">
        <v>1</v>
      </c>
      <c r="I1" s="3"/>
      <c r="J1" s="3"/>
    </row>
    <row r="2" spans="1:10" ht="18" customHeight="1">
      <c r="A2" s="4" t="s">
        <v>307</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0" customHeight="1">
      <c r="A5" s="6" t="s">
        <v>308</v>
      </c>
      <c r="B5" s="6"/>
      <c r="C5" s="6"/>
      <c r="D5" s="6"/>
      <c r="E5" s="6"/>
      <c r="F5" s="6"/>
      <c r="G5" s="6"/>
      <c r="H5" s="6"/>
      <c r="I5" s="6"/>
      <c r="J5" s="6"/>
    </row>
    <row r="7" spans="1:10" ht="20" customHeight="1">
      <c r="A7" s="7" t="s">
        <v>309</v>
      </c>
      <c r="B7" s="7"/>
      <c r="C7" s="7"/>
      <c r="D7" s="7"/>
      <c r="E7" s="7"/>
      <c r="F7" s="7"/>
      <c r="G7" s="7"/>
      <c r="H7" s="7"/>
      <c r="I7" s="7"/>
      <c r="J7" s="7"/>
    </row>
    <row r="8" spans="1:10">
      <c r="A8" s="9" t="s">
        <v>310</v>
      </c>
      <c r="C8" s="9" t="s">
        <v>313</v>
      </c>
      <c r="E8" s="9" t="s">
        <v>315</v>
      </c>
      <c r="G8" s="9" t="s">
        <v>316</v>
      </c>
      <c r="I8" s="9" t="s">
        <v>324</v>
      </c>
    </row>
    <row r="9" spans="1:10">
      <c r="A9" s="32" t="s">
        <v>311</v>
      </c>
      <c r="C9" s="32" t="s">
        <v>311</v>
      </c>
      <c r="E9" s="32" t="s">
        <v>165</v>
      </c>
      <c r="G9" s="32" t="s">
        <v>317</v>
      </c>
      <c r="I9" s="32" t="s">
        <v>325</v>
      </c>
    </row>
    <row r="10" spans="1:10">
      <c r="A10" s="32" t="s">
        <v>312</v>
      </c>
      <c r="C10" s="32" t="s">
        <v>312</v>
      </c>
      <c r="E10" s="32" t="s">
        <v>166</v>
      </c>
      <c r="G10" s="32" t="s">
        <v>318</v>
      </c>
      <c r="I10" s="32" t="s">
        <v>326</v>
      </c>
    </row>
    <row r="11" spans="1:10">
      <c r="A11" s="32"/>
      <c r="C11" s="32" t="s">
        <v>314</v>
      </c>
      <c r="E11" s="32" t="s">
        <v>167</v>
      </c>
      <c r="G11" s="32" t="s">
        <v>319</v>
      </c>
      <c r="I11" s="32" t="s">
        <v>327</v>
      </c>
    </row>
    <row r="12" spans="1:10">
      <c r="A12" s="32"/>
      <c r="C12" s="32"/>
      <c r="E12" s="32" t="s">
        <v>168</v>
      </c>
      <c r="G12" s="32" t="s">
        <v>320</v>
      </c>
      <c r="I12" s="32" t="s">
        <v>328</v>
      </c>
    </row>
    <row r="13" spans="1:10">
      <c r="A13" s="32"/>
      <c r="C13" s="32"/>
      <c r="E13" s="32" t="s">
        <v>137</v>
      </c>
      <c r="G13" s="32" t="s">
        <v>321</v>
      </c>
      <c r="I13" s="32" t="s">
        <v>165</v>
      </c>
    </row>
    <row r="14" spans="1:10">
      <c r="A14" s="32"/>
      <c r="C14" s="32"/>
      <c r="E14" s="32" t="s">
        <v>169</v>
      </c>
      <c r="G14" s="32" t="s">
        <v>322</v>
      </c>
      <c r="I14" s="32" t="s">
        <v>329</v>
      </c>
    </row>
    <row r="15" spans="1:10">
      <c r="A15" s="32"/>
      <c r="C15" s="32"/>
      <c r="E15" s="32" t="s">
        <v>170</v>
      </c>
      <c r="G15" s="32" t="s">
        <v>70</v>
      </c>
      <c r="I15" s="32" t="s">
        <v>170</v>
      </c>
    </row>
    <row r="16" spans="1:10">
      <c r="A16" s="32"/>
      <c r="C16" s="32"/>
      <c r="E16" s="32"/>
      <c r="G16" s="32" t="s">
        <v>323</v>
      </c>
      <c r="I16" s="32" t="s">
        <v>330</v>
      </c>
    </row>
    <row r="17" spans="1:9">
      <c r="A17" s="32"/>
      <c r="C17" s="32"/>
      <c r="E17" s="32"/>
      <c r="G17" s="32"/>
      <c r="I17" s="32" t="s">
        <v>331</v>
      </c>
    </row>
    <row r="18" spans="1:9">
      <c r="A18" s="32"/>
      <c r="C18" s="32"/>
      <c r="E18" s="32"/>
      <c r="G18" s="32"/>
      <c r="I18" s="32" t="s">
        <v>332</v>
      </c>
    </row>
    <row r="19" spans="1:9">
      <c r="C19" s="32"/>
      <c r="E19" s="32"/>
      <c r="G19" s="32"/>
      <c r="I19" s="32" t="s">
        <v>333</v>
      </c>
    </row>
    <row r="20" spans="1:9">
      <c r="E20" s="32"/>
      <c r="G20" s="32"/>
      <c r="I20" s="32" t="s">
        <v>334</v>
      </c>
    </row>
    <row r="21" spans="1:9">
      <c r="E21" s="32"/>
      <c r="G21" s="32"/>
      <c r="I21" s="32"/>
    </row>
    <row r="22" spans="1:9">
      <c r="E22" s="32"/>
      <c r="G22" s="32"/>
      <c r="I22" s="32"/>
    </row>
    <row r="23" spans="1:9">
      <c r="E23" s="32"/>
      <c r="G23" s="32"/>
      <c r="I23" s="32"/>
    </row>
    <row r="24" spans="1:9">
      <c r="G24" s="32"/>
      <c r="I24" s="32"/>
    </row>
    <row r="25" spans="1:9">
      <c r="I25" s="32"/>
    </row>
    <row r="26" spans="1:9">
      <c r="I26" s="32"/>
    </row>
    <row r="27" spans="1:9">
      <c r="I27" s="32"/>
    </row>
    <row r="28" spans="1:9">
      <c r="I28" s="32"/>
    </row>
    <row r="30" spans="1:9">
      <c r="A30" s="9" t="s">
        <v>335</v>
      </c>
      <c r="C30" s="9" t="s">
        <v>354</v>
      </c>
      <c r="E30" s="9" t="s">
        <v>367</v>
      </c>
      <c r="G30" s="9" t="s">
        <v>371</v>
      </c>
      <c r="I30" s="9" t="s">
        <v>376</v>
      </c>
    </row>
    <row r="31" spans="1:9">
      <c r="A31" s="32" t="s">
        <v>336</v>
      </c>
      <c r="C31" s="32" t="s">
        <v>355</v>
      </c>
      <c r="E31" s="32" t="s">
        <v>368</v>
      </c>
      <c r="G31" s="32" t="s">
        <v>372</v>
      </c>
      <c r="I31" s="32" t="s">
        <v>377</v>
      </c>
    </row>
    <row r="32" spans="1:9">
      <c r="A32" s="32" t="s">
        <v>337</v>
      </c>
      <c r="C32" s="32" t="s">
        <v>356</v>
      </c>
      <c r="E32" s="32" t="s">
        <v>369</v>
      </c>
      <c r="G32" s="32" t="s">
        <v>373</v>
      </c>
      <c r="I32" s="32" t="s">
        <v>378</v>
      </c>
    </row>
    <row r="33" spans="1:9">
      <c r="A33" s="32" t="s">
        <v>338</v>
      </c>
      <c r="C33" s="32" t="s">
        <v>357</v>
      </c>
      <c r="E33" s="32" t="s">
        <v>370</v>
      </c>
      <c r="G33" s="32" t="s">
        <v>369</v>
      </c>
      <c r="I33" s="32" t="s">
        <v>379</v>
      </c>
    </row>
    <row r="34" spans="1:9">
      <c r="A34" s="32" t="s">
        <v>339</v>
      </c>
      <c r="C34" s="32" t="s">
        <v>358</v>
      </c>
      <c r="E34" s="32"/>
      <c r="G34" s="32" t="s">
        <v>374</v>
      </c>
      <c r="I34" s="32" t="s">
        <v>380</v>
      </c>
    </row>
    <row r="35" spans="1:9">
      <c r="A35" s="32" t="s">
        <v>340</v>
      </c>
      <c r="C35" s="32" t="s">
        <v>359</v>
      </c>
      <c r="E35" s="32"/>
      <c r="G35" s="32" t="s">
        <v>375</v>
      </c>
      <c r="I35" s="32"/>
    </row>
    <row r="36" spans="1:9">
      <c r="A36" s="32" t="s">
        <v>341</v>
      </c>
      <c r="C36" s="32" t="s">
        <v>360</v>
      </c>
      <c r="E36" s="32"/>
      <c r="G36" s="32"/>
      <c r="I36" s="32"/>
    </row>
    <row r="37" spans="1:9">
      <c r="A37" s="32" t="s">
        <v>342</v>
      </c>
      <c r="C37" s="32" t="s">
        <v>361</v>
      </c>
      <c r="E37" s="32"/>
      <c r="G37" s="32"/>
      <c r="I37" s="32"/>
    </row>
    <row r="38" spans="1:9">
      <c r="A38" s="32" t="s">
        <v>343</v>
      </c>
      <c r="C38" s="32" t="s">
        <v>362</v>
      </c>
      <c r="E38" s="32"/>
      <c r="G38" s="32"/>
      <c r="I38" s="32"/>
    </row>
    <row r="39" spans="1:9">
      <c r="A39" s="32" t="s">
        <v>344</v>
      </c>
      <c r="C39" s="32" t="s">
        <v>363</v>
      </c>
      <c r="E39" s="32"/>
      <c r="G39" s="32"/>
      <c r="I39" s="32"/>
    </row>
    <row r="40" spans="1:9">
      <c r="A40" s="32" t="s">
        <v>345</v>
      </c>
      <c r="C40" s="32" t="s">
        <v>364</v>
      </c>
      <c r="E40" s="32"/>
      <c r="G40" s="32"/>
      <c r="I40" s="32"/>
    </row>
    <row r="41" spans="1:9">
      <c r="A41" s="32" t="s">
        <v>346</v>
      </c>
      <c r="C41" s="32" t="s">
        <v>365</v>
      </c>
      <c r="E41" s="32"/>
      <c r="G41" s="32"/>
      <c r="I41" s="32"/>
    </row>
    <row r="42" spans="1:9">
      <c r="A42" s="32" t="s">
        <v>347</v>
      </c>
      <c r="C42" s="32" t="s">
        <v>366</v>
      </c>
      <c r="G42" s="32"/>
      <c r="I42" s="32"/>
    </row>
    <row r="43" spans="1:9">
      <c r="A43" s="32" t="s">
        <v>348</v>
      </c>
      <c r="C43" s="32"/>
      <c r="G43" s="32"/>
    </row>
    <row r="44" spans="1:9">
      <c r="A44" s="32" t="s">
        <v>349</v>
      </c>
      <c r="C44" s="32"/>
    </row>
    <row r="45" spans="1:9">
      <c r="A45" s="32" t="s">
        <v>350</v>
      </c>
      <c r="C45" s="32"/>
    </row>
    <row r="46" spans="1:9">
      <c r="A46" s="32" t="s">
        <v>351</v>
      </c>
      <c r="C46" s="32"/>
    </row>
    <row r="47" spans="1:9">
      <c r="A47" s="32" t="s">
        <v>352</v>
      </c>
      <c r="C47" s="32"/>
    </row>
    <row r="48" spans="1:9">
      <c r="A48" s="32" t="s">
        <v>353</v>
      </c>
      <c r="C48" s="32"/>
    </row>
    <row r="49" spans="1:9">
      <c r="A49" s="32"/>
      <c r="C49" s="32"/>
    </row>
    <row r="50" spans="1:9">
      <c r="A50" s="32"/>
      <c r="C50" s="32"/>
    </row>
    <row r="51" spans="1:9">
      <c r="A51" s="32"/>
    </row>
    <row r="52" spans="1:9">
      <c r="A52" s="32"/>
    </row>
    <row r="53" spans="1:9">
      <c r="A53" s="32"/>
    </row>
    <row r="54" spans="1:9">
      <c r="A54" s="32"/>
    </row>
    <row r="55" spans="1:9">
      <c r="A55" s="32"/>
    </row>
    <row r="56" spans="1:9">
      <c r="A56" s="32"/>
    </row>
    <row r="58" spans="1:9">
      <c r="A58" s="9" t="s">
        <v>381</v>
      </c>
      <c r="C58" s="9" t="s">
        <v>397</v>
      </c>
      <c r="E58" s="9" t="s">
        <v>412</v>
      </c>
      <c r="G58" s="9" t="s">
        <v>425</v>
      </c>
      <c r="I58" s="9" t="s">
        <v>442</v>
      </c>
    </row>
    <row r="59" spans="1:9">
      <c r="A59" s="32" t="s">
        <v>382</v>
      </c>
      <c r="C59" s="32" t="s">
        <v>398</v>
      </c>
      <c r="E59" s="32" t="s">
        <v>413</v>
      </c>
      <c r="G59" s="32" t="s">
        <v>426</v>
      </c>
      <c r="I59" s="32" t="s">
        <v>27</v>
      </c>
    </row>
    <row r="60" spans="1:9">
      <c r="A60" s="32" t="s">
        <v>383</v>
      </c>
      <c r="C60" s="32" t="s">
        <v>399</v>
      </c>
      <c r="E60" s="32" t="s">
        <v>414</v>
      </c>
      <c r="G60" s="32" t="s">
        <v>427</v>
      </c>
      <c r="I60" s="32" t="s">
        <v>443</v>
      </c>
    </row>
    <row r="61" spans="1:9">
      <c r="A61" s="32" t="s">
        <v>384</v>
      </c>
      <c r="C61" s="32" t="s">
        <v>400</v>
      </c>
      <c r="E61" s="32" t="s">
        <v>415</v>
      </c>
      <c r="G61" s="32" t="s">
        <v>428</v>
      </c>
      <c r="I61" s="32" t="s">
        <v>444</v>
      </c>
    </row>
    <row r="62" spans="1:9">
      <c r="A62" s="32" t="s">
        <v>385</v>
      </c>
      <c r="C62" s="32" t="s">
        <v>401</v>
      </c>
      <c r="E62" s="32" t="s">
        <v>416</v>
      </c>
      <c r="G62" s="32" t="s">
        <v>429</v>
      </c>
      <c r="I62" s="32" t="s">
        <v>445</v>
      </c>
    </row>
    <row r="63" spans="1:9">
      <c r="A63" s="32" t="s">
        <v>386</v>
      </c>
      <c r="C63" s="32" t="s">
        <v>402</v>
      </c>
      <c r="E63" s="32" t="s">
        <v>417</v>
      </c>
      <c r="G63" s="32" t="s">
        <v>430</v>
      </c>
      <c r="I63" s="32" t="s">
        <v>446</v>
      </c>
    </row>
    <row r="64" spans="1:9">
      <c r="A64" s="32" t="s">
        <v>387</v>
      </c>
      <c r="C64" s="32" t="s">
        <v>403</v>
      </c>
      <c r="E64" s="32" t="s">
        <v>418</v>
      </c>
      <c r="G64" s="32" t="s">
        <v>431</v>
      </c>
      <c r="I64" s="32" t="s">
        <v>447</v>
      </c>
    </row>
    <row r="65" spans="1:9">
      <c r="A65" s="32" t="s">
        <v>388</v>
      </c>
      <c r="C65" s="32" t="s">
        <v>404</v>
      </c>
      <c r="E65" s="32" t="s">
        <v>419</v>
      </c>
      <c r="G65" s="32" t="s">
        <v>432</v>
      </c>
      <c r="I65" s="32" t="s">
        <v>448</v>
      </c>
    </row>
    <row r="66" spans="1:9">
      <c r="A66" s="32" t="s">
        <v>389</v>
      </c>
      <c r="C66" s="32" t="s">
        <v>405</v>
      </c>
      <c r="E66" s="32" t="s">
        <v>420</v>
      </c>
      <c r="G66" s="32" t="s">
        <v>433</v>
      </c>
      <c r="I66" s="32" t="s">
        <v>449</v>
      </c>
    </row>
    <row r="67" spans="1:9">
      <c r="A67" s="32" t="s">
        <v>390</v>
      </c>
      <c r="C67" s="32" t="s">
        <v>406</v>
      </c>
      <c r="E67" s="32" t="s">
        <v>421</v>
      </c>
      <c r="G67" s="32" t="s">
        <v>434</v>
      </c>
      <c r="I67" s="32" t="s">
        <v>353</v>
      </c>
    </row>
    <row r="68" spans="1:9">
      <c r="A68" s="32" t="s">
        <v>391</v>
      </c>
      <c r="C68" s="32" t="s">
        <v>407</v>
      </c>
      <c r="E68" s="32" t="s">
        <v>422</v>
      </c>
      <c r="G68" s="32" t="s">
        <v>435</v>
      </c>
      <c r="I68" s="32"/>
    </row>
    <row r="69" spans="1:9">
      <c r="A69" s="32" t="s">
        <v>392</v>
      </c>
      <c r="C69" s="32" t="s">
        <v>408</v>
      </c>
      <c r="E69" s="32" t="s">
        <v>18</v>
      </c>
      <c r="G69" s="32" t="s">
        <v>436</v>
      </c>
      <c r="I69" s="32"/>
    </row>
    <row r="70" spans="1:9">
      <c r="A70" s="32" t="s">
        <v>393</v>
      </c>
      <c r="C70" s="32" t="s">
        <v>409</v>
      </c>
      <c r="E70" s="32" t="s">
        <v>423</v>
      </c>
      <c r="G70" s="32" t="s">
        <v>437</v>
      </c>
      <c r="I70" s="32"/>
    </row>
    <row r="71" spans="1:9">
      <c r="A71" s="32" t="s">
        <v>394</v>
      </c>
      <c r="C71" s="32" t="s">
        <v>410</v>
      </c>
      <c r="E71" s="32" t="s">
        <v>424</v>
      </c>
      <c r="G71" s="32" t="s">
        <v>438</v>
      </c>
      <c r="I71" s="32"/>
    </row>
    <row r="72" spans="1:9">
      <c r="A72" s="32" t="s">
        <v>395</v>
      </c>
      <c r="C72" s="32" t="s">
        <v>411</v>
      </c>
      <c r="E72" s="32" t="s">
        <v>353</v>
      </c>
      <c r="G72" s="32" t="s">
        <v>439</v>
      </c>
      <c r="I72" s="32"/>
    </row>
    <row r="73" spans="1:9">
      <c r="A73" s="32" t="s">
        <v>396</v>
      </c>
      <c r="C73" s="32" t="s">
        <v>372</v>
      </c>
      <c r="E73" s="32"/>
      <c r="G73" s="32" t="s">
        <v>440</v>
      </c>
      <c r="I73" s="32"/>
    </row>
    <row r="74" spans="1:9">
      <c r="A74" s="32"/>
      <c r="C74" s="32"/>
      <c r="E74" s="32"/>
      <c r="G74" s="32" t="s">
        <v>441</v>
      </c>
      <c r="I74" s="32"/>
    </row>
    <row r="75" spans="1:9">
      <c r="A75" s="32"/>
      <c r="C75" s="32"/>
      <c r="E75" s="32"/>
      <c r="G75" s="32"/>
      <c r="I75" s="32"/>
    </row>
    <row r="76" spans="1:9">
      <c r="A76" s="32"/>
      <c r="C76" s="32"/>
      <c r="E76" s="32"/>
      <c r="G76" s="32"/>
    </row>
    <row r="77" spans="1:9">
      <c r="A77" s="32"/>
      <c r="C77" s="32"/>
      <c r="E77" s="32"/>
      <c r="G77" s="32"/>
    </row>
    <row r="78" spans="1:9">
      <c r="A78" s="32"/>
      <c r="C78" s="32"/>
      <c r="E78" s="32"/>
      <c r="G78" s="32"/>
    </row>
    <row r="79" spans="1:9">
      <c r="A79" s="32"/>
      <c r="C79" s="32"/>
      <c r="E79" s="32"/>
      <c r="G79" s="32"/>
    </row>
    <row r="80" spans="1:9">
      <c r="A80" s="32"/>
      <c r="C80" s="32"/>
      <c r="E80" s="32"/>
      <c r="G80" s="32"/>
    </row>
    <row r="81" spans="1:9">
      <c r="A81" s="32"/>
      <c r="C81" s="32"/>
      <c r="G81" s="32"/>
    </row>
    <row r="82" spans="1:9">
      <c r="G82" s="32"/>
    </row>
    <row r="84" spans="1:9">
      <c r="A84" s="9" t="s">
        <v>450</v>
      </c>
      <c r="C84" s="9" t="s">
        <v>460</v>
      </c>
      <c r="E84" s="9" t="s">
        <v>468</v>
      </c>
      <c r="G84" s="9" t="s">
        <v>473</v>
      </c>
      <c r="I84" s="9" t="s">
        <v>478</v>
      </c>
    </row>
    <row r="85" spans="1:9">
      <c r="A85" s="32" t="s">
        <v>451</v>
      </c>
      <c r="C85" s="32" t="s">
        <v>461</v>
      </c>
      <c r="E85" s="32" t="s">
        <v>469</v>
      </c>
      <c r="G85" s="32" t="s">
        <v>474</v>
      </c>
      <c r="I85" s="32" t="s">
        <v>479</v>
      </c>
    </row>
    <row r="86" spans="1:9">
      <c r="A86" s="32" t="s">
        <v>452</v>
      </c>
      <c r="C86" s="32" t="s">
        <v>462</v>
      </c>
      <c r="E86" s="32" t="s">
        <v>470</v>
      </c>
      <c r="G86" s="32" t="s">
        <v>475</v>
      </c>
      <c r="I86" s="32" t="s">
        <v>480</v>
      </c>
    </row>
    <row r="87" spans="1:9">
      <c r="A87" s="32" t="s">
        <v>453</v>
      </c>
      <c r="C87" s="32" t="s">
        <v>463</v>
      </c>
      <c r="E87" s="32" t="s">
        <v>471</v>
      </c>
      <c r="G87" s="32" t="s">
        <v>476</v>
      </c>
      <c r="I87" s="32" t="s">
        <v>481</v>
      </c>
    </row>
    <row r="88" spans="1:9">
      <c r="A88" s="32" t="s">
        <v>454</v>
      </c>
      <c r="C88" s="32" t="s">
        <v>464</v>
      </c>
      <c r="E88" s="32" t="s">
        <v>472</v>
      </c>
      <c r="G88" s="32" t="s">
        <v>477</v>
      </c>
      <c r="I88" s="32" t="s">
        <v>482</v>
      </c>
    </row>
    <row r="89" spans="1:9">
      <c r="A89" s="32" t="s">
        <v>455</v>
      </c>
      <c r="C89" s="32" t="s">
        <v>465</v>
      </c>
      <c r="E89" s="32"/>
      <c r="G89" s="32" t="s">
        <v>466</v>
      </c>
      <c r="I89" s="32" t="s">
        <v>483</v>
      </c>
    </row>
    <row r="90" spans="1:9">
      <c r="A90" s="32" t="s">
        <v>456</v>
      </c>
      <c r="C90" s="32" t="s">
        <v>466</v>
      </c>
      <c r="E90" s="32"/>
      <c r="G90" s="32"/>
      <c r="I90" s="32" t="s">
        <v>484</v>
      </c>
    </row>
    <row r="91" spans="1:9">
      <c r="A91" s="32" t="s">
        <v>457</v>
      </c>
      <c r="C91" s="32" t="s">
        <v>467</v>
      </c>
      <c r="E91" s="32"/>
      <c r="G91" s="32"/>
      <c r="I91" s="32" t="s">
        <v>485</v>
      </c>
    </row>
    <row r="92" spans="1:9">
      <c r="A92" s="32" t="s">
        <v>458</v>
      </c>
      <c r="C92" s="32"/>
      <c r="E92" s="32"/>
      <c r="G92" s="32"/>
      <c r="I92" s="32" t="s">
        <v>486</v>
      </c>
    </row>
    <row r="93" spans="1:9">
      <c r="A93" s="32" t="s">
        <v>459</v>
      </c>
      <c r="C93" s="32"/>
      <c r="E93" s="32"/>
      <c r="G93" s="32"/>
      <c r="I93" s="32" t="s">
        <v>487</v>
      </c>
    </row>
    <row r="94" spans="1:9">
      <c r="A94" s="32"/>
      <c r="C94" s="32"/>
      <c r="E94" s="32"/>
      <c r="G94" s="32"/>
      <c r="I94" s="32" t="s">
        <v>488</v>
      </c>
    </row>
    <row r="95" spans="1:9">
      <c r="A95" s="32"/>
      <c r="C95" s="32"/>
      <c r="E95" s="32"/>
      <c r="G95" s="32"/>
      <c r="I95" s="32" t="s">
        <v>489</v>
      </c>
    </row>
    <row r="96" spans="1:9">
      <c r="A96" s="32"/>
      <c r="C96" s="32"/>
      <c r="E96" s="32"/>
      <c r="G96" s="32"/>
      <c r="I96" s="32" t="s">
        <v>490</v>
      </c>
    </row>
    <row r="97" spans="1:9">
      <c r="A97" s="32"/>
      <c r="C97" s="32"/>
      <c r="G97" s="32"/>
      <c r="I97" s="32"/>
    </row>
    <row r="98" spans="1:9">
      <c r="A98" s="32"/>
      <c r="C98" s="32"/>
      <c r="I98" s="32"/>
    </row>
    <row r="99" spans="1:9">
      <c r="A99" s="32"/>
      <c r="C99" s="32"/>
      <c r="I99" s="32"/>
    </row>
    <row r="100" spans="1:9">
      <c r="A100" s="32"/>
      <c r="I100" s="32"/>
    </row>
    <row r="101" spans="1:9">
      <c r="A101" s="32"/>
      <c r="I101" s="32"/>
    </row>
    <row r="102" spans="1:9">
      <c r="I102" s="32"/>
    </row>
    <row r="103" spans="1:9">
      <c r="I103" s="32"/>
    </row>
    <row r="104" spans="1:9">
      <c r="I104" s="32"/>
    </row>
    <row r="106" spans="1:9">
      <c r="A106" s="9" t="s">
        <v>491</v>
      </c>
      <c r="C106" s="9" t="s">
        <v>499</v>
      </c>
      <c r="E106" s="9" t="s">
        <v>510</v>
      </c>
      <c r="G106" s="9" t="s">
        <v>516</v>
      </c>
      <c r="I106" s="9" t="s">
        <v>526</v>
      </c>
    </row>
    <row r="107" spans="1:9">
      <c r="A107" s="32" t="s">
        <v>492</v>
      </c>
      <c r="C107" s="32" t="s">
        <v>500</v>
      </c>
      <c r="E107" s="32" t="s">
        <v>511</v>
      </c>
      <c r="G107" s="32" t="s">
        <v>517</v>
      </c>
      <c r="I107" s="32" t="s">
        <v>514</v>
      </c>
    </row>
    <row r="108" spans="1:9">
      <c r="A108" s="32" t="s">
        <v>493</v>
      </c>
      <c r="C108" s="32" t="s">
        <v>501</v>
      </c>
      <c r="E108" s="32" t="s">
        <v>512</v>
      </c>
      <c r="G108" s="32" t="s">
        <v>518</v>
      </c>
      <c r="I108" s="32" t="s">
        <v>527</v>
      </c>
    </row>
    <row r="109" spans="1:9">
      <c r="A109" s="32" t="s">
        <v>494</v>
      </c>
      <c r="C109" s="32" t="s">
        <v>502</v>
      </c>
      <c r="E109" s="32" t="s">
        <v>317</v>
      </c>
      <c r="G109" s="32" t="s">
        <v>519</v>
      </c>
      <c r="I109" s="32" t="s">
        <v>528</v>
      </c>
    </row>
    <row r="110" spans="1:9">
      <c r="A110" s="32" t="s">
        <v>495</v>
      </c>
      <c r="C110" s="32" t="s">
        <v>503</v>
      </c>
      <c r="E110" s="32" t="s">
        <v>319</v>
      </c>
      <c r="G110" s="32" t="s">
        <v>520</v>
      </c>
      <c r="I110" s="32" t="s">
        <v>515</v>
      </c>
    </row>
    <row r="111" spans="1:9">
      <c r="A111" s="32" t="s">
        <v>496</v>
      </c>
      <c r="C111" s="32" t="s">
        <v>504</v>
      </c>
      <c r="E111" s="32" t="s">
        <v>513</v>
      </c>
      <c r="G111" s="32" t="s">
        <v>521</v>
      </c>
      <c r="I111" s="32" t="s">
        <v>529</v>
      </c>
    </row>
    <row r="112" spans="1:9">
      <c r="A112" s="32" t="s">
        <v>497</v>
      </c>
      <c r="C112" s="32" t="s">
        <v>362</v>
      </c>
      <c r="E112" s="32" t="s">
        <v>514</v>
      </c>
      <c r="G112" s="32" t="s">
        <v>522</v>
      </c>
      <c r="I112" s="32"/>
    </row>
    <row r="113" spans="1:9">
      <c r="A113" s="32" t="s">
        <v>498</v>
      </c>
      <c r="C113" s="32" t="s">
        <v>505</v>
      </c>
      <c r="E113" s="32" t="s">
        <v>515</v>
      </c>
      <c r="G113" s="32" t="s">
        <v>523</v>
      </c>
      <c r="I113" s="32"/>
    </row>
    <row r="114" spans="1:9">
      <c r="A114" s="32"/>
      <c r="C114" s="32" t="s">
        <v>506</v>
      </c>
      <c r="E114" s="32"/>
      <c r="G114" s="32" t="s">
        <v>524</v>
      </c>
      <c r="I114" s="32"/>
    </row>
    <row r="115" spans="1:9">
      <c r="A115" s="32"/>
      <c r="C115" s="32" t="s">
        <v>507</v>
      </c>
      <c r="E115" s="32"/>
      <c r="G115" s="32" t="s">
        <v>525</v>
      </c>
      <c r="I115" s="32"/>
    </row>
    <row r="116" spans="1:9">
      <c r="A116" s="32"/>
      <c r="C116" s="32" t="s">
        <v>508</v>
      </c>
      <c r="E116" s="32"/>
      <c r="G116" s="32" t="s">
        <v>353</v>
      </c>
      <c r="I116" s="32"/>
    </row>
    <row r="117" spans="1:9">
      <c r="A117" s="32"/>
      <c r="C117" s="32" t="s">
        <v>509</v>
      </c>
      <c r="E117" s="32"/>
      <c r="G117" s="32"/>
      <c r="I117" s="32"/>
    </row>
    <row r="118" spans="1:9">
      <c r="A118" s="32"/>
      <c r="C118" s="32" t="s">
        <v>353</v>
      </c>
      <c r="E118" s="32"/>
      <c r="G118" s="32"/>
      <c r="I118" s="32"/>
    </row>
    <row r="119" spans="1:9">
      <c r="A119" s="32"/>
      <c r="C119" s="32"/>
      <c r="E119" s="32"/>
      <c r="G119" s="32"/>
      <c r="I119" s="32"/>
    </row>
    <row r="120" spans="1:9">
      <c r="A120" s="32"/>
      <c r="C120" s="32"/>
      <c r="E120" s="32"/>
      <c r="G120" s="32"/>
    </row>
    <row r="121" spans="1:9">
      <c r="A121" s="32"/>
      <c r="C121" s="32"/>
      <c r="E121" s="32"/>
      <c r="G121" s="32"/>
    </row>
    <row r="122" spans="1:9">
      <c r="C122" s="32"/>
      <c r="G122" s="32"/>
    </row>
    <row r="123" spans="1:9">
      <c r="C123" s="32"/>
      <c r="G123" s="32"/>
    </row>
    <row r="124" spans="1:9">
      <c r="C124" s="32"/>
      <c r="G124" s="32"/>
    </row>
    <row r="125" spans="1:9">
      <c r="C125" s="32"/>
    </row>
    <row r="126" spans="1:9">
      <c r="C126" s="32"/>
    </row>
    <row r="128" spans="1:9">
      <c r="A128" s="9" t="s">
        <v>530</v>
      </c>
      <c r="C128" s="9" t="s">
        <v>542</v>
      </c>
      <c r="E128" s="9" t="s">
        <v>551</v>
      </c>
      <c r="G128" s="9" t="s">
        <v>558</v>
      </c>
      <c r="I128" s="9" t="s">
        <v>564</v>
      </c>
    </row>
    <row r="129" spans="1:9">
      <c r="A129" s="32" t="s">
        <v>531</v>
      </c>
      <c r="C129" s="32" t="s">
        <v>543</v>
      </c>
      <c r="E129" s="32" t="s">
        <v>141</v>
      </c>
      <c r="G129" s="32" t="s">
        <v>559</v>
      </c>
      <c r="I129" s="32" t="s">
        <v>565</v>
      </c>
    </row>
    <row r="130" spans="1:9">
      <c r="A130" s="32" t="s">
        <v>532</v>
      </c>
      <c r="C130" s="32" t="s">
        <v>544</v>
      </c>
      <c r="E130" s="32" t="s">
        <v>552</v>
      </c>
      <c r="G130" s="32" t="s">
        <v>475</v>
      </c>
      <c r="I130" s="32" t="s">
        <v>566</v>
      </c>
    </row>
    <row r="131" spans="1:9">
      <c r="A131" s="32" t="s">
        <v>533</v>
      </c>
      <c r="C131" s="32" t="s">
        <v>545</v>
      </c>
      <c r="E131" s="32" t="s">
        <v>553</v>
      </c>
      <c r="G131" s="32" t="s">
        <v>560</v>
      </c>
      <c r="I131" s="32" t="s">
        <v>567</v>
      </c>
    </row>
    <row r="132" spans="1:9">
      <c r="A132" s="32" t="s">
        <v>534</v>
      </c>
      <c r="C132" s="32" t="s">
        <v>322</v>
      </c>
      <c r="E132" s="32" t="s">
        <v>554</v>
      </c>
      <c r="G132" s="32" t="s">
        <v>561</v>
      </c>
      <c r="I132" s="32" t="s">
        <v>568</v>
      </c>
    </row>
    <row r="133" spans="1:9">
      <c r="A133" s="32" t="s">
        <v>535</v>
      </c>
      <c r="C133" s="32" t="s">
        <v>541</v>
      </c>
      <c r="E133" s="32" t="s">
        <v>555</v>
      </c>
      <c r="G133" s="32" t="s">
        <v>562</v>
      </c>
      <c r="I133" s="32" t="s">
        <v>569</v>
      </c>
    </row>
    <row r="134" spans="1:9">
      <c r="A134" s="32" t="s">
        <v>416</v>
      </c>
      <c r="C134" s="32" t="s">
        <v>546</v>
      </c>
      <c r="E134" s="32" t="s">
        <v>556</v>
      </c>
      <c r="G134" s="32" t="s">
        <v>563</v>
      </c>
      <c r="I134" s="32" t="s">
        <v>570</v>
      </c>
    </row>
    <row r="135" spans="1:9">
      <c r="A135" s="32" t="s">
        <v>536</v>
      </c>
      <c r="C135" s="32" t="s">
        <v>547</v>
      </c>
      <c r="E135" s="32" t="s">
        <v>557</v>
      </c>
      <c r="G135" s="32"/>
      <c r="I135" s="32"/>
    </row>
    <row r="136" spans="1:9">
      <c r="A136" s="32" t="s">
        <v>537</v>
      </c>
      <c r="C136" s="32" t="s">
        <v>548</v>
      </c>
      <c r="E136" s="32"/>
      <c r="G136" s="32"/>
      <c r="I136" s="32"/>
    </row>
    <row r="137" spans="1:9">
      <c r="A137" s="32" t="s">
        <v>538</v>
      </c>
      <c r="C137" s="32" t="s">
        <v>421</v>
      </c>
      <c r="E137" s="32"/>
      <c r="G137" s="32"/>
      <c r="I137" s="32"/>
    </row>
    <row r="138" spans="1:9">
      <c r="A138" s="32" t="s">
        <v>539</v>
      </c>
      <c r="C138" s="32" t="s">
        <v>549</v>
      </c>
      <c r="E138" s="32"/>
      <c r="G138" s="32"/>
      <c r="I138" s="32"/>
    </row>
    <row r="139" spans="1:9">
      <c r="A139" s="32" t="s">
        <v>540</v>
      </c>
      <c r="C139" s="32" t="s">
        <v>550</v>
      </c>
      <c r="E139" s="32"/>
      <c r="G139" s="32"/>
      <c r="I139" s="32"/>
    </row>
    <row r="140" spans="1:9">
      <c r="A140" s="32" t="s">
        <v>322</v>
      </c>
      <c r="C140" s="32" t="s">
        <v>18</v>
      </c>
      <c r="E140" s="32"/>
      <c r="G140" s="32"/>
      <c r="I140" s="32"/>
    </row>
    <row r="141" spans="1:9">
      <c r="A141" s="32" t="s">
        <v>541</v>
      </c>
      <c r="C141" s="32"/>
      <c r="E141" s="32"/>
      <c r="G141" s="32"/>
      <c r="I141" s="32"/>
    </row>
    <row r="142" spans="1:9">
      <c r="A142" s="32"/>
      <c r="C142" s="32"/>
      <c r="E142" s="32"/>
      <c r="G142" s="32"/>
      <c r="I142" s="32"/>
    </row>
    <row r="143" spans="1:9">
      <c r="A143" s="32"/>
      <c r="C143" s="32"/>
      <c r="E143" s="32"/>
    </row>
    <row r="144" spans="1:9">
      <c r="A144" s="32"/>
      <c r="C144" s="32"/>
    </row>
    <row r="145" spans="1:9">
      <c r="A145" s="32"/>
      <c r="C145" s="32"/>
    </row>
    <row r="146" spans="1:9">
      <c r="A146" s="32"/>
      <c r="C146" s="32"/>
    </row>
    <row r="147" spans="1:9">
      <c r="A147" s="32"/>
      <c r="C147" s="32"/>
    </row>
    <row r="148" spans="1:9">
      <c r="A148" s="32"/>
      <c r="C148" s="32"/>
    </row>
    <row r="149" spans="1:9">
      <c r="A149" s="32"/>
    </row>
    <row r="151" spans="1:9">
      <c r="A151" s="9" t="s">
        <v>571</v>
      </c>
      <c r="C151" s="9" t="s">
        <v>577</v>
      </c>
      <c r="E151" s="9" t="s">
        <v>583</v>
      </c>
      <c r="G151" s="9" t="s">
        <v>101</v>
      </c>
      <c r="I151" s="9" t="s">
        <v>603</v>
      </c>
    </row>
    <row r="152" spans="1:9">
      <c r="A152" s="32" t="s">
        <v>572</v>
      </c>
      <c r="C152" s="32" t="s">
        <v>578</v>
      </c>
      <c r="E152" s="32" t="s">
        <v>584</v>
      </c>
      <c r="G152" s="32" t="s">
        <v>592</v>
      </c>
      <c r="I152" s="32" t="s">
        <v>224</v>
      </c>
    </row>
    <row r="153" spans="1:9">
      <c r="A153" s="32" t="s">
        <v>573</v>
      </c>
      <c r="C153" s="32" t="s">
        <v>579</v>
      </c>
      <c r="E153" s="32" t="s">
        <v>585</v>
      </c>
      <c r="G153" s="32" t="s">
        <v>593</v>
      </c>
      <c r="I153" s="32" t="s">
        <v>604</v>
      </c>
    </row>
    <row r="154" spans="1:9">
      <c r="A154" s="32" t="s">
        <v>574</v>
      </c>
      <c r="C154" s="32" t="s">
        <v>580</v>
      </c>
      <c r="E154" s="32" t="s">
        <v>586</v>
      </c>
      <c r="G154" s="32" t="s">
        <v>594</v>
      </c>
      <c r="I154" s="32" t="s">
        <v>605</v>
      </c>
    </row>
    <row r="155" spans="1:9">
      <c r="A155" s="32" t="s">
        <v>575</v>
      </c>
      <c r="C155" s="32" t="s">
        <v>581</v>
      </c>
      <c r="E155" s="32" t="s">
        <v>587</v>
      </c>
      <c r="G155" s="32" t="s">
        <v>595</v>
      </c>
      <c r="I155" s="32" t="s">
        <v>606</v>
      </c>
    </row>
    <row r="156" spans="1:9">
      <c r="A156" s="32" t="s">
        <v>576</v>
      </c>
      <c r="C156" s="32" t="s">
        <v>582</v>
      </c>
      <c r="E156" s="32" t="s">
        <v>588</v>
      </c>
      <c r="G156" s="32" t="s">
        <v>596</v>
      </c>
      <c r="I156" s="32" t="s">
        <v>607</v>
      </c>
    </row>
    <row r="157" spans="1:9">
      <c r="A157" s="32"/>
      <c r="C157" s="32"/>
      <c r="E157" s="32" t="s">
        <v>589</v>
      </c>
      <c r="G157" s="32" t="s">
        <v>597</v>
      </c>
      <c r="I157" s="32" t="s">
        <v>227</v>
      </c>
    </row>
    <row r="158" spans="1:9">
      <c r="A158" s="32"/>
      <c r="C158" s="32"/>
      <c r="E158" s="32" t="s">
        <v>590</v>
      </c>
      <c r="G158" s="32" t="s">
        <v>598</v>
      </c>
      <c r="I158" s="32" t="s">
        <v>230</v>
      </c>
    </row>
    <row r="159" spans="1:9">
      <c r="A159" s="32"/>
      <c r="C159" s="32"/>
      <c r="E159" s="32" t="s">
        <v>591</v>
      </c>
      <c r="G159" s="32" t="s">
        <v>599</v>
      </c>
      <c r="I159" s="32"/>
    </row>
    <row r="160" spans="1:9">
      <c r="A160" s="32"/>
      <c r="C160" s="32"/>
      <c r="E160" s="32"/>
      <c r="G160" s="32" t="s">
        <v>600</v>
      </c>
      <c r="I160" s="32"/>
    </row>
    <row r="161" spans="1:9">
      <c r="A161" s="32"/>
      <c r="C161" s="32"/>
      <c r="E161" s="32"/>
      <c r="G161" s="32" t="s">
        <v>191</v>
      </c>
      <c r="I161" s="32"/>
    </row>
    <row r="162" spans="1:9">
      <c r="A162" s="32"/>
      <c r="C162" s="32"/>
      <c r="E162" s="32"/>
      <c r="G162" s="32" t="s">
        <v>601</v>
      </c>
      <c r="I162" s="32"/>
    </row>
    <row r="163" spans="1:9">
      <c r="A163" s="32"/>
      <c r="C163" s="32"/>
      <c r="E163" s="32"/>
      <c r="G163" s="32" t="s">
        <v>602</v>
      </c>
      <c r="I163" s="32"/>
    </row>
    <row r="164" spans="1:9">
      <c r="A164" s="32"/>
      <c r="C164" s="32"/>
      <c r="E164" s="32"/>
      <c r="G164" s="32"/>
      <c r="I164" s="32"/>
    </row>
    <row r="165" spans="1:9">
      <c r="E165" s="32"/>
      <c r="G165" s="32"/>
      <c r="I165" s="32"/>
    </row>
    <row r="166" spans="1:9">
      <c r="E166" s="32"/>
      <c r="G166" s="32"/>
      <c r="I166" s="32"/>
    </row>
    <row r="167" spans="1:9">
      <c r="E167" s="32"/>
      <c r="G167" s="32"/>
    </row>
    <row r="168" spans="1:9">
      <c r="G168" s="32"/>
    </row>
    <row r="169" spans="1:9">
      <c r="G169" s="32"/>
    </row>
    <row r="170" spans="1:9">
      <c r="G170" s="32"/>
    </row>
    <row r="171" spans="1:9">
      <c r="G171" s="32"/>
    </row>
    <row r="173" spans="1:9">
      <c r="A173" s="9" t="s">
        <v>608</v>
      </c>
      <c r="C173" s="9" t="s">
        <v>609</v>
      </c>
      <c r="E173" s="9" t="s">
        <v>611</v>
      </c>
      <c r="G173" s="9" t="s">
        <v>613</v>
      </c>
      <c r="I173" s="9" t="s">
        <v>617</v>
      </c>
    </row>
    <row r="174" spans="1:9">
      <c r="A174" s="32" t="s">
        <v>224</v>
      </c>
      <c r="C174" s="32" t="s">
        <v>232</v>
      </c>
      <c r="E174" s="32" t="s">
        <v>240</v>
      </c>
      <c r="G174" s="32" t="s">
        <v>613</v>
      </c>
      <c r="I174" s="32" t="s">
        <v>618</v>
      </c>
    </row>
    <row r="175" spans="1:9">
      <c r="A175" s="32" t="s">
        <v>230</v>
      </c>
      <c r="C175" s="32" t="s">
        <v>610</v>
      </c>
      <c r="E175" s="32" t="s">
        <v>612</v>
      </c>
      <c r="G175" s="32" t="s">
        <v>614</v>
      </c>
      <c r="I175" s="32" t="s">
        <v>619</v>
      </c>
    </row>
    <row r="176" spans="1:9">
      <c r="A176" s="32"/>
      <c r="C176" s="32"/>
      <c r="E176" s="32"/>
      <c r="G176" s="32" t="s">
        <v>615</v>
      </c>
      <c r="I176" s="32" t="s">
        <v>498</v>
      </c>
    </row>
    <row r="177" spans="1:9">
      <c r="A177" s="32"/>
      <c r="C177" s="32"/>
      <c r="E177" s="32"/>
      <c r="G177" s="32" t="s">
        <v>616</v>
      </c>
      <c r="I177" s="32" t="s">
        <v>620</v>
      </c>
    </row>
    <row r="178" spans="1:9">
      <c r="A178" s="32"/>
      <c r="C178" s="32"/>
      <c r="E178" s="32"/>
      <c r="G178" s="32"/>
      <c r="I178" s="32" t="s">
        <v>621</v>
      </c>
    </row>
    <row r="179" spans="1:9">
      <c r="A179" s="32"/>
      <c r="C179" s="32"/>
      <c r="E179" s="32"/>
      <c r="G179" s="32"/>
      <c r="I179" s="32" t="s">
        <v>622</v>
      </c>
    </row>
    <row r="180" spans="1:9">
      <c r="A180" s="32"/>
      <c r="C180" s="32"/>
      <c r="E180" s="32"/>
      <c r="G180" s="32"/>
      <c r="I180" s="32"/>
    </row>
    <row r="181" spans="1:9">
      <c r="A181" s="32"/>
      <c r="C181" s="32"/>
      <c r="E181" s="32"/>
      <c r="G181" s="32"/>
      <c r="I181" s="32"/>
    </row>
    <row r="182" spans="1:9">
      <c r="A182" s="32"/>
      <c r="C182" s="32"/>
      <c r="E182" s="32"/>
      <c r="G182" s="32"/>
      <c r="I182" s="32"/>
    </row>
    <row r="183" spans="1:9">
      <c r="A183" s="32"/>
      <c r="C183" s="32"/>
      <c r="E183" s="32"/>
      <c r="G183" s="32"/>
      <c r="I183" s="32"/>
    </row>
    <row r="184" spans="1:9">
      <c r="G184" s="32"/>
      <c r="I184" s="32"/>
    </row>
    <row r="185" spans="1:9">
      <c r="G185" s="32"/>
      <c r="I185" s="32"/>
    </row>
    <row r="186" spans="1:9">
      <c r="I186" s="32"/>
    </row>
    <row r="187" spans="1:9">
      <c r="I187" s="32"/>
    </row>
    <row r="189" spans="1:9">
      <c r="A189" s="9" t="s">
        <v>623</v>
      </c>
      <c r="C189" s="9" t="s">
        <v>630</v>
      </c>
      <c r="E189" s="9" t="s">
        <v>631</v>
      </c>
      <c r="G189" s="9" t="s">
        <v>638</v>
      </c>
      <c r="I189" s="9" t="s">
        <v>642</v>
      </c>
    </row>
    <row r="190" spans="1:9">
      <c r="A190" s="32" t="s">
        <v>624</v>
      </c>
      <c r="C190" s="32" t="s">
        <v>624</v>
      </c>
      <c r="E190" s="32" t="s">
        <v>632</v>
      </c>
      <c r="G190" s="32" t="s">
        <v>141</v>
      </c>
      <c r="I190" s="32" t="s">
        <v>474</v>
      </c>
    </row>
    <row r="191" spans="1:9">
      <c r="A191" s="32" t="s">
        <v>625</v>
      </c>
      <c r="C191" s="32" t="s">
        <v>625</v>
      </c>
      <c r="E191" s="32" t="s">
        <v>633</v>
      </c>
      <c r="G191" s="32" t="s">
        <v>639</v>
      </c>
      <c r="I191" s="32" t="s">
        <v>643</v>
      </c>
    </row>
    <row r="192" spans="1:9">
      <c r="A192" s="32" t="s">
        <v>143</v>
      </c>
      <c r="C192" s="32" t="s">
        <v>545</v>
      </c>
      <c r="E192" s="32" t="s">
        <v>634</v>
      </c>
      <c r="G192" s="32" t="s">
        <v>640</v>
      </c>
      <c r="I192" s="32" t="s">
        <v>476</v>
      </c>
    </row>
    <row r="193" spans="1:9">
      <c r="A193" s="32" t="s">
        <v>322</v>
      </c>
      <c r="C193" s="32" t="s">
        <v>322</v>
      </c>
      <c r="E193" s="32" t="s">
        <v>635</v>
      </c>
      <c r="G193" s="32" t="s">
        <v>641</v>
      </c>
      <c r="I193" s="32" t="s">
        <v>320</v>
      </c>
    </row>
    <row r="194" spans="1:9">
      <c r="A194" s="32" t="s">
        <v>626</v>
      </c>
      <c r="C194" s="32" t="s">
        <v>143</v>
      </c>
      <c r="E194" s="32" t="s">
        <v>636</v>
      </c>
      <c r="G194" s="32"/>
      <c r="I194" s="32"/>
    </row>
    <row r="195" spans="1:9">
      <c r="A195" s="32" t="s">
        <v>627</v>
      </c>
      <c r="C195" s="32" t="s">
        <v>547</v>
      </c>
      <c r="E195" s="32" t="s">
        <v>637</v>
      </c>
      <c r="G195" s="32"/>
      <c r="I195" s="32"/>
    </row>
    <row r="196" spans="1:9">
      <c r="A196" s="32" t="s">
        <v>628</v>
      </c>
      <c r="C196" s="32" t="s">
        <v>626</v>
      </c>
      <c r="E196" s="32"/>
      <c r="G196" s="32"/>
      <c r="I196" s="32"/>
    </row>
    <row r="197" spans="1:9">
      <c r="A197" s="32" t="s">
        <v>18</v>
      </c>
      <c r="C197" s="32" t="s">
        <v>550</v>
      </c>
      <c r="E197" s="32"/>
      <c r="G197" s="32"/>
      <c r="I197" s="32"/>
    </row>
    <row r="198" spans="1:9">
      <c r="A198" s="32" t="s">
        <v>629</v>
      </c>
      <c r="C198" s="32" t="s">
        <v>628</v>
      </c>
      <c r="E198" s="32"/>
      <c r="G198" s="32"/>
      <c r="I198" s="32"/>
    </row>
    <row r="199" spans="1:9">
      <c r="A199" s="32"/>
      <c r="C199" s="32" t="s">
        <v>18</v>
      </c>
      <c r="E199" s="32"/>
      <c r="G199" s="32"/>
      <c r="I199" s="32"/>
    </row>
    <row r="200" spans="1:9">
      <c r="A200" s="32"/>
      <c r="C200" s="32"/>
      <c r="E200" s="32"/>
      <c r="G200" s="32"/>
      <c r="I200" s="32"/>
    </row>
    <row r="201" spans="1:9">
      <c r="A201" s="32"/>
      <c r="C201" s="32"/>
      <c r="E201" s="32"/>
      <c r="G201" s="32"/>
      <c r="I201" s="32"/>
    </row>
    <row r="202" spans="1:9">
      <c r="A202" s="32"/>
      <c r="C202" s="32"/>
      <c r="E202" s="32"/>
    </row>
    <row r="203" spans="1:9">
      <c r="A203" s="32"/>
      <c r="C203" s="32"/>
      <c r="E203" s="32"/>
    </row>
    <row r="204" spans="1:9">
      <c r="A204" s="32"/>
      <c r="C204" s="32"/>
    </row>
    <row r="205" spans="1:9">
      <c r="A205" s="32"/>
      <c r="C205" s="32"/>
    </row>
    <row r="206" spans="1:9">
      <c r="A206" s="32"/>
      <c r="C206" s="32"/>
    </row>
    <row r="207" spans="1:9">
      <c r="C207" s="32"/>
    </row>
    <row r="209" spans="1:7">
      <c r="A209" s="9" t="s">
        <v>644</v>
      </c>
      <c r="C209" s="9" t="s">
        <v>647</v>
      </c>
      <c r="E209" s="9" t="s">
        <v>650</v>
      </c>
      <c r="G209" s="9" t="s">
        <v>654</v>
      </c>
    </row>
    <row r="210" spans="1:7">
      <c r="A210" s="32" t="s">
        <v>645</v>
      </c>
      <c r="C210" s="32" t="s">
        <v>648</v>
      </c>
      <c r="E210" s="32" t="s">
        <v>651</v>
      </c>
      <c r="G210" s="32" t="s">
        <v>271</v>
      </c>
    </row>
    <row r="211" spans="1:7">
      <c r="A211" s="32" t="s">
        <v>317</v>
      </c>
      <c r="C211" s="32" t="s">
        <v>649</v>
      </c>
      <c r="E211" s="32" t="s">
        <v>652</v>
      </c>
      <c r="G211" s="32" t="s">
        <v>655</v>
      </c>
    </row>
    <row r="212" spans="1:7">
      <c r="A212" s="32" t="s">
        <v>646</v>
      </c>
      <c r="C212" s="32"/>
      <c r="E212" s="32" t="s">
        <v>653</v>
      </c>
      <c r="G212" s="32" t="s">
        <v>656</v>
      </c>
    </row>
    <row r="213" spans="1:7">
      <c r="A213" s="32" t="s">
        <v>185</v>
      </c>
      <c r="C213" s="32"/>
      <c r="E213" s="32" t="s">
        <v>528</v>
      </c>
      <c r="G213" s="32" t="s">
        <v>657</v>
      </c>
    </row>
    <row r="214" spans="1:7">
      <c r="A214" s="32" t="s">
        <v>476</v>
      </c>
      <c r="C214" s="32"/>
      <c r="E214" s="32" t="s">
        <v>515</v>
      </c>
      <c r="G214" s="32" t="s">
        <v>658</v>
      </c>
    </row>
    <row r="215" spans="1:7">
      <c r="A215" s="32" t="s">
        <v>323</v>
      </c>
      <c r="C215" s="32"/>
      <c r="E215" s="32"/>
      <c r="G215" s="32" t="s">
        <v>274</v>
      </c>
    </row>
    <row r="216" spans="1:7">
      <c r="A216" s="32"/>
      <c r="C216" s="32"/>
      <c r="E216" s="32"/>
      <c r="G216" s="32" t="s">
        <v>659</v>
      </c>
    </row>
    <row r="217" spans="1:7">
      <c r="A217" s="32"/>
      <c r="C217" s="32"/>
      <c r="E217" s="32"/>
      <c r="G217" s="32" t="s">
        <v>660</v>
      </c>
    </row>
    <row r="218" spans="1:7">
      <c r="A218" s="32"/>
      <c r="C218" s="32"/>
      <c r="E218" s="32"/>
      <c r="G218" s="32" t="s">
        <v>661</v>
      </c>
    </row>
    <row r="219" spans="1:7">
      <c r="A219" s="32"/>
      <c r="C219" s="32"/>
      <c r="E219" s="32"/>
      <c r="G219" s="32"/>
    </row>
    <row r="220" spans="1:7">
      <c r="A220" s="32"/>
      <c r="E220" s="32"/>
      <c r="G220" s="32"/>
    </row>
    <row r="221" spans="1:7">
      <c r="A221" s="32"/>
      <c r="E221" s="32"/>
      <c r="G221" s="32"/>
    </row>
    <row r="222" spans="1:7">
      <c r="A222" s="32"/>
      <c r="E222" s="32"/>
      <c r="G222" s="32"/>
    </row>
    <row r="223" spans="1:7">
      <c r="A223" s="32"/>
      <c r="G223" s="32"/>
    </row>
    <row r="224" spans="1:7">
      <c r="G224" s="32"/>
    </row>
    <row r="225" spans="1:10">
      <c r="G225" s="32"/>
    </row>
    <row r="226" spans="1:10">
      <c r="G226" s="32"/>
    </row>
    <row r="229" spans="1:10" ht="20" customHeight="1">
      <c r="A229" s="7" t="s">
        <v>662</v>
      </c>
      <c r="B229" s="7"/>
      <c r="C229" s="7"/>
      <c r="D229" s="7"/>
      <c r="E229" s="7"/>
      <c r="F229" s="7"/>
      <c r="G229" s="7"/>
      <c r="H229" s="7"/>
      <c r="I229" s="7"/>
      <c r="J229" s="7"/>
    </row>
    <row r="230" spans="1:10" ht="42" customHeight="1">
      <c r="A230" s="6" t="s">
        <v>663</v>
      </c>
      <c r="B230" s="6"/>
      <c r="C230" s="6"/>
      <c r="D230" s="6"/>
      <c r="E230" s="6"/>
      <c r="F230" s="6"/>
      <c r="G230" s="6"/>
      <c r="H230" s="6"/>
      <c r="I230" s="6"/>
      <c r="J230" s="6"/>
    </row>
    <row r="232" spans="1:10" ht="26" customHeight="1">
      <c r="A232" s="8" t="s">
        <v>664</v>
      </c>
      <c r="B232" s="9" t="s">
        <v>665</v>
      </c>
      <c r="C232" s="9" t="s">
        <v>666</v>
      </c>
      <c r="D232" s="9" t="s">
        <v>667</v>
      </c>
    </row>
    <row r="233" spans="1:10">
      <c r="A233" s="32" t="s">
        <v>668</v>
      </c>
      <c r="B233" s="32" t="s">
        <v>669</v>
      </c>
      <c r="C233" s="32" t="s">
        <v>668</v>
      </c>
      <c r="D233" s="38">
        <v>1</v>
      </c>
    </row>
    <row r="234" spans="1:10">
      <c r="A234" s="32" t="s">
        <v>670</v>
      </c>
      <c r="B234" s="32" t="s">
        <v>669</v>
      </c>
      <c r="C234" s="32" t="s">
        <v>668</v>
      </c>
      <c r="D234" s="38">
        <v>1000</v>
      </c>
    </row>
    <row r="235" spans="1:10">
      <c r="A235" s="32" t="s">
        <v>671</v>
      </c>
      <c r="B235" s="32" t="s">
        <v>669</v>
      </c>
      <c r="C235" s="32" t="s">
        <v>668</v>
      </c>
      <c r="D235" s="38">
        <v>0.001</v>
      </c>
    </row>
    <row r="236" spans="1:10">
      <c r="A236" s="32" t="s">
        <v>672</v>
      </c>
      <c r="B236" s="32" t="s">
        <v>669</v>
      </c>
      <c r="C236" s="32" t="s">
        <v>668</v>
      </c>
      <c r="D236" s="38">
        <v>28.3495</v>
      </c>
    </row>
    <row r="237" spans="1:10">
      <c r="A237" s="32" t="s">
        <v>673</v>
      </c>
      <c r="B237" s="32" t="s">
        <v>669</v>
      </c>
      <c r="C237" s="32" t="s">
        <v>668</v>
      </c>
      <c r="D237" s="38">
        <v>453.592</v>
      </c>
    </row>
    <row r="238" spans="1:10">
      <c r="A238" s="32" t="s">
        <v>674</v>
      </c>
      <c r="B238" s="32" t="s">
        <v>675</v>
      </c>
      <c r="C238" s="32" t="s">
        <v>674</v>
      </c>
      <c r="D238" s="38">
        <v>1</v>
      </c>
    </row>
    <row r="239" spans="1:10">
      <c r="A239" s="32" t="s">
        <v>676</v>
      </c>
      <c r="B239" s="32" t="s">
        <v>675</v>
      </c>
      <c r="C239" s="32" t="s">
        <v>674</v>
      </c>
      <c r="D239" s="38">
        <v>1000</v>
      </c>
    </row>
    <row r="240" spans="1:10">
      <c r="A240" s="32" t="s">
        <v>677</v>
      </c>
      <c r="B240" s="32" t="s">
        <v>675</v>
      </c>
      <c r="C240" s="32" t="s">
        <v>674</v>
      </c>
      <c r="D240" s="38">
        <v>5</v>
      </c>
    </row>
    <row r="241" spans="1:4">
      <c r="A241" s="32" t="s">
        <v>678</v>
      </c>
      <c r="B241" s="32" t="s">
        <v>675</v>
      </c>
      <c r="C241" s="32" t="s">
        <v>674</v>
      </c>
      <c r="D241" s="38">
        <v>15</v>
      </c>
    </row>
    <row r="242" spans="1:4">
      <c r="A242" s="32" t="s">
        <v>679</v>
      </c>
      <c r="B242" s="32" t="s">
        <v>675</v>
      </c>
      <c r="C242" s="32" t="s">
        <v>674</v>
      </c>
      <c r="D242" s="38">
        <v>240</v>
      </c>
    </row>
    <row r="243" spans="1:4">
      <c r="A243" s="32" t="s">
        <v>680</v>
      </c>
      <c r="B243" s="32" t="s">
        <v>675</v>
      </c>
      <c r="C243" s="32" t="s">
        <v>674</v>
      </c>
      <c r="D243" s="38">
        <v>29.5735</v>
      </c>
    </row>
    <row r="244" spans="1:4">
      <c r="A244" s="32" t="s">
        <v>681</v>
      </c>
      <c r="B244" s="32" t="s">
        <v>675</v>
      </c>
      <c r="C244" s="32" t="s">
        <v>674</v>
      </c>
      <c r="D244" s="38">
        <v>473.176</v>
      </c>
    </row>
    <row r="245" spans="1:4">
      <c r="A245" s="32" t="s">
        <v>682</v>
      </c>
      <c r="B245" s="32" t="s">
        <v>675</v>
      </c>
      <c r="C245" s="32" t="s">
        <v>674</v>
      </c>
      <c r="D245" s="38">
        <v>568.261</v>
      </c>
    </row>
    <row r="246" spans="1:4">
      <c r="A246" s="32" t="s">
        <v>683</v>
      </c>
      <c r="B246" s="32" t="s">
        <v>675</v>
      </c>
      <c r="C246" s="32" t="s">
        <v>674</v>
      </c>
      <c r="D246" s="38">
        <v>946.353</v>
      </c>
    </row>
    <row r="247" spans="1:4">
      <c r="A247" s="32" t="s">
        <v>684</v>
      </c>
      <c r="B247" s="32" t="s">
        <v>675</v>
      </c>
      <c r="C247" s="32" t="s">
        <v>674</v>
      </c>
      <c r="D247" s="38">
        <v>3785.41</v>
      </c>
    </row>
    <row r="248" spans="1:4">
      <c r="A248" s="32" t="s">
        <v>685</v>
      </c>
      <c r="B248" s="32" t="s">
        <v>686</v>
      </c>
      <c r="C248" s="32" t="s">
        <v>685</v>
      </c>
      <c r="D248" s="38">
        <v>1</v>
      </c>
    </row>
    <row r="249" spans="1:4">
      <c r="A249" s="32" t="s">
        <v>687</v>
      </c>
      <c r="B249" s="32" t="s">
        <v>686</v>
      </c>
      <c r="C249" s="32" t="s">
        <v>685</v>
      </c>
      <c r="D249" s="38">
        <v>1</v>
      </c>
    </row>
    <row r="250" spans="1:4">
      <c r="A250" s="32" t="s">
        <v>688</v>
      </c>
      <c r="B250" s="32" t="s">
        <v>686</v>
      </c>
      <c r="C250" s="32" t="s">
        <v>685</v>
      </c>
      <c r="D250" s="38">
        <v>1</v>
      </c>
    </row>
    <row r="251" spans="1:4">
      <c r="A251" s="32" t="s">
        <v>689</v>
      </c>
      <c r="B251" s="32" t="s">
        <v>686</v>
      </c>
      <c r="C251" s="32" t="s">
        <v>685</v>
      </c>
      <c r="D251" s="38">
        <v>1</v>
      </c>
    </row>
    <row r="252" spans="1:4">
      <c r="A252" s="32" t="s">
        <v>690</v>
      </c>
      <c r="B252" s="32" t="s">
        <v>686</v>
      </c>
      <c r="C252" s="32" t="s">
        <v>685</v>
      </c>
      <c r="D252" s="38">
        <v>1</v>
      </c>
    </row>
    <row r="253" spans="1:4">
      <c r="A253" s="32" t="s">
        <v>691</v>
      </c>
      <c r="B253" s="32" t="s">
        <v>686</v>
      </c>
      <c r="C253" s="32" t="s">
        <v>685</v>
      </c>
      <c r="D253" s="38">
        <v>1</v>
      </c>
    </row>
    <row r="254" spans="1:4">
      <c r="A254" s="32" t="s">
        <v>692</v>
      </c>
      <c r="B254" s="32" t="s">
        <v>686</v>
      </c>
      <c r="C254" s="32" t="s">
        <v>685</v>
      </c>
      <c r="D254" s="38">
        <v>1</v>
      </c>
    </row>
    <row r="255" spans="1:4">
      <c r="A255" s="32" t="s">
        <v>693</v>
      </c>
      <c r="B255" s="32" t="s">
        <v>686</v>
      </c>
      <c r="C255" s="32" t="s">
        <v>685</v>
      </c>
      <c r="D255" s="38">
        <v>1</v>
      </c>
    </row>
    <row r="256" spans="1:4">
      <c r="A256" s="32" t="s">
        <v>694</v>
      </c>
      <c r="B256" s="32" t="s">
        <v>686</v>
      </c>
      <c r="C256" s="32" t="s">
        <v>685</v>
      </c>
      <c r="D256" s="38">
        <v>1</v>
      </c>
    </row>
    <row r="257" spans="1:4">
      <c r="A257" s="32" t="s">
        <v>695</v>
      </c>
      <c r="B257" s="32" t="s">
        <v>686</v>
      </c>
      <c r="C257" s="32" t="s">
        <v>685</v>
      </c>
      <c r="D257" s="38">
        <v>1</v>
      </c>
    </row>
    <row r="258" spans="1:4">
      <c r="A258" s="32" t="s">
        <v>696</v>
      </c>
      <c r="B258" s="32" t="s">
        <v>686</v>
      </c>
      <c r="C258" s="32" t="s">
        <v>685</v>
      </c>
      <c r="D258" s="38">
        <v>1</v>
      </c>
    </row>
    <row r="259" spans="1:4">
      <c r="A259" s="32" t="s">
        <v>697</v>
      </c>
      <c r="B259" s="32" t="s">
        <v>686</v>
      </c>
      <c r="C259" s="32" t="s">
        <v>685</v>
      </c>
      <c r="D259" s="38">
        <v>1</v>
      </c>
    </row>
    <row r="260" spans="1:4">
      <c r="A260" s="32" t="s">
        <v>698</v>
      </c>
      <c r="B260" s="32" t="s">
        <v>686</v>
      </c>
      <c r="C260" s="32" t="s">
        <v>685</v>
      </c>
      <c r="D260" s="38">
        <v>1</v>
      </c>
    </row>
    <row r="261" spans="1:4">
      <c r="A261" s="32" t="s">
        <v>699</v>
      </c>
      <c r="B261" s="32" t="s">
        <v>686</v>
      </c>
      <c r="C261" s="32" t="s">
        <v>685</v>
      </c>
      <c r="D261" s="38">
        <v>1</v>
      </c>
    </row>
    <row r="262" spans="1:4">
      <c r="A262" s="32" t="s">
        <v>700</v>
      </c>
      <c r="B262" s="32" t="s">
        <v>686</v>
      </c>
      <c r="C262" s="32" t="s">
        <v>685</v>
      </c>
      <c r="D262" s="38">
        <v>0</v>
      </c>
    </row>
    <row r="263" spans="1:4">
      <c r="A263" s="32"/>
      <c r="B263" s="32"/>
      <c r="C263" s="32"/>
      <c r="D263" s="38"/>
    </row>
    <row r="264" spans="1:4">
      <c r="A264" s="32"/>
      <c r="B264" s="32"/>
      <c r="C264" s="32"/>
      <c r="D264" s="38"/>
    </row>
    <row r="265" spans="1:4">
      <c r="A265" s="32"/>
      <c r="B265" s="32"/>
      <c r="C265" s="32"/>
      <c r="D265" s="38"/>
    </row>
    <row r="266" spans="1:4">
      <c r="A266" s="32"/>
      <c r="B266" s="32"/>
      <c r="C266" s="32"/>
      <c r="D266" s="38"/>
    </row>
    <row r="267" spans="1:4">
      <c r="A267" s="32"/>
      <c r="B267" s="32"/>
      <c r="C267" s="32"/>
      <c r="D267" s="38"/>
    </row>
    <row r="268" spans="1:4">
      <c r="A268" s="32"/>
      <c r="B268" s="32"/>
      <c r="C268" s="32"/>
      <c r="D268" s="38"/>
    </row>
    <row r="269" spans="1:4">
      <c r="A269" s="32"/>
      <c r="B269" s="32"/>
      <c r="C269" s="32"/>
      <c r="D269" s="38"/>
    </row>
    <row r="270" spans="1:4">
      <c r="A270" s="32"/>
      <c r="B270" s="32"/>
      <c r="C270" s="32"/>
      <c r="D270" s="38"/>
    </row>
    <row r="271" spans="1:4">
      <c r="A271" s="32"/>
      <c r="B271" s="32"/>
      <c r="C271" s="32"/>
      <c r="D271" s="38"/>
    </row>
    <row r="272" spans="1:4">
      <c r="A272" s="32"/>
      <c r="B272" s="32"/>
      <c r="C272" s="32"/>
      <c r="D272" s="38"/>
    </row>
    <row r="275" spans="1:10" ht="44" customHeight="1">
      <c r="A275" s="6" t="s">
        <v>701</v>
      </c>
      <c r="B275" s="6"/>
      <c r="C275" s="6"/>
      <c r="D275" s="6"/>
      <c r="E275" s="6"/>
      <c r="F275" s="6"/>
      <c r="G275" s="6"/>
      <c r="H275" s="6"/>
      <c r="I275" s="6"/>
      <c r="J275" s="6"/>
    </row>
  </sheetData>
  <sheetProtection password="EC7C" sheet="1" objects="1" scenarios="1" formatCells="0" formatColumns="0" formatRows="0" insertRows="0" insertHyperlinks="0" deleteRows="0" autoFilter="0"/>
  <mergeCells count="13">
    <mergeCell ref="A1:G1"/>
    <mergeCell ref="H1:J1"/>
    <mergeCell ref="A2:J2"/>
    <mergeCell ref="A3:B3"/>
    <mergeCell ref="C3:D3"/>
    <mergeCell ref="E3:F3"/>
    <mergeCell ref="G3:H3"/>
    <mergeCell ref="I3:J3"/>
    <mergeCell ref="A5:J5"/>
    <mergeCell ref="A7:J7"/>
    <mergeCell ref="A229:J229"/>
    <mergeCell ref="A230:J230"/>
    <mergeCell ref="A275:J275"/>
  </mergeCell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&amp;L&amp;"Calibri,Bold"&amp;12&amp;C&amp;"Calibri,Bold"&amp;11Lists&amp;R&amp;"Calibri,Italic"&amp;9Automated Meal Planner &amp; Grocery List Spreadsheet</oddHeader>
    <oddFooter>&amp;L&amp;"Calibri,Italic"&amp;8Novality Store - v1.0.0&amp;C&amp;"Calibri,Italic"&amp;8Page &amp;P of &amp;N&amp;R&amp;"Calibri,Italic"&amp;8&amp;D</oddFooter>
  </headerFooter>
</worksheet>
</file>

<file path=xl/worksheets/sheet7.xml><?xml version="1.0" encoding="utf-8"?>
<worksheet xmlns="http://schemas.openxmlformats.org/spreadsheetml/2006/main" xmlns:r="http://schemas.openxmlformats.org/officeDocument/2006/relationships">
  <sheetPr>
    <tabColor rgb="FF2F5E43"/>
    <pageSetUpPr fitToPage="1"/>
  </sheetPr>
  <dimension ref="A1:Y2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18.7109375" style="32" customWidth="1"/>
    <col min="3" max="3" width="14.7109375" style="32" customWidth="1"/>
    <col min="4" max="4" width="13.7109375" style="32" customWidth="1"/>
    <col min="5" max="5" width="11.7109375" style="38" customWidth="1"/>
    <col min="6" max="6" width="15.7109375" style="32" customWidth="1"/>
    <col min="7" max="7" width="20.7109375" style="32" customWidth="1"/>
    <col min="8" max="8" width="20.7109375" style="32" customWidth="1"/>
    <col min="9" max="9" width="22.7109375" style="32" customWidth="1"/>
    <col min="10" max="10" width="22.7109375" style="32" customWidth="1"/>
    <col min="11" max="11" width="11.7109375" style="40" customWidth="1"/>
    <col min="12" max="12" width="11.7109375" style="40" customWidth="1"/>
    <col min="13" max="13" width="11.7109375" style="40" customWidth="1"/>
    <col min="14" max="14" width="11.7109375" style="40" customWidth="1"/>
    <col min="15" max="15" width="11.7109375" style="41" customWidth="1"/>
    <col min="16" max="16" width="11.7109375" style="30" hidden="1" customWidth="1"/>
    <col min="17" max="17" width="9.7109375" style="40" customWidth="1"/>
    <col min="18" max="18" width="16.7109375" style="32" customWidth="1"/>
    <col min="19" max="19" width="10.7109375" style="40" customWidth="1"/>
    <col min="20" max="20" width="20.7109375" style="32" customWidth="1"/>
    <col min="21" max="21" width="11.7109375" style="18" customWidth="1"/>
    <col min="22" max="22" width="11.7109375" style="15" customWidth="1"/>
    <col min="23" max="23" width="12.7109375" style="42" customWidth="1"/>
    <col min="24" max="24" width="24.7109375" style="31" customWidth="1"/>
    <col min="25" max="25" width="26.7109375" style="43" customWidth="1"/>
    <col min="1" max="1" width="10.7109375" customWidth="1"/>
    <col min="2" max="2" width="14.7109375" customWidth="1"/>
    <col min="3" max="3" width="24.7109375" customWidth="1"/>
    <col min="4" max="4" width="16.7109375" customWidth="1"/>
    <col min="5" max="5" width="15.7109375" customWidth="1"/>
    <col min="6" max="6" width="17.7109375" customWidth="1"/>
  </cols>
  <sheetData>
    <row r="1" spans="1:25" ht="34" customHeight="1">
      <c r="A1" s="2" t="s">
        <v>702</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703</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707</v>
      </c>
      <c r="T3" s="44"/>
      <c r="U3" s="44"/>
      <c r="V3" s="44"/>
      <c r="W3" s="44"/>
      <c r="X3" s="44"/>
      <c r="Y3" s="44"/>
    </row>
    <row r="4" spans="1:25" ht="30" customHeight="1">
      <c r="A4" s="8" t="s">
        <v>708</v>
      </c>
      <c r="B4" s="8" t="s">
        <v>709</v>
      </c>
      <c r="C4" s="9" t="s">
        <v>710</v>
      </c>
      <c r="D4" s="9" t="s">
        <v>711</v>
      </c>
      <c r="E4" s="9" t="s">
        <v>712</v>
      </c>
      <c r="F4" s="9" t="s">
        <v>381</v>
      </c>
      <c r="G4" s="9" t="s">
        <v>713</v>
      </c>
      <c r="H4" s="9" t="s">
        <v>714</v>
      </c>
      <c r="I4" s="9" t="s">
        <v>715</v>
      </c>
      <c r="J4" s="9" t="s">
        <v>716</v>
      </c>
      <c r="K4" s="9" t="s">
        <v>717</v>
      </c>
      <c r="L4" s="9" t="s">
        <v>718</v>
      </c>
      <c r="M4" s="9" t="s">
        <v>719</v>
      </c>
      <c r="N4" s="9" t="s">
        <v>720</v>
      </c>
      <c r="O4" s="9" t="s">
        <v>721</v>
      </c>
      <c r="P4" s="9" t="s">
        <v>722</v>
      </c>
      <c r="Q4" s="9" t="s">
        <v>723</v>
      </c>
      <c r="R4" s="9" t="s">
        <v>724</v>
      </c>
      <c r="S4" s="9" t="s">
        <v>725</v>
      </c>
      <c r="T4" s="9" t="s">
        <v>726</v>
      </c>
      <c r="U4" s="9" t="s">
        <v>727</v>
      </c>
      <c r="V4" s="9" t="s">
        <v>500</v>
      </c>
      <c r="W4" s="9" t="s">
        <v>728</v>
      </c>
      <c r="X4" s="9" t="s">
        <v>729</v>
      </c>
      <c r="Y4" s="9" t="s">
        <v>730</v>
      </c>
    </row>
    <row r="5" spans="1:25">
      <c r="A5" s="39">
        <f>IF(B5="","","HH-"&amp;TEXT(ROW()-4,"00"))</f>
        <v>0</v>
      </c>
      <c r="B5" s="32" t="s">
        <v>206</v>
      </c>
      <c r="C5" s="32" t="s">
        <v>492</v>
      </c>
      <c r="D5" s="32" t="s">
        <v>618</v>
      </c>
      <c r="E5" s="38">
        <v>1</v>
      </c>
      <c r="F5" s="32" t="s">
        <v>396</v>
      </c>
      <c r="G5" s="32" t="s">
        <v>372</v>
      </c>
      <c r="H5" s="32" t="s">
        <v>157</v>
      </c>
      <c r="I5" s="32" t="s">
        <v>731</v>
      </c>
      <c r="J5" s="32" t="s">
        <v>732</v>
      </c>
      <c r="K5" s="40" t="s">
        <v>311</v>
      </c>
      <c r="L5" s="40" t="s">
        <v>312</v>
      </c>
      <c r="M5" s="40" t="s">
        <v>311</v>
      </c>
      <c r="N5" s="40" t="s">
        <v>312</v>
      </c>
      <c r="O5" s="41">
        <v>2000</v>
      </c>
      <c r="P5" s="30">
        <f>IF(B5="","",IF(O5="",CalorieTarget*IF(E5="",1,E5),O5))</f>
        <v>0</v>
      </c>
      <c r="Q5" s="40" t="s">
        <v>311</v>
      </c>
      <c r="R5" s="32" t="s">
        <v>733</v>
      </c>
      <c r="S5" s="40" t="s">
        <v>311</v>
      </c>
      <c r="T5" s="32" t="s">
        <v>734</v>
      </c>
      <c r="U5" s="18">
        <f>IF(B5="","",COUNTIFS('Meal Plan'!$O$5:$O$504,B5))</f>
        <v>0</v>
      </c>
      <c r="V5" s="15">
        <v>46406</v>
      </c>
      <c r="W5" s="42" t="s">
        <v>613</v>
      </c>
      <c r="X5" s="31">
        <f>IF(B5="","",IF(E5="","Add - no portion factor",IF(AND(G5&lt;&gt;"",G5&lt;&gt;"None"),"Check - allergy on file","OK")))</f>
        <v>0</v>
      </c>
      <c r="Y5" s="43" t="s">
        <v>735</v>
      </c>
    </row>
    <row r="6" spans="1:25">
      <c r="A6" s="39">
        <f>IF(B6="","","HH-"&amp;TEXT(ROW()-4,"00"))</f>
        <v>0</v>
      </c>
      <c r="B6" s="32" t="s">
        <v>736</v>
      </c>
      <c r="C6" s="32" t="s">
        <v>493</v>
      </c>
      <c r="D6" s="32" t="s">
        <v>618</v>
      </c>
      <c r="E6" s="38">
        <v>1.2</v>
      </c>
      <c r="F6" s="32" t="s">
        <v>396</v>
      </c>
      <c r="G6" s="32" t="s">
        <v>372</v>
      </c>
      <c r="H6" s="32" t="s">
        <v>157</v>
      </c>
      <c r="I6" s="32" t="s">
        <v>737</v>
      </c>
      <c r="J6" s="32" t="s">
        <v>738</v>
      </c>
      <c r="K6" s="40" t="s">
        <v>312</v>
      </c>
      <c r="L6" s="40" t="s">
        <v>312</v>
      </c>
      <c r="M6" s="40" t="s">
        <v>311</v>
      </c>
      <c r="N6" s="40" t="s">
        <v>311</v>
      </c>
      <c r="O6" s="41">
        <v>2400</v>
      </c>
      <c r="P6" s="30">
        <f>IF(B6="","",IF(O6="",CalorieTarget*IF(E6="",1,E6),O6))</f>
        <v>0</v>
      </c>
      <c r="Q6" s="40" t="s">
        <v>311</v>
      </c>
      <c r="R6" s="32" t="s">
        <v>739</v>
      </c>
      <c r="S6" s="40" t="s">
        <v>311</v>
      </c>
      <c r="T6" s="32" t="s">
        <v>740</v>
      </c>
      <c r="U6" s="18">
        <f>IF(B6="","",COUNTIFS('Meal Plan'!$O$5:$O$504,B6))</f>
        <v>0</v>
      </c>
      <c r="V6" s="15">
        <v>46321</v>
      </c>
      <c r="W6" s="42" t="s">
        <v>613</v>
      </c>
      <c r="X6" s="31">
        <f>IF(B6="","",IF(E6="","Add - no portion factor",IF(AND(G6&lt;&gt;"",G6&lt;&gt;"None"),"Check - allergy on file","OK")))</f>
        <v>0</v>
      </c>
      <c r="Y6" s="43" t="s">
        <v>741</v>
      </c>
    </row>
    <row r="7" spans="1:25">
      <c r="A7" s="39">
        <f>IF(B7="","","HH-"&amp;TEXT(ROW()-4,"00"))</f>
        <v>0</v>
      </c>
      <c r="B7" s="32" t="s">
        <v>742</v>
      </c>
      <c r="C7" s="32" t="s">
        <v>494</v>
      </c>
      <c r="D7" s="32" t="s">
        <v>619</v>
      </c>
      <c r="E7" s="38">
        <v>1.4</v>
      </c>
      <c r="F7" s="32" t="s">
        <v>382</v>
      </c>
      <c r="G7" s="32" t="s">
        <v>372</v>
      </c>
      <c r="H7" s="32" t="s">
        <v>157</v>
      </c>
      <c r="I7" s="32" t="s">
        <v>743</v>
      </c>
      <c r="J7" s="32" t="s">
        <v>744</v>
      </c>
      <c r="K7" s="40" t="s">
        <v>311</v>
      </c>
      <c r="L7" s="40" t="s">
        <v>311</v>
      </c>
      <c r="M7" s="40" t="s">
        <v>311</v>
      </c>
      <c r="N7" s="40" t="s">
        <v>311</v>
      </c>
      <c r="O7" s="41">
        <v>2600</v>
      </c>
      <c r="P7" s="30">
        <f>IF(B7="","",IF(O7="",CalorieTarget*IF(E7="",1,E7),O7))</f>
        <v>0</v>
      </c>
      <c r="Q7" s="40" t="s">
        <v>311</v>
      </c>
      <c r="R7" s="32" t="s">
        <v>745</v>
      </c>
      <c r="S7" s="40" t="s">
        <v>312</v>
      </c>
      <c r="T7" s="32" t="s">
        <v>746</v>
      </c>
      <c r="U7" s="18">
        <f>IF(B7="","",COUNTIFS('Meal Plan'!$O$5:$O$504,B7))</f>
        <v>0</v>
      </c>
      <c r="V7" s="15">
        <v>46486</v>
      </c>
      <c r="W7" s="42" t="s">
        <v>613</v>
      </c>
      <c r="X7" s="31">
        <f>IF(B7="","",IF(E7="","Add - no portion factor",IF(AND(G7&lt;&gt;"",G7&lt;&gt;"None"),"Check - allergy on file","OK")))</f>
        <v>0</v>
      </c>
      <c r="Y7" s="43" t="s">
        <v>747</v>
      </c>
    </row>
    <row r="8" spans="1:25">
      <c r="A8" s="39">
        <f>IF(B8="","","HH-"&amp;TEXT(ROW()-4,"00"))</f>
        <v>0</v>
      </c>
      <c r="B8" s="32" t="s">
        <v>748</v>
      </c>
      <c r="C8" s="32" t="s">
        <v>498</v>
      </c>
      <c r="D8" s="32" t="s">
        <v>498</v>
      </c>
      <c r="E8" s="38">
        <v>0.6</v>
      </c>
      <c r="F8" s="32" t="s">
        <v>396</v>
      </c>
      <c r="G8" s="32" t="s">
        <v>408</v>
      </c>
      <c r="H8" s="32" t="s">
        <v>157</v>
      </c>
      <c r="I8" s="32" t="s">
        <v>749</v>
      </c>
      <c r="J8" s="32" t="s">
        <v>750</v>
      </c>
      <c r="K8" s="40" t="s">
        <v>311</v>
      </c>
      <c r="L8" s="40" t="s">
        <v>311</v>
      </c>
      <c r="M8" s="40" t="s">
        <v>311</v>
      </c>
      <c r="N8" s="40" t="s">
        <v>311</v>
      </c>
      <c r="O8" s="41">
        <v>1400</v>
      </c>
      <c r="P8" s="30">
        <f>IF(B8="","",IF(O8="",CalorieTarget*IF(E8="",1,E8),O8))</f>
        <v>0</v>
      </c>
      <c r="Q8" s="40" t="s">
        <v>312</v>
      </c>
      <c r="R8" s="32" t="s">
        <v>157</v>
      </c>
      <c r="S8" s="40" t="s">
        <v>312</v>
      </c>
      <c r="T8" s="32" t="s">
        <v>751</v>
      </c>
      <c r="U8" s="18">
        <f>IF(B8="","",COUNTIFS('Meal Plan'!$O$5:$O$504,B8))</f>
        <v>0</v>
      </c>
      <c r="V8" s="15">
        <v>46356</v>
      </c>
      <c r="W8" s="42" t="s">
        <v>613</v>
      </c>
      <c r="X8" s="31">
        <f>IF(B8="","",IF(E8="","Add - no portion factor",IF(AND(G8&lt;&gt;"",G8&lt;&gt;"None"),"Check - allergy on file","OK")))</f>
        <v>0</v>
      </c>
      <c r="Y8" s="43" t="s">
        <v>752</v>
      </c>
    </row>
    <row r="9" spans="1:25">
      <c r="A9" s="39">
        <f>IF(B9="","","HH-"&amp;TEXT(ROW()-4,"00"))</f>
        <v>0</v>
      </c>
      <c r="P9" s="30">
        <f>IF(B9="","",IF(O9="",CalorieTarget*IF(E9="",1,E9),O9))</f>
        <v>0</v>
      </c>
      <c r="U9" s="18">
        <f>IF(B9="","",COUNTIFS('Meal Plan'!$O$5:$O$504,B9))</f>
        <v>0</v>
      </c>
      <c r="X9" s="31">
        <f>IF(B9="","",IF(E9="","Add - no portion factor",IF(AND(G9&lt;&gt;"",G9&lt;&gt;"None"),"Check - allergy on file","OK")))</f>
        <v>0</v>
      </c>
    </row>
    <row r="10" spans="1:25">
      <c r="A10" s="39">
        <f>IF(B10="","","HH-"&amp;TEXT(ROW()-4,"00"))</f>
        <v>0</v>
      </c>
      <c r="P10" s="30">
        <f>IF(B10="","",IF(O10="",CalorieTarget*IF(E10="",1,E10),O10))</f>
        <v>0</v>
      </c>
      <c r="U10" s="18">
        <f>IF(B10="","",COUNTIFS('Meal Plan'!$O$5:$O$504,B10))</f>
        <v>0</v>
      </c>
      <c r="X10" s="31">
        <f>IF(B10="","",IF(E10="","Add - no portion factor",IF(AND(G10&lt;&gt;"",G10&lt;&gt;"None"),"Check - allergy on file","OK")))</f>
        <v>0</v>
      </c>
    </row>
    <row r="11" spans="1:25">
      <c r="A11" s="39">
        <f>IF(B11="","","HH-"&amp;TEXT(ROW()-4,"00"))</f>
        <v>0</v>
      </c>
      <c r="P11" s="30">
        <f>IF(B11="","",IF(O11="",CalorieTarget*IF(E11="",1,E11),O11))</f>
        <v>0</v>
      </c>
      <c r="U11" s="18">
        <f>IF(B11="","",COUNTIFS('Meal Plan'!$O$5:$O$504,B11))</f>
        <v>0</v>
      </c>
      <c r="X11" s="31">
        <f>IF(B11="","",IF(E11="","Add - no portion factor",IF(AND(G11&lt;&gt;"",G11&lt;&gt;"None"),"Check - allergy on file","OK")))</f>
        <v>0</v>
      </c>
    </row>
    <row r="12" spans="1:25">
      <c r="A12" s="39">
        <f>IF(B12="","","HH-"&amp;TEXT(ROW()-4,"00"))</f>
        <v>0</v>
      </c>
      <c r="P12" s="30">
        <f>IF(B12="","",IF(O12="",CalorieTarget*IF(E12="",1,E12),O12))</f>
        <v>0</v>
      </c>
      <c r="U12" s="18">
        <f>IF(B12="","",COUNTIFS('Meal Plan'!$O$5:$O$504,B12))</f>
        <v>0</v>
      </c>
      <c r="X12" s="31">
        <f>IF(B12="","",IF(E12="","Add - no portion factor",IF(AND(G12&lt;&gt;"",G12&lt;&gt;"None"),"Check - allergy on file","OK")))</f>
        <v>0</v>
      </c>
    </row>
    <row r="13" spans="1:25">
      <c r="A13" s="39">
        <f>IF(B13="","","HH-"&amp;TEXT(ROW()-4,"00"))</f>
        <v>0</v>
      </c>
      <c r="P13" s="30">
        <f>IF(B13="","",IF(O13="",CalorieTarget*IF(E13="",1,E13),O13))</f>
        <v>0</v>
      </c>
      <c r="U13" s="18">
        <f>IF(B13="","",COUNTIFS('Meal Plan'!$O$5:$O$504,B13))</f>
        <v>0</v>
      </c>
      <c r="X13" s="31">
        <f>IF(B13="","",IF(E13="","Add - no portion factor",IF(AND(G13&lt;&gt;"",G13&lt;&gt;"None"),"Check - allergy on file","OK")))</f>
        <v>0</v>
      </c>
    </row>
    <row r="14" spans="1:25">
      <c r="A14" s="39">
        <f>IF(B14="","","HH-"&amp;TEXT(ROW()-4,"00"))</f>
        <v>0</v>
      </c>
      <c r="P14" s="30">
        <f>IF(B14="","",IF(O14="",CalorieTarget*IF(E14="",1,E14),O14))</f>
        <v>0</v>
      </c>
      <c r="U14" s="18">
        <f>IF(B14="","",COUNTIFS('Meal Plan'!$O$5:$O$504,B14))</f>
        <v>0</v>
      </c>
      <c r="X14" s="31">
        <f>IF(B14="","",IF(E14="","Add - no portion factor",IF(AND(G14&lt;&gt;"",G14&lt;&gt;"None"),"Check - allergy on file","OK")))</f>
        <v>0</v>
      </c>
    </row>
    <row r="15" spans="1:25">
      <c r="A15" s="39">
        <f>IF(B15="","","HH-"&amp;TEXT(ROW()-4,"00"))</f>
        <v>0</v>
      </c>
      <c r="P15" s="30">
        <f>IF(B15="","",IF(O15="",CalorieTarget*IF(E15="",1,E15),O15))</f>
        <v>0</v>
      </c>
      <c r="U15" s="18">
        <f>IF(B15="","",COUNTIFS('Meal Plan'!$O$5:$O$504,B15))</f>
        <v>0</v>
      </c>
      <c r="X15" s="31">
        <f>IF(B15="","",IF(E15="","Add - no portion factor",IF(AND(G15&lt;&gt;"",G15&lt;&gt;"None"),"Check - allergy on file","OK")))</f>
        <v>0</v>
      </c>
    </row>
    <row r="16" spans="1:25">
      <c r="A16" s="39">
        <f>IF(B16="","","HH-"&amp;TEXT(ROW()-4,"00"))</f>
        <v>0</v>
      </c>
      <c r="P16" s="30">
        <f>IF(B16="","",IF(O16="",CalorieTarget*IF(E16="",1,E16),O16))</f>
        <v>0</v>
      </c>
      <c r="U16" s="18">
        <f>IF(B16="","",COUNTIFS('Meal Plan'!$O$5:$O$504,B16))</f>
        <v>0</v>
      </c>
      <c r="X16" s="31">
        <f>IF(B16="","",IF(E16="","Add - no portion factor",IF(AND(G16&lt;&gt;"",G16&lt;&gt;"None"),"Check - allergy on file","OK")))</f>
        <v>0</v>
      </c>
    </row>
    <row r="18" spans="1:25" ht="20" customHeight="1">
      <c r="A18" s="7" t="s">
        <v>753</v>
      </c>
      <c r="B18" s="7"/>
      <c r="C18" s="7"/>
      <c r="D18" s="7"/>
      <c r="E18" s="7"/>
      <c r="F18" s="7"/>
      <c r="G18" s="7"/>
      <c r="H18" s="7"/>
      <c r="I18" s="7"/>
      <c r="J18" s="7"/>
      <c r="K18" s="7"/>
      <c r="L18" s="7"/>
      <c r="M18" s="7"/>
      <c r="N18" s="7"/>
      <c r="O18" s="7"/>
      <c r="P18" s="7"/>
      <c r="Q18" s="7"/>
      <c r="R18" s="7"/>
      <c r="S18" s="7"/>
      <c r="T18" s="7"/>
      <c r="U18" s="7"/>
      <c r="V18" s="7"/>
      <c r="W18" s="7"/>
      <c r="X18" s="7"/>
      <c r="Y18" s="7"/>
    </row>
    <row r="19" spans="1:25" ht="26" customHeight="1">
      <c r="A19" s="8" t="s">
        <v>160</v>
      </c>
      <c r="B19" s="9" t="s">
        <v>754</v>
      </c>
      <c r="C19" s="9" t="s">
        <v>755</v>
      </c>
      <c r="D19" s="9" t="s">
        <v>756</v>
      </c>
      <c r="E19" s="9" t="s">
        <v>757</v>
      </c>
      <c r="F19" s="9" t="s">
        <v>758</v>
      </c>
    </row>
    <row r="20" spans="1:25">
      <c r="A20" s="18">
        <f>COUNTIFS(Household!$B$5:$B$16,"&lt;&gt;",Household!$W$5:$W$16,"Active")</f>
        <v>0</v>
      </c>
      <c r="B20" s="45">
        <f>SUMIFS(Household!$E$5:$E$16,Household!$W$5:$W$16,"Active")</f>
        <v>0</v>
      </c>
      <c r="C20" s="30">
        <f>SUMIFS(Household!$P$5:$P$16,Household!$W$5:$W$16,"Active")</f>
        <v>0</v>
      </c>
      <c r="D20" s="18">
        <f>COUNTIFS(Household!$G$5:$G$16,"&lt;&gt;",Household!$G$5:$G$16,"&lt;&gt;None")</f>
        <v>0</v>
      </c>
      <c r="E20" s="18">
        <f>COUNTIF(Household!$N$5:$N$16,"Yes")</f>
        <v>0</v>
      </c>
      <c r="F20" s="18">
        <f>COUNTIF(Household!$Q$5:$Q$16,"Yes")</f>
        <v>0</v>
      </c>
    </row>
  </sheetData>
  <sheetProtection password="EC7C" sheet="1" objects="1" scenarios="1" formatCells="0" formatColumns="0" formatRows="0" insertRows="0" insertHyperlinks="0" deleteRows="0" autoFilter="0"/>
  <autoFilter ref="A4:Y16"/>
  <mergeCells count="14">
    <mergeCell ref="A1:V1"/>
    <mergeCell ref="W1:Y1"/>
    <mergeCell ref="A2:Y2"/>
    <mergeCell ref="A3:B3"/>
    <mergeCell ref="C3:D3"/>
    <mergeCell ref="E3:F3"/>
    <mergeCell ref="G3:H3"/>
    <mergeCell ref="I3:J3"/>
    <mergeCell ref="K3:L3"/>
    <mergeCell ref="M3:N3"/>
    <mergeCell ref="O3:P3"/>
    <mergeCell ref="Q3:R3"/>
    <mergeCell ref="S3:Y3"/>
    <mergeCell ref="A18:Y18"/>
  </mergeCells>
  <conditionalFormatting sqref="W5:W16">
    <cfRule type="containsText" dxfId="1" priority="1" operator="containsText" text="Prepared">
      <formula>NOT(ISERROR(SEARCH("Prepared",W5)))</formula>
    </cfRule>
    <cfRule type="containsText" dxfId="1" priority="2" operator="containsText" text="Cooked">
      <formula>NOT(ISERROR(SEARCH("Cooked",W5)))</formula>
    </cfRule>
    <cfRule type="containsText" dxfId="1" priority="3" operator="containsText" text="Eaten">
      <formula>NOT(ISERROR(SEARCH("Eaten",W5)))</formula>
    </cfRule>
    <cfRule type="containsText" dxfId="1" priority="4" operator="containsText" text="Bought">
      <formula>NOT(ISERROR(SEARCH("Bought",W5)))</formula>
    </cfRule>
    <cfRule type="containsText" dxfId="1" priority="5" operator="containsText" text="Purchased">
      <formula>NOT(ISERROR(SEARCH("Purchased",W5)))</formula>
    </cfRule>
    <cfRule type="containsText" dxfId="1" priority="6" operator="containsText" text="Done">
      <formula>NOT(ISERROR(SEARCH("Done",W5)))</formula>
    </cfRule>
    <cfRule type="containsText" dxfId="1" priority="7" operator="containsText" text="Complete">
      <formula>NOT(ISERROR(SEARCH("Complete",W5)))</formula>
    </cfRule>
    <cfRule type="containsText" dxfId="1" priority="8" operator="containsText" text="In stock">
      <formula>NOT(ISERROR(SEARCH("In stock",W5)))</formula>
    </cfRule>
    <cfRule type="containsText" dxfId="1" priority="9" operator="containsText" text="Yes">
      <formula>NOT(ISERROR(SEARCH("Yes",W5)))</formula>
    </cfRule>
    <cfRule type="containsText" dxfId="4" priority="10" operator="containsText" text="Planned">
      <formula>NOT(ISERROR(SEARCH("Planned",W5)))</formula>
    </cfRule>
    <cfRule type="containsText" dxfId="4" priority="11" operator="containsText" text="Scheduled">
      <formula>NOT(ISERROR(SEARCH("Scheduled",W5)))</formula>
    </cfRule>
    <cfRule type="containsText" dxfId="4" priority="12" operator="containsText" text="Shopping">
      <formula>NOT(ISERROR(SEARCH("Shopping",W5)))</formula>
    </cfRule>
    <cfRule type="containsText" dxfId="4" priority="13" operator="containsText" text="On the list">
      <formula>NOT(ISERROR(SEARCH("On the list",W5)))</formula>
    </cfRule>
    <cfRule type="containsText" dxfId="4" priority="14" operator="containsText" text="Prepping">
      <formula>NOT(ISERROR(SEARCH("Prepping",W5)))</formula>
    </cfRule>
    <cfRule type="containsText" dxfId="4" priority="15" operator="containsText" text="Frozen">
      <formula>NOT(ISERROR(SEARCH("Frozen",W5)))</formula>
    </cfRule>
    <cfRule type="containsText" dxfId="0" priority="16" operator="containsText" text="To do">
      <formula>NOT(ISERROR(SEARCH("To do",W5)))</formula>
    </cfRule>
    <cfRule type="containsText" dxfId="0" priority="17" operator="containsText" text="Not started">
      <formula>NOT(ISERROR(SEARCH("Not started",W5)))</formula>
    </cfRule>
    <cfRule type="containsText" dxfId="0" priority="18" operator="containsText" text="Low stock">
      <formula>NOT(ISERROR(SEARCH("Low stock",W5)))</formula>
    </cfRule>
    <cfRule type="containsText" dxfId="0" priority="19" operator="containsText" text="Use soon">
      <formula>NOT(ISERROR(SEARCH("Use soon",W5)))</formula>
    </cfRule>
    <cfRule type="containsText" dxfId="0" priority="20" operator="containsText" text="Defrosting">
      <formula>NOT(ISERROR(SEARCH("Defrosting",W5)))</formula>
    </cfRule>
    <cfRule type="containsText" dxfId="0" priority="21" operator="containsText" text="Substituted">
      <formula>NOT(ISERROR(SEARCH("Substituted",W5)))</formula>
    </cfRule>
    <cfRule type="containsText" dxfId="2" priority="22" operator="containsText" text="Out of stock">
      <formula>NOT(ISERROR(SEARCH("Out of stock",W5)))</formula>
    </cfRule>
    <cfRule type="containsText" dxfId="2" priority="23" operator="containsText" text="Expired">
      <formula>NOT(ISERROR(SEARCH("Expired",W5)))</formula>
    </cfRule>
    <cfRule type="containsText" dxfId="2" priority="24" operator="containsText" text="Skipped">
      <formula>NOT(ISERROR(SEARCH("Skipped",W5)))</formula>
    </cfRule>
    <cfRule type="containsText" dxfId="2" priority="25" operator="containsText" text="Binned">
      <formula>NOT(ISERROR(SEARCH("Binned",W5)))</formula>
    </cfRule>
    <cfRule type="containsText" dxfId="2" priority="26" operator="containsText" text="Wasted">
      <formula>NOT(ISERROR(SEARCH("Wasted",W5)))</formula>
    </cfRule>
    <cfRule type="containsText" dxfId="2" priority="27" operator="containsText" text="Cancelled">
      <formula>NOT(ISERROR(SEARCH("Cancelled",W5)))</formula>
    </cfRule>
    <cfRule type="containsText" dxfId="3" priority="28" operator="containsText" text="Archived">
      <formula>NOT(ISERROR(SEARCH("Archived",W5)))</formula>
    </cfRule>
    <cfRule type="containsText" dxfId="3" priority="29" operator="containsText" text="Not needed">
      <formula>NOT(ISERROR(SEARCH("Not needed",W5)))</formula>
    </cfRule>
  </conditionalFormatting>
  <conditionalFormatting sqref="X5:X16">
    <cfRule type="beginsWith" dxfId="1" priority="30" operator="beginsWith" text="OK">
      <formula>LEFT(X5,2)="OK"</formula>
    </cfRule>
    <cfRule type="containsText" dxfId="2" priority="31" operator="containsText" text="Overdue">
      <formula>NOT(ISERROR(SEARCH("Overdue",X5)))</formula>
    </cfRule>
    <cfRule type="containsText" dxfId="2" priority="32" operator="containsText" text="Late">
      <formula>NOT(ISERROR(SEARCH("Late",X5)))</formula>
    </cfRule>
    <cfRule type="containsText" dxfId="2" priority="33" operator="containsText" text="Missing">
      <formula>NOT(ISERROR(SEARCH("Missing",X5)))</formula>
    </cfRule>
    <cfRule type="containsText" dxfId="2" priority="34" operator="containsText" text="Conflict">
      <formula>NOT(ISERROR(SEARCH("Conflict",X5)))</formula>
    </cfRule>
    <cfRule type="containsText" dxfId="2" priority="35" operator="containsText" text="Expired">
      <formula>NOT(ISERROR(SEARCH("Expired",X5)))</formula>
    </cfRule>
    <cfRule type="containsText" dxfId="2" priority="36" operator="containsText" text="Duplicate">
      <formula>NOT(ISERROR(SEARCH("Duplicate",X5)))</formula>
    </cfRule>
    <cfRule type="containsText" dxfId="0" priority="37" operator="containsText" text="Action">
      <formula>NOT(ISERROR(SEARCH("Action",X5)))</formula>
    </cfRule>
    <cfRule type="containsText" dxfId="0" priority="38" operator="containsText" text="Due">
      <formula>NOT(ISERROR(SEARCH("Due",X5)))</formula>
    </cfRule>
    <cfRule type="containsText" dxfId="0" priority="39" operator="containsText" text="Check">
      <formula>NOT(ISERROR(SEARCH("Check",X5)))</formula>
    </cfRule>
    <cfRule type="containsText" dxfId="0" priority="40" operator="containsText" text="Add">
      <formula>NOT(ISERROR(SEARCH("Add",X5)))</formula>
    </cfRule>
    <cfRule type="containsText" dxfId="4" priority="41" operator="containsText" text="Today">
      <formula>NOT(ISERROR(SEARCH("Today",X5)))</formula>
    </cfRule>
    <cfRule type="containsText" dxfId="4" priority="42" operator="containsText" text="Upcoming">
      <formula>NOT(ISERROR(SEARCH("Upcoming",X5)))</formula>
    </cfRule>
  </conditionalFormatting>
  <dataValidations count="14">
    <dataValidation type="list" allowBlank="1" showInputMessage="1" showErrorMessage="1" sqref="C5:C16">
      <formula1>MemberRoleList</formula1>
    </dataValidation>
    <dataValidation type="list" allowBlank="1" showInputMessage="1" showErrorMessage="1" promptTitle="Age group" prompt="Only used to suggest a portion size." sqref="D5:D16">
      <formula1>AgeGroupList</formula1>
    </dataValidation>
    <dataValidation type="decimal" allowBlank="1" showInputMessage="1" showErrorMessage="1" errorTitle="Check the value" error="Enter a number between 0.25 and 3." promptTitle="Portion factor" prompt="1 is an adult portion. A small child might be 0.5, a teenager 1.5. The planner multiplies by this." sqref="E5:E16">
      <formula1>0.25</formula1>
      <formula2>3</formula2>
    </dataValidation>
    <dataValidation type="list" allowBlank="1" showInputMessage="1" showErrorMessage="1" sqref="F5:F16">
      <formula1>DietList</formula1>
    </dataValidation>
    <dataValidation type="list" allowBlank="1" showInputMessage="1" showErrorMessage="1" promptTitle="Allergies" prompt="The serious ones. Recipes containing them are flagged - but always read the label yourself." sqref="G5:G16">
      <formula1>AllergenList</formula1>
    </dataValidation>
    <dataValidation type="list" allowBlank="1" showInputMessage="1" showErrorMessage="1" sqref="K5:K16">
      <formula1>YesNoList</formula1>
    </dataValidation>
    <dataValidation type="list" allowBlank="1" showInputMessage="1" showErrorMessage="1" sqref="L5:L16">
      <formula1>YesNoList</formula1>
    </dataValidation>
    <dataValidation type="list" allowBlank="1" showInputMessage="1" showErrorMessage="1" sqref="M5:M16">
      <formula1>YesNoList</formula1>
    </dataValidation>
    <dataValidation type="list" allowBlank="1" showInputMessage="1" showErrorMessage="1" sqref="N5:N16">
      <formula1>YesNoList</formula1>
    </dataValidation>
    <dataValidation type="decimal" allowBlank="1" showInputMessage="1" showErrorMessage="1" errorTitle="Check the value" error="Enter a number between 0 and 6000." promptTitle="Daily calories" prompt="Leave blank to use the household target on the Settings tab." sqref="O5:O16">
      <formula1>0</formula1>
      <formula2>6000</formula2>
    </dataValidation>
    <dataValidation type="list" allowBlank="1" showInputMessage="1" showErrorMessage="1" sqref="Q5:Q16">
      <formula1>YesNoList</formula1>
    </dataValidation>
    <dataValidation type="list" allowBlank="1" showInputMessage="1" showErrorMessage="1" sqref="S5:S16">
      <formula1>YesNoList</formula1>
    </dataValidation>
    <dataValidation type="date" allowBlank="1" showInputMessage="1" showErrorMessage="1" errorTitle="Check the date" error="Enter a real date between 2000 and 2100." promptTitle="Birthday" prompt="So the special events tab can remind you." sqref="V5:V16">
      <formula1>36526</formula1>
      <formula2>73415</formula2>
    </dataValidation>
    <dataValidation type="list" allowBlank="1" showInputMessage="1" showErrorMessage="1" sqref="W5:W16">
      <formula1>ActiveList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&amp;L&amp;"Calibri,Bold"&amp;12&amp;C&amp;"Calibri,Bold"&amp;11Household&amp;R&amp;"Calibri,Italic"&amp;9Automated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2F5E43"/>
    <pageSetUpPr fitToPage="1"/>
  </sheetPr>
  <dimension ref="A1:BF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30.7109375" style="32" customWidth="1"/>
    <col min="3" max="3" width="14.7109375" style="32" customWidth="1"/>
    <col min="4" max="4" width="14.7109375" style="32" customWidth="1"/>
    <col min="5" max="5" width="14.7109375" style="32" customWidth="1"/>
    <col min="6" max="6" width="34.7109375" style="43" customWidth="1"/>
    <col min="7" max="7" width="8.7109375" style="35" customWidth="1"/>
    <col min="8" max="8" width="10.7109375" style="35" customWidth="1"/>
    <col min="9" max="9" width="10.7109375" style="35" customWidth="1"/>
    <col min="10" max="10" width="11.7109375" style="18" customWidth="1"/>
    <col min="11" max="11" width="11.7109375" style="46" customWidth="1"/>
    <col min="12" max="12" width="14.7109375" style="32" customWidth="1"/>
    <col min="13" max="13" width="11.7109375" style="32" customWidth="1"/>
    <col min="14" max="14" width="20.7109375" style="32" customWidth="1"/>
    <col min="15" max="15" width="9.7109375" style="40" customWidth="1"/>
    <col min="16" max="16" width="9.7109375" style="40" customWidth="1"/>
    <col min="17" max="17" width="13.7109375" style="40" customWidth="1"/>
    <col min="18" max="18" width="11.7109375" style="40" customWidth="1"/>
    <col min="19" max="19" width="11.7109375" style="40" customWidth="1"/>
    <col min="20" max="20" width="15.7109375" style="32" customWidth="1"/>
    <col min="21" max="21" width="11.7109375" style="32" customWidth="1"/>
    <col min="22" max="22" width="12.7109375" style="32" customWidth="1"/>
    <col min="23" max="23" width="20.7109375" style="32" customWidth="1"/>
    <col min="24" max="24" width="20.7109375" style="32" customWidth="1"/>
    <col min="25" max="25" width="24.7109375" style="47" customWidth="1"/>
    <col min="26" max="26" width="18.7109375" style="47" customWidth="1"/>
    <col min="27" max="27" width="46.7109375" style="43" customWidth="1"/>
    <col min="28" max="28" width="11.7109375" style="18" customWidth="1"/>
    <col min="29" max="29" width="12.7109375" style="25" customWidth="1"/>
    <col min="30" max="30" width="13.7109375" style="25" customWidth="1"/>
    <col min="31" max="31" width="13.7109375" style="30" customWidth="1"/>
    <col min="32" max="32" width="11.7109375" style="45" customWidth="1"/>
    <col min="33" max="33" width="10.7109375" style="45" customWidth="1"/>
    <col min="34" max="34" width="9.7109375" style="45" customWidth="1"/>
    <col min="35" max="35" width="10.7109375" style="45" customWidth="1"/>
    <col min="36" max="36" width="22.7109375" style="17" customWidth="1"/>
    <col min="37" max="37" width="9.7109375" style="18" hidden="1" customWidth="1"/>
    <col min="38" max="38" width="9.7109375" style="18" hidden="1" customWidth="1"/>
    <col min="39" max="39" width="9.7109375" style="18" hidden="1" customWidth="1"/>
    <col min="40" max="40" width="9.7109375" style="18" hidden="1" customWidth="1"/>
    <col min="41" max="41" width="9.7109375" style="18" hidden="1" customWidth="1"/>
    <col min="42" max="42" width="9.7109375" style="18" hidden="1" customWidth="1"/>
    <col min="43" max="43" width="9.7109375" style="18" hidden="1" customWidth="1"/>
    <col min="44" max="44" width="9.7109375" style="18" hidden="1" customWidth="1"/>
    <col min="45" max="45" width="9.7109375" style="45" hidden="1" customWidth="1"/>
    <col min="46" max="46" width="12.7109375" style="45" hidden="1" customWidth="1"/>
    <col min="47" max="47" width="12.7109375" style="25" hidden="1" customWidth="1"/>
    <col min="48" max="48" width="12.7109375" style="18" hidden="1" customWidth="1"/>
    <col min="49" max="49" width="11.7109375" style="40" customWidth="1"/>
    <col min="50" max="50" width="11.7109375" style="40" customWidth="1"/>
    <col min="51" max="51" width="10.7109375" style="40" customWidth="1"/>
    <col min="52" max="52" width="12.7109375" style="18" customWidth="1"/>
    <col min="53" max="53" width="12.7109375" style="18" customWidth="1"/>
    <col min="54" max="54" width="12.7109375" style="19" customWidth="1"/>
    <col min="55" max="55" width="10.7109375" style="18" customWidth="1"/>
    <col min="56" max="56" width="28.7109375" style="43" customWidth="1"/>
    <col min="57" max="57" width="11.7109375" style="15" customWidth="1"/>
    <col min="58" max="58" width="26.7109375" style="31" customWidth="1"/>
  </cols>
  <sheetData>
    <row r="1" spans="1:58" ht="34" customHeight="1">
      <c r="A1" s="2" t="s">
        <v>759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3" t="s">
        <v>1</v>
      </c>
      <c r="BE1" s="3"/>
      <c r="BF1" s="3"/>
    </row>
    <row r="2" spans="1:58" ht="18" customHeight="1">
      <c r="A2" s="4" t="s">
        <v>760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58"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761</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row>
    <row r="4" spans="1:58" ht="30" customHeight="1">
      <c r="A4" s="8" t="s">
        <v>708</v>
      </c>
      <c r="B4" s="8" t="s">
        <v>762</v>
      </c>
      <c r="C4" s="9" t="s">
        <v>763</v>
      </c>
      <c r="D4" s="9" t="s">
        <v>764</v>
      </c>
      <c r="E4" s="9" t="s">
        <v>335</v>
      </c>
      <c r="F4" s="9" t="s">
        <v>765</v>
      </c>
      <c r="G4" s="9" t="s">
        <v>766</v>
      </c>
      <c r="H4" s="9" t="s">
        <v>767</v>
      </c>
      <c r="I4" s="9" t="s">
        <v>768</v>
      </c>
      <c r="J4" s="9" t="s">
        <v>769</v>
      </c>
      <c r="K4" s="9" t="s">
        <v>770</v>
      </c>
      <c r="L4" s="9" t="s">
        <v>771</v>
      </c>
      <c r="M4" s="9" t="s">
        <v>367</v>
      </c>
      <c r="N4" s="9" t="s">
        <v>772</v>
      </c>
      <c r="O4" s="9" t="s">
        <v>773</v>
      </c>
      <c r="P4" s="9" t="s">
        <v>774</v>
      </c>
      <c r="Q4" s="9" t="s">
        <v>775</v>
      </c>
      <c r="R4" s="9" t="s">
        <v>776</v>
      </c>
      <c r="S4" s="9" t="s">
        <v>777</v>
      </c>
      <c r="T4" s="9" t="s">
        <v>778</v>
      </c>
      <c r="U4" s="9" t="s">
        <v>779</v>
      </c>
      <c r="V4" s="9" t="s">
        <v>780</v>
      </c>
      <c r="W4" s="9" t="s">
        <v>781</v>
      </c>
      <c r="X4" s="9" t="s">
        <v>782</v>
      </c>
      <c r="Y4" s="9" t="s">
        <v>783</v>
      </c>
      <c r="Z4" s="9" t="s">
        <v>784</v>
      </c>
      <c r="AA4" s="9" t="s">
        <v>785</v>
      </c>
      <c r="AB4" s="9" t="s">
        <v>21</v>
      </c>
      <c r="AC4" s="9" t="s">
        <v>786</v>
      </c>
      <c r="AD4" s="9" t="s">
        <v>787</v>
      </c>
      <c r="AE4" s="9" t="s">
        <v>788</v>
      </c>
      <c r="AF4" s="9" t="s">
        <v>253</v>
      </c>
      <c r="AG4" s="9" t="s">
        <v>789</v>
      </c>
      <c r="AH4" s="9" t="s">
        <v>255</v>
      </c>
      <c r="AI4" s="9" t="s">
        <v>256</v>
      </c>
      <c r="AJ4" s="9" t="s">
        <v>790</v>
      </c>
      <c r="AK4" s="9" t="s">
        <v>791</v>
      </c>
      <c r="AL4" s="9" t="s">
        <v>792</v>
      </c>
      <c r="AM4" s="9" t="s">
        <v>793</v>
      </c>
      <c r="AN4" s="9" t="s">
        <v>794</v>
      </c>
      <c r="AO4" s="9" t="s">
        <v>795</v>
      </c>
      <c r="AP4" s="9" t="s">
        <v>796</v>
      </c>
      <c r="AQ4" s="9" t="s">
        <v>797</v>
      </c>
      <c r="AR4" s="9" t="s">
        <v>798</v>
      </c>
      <c r="AS4" s="9" t="s">
        <v>799</v>
      </c>
      <c r="AT4" s="9" t="s">
        <v>800</v>
      </c>
      <c r="AU4" s="9" t="s">
        <v>801</v>
      </c>
      <c r="AV4" s="9" t="s">
        <v>802</v>
      </c>
      <c r="AW4" s="9" t="s">
        <v>803</v>
      </c>
      <c r="AX4" s="9" t="s">
        <v>804</v>
      </c>
      <c r="AY4" s="9" t="s">
        <v>805</v>
      </c>
      <c r="AZ4" s="9" t="s">
        <v>806</v>
      </c>
      <c r="BA4" s="9" t="s">
        <v>807</v>
      </c>
      <c r="BB4" s="9" t="s">
        <v>808</v>
      </c>
      <c r="BC4" s="9" t="s">
        <v>809</v>
      </c>
      <c r="BD4" s="9" t="s">
        <v>810</v>
      </c>
      <c r="BE4" s="9" t="s">
        <v>811</v>
      </c>
      <c r="BF4" s="9" t="s">
        <v>729</v>
      </c>
    </row>
    <row r="5" spans="1:58">
      <c r="A5" s="39">
        <f>IF(B5="","",RecipePrefix&amp;TEXT(ROW()-4,"0000"))</f>
        <v>0</v>
      </c>
      <c r="B5" s="32" t="s">
        <v>812</v>
      </c>
      <c r="C5" s="32" t="s">
        <v>325</v>
      </c>
      <c r="D5" s="32" t="s">
        <v>137</v>
      </c>
      <c r="E5" s="32" t="s">
        <v>337</v>
      </c>
      <c r="F5" s="43" t="s">
        <v>813</v>
      </c>
      <c r="G5" s="35">
        <v>4</v>
      </c>
      <c r="H5" s="35">
        <v>15</v>
      </c>
      <c r="I5" s="35">
        <v>45</v>
      </c>
      <c r="J5" s="18">
        <f>IF(B5="","",IF(AND(H5="",I5=""),"",IF(H5="",0,H5)+IF(I5="",0,I5)))</f>
        <v>0</v>
      </c>
      <c r="K5" s="46">
        <f>IF(J5="","",IF(J5&lt;=30,"Yes","No"))</f>
        <v>0</v>
      </c>
      <c r="L5" s="32" t="s">
        <v>355</v>
      </c>
      <c r="M5" s="32" t="s">
        <v>368</v>
      </c>
      <c r="N5" s="32" t="s">
        <v>814</v>
      </c>
      <c r="O5" s="40" t="s">
        <v>312</v>
      </c>
      <c r="P5" s="40" t="s">
        <v>312</v>
      </c>
      <c r="Q5" s="40" t="s">
        <v>311</v>
      </c>
      <c r="R5" s="40" t="s">
        <v>312</v>
      </c>
      <c r="S5" s="40" t="s">
        <v>311</v>
      </c>
      <c r="T5" s="32" t="s">
        <v>396</v>
      </c>
      <c r="U5" s="32" t="s">
        <v>372</v>
      </c>
      <c r="V5" s="32" t="s">
        <v>572</v>
      </c>
      <c r="W5" s="32" t="s">
        <v>815</v>
      </c>
      <c r="X5" s="32" t="s">
        <v>816</v>
      </c>
      <c r="Y5" s="47" t="s">
        <v>157</v>
      </c>
      <c r="Z5" s="47" t="s">
        <v>157</v>
      </c>
      <c r="AA5" s="43" t="s">
        <v>817</v>
      </c>
      <c r="AB5" s="18">
        <f>IF(A5="","",COUNTIFS('Recipe Ingredients'!$B$5:$B$1204,A5))</f>
        <v>0</v>
      </c>
      <c r="AC5" s="25">
        <f>IF(A5="","",SUMIFS('Recipe Ingredients'!$N$5:$N$1204,'Recipe Ingredients'!$B$5:$B$1204,A5))</f>
        <v>0</v>
      </c>
      <c r="AD5" s="25">
        <f>IF(OR(AC5="",G5=""),"",IF(G5=0,"",AC5/G5))</f>
        <v>0</v>
      </c>
      <c r="AE5" s="30">
        <f>IF(OR(A5="",G5=""),"",IF(G5=0,"",SUMIFS('Recipe Ingredients'!$Q$5:$Q$1204,'Recipe Ingredients'!$B$5:$B$1204,A5)/G5))</f>
        <v>0</v>
      </c>
      <c r="AF5" s="45">
        <f>IF(OR(A5="",G5=""),"",IF(G5=0,"",SUMIFS('Recipe Ingredients'!$R$5:$R$1204,'Recipe Ingredients'!$B$5:$B$1204,A5)/G5))</f>
        <v>0</v>
      </c>
      <c r="AG5" s="45">
        <f>IF(OR(A5="",G5=""),"",IF(G5=0,"",SUMIFS('Recipe Ingredients'!$S$5:$S$1204,'Recipe Ingredients'!$B$5:$B$1204,A5)/G5))</f>
        <v>0</v>
      </c>
      <c r="AH5" s="45">
        <f>IF(OR(A5="",G5=""),"",IF(G5=0,"",SUMIFS('Recipe Ingredients'!$T$5:$T$1204,'Recipe Ingredients'!$B$5:$B$1204,A5)/G5))</f>
        <v>0</v>
      </c>
      <c r="AI5" s="45">
        <f>IF(OR(A5="",G5=""),"",IF(G5=0,"",SUMIFS('Recipe Ingredients'!$U$5:$U$1204,'Recipe Ingredients'!$B$5:$B$1204,A5)/G5))</f>
        <v>0</v>
      </c>
      <c r="AJ5" s="17">
        <f>IF(A5="","",IF(COUNTIFS('Recipe Ingredients'!$B$5:$B$1204,A5,'Recipe Ingredients'!$V$5:$V$1204,"&lt;&gt;",'Recipe Ingredients'!$V$5:$V$1204,"&lt;&gt;None")=0,"None listed",COUNTIFS('Recipe Ingredients'!$B$5:$B$1204,A5,'Recipe Ingredients'!$V$5:$V$1204,"&lt;&gt;",'Recipe Ingredients'!$V$5:$V$1204,"&lt;&gt;None")&amp;" ingredient(s) flagged"))</f>
        <v>0</v>
      </c>
      <c r="AK5" s="18">
        <f>IF(OR(AD5="",NOT(ISNUMBER(AD5))),"",COUNTIFS($AD$5:$AD$204,"&lt;"&amp;AD5)+COUNTIFS($AD$5:AD5,AD5))</f>
        <v>0</v>
      </c>
      <c r="AL5" s="18">
        <f>IF(B5="",0,IF(AND(OR(FilterDiet="Any",T5=FilterDiet),OR(FilterCategory="Any",C5=FilterCategory),OR(FilterMethod="Any",L5=FilterMethod),OR(FilterTime=0,AND(J5&lt;&gt;"",J5&lt;=FilterTime)),OR(FilterCost=0,AND(AD5&lt;&gt;"",ISNUMBER(AD5),AD5&lt;=FilterCost)),OR(FilterAllergen="Any",COUNTIFS('Recipe Ingredients'!$B$5:$B$1204,A5,'Recipe Ingredients'!$V$5:$V$1204,FilterAllergen)=0)),1,0))</f>
        <v>0</v>
      </c>
      <c r="AM5" s="18">
        <f>IF(AL5=0,"",SUM($AL$5:AL5))</f>
        <v>0</v>
      </c>
      <c r="AN5" s="18">
        <f>IF(B5="","",COUNTIFS($AZ$5:$AZ$204,"&gt;"&amp;AZ5)+COUNTIFS($AZ$5:AZ5,AZ5))</f>
        <v>0</v>
      </c>
      <c r="AO5" s="18">
        <f>IF(B5="","",COUNTIFS($AE$5:$AE$204,"&gt;"&amp;AE5)+COUNTIFS($AE$5:AE5,AE5))</f>
        <v>0</v>
      </c>
      <c r="AP5" s="18">
        <f>IF(B5="","",COUNTIFS($AF$5:$AF$204,"&gt;"&amp;AF5)+COUNTIFS($AF$5:AF5,AF5))</f>
        <v>0</v>
      </c>
      <c r="AQ5" s="18">
        <f>IF(B5="","",COUNTIFS($AI$5:$AI$204,"&gt;"&amp;AI5)+COUNTIFS($AI$5:AI5,AI5))</f>
        <v>0</v>
      </c>
      <c r="AR5" s="18">
        <f>IF(B5="","",COUNTIFS($AS$5:$AS$204,"&gt;"&amp;AS5)+COUNTIFS($AS$5:AS5,AS5))</f>
        <v>0</v>
      </c>
      <c r="AS5" s="45">
        <f>IF(B5="","",IF(BB5="",99999,BC5))</f>
        <v>0</v>
      </c>
      <c r="AT5" s="45">
        <f>IF(A5="",0,SUMIFS('Meal Plan'!$L$5:$L$504,'Meal Plan'!$G$5:$G$504,A5,'Meal Plan'!$B$5:$B$504,"&gt;="&amp;ShopFrom,'Meal Plan'!$B$5:$B$504,"&lt;="&amp;ShopTo,'Meal Plan'!$M$5:$M$504,"Yes"))</f>
        <v>0</v>
      </c>
      <c r="AU5" s="25">
        <f>IF(OR(A5="",AC5=""),"",AC5*AT5)</f>
        <v>0</v>
      </c>
      <c r="AV5" s="18">
        <f>IF(A5="","",COUNTIFS('Recipe Ingredients'!$B$5:$B$1204,A5,'Recipe Ingredients'!$N$5:$N$1204,""))</f>
        <v>0</v>
      </c>
      <c r="AW5" s="40">
        <v>5</v>
      </c>
      <c r="AX5" s="40">
        <v>5</v>
      </c>
      <c r="AY5" s="40" t="s">
        <v>311</v>
      </c>
      <c r="AZ5" s="18">
        <f>IF(A5="","",COUNTIFS('Meal Plan'!$G$5:$G$504,A5))</f>
        <v>0</v>
      </c>
      <c r="BA5" s="18">
        <f>IF(A5="","",COUNTIFS('Meal Plan'!$G$5:$G$504,A5,'Meal Plan'!$N$5:$N$504,"Prepared")+COUNTIFS('Meal Plan'!$G$5:$G$504,A5,'Meal Plan'!$N$5:$N$504,"Eaten"))</f>
        <v>0</v>
      </c>
      <c r="BB5" s="19">
        <f>IF(A5="","",IF(COUNTIFS('Meal Plan'!$G$5:$G$504,A5,'Meal Plan'!$B$5:$B$504,"&lt;="&amp;TODAY())=0,"",SUMPRODUCT(MAX(('Meal Plan'!$G$5:$G$504=A5)*('Meal Plan'!$B$5:$B$504&lt;=TODAY())*'Meal Plan'!$B$5:$B$504))))</f>
        <v>0</v>
      </c>
      <c r="BC5" s="18">
        <f>IF(BB5="","",TODAY()-BB5)</f>
        <v>0</v>
      </c>
      <c r="BD5" s="43" t="s">
        <v>157</v>
      </c>
      <c r="BE5" s="15">
        <v>46249</v>
      </c>
      <c r="BF5" s="31">
        <f>IF(B5="","",IF(G5="","Add - how many does it serve?",IF(AB5=0,"Add - no ingredients listed yet",IF(AV5&gt;0,"Check - "&amp;AV5&amp;" ingredient(s) have no price",IF(AND(BC5&lt;&gt;"",BC5&lt;RotationGapDays),"Cooked recently","OK")))))</f>
        <v>0</v>
      </c>
    </row>
    <row r="6" spans="1:58">
      <c r="A6" s="39">
        <f>IF(B6="","",RecipePrefix&amp;TEXT(ROW()-4,"0000"))</f>
        <v>0</v>
      </c>
      <c r="B6" s="32" t="s">
        <v>818</v>
      </c>
      <c r="C6" s="32" t="s">
        <v>325</v>
      </c>
      <c r="D6" s="32" t="s">
        <v>137</v>
      </c>
      <c r="E6" s="32" t="s">
        <v>342</v>
      </c>
      <c r="F6" s="43" t="s">
        <v>819</v>
      </c>
      <c r="G6" s="35">
        <v>6</v>
      </c>
      <c r="H6" s="35">
        <v>20</v>
      </c>
      <c r="I6" s="35">
        <v>60</v>
      </c>
      <c r="J6" s="18">
        <f>IF(B6="","",IF(AND(H6="",I6=""),"",IF(H6="",0,H6)+IF(I6="",0,I6)))</f>
        <v>0</v>
      </c>
      <c r="K6" s="46">
        <f>IF(J6="","",IF(J6&lt;=30,"Yes","No"))</f>
        <v>0</v>
      </c>
      <c r="L6" s="32" t="s">
        <v>356</v>
      </c>
      <c r="M6" s="32" t="s">
        <v>368</v>
      </c>
      <c r="N6" s="32" t="s">
        <v>820</v>
      </c>
      <c r="O6" s="40" t="s">
        <v>312</v>
      </c>
      <c r="P6" s="40" t="s">
        <v>312</v>
      </c>
      <c r="Q6" s="40" t="s">
        <v>311</v>
      </c>
      <c r="R6" s="40" t="s">
        <v>311</v>
      </c>
      <c r="S6" s="40" t="s">
        <v>311</v>
      </c>
      <c r="T6" s="32" t="s">
        <v>396</v>
      </c>
      <c r="U6" s="32" t="s">
        <v>372</v>
      </c>
      <c r="V6" s="32" t="s">
        <v>572</v>
      </c>
      <c r="W6" s="32" t="s">
        <v>821</v>
      </c>
      <c r="X6" s="32" t="s">
        <v>816</v>
      </c>
      <c r="Y6" s="47" t="s">
        <v>157</v>
      </c>
      <c r="Z6" s="47" t="s">
        <v>157</v>
      </c>
      <c r="AA6" s="43" t="s">
        <v>817</v>
      </c>
      <c r="AB6" s="18">
        <f>IF(A6="","",COUNTIFS('Recipe Ingredients'!$B$5:$B$1204,A6))</f>
        <v>0</v>
      </c>
      <c r="AC6" s="25">
        <f>IF(A6="","",SUMIFS('Recipe Ingredients'!$N$5:$N$1204,'Recipe Ingredients'!$B$5:$B$1204,A6))</f>
        <v>0</v>
      </c>
      <c r="AD6" s="25">
        <f>IF(OR(AC6="",G6=""),"",IF(G6=0,"",AC6/G6))</f>
        <v>0</v>
      </c>
      <c r="AE6" s="30">
        <f>IF(OR(A6="",G6=""),"",IF(G6=0,"",SUMIFS('Recipe Ingredients'!$Q$5:$Q$1204,'Recipe Ingredients'!$B$5:$B$1204,A6)/G6))</f>
        <v>0</v>
      </c>
      <c r="AF6" s="45">
        <f>IF(OR(A6="",G6=""),"",IF(G6=0,"",SUMIFS('Recipe Ingredients'!$R$5:$R$1204,'Recipe Ingredients'!$B$5:$B$1204,A6)/G6))</f>
        <v>0</v>
      </c>
      <c r="AG6" s="45">
        <f>IF(OR(A6="",G6=""),"",IF(G6=0,"",SUMIFS('Recipe Ingredients'!$S$5:$S$1204,'Recipe Ingredients'!$B$5:$B$1204,A6)/G6))</f>
        <v>0</v>
      </c>
      <c r="AH6" s="45">
        <f>IF(OR(A6="",G6=""),"",IF(G6=0,"",SUMIFS('Recipe Ingredients'!$T$5:$T$1204,'Recipe Ingredients'!$B$5:$B$1204,A6)/G6))</f>
        <v>0</v>
      </c>
      <c r="AI6" s="45">
        <f>IF(OR(A6="",G6=""),"",IF(G6=0,"",SUMIFS('Recipe Ingredients'!$U$5:$U$1204,'Recipe Ingredients'!$B$5:$B$1204,A6)/G6))</f>
        <v>0</v>
      </c>
      <c r="AJ6" s="17">
        <f>IF(A6="","",IF(COUNTIFS('Recipe Ingredients'!$B$5:$B$1204,A6,'Recipe Ingredients'!$V$5:$V$1204,"&lt;&gt;",'Recipe Ingredients'!$V$5:$V$1204,"&lt;&gt;None")=0,"None listed",COUNTIFS('Recipe Ingredients'!$B$5:$B$1204,A6,'Recipe Ingredients'!$V$5:$V$1204,"&lt;&gt;",'Recipe Ingredients'!$V$5:$V$1204,"&lt;&gt;None")&amp;" ingredient(s) flagged"))</f>
        <v>0</v>
      </c>
      <c r="AK6" s="18">
        <f>IF(OR(AD6="",NOT(ISNUMBER(AD6))),"",COUNTIFS($AD$5:$AD$204,"&lt;"&amp;AD6)+COUNTIFS($AD$5:AD6,AD6))</f>
        <v>0</v>
      </c>
      <c r="AL6" s="18">
        <f>IF(B6="",0,IF(AND(OR(FilterDiet="Any",T6=FilterDiet),OR(FilterCategory="Any",C6=FilterCategory),OR(FilterMethod="Any",L6=FilterMethod),OR(FilterTime=0,AND(J6&lt;&gt;"",J6&lt;=FilterTime)),OR(FilterCost=0,AND(AD6&lt;&gt;"",ISNUMBER(AD6),AD6&lt;=FilterCost)),OR(FilterAllergen="Any",COUNTIFS('Recipe Ingredients'!$B$5:$B$1204,A6,'Recipe Ingredients'!$V$5:$V$1204,FilterAllergen)=0)),1,0))</f>
        <v>0</v>
      </c>
      <c r="AM6" s="18">
        <f>IF(AL6=0,"",SUM($AL$5:AL6))</f>
        <v>0</v>
      </c>
      <c r="AN6" s="18">
        <f>IF(B6="","",COUNTIFS($AZ$5:$AZ$204,"&gt;"&amp;AZ6)+COUNTIFS($AZ$5:AZ6,AZ6))</f>
        <v>0</v>
      </c>
      <c r="AO6" s="18">
        <f>IF(B6="","",COUNTIFS($AE$5:$AE$204,"&gt;"&amp;AE6)+COUNTIFS($AE$5:AE6,AE6))</f>
        <v>0</v>
      </c>
      <c r="AP6" s="18">
        <f>IF(B6="","",COUNTIFS($AF$5:$AF$204,"&gt;"&amp;AF6)+COUNTIFS($AF$5:AF6,AF6))</f>
        <v>0</v>
      </c>
      <c r="AQ6" s="18">
        <f>IF(B6="","",COUNTIFS($AI$5:$AI$204,"&gt;"&amp;AI6)+COUNTIFS($AI$5:AI6,AI6))</f>
        <v>0</v>
      </c>
      <c r="AR6" s="18">
        <f>IF(B6="","",COUNTIFS($AS$5:$AS$204,"&gt;"&amp;AS6)+COUNTIFS($AS$5:AS6,AS6))</f>
        <v>0</v>
      </c>
      <c r="AS6" s="45">
        <f>IF(B6="","",IF(BB6="",99999,BC6))</f>
        <v>0</v>
      </c>
      <c r="AT6" s="45">
        <f>IF(A6="",0,SUMIFS('Meal Plan'!$L$5:$L$504,'Meal Plan'!$G$5:$G$504,A6,'Meal Plan'!$B$5:$B$504,"&gt;="&amp;ShopFrom,'Meal Plan'!$B$5:$B$504,"&lt;="&amp;ShopTo,'Meal Plan'!$M$5:$M$504,"Yes"))</f>
        <v>0</v>
      </c>
      <c r="AU6" s="25">
        <f>IF(OR(A6="",AC6=""),"",AC6*AT6)</f>
        <v>0</v>
      </c>
      <c r="AV6" s="18">
        <f>IF(A6="","",COUNTIFS('Recipe Ingredients'!$B$5:$B$1204,A6,'Recipe Ingredients'!$N$5:$N$1204,""))</f>
        <v>0</v>
      </c>
      <c r="AW6" s="40">
        <v>5</v>
      </c>
      <c r="AX6" s="40">
        <v>4</v>
      </c>
      <c r="AY6" s="40" t="s">
        <v>311</v>
      </c>
      <c r="AZ6" s="18">
        <f>IF(A6="","",COUNTIFS('Meal Plan'!$G$5:$G$504,A6))</f>
        <v>0</v>
      </c>
      <c r="BA6" s="18">
        <f>IF(A6="","",COUNTIFS('Meal Plan'!$G$5:$G$504,A6,'Meal Plan'!$N$5:$N$504,"Prepared")+COUNTIFS('Meal Plan'!$G$5:$G$504,A6,'Meal Plan'!$N$5:$N$504,"Eaten"))</f>
        <v>0</v>
      </c>
      <c r="BB6" s="19">
        <f>IF(A6="","",IF(COUNTIFS('Meal Plan'!$G$5:$G$504,A6,'Meal Plan'!$B$5:$B$504,"&lt;="&amp;TODAY())=0,"",SUMPRODUCT(MAX(('Meal Plan'!$G$5:$G$504=A6)*('Meal Plan'!$B$5:$B$504&lt;=TODAY())*'Meal Plan'!$B$5:$B$504))))</f>
        <v>0</v>
      </c>
      <c r="BC6" s="18">
        <f>IF(BB6="","",TODAY()-BB6)</f>
        <v>0</v>
      </c>
      <c r="BD6" s="43" t="s">
        <v>157</v>
      </c>
      <c r="BE6" s="15">
        <v>45979</v>
      </c>
      <c r="BF6" s="31">
        <f>IF(B6="","",IF(G6="","Add - how many does it serve?",IF(AB6=0,"Add - no ingredients listed yet",IF(AV6&gt;0,"Check - "&amp;AV6&amp;" ingredient(s) have no price",IF(AND(BC6&lt;&gt;"",BC6&lt;RotationGapDays),"Cooked recently","OK")))))</f>
        <v>0</v>
      </c>
    </row>
    <row r="7" spans="1:58">
      <c r="A7" s="39">
        <f>IF(B7="","",RecipePrefix&amp;TEXT(ROW()-4,"0000"))</f>
        <v>0</v>
      </c>
      <c r="B7" s="32" t="s">
        <v>822</v>
      </c>
      <c r="C7" s="32" t="s">
        <v>325</v>
      </c>
      <c r="D7" s="32" t="s">
        <v>137</v>
      </c>
      <c r="E7" s="32" t="s">
        <v>341</v>
      </c>
      <c r="F7" s="43" t="s">
        <v>823</v>
      </c>
      <c r="G7" s="35">
        <v>4</v>
      </c>
      <c r="H7" s="35">
        <v>10</v>
      </c>
      <c r="I7" s="35">
        <v>30</v>
      </c>
      <c r="J7" s="18">
        <f>IF(B7="","",IF(AND(H7="",I7=""),"",IF(H7="",0,H7)+IF(I7="",0,I7)))</f>
        <v>0</v>
      </c>
      <c r="K7" s="46">
        <f>IF(J7="","",IF(J7&lt;=30,"Yes","No"))</f>
        <v>0</v>
      </c>
      <c r="L7" s="32" t="s">
        <v>357</v>
      </c>
      <c r="M7" s="32" t="s">
        <v>368</v>
      </c>
      <c r="N7" s="32" t="s">
        <v>157</v>
      </c>
      <c r="O7" s="40" t="s">
        <v>311</v>
      </c>
      <c r="P7" s="40" t="s">
        <v>312</v>
      </c>
      <c r="Q7" s="40" t="s">
        <v>311</v>
      </c>
      <c r="R7" s="40" t="s">
        <v>311</v>
      </c>
      <c r="S7" s="40" t="s">
        <v>312</v>
      </c>
      <c r="T7" s="32" t="s">
        <v>383</v>
      </c>
      <c r="U7" s="32" t="s">
        <v>373</v>
      </c>
      <c r="V7" s="32" t="s">
        <v>572</v>
      </c>
      <c r="W7" s="32" t="s">
        <v>824</v>
      </c>
      <c r="X7" s="32" t="s">
        <v>157</v>
      </c>
      <c r="Y7" s="47" t="s">
        <v>157</v>
      </c>
      <c r="Z7" s="47" t="s">
        <v>157</v>
      </c>
      <c r="AA7" s="43" t="s">
        <v>817</v>
      </c>
      <c r="AB7" s="18">
        <f>IF(A7="","",COUNTIFS('Recipe Ingredients'!$B$5:$B$1204,A7))</f>
        <v>0</v>
      </c>
      <c r="AC7" s="25">
        <f>IF(A7="","",SUMIFS('Recipe Ingredients'!$N$5:$N$1204,'Recipe Ingredients'!$B$5:$B$1204,A7))</f>
        <v>0</v>
      </c>
      <c r="AD7" s="25">
        <f>IF(OR(AC7="",G7=""),"",IF(G7=0,"",AC7/G7))</f>
        <v>0</v>
      </c>
      <c r="AE7" s="30">
        <f>IF(OR(A7="",G7=""),"",IF(G7=0,"",SUMIFS('Recipe Ingredients'!$Q$5:$Q$1204,'Recipe Ingredients'!$B$5:$B$1204,A7)/G7))</f>
        <v>0</v>
      </c>
      <c r="AF7" s="45">
        <f>IF(OR(A7="",G7=""),"",IF(G7=0,"",SUMIFS('Recipe Ingredients'!$R$5:$R$1204,'Recipe Ingredients'!$B$5:$B$1204,A7)/G7))</f>
        <v>0</v>
      </c>
      <c r="AG7" s="45">
        <f>IF(OR(A7="",G7=""),"",IF(G7=0,"",SUMIFS('Recipe Ingredients'!$S$5:$S$1204,'Recipe Ingredients'!$B$5:$B$1204,A7)/G7))</f>
        <v>0</v>
      </c>
      <c r="AH7" s="45">
        <f>IF(OR(A7="",G7=""),"",IF(G7=0,"",SUMIFS('Recipe Ingredients'!$T$5:$T$1204,'Recipe Ingredients'!$B$5:$B$1204,A7)/G7))</f>
        <v>0</v>
      </c>
      <c r="AI7" s="45">
        <f>IF(OR(A7="",G7=""),"",IF(G7=0,"",SUMIFS('Recipe Ingredients'!$U$5:$U$1204,'Recipe Ingredients'!$B$5:$B$1204,A7)/G7))</f>
        <v>0</v>
      </c>
      <c r="AJ7" s="17">
        <f>IF(A7="","",IF(COUNTIFS('Recipe Ingredients'!$B$5:$B$1204,A7,'Recipe Ingredients'!$V$5:$V$1204,"&lt;&gt;",'Recipe Ingredients'!$V$5:$V$1204,"&lt;&gt;None")=0,"None listed",COUNTIFS('Recipe Ingredients'!$B$5:$B$1204,A7,'Recipe Ingredients'!$V$5:$V$1204,"&lt;&gt;",'Recipe Ingredients'!$V$5:$V$1204,"&lt;&gt;None")&amp;" ingredient(s) flagged"))</f>
        <v>0</v>
      </c>
      <c r="AK7" s="18">
        <f>IF(OR(AD7="",NOT(ISNUMBER(AD7))),"",COUNTIFS($AD$5:$AD$204,"&lt;"&amp;AD7)+COUNTIFS($AD$5:AD7,AD7))</f>
        <v>0</v>
      </c>
      <c r="AL7" s="18">
        <f>IF(B7="",0,IF(AND(OR(FilterDiet="Any",T7=FilterDiet),OR(FilterCategory="Any",C7=FilterCategory),OR(FilterMethod="Any",L7=FilterMethod),OR(FilterTime=0,AND(J7&lt;&gt;"",J7&lt;=FilterTime)),OR(FilterCost=0,AND(AD7&lt;&gt;"",ISNUMBER(AD7),AD7&lt;=FilterCost)),OR(FilterAllergen="Any",COUNTIFS('Recipe Ingredients'!$B$5:$B$1204,A7,'Recipe Ingredients'!$V$5:$V$1204,FilterAllergen)=0)),1,0))</f>
        <v>0</v>
      </c>
      <c r="AM7" s="18">
        <f>IF(AL7=0,"",SUM($AL$5:AL7))</f>
        <v>0</v>
      </c>
      <c r="AN7" s="18">
        <f>IF(B7="","",COUNTIFS($AZ$5:$AZ$204,"&gt;"&amp;AZ7)+COUNTIFS($AZ$5:AZ7,AZ7))</f>
        <v>0</v>
      </c>
      <c r="AO7" s="18">
        <f>IF(B7="","",COUNTIFS($AE$5:$AE$204,"&gt;"&amp;AE7)+COUNTIFS($AE$5:AE7,AE7))</f>
        <v>0</v>
      </c>
      <c r="AP7" s="18">
        <f>IF(B7="","",COUNTIFS($AF$5:$AF$204,"&gt;"&amp;AF7)+COUNTIFS($AF$5:AF7,AF7))</f>
        <v>0</v>
      </c>
      <c r="AQ7" s="18">
        <f>IF(B7="","",COUNTIFS($AI$5:$AI$204,"&gt;"&amp;AI7)+COUNTIFS($AI$5:AI7,AI7))</f>
        <v>0</v>
      </c>
      <c r="AR7" s="18">
        <f>IF(B7="","",COUNTIFS($AS$5:$AS$204,"&gt;"&amp;AS7)+COUNTIFS($AS$5:AS7,AS7))</f>
        <v>0</v>
      </c>
      <c r="AS7" s="45">
        <f>IF(B7="","",IF(BB7="",99999,BC7))</f>
        <v>0</v>
      </c>
      <c r="AT7" s="45">
        <f>IF(A7="",0,SUMIFS('Meal Plan'!$L$5:$L$504,'Meal Plan'!$G$5:$G$504,A7,'Meal Plan'!$B$5:$B$504,"&gt;="&amp;ShopFrom,'Meal Plan'!$B$5:$B$504,"&lt;="&amp;ShopTo,'Meal Plan'!$M$5:$M$504,"Yes"))</f>
        <v>0</v>
      </c>
      <c r="AU7" s="25">
        <f>IF(OR(A7="",AC7=""),"",AC7*AT7)</f>
        <v>0</v>
      </c>
      <c r="AV7" s="18">
        <f>IF(A7="","",COUNTIFS('Recipe Ingredients'!$B$5:$B$1204,A7,'Recipe Ingredients'!$N$5:$N$1204,""))</f>
        <v>0</v>
      </c>
      <c r="AW7" s="40">
        <v>4</v>
      </c>
      <c r="AX7" s="40">
        <v>4</v>
      </c>
      <c r="AY7" s="40" t="s">
        <v>312</v>
      </c>
      <c r="AZ7" s="18">
        <f>IF(A7="","",COUNTIFS('Meal Plan'!$G$5:$G$504,A7))</f>
        <v>0</v>
      </c>
      <c r="BA7" s="18">
        <f>IF(A7="","",COUNTIFS('Meal Plan'!$G$5:$G$504,A7,'Meal Plan'!$N$5:$N$504,"Prepared")+COUNTIFS('Meal Plan'!$G$5:$G$504,A7,'Meal Plan'!$N$5:$N$504,"Eaten"))</f>
        <v>0</v>
      </c>
      <c r="BB7" s="19">
        <f>IF(A7="","",IF(COUNTIFS('Meal Plan'!$G$5:$G$504,A7,'Meal Plan'!$B$5:$B$504,"&lt;="&amp;TODAY())=0,"",SUMPRODUCT(MAX(('Meal Plan'!$G$5:$G$504=A7)*('Meal Plan'!$B$5:$B$504&lt;=TODAY())*'Meal Plan'!$B$5:$B$504))))</f>
        <v>0</v>
      </c>
      <c r="BC7" s="18">
        <f>IF(BB7="","",TODAY()-BB7)</f>
        <v>0</v>
      </c>
      <c r="BD7" s="43" t="s">
        <v>157</v>
      </c>
      <c r="BE7" s="15">
        <v>45952</v>
      </c>
      <c r="BF7" s="31">
        <f>IF(B7="","",IF(G7="","Add - how many does it serve?",IF(AB7=0,"Add - no ingredients listed yet",IF(AV7&gt;0,"Check - "&amp;AV7&amp;" ingredient(s) have no price",IF(AND(BC7&lt;&gt;"",BC7&lt;RotationGapDays),"Cooked recently","OK")))))</f>
        <v>0</v>
      </c>
    </row>
    <row r="8" spans="1:58">
      <c r="A8" s="39">
        <f>IF(B8="","",RecipePrefix&amp;TEXT(ROW()-4,"0000"))</f>
        <v>0</v>
      </c>
      <c r="B8" s="32" t="s">
        <v>825</v>
      </c>
      <c r="C8" s="32" t="s">
        <v>325</v>
      </c>
      <c r="D8" s="32" t="s">
        <v>137</v>
      </c>
      <c r="E8" s="32" t="s">
        <v>337</v>
      </c>
      <c r="F8" s="43" t="s">
        <v>826</v>
      </c>
      <c r="G8" s="35">
        <v>2</v>
      </c>
      <c r="H8" s="35">
        <v>10</v>
      </c>
      <c r="I8" s="35">
        <v>25</v>
      </c>
      <c r="J8" s="18">
        <f>IF(B8="","",IF(AND(H8="",I8=""),"",IF(H8="",0,H8)+IF(I8="",0,I8)))</f>
        <v>0</v>
      </c>
      <c r="K8" s="46">
        <f>IF(J8="","",IF(J8&lt;=30,"Yes","No"))</f>
        <v>0</v>
      </c>
      <c r="L8" s="32" t="s">
        <v>355</v>
      </c>
      <c r="M8" s="32" t="s">
        <v>368</v>
      </c>
      <c r="N8" s="32" t="s">
        <v>814</v>
      </c>
      <c r="O8" s="40" t="s">
        <v>312</v>
      </c>
      <c r="P8" s="40" t="s">
        <v>312</v>
      </c>
      <c r="Q8" s="40" t="s">
        <v>312</v>
      </c>
      <c r="R8" s="40" t="s">
        <v>312</v>
      </c>
      <c r="S8" s="40" t="s">
        <v>312</v>
      </c>
      <c r="T8" s="32" t="s">
        <v>384</v>
      </c>
      <c r="U8" s="32" t="s">
        <v>372</v>
      </c>
      <c r="V8" s="32" t="s">
        <v>572</v>
      </c>
      <c r="W8" s="32" t="s">
        <v>827</v>
      </c>
      <c r="X8" s="32" t="s">
        <v>157</v>
      </c>
      <c r="Y8" s="47" t="s">
        <v>157</v>
      </c>
      <c r="Z8" s="47" t="s">
        <v>157</v>
      </c>
      <c r="AA8" s="43" t="s">
        <v>817</v>
      </c>
      <c r="AB8" s="18">
        <f>IF(A8="","",COUNTIFS('Recipe Ingredients'!$B$5:$B$1204,A8))</f>
        <v>0</v>
      </c>
      <c r="AC8" s="25">
        <f>IF(A8="","",SUMIFS('Recipe Ingredients'!$N$5:$N$1204,'Recipe Ingredients'!$B$5:$B$1204,A8))</f>
        <v>0</v>
      </c>
      <c r="AD8" s="25">
        <f>IF(OR(AC8="",G8=""),"",IF(G8=0,"",AC8/G8))</f>
        <v>0</v>
      </c>
      <c r="AE8" s="30">
        <f>IF(OR(A8="",G8=""),"",IF(G8=0,"",SUMIFS('Recipe Ingredients'!$Q$5:$Q$1204,'Recipe Ingredients'!$B$5:$B$1204,A8)/G8))</f>
        <v>0</v>
      </c>
      <c r="AF8" s="45">
        <f>IF(OR(A8="",G8=""),"",IF(G8=0,"",SUMIFS('Recipe Ingredients'!$R$5:$R$1204,'Recipe Ingredients'!$B$5:$B$1204,A8)/G8))</f>
        <v>0</v>
      </c>
      <c r="AG8" s="45">
        <f>IF(OR(A8="",G8=""),"",IF(G8=0,"",SUMIFS('Recipe Ingredients'!$S$5:$S$1204,'Recipe Ingredients'!$B$5:$B$1204,A8)/G8))</f>
        <v>0</v>
      </c>
      <c r="AH8" s="45">
        <f>IF(OR(A8="",G8=""),"",IF(G8=0,"",SUMIFS('Recipe Ingredients'!$T$5:$T$1204,'Recipe Ingredients'!$B$5:$B$1204,A8)/G8))</f>
        <v>0</v>
      </c>
      <c r="AI8" s="45">
        <f>IF(OR(A8="",G8=""),"",IF(G8=0,"",SUMIFS('Recipe Ingredients'!$U$5:$U$1204,'Recipe Ingredients'!$B$5:$B$1204,A8)/G8))</f>
        <v>0</v>
      </c>
      <c r="AJ8" s="17">
        <f>IF(A8="","",IF(COUNTIFS('Recipe Ingredients'!$B$5:$B$1204,A8,'Recipe Ingredients'!$V$5:$V$1204,"&lt;&gt;",'Recipe Ingredients'!$V$5:$V$1204,"&lt;&gt;None")=0,"None listed",COUNTIFS('Recipe Ingredients'!$B$5:$B$1204,A8,'Recipe Ingredients'!$V$5:$V$1204,"&lt;&gt;",'Recipe Ingredients'!$V$5:$V$1204,"&lt;&gt;None")&amp;" ingredient(s) flagged"))</f>
        <v>0</v>
      </c>
      <c r="AK8" s="18">
        <f>IF(OR(AD8="",NOT(ISNUMBER(AD8))),"",COUNTIFS($AD$5:$AD$204,"&lt;"&amp;AD8)+COUNTIFS($AD$5:AD8,AD8))</f>
        <v>0</v>
      </c>
      <c r="AL8" s="18">
        <f>IF(B8="",0,IF(AND(OR(FilterDiet="Any",T8=FilterDiet),OR(FilterCategory="Any",C8=FilterCategory),OR(FilterMethod="Any",L8=FilterMethod),OR(FilterTime=0,AND(J8&lt;&gt;"",J8&lt;=FilterTime)),OR(FilterCost=0,AND(AD8&lt;&gt;"",ISNUMBER(AD8),AD8&lt;=FilterCost)),OR(FilterAllergen="Any",COUNTIFS('Recipe Ingredients'!$B$5:$B$1204,A8,'Recipe Ingredients'!$V$5:$V$1204,FilterAllergen)=0)),1,0))</f>
        <v>0</v>
      </c>
      <c r="AM8" s="18">
        <f>IF(AL8=0,"",SUM($AL$5:AL8))</f>
        <v>0</v>
      </c>
      <c r="AN8" s="18">
        <f>IF(B8="","",COUNTIFS($AZ$5:$AZ$204,"&gt;"&amp;AZ8)+COUNTIFS($AZ$5:AZ8,AZ8))</f>
        <v>0</v>
      </c>
      <c r="AO8" s="18">
        <f>IF(B8="","",COUNTIFS($AE$5:$AE$204,"&gt;"&amp;AE8)+COUNTIFS($AE$5:AE8,AE8))</f>
        <v>0</v>
      </c>
      <c r="AP8" s="18">
        <f>IF(B8="","",COUNTIFS($AF$5:$AF$204,"&gt;"&amp;AF8)+COUNTIFS($AF$5:AF8,AF8))</f>
        <v>0</v>
      </c>
      <c r="AQ8" s="18">
        <f>IF(B8="","",COUNTIFS($AI$5:$AI$204,"&gt;"&amp;AI8)+COUNTIFS($AI$5:AI8,AI8))</f>
        <v>0</v>
      </c>
      <c r="AR8" s="18">
        <f>IF(B8="","",COUNTIFS($AS$5:$AS$204,"&gt;"&amp;AS8)+COUNTIFS($AS$5:AS8,AS8))</f>
        <v>0</v>
      </c>
      <c r="AS8" s="45">
        <f>IF(B8="","",IF(BB8="",99999,BC8))</f>
        <v>0</v>
      </c>
      <c r="AT8" s="45">
        <f>IF(A8="",0,SUMIFS('Meal Plan'!$L$5:$L$504,'Meal Plan'!$G$5:$G$504,A8,'Meal Plan'!$B$5:$B$504,"&gt;="&amp;ShopFrom,'Meal Plan'!$B$5:$B$504,"&lt;="&amp;ShopTo,'Meal Plan'!$M$5:$M$504,"Yes"))</f>
        <v>0</v>
      </c>
      <c r="AU8" s="25">
        <f>IF(OR(A8="",AC8=""),"",AC8*AT8)</f>
        <v>0</v>
      </c>
      <c r="AV8" s="18">
        <f>IF(A8="","",COUNTIFS('Recipe Ingredients'!$B$5:$B$1204,A8,'Recipe Ingredients'!$N$5:$N$1204,""))</f>
        <v>0</v>
      </c>
      <c r="AW8" s="40">
        <v>4</v>
      </c>
      <c r="AX8" s="40">
        <v>3</v>
      </c>
      <c r="AY8" s="40" t="s">
        <v>312</v>
      </c>
      <c r="AZ8" s="18">
        <f>IF(A8="","",COUNTIFS('Meal Plan'!$G$5:$G$504,A8))</f>
        <v>0</v>
      </c>
      <c r="BA8" s="18">
        <f>IF(A8="","",COUNTIFS('Meal Plan'!$G$5:$G$504,A8,'Meal Plan'!$N$5:$N$504,"Prepared")+COUNTIFS('Meal Plan'!$G$5:$G$504,A8,'Meal Plan'!$N$5:$N$504,"Eaten"))</f>
        <v>0</v>
      </c>
      <c r="BB8" s="19">
        <f>IF(A8="","",IF(COUNTIFS('Meal Plan'!$G$5:$G$504,A8,'Meal Plan'!$B$5:$B$504,"&lt;="&amp;TODAY())=0,"",SUMPRODUCT(MAX(('Meal Plan'!$G$5:$G$504=A8)*('Meal Plan'!$B$5:$B$504&lt;=TODAY())*'Meal Plan'!$B$5:$B$504))))</f>
        <v>0</v>
      </c>
      <c r="BC8" s="18">
        <f>IF(BB8="","",TODAY()-BB8)</f>
        <v>0</v>
      </c>
      <c r="BD8" s="43" t="s">
        <v>157</v>
      </c>
      <c r="BE8" s="15">
        <v>46240</v>
      </c>
      <c r="BF8" s="31">
        <f>IF(B8="","",IF(G8="","Add - how many does it serve?",IF(AB8=0,"Add - no ingredients listed yet",IF(AV8&gt;0,"Check - "&amp;AV8&amp;" ingredient(s) have no price",IF(AND(BC8&lt;&gt;"",BC8&lt;RotationGapDays),"Cooked recently","OK")))))</f>
        <v>0</v>
      </c>
    </row>
    <row r="9" spans="1:58">
      <c r="A9" s="39">
        <f>IF(B9="","",RecipePrefix&amp;TEXT(ROW()-4,"0000"))</f>
        <v>0</v>
      </c>
      <c r="B9" s="32" t="s">
        <v>828</v>
      </c>
      <c r="C9" s="32" t="s">
        <v>325</v>
      </c>
      <c r="D9" s="32" t="s">
        <v>137</v>
      </c>
      <c r="E9" s="32" t="s">
        <v>341</v>
      </c>
      <c r="F9" s="43" t="s">
        <v>829</v>
      </c>
      <c r="G9" s="35">
        <v>4</v>
      </c>
      <c r="H9" s="35">
        <v>10</v>
      </c>
      <c r="I9" s="35">
        <v>25</v>
      </c>
      <c r="J9" s="18">
        <f>IF(B9="","",IF(AND(H9="",I9=""),"",IF(H9="",0,H9)+IF(I9="",0,I9)))</f>
        <v>0</v>
      </c>
      <c r="K9" s="46">
        <f>IF(J9="","",IF(J9&lt;=30,"Yes","No"))</f>
        <v>0</v>
      </c>
      <c r="L9" s="32" t="s">
        <v>357</v>
      </c>
      <c r="M9" s="32" t="s">
        <v>368</v>
      </c>
      <c r="N9" s="32" t="s">
        <v>157</v>
      </c>
      <c r="O9" s="40" t="s">
        <v>311</v>
      </c>
      <c r="P9" s="40" t="s">
        <v>312</v>
      </c>
      <c r="Q9" s="40" t="s">
        <v>311</v>
      </c>
      <c r="R9" s="40" t="s">
        <v>311</v>
      </c>
      <c r="S9" s="40" t="s">
        <v>312</v>
      </c>
      <c r="T9" s="32" t="s">
        <v>383</v>
      </c>
      <c r="U9" s="32" t="s">
        <v>373</v>
      </c>
      <c r="V9" s="32" t="s">
        <v>572</v>
      </c>
      <c r="W9" s="32" t="s">
        <v>830</v>
      </c>
      <c r="X9" s="32" t="s">
        <v>157</v>
      </c>
      <c r="Y9" s="47" t="s">
        <v>157</v>
      </c>
      <c r="Z9" s="47" t="s">
        <v>157</v>
      </c>
      <c r="AA9" s="43" t="s">
        <v>817</v>
      </c>
      <c r="AB9" s="18">
        <f>IF(A9="","",COUNTIFS('Recipe Ingredients'!$B$5:$B$1204,A9))</f>
        <v>0</v>
      </c>
      <c r="AC9" s="25">
        <f>IF(A9="","",SUMIFS('Recipe Ingredients'!$N$5:$N$1204,'Recipe Ingredients'!$B$5:$B$1204,A9))</f>
        <v>0</v>
      </c>
      <c r="AD9" s="25">
        <f>IF(OR(AC9="",G9=""),"",IF(G9=0,"",AC9/G9))</f>
        <v>0</v>
      </c>
      <c r="AE9" s="30">
        <f>IF(OR(A9="",G9=""),"",IF(G9=0,"",SUMIFS('Recipe Ingredients'!$Q$5:$Q$1204,'Recipe Ingredients'!$B$5:$B$1204,A9)/G9))</f>
        <v>0</v>
      </c>
      <c r="AF9" s="45">
        <f>IF(OR(A9="",G9=""),"",IF(G9=0,"",SUMIFS('Recipe Ingredients'!$R$5:$R$1204,'Recipe Ingredients'!$B$5:$B$1204,A9)/G9))</f>
        <v>0</v>
      </c>
      <c r="AG9" s="45">
        <f>IF(OR(A9="",G9=""),"",IF(G9=0,"",SUMIFS('Recipe Ingredients'!$S$5:$S$1204,'Recipe Ingredients'!$B$5:$B$1204,A9)/G9))</f>
        <v>0</v>
      </c>
      <c r="AH9" s="45">
        <f>IF(OR(A9="",G9=""),"",IF(G9=0,"",SUMIFS('Recipe Ingredients'!$T$5:$T$1204,'Recipe Ingredients'!$B$5:$B$1204,A9)/G9))</f>
        <v>0</v>
      </c>
      <c r="AI9" s="45">
        <f>IF(OR(A9="",G9=""),"",IF(G9=0,"",SUMIFS('Recipe Ingredients'!$U$5:$U$1204,'Recipe Ingredients'!$B$5:$B$1204,A9)/G9))</f>
        <v>0</v>
      </c>
      <c r="AJ9" s="17">
        <f>IF(A9="","",IF(COUNTIFS('Recipe Ingredients'!$B$5:$B$1204,A9,'Recipe Ingredients'!$V$5:$V$1204,"&lt;&gt;",'Recipe Ingredients'!$V$5:$V$1204,"&lt;&gt;None")=0,"None listed",COUNTIFS('Recipe Ingredients'!$B$5:$B$1204,A9,'Recipe Ingredients'!$V$5:$V$1204,"&lt;&gt;",'Recipe Ingredients'!$V$5:$V$1204,"&lt;&gt;None")&amp;" ingredient(s) flagged"))</f>
        <v>0</v>
      </c>
      <c r="AK9" s="18">
        <f>IF(OR(AD9="",NOT(ISNUMBER(AD9))),"",COUNTIFS($AD$5:$AD$204,"&lt;"&amp;AD9)+COUNTIFS($AD$5:AD9,AD9))</f>
        <v>0</v>
      </c>
      <c r="AL9" s="18">
        <f>IF(B9="",0,IF(AND(OR(FilterDiet="Any",T9=FilterDiet),OR(FilterCategory="Any",C9=FilterCategory),OR(FilterMethod="Any",L9=FilterMethod),OR(FilterTime=0,AND(J9&lt;&gt;"",J9&lt;=FilterTime)),OR(FilterCost=0,AND(AD9&lt;&gt;"",ISNUMBER(AD9),AD9&lt;=FilterCost)),OR(FilterAllergen="Any",COUNTIFS('Recipe Ingredients'!$B$5:$B$1204,A9,'Recipe Ingredients'!$V$5:$V$1204,FilterAllergen)=0)),1,0))</f>
        <v>0</v>
      </c>
      <c r="AM9" s="18">
        <f>IF(AL9=0,"",SUM($AL$5:AL9))</f>
        <v>0</v>
      </c>
      <c r="AN9" s="18">
        <f>IF(B9="","",COUNTIFS($AZ$5:$AZ$204,"&gt;"&amp;AZ9)+COUNTIFS($AZ$5:AZ9,AZ9))</f>
        <v>0</v>
      </c>
      <c r="AO9" s="18">
        <f>IF(B9="","",COUNTIFS($AE$5:$AE$204,"&gt;"&amp;AE9)+COUNTIFS($AE$5:AE9,AE9))</f>
        <v>0</v>
      </c>
      <c r="AP9" s="18">
        <f>IF(B9="","",COUNTIFS($AF$5:$AF$204,"&gt;"&amp;AF9)+COUNTIFS($AF$5:AF9,AF9))</f>
        <v>0</v>
      </c>
      <c r="AQ9" s="18">
        <f>IF(B9="","",COUNTIFS($AI$5:$AI$204,"&gt;"&amp;AI9)+COUNTIFS($AI$5:AI9,AI9))</f>
        <v>0</v>
      </c>
      <c r="AR9" s="18">
        <f>IF(B9="","",COUNTIFS($AS$5:$AS$204,"&gt;"&amp;AS9)+COUNTIFS($AS$5:AS9,AS9))</f>
        <v>0</v>
      </c>
      <c r="AS9" s="45">
        <f>IF(B9="","",IF(BB9="",99999,BC9))</f>
        <v>0</v>
      </c>
      <c r="AT9" s="45">
        <f>IF(A9="",0,SUMIFS('Meal Plan'!$L$5:$L$504,'Meal Plan'!$G$5:$G$504,A9,'Meal Plan'!$B$5:$B$504,"&gt;="&amp;ShopFrom,'Meal Plan'!$B$5:$B$504,"&lt;="&amp;ShopTo,'Meal Plan'!$M$5:$M$504,"Yes"))</f>
        <v>0</v>
      </c>
      <c r="AU9" s="25">
        <f>IF(OR(A9="",AC9=""),"",AC9*AT9)</f>
        <v>0</v>
      </c>
      <c r="AV9" s="18">
        <f>IF(A9="","",COUNTIFS('Recipe Ingredients'!$B$5:$B$1204,A9,'Recipe Ingredients'!$N$5:$N$1204,""))</f>
        <v>0</v>
      </c>
      <c r="AW9" s="40">
        <v>4</v>
      </c>
      <c r="AX9" s="40">
        <v>4</v>
      </c>
      <c r="AY9" s="40" t="s">
        <v>312</v>
      </c>
      <c r="AZ9" s="18">
        <f>IF(A9="","",COUNTIFS('Meal Plan'!$G$5:$G$504,A9))</f>
        <v>0</v>
      </c>
      <c r="BA9" s="18">
        <f>IF(A9="","",COUNTIFS('Meal Plan'!$G$5:$G$504,A9,'Meal Plan'!$N$5:$N$504,"Prepared")+COUNTIFS('Meal Plan'!$G$5:$G$504,A9,'Meal Plan'!$N$5:$N$504,"Eaten"))</f>
        <v>0</v>
      </c>
      <c r="BB9" s="19">
        <f>IF(A9="","",IF(COUNTIFS('Meal Plan'!$G$5:$G$504,A9,'Meal Plan'!$B$5:$B$504,"&lt;="&amp;TODAY())=0,"",SUMPRODUCT(MAX(('Meal Plan'!$G$5:$G$504=A9)*('Meal Plan'!$B$5:$B$504&lt;=TODAY())*'Meal Plan'!$B$5:$B$504))))</f>
        <v>0</v>
      </c>
      <c r="BC9" s="18">
        <f>IF(BB9="","",TODAY()-BB9)</f>
        <v>0</v>
      </c>
      <c r="BD9" s="43" t="s">
        <v>157</v>
      </c>
      <c r="BE9" s="15">
        <v>46024</v>
      </c>
      <c r="BF9" s="31">
        <f>IF(B9="","",IF(G9="","Add - how many does it serve?",IF(AB9=0,"Add - no ingredients listed yet",IF(AV9&gt;0,"Check - "&amp;AV9&amp;" ingredient(s) have no price",IF(AND(BC9&lt;&gt;"",BC9&lt;RotationGapDays),"Cooked recently","OK")))))</f>
        <v>0</v>
      </c>
    </row>
    <row r="10" spans="1:58">
      <c r="A10" s="39">
        <f>IF(B10="","",RecipePrefix&amp;TEXT(ROW()-4,"0000"))</f>
        <v>0</v>
      </c>
      <c r="B10" s="32" t="s">
        <v>831</v>
      </c>
      <c r="C10" s="32" t="s">
        <v>325</v>
      </c>
      <c r="D10" s="32" t="s">
        <v>137</v>
      </c>
      <c r="E10" s="32" t="s">
        <v>342</v>
      </c>
      <c r="F10" s="43" t="s">
        <v>832</v>
      </c>
      <c r="G10" s="35">
        <v>4</v>
      </c>
      <c r="H10" s="35">
        <v>5</v>
      </c>
      <c r="I10" s="35">
        <v>20</v>
      </c>
      <c r="J10" s="18">
        <f>IF(B10="","",IF(AND(H10="",I10=""),"",IF(H10="",0,H10)+IF(I10="",0,I10)))</f>
        <v>0</v>
      </c>
      <c r="K10" s="46">
        <f>IF(J10="","",IF(J10&lt;=30,"Yes","No"))</f>
        <v>0</v>
      </c>
      <c r="L10" s="32" t="s">
        <v>356</v>
      </c>
      <c r="M10" s="32" t="s">
        <v>368</v>
      </c>
      <c r="N10" s="32" t="s">
        <v>820</v>
      </c>
      <c r="O10" s="40" t="s">
        <v>312</v>
      </c>
      <c r="P10" s="40" t="s">
        <v>312</v>
      </c>
      <c r="Q10" s="40" t="s">
        <v>312</v>
      </c>
      <c r="R10" s="40" t="s">
        <v>312</v>
      </c>
      <c r="S10" s="40" t="s">
        <v>311</v>
      </c>
      <c r="T10" s="32" t="s">
        <v>382</v>
      </c>
      <c r="U10" s="32" t="s">
        <v>372</v>
      </c>
      <c r="V10" s="32" t="s">
        <v>572</v>
      </c>
      <c r="W10" s="32" t="s">
        <v>833</v>
      </c>
      <c r="X10" s="32" t="s">
        <v>157</v>
      </c>
      <c r="Y10" s="47" t="s">
        <v>157</v>
      </c>
      <c r="Z10" s="47" t="s">
        <v>157</v>
      </c>
      <c r="AA10" s="43" t="s">
        <v>817</v>
      </c>
      <c r="AB10" s="18">
        <f>IF(A10="","",COUNTIFS('Recipe Ingredients'!$B$5:$B$1204,A10))</f>
        <v>0</v>
      </c>
      <c r="AC10" s="25">
        <f>IF(A10="","",SUMIFS('Recipe Ingredients'!$N$5:$N$1204,'Recipe Ingredients'!$B$5:$B$1204,A10))</f>
        <v>0</v>
      </c>
      <c r="AD10" s="25">
        <f>IF(OR(AC10="",G10=""),"",IF(G10=0,"",AC10/G10))</f>
        <v>0</v>
      </c>
      <c r="AE10" s="30">
        <f>IF(OR(A10="",G10=""),"",IF(G10=0,"",SUMIFS('Recipe Ingredients'!$Q$5:$Q$1204,'Recipe Ingredients'!$B$5:$B$1204,A10)/G10))</f>
        <v>0</v>
      </c>
      <c r="AF10" s="45">
        <f>IF(OR(A10="",G10=""),"",IF(G10=0,"",SUMIFS('Recipe Ingredients'!$R$5:$R$1204,'Recipe Ingredients'!$B$5:$B$1204,A10)/G10))</f>
        <v>0</v>
      </c>
      <c r="AG10" s="45">
        <f>IF(OR(A10="",G10=""),"",IF(G10=0,"",SUMIFS('Recipe Ingredients'!$S$5:$S$1204,'Recipe Ingredients'!$B$5:$B$1204,A10)/G10))</f>
        <v>0</v>
      </c>
      <c r="AH10" s="45">
        <f>IF(OR(A10="",G10=""),"",IF(G10=0,"",SUMIFS('Recipe Ingredients'!$T$5:$T$1204,'Recipe Ingredients'!$B$5:$B$1204,A10)/G10))</f>
        <v>0</v>
      </c>
      <c r="AI10" s="45">
        <f>IF(OR(A10="",G10=""),"",IF(G10=0,"",SUMIFS('Recipe Ingredients'!$U$5:$U$1204,'Recipe Ingredients'!$B$5:$B$1204,A10)/G10))</f>
        <v>0</v>
      </c>
      <c r="AJ10" s="17">
        <f>IF(A10="","",IF(COUNTIFS('Recipe Ingredients'!$B$5:$B$1204,A10,'Recipe Ingredients'!$V$5:$V$1204,"&lt;&gt;",'Recipe Ingredients'!$V$5:$V$1204,"&lt;&gt;None")=0,"None listed",COUNTIFS('Recipe Ingredients'!$B$5:$B$1204,A10,'Recipe Ingredients'!$V$5:$V$1204,"&lt;&gt;",'Recipe Ingredients'!$V$5:$V$1204,"&lt;&gt;None")&amp;" ingredient(s) flagged"))</f>
        <v>0</v>
      </c>
      <c r="AK10" s="18">
        <f>IF(OR(AD10="",NOT(ISNUMBER(AD10))),"",COUNTIFS($AD$5:$AD$204,"&lt;"&amp;AD10)+COUNTIFS($AD$5:AD10,AD10))</f>
        <v>0</v>
      </c>
      <c r="AL10" s="18">
        <f>IF(B10="",0,IF(AND(OR(FilterDiet="Any",T10=FilterDiet),OR(FilterCategory="Any",C10=FilterCategory),OR(FilterMethod="Any",L10=FilterMethod),OR(FilterTime=0,AND(J10&lt;&gt;"",J10&lt;=FilterTime)),OR(FilterCost=0,AND(AD10&lt;&gt;"",ISNUMBER(AD10),AD10&lt;=FilterCost)),OR(FilterAllergen="Any",COUNTIFS('Recipe Ingredients'!$B$5:$B$1204,A10,'Recipe Ingredients'!$V$5:$V$1204,FilterAllergen)=0)),1,0))</f>
        <v>0</v>
      </c>
      <c r="AM10" s="18">
        <f>IF(AL10=0,"",SUM($AL$5:AL10))</f>
        <v>0</v>
      </c>
      <c r="AN10" s="18">
        <f>IF(B10="","",COUNTIFS($AZ$5:$AZ$204,"&gt;"&amp;AZ10)+COUNTIFS($AZ$5:AZ10,AZ10))</f>
        <v>0</v>
      </c>
      <c r="AO10" s="18">
        <f>IF(B10="","",COUNTIFS($AE$5:$AE$204,"&gt;"&amp;AE10)+COUNTIFS($AE$5:AE10,AE10))</f>
        <v>0</v>
      </c>
      <c r="AP10" s="18">
        <f>IF(B10="","",COUNTIFS($AF$5:$AF$204,"&gt;"&amp;AF10)+COUNTIFS($AF$5:AF10,AF10))</f>
        <v>0</v>
      </c>
      <c r="AQ10" s="18">
        <f>IF(B10="","",COUNTIFS($AI$5:$AI$204,"&gt;"&amp;AI10)+COUNTIFS($AI$5:AI10,AI10))</f>
        <v>0</v>
      </c>
      <c r="AR10" s="18">
        <f>IF(B10="","",COUNTIFS($AS$5:$AS$204,"&gt;"&amp;AS10)+COUNTIFS($AS$5:AS10,AS10))</f>
        <v>0</v>
      </c>
      <c r="AS10" s="45">
        <f>IF(B10="","",IF(BB10="",99999,BC10))</f>
        <v>0</v>
      </c>
      <c r="AT10" s="45">
        <f>IF(A10="",0,SUMIFS('Meal Plan'!$L$5:$L$504,'Meal Plan'!$G$5:$G$504,A10,'Meal Plan'!$B$5:$B$504,"&gt;="&amp;ShopFrom,'Meal Plan'!$B$5:$B$504,"&lt;="&amp;ShopTo,'Meal Plan'!$M$5:$M$504,"Yes"))</f>
        <v>0</v>
      </c>
      <c r="AU10" s="25">
        <f>IF(OR(A10="",AC10=""),"",AC10*AT10)</f>
        <v>0</v>
      </c>
      <c r="AV10" s="18">
        <f>IF(A10="","",COUNTIFS('Recipe Ingredients'!$B$5:$B$1204,A10,'Recipe Ingredients'!$N$5:$N$1204,""))</f>
        <v>0</v>
      </c>
      <c r="AW10" s="40">
        <v>4</v>
      </c>
      <c r="AX10" s="40">
        <v>3</v>
      </c>
      <c r="AY10" s="40" t="s">
        <v>312</v>
      </c>
      <c r="AZ10" s="18">
        <f>IF(A10="","",COUNTIFS('Meal Plan'!$G$5:$G$504,A10))</f>
        <v>0</v>
      </c>
      <c r="BA10" s="18">
        <f>IF(A10="","",COUNTIFS('Meal Plan'!$G$5:$G$504,A10,'Meal Plan'!$N$5:$N$504,"Prepared")+COUNTIFS('Meal Plan'!$G$5:$G$504,A10,'Meal Plan'!$N$5:$N$504,"Eaten"))</f>
        <v>0</v>
      </c>
      <c r="BB10" s="19">
        <f>IF(A10="","",IF(COUNTIFS('Meal Plan'!$G$5:$G$504,A10,'Meal Plan'!$B$5:$B$504,"&lt;="&amp;TODAY())=0,"",SUMPRODUCT(MAX(('Meal Plan'!$G$5:$G$504=A10)*('Meal Plan'!$B$5:$B$504&lt;=TODAY())*'Meal Plan'!$B$5:$B$504))))</f>
        <v>0</v>
      </c>
      <c r="BC10" s="18">
        <f>IF(BB10="","",TODAY()-BB10)</f>
        <v>0</v>
      </c>
      <c r="BD10" s="43" t="s">
        <v>157</v>
      </c>
      <c r="BE10" s="15">
        <v>46014</v>
      </c>
      <c r="BF10" s="31">
        <f>IF(B10="","",IF(G10="","Add - how many does it serve?",IF(AB10=0,"Add - no ingredients listed yet",IF(AV10&gt;0,"Check - "&amp;AV10&amp;" ingredient(s) have no price",IF(AND(BC10&lt;&gt;"",BC10&lt;RotationGapDays),"Cooked recently","OK")))))</f>
        <v>0</v>
      </c>
    </row>
    <row r="11" spans="1:58">
      <c r="A11" s="39">
        <f>IF(B11="","",RecipePrefix&amp;TEXT(ROW()-4,"0000"))</f>
        <v>0</v>
      </c>
      <c r="B11" s="32" t="s">
        <v>834</v>
      </c>
      <c r="C11" s="32" t="s">
        <v>325</v>
      </c>
      <c r="D11" s="32" t="s">
        <v>137</v>
      </c>
      <c r="E11" s="32" t="s">
        <v>345</v>
      </c>
      <c r="F11" s="43" t="s">
        <v>835</v>
      </c>
      <c r="G11" s="35">
        <v>4</v>
      </c>
      <c r="H11" s="35">
        <v>15</v>
      </c>
      <c r="I11" s="35">
        <v>20</v>
      </c>
      <c r="J11" s="18">
        <f>IF(B11="","",IF(AND(H11="",I11=""),"",IF(H11="",0,H11)+IF(I11="",0,I11)))</f>
        <v>0</v>
      </c>
      <c r="K11" s="46">
        <f>IF(J11="","",IF(J11&lt;=30,"Yes","No"))</f>
        <v>0</v>
      </c>
      <c r="L11" s="32" t="s">
        <v>356</v>
      </c>
      <c r="M11" s="32" t="s">
        <v>368</v>
      </c>
      <c r="N11" s="32" t="s">
        <v>820</v>
      </c>
      <c r="O11" s="40" t="s">
        <v>312</v>
      </c>
      <c r="P11" s="40" t="s">
        <v>312</v>
      </c>
      <c r="Q11" s="40" t="s">
        <v>312</v>
      </c>
      <c r="R11" s="40" t="s">
        <v>312</v>
      </c>
      <c r="S11" s="40" t="s">
        <v>311</v>
      </c>
      <c r="T11" s="32" t="s">
        <v>396</v>
      </c>
      <c r="U11" s="32" t="s">
        <v>373</v>
      </c>
      <c r="V11" s="32" t="s">
        <v>572</v>
      </c>
      <c r="W11" s="32" t="s">
        <v>836</v>
      </c>
      <c r="X11" s="32" t="s">
        <v>816</v>
      </c>
      <c r="Y11" s="47" t="s">
        <v>157</v>
      </c>
      <c r="Z11" s="47" t="s">
        <v>157</v>
      </c>
      <c r="AA11" s="43" t="s">
        <v>817</v>
      </c>
      <c r="AB11" s="18">
        <f>IF(A11="","",COUNTIFS('Recipe Ingredients'!$B$5:$B$1204,A11))</f>
        <v>0</v>
      </c>
      <c r="AC11" s="25">
        <f>IF(A11="","",SUMIFS('Recipe Ingredients'!$N$5:$N$1204,'Recipe Ingredients'!$B$5:$B$1204,A11))</f>
        <v>0</v>
      </c>
      <c r="AD11" s="25">
        <f>IF(OR(AC11="",G11=""),"",IF(G11=0,"",AC11/G11))</f>
        <v>0</v>
      </c>
      <c r="AE11" s="30">
        <f>IF(OR(A11="",G11=""),"",IF(G11=0,"",SUMIFS('Recipe Ingredients'!$Q$5:$Q$1204,'Recipe Ingredients'!$B$5:$B$1204,A11)/G11))</f>
        <v>0</v>
      </c>
      <c r="AF11" s="45">
        <f>IF(OR(A11="",G11=""),"",IF(G11=0,"",SUMIFS('Recipe Ingredients'!$R$5:$R$1204,'Recipe Ingredients'!$B$5:$B$1204,A11)/G11))</f>
        <v>0</v>
      </c>
      <c r="AG11" s="45">
        <f>IF(OR(A11="",G11=""),"",IF(G11=0,"",SUMIFS('Recipe Ingredients'!$S$5:$S$1204,'Recipe Ingredients'!$B$5:$B$1204,A11)/G11))</f>
        <v>0</v>
      </c>
      <c r="AH11" s="45">
        <f>IF(OR(A11="",G11=""),"",IF(G11=0,"",SUMIFS('Recipe Ingredients'!$T$5:$T$1204,'Recipe Ingredients'!$B$5:$B$1204,A11)/G11))</f>
        <v>0</v>
      </c>
      <c r="AI11" s="45">
        <f>IF(OR(A11="",G11=""),"",IF(G11=0,"",SUMIFS('Recipe Ingredients'!$U$5:$U$1204,'Recipe Ingredients'!$B$5:$B$1204,A11)/G11))</f>
        <v>0</v>
      </c>
      <c r="AJ11" s="17">
        <f>IF(A11="","",IF(COUNTIFS('Recipe Ingredients'!$B$5:$B$1204,A11,'Recipe Ingredients'!$V$5:$V$1204,"&lt;&gt;",'Recipe Ingredients'!$V$5:$V$1204,"&lt;&gt;None")=0,"None listed",COUNTIFS('Recipe Ingredients'!$B$5:$B$1204,A11,'Recipe Ingredients'!$V$5:$V$1204,"&lt;&gt;",'Recipe Ingredients'!$V$5:$V$1204,"&lt;&gt;None")&amp;" ingredient(s) flagged"))</f>
        <v>0</v>
      </c>
      <c r="AK11" s="18">
        <f>IF(OR(AD11="",NOT(ISNUMBER(AD11))),"",COUNTIFS($AD$5:$AD$204,"&lt;"&amp;AD11)+COUNTIFS($AD$5:AD11,AD11))</f>
        <v>0</v>
      </c>
      <c r="AL11" s="18">
        <f>IF(B11="",0,IF(AND(OR(FilterDiet="Any",T11=FilterDiet),OR(FilterCategory="Any",C11=FilterCategory),OR(FilterMethod="Any",L11=FilterMethod),OR(FilterTime=0,AND(J11&lt;&gt;"",J11&lt;=FilterTime)),OR(FilterCost=0,AND(AD11&lt;&gt;"",ISNUMBER(AD11),AD11&lt;=FilterCost)),OR(FilterAllergen="Any",COUNTIFS('Recipe Ingredients'!$B$5:$B$1204,A11,'Recipe Ingredients'!$V$5:$V$1204,FilterAllergen)=0)),1,0))</f>
        <v>0</v>
      </c>
      <c r="AM11" s="18">
        <f>IF(AL11=0,"",SUM($AL$5:AL11))</f>
        <v>0</v>
      </c>
      <c r="AN11" s="18">
        <f>IF(B11="","",COUNTIFS($AZ$5:$AZ$204,"&gt;"&amp;AZ11)+COUNTIFS($AZ$5:AZ11,AZ11))</f>
        <v>0</v>
      </c>
      <c r="AO11" s="18">
        <f>IF(B11="","",COUNTIFS($AE$5:$AE$204,"&gt;"&amp;AE11)+COUNTIFS($AE$5:AE11,AE11))</f>
        <v>0</v>
      </c>
      <c r="AP11" s="18">
        <f>IF(B11="","",COUNTIFS($AF$5:$AF$204,"&gt;"&amp;AF11)+COUNTIFS($AF$5:AF11,AF11))</f>
        <v>0</v>
      </c>
      <c r="AQ11" s="18">
        <f>IF(B11="","",COUNTIFS($AI$5:$AI$204,"&gt;"&amp;AI11)+COUNTIFS($AI$5:AI11,AI11))</f>
        <v>0</v>
      </c>
      <c r="AR11" s="18">
        <f>IF(B11="","",COUNTIFS($AS$5:$AS$204,"&gt;"&amp;AS11)+COUNTIFS($AS$5:AS11,AS11))</f>
        <v>0</v>
      </c>
      <c r="AS11" s="45">
        <f>IF(B11="","",IF(BB11="",99999,BC11))</f>
        <v>0</v>
      </c>
      <c r="AT11" s="45">
        <f>IF(A11="",0,SUMIFS('Meal Plan'!$L$5:$L$504,'Meal Plan'!$G$5:$G$504,A11,'Meal Plan'!$B$5:$B$504,"&gt;="&amp;ShopFrom,'Meal Plan'!$B$5:$B$504,"&lt;="&amp;ShopTo,'Meal Plan'!$M$5:$M$504,"Yes"))</f>
        <v>0</v>
      </c>
      <c r="AU11" s="25">
        <f>IF(OR(A11="",AC11=""),"",AC11*AT11)</f>
        <v>0</v>
      </c>
      <c r="AV11" s="18">
        <f>IF(A11="","",COUNTIFS('Recipe Ingredients'!$B$5:$B$1204,A11,'Recipe Ingredients'!$N$5:$N$1204,""))</f>
        <v>0</v>
      </c>
      <c r="AW11" s="40">
        <v>5</v>
      </c>
      <c r="AX11" s="40">
        <v>5</v>
      </c>
      <c r="AY11" s="40" t="s">
        <v>311</v>
      </c>
      <c r="AZ11" s="18">
        <f>IF(A11="","",COUNTIFS('Meal Plan'!$G$5:$G$504,A11))</f>
        <v>0</v>
      </c>
      <c r="BA11" s="18">
        <f>IF(A11="","",COUNTIFS('Meal Plan'!$G$5:$G$504,A11,'Meal Plan'!$N$5:$N$504,"Prepared")+COUNTIFS('Meal Plan'!$G$5:$G$504,A11,'Meal Plan'!$N$5:$N$504,"Eaten"))</f>
        <v>0</v>
      </c>
      <c r="BB11" s="19">
        <f>IF(A11="","",IF(COUNTIFS('Meal Plan'!$G$5:$G$504,A11,'Meal Plan'!$B$5:$B$504,"&lt;="&amp;TODAY())=0,"",SUMPRODUCT(MAX(('Meal Plan'!$G$5:$G$504=A11)*('Meal Plan'!$B$5:$B$504&lt;=TODAY())*'Meal Plan'!$B$5:$B$504))))</f>
        <v>0</v>
      </c>
      <c r="BC11" s="18">
        <f>IF(BB11="","",TODAY()-BB11)</f>
        <v>0</v>
      </c>
      <c r="BD11" s="43" t="s">
        <v>157</v>
      </c>
      <c r="BE11" s="15">
        <v>46027</v>
      </c>
      <c r="BF11" s="31">
        <f>IF(B11="","",IF(G11="","Add - how many does it serve?",IF(AB11=0,"Add - no ingredients listed yet",IF(AV11&gt;0,"Check - "&amp;AV11&amp;" ingredient(s) have no price",IF(AND(BC11&lt;&gt;"",BC11&lt;RotationGapDays),"Cooked recently","OK")))))</f>
        <v>0</v>
      </c>
    </row>
    <row r="12" spans="1:58">
      <c r="A12" s="39">
        <f>IF(B12="","",RecipePrefix&amp;TEXT(ROW()-4,"0000"))</f>
        <v>0</v>
      </c>
      <c r="B12" s="32" t="s">
        <v>837</v>
      </c>
      <c r="C12" s="32" t="s">
        <v>325</v>
      </c>
      <c r="D12" s="32" t="s">
        <v>137</v>
      </c>
      <c r="E12" s="32" t="s">
        <v>345</v>
      </c>
      <c r="F12" s="43" t="s">
        <v>838</v>
      </c>
      <c r="G12" s="35">
        <v>6</v>
      </c>
      <c r="H12" s="35">
        <v>15</v>
      </c>
      <c r="I12" s="35">
        <v>40</v>
      </c>
      <c r="J12" s="18">
        <f>IF(B12="","",IF(AND(H12="",I12=""),"",IF(H12="",0,H12)+IF(I12="",0,I12)))</f>
        <v>0</v>
      </c>
      <c r="K12" s="46">
        <f>IF(J12="","",IF(J12&lt;=30,"Yes","No"))</f>
        <v>0</v>
      </c>
      <c r="L12" s="32" t="s">
        <v>358</v>
      </c>
      <c r="M12" s="32" t="s">
        <v>368</v>
      </c>
      <c r="N12" s="32" t="s">
        <v>358</v>
      </c>
      <c r="O12" s="40" t="s">
        <v>311</v>
      </c>
      <c r="P12" s="40" t="s">
        <v>312</v>
      </c>
      <c r="Q12" s="40" t="s">
        <v>311</v>
      </c>
      <c r="R12" s="40" t="s">
        <v>311</v>
      </c>
      <c r="S12" s="40" t="s">
        <v>311</v>
      </c>
      <c r="T12" s="32" t="s">
        <v>383</v>
      </c>
      <c r="U12" s="32" t="s">
        <v>373</v>
      </c>
      <c r="V12" s="32" t="s">
        <v>572</v>
      </c>
      <c r="W12" s="32" t="s">
        <v>839</v>
      </c>
      <c r="X12" s="32" t="s">
        <v>157</v>
      </c>
      <c r="Y12" s="47" t="s">
        <v>157</v>
      </c>
      <c r="Z12" s="47" t="s">
        <v>157</v>
      </c>
      <c r="AA12" s="43" t="s">
        <v>817</v>
      </c>
      <c r="AB12" s="18">
        <f>IF(A12="","",COUNTIFS('Recipe Ingredients'!$B$5:$B$1204,A12))</f>
        <v>0</v>
      </c>
      <c r="AC12" s="25">
        <f>IF(A12="","",SUMIFS('Recipe Ingredients'!$N$5:$N$1204,'Recipe Ingredients'!$B$5:$B$1204,A12))</f>
        <v>0</v>
      </c>
      <c r="AD12" s="25">
        <f>IF(OR(AC12="",G12=""),"",IF(G12=0,"",AC12/G12))</f>
        <v>0</v>
      </c>
      <c r="AE12" s="30">
        <f>IF(OR(A12="",G12=""),"",IF(G12=0,"",SUMIFS('Recipe Ingredients'!$Q$5:$Q$1204,'Recipe Ingredients'!$B$5:$B$1204,A12)/G12))</f>
        <v>0</v>
      </c>
      <c r="AF12" s="45">
        <f>IF(OR(A12="",G12=""),"",IF(G12=0,"",SUMIFS('Recipe Ingredients'!$R$5:$R$1204,'Recipe Ingredients'!$B$5:$B$1204,A12)/G12))</f>
        <v>0</v>
      </c>
      <c r="AG12" s="45">
        <f>IF(OR(A12="",G12=""),"",IF(G12=0,"",SUMIFS('Recipe Ingredients'!$S$5:$S$1204,'Recipe Ingredients'!$B$5:$B$1204,A12)/G12))</f>
        <v>0</v>
      </c>
      <c r="AH12" s="45">
        <f>IF(OR(A12="",G12=""),"",IF(G12=0,"",SUMIFS('Recipe Ingredients'!$T$5:$T$1204,'Recipe Ingredients'!$B$5:$B$1204,A12)/G12))</f>
        <v>0</v>
      </c>
      <c r="AI12" s="45">
        <f>IF(OR(A12="",G12=""),"",IF(G12=0,"",SUMIFS('Recipe Ingredients'!$U$5:$U$1204,'Recipe Ingredients'!$B$5:$B$1204,A12)/G12))</f>
        <v>0</v>
      </c>
      <c r="AJ12" s="17">
        <f>IF(A12="","",IF(COUNTIFS('Recipe Ingredients'!$B$5:$B$1204,A12,'Recipe Ingredients'!$V$5:$V$1204,"&lt;&gt;",'Recipe Ingredients'!$V$5:$V$1204,"&lt;&gt;None")=0,"None listed",COUNTIFS('Recipe Ingredients'!$B$5:$B$1204,A12,'Recipe Ingredients'!$V$5:$V$1204,"&lt;&gt;",'Recipe Ingredients'!$V$5:$V$1204,"&lt;&gt;None")&amp;" ingredient(s) flagged"))</f>
        <v>0</v>
      </c>
      <c r="AK12" s="18">
        <f>IF(OR(AD12="",NOT(ISNUMBER(AD12))),"",COUNTIFS($AD$5:$AD$204,"&lt;"&amp;AD12)+COUNTIFS($AD$5:AD12,AD12))</f>
        <v>0</v>
      </c>
      <c r="AL12" s="18">
        <f>IF(B12="",0,IF(AND(OR(FilterDiet="Any",T12=FilterDiet),OR(FilterCategory="Any",C12=FilterCategory),OR(FilterMethod="Any",L12=FilterMethod),OR(FilterTime=0,AND(J12&lt;&gt;"",J12&lt;=FilterTime)),OR(FilterCost=0,AND(AD12&lt;&gt;"",ISNUMBER(AD12),AD12&lt;=FilterCost)),OR(FilterAllergen="Any",COUNTIFS('Recipe Ingredients'!$B$5:$B$1204,A12,'Recipe Ingredients'!$V$5:$V$1204,FilterAllergen)=0)),1,0))</f>
        <v>0</v>
      </c>
      <c r="AM12" s="18">
        <f>IF(AL12=0,"",SUM($AL$5:AL12))</f>
        <v>0</v>
      </c>
      <c r="AN12" s="18">
        <f>IF(B12="","",COUNTIFS($AZ$5:$AZ$204,"&gt;"&amp;AZ12)+COUNTIFS($AZ$5:AZ12,AZ12))</f>
        <v>0</v>
      </c>
      <c r="AO12" s="18">
        <f>IF(B12="","",COUNTIFS($AE$5:$AE$204,"&gt;"&amp;AE12)+COUNTIFS($AE$5:AE12,AE12))</f>
        <v>0</v>
      </c>
      <c r="AP12" s="18">
        <f>IF(B12="","",COUNTIFS($AF$5:$AF$204,"&gt;"&amp;AF12)+COUNTIFS($AF$5:AF12,AF12))</f>
        <v>0</v>
      </c>
      <c r="AQ12" s="18">
        <f>IF(B12="","",COUNTIFS($AI$5:$AI$204,"&gt;"&amp;AI12)+COUNTIFS($AI$5:AI12,AI12))</f>
        <v>0</v>
      </c>
      <c r="AR12" s="18">
        <f>IF(B12="","",COUNTIFS($AS$5:$AS$204,"&gt;"&amp;AS12)+COUNTIFS($AS$5:AS12,AS12))</f>
        <v>0</v>
      </c>
      <c r="AS12" s="45">
        <f>IF(B12="","",IF(BB12="",99999,BC12))</f>
        <v>0</v>
      </c>
      <c r="AT12" s="45">
        <f>IF(A12="",0,SUMIFS('Meal Plan'!$L$5:$L$504,'Meal Plan'!$G$5:$G$504,A12,'Meal Plan'!$B$5:$B$504,"&gt;="&amp;ShopFrom,'Meal Plan'!$B$5:$B$504,"&lt;="&amp;ShopTo,'Meal Plan'!$M$5:$M$504,"Yes"))</f>
        <v>0</v>
      </c>
      <c r="AU12" s="25">
        <f>IF(OR(A12="",AC12=""),"",AC12*AT12)</f>
        <v>0</v>
      </c>
      <c r="AV12" s="18">
        <f>IF(A12="","",COUNTIFS('Recipe Ingredients'!$B$5:$B$1204,A12,'Recipe Ingredients'!$N$5:$N$1204,""))</f>
        <v>0</v>
      </c>
      <c r="AW12" s="40">
        <v>4</v>
      </c>
      <c r="AX12" s="40">
        <v>3</v>
      </c>
      <c r="AY12" s="40" t="s">
        <v>312</v>
      </c>
      <c r="AZ12" s="18">
        <f>IF(A12="","",COUNTIFS('Meal Plan'!$G$5:$G$504,A12))</f>
        <v>0</v>
      </c>
      <c r="BA12" s="18">
        <f>IF(A12="","",COUNTIFS('Meal Plan'!$G$5:$G$504,A12,'Meal Plan'!$N$5:$N$504,"Prepared")+COUNTIFS('Meal Plan'!$G$5:$G$504,A12,'Meal Plan'!$N$5:$N$504,"Eaten"))</f>
        <v>0</v>
      </c>
      <c r="BB12" s="19">
        <f>IF(A12="","",IF(COUNTIFS('Meal Plan'!$G$5:$G$504,A12,'Meal Plan'!$B$5:$B$504,"&lt;="&amp;TODAY())=0,"",SUMPRODUCT(MAX(('Meal Plan'!$G$5:$G$504=A12)*('Meal Plan'!$B$5:$B$504&lt;=TODAY())*'Meal Plan'!$B$5:$B$504))))</f>
        <v>0</v>
      </c>
      <c r="BC12" s="18">
        <f>IF(BB12="","",TODAY()-BB12)</f>
        <v>0</v>
      </c>
      <c r="BD12" s="43" t="s">
        <v>157</v>
      </c>
      <c r="BE12" s="15">
        <v>45958</v>
      </c>
      <c r="BF12" s="31">
        <f>IF(B12="","",IF(G12="","Add - how many does it serve?",IF(AB12=0,"Add - no ingredients listed yet",IF(AV12&gt;0,"Check - "&amp;AV12&amp;" ingredient(s) have no price",IF(AND(BC12&lt;&gt;"",BC12&lt;RotationGapDays),"Cooked recently","OK")))))</f>
        <v>0</v>
      </c>
    </row>
    <row r="13" spans="1:58">
      <c r="A13" s="39">
        <f>IF(B13="","",RecipePrefix&amp;TEXT(ROW()-4,"0000"))</f>
        <v>0</v>
      </c>
      <c r="B13" s="32" t="s">
        <v>840</v>
      </c>
      <c r="C13" s="32" t="s">
        <v>325</v>
      </c>
      <c r="D13" s="32" t="s">
        <v>137</v>
      </c>
      <c r="E13" s="32" t="s">
        <v>337</v>
      </c>
      <c r="F13" s="43" t="s">
        <v>841</v>
      </c>
      <c r="G13" s="35">
        <v>6</v>
      </c>
      <c r="H13" s="35">
        <v>25</v>
      </c>
      <c r="I13" s="35">
        <v>50</v>
      </c>
      <c r="J13" s="18">
        <f>IF(B13="","",IF(AND(H13="",I13=""),"",IF(H13="",0,H13)+IF(I13="",0,I13)))</f>
        <v>0</v>
      </c>
      <c r="K13" s="46">
        <f>IF(J13="","",IF(J13&lt;=30,"Yes","No"))</f>
        <v>0</v>
      </c>
      <c r="L13" s="32" t="s">
        <v>355</v>
      </c>
      <c r="M13" s="32" t="s">
        <v>369</v>
      </c>
      <c r="N13" s="32" t="s">
        <v>814</v>
      </c>
      <c r="O13" s="40" t="s">
        <v>312</v>
      </c>
      <c r="P13" s="40" t="s">
        <v>312</v>
      </c>
      <c r="Q13" s="40" t="s">
        <v>311</v>
      </c>
      <c r="R13" s="40" t="s">
        <v>311</v>
      </c>
      <c r="S13" s="40" t="s">
        <v>311</v>
      </c>
      <c r="T13" s="32" t="s">
        <v>396</v>
      </c>
      <c r="U13" s="32" t="s">
        <v>372</v>
      </c>
      <c r="V13" s="32" t="s">
        <v>572</v>
      </c>
      <c r="W13" s="32" t="s">
        <v>842</v>
      </c>
      <c r="X13" s="32" t="s">
        <v>816</v>
      </c>
      <c r="Y13" s="47" t="s">
        <v>157</v>
      </c>
      <c r="Z13" s="47" t="s">
        <v>157</v>
      </c>
      <c r="AA13" s="43" t="s">
        <v>817</v>
      </c>
      <c r="AB13" s="18">
        <f>IF(A13="","",COUNTIFS('Recipe Ingredients'!$B$5:$B$1204,A13))</f>
        <v>0</v>
      </c>
      <c r="AC13" s="25">
        <f>IF(A13="","",SUMIFS('Recipe Ingredients'!$N$5:$N$1204,'Recipe Ingredients'!$B$5:$B$1204,A13))</f>
        <v>0</v>
      </c>
      <c r="AD13" s="25">
        <f>IF(OR(AC13="",G13=""),"",IF(G13=0,"",AC13/G13))</f>
        <v>0</v>
      </c>
      <c r="AE13" s="30">
        <f>IF(OR(A13="",G13=""),"",IF(G13=0,"",SUMIFS('Recipe Ingredients'!$Q$5:$Q$1204,'Recipe Ingredients'!$B$5:$B$1204,A13)/G13))</f>
        <v>0</v>
      </c>
      <c r="AF13" s="45">
        <f>IF(OR(A13="",G13=""),"",IF(G13=0,"",SUMIFS('Recipe Ingredients'!$R$5:$R$1204,'Recipe Ingredients'!$B$5:$B$1204,A13)/G13))</f>
        <v>0</v>
      </c>
      <c r="AG13" s="45">
        <f>IF(OR(A13="",G13=""),"",IF(G13=0,"",SUMIFS('Recipe Ingredients'!$S$5:$S$1204,'Recipe Ingredients'!$B$5:$B$1204,A13)/G13))</f>
        <v>0</v>
      </c>
      <c r="AH13" s="45">
        <f>IF(OR(A13="",G13=""),"",IF(G13=0,"",SUMIFS('Recipe Ingredients'!$T$5:$T$1204,'Recipe Ingredients'!$B$5:$B$1204,A13)/G13))</f>
        <v>0</v>
      </c>
      <c r="AI13" s="45">
        <f>IF(OR(A13="",G13=""),"",IF(G13=0,"",SUMIFS('Recipe Ingredients'!$U$5:$U$1204,'Recipe Ingredients'!$B$5:$B$1204,A13)/G13))</f>
        <v>0</v>
      </c>
      <c r="AJ13" s="17">
        <f>IF(A13="","",IF(COUNTIFS('Recipe Ingredients'!$B$5:$B$1204,A13,'Recipe Ingredients'!$V$5:$V$1204,"&lt;&gt;",'Recipe Ingredients'!$V$5:$V$1204,"&lt;&gt;None")=0,"None listed",COUNTIFS('Recipe Ingredients'!$B$5:$B$1204,A13,'Recipe Ingredients'!$V$5:$V$1204,"&lt;&gt;",'Recipe Ingredients'!$V$5:$V$1204,"&lt;&gt;None")&amp;" ingredient(s) flagged"))</f>
        <v>0</v>
      </c>
      <c r="AK13" s="18">
        <f>IF(OR(AD13="",NOT(ISNUMBER(AD13))),"",COUNTIFS($AD$5:$AD$204,"&lt;"&amp;AD13)+COUNTIFS($AD$5:AD13,AD13))</f>
        <v>0</v>
      </c>
      <c r="AL13" s="18">
        <f>IF(B13="",0,IF(AND(OR(FilterDiet="Any",T13=FilterDiet),OR(FilterCategory="Any",C13=FilterCategory),OR(FilterMethod="Any",L13=FilterMethod),OR(FilterTime=0,AND(J13&lt;&gt;"",J13&lt;=FilterTime)),OR(FilterCost=0,AND(AD13&lt;&gt;"",ISNUMBER(AD13),AD13&lt;=FilterCost)),OR(FilterAllergen="Any",COUNTIFS('Recipe Ingredients'!$B$5:$B$1204,A13,'Recipe Ingredients'!$V$5:$V$1204,FilterAllergen)=0)),1,0))</f>
        <v>0</v>
      </c>
      <c r="AM13" s="18">
        <f>IF(AL13=0,"",SUM($AL$5:AL13))</f>
        <v>0</v>
      </c>
      <c r="AN13" s="18">
        <f>IF(B13="","",COUNTIFS($AZ$5:$AZ$204,"&gt;"&amp;AZ13)+COUNTIFS($AZ$5:AZ13,AZ13))</f>
        <v>0</v>
      </c>
      <c r="AO13" s="18">
        <f>IF(B13="","",COUNTIFS($AE$5:$AE$204,"&gt;"&amp;AE13)+COUNTIFS($AE$5:AE13,AE13))</f>
        <v>0</v>
      </c>
      <c r="AP13" s="18">
        <f>IF(B13="","",COUNTIFS($AF$5:$AF$204,"&gt;"&amp;AF13)+COUNTIFS($AF$5:AF13,AF13))</f>
        <v>0</v>
      </c>
      <c r="AQ13" s="18">
        <f>IF(B13="","",COUNTIFS($AI$5:$AI$204,"&gt;"&amp;AI13)+COUNTIFS($AI$5:AI13,AI13))</f>
        <v>0</v>
      </c>
      <c r="AR13" s="18">
        <f>IF(B13="","",COUNTIFS($AS$5:$AS$204,"&gt;"&amp;AS13)+COUNTIFS($AS$5:AS13,AS13))</f>
        <v>0</v>
      </c>
      <c r="AS13" s="45">
        <f>IF(B13="","",IF(BB13="",99999,BC13))</f>
        <v>0</v>
      </c>
      <c r="AT13" s="45">
        <f>IF(A13="",0,SUMIFS('Meal Plan'!$L$5:$L$504,'Meal Plan'!$G$5:$G$504,A13,'Meal Plan'!$B$5:$B$504,"&gt;="&amp;ShopFrom,'Meal Plan'!$B$5:$B$504,"&lt;="&amp;ShopTo,'Meal Plan'!$M$5:$M$504,"Yes"))</f>
        <v>0</v>
      </c>
      <c r="AU13" s="25">
        <f>IF(OR(A13="",AC13=""),"",AC13*AT13)</f>
        <v>0</v>
      </c>
      <c r="AV13" s="18">
        <f>IF(A13="","",COUNTIFS('Recipe Ingredients'!$B$5:$B$1204,A13,'Recipe Ingredients'!$N$5:$N$1204,""))</f>
        <v>0</v>
      </c>
      <c r="AW13" s="40">
        <v>5</v>
      </c>
      <c r="AX13" s="40">
        <v>5</v>
      </c>
      <c r="AY13" s="40" t="s">
        <v>311</v>
      </c>
      <c r="AZ13" s="18">
        <f>IF(A13="","",COUNTIFS('Meal Plan'!$G$5:$G$504,A13))</f>
        <v>0</v>
      </c>
      <c r="BA13" s="18">
        <f>IF(A13="","",COUNTIFS('Meal Plan'!$G$5:$G$504,A13,'Meal Plan'!$N$5:$N$504,"Prepared")+COUNTIFS('Meal Plan'!$G$5:$G$504,A13,'Meal Plan'!$N$5:$N$504,"Eaten"))</f>
        <v>0</v>
      </c>
      <c r="BB13" s="19">
        <f>IF(A13="","",IF(COUNTIFS('Meal Plan'!$G$5:$G$504,A13,'Meal Plan'!$B$5:$B$504,"&lt;="&amp;TODAY())=0,"",SUMPRODUCT(MAX(('Meal Plan'!$G$5:$G$504=A13)*('Meal Plan'!$B$5:$B$504&lt;=TODAY())*'Meal Plan'!$B$5:$B$504))))</f>
        <v>0</v>
      </c>
      <c r="BC13" s="18">
        <f>IF(BB13="","",TODAY()-BB13)</f>
        <v>0</v>
      </c>
      <c r="BD13" s="43" t="s">
        <v>157</v>
      </c>
      <c r="BE13" s="15">
        <v>46001</v>
      </c>
      <c r="BF13" s="31">
        <f>IF(B13="","",IF(G13="","Add - how many does it serve?",IF(AB13=0,"Add - no ingredients listed yet",IF(AV13&gt;0,"Check - "&amp;AV13&amp;" ingredient(s) have no price",IF(AND(BC13&lt;&gt;"",BC13&lt;RotationGapDays),"Cooked recently","OK")))))</f>
        <v>0</v>
      </c>
    </row>
    <row r="14" spans="1:58">
      <c r="A14" s="39">
        <f>IF(B14="","",RecipePrefix&amp;TEXT(ROW()-4,"0000"))</f>
        <v>0</v>
      </c>
      <c r="B14" s="32" t="s">
        <v>843</v>
      </c>
      <c r="C14" s="32" t="s">
        <v>325</v>
      </c>
      <c r="D14" s="32" t="s">
        <v>137</v>
      </c>
      <c r="E14" s="32" t="s">
        <v>343</v>
      </c>
      <c r="F14" s="43" t="s">
        <v>844</v>
      </c>
      <c r="G14" s="35">
        <v>2</v>
      </c>
      <c r="H14" s="35">
        <v>10</v>
      </c>
      <c r="I14" s="35">
        <v>20</v>
      </c>
      <c r="J14" s="18">
        <f>IF(B14="","",IF(AND(H14="",I14=""),"",IF(H14="",0,H14)+IF(I14="",0,I14)))</f>
        <v>0</v>
      </c>
      <c r="K14" s="46">
        <f>IF(J14="","",IF(J14&lt;=30,"Yes","No"))</f>
        <v>0</v>
      </c>
      <c r="L14" s="32" t="s">
        <v>356</v>
      </c>
      <c r="M14" s="32" t="s">
        <v>368</v>
      </c>
      <c r="N14" s="32" t="s">
        <v>820</v>
      </c>
      <c r="O14" s="40" t="s">
        <v>312</v>
      </c>
      <c r="P14" s="40" t="s">
        <v>312</v>
      </c>
      <c r="Q14" s="40" t="s">
        <v>312</v>
      </c>
      <c r="R14" s="40" t="s">
        <v>312</v>
      </c>
      <c r="S14" s="40" t="s">
        <v>312</v>
      </c>
      <c r="T14" s="32" t="s">
        <v>384</v>
      </c>
      <c r="U14" s="32" t="s">
        <v>372</v>
      </c>
      <c r="V14" s="32" t="s">
        <v>572</v>
      </c>
      <c r="W14" s="32" t="s">
        <v>157</v>
      </c>
      <c r="X14" s="32" t="s">
        <v>157</v>
      </c>
      <c r="Y14" s="47" t="s">
        <v>157</v>
      </c>
      <c r="Z14" s="47" t="s">
        <v>157</v>
      </c>
      <c r="AA14" s="43" t="s">
        <v>817</v>
      </c>
      <c r="AB14" s="18">
        <f>IF(A14="","",COUNTIFS('Recipe Ingredients'!$B$5:$B$1204,A14))</f>
        <v>0</v>
      </c>
      <c r="AC14" s="25">
        <f>IF(A14="","",SUMIFS('Recipe Ingredients'!$N$5:$N$1204,'Recipe Ingredients'!$B$5:$B$1204,A14))</f>
        <v>0</v>
      </c>
      <c r="AD14" s="25">
        <f>IF(OR(AC14="",G14=""),"",IF(G14=0,"",AC14/G14))</f>
        <v>0</v>
      </c>
      <c r="AE14" s="30">
        <f>IF(OR(A14="",G14=""),"",IF(G14=0,"",SUMIFS('Recipe Ingredients'!$Q$5:$Q$1204,'Recipe Ingredients'!$B$5:$B$1204,A14)/G14))</f>
        <v>0</v>
      </c>
      <c r="AF14" s="45">
        <f>IF(OR(A14="",G14=""),"",IF(G14=0,"",SUMIFS('Recipe Ingredients'!$R$5:$R$1204,'Recipe Ingredients'!$B$5:$B$1204,A14)/G14))</f>
        <v>0</v>
      </c>
      <c r="AG14" s="45">
        <f>IF(OR(A14="",G14=""),"",IF(G14=0,"",SUMIFS('Recipe Ingredients'!$S$5:$S$1204,'Recipe Ingredients'!$B$5:$B$1204,A14)/G14))</f>
        <v>0</v>
      </c>
      <c r="AH14" s="45">
        <f>IF(OR(A14="",G14=""),"",IF(G14=0,"",SUMIFS('Recipe Ingredients'!$T$5:$T$1204,'Recipe Ingredients'!$B$5:$B$1204,A14)/G14))</f>
        <v>0</v>
      </c>
      <c r="AI14" s="45">
        <f>IF(OR(A14="",G14=""),"",IF(G14=0,"",SUMIFS('Recipe Ingredients'!$U$5:$U$1204,'Recipe Ingredients'!$B$5:$B$1204,A14)/G14))</f>
        <v>0</v>
      </c>
      <c r="AJ14" s="17">
        <f>IF(A14="","",IF(COUNTIFS('Recipe Ingredients'!$B$5:$B$1204,A14,'Recipe Ingredients'!$V$5:$V$1204,"&lt;&gt;",'Recipe Ingredients'!$V$5:$V$1204,"&lt;&gt;None")=0,"None listed",COUNTIFS('Recipe Ingredients'!$B$5:$B$1204,A14,'Recipe Ingredients'!$V$5:$V$1204,"&lt;&gt;",'Recipe Ingredients'!$V$5:$V$1204,"&lt;&gt;None")&amp;" ingredient(s) flagged"))</f>
        <v>0</v>
      </c>
      <c r="AK14" s="18">
        <f>IF(OR(AD14="",NOT(ISNUMBER(AD14))),"",COUNTIFS($AD$5:$AD$204,"&lt;"&amp;AD14)+COUNTIFS($AD$5:AD14,AD14))</f>
        <v>0</v>
      </c>
      <c r="AL14" s="18">
        <f>IF(B14="",0,IF(AND(OR(FilterDiet="Any",T14=FilterDiet),OR(FilterCategory="Any",C14=FilterCategory),OR(FilterMethod="Any",L14=FilterMethod),OR(FilterTime=0,AND(J14&lt;&gt;"",J14&lt;=FilterTime)),OR(FilterCost=0,AND(AD14&lt;&gt;"",ISNUMBER(AD14),AD14&lt;=FilterCost)),OR(FilterAllergen="Any",COUNTIFS('Recipe Ingredients'!$B$5:$B$1204,A14,'Recipe Ingredients'!$V$5:$V$1204,FilterAllergen)=0)),1,0))</f>
        <v>0</v>
      </c>
      <c r="AM14" s="18">
        <f>IF(AL14=0,"",SUM($AL$5:AL14))</f>
        <v>0</v>
      </c>
      <c r="AN14" s="18">
        <f>IF(B14="","",COUNTIFS($AZ$5:$AZ$204,"&gt;"&amp;AZ14)+COUNTIFS($AZ$5:AZ14,AZ14))</f>
        <v>0</v>
      </c>
      <c r="AO14" s="18">
        <f>IF(B14="","",COUNTIFS($AE$5:$AE$204,"&gt;"&amp;AE14)+COUNTIFS($AE$5:AE14,AE14))</f>
        <v>0</v>
      </c>
      <c r="AP14" s="18">
        <f>IF(B14="","",COUNTIFS($AF$5:$AF$204,"&gt;"&amp;AF14)+COUNTIFS($AF$5:AF14,AF14))</f>
        <v>0</v>
      </c>
      <c r="AQ14" s="18">
        <f>IF(B14="","",COUNTIFS($AI$5:$AI$204,"&gt;"&amp;AI14)+COUNTIFS($AI$5:AI14,AI14))</f>
        <v>0</v>
      </c>
      <c r="AR14" s="18">
        <f>IF(B14="","",COUNTIFS($AS$5:$AS$204,"&gt;"&amp;AS14)+COUNTIFS($AS$5:AS14,AS14))</f>
        <v>0</v>
      </c>
      <c r="AS14" s="45">
        <f>IF(B14="","",IF(BB14="",99999,BC14))</f>
        <v>0</v>
      </c>
      <c r="AT14" s="45">
        <f>IF(A14="",0,SUMIFS('Meal Plan'!$L$5:$L$504,'Meal Plan'!$G$5:$G$504,A14,'Meal Plan'!$B$5:$B$504,"&gt;="&amp;ShopFrom,'Meal Plan'!$B$5:$B$504,"&lt;="&amp;ShopTo,'Meal Plan'!$M$5:$M$504,"Yes"))</f>
        <v>0</v>
      </c>
      <c r="AU14" s="25">
        <f>IF(OR(A14="",AC14=""),"",AC14*AT14)</f>
        <v>0</v>
      </c>
      <c r="AV14" s="18">
        <f>IF(A14="","",COUNTIFS('Recipe Ingredients'!$B$5:$B$1204,A14,'Recipe Ingredients'!$N$5:$N$1204,""))</f>
        <v>0</v>
      </c>
      <c r="AW14" s="40">
        <v>4</v>
      </c>
      <c r="AX14" s="40">
        <v>3</v>
      </c>
      <c r="AY14" s="40" t="s">
        <v>312</v>
      </c>
      <c r="AZ14" s="18">
        <f>IF(A14="","",COUNTIFS('Meal Plan'!$G$5:$G$504,A14))</f>
        <v>0</v>
      </c>
      <c r="BA14" s="18">
        <f>IF(A14="","",COUNTIFS('Meal Plan'!$G$5:$G$504,A14,'Meal Plan'!$N$5:$N$504,"Prepared")+COUNTIFS('Meal Plan'!$G$5:$G$504,A14,'Meal Plan'!$N$5:$N$504,"Eaten"))</f>
        <v>0</v>
      </c>
      <c r="BB14" s="19">
        <f>IF(A14="","",IF(COUNTIFS('Meal Plan'!$G$5:$G$504,A14,'Meal Plan'!$B$5:$B$504,"&lt;="&amp;TODAY())=0,"",SUMPRODUCT(MAX(('Meal Plan'!$G$5:$G$504=A14)*('Meal Plan'!$B$5:$B$504&lt;=TODAY())*'Meal Plan'!$B$5:$B$504))))</f>
        <v>0</v>
      </c>
      <c r="BC14" s="18">
        <f>IF(BB14="","",TODAY()-BB14)</f>
        <v>0</v>
      </c>
      <c r="BD14" s="43" t="s">
        <v>157</v>
      </c>
      <c r="BE14" s="15">
        <v>45997</v>
      </c>
      <c r="BF14" s="31">
        <f>IF(B14="","",IF(G14="","Add - how many does it serve?",IF(AB14=0,"Add - no ingredients listed yet",IF(AV14&gt;0,"Check - "&amp;AV14&amp;" ingredient(s) have no price",IF(AND(BC14&lt;&gt;"",BC14&lt;RotationGapDays),"Cooked recently","OK")))))</f>
        <v>0</v>
      </c>
    </row>
    <row r="15" spans="1:58">
      <c r="A15" s="39">
        <f>IF(B15="","",RecipePrefix&amp;TEXT(ROW()-4,"0000"))</f>
        <v>0</v>
      </c>
      <c r="B15" s="32" t="s">
        <v>845</v>
      </c>
      <c r="C15" s="32" t="s">
        <v>165</v>
      </c>
      <c r="D15" s="32" t="s">
        <v>165</v>
      </c>
      <c r="E15" s="32" t="s">
        <v>337</v>
      </c>
      <c r="F15" s="43" t="s">
        <v>846</v>
      </c>
      <c r="G15" s="35">
        <v>2</v>
      </c>
      <c r="H15" s="35">
        <v>5</v>
      </c>
      <c r="I15" s="35">
        <v>0</v>
      </c>
      <c r="J15" s="18">
        <f>IF(B15="","",IF(AND(H15="",I15=""),"",IF(H15="",0,H15)+IF(I15="",0,I15)))</f>
        <v>0</v>
      </c>
      <c r="K15" s="46">
        <f>IF(J15="","",IF(J15&lt;=30,"Yes","No"))</f>
        <v>0</v>
      </c>
      <c r="L15" s="32" t="s">
        <v>364</v>
      </c>
      <c r="M15" s="32" t="s">
        <v>368</v>
      </c>
      <c r="N15" s="32" t="s">
        <v>157</v>
      </c>
      <c r="O15" s="40" t="s">
        <v>312</v>
      </c>
      <c r="P15" s="40" t="s">
        <v>311</v>
      </c>
      <c r="Q15" s="40" t="s">
        <v>311</v>
      </c>
      <c r="R15" s="40" t="s">
        <v>312</v>
      </c>
      <c r="S15" s="40" t="s">
        <v>311</v>
      </c>
      <c r="T15" s="32" t="s">
        <v>382</v>
      </c>
      <c r="U15" s="32" t="s">
        <v>372</v>
      </c>
      <c r="V15" s="32" t="s">
        <v>572</v>
      </c>
      <c r="W15" s="32" t="s">
        <v>847</v>
      </c>
      <c r="X15" s="32" t="s">
        <v>157</v>
      </c>
      <c r="Y15" s="47" t="s">
        <v>157</v>
      </c>
      <c r="Z15" s="47" t="s">
        <v>157</v>
      </c>
      <c r="AA15" s="43" t="s">
        <v>817</v>
      </c>
      <c r="AB15" s="18">
        <f>IF(A15="","",COUNTIFS('Recipe Ingredients'!$B$5:$B$1204,A15))</f>
        <v>0</v>
      </c>
      <c r="AC15" s="25">
        <f>IF(A15="","",SUMIFS('Recipe Ingredients'!$N$5:$N$1204,'Recipe Ingredients'!$B$5:$B$1204,A15))</f>
        <v>0</v>
      </c>
      <c r="AD15" s="25">
        <f>IF(OR(AC15="",G15=""),"",IF(G15=0,"",AC15/G15))</f>
        <v>0</v>
      </c>
      <c r="AE15" s="30">
        <f>IF(OR(A15="",G15=""),"",IF(G15=0,"",SUMIFS('Recipe Ingredients'!$Q$5:$Q$1204,'Recipe Ingredients'!$B$5:$B$1204,A15)/G15))</f>
        <v>0</v>
      </c>
      <c r="AF15" s="45">
        <f>IF(OR(A15="",G15=""),"",IF(G15=0,"",SUMIFS('Recipe Ingredients'!$R$5:$R$1204,'Recipe Ingredients'!$B$5:$B$1204,A15)/G15))</f>
        <v>0</v>
      </c>
      <c r="AG15" s="45">
        <f>IF(OR(A15="",G15=""),"",IF(G15=0,"",SUMIFS('Recipe Ingredients'!$S$5:$S$1204,'Recipe Ingredients'!$B$5:$B$1204,A15)/G15))</f>
        <v>0</v>
      </c>
      <c r="AH15" s="45">
        <f>IF(OR(A15="",G15=""),"",IF(G15=0,"",SUMIFS('Recipe Ingredients'!$T$5:$T$1204,'Recipe Ingredients'!$B$5:$B$1204,A15)/G15))</f>
        <v>0</v>
      </c>
      <c r="AI15" s="45">
        <f>IF(OR(A15="",G15=""),"",IF(G15=0,"",SUMIFS('Recipe Ingredients'!$U$5:$U$1204,'Recipe Ingredients'!$B$5:$B$1204,A15)/G15))</f>
        <v>0</v>
      </c>
      <c r="AJ15" s="17">
        <f>IF(A15="","",IF(COUNTIFS('Recipe Ingredients'!$B$5:$B$1204,A15,'Recipe Ingredients'!$V$5:$V$1204,"&lt;&gt;",'Recipe Ingredients'!$V$5:$V$1204,"&lt;&gt;None")=0,"None listed",COUNTIFS('Recipe Ingredients'!$B$5:$B$1204,A15,'Recipe Ingredients'!$V$5:$V$1204,"&lt;&gt;",'Recipe Ingredients'!$V$5:$V$1204,"&lt;&gt;None")&amp;" ingredient(s) flagged"))</f>
        <v>0</v>
      </c>
      <c r="AK15" s="18">
        <f>IF(OR(AD15="",NOT(ISNUMBER(AD15))),"",COUNTIFS($AD$5:$AD$204,"&lt;"&amp;AD15)+COUNTIFS($AD$5:AD15,AD15))</f>
        <v>0</v>
      </c>
      <c r="AL15" s="18">
        <f>IF(B15="",0,IF(AND(OR(FilterDiet="Any",T15=FilterDiet),OR(FilterCategory="Any",C15=FilterCategory),OR(FilterMethod="Any",L15=FilterMethod),OR(FilterTime=0,AND(J15&lt;&gt;"",J15&lt;=FilterTime)),OR(FilterCost=0,AND(AD15&lt;&gt;"",ISNUMBER(AD15),AD15&lt;=FilterCost)),OR(FilterAllergen="Any",COUNTIFS('Recipe Ingredients'!$B$5:$B$1204,A15,'Recipe Ingredients'!$V$5:$V$1204,FilterAllergen)=0)),1,0))</f>
        <v>0</v>
      </c>
      <c r="AM15" s="18">
        <f>IF(AL15=0,"",SUM($AL$5:AL15))</f>
        <v>0</v>
      </c>
      <c r="AN15" s="18">
        <f>IF(B15="","",COUNTIFS($AZ$5:$AZ$204,"&gt;"&amp;AZ15)+COUNTIFS($AZ$5:AZ15,AZ15))</f>
        <v>0</v>
      </c>
      <c r="AO15" s="18">
        <f>IF(B15="","",COUNTIFS($AE$5:$AE$204,"&gt;"&amp;AE15)+COUNTIFS($AE$5:AE15,AE15))</f>
        <v>0</v>
      </c>
      <c r="AP15" s="18">
        <f>IF(B15="","",COUNTIFS($AF$5:$AF$204,"&gt;"&amp;AF15)+COUNTIFS($AF$5:AF15,AF15))</f>
        <v>0</v>
      </c>
      <c r="AQ15" s="18">
        <f>IF(B15="","",COUNTIFS($AI$5:$AI$204,"&gt;"&amp;AI15)+COUNTIFS($AI$5:AI15,AI15))</f>
        <v>0</v>
      </c>
      <c r="AR15" s="18">
        <f>IF(B15="","",COUNTIFS($AS$5:$AS$204,"&gt;"&amp;AS15)+COUNTIFS($AS$5:AS15,AS15))</f>
        <v>0</v>
      </c>
      <c r="AS15" s="45">
        <f>IF(B15="","",IF(BB15="",99999,BC15))</f>
        <v>0</v>
      </c>
      <c r="AT15" s="45">
        <f>IF(A15="",0,SUMIFS('Meal Plan'!$L$5:$L$504,'Meal Plan'!$G$5:$G$504,A15,'Meal Plan'!$B$5:$B$504,"&gt;="&amp;ShopFrom,'Meal Plan'!$B$5:$B$504,"&lt;="&amp;ShopTo,'Meal Plan'!$M$5:$M$504,"Yes"))</f>
        <v>0</v>
      </c>
      <c r="AU15" s="25">
        <f>IF(OR(A15="",AC15=""),"",AC15*AT15)</f>
        <v>0</v>
      </c>
      <c r="AV15" s="18">
        <f>IF(A15="","",COUNTIFS('Recipe Ingredients'!$B$5:$B$1204,A15,'Recipe Ingredients'!$N$5:$N$1204,""))</f>
        <v>0</v>
      </c>
      <c r="AW15" s="40">
        <v>4</v>
      </c>
      <c r="AX15" s="40">
        <v>4</v>
      </c>
      <c r="AY15" s="40" t="s">
        <v>312</v>
      </c>
      <c r="AZ15" s="18">
        <f>IF(A15="","",COUNTIFS('Meal Plan'!$G$5:$G$504,A15))</f>
        <v>0</v>
      </c>
      <c r="BA15" s="18">
        <f>IF(A15="","",COUNTIFS('Meal Plan'!$G$5:$G$504,A15,'Meal Plan'!$N$5:$N$504,"Prepared")+COUNTIFS('Meal Plan'!$G$5:$G$504,A15,'Meal Plan'!$N$5:$N$504,"Eaten"))</f>
        <v>0</v>
      </c>
      <c r="BB15" s="19">
        <f>IF(A15="","",IF(COUNTIFS('Meal Plan'!$G$5:$G$504,A15,'Meal Plan'!$B$5:$B$504,"&lt;="&amp;TODAY())=0,"",SUMPRODUCT(MAX(('Meal Plan'!$G$5:$G$504=A15)*('Meal Plan'!$B$5:$B$504&lt;=TODAY())*'Meal Plan'!$B$5:$B$504))))</f>
        <v>0</v>
      </c>
      <c r="BC15" s="18">
        <f>IF(BB15="","",TODAY()-BB15)</f>
        <v>0</v>
      </c>
      <c r="BD15" s="43" t="s">
        <v>157</v>
      </c>
      <c r="BE15" s="15">
        <v>46073</v>
      </c>
      <c r="BF15" s="31">
        <f>IF(B15="","",IF(G15="","Add - how many does it serve?",IF(AB15=0,"Add - no ingredients listed yet",IF(AV15&gt;0,"Check - "&amp;AV15&amp;" ingredient(s) have no price",IF(AND(BC15&lt;&gt;"",BC15&lt;RotationGapDays),"Cooked recently","OK")))))</f>
        <v>0</v>
      </c>
    </row>
    <row r="16" spans="1:58">
      <c r="A16" s="39">
        <f>IF(B16="","",RecipePrefix&amp;TEXT(ROW()-4,"0000"))</f>
        <v>0</v>
      </c>
      <c r="B16" s="32" t="s">
        <v>848</v>
      </c>
      <c r="C16" s="32" t="s">
        <v>165</v>
      </c>
      <c r="D16" s="32" t="s">
        <v>165</v>
      </c>
      <c r="E16" s="32" t="s">
        <v>337</v>
      </c>
      <c r="F16" s="43" t="s">
        <v>849</v>
      </c>
      <c r="G16" s="35">
        <v>2</v>
      </c>
      <c r="H16" s="35">
        <v>5</v>
      </c>
      <c r="I16" s="35">
        <v>8</v>
      </c>
      <c r="J16" s="18">
        <f>IF(B16="","",IF(AND(H16="",I16=""),"",IF(H16="",0,H16)+IF(I16="",0,I16)))</f>
        <v>0</v>
      </c>
      <c r="K16" s="46">
        <f>IF(J16="","",IF(J16&lt;=30,"Yes","No"))</f>
        <v>0</v>
      </c>
      <c r="L16" s="32" t="s">
        <v>356</v>
      </c>
      <c r="M16" s="32" t="s">
        <v>368</v>
      </c>
      <c r="N16" s="32" t="s">
        <v>820</v>
      </c>
      <c r="O16" s="40" t="s">
        <v>312</v>
      </c>
      <c r="P16" s="40" t="s">
        <v>312</v>
      </c>
      <c r="Q16" s="40" t="s">
        <v>312</v>
      </c>
      <c r="R16" s="40" t="s">
        <v>312</v>
      </c>
      <c r="S16" s="40" t="s">
        <v>311</v>
      </c>
      <c r="T16" s="32" t="s">
        <v>382</v>
      </c>
      <c r="U16" s="32" t="s">
        <v>372</v>
      </c>
      <c r="V16" s="32" t="s">
        <v>572</v>
      </c>
      <c r="W16" s="32" t="s">
        <v>157</v>
      </c>
      <c r="X16" s="32" t="s">
        <v>157</v>
      </c>
      <c r="Y16" s="47" t="s">
        <v>157</v>
      </c>
      <c r="Z16" s="47" t="s">
        <v>157</v>
      </c>
      <c r="AA16" s="43" t="s">
        <v>817</v>
      </c>
      <c r="AB16" s="18">
        <f>IF(A16="","",COUNTIFS('Recipe Ingredients'!$B$5:$B$1204,A16))</f>
        <v>0</v>
      </c>
      <c r="AC16" s="25">
        <f>IF(A16="","",SUMIFS('Recipe Ingredients'!$N$5:$N$1204,'Recipe Ingredients'!$B$5:$B$1204,A16))</f>
        <v>0</v>
      </c>
      <c r="AD16" s="25">
        <f>IF(OR(AC16="",G16=""),"",IF(G16=0,"",AC16/G16))</f>
        <v>0</v>
      </c>
      <c r="AE16" s="30">
        <f>IF(OR(A16="",G16=""),"",IF(G16=0,"",SUMIFS('Recipe Ingredients'!$Q$5:$Q$1204,'Recipe Ingredients'!$B$5:$B$1204,A16)/G16))</f>
        <v>0</v>
      </c>
      <c r="AF16" s="45">
        <f>IF(OR(A16="",G16=""),"",IF(G16=0,"",SUMIFS('Recipe Ingredients'!$R$5:$R$1204,'Recipe Ingredients'!$B$5:$B$1204,A16)/G16))</f>
        <v>0</v>
      </c>
      <c r="AG16" s="45">
        <f>IF(OR(A16="",G16=""),"",IF(G16=0,"",SUMIFS('Recipe Ingredients'!$S$5:$S$1204,'Recipe Ingredients'!$B$5:$B$1204,A16)/G16))</f>
        <v>0</v>
      </c>
      <c r="AH16" s="45">
        <f>IF(OR(A16="",G16=""),"",IF(G16=0,"",SUMIFS('Recipe Ingredients'!$T$5:$T$1204,'Recipe Ingredients'!$B$5:$B$1204,A16)/G16))</f>
        <v>0</v>
      </c>
      <c r="AI16" s="45">
        <f>IF(OR(A16="",G16=""),"",IF(G16=0,"",SUMIFS('Recipe Ingredients'!$U$5:$U$1204,'Recipe Ingredients'!$B$5:$B$1204,A16)/G16))</f>
        <v>0</v>
      </c>
      <c r="AJ16" s="17">
        <f>IF(A16="","",IF(COUNTIFS('Recipe Ingredients'!$B$5:$B$1204,A16,'Recipe Ingredients'!$V$5:$V$1204,"&lt;&gt;",'Recipe Ingredients'!$V$5:$V$1204,"&lt;&gt;None")=0,"None listed",COUNTIFS('Recipe Ingredients'!$B$5:$B$1204,A16,'Recipe Ingredients'!$V$5:$V$1204,"&lt;&gt;",'Recipe Ingredients'!$V$5:$V$1204,"&lt;&gt;None")&amp;" ingredient(s) flagged"))</f>
        <v>0</v>
      </c>
      <c r="AK16" s="18">
        <f>IF(OR(AD16="",NOT(ISNUMBER(AD16))),"",COUNTIFS($AD$5:$AD$204,"&lt;"&amp;AD16)+COUNTIFS($AD$5:AD16,AD16))</f>
        <v>0</v>
      </c>
      <c r="AL16" s="18">
        <f>IF(B16="",0,IF(AND(OR(FilterDiet="Any",T16=FilterDiet),OR(FilterCategory="Any",C16=FilterCategory),OR(FilterMethod="Any",L16=FilterMethod),OR(FilterTime=0,AND(J16&lt;&gt;"",J16&lt;=FilterTime)),OR(FilterCost=0,AND(AD16&lt;&gt;"",ISNUMBER(AD16),AD16&lt;=FilterCost)),OR(FilterAllergen="Any",COUNTIFS('Recipe Ingredients'!$B$5:$B$1204,A16,'Recipe Ingredients'!$V$5:$V$1204,FilterAllergen)=0)),1,0))</f>
        <v>0</v>
      </c>
      <c r="AM16" s="18">
        <f>IF(AL16=0,"",SUM($AL$5:AL16))</f>
        <v>0</v>
      </c>
      <c r="AN16" s="18">
        <f>IF(B16="","",COUNTIFS($AZ$5:$AZ$204,"&gt;"&amp;AZ16)+COUNTIFS($AZ$5:AZ16,AZ16))</f>
        <v>0</v>
      </c>
      <c r="AO16" s="18">
        <f>IF(B16="","",COUNTIFS($AE$5:$AE$204,"&gt;"&amp;AE16)+COUNTIFS($AE$5:AE16,AE16))</f>
        <v>0</v>
      </c>
      <c r="AP16" s="18">
        <f>IF(B16="","",COUNTIFS($AF$5:$AF$204,"&gt;"&amp;AF16)+COUNTIFS($AF$5:AF16,AF16))</f>
        <v>0</v>
      </c>
      <c r="AQ16" s="18">
        <f>IF(B16="","",COUNTIFS($AI$5:$AI$204,"&gt;"&amp;AI16)+COUNTIFS($AI$5:AI16,AI16))</f>
        <v>0</v>
      </c>
      <c r="AR16" s="18">
        <f>IF(B16="","",COUNTIFS($AS$5:$AS$204,"&gt;"&amp;AS16)+COUNTIFS($AS$5:AS16,AS16))</f>
        <v>0</v>
      </c>
      <c r="AS16" s="45">
        <f>IF(B16="","",IF(BB16="",99999,BC16))</f>
        <v>0</v>
      </c>
      <c r="AT16" s="45">
        <f>IF(A16="",0,SUMIFS('Meal Plan'!$L$5:$L$504,'Meal Plan'!$G$5:$G$504,A16,'Meal Plan'!$B$5:$B$504,"&gt;="&amp;ShopFrom,'Meal Plan'!$B$5:$B$504,"&lt;="&amp;ShopTo,'Meal Plan'!$M$5:$M$504,"Yes"))</f>
        <v>0</v>
      </c>
      <c r="AU16" s="25">
        <f>IF(OR(A16="",AC16=""),"",AC16*AT16)</f>
        <v>0</v>
      </c>
      <c r="AV16" s="18">
        <f>IF(A16="","",COUNTIFS('Recipe Ingredients'!$B$5:$B$1204,A16,'Recipe Ingredients'!$N$5:$N$1204,""))</f>
        <v>0</v>
      </c>
      <c r="AW16" s="40">
        <v>4</v>
      </c>
      <c r="AX16" s="40">
        <v>3</v>
      </c>
      <c r="AY16" s="40" t="s">
        <v>312</v>
      </c>
      <c r="AZ16" s="18">
        <f>IF(A16="","",COUNTIFS('Meal Plan'!$G$5:$G$504,A16))</f>
        <v>0</v>
      </c>
      <c r="BA16" s="18">
        <f>IF(A16="","",COUNTIFS('Meal Plan'!$G$5:$G$504,A16,'Meal Plan'!$N$5:$N$504,"Prepared")+COUNTIFS('Meal Plan'!$G$5:$G$504,A16,'Meal Plan'!$N$5:$N$504,"Eaten"))</f>
        <v>0</v>
      </c>
      <c r="BB16" s="19">
        <f>IF(A16="","",IF(COUNTIFS('Meal Plan'!$G$5:$G$504,A16,'Meal Plan'!$B$5:$B$504,"&lt;="&amp;TODAY())=0,"",SUMPRODUCT(MAX(('Meal Plan'!$G$5:$G$504=A16)*('Meal Plan'!$B$5:$B$504&lt;=TODAY())*'Meal Plan'!$B$5:$B$504))))</f>
        <v>0</v>
      </c>
      <c r="BC16" s="18">
        <f>IF(BB16="","",TODAY()-BB16)</f>
        <v>0</v>
      </c>
      <c r="BD16" s="43" t="s">
        <v>157</v>
      </c>
      <c r="BE16" s="15">
        <v>46147</v>
      </c>
      <c r="BF16" s="31">
        <f>IF(B16="","",IF(G16="","Add - how many does it serve?",IF(AB16=0,"Add - no ingredients listed yet",IF(AV16&gt;0,"Check - "&amp;AV16&amp;" ingredient(s) have no price",IF(AND(BC16&lt;&gt;"",BC16&lt;RotationGapDays),"Cooked recently","OK")))))</f>
        <v>0</v>
      </c>
    </row>
    <row r="17" spans="1:58">
      <c r="A17" s="39">
        <f>IF(B17="","",RecipePrefix&amp;TEXT(ROW()-4,"0000"))</f>
        <v>0</v>
      </c>
      <c r="B17" s="32" t="s">
        <v>850</v>
      </c>
      <c r="C17" s="32" t="s">
        <v>165</v>
      </c>
      <c r="D17" s="32" t="s">
        <v>165</v>
      </c>
      <c r="E17" s="32" t="s">
        <v>336</v>
      </c>
      <c r="F17" s="43" t="s">
        <v>851</v>
      </c>
      <c r="G17" s="35">
        <v>4</v>
      </c>
      <c r="H17" s="35">
        <v>10</v>
      </c>
      <c r="I17" s="35">
        <v>15</v>
      </c>
      <c r="J17" s="18">
        <f>IF(B17="","",IF(AND(H17="",I17=""),"",IF(H17="",0,H17)+IF(I17="",0,I17)))</f>
        <v>0</v>
      </c>
      <c r="K17" s="46">
        <f>IF(J17="","",IF(J17&lt;=30,"Yes","No"))</f>
        <v>0</v>
      </c>
      <c r="L17" s="32" t="s">
        <v>356</v>
      </c>
      <c r="M17" s="32" t="s">
        <v>368</v>
      </c>
      <c r="N17" s="32" t="s">
        <v>820</v>
      </c>
      <c r="O17" s="40" t="s">
        <v>312</v>
      </c>
      <c r="P17" s="40" t="s">
        <v>312</v>
      </c>
      <c r="Q17" s="40" t="s">
        <v>312</v>
      </c>
      <c r="R17" s="40" t="s">
        <v>311</v>
      </c>
      <c r="S17" s="40" t="s">
        <v>311</v>
      </c>
      <c r="T17" s="32" t="s">
        <v>382</v>
      </c>
      <c r="U17" s="32" t="s">
        <v>372</v>
      </c>
      <c r="V17" s="32" t="s">
        <v>572</v>
      </c>
      <c r="W17" s="32" t="s">
        <v>852</v>
      </c>
      <c r="X17" s="32" t="s">
        <v>816</v>
      </c>
      <c r="Y17" s="47" t="s">
        <v>157</v>
      </c>
      <c r="Z17" s="47" t="s">
        <v>157</v>
      </c>
      <c r="AA17" s="43" t="s">
        <v>817</v>
      </c>
      <c r="AB17" s="18">
        <f>IF(A17="","",COUNTIFS('Recipe Ingredients'!$B$5:$B$1204,A17))</f>
        <v>0</v>
      </c>
      <c r="AC17" s="25">
        <f>IF(A17="","",SUMIFS('Recipe Ingredients'!$N$5:$N$1204,'Recipe Ingredients'!$B$5:$B$1204,A17))</f>
        <v>0</v>
      </c>
      <c r="AD17" s="25">
        <f>IF(OR(AC17="",G17=""),"",IF(G17=0,"",AC17/G17))</f>
        <v>0</v>
      </c>
      <c r="AE17" s="30">
        <f>IF(OR(A17="",G17=""),"",IF(G17=0,"",SUMIFS('Recipe Ingredients'!$Q$5:$Q$1204,'Recipe Ingredients'!$B$5:$B$1204,A17)/G17))</f>
        <v>0</v>
      </c>
      <c r="AF17" s="45">
        <f>IF(OR(A17="",G17=""),"",IF(G17=0,"",SUMIFS('Recipe Ingredients'!$R$5:$R$1204,'Recipe Ingredients'!$B$5:$B$1204,A17)/G17))</f>
        <v>0</v>
      </c>
      <c r="AG17" s="45">
        <f>IF(OR(A17="",G17=""),"",IF(G17=0,"",SUMIFS('Recipe Ingredients'!$S$5:$S$1204,'Recipe Ingredients'!$B$5:$B$1204,A17)/G17))</f>
        <v>0</v>
      </c>
      <c r="AH17" s="45">
        <f>IF(OR(A17="",G17=""),"",IF(G17=0,"",SUMIFS('Recipe Ingredients'!$T$5:$T$1204,'Recipe Ingredients'!$B$5:$B$1204,A17)/G17))</f>
        <v>0</v>
      </c>
      <c r="AI17" s="45">
        <f>IF(OR(A17="",G17=""),"",IF(G17=0,"",SUMIFS('Recipe Ingredients'!$U$5:$U$1204,'Recipe Ingredients'!$B$5:$B$1204,A17)/G17))</f>
        <v>0</v>
      </c>
      <c r="AJ17" s="17">
        <f>IF(A17="","",IF(COUNTIFS('Recipe Ingredients'!$B$5:$B$1204,A17,'Recipe Ingredients'!$V$5:$V$1204,"&lt;&gt;",'Recipe Ingredients'!$V$5:$V$1204,"&lt;&gt;None")=0,"None listed",COUNTIFS('Recipe Ingredients'!$B$5:$B$1204,A17,'Recipe Ingredients'!$V$5:$V$1204,"&lt;&gt;",'Recipe Ingredients'!$V$5:$V$1204,"&lt;&gt;None")&amp;" ingredient(s) flagged"))</f>
        <v>0</v>
      </c>
      <c r="AK17" s="18">
        <f>IF(OR(AD17="",NOT(ISNUMBER(AD17))),"",COUNTIFS($AD$5:$AD$204,"&lt;"&amp;AD17)+COUNTIFS($AD$5:AD17,AD17))</f>
        <v>0</v>
      </c>
      <c r="AL17" s="18">
        <f>IF(B17="",0,IF(AND(OR(FilterDiet="Any",T17=FilterDiet),OR(FilterCategory="Any",C17=FilterCategory),OR(FilterMethod="Any",L17=FilterMethod),OR(FilterTime=0,AND(J17&lt;&gt;"",J17&lt;=FilterTime)),OR(FilterCost=0,AND(AD17&lt;&gt;"",ISNUMBER(AD17),AD17&lt;=FilterCost)),OR(FilterAllergen="Any",COUNTIFS('Recipe Ingredients'!$B$5:$B$1204,A17,'Recipe Ingredients'!$V$5:$V$1204,FilterAllergen)=0)),1,0))</f>
        <v>0</v>
      </c>
      <c r="AM17" s="18">
        <f>IF(AL17=0,"",SUM($AL$5:AL17))</f>
        <v>0</v>
      </c>
      <c r="AN17" s="18">
        <f>IF(B17="","",COUNTIFS($AZ$5:$AZ$204,"&gt;"&amp;AZ17)+COUNTIFS($AZ$5:AZ17,AZ17))</f>
        <v>0</v>
      </c>
      <c r="AO17" s="18">
        <f>IF(B17="","",COUNTIFS($AE$5:$AE$204,"&gt;"&amp;AE17)+COUNTIFS($AE$5:AE17,AE17))</f>
        <v>0</v>
      </c>
      <c r="AP17" s="18">
        <f>IF(B17="","",COUNTIFS($AF$5:$AF$204,"&gt;"&amp;AF17)+COUNTIFS($AF$5:AF17,AF17))</f>
        <v>0</v>
      </c>
      <c r="AQ17" s="18">
        <f>IF(B17="","",COUNTIFS($AI$5:$AI$204,"&gt;"&amp;AI17)+COUNTIFS($AI$5:AI17,AI17))</f>
        <v>0</v>
      </c>
      <c r="AR17" s="18">
        <f>IF(B17="","",COUNTIFS($AS$5:$AS$204,"&gt;"&amp;AS17)+COUNTIFS($AS$5:AS17,AS17))</f>
        <v>0</v>
      </c>
      <c r="AS17" s="45">
        <f>IF(B17="","",IF(BB17="",99999,BC17))</f>
        <v>0</v>
      </c>
      <c r="AT17" s="45">
        <f>IF(A17="",0,SUMIFS('Meal Plan'!$L$5:$L$504,'Meal Plan'!$G$5:$G$504,A17,'Meal Plan'!$B$5:$B$504,"&gt;="&amp;ShopFrom,'Meal Plan'!$B$5:$B$504,"&lt;="&amp;ShopTo,'Meal Plan'!$M$5:$M$504,"Yes"))</f>
        <v>0</v>
      </c>
      <c r="AU17" s="25">
        <f>IF(OR(A17="",AC17=""),"",AC17*AT17)</f>
        <v>0</v>
      </c>
      <c r="AV17" s="18">
        <f>IF(A17="","",COUNTIFS('Recipe Ingredients'!$B$5:$B$1204,A17,'Recipe Ingredients'!$N$5:$N$1204,""))</f>
        <v>0</v>
      </c>
      <c r="AW17" s="40">
        <v>5</v>
      </c>
      <c r="AX17" s="40">
        <v>5</v>
      </c>
      <c r="AY17" s="40" t="s">
        <v>311</v>
      </c>
      <c r="AZ17" s="18">
        <f>IF(A17="","",COUNTIFS('Meal Plan'!$G$5:$G$504,A17))</f>
        <v>0</v>
      </c>
      <c r="BA17" s="18">
        <f>IF(A17="","",COUNTIFS('Meal Plan'!$G$5:$G$504,A17,'Meal Plan'!$N$5:$N$504,"Prepared")+COUNTIFS('Meal Plan'!$G$5:$G$504,A17,'Meal Plan'!$N$5:$N$504,"Eaten"))</f>
        <v>0</v>
      </c>
      <c r="BB17" s="19">
        <f>IF(A17="","",IF(COUNTIFS('Meal Plan'!$G$5:$G$504,A17,'Meal Plan'!$B$5:$B$504,"&lt;="&amp;TODAY())=0,"",SUMPRODUCT(MAX(('Meal Plan'!$G$5:$G$504=A17)*('Meal Plan'!$B$5:$B$504&lt;=TODAY())*'Meal Plan'!$B$5:$B$504))))</f>
        <v>0</v>
      </c>
      <c r="BC17" s="18">
        <f>IF(BB17="","",TODAY()-BB17)</f>
        <v>0</v>
      </c>
      <c r="BD17" s="43" t="s">
        <v>157</v>
      </c>
      <c r="BE17" s="15">
        <v>46204</v>
      </c>
      <c r="BF17" s="31">
        <f>IF(B17="","",IF(G17="","Add - how many does it serve?",IF(AB17=0,"Add - no ingredients listed yet",IF(AV17&gt;0,"Check - "&amp;AV17&amp;" ingredient(s) have no price",IF(AND(BC17&lt;&gt;"",BC17&lt;RotationGapDays),"Cooked recently","OK")))))</f>
        <v>0</v>
      </c>
    </row>
    <row r="18" spans="1:58">
      <c r="A18" s="39">
        <f>IF(B18="","",RecipePrefix&amp;TEXT(ROW()-4,"0000"))</f>
        <v>0</v>
      </c>
      <c r="B18" s="32" t="s">
        <v>853</v>
      </c>
      <c r="C18" s="32" t="s">
        <v>334</v>
      </c>
      <c r="D18" s="32" t="s">
        <v>167</v>
      </c>
      <c r="E18" s="32" t="s">
        <v>346</v>
      </c>
      <c r="F18" s="43" t="s">
        <v>854</v>
      </c>
      <c r="G18" s="35">
        <v>4</v>
      </c>
      <c r="H18" s="35">
        <v>15</v>
      </c>
      <c r="I18" s="35">
        <v>10</v>
      </c>
      <c r="J18" s="18">
        <f>IF(B18="","",IF(AND(H18="",I18=""),"",IF(H18="",0,H18)+IF(I18="",0,I18)))</f>
        <v>0</v>
      </c>
      <c r="K18" s="46">
        <f>IF(J18="","",IF(J18&lt;=30,"Yes","No"))</f>
        <v>0</v>
      </c>
      <c r="L18" s="32" t="s">
        <v>364</v>
      </c>
      <c r="M18" s="32" t="s">
        <v>368</v>
      </c>
      <c r="N18" s="32" t="s">
        <v>157</v>
      </c>
      <c r="O18" s="40" t="s">
        <v>312</v>
      </c>
      <c r="P18" s="40" t="s">
        <v>311</v>
      </c>
      <c r="Q18" s="40" t="s">
        <v>311</v>
      </c>
      <c r="R18" s="40" t="s">
        <v>312</v>
      </c>
      <c r="S18" s="40" t="s">
        <v>312</v>
      </c>
      <c r="T18" s="32" t="s">
        <v>383</v>
      </c>
      <c r="U18" s="32" t="s">
        <v>372</v>
      </c>
      <c r="V18" s="32" t="s">
        <v>572</v>
      </c>
      <c r="W18" s="32" t="s">
        <v>855</v>
      </c>
      <c r="X18" s="32" t="s">
        <v>157</v>
      </c>
      <c r="Y18" s="47" t="s">
        <v>157</v>
      </c>
      <c r="Z18" s="47" t="s">
        <v>157</v>
      </c>
      <c r="AA18" s="43" t="s">
        <v>817</v>
      </c>
      <c r="AB18" s="18">
        <f>IF(A18="","",COUNTIFS('Recipe Ingredients'!$B$5:$B$1204,A18))</f>
        <v>0</v>
      </c>
      <c r="AC18" s="25">
        <f>IF(A18="","",SUMIFS('Recipe Ingredients'!$N$5:$N$1204,'Recipe Ingredients'!$B$5:$B$1204,A18))</f>
        <v>0</v>
      </c>
      <c r="AD18" s="25">
        <f>IF(OR(AC18="",G18=""),"",IF(G18=0,"",AC18/G18))</f>
        <v>0</v>
      </c>
      <c r="AE18" s="30">
        <f>IF(OR(A18="",G18=""),"",IF(G18=0,"",SUMIFS('Recipe Ingredients'!$Q$5:$Q$1204,'Recipe Ingredients'!$B$5:$B$1204,A18)/G18))</f>
        <v>0</v>
      </c>
      <c r="AF18" s="45">
        <f>IF(OR(A18="",G18=""),"",IF(G18=0,"",SUMIFS('Recipe Ingredients'!$R$5:$R$1204,'Recipe Ingredients'!$B$5:$B$1204,A18)/G18))</f>
        <v>0</v>
      </c>
      <c r="AG18" s="45">
        <f>IF(OR(A18="",G18=""),"",IF(G18=0,"",SUMIFS('Recipe Ingredients'!$S$5:$S$1204,'Recipe Ingredients'!$B$5:$B$1204,A18)/G18))</f>
        <v>0</v>
      </c>
      <c r="AH18" s="45">
        <f>IF(OR(A18="",G18=""),"",IF(G18=0,"",SUMIFS('Recipe Ingredients'!$T$5:$T$1204,'Recipe Ingredients'!$B$5:$B$1204,A18)/G18))</f>
        <v>0</v>
      </c>
      <c r="AI18" s="45">
        <f>IF(OR(A18="",G18=""),"",IF(G18=0,"",SUMIFS('Recipe Ingredients'!$U$5:$U$1204,'Recipe Ingredients'!$B$5:$B$1204,A18)/G18))</f>
        <v>0</v>
      </c>
      <c r="AJ18" s="17">
        <f>IF(A18="","",IF(COUNTIFS('Recipe Ingredients'!$B$5:$B$1204,A18,'Recipe Ingredients'!$V$5:$V$1204,"&lt;&gt;",'Recipe Ingredients'!$V$5:$V$1204,"&lt;&gt;None")=0,"None listed",COUNTIFS('Recipe Ingredients'!$B$5:$B$1204,A18,'Recipe Ingredients'!$V$5:$V$1204,"&lt;&gt;",'Recipe Ingredients'!$V$5:$V$1204,"&lt;&gt;None")&amp;" ingredient(s) flagged"))</f>
        <v>0</v>
      </c>
      <c r="AK18" s="18">
        <f>IF(OR(AD18="",NOT(ISNUMBER(AD18))),"",COUNTIFS($AD$5:$AD$204,"&lt;"&amp;AD18)+COUNTIFS($AD$5:AD18,AD18))</f>
        <v>0</v>
      </c>
      <c r="AL18" s="18">
        <f>IF(B18="",0,IF(AND(OR(FilterDiet="Any",T18=FilterDiet),OR(FilterCategory="Any",C18=FilterCategory),OR(FilterMethod="Any",L18=FilterMethod),OR(FilterTime=0,AND(J18&lt;&gt;"",J18&lt;=FilterTime)),OR(FilterCost=0,AND(AD18&lt;&gt;"",ISNUMBER(AD18),AD18&lt;=FilterCost)),OR(FilterAllergen="Any",COUNTIFS('Recipe Ingredients'!$B$5:$B$1204,A18,'Recipe Ingredients'!$V$5:$V$1204,FilterAllergen)=0)),1,0))</f>
        <v>0</v>
      </c>
      <c r="AM18" s="18">
        <f>IF(AL18=0,"",SUM($AL$5:AL18))</f>
        <v>0</v>
      </c>
      <c r="AN18" s="18">
        <f>IF(B18="","",COUNTIFS($AZ$5:$AZ$204,"&gt;"&amp;AZ18)+COUNTIFS($AZ$5:AZ18,AZ18))</f>
        <v>0</v>
      </c>
      <c r="AO18" s="18">
        <f>IF(B18="","",COUNTIFS($AE$5:$AE$204,"&gt;"&amp;AE18)+COUNTIFS($AE$5:AE18,AE18))</f>
        <v>0</v>
      </c>
      <c r="AP18" s="18">
        <f>IF(B18="","",COUNTIFS($AF$5:$AF$204,"&gt;"&amp;AF18)+COUNTIFS($AF$5:AF18,AF18))</f>
        <v>0</v>
      </c>
      <c r="AQ18" s="18">
        <f>IF(B18="","",COUNTIFS($AI$5:$AI$204,"&gt;"&amp;AI18)+COUNTIFS($AI$5:AI18,AI18))</f>
        <v>0</v>
      </c>
      <c r="AR18" s="18">
        <f>IF(B18="","",COUNTIFS($AS$5:$AS$204,"&gt;"&amp;AS18)+COUNTIFS($AS$5:AS18,AS18))</f>
        <v>0</v>
      </c>
      <c r="AS18" s="45">
        <f>IF(B18="","",IF(BB18="",99999,BC18))</f>
        <v>0</v>
      </c>
      <c r="AT18" s="45">
        <f>IF(A18="",0,SUMIFS('Meal Plan'!$L$5:$L$504,'Meal Plan'!$G$5:$G$504,A18,'Meal Plan'!$B$5:$B$504,"&gt;="&amp;ShopFrom,'Meal Plan'!$B$5:$B$504,"&lt;="&amp;ShopTo,'Meal Plan'!$M$5:$M$504,"Yes"))</f>
        <v>0</v>
      </c>
      <c r="AU18" s="25">
        <f>IF(OR(A18="",AC18=""),"",AC18*AT18)</f>
        <v>0</v>
      </c>
      <c r="AV18" s="18">
        <f>IF(A18="","",COUNTIFS('Recipe Ingredients'!$B$5:$B$1204,A18,'Recipe Ingredients'!$N$5:$N$1204,""))</f>
        <v>0</v>
      </c>
      <c r="AW18" s="40">
        <v>4</v>
      </c>
      <c r="AX18" s="40">
        <v>3</v>
      </c>
      <c r="AY18" s="40" t="s">
        <v>312</v>
      </c>
      <c r="AZ18" s="18">
        <f>IF(A18="","",COUNTIFS('Meal Plan'!$G$5:$G$504,A18))</f>
        <v>0</v>
      </c>
      <c r="BA18" s="18">
        <f>IF(A18="","",COUNTIFS('Meal Plan'!$G$5:$G$504,A18,'Meal Plan'!$N$5:$N$504,"Prepared")+COUNTIFS('Meal Plan'!$G$5:$G$504,A18,'Meal Plan'!$N$5:$N$504,"Eaten"))</f>
        <v>0</v>
      </c>
      <c r="BB18" s="19">
        <f>IF(A18="","",IF(COUNTIFS('Meal Plan'!$G$5:$G$504,A18,'Meal Plan'!$B$5:$B$504,"&lt;="&amp;TODAY())=0,"",SUMPRODUCT(MAX(('Meal Plan'!$G$5:$G$504=A18)*('Meal Plan'!$B$5:$B$504&lt;=TODAY())*'Meal Plan'!$B$5:$B$504))))</f>
        <v>0</v>
      </c>
      <c r="BC18" s="18">
        <f>IF(BB18="","",TODAY()-BB18)</f>
        <v>0</v>
      </c>
      <c r="BD18" s="43" t="s">
        <v>157</v>
      </c>
      <c r="BE18" s="15">
        <v>45987</v>
      </c>
      <c r="BF18" s="31">
        <f>IF(B18="","",IF(G18="","Add - how many does it serve?",IF(AB18=0,"Add - no ingredients listed yet",IF(AV18&gt;0,"Check - "&amp;AV18&amp;" ingredient(s) have no price",IF(AND(BC18&lt;&gt;"",BC18&lt;RotationGapDays),"Cooked recently","OK")))))</f>
        <v>0</v>
      </c>
    </row>
    <row r="19" spans="1:58">
      <c r="A19" s="39">
        <f>IF(B19="","",RecipePrefix&amp;TEXT(ROW()-4,"0000"))</f>
        <v>0</v>
      </c>
      <c r="B19" s="32" t="s">
        <v>856</v>
      </c>
      <c r="C19" s="32" t="s">
        <v>334</v>
      </c>
      <c r="D19" s="32" t="s">
        <v>167</v>
      </c>
      <c r="E19" s="32" t="s">
        <v>346</v>
      </c>
      <c r="F19" s="43" t="s">
        <v>857</v>
      </c>
      <c r="G19" s="35">
        <v>2</v>
      </c>
      <c r="H19" s="35">
        <v>10</v>
      </c>
      <c r="I19" s="35">
        <v>0</v>
      </c>
      <c r="J19" s="18">
        <f>IF(B19="","",IF(AND(H19="",I19=""),"",IF(H19="",0,H19)+IF(I19="",0,I19)))</f>
        <v>0</v>
      </c>
      <c r="K19" s="46">
        <f>IF(J19="","",IF(J19&lt;=30,"Yes","No"))</f>
        <v>0</v>
      </c>
      <c r="L19" s="32" t="s">
        <v>364</v>
      </c>
      <c r="M19" s="32" t="s">
        <v>368</v>
      </c>
      <c r="N19" s="32" t="s">
        <v>157</v>
      </c>
      <c r="O19" s="40" t="s">
        <v>312</v>
      </c>
      <c r="P19" s="40" t="s">
        <v>311</v>
      </c>
      <c r="Q19" s="40" t="s">
        <v>312</v>
      </c>
      <c r="R19" s="40" t="s">
        <v>312</v>
      </c>
      <c r="S19" s="40" t="s">
        <v>311</v>
      </c>
      <c r="T19" s="32" t="s">
        <v>383</v>
      </c>
      <c r="U19" s="32" t="s">
        <v>372</v>
      </c>
      <c r="V19" s="32" t="s">
        <v>572</v>
      </c>
      <c r="W19" s="32" t="s">
        <v>858</v>
      </c>
      <c r="X19" s="32" t="s">
        <v>157</v>
      </c>
      <c r="Y19" s="47" t="s">
        <v>157</v>
      </c>
      <c r="Z19" s="47" t="s">
        <v>157</v>
      </c>
      <c r="AA19" s="43" t="s">
        <v>817</v>
      </c>
      <c r="AB19" s="18">
        <f>IF(A19="","",COUNTIFS('Recipe Ingredients'!$B$5:$B$1204,A19))</f>
        <v>0</v>
      </c>
      <c r="AC19" s="25">
        <f>IF(A19="","",SUMIFS('Recipe Ingredients'!$N$5:$N$1204,'Recipe Ingredients'!$B$5:$B$1204,A19))</f>
        <v>0</v>
      </c>
      <c r="AD19" s="25">
        <f>IF(OR(AC19="",G19=""),"",IF(G19=0,"",AC19/G19))</f>
        <v>0</v>
      </c>
      <c r="AE19" s="30">
        <f>IF(OR(A19="",G19=""),"",IF(G19=0,"",SUMIFS('Recipe Ingredients'!$Q$5:$Q$1204,'Recipe Ingredients'!$B$5:$B$1204,A19)/G19))</f>
        <v>0</v>
      </c>
      <c r="AF19" s="45">
        <f>IF(OR(A19="",G19=""),"",IF(G19=0,"",SUMIFS('Recipe Ingredients'!$R$5:$R$1204,'Recipe Ingredients'!$B$5:$B$1204,A19)/G19))</f>
        <v>0</v>
      </c>
      <c r="AG19" s="45">
        <f>IF(OR(A19="",G19=""),"",IF(G19=0,"",SUMIFS('Recipe Ingredients'!$S$5:$S$1204,'Recipe Ingredients'!$B$5:$B$1204,A19)/G19))</f>
        <v>0</v>
      </c>
      <c r="AH19" s="45">
        <f>IF(OR(A19="",G19=""),"",IF(G19=0,"",SUMIFS('Recipe Ingredients'!$T$5:$T$1204,'Recipe Ingredients'!$B$5:$B$1204,A19)/G19))</f>
        <v>0</v>
      </c>
      <c r="AI19" s="45">
        <f>IF(OR(A19="",G19=""),"",IF(G19=0,"",SUMIFS('Recipe Ingredients'!$U$5:$U$1204,'Recipe Ingredients'!$B$5:$B$1204,A19)/G19))</f>
        <v>0</v>
      </c>
      <c r="AJ19" s="17">
        <f>IF(A19="","",IF(COUNTIFS('Recipe Ingredients'!$B$5:$B$1204,A19,'Recipe Ingredients'!$V$5:$V$1204,"&lt;&gt;",'Recipe Ingredients'!$V$5:$V$1204,"&lt;&gt;None")=0,"None listed",COUNTIFS('Recipe Ingredients'!$B$5:$B$1204,A19,'Recipe Ingredients'!$V$5:$V$1204,"&lt;&gt;",'Recipe Ingredients'!$V$5:$V$1204,"&lt;&gt;None")&amp;" ingredient(s) flagged"))</f>
        <v>0</v>
      </c>
      <c r="AK19" s="18">
        <f>IF(OR(AD19="",NOT(ISNUMBER(AD19))),"",COUNTIFS($AD$5:$AD$204,"&lt;"&amp;AD19)+COUNTIFS($AD$5:AD19,AD19))</f>
        <v>0</v>
      </c>
      <c r="AL19" s="18">
        <f>IF(B19="",0,IF(AND(OR(FilterDiet="Any",T19=FilterDiet),OR(FilterCategory="Any",C19=FilterCategory),OR(FilterMethod="Any",L19=FilterMethod),OR(FilterTime=0,AND(J19&lt;&gt;"",J19&lt;=FilterTime)),OR(FilterCost=0,AND(AD19&lt;&gt;"",ISNUMBER(AD19),AD19&lt;=FilterCost)),OR(FilterAllergen="Any",COUNTIFS('Recipe Ingredients'!$B$5:$B$1204,A19,'Recipe Ingredients'!$V$5:$V$1204,FilterAllergen)=0)),1,0))</f>
        <v>0</v>
      </c>
      <c r="AM19" s="18">
        <f>IF(AL19=0,"",SUM($AL$5:AL19))</f>
        <v>0</v>
      </c>
      <c r="AN19" s="18">
        <f>IF(B19="","",COUNTIFS($AZ$5:$AZ$204,"&gt;"&amp;AZ19)+COUNTIFS($AZ$5:AZ19,AZ19))</f>
        <v>0</v>
      </c>
      <c r="AO19" s="18">
        <f>IF(B19="","",COUNTIFS($AE$5:$AE$204,"&gt;"&amp;AE19)+COUNTIFS($AE$5:AE19,AE19))</f>
        <v>0</v>
      </c>
      <c r="AP19" s="18">
        <f>IF(B19="","",COUNTIFS($AF$5:$AF$204,"&gt;"&amp;AF19)+COUNTIFS($AF$5:AF19,AF19))</f>
        <v>0</v>
      </c>
      <c r="AQ19" s="18">
        <f>IF(B19="","",COUNTIFS($AI$5:$AI$204,"&gt;"&amp;AI19)+COUNTIFS($AI$5:AI19,AI19))</f>
        <v>0</v>
      </c>
      <c r="AR19" s="18">
        <f>IF(B19="","",COUNTIFS($AS$5:$AS$204,"&gt;"&amp;AS19)+COUNTIFS($AS$5:AS19,AS19))</f>
        <v>0</v>
      </c>
      <c r="AS19" s="45">
        <f>IF(B19="","",IF(BB19="",99999,BC19))</f>
        <v>0</v>
      </c>
      <c r="AT19" s="45">
        <f>IF(A19="",0,SUMIFS('Meal Plan'!$L$5:$L$504,'Meal Plan'!$G$5:$G$504,A19,'Meal Plan'!$B$5:$B$504,"&gt;="&amp;ShopFrom,'Meal Plan'!$B$5:$B$504,"&lt;="&amp;ShopTo,'Meal Plan'!$M$5:$M$504,"Yes"))</f>
        <v>0</v>
      </c>
      <c r="AU19" s="25">
        <f>IF(OR(A19="",AC19=""),"",AC19*AT19)</f>
        <v>0</v>
      </c>
      <c r="AV19" s="18">
        <f>IF(A19="","",COUNTIFS('Recipe Ingredients'!$B$5:$B$1204,A19,'Recipe Ingredients'!$N$5:$N$1204,""))</f>
        <v>0</v>
      </c>
      <c r="AW19" s="40">
        <v>3</v>
      </c>
      <c r="AX19" s="40">
        <v>3</v>
      </c>
      <c r="AY19" s="40" t="s">
        <v>312</v>
      </c>
      <c r="AZ19" s="18">
        <f>IF(A19="","",COUNTIFS('Meal Plan'!$G$5:$G$504,A19))</f>
        <v>0</v>
      </c>
      <c r="BA19" s="18">
        <f>IF(A19="","",COUNTIFS('Meal Plan'!$G$5:$G$504,A19,'Meal Plan'!$N$5:$N$504,"Prepared")+COUNTIFS('Meal Plan'!$G$5:$G$504,A19,'Meal Plan'!$N$5:$N$504,"Eaten"))</f>
        <v>0</v>
      </c>
      <c r="BB19" s="19">
        <f>IF(A19="","",IF(COUNTIFS('Meal Plan'!$G$5:$G$504,A19,'Meal Plan'!$B$5:$B$504,"&lt;="&amp;TODAY())=0,"",SUMPRODUCT(MAX(('Meal Plan'!$G$5:$G$504=A19)*('Meal Plan'!$B$5:$B$504&lt;=TODAY())*'Meal Plan'!$B$5:$B$504))))</f>
        <v>0</v>
      </c>
      <c r="BC19" s="18">
        <f>IF(BB19="","",TODAY()-BB19)</f>
        <v>0</v>
      </c>
      <c r="BD19" s="43" t="s">
        <v>157</v>
      </c>
      <c r="BE19" s="15">
        <v>45995</v>
      </c>
      <c r="BF19" s="31">
        <f>IF(B19="","",IF(G19="","Add - how many does it serve?",IF(AB19=0,"Add - no ingredients listed yet",IF(AV19&gt;0,"Check - "&amp;AV19&amp;" ingredient(s) have no price",IF(AND(BC19&lt;&gt;"",BC19&lt;RotationGapDays),"Cooked recently","OK")))))</f>
        <v>0</v>
      </c>
    </row>
    <row r="20" spans="1:58">
      <c r="A20" s="39">
        <f>IF(B20="","",RecipePrefix&amp;TEXT(ROW()-4,"0000"))</f>
        <v>0</v>
      </c>
      <c r="B20" s="32" t="s">
        <v>859</v>
      </c>
      <c r="C20" s="32" t="s">
        <v>327</v>
      </c>
      <c r="D20" s="32" t="s">
        <v>167</v>
      </c>
      <c r="E20" s="32" t="s">
        <v>337</v>
      </c>
      <c r="F20" s="43" t="s">
        <v>860</v>
      </c>
      <c r="G20" s="35">
        <v>4</v>
      </c>
      <c r="H20" s="35">
        <v>10</v>
      </c>
      <c r="I20" s="35">
        <v>25</v>
      </c>
      <c r="J20" s="18">
        <f>IF(B20="","",IF(AND(H20="",I20=""),"",IF(H20="",0,H20)+IF(I20="",0,I20)))</f>
        <v>0</v>
      </c>
      <c r="K20" s="46">
        <f>IF(J20="","",IF(J20&lt;=30,"Yes","No"))</f>
        <v>0</v>
      </c>
      <c r="L20" s="32" t="s">
        <v>357</v>
      </c>
      <c r="M20" s="32" t="s">
        <v>368</v>
      </c>
      <c r="N20" s="32" t="s">
        <v>157</v>
      </c>
      <c r="O20" s="40" t="s">
        <v>311</v>
      </c>
      <c r="P20" s="40" t="s">
        <v>312</v>
      </c>
      <c r="Q20" s="40" t="s">
        <v>311</v>
      </c>
      <c r="R20" s="40" t="s">
        <v>311</v>
      </c>
      <c r="S20" s="40" t="s">
        <v>312</v>
      </c>
      <c r="T20" s="32" t="s">
        <v>383</v>
      </c>
      <c r="U20" s="32" t="s">
        <v>372</v>
      </c>
      <c r="V20" s="32" t="s">
        <v>572</v>
      </c>
      <c r="W20" s="32" t="s">
        <v>861</v>
      </c>
      <c r="X20" s="32" t="s">
        <v>157</v>
      </c>
      <c r="Y20" s="47" t="s">
        <v>157</v>
      </c>
      <c r="Z20" s="47" t="s">
        <v>157</v>
      </c>
      <c r="AA20" s="43" t="s">
        <v>817</v>
      </c>
      <c r="AB20" s="18">
        <f>IF(A20="","",COUNTIFS('Recipe Ingredients'!$B$5:$B$1204,A20))</f>
        <v>0</v>
      </c>
      <c r="AC20" s="25">
        <f>IF(A20="","",SUMIFS('Recipe Ingredients'!$N$5:$N$1204,'Recipe Ingredients'!$B$5:$B$1204,A20))</f>
        <v>0</v>
      </c>
      <c r="AD20" s="25">
        <f>IF(OR(AC20="",G20=""),"",IF(G20=0,"",AC20/G20))</f>
        <v>0</v>
      </c>
      <c r="AE20" s="30">
        <f>IF(OR(A20="",G20=""),"",IF(G20=0,"",SUMIFS('Recipe Ingredients'!$Q$5:$Q$1204,'Recipe Ingredients'!$B$5:$B$1204,A20)/G20))</f>
        <v>0</v>
      </c>
      <c r="AF20" s="45">
        <f>IF(OR(A20="",G20=""),"",IF(G20=0,"",SUMIFS('Recipe Ingredients'!$R$5:$R$1204,'Recipe Ingredients'!$B$5:$B$1204,A20)/G20))</f>
        <v>0</v>
      </c>
      <c r="AG20" s="45">
        <f>IF(OR(A20="",G20=""),"",IF(G20=0,"",SUMIFS('Recipe Ingredients'!$S$5:$S$1204,'Recipe Ingredients'!$B$5:$B$1204,A20)/G20))</f>
        <v>0</v>
      </c>
      <c r="AH20" s="45">
        <f>IF(OR(A20="",G20=""),"",IF(G20=0,"",SUMIFS('Recipe Ingredients'!$T$5:$T$1204,'Recipe Ingredients'!$B$5:$B$1204,A20)/G20))</f>
        <v>0</v>
      </c>
      <c r="AI20" s="45">
        <f>IF(OR(A20="",G20=""),"",IF(G20=0,"",SUMIFS('Recipe Ingredients'!$U$5:$U$1204,'Recipe Ingredients'!$B$5:$B$1204,A20)/G20))</f>
        <v>0</v>
      </c>
      <c r="AJ20" s="17">
        <f>IF(A20="","",IF(COUNTIFS('Recipe Ingredients'!$B$5:$B$1204,A20,'Recipe Ingredients'!$V$5:$V$1204,"&lt;&gt;",'Recipe Ingredients'!$V$5:$V$1204,"&lt;&gt;None")=0,"None listed",COUNTIFS('Recipe Ingredients'!$B$5:$B$1204,A20,'Recipe Ingredients'!$V$5:$V$1204,"&lt;&gt;",'Recipe Ingredients'!$V$5:$V$1204,"&lt;&gt;None")&amp;" ingredient(s) flagged"))</f>
        <v>0</v>
      </c>
      <c r="AK20" s="18">
        <f>IF(OR(AD20="",NOT(ISNUMBER(AD20))),"",COUNTIFS($AD$5:$AD$204,"&lt;"&amp;AD20)+COUNTIFS($AD$5:AD20,AD20))</f>
        <v>0</v>
      </c>
      <c r="AL20" s="18">
        <f>IF(B20="",0,IF(AND(OR(FilterDiet="Any",T20=FilterDiet),OR(FilterCategory="Any",C20=FilterCategory),OR(FilterMethod="Any",L20=FilterMethod),OR(FilterTime=0,AND(J20&lt;&gt;"",J20&lt;=FilterTime)),OR(FilterCost=0,AND(AD20&lt;&gt;"",ISNUMBER(AD20),AD20&lt;=FilterCost)),OR(FilterAllergen="Any",COUNTIFS('Recipe Ingredients'!$B$5:$B$1204,A20,'Recipe Ingredients'!$V$5:$V$1204,FilterAllergen)=0)),1,0))</f>
        <v>0</v>
      </c>
      <c r="AM20" s="18">
        <f>IF(AL20=0,"",SUM($AL$5:AL20))</f>
        <v>0</v>
      </c>
      <c r="AN20" s="18">
        <f>IF(B20="","",COUNTIFS($AZ$5:$AZ$204,"&gt;"&amp;AZ20)+COUNTIFS($AZ$5:AZ20,AZ20))</f>
        <v>0</v>
      </c>
      <c r="AO20" s="18">
        <f>IF(B20="","",COUNTIFS($AE$5:$AE$204,"&gt;"&amp;AE20)+COUNTIFS($AE$5:AE20,AE20))</f>
        <v>0</v>
      </c>
      <c r="AP20" s="18">
        <f>IF(B20="","",COUNTIFS($AF$5:$AF$204,"&gt;"&amp;AF20)+COUNTIFS($AF$5:AF20,AF20))</f>
        <v>0</v>
      </c>
      <c r="AQ20" s="18">
        <f>IF(B20="","",COUNTIFS($AI$5:$AI$204,"&gt;"&amp;AI20)+COUNTIFS($AI$5:AI20,AI20))</f>
        <v>0</v>
      </c>
      <c r="AR20" s="18">
        <f>IF(B20="","",COUNTIFS($AS$5:$AS$204,"&gt;"&amp;AS20)+COUNTIFS($AS$5:AS20,AS20))</f>
        <v>0</v>
      </c>
      <c r="AS20" s="45">
        <f>IF(B20="","",IF(BB20="",99999,BC20))</f>
        <v>0</v>
      </c>
      <c r="AT20" s="45">
        <f>IF(A20="",0,SUMIFS('Meal Plan'!$L$5:$L$504,'Meal Plan'!$G$5:$G$504,A20,'Meal Plan'!$B$5:$B$504,"&gt;="&amp;ShopFrom,'Meal Plan'!$B$5:$B$504,"&lt;="&amp;ShopTo,'Meal Plan'!$M$5:$M$504,"Yes"))</f>
        <v>0</v>
      </c>
      <c r="AU20" s="25">
        <f>IF(OR(A20="",AC20=""),"",AC20*AT20)</f>
        <v>0</v>
      </c>
      <c r="AV20" s="18">
        <f>IF(A20="","",COUNTIFS('Recipe Ingredients'!$B$5:$B$1204,A20,'Recipe Ingredients'!$N$5:$N$1204,""))</f>
        <v>0</v>
      </c>
      <c r="AW20" s="40">
        <v>4</v>
      </c>
      <c r="AX20" s="40">
        <v>3</v>
      </c>
      <c r="AY20" s="40" t="s">
        <v>312</v>
      </c>
      <c r="AZ20" s="18">
        <f>IF(A20="","",COUNTIFS('Meal Plan'!$G$5:$G$504,A20))</f>
        <v>0</v>
      </c>
      <c r="BA20" s="18">
        <f>IF(A20="","",COUNTIFS('Meal Plan'!$G$5:$G$504,A20,'Meal Plan'!$N$5:$N$504,"Prepared")+COUNTIFS('Meal Plan'!$G$5:$G$504,A20,'Meal Plan'!$N$5:$N$504,"Eaten"))</f>
        <v>0</v>
      </c>
      <c r="BB20" s="19">
        <f>IF(A20="","",IF(COUNTIFS('Meal Plan'!$G$5:$G$504,A20,'Meal Plan'!$B$5:$B$504,"&lt;="&amp;TODAY())=0,"",SUMPRODUCT(MAX(('Meal Plan'!$G$5:$G$504=A20)*('Meal Plan'!$B$5:$B$504&lt;=TODAY())*'Meal Plan'!$B$5:$B$504))))</f>
        <v>0</v>
      </c>
      <c r="BC20" s="18">
        <f>IF(BB20="","",TODAY()-BB20)</f>
        <v>0</v>
      </c>
      <c r="BD20" s="43" t="s">
        <v>157</v>
      </c>
      <c r="BE20" s="15">
        <v>46031</v>
      </c>
      <c r="BF20" s="31">
        <f>IF(B20="","",IF(G20="","Add - how many does it serve?",IF(AB20=0,"Add - no ingredients listed yet",IF(AV20&gt;0,"Check - "&amp;AV20&amp;" ingredient(s) have no price",IF(AND(BC20&lt;&gt;"",BC20&lt;RotationGapDays),"Cooked recently","OK")))))</f>
        <v>0</v>
      </c>
    </row>
    <row r="21" spans="1:58">
      <c r="A21" s="39">
        <f>IF(B21="","",RecipePrefix&amp;TEXT(ROW()-4,"0000"))</f>
        <v>0</v>
      </c>
      <c r="B21" s="32" t="s">
        <v>862</v>
      </c>
      <c r="C21" s="32" t="s">
        <v>325</v>
      </c>
      <c r="D21" s="32" t="s">
        <v>137</v>
      </c>
      <c r="E21" s="32" t="s">
        <v>338</v>
      </c>
      <c r="F21" s="43" t="s">
        <v>863</v>
      </c>
      <c r="G21" s="35">
        <v>4</v>
      </c>
      <c r="H21" s="35">
        <v>15</v>
      </c>
      <c r="I21" s="35">
        <v>15</v>
      </c>
      <c r="J21" s="18">
        <f>IF(B21="","",IF(AND(H21="",I21=""),"",IF(H21="",0,H21)+IF(I21="",0,I21)))</f>
        <v>0</v>
      </c>
      <c r="K21" s="46">
        <f>IF(J21="","",IF(J21&lt;=30,"Yes","No"))</f>
        <v>0</v>
      </c>
      <c r="L21" s="32" t="s">
        <v>356</v>
      </c>
      <c r="M21" s="32" t="s">
        <v>368</v>
      </c>
      <c r="N21" s="32" t="s">
        <v>820</v>
      </c>
      <c r="O21" s="40" t="s">
        <v>312</v>
      </c>
      <c r="P21" s="40" t="s">
        <v>312</v>
      </c>
      <c r="Q21" s="40" t="s">
        <v>312</v>
      </c>
      <c r="R21" s="40" t="s">
        <v>312</v>
      </c>
      <c r="S21" s="40" t="s">
        <v>312</v>
      </c>
      <c r="T21" s="32" t="s">
        <v>383</v>
      </c>
      <c r="U21" s="32" t="s">
        <v>372</v>
      </c>
      <c r="V21" s="32" t="s">
        <v>572</v>
      </c>
      <c r="W21" s="32" t="s">
        <v>157</v>
      </c>
      <c r="X21" s="32" t="s">
        <v>157</v>
      </c>
      <c r="Y21" s="47" t="s">
        <v>157</v>
      </c>
      <c r="Z21" s="47" t="s">
        <v>157</v>
      </c>
      <c r="AA21" s="43" t="s">
        <v>817</v>
      </c>
      <c r="AB21" s="18">
        <f>IF(A21="","",COUNTIFS('Recipe Ingredients'!$B$5:$B$1204,A21))</f>
        <v>0</v>
      </c>
      <c r="AC21" s="25">
        <f>IF(A21="","",SUMIFS('Recipe Ingredients'!$N$5:$N$1204,'Recipe Ingredients'!$B$5:$B$1204,A21))</f>
        <v>0</v>
      </c>
      <c r="AD21" s="25">
        <f>IF(OR(AC21="",G21=""),"",IF(G21=0,"",AC21/G21))</f>
        <v>0</v>
      </c>
      <c r="AE21" s="30">
        <f>IF(OR(A21="",G21=""),"",IF(G21=0,"",SUMIFS('Recipe Ingredients'!$Q$5:$Q$1204,'Recipe Ingredients'!$B$5:$B$1204,A21)/G21))</f>
        <v>0</v>
      </c>
      <c r="AF21" s="45">
        <f>IF(OR(A21="",G21=""),"",IF(G21=0,"",SUMIFS('Recipe Ingredients'!$R$5:$R$1204,'Recipe Ingredients'!$B$5:$B$1204,A21)/G21))</f>
        <v>0</v>
      </c>
      <c r="AG21" s="45">
        <f>IF(OR(A21="",G21=""),"",IF(G21=0,"",SUMIFS('Recipe Ingredients'!$S$5:$S$1204,'Recipe Ingredients'!$B$5:$B$1204,A21)/G21))</f>
        <v>0</v>
      </c>
      <c r="AH21" s="45">
        <f>IF(OR(A21="",G21=""),"",IF(G21=0,"",SUMIFS('Recipe Ingredients'!$T$5:$T$1204,'Recipe Ingredients'!$B$5:$B$1204,A21)/G21))</f>
        <v>0</v>
      </c>
      <c r="AI21" s="45">
        <f>IF(OR(A21="",G21=""),"",IF(G21=0,"",SUMIFS('Recipe Ingredients'!$U$5:$U$1204,'Recipe Ingredients'!$B$5:$B$1204,A21)/G21))</f>
        <v>0</v>
      </c>
      <c r="AJ21" s="17">
        <f>IF(A21="","",IF(COUNTIFS('Recipe Ingredients'!$B$5:$B$1204,A21,'Recipe Ingredients'!$V$5:$V$1204,"&lt;&gt;",'Recipe Ingredients'!$V$5:$V$1204,"&lt;&gt;None")=0,"None listed",COUNTIFS('Recipe Ingredients'!$B$5:$B$1204,A21,'Recipe Ingredients'!$V$5:$V$1204,"&lt;&gt;",'Recipe Ingredients'!$V$5:$V$1204,"&lt;&gt;None")&amp;" ingredient(s) flagged"))</f>
        <v>0</v>
      </c>
      <c r="AK21" s="18">
        <f>IF(OR(AD21="",NOT(ISNUMBER(AD21))),"",COUNTIFS($AD$5:$AD$204,"&lt;"&amp;AD21)+COUNTIFS($AD$5:AD21,AD21))</f>
        <v>0</v>
      </c>
      <c r="AL21" s="18">
        <f>IF(B21="",0,IF(AND(OR(FilterDiet="Any",T21=FilterDiet),OR(FilterCategory="Any",C21=FilterCategory),OR(FilterMethod="Any",L21=FilterMethod),OR(FilterTime=0,AND(J21&lt;&gt;"",J21&lt;=FilterTime)),OR(FilterCost=0,AND(AD21&lt;&gt;"",ISNUMBER(AD21),AD21&lt;=FilterCost)),OR(FilterAllergen="Any",COUNTIFS('Recipe Ingredients'!$B$5:$B$1204,A21,'Recipe Ingredients'!$V$5:$V$1204,FilterAllergen)=0)),1,0))</f>
        <v>0</v>
      </c>
      <c r="AM21" s="18">
        <f>IF(AL21=0,"",SUM($AL$5:AL21))</f>
        <v>0</v>
      </c>
      <c r="AN21" s="18">
        <f>IF(B21="","",COUNTIFS($AZ$5:$AZ$204,"&gt;"&amp;AZ21)+COUNTIFS($AZ$5:AZ21,AZ21))</f>
        <v>0</v>
      </c>
      <c r="AO21" s="18">
        <f>IF(B21="","",COUNTIFS($AE$5:$AE$204,"&gt;"&amp;AE21)+COUNTIFS($AE$5:AE21,AE21))</f>
        <v>0</v>
      </c>
      <c r="AP21" s="18">
        <f>IF(B21="","",COUNTIFS($AF$5:$AF$204,"&gt;"&amp;AF21)+COUNTIFS($AF$5:AF21,AF21))</f>
        <v>0</v>
      </c>
      <c r="AQ21" s="18">
        <f>IF(B21="","",COUNTIFS($AI$5:$AI$204,"&gt;"&amp;AI21)+COUNTIFS($AI$5:AI21,AI21))</f>
        <v>0</v>
      </c>
      <c r="AR21" s="18">
        <f>IF(B21="","",COUNTIFS($AS$5:$AS$204,"&gt;"&amp;AS21)+COUNTIFS($AS$5:AS21,AS21))</f>
        <v>0</v>
      </c>
      <c r="AS21" s="45">
        <f>IF(B21="","",IF(BB21="",99999,BC21))</f>
        <v>0</v>
      </c>
      <c r="AT21" s="45">
        <f>IF(A21="",0,SUMIFS('Meal Plan'!$L$5:$L$504,'Meal Plan'!$G$5:$G$504,A21,'Meal Plan'!$B$5:$B$504,"&gt;="&amp;ShopFrom,'Meal Plan'!$B$5:$B$504,"&lt;="&amp;ShopTo,'Meal Plan'!$M$5:$M$504,"Yes"))</f>
        <v>0</v>
      </c>
      <c r="AU21" s="25">
        <f>IF(OR(A21="",AC21=""),"",AC21*AT21)</f>
        <v>0</v>
      </c>
      <c r="AV21" s="18">
        <f>IF(A21="","",COUNTIFS('Recipe Ingredients'!$B$5:$B$1204,A21,'Recipe Ingredients'!$N$5:$N$1204,""))</f>
        <v>0</v>
      </c>
      <c r="AW21" s="40">
        <v>3</v>
      </c>
      <c r="AX21" s="40">
        <v>3</v>
      </c>
      <c r="AY21" s="40" t="s">
        <v>312</v>
      </c>
      <c r="AZ21" s="18">
        <f>IF(A21="","",COUNTIFS('Meal Plan'!$G$5:$G$504,A21))</f>
        <v>0</v>
      </c>
      <c r="BA21" s="18">
        <f>IF(A21="","",COUNTIFS('Meal Plan'!$G$5:$G$504,A21,'Meal Plan'!$N$5:$N$504,"Prepared")+COUNTIFS('Meal Plan'!$G$5:$G$504,A21,'Meal Plan'!$N$5:$N$504,"Eaten"))</f>
        <v>0</v>
      </c>
      <c r="BB21" s="19">
        <f>IF(A21="","",IF(COUNTIFS('Meal Plan'!$G$5:$G$504,A21,'Meal Plan'!$B$5:$B$504,"&lt;="&amp;TODAY())=0,"",SUMPRODUCT(MAX(('Meal Plan'!$G$5:$G$504=A21)*('Meal Plan'!$B$5:$B$504&lt;=TODAY())*'Meal Plan'!$B$5:$B$504))))</f>
        <v>0</v>
      </c>
      <c r="BC21" s="18">
        <f>IF(BB21="","",TODAY()-BB21)</f>
        <v>0</v>
      </c>
      <c r="BD21" s="43" t="s">
        <v>157</v>
      </c>
      <c r="BE21" s="15">
        <v>46093</v>
      </c>
      <c r="BF21" s="31">
        <f>IF(B21="","",IF(G21="","Add - how many does it serve?",IF(AB21=0,"Add - no ingredients listed yet",IF(AV21&gt;0,"Check - "&amp;AV21&amp;" ingredient(s) have no price",IF(AND(BC21&lt;&gt;"",BC21&lt;RotationGapDays),"Cooked recently","OK")))))</f>
        <v>0</v>
      </c>
    </row>
    <row r="22" spans="1:58">
      <c r="A22" s="39">
        <f>IF(B22="","",RecipePrefix&amp;TEXT(ROW()-4,"0000"))</f>
        <v>0</v>
      </c>
      <c r="B22" s="32" t="s">
        <v>864</v>
      </c>
      <c r="C22" s="32" t="s">
        <v>170</v>
      </c>
      <c r="D22" s="32" t="s">
        <v>170</v>
      </c>
      <c r="E22" s="32" t="s">
        <v>337</v>
      </c>
      <c r="F22" s="43" t="s">
        <v>865</v>
      </c>
      <c r="G22" s="35">
        <v>6</v>
      </c>
      <c r="H22" s="35">
        <v>20</v>
      </c>
      <c r="I22" s="35">
        <v>35</v>
      </c>
      <c r="J22" s="18">
        <f>IF(B22="","",IF(AND(H22="",I22=""),"",IF(H22="",0,H22)+IF(I22="",0,I22)))</f>
        <v>0</v>
      </c>
      <c r="K22" s="46">
        <f>IF(J22="","",IF(J22&lt;=30,"Yes","No"))</f>
        <v>0</v>
      </c>
      <c r="L22" s="32" t="s">
        <v>355</v>
      </c>
      <c r="M22" s="32" t="s">
        <v>368</v>
      </c>
      <c r="N22" s="32" t="s">
        <v>814</v>
      </c>
      <c r="O22" s="40" t="s">
        <v>312</v>
      </c>
      <c r="P22" s="40" t="s">
        <v>312</v>
      </c>
      <c r="Q22" s="40" t="s">
        <v>312</v>
      </c>
      <c r="R22" s="40" t="s">
        <v>311</v>
      </c>
      <c r="S22" s="40" t="s">
        <v>311</v>
      </c>
      <c r="T22" s="32" t="s">
        <v>382</v>
      </c>
      <c r="U22" s="32" t="s">
        <v>372</v>
      </c>
      <c r="V22" s="32" t="s">
        <v>572</v>
      </c>
      <c r="W22" s="32" t="s">
        <v>866</v>
      </c>
      <c r="X22" s="32" t="s">
        <v>816</v>
      </c>
      <c r="Y22" s="47" t="s">
        <v>157</v>
      </c>
      <c r="Z22" s="47" t="s">
        <v>157</v>
      </c>
      <c r="AA22" s="43" t="s">
        <v>817</v>
      </c>
      <c r="AB22" s="18">
        <f>IF(A22="","",COUNTIFS('Recipe Ingredients'!$B$5:$B$1204,A22))</f>
        <v>0</v>
      </c>
      <c r="AC22" s="25">
        <f>IF(A22="","",SUMIFS('Recipe Ingredients'!$N$5:$N$1204,'Recipe Ingredients'!$B$5:$B$1204,A22))</f>
        <v>0</v>
      </c>
      <c r="AD22" s="25">
        <f>IF(OR(AC22="",G22=""),"",IF(G22=0,"",AC22/G22))</f>
        <v>0</v>
      </c>
      <c r="AE22" s="30">
        <f>IF(OR(A22="",G22=""),"",IF(G22=0,"",SUMIFS('Recipe Ingredients'!$Q$5:$Q$1204,'Recipe Ingredients'!$B$5:$B$1204,A22)/G22))</f>
        <v>0</v>
      </c>
      <c r="AF22" s="45">
        <f>IF(OR(A22="",G22=""),"",IF(G22=0,"",SUMIFS('Recipe Ingredients'!$R$5:$R$1204,'Recipe Ingredients'!$B$5:$B$1204,A22)/G22))</f>
        <v>0</v>
      </c>
      <c r="AG22" s="45">
        <f>IF(OR(A22="",G22=""),"",IF(G22=0,"",SUMIFS('Recipe Ingredients'!$S$5:$S$1204,'Recipe Ingredients'!$B$5:$B$1204,A22)/G22))</f>
        <v>0</v>
      </c>
      <c r="AH22" s="45">
        <f>IF(OR(A22="",G22=""),"",IF(G22=0,"",SUMIFS('Recipe Ingredients'!$T$5:$T$1204,'Recipe Ingredients'!$B$5:$B$1204,A22)/G22))</f>
        <v>0</v>
      </c>
      <c r="AI22" s="45">
        <f>IF(OR(A22="",G22=""),"",IF(G22=0,"",SUMIFS('Recipe Ingredients'!$U$5:$U$1204,'Recipe Ingredients'!$B$5:$B$1204,A22)/G22))</f>
        <v>0</v>
      </c>
      <c r="AJ22" s="17">
        <f>IF(A22="","",IF(COUNTIFS('Recipe Ingredients'!$B$5:$B$1204,A22,'Recipe Ingredients'!$V$5:$V$1204,"&lt;&gt;",'Recipe Ingredients'!$V$5:$V$1204,"&lt;&gt;None")=0,"None listed",COUNTIFS('Recipe Ingredients'!$B$5:$B$1204,A22,'Recipe Ingredients'!$V$5:$V$1204,"&lt;&gt;",'Recipe Ingredients'!$V$5:$V$1204,"&lt;&gt;None")&amp;" ingredient(s) flagged"))</f>
        <v>0</v>
      </c>
      <c r="AK22" s="18">
        <f>IF(OR(AD22="",NOT(ISNUMBER(AD22))),"",COUNTIFS($AD$5:$AD$204,"&lt;"&amp;AD22)+COUNTIFS($AD$5:AD22,AD22))</f>
        <v>0</v>
      </c>
      <c r="AL22" s="18">
        <f>IF(B22="",0,IF(AND(OR(FilterDiet="Any",T22=FilterDiet),OR(FilterCategory="Any",C22=FilterCategory),OR(FilterMethod="Any",L22=FilterMethod),OR(FilterTime=0,AND(J22&lt;&gt;"",J22&lt;=FilterTime)),OR(FilterCost=0,AND(AD22&lt;&gt;"",ISNUMBER(AD22),AD22&lt;=FilterCost)),OR(FilterAllergen="Any",COUNTIFS('Recipe Ingredients'!$B$5:$B$1204,A22,'Recipe Ingredients'!$V$5:$V$1204,FilterAllergen)=0)),1,0))</f>
        <v>0</v>
      </c>
      <c r="AM22" s="18">
        <f>IF(AL22=0,"",SUM($AL$5:AL22))</f>
        <v>0</v>
      </c>
      <c r="AN22" s="18">
        <f>IF(B22="","",COUNTIFS($AZ$5:$AZ$204,"&gt;"&amp;AZ22)+COUNTIFS($AZ$5:AZ22,AZ22))</f>
        <v>0</v>
      </c>
      <c r="AO22" s="18">
        <f>IF(B22="","",COUNTIFS($AE$5:$AE$204,"&gt;"&amp;AE22)+COUNTIFS($AE$5:AE22,AE22))</f>
        <v>0</v>
      </c>
      <c r="AP22" s="18">
        <f>IF(B22="","",COUNTIFS($AF$5:$AF$204,"&gt;"&amp;AF22)+COUNTIFS($AF$5:AF22,AF22))</f>
        <v>0</v>
      </c>
      <c r="AQ22" s="18">
        <f>IF(B22="","",COUNTIFS($AI$5:$AI$204,"&gt;"&amp;AI22)+COUNTIFS($AI$5:AI22,AI22))</f>
        <v>0</v>
      </c>
      <c r="AR22" s="18">
        <f>IF(B22="","",COUNTIFS($AS$5:$AS$204,"&gt;"&amp;AS22)+COUNTIFS($AS$5:AS22,AS22))</f>
        <v>0</v>
      </c>
      <c r="AS22" s="45">
        <f>IF(B22="","",IF(BB22="",99999,BC22))</f>
        <v>0</v>
      </c>
      <c r="AT22" s="45">
        <f>IF(A22="",0,SUMIFS('Meal Plan'!$L$5:$L$504,'Meal Plan'!$G$5:$G$504,A22,'Meal Plan'!$B$5:$B$504,"&gt;="&amp;ShopFrom,'Meal Plan'!$B$5:$B$504,"&lt;="&amp;ShopTo,'Meal Plan'!$M$5:$M$504,"Yes"))</f>
        <v>0</v>
      </c>
      <c r="AU22" s="25">
        <f>IF(OR(A22="",AC22=""),"",AC22*AT22)</f>
        <v>0</v>
      </c>
      <c r="AV22" s="18">
        <f>IF(A22="","",COUNTIFS('Recipe Ingredients'!$B$5:$B$1204,A22,'Recipe Ingredients'!$N$5:$N$1204,""))</f>
        <v>0</v>
      </c>
      <c r="AW22" s="40">
        <v>5</v>
      </c>
      <c r="AX22" s="40">
        <v>4</v>
      </c>
      <c r="AY22" s="40" t="s">
        <v>311</v>
      </c>
      <c r="AZ22" s="18">
        <f>IF(A22="","",COUNTIFS('Meal Plan'!$G$5:$G$504,A22))</f>
        <v>0</v>
      </c>
      <c r="BA22" s="18">
        <f>IF(A22="","",COUNTIFS('Meal Plan'!$G$5:$G$504,A22,'Meal Plan'!$N$5:$N$504,"Prepared")+COUNTIFS('Meal Plan'!$G$5:$G$504,A22,'Meal Plan'!$N$5:$N$504,"Eaten"))</f>
        <v>0</v>
      </c>
      <c r="BB22" s="19">
        <f>IF(A22="","",IF(COUNTIFS('Meal Plan'!$G$5:$G$504,A22,'Meal Plan'!$B$5:$B$504,"&lt;="&amp;TODAY())=0,"",SUMPRODUCT(MAX(('Meal Plan'!$G$5:$G$504=A22)*('Meal Plan'!$B$5:$B$504&lt;=TODAY())*'Meal Plan'!$B$5:$B$504))))</f>
        <v>0</v>
      </c>
      <c r="BC22" s="18">
        <f>IF(BB22="","",TODAY()-BB22)</f>
        <v>0</v>
      </c>
      <c r="BD22" s="43" t="s">
        <v>157</v>
      </c>
      <c r="BE22" s="15">
        <v>45953</v>
      </c>
      <c r="BF22" s="31">
        <f>IF(B22="","",IF(G22="","Add - how many does it serve?",IF(AB22=0,"Add - no ingredients listed yet",IF(AV22&gt;0,"Check - "&amp;AV22&amp;" ingredient(s) have no price",IF(AND(BC22&lt;&gt;"",BC22&lt;RotationGapDays),"Cooked recently","OK")))))</f>
        <v>0</v>
      </c>
    </row>
    <row r="23" spans="1:58">
      <c r="A23" s="39">
        <f>IF(B23="","",RecipePrefix&amp;TEXT(ROW()-4,"0000"))</f>
        <v>0</v>
      </c>
      <c r="J23" s="18">
        <f>IF(B23="","",IF(AND(H23="",I23=""),"",IF(H23="",0,H23)+IF(I23="",0,I23)))</f>
        <v>0</v>
      </c>
      <c r="K23" s="46">
        <f>IF(J23="","",IF(J23&lt;=30,"Yes","No"))</f>
        <v>0</v>
      </c>
      <c r="AB23" s="18">
        <f>IF(A23="","",COUNTIFS('Recipe Ingredients'!$B$5:$B$1204,A23))</f>
        <v>0</v>
      </c>
      <c r="AC23" s="25">
        <f>IF(A23="","",SUMIFS('Recipe Ingredients'!$N$5:$N$1204,'Recipe Ingredients'!$B$5:$B$1204,A23))</f>
        <v>0</v>
      </c>
      <c r="AD23" s="25">
        <f>IF(OR(AC23="",G23=""),"",IF(G23=0,"",AC23/G23))</f>
        <v>0</v>
      </c>
      <c r="AE23" s="30">
        <f>IF(OR(A23="",G23=""),"",IF(G23=0,"",SUMIFS('Recipe Ingredients'!$Q$5:$Q$1204,'Recipe Ingredients'!$B$5:$B$1204,A23)/G23))</f>
        <v>0</v>
      </c>
      <c r="AF23" s="45">
        <f>IF(OR(A23="",G23=""),"",IF(G23=0,"",SUMIFS('Recipe Ingredients'!$R$5:$R$1204,'Recipe Ingredients'!$B$5:$B$1204,A23)/G23))</f>
        <v>0</v>
      </c>
      <c r="AG23" s="45">
        <f>IF(OR(A23="",G23=""),"",IF(G23=0,"",SUMIFS('Recipe Ingredients'!$S$5:$S$1204,'Recipe Ingredients'!$B$5:$B$1204,A23)/G23))</f>
        <v>0</v>
      </c>
      <c r="AH23" s="45">
        <f>IF(OR(A23="",G23=""),"",IF(G23=0,"",SUMIFS('Recipe Ingredients'!$T$5:$T$1204,'Recipe Ingredients'!$B$5:$B$1204,A23)/G23))</f>
        <v>0</v>
      </c>
      <c r="AI23" s="45">
        <f>IF(OR(A23="",G23=""),"",IF(G23=0,"",SUMIFS('Recipe Ingredients'!$U$5:$U$1204,'Recipe Ingredients'!$B$5:$B$1204,A23)/G23))</f>
        <v>0</v>
      </c>
      <c r="AJ23" s="17">
        <f>IF(A23="","",IF(COUNTIFS('Recipe Ingredients'!$B$5:$B$1204,A23,'Recipe Ingredients'!$V$5:$V$1204,"&lt;&gt;",'Recipe Ingredients'!$V$5:$V$1204,"&lt;&gt;None")=0,"None listed",COUNTIFS('Recipe Ingredients'!$B$5:$B$1204,A23,'Recipe Ingredients'!$V$5:$V$1204,"&lt;&gt;",'Recipe Ingredients'!$V$5:$V$1204,"&lt;&gt;None")&amp;" ingredient(s) flagged"))</f>
        <v>0</v>
      </c>
      <c r="AK23" s="18">
        <f>IF(OR(AD23="",NOT(ISNUMBER(AD23))),"",COUNTIFS($AD$5:$AD$204,"&lt;"&amp;AD23)+COUNTIFS($AD$5:AD23,AD23))</f>
        <v>0</v>
      </c>
      <c r="AL23" s="18">
        <f>IF(B23="",0,IF(AND(OR(FilterDiet="Any",T23=FilterDiet),OR(FilterCategory="Any",C23=FilterCategory),OR(FilterMethod="Any",L23=FilterMethod),OR(FilterTime=0,AND(J23&lt;&gt;"",J23&lt;=FilterTime)),OR(FilterCost=0,AND(AD23&lt;&gt;"",ISNUMBER(AD23),AD23&lt;=FilterCost)),OR(FilterAllergen="Any",COUNTIFS('Recipe Ingredients'!$B$5:$B$1204,A23,'Recipe Ingredients'!$V$5:$V$1204,FilterAllergen)=0)),1,0))</f>
        <v>0</v>
      </c>
      <c r="AM23" s="18">
        <f>IF(AL23=0,"",SUM($AL$5:AL23))</f>
        <v>0</v>
      </c>
      <c r="AN23" s="18">
        <f>IF(B23="","",COUNTIFS($AZ$5:$AZ$204,"&gt;"&amp;AZ23)+COUNTIFS($AZ$5:AZ23,AZ23))</f>
        <v>0</v>
      </c>
      <c r="AO23" s="18">
        <f>IF(B23="","",COUNTIFS($AE$5:$AE$204,"&gt;"&amp;AE23)+COUNTIFS($AE$5:AE23,AE23))</f>
        <v>0</v>
      </c>
      <c r="AP23" s="18">
        <f>IF(B23="","",COUNTIFS($AF$5:$AF$204,"&gt;"&amp;AF23)+COUNTIFS($AF$5:AF23,AF23))</f>
        <v>0</v>
      </c>
      <c r="AQ23" s="18">
        <f>IF(B23="","",COUNTIFS($AI$5:$AI$204,"&gt;"&amp;AI23)+COUNTIFS($AI$5:AI23,AI23))</f>
        <v>0</v>
      </c>
      <c r="AR23" s="18">
        <f>IF(B23="","",COUNTIFS($AS$5:$AS$204,"&gt;"&amp;AS23)+COUNTIFS($AS$5:AS23,AS23))</f>
        <v>0</v>
      </c>
      <c r="AS23" s="45">
        <f>IF(B23="","",IF(BB23="",99999,BC23))</f>
        <v>0</v>
      </c>
      <c r="AT23" s="45">
        <f>IF(A23="",0,SUMIFS('Meal Plan'!$L$5:$L$504,'Meal Plan'!$G$5:$G$504,A23,'Meal Plan'!$B$5:$B$504,"&gt;="&amp;ShopFrom,'Meal Plan'!$B$5:$B$504,"&lt;="&amp;ShopTo,'Meal Plan'!$M$5:$M$504,"Yes"))</f>
        <v>0</v>
      </c>
      <c r="AU23" s="25">
        <f>IF(OR(A23="",AC23=""),"",AC23*AT23)</f>
        <v>0</v>
      </c>
      <c r="AV23" s="18">
        <f>IF(A23="","",COUNTIFS('Recipe Ingredients'!$B$5:$B$1204,A23,'Recipe Ingredients'!$N$5:$N$1204,""))</f>
        <v>0</v>
      </c>
      <c r="AZ23" s="18">
        <f>IF(A23="","",COUNTIFS('Meal Plan'!$G$5:$G$504,A23))</f>
        <v>0</v>
      </c>
      <c r="BA23" s="18">
        <f>IF(A23="","",COUNTIFS('Meal Plan'!$G$5:$G$504,A23,'Meal Plan'!$N$5:$N$504,"Prepared")+COUNTIFS('Meal Plan'!$G$5:$G$504,A23,'Meal Plan'!$N$5:$N$504,"Eaten"))</f>
        <v>0</v>
      </c>
      <c r="BB23" s="19">
        <f>IF(A23="","",IF(COUNTIFS('Meal Plan'!$G$5:$G$504,A23,'Meal Plan'!$B$5:$B$504,"&lt;="&amp;TODAY())=0,"",SUMPRODUCT(MAX(('Meal Plan'!$G$5:$G$504=A23)*('Meal Plan'!$B$5:$B$504&lt;=TODAY())*'Meal Plan'!$B$5:$B$504))))</f>
        <v>0</v>
      </c>
      <c r="BC23" s="18">
        <f>IF(BB23="","",TODAY()-BB23)</f>
        <v>0</v>
      </c>
      <c r="BF23" s="31">
        <f>IF(B23="","",IF(G23="","Add - how many does it serve?",IF(AB23=0,"Add - no ingredients listed yet",IF(AV23&gt;0,"Check - "&amp;AV23&amp;" ingredient(s) have no price",IF(AND(BC23&lt;&gt;"",BC23&lt;RotationGapDays),"Cooked recently","OK")))))</f>
        <v>0</v>
      </c>
    </row>
    <row r="24" spans="1:58">
      <c r="A24" s="39">
        <f>IF(B24="","",RecipePrefix&amp;TEXT(ROW()-4,"0000"))</f>
        <v>0</v>
      </c>
      <c r="J24" s="18">
        <f>IF(B24="","",IF(AND(H24="",I24=""),"",IF(H24="",0,H24)+IF(I24="",0,I24)))</f>
        <v>0</v>
      </c>
      <c r="K24" s="46">
        <f>IF(J24="","",IF(J24&lt;=30,"Yes","No"))</f>
        <v>0</v>
      </c>
      <c r="AB24" s="18">
        <f>IF(A24="","",COUNTIFS('Recipe Ingredients'!$B$5:$B$1204,A24))</f>
        <v>0</v>
      </c>
      <c r="AC24" s="25">
        <f>IF(A24="","",SUMIFS('Recipe Ingredients'!$N$5:$N$1204,'Recipe Ingredients'!$B$5:$B$1204,A24))</f>
        <v>0</v>
      </c>
      <c r="AD24" s="25">
        <f>IF(OR(AC24="",G24=""),"",IF(G24=0,"",AC24/G24))</f>
        <v>0</v>
      </c>
      <c r="AE24" s="30">
        <f>IF(OR(A24="",G24=""),"",IF(G24=0,"",SUMIFS('Recipe Ingredients'!$Q$5:$Q$1204,'Recipe Ingredients'!$B$5:$B$1204,A24)/G24))</f>
        <v>0</v>
      </c>
      <c r="AF24" s="45">
        <f>IF(OR(A24="",G24=""),"",IF(G24=0,"",SUMIFS('Recipe Ingredients'!$R$5:$R$1204,'Recipe Ingredients'!$B$5:$B$1204,A24)/G24))</f>
        <v>0</v>
      </c>
      <c r="AG24" s="45">
        <f>IF(OR(A24="",G24=""),"",IF(G24=0,"",SUMIFS('Recipe Ingredients'!$S$5:$S$1204,'Recipe Ingredients'!$B$5:$B$1204,A24)/G24))</f>
        <v>0</v>
      </c>
      <c r="AH24" s="45">
        <f>IF(OR(A24="",G24=""),"",IF(G24=0,"",SUMIFS('Recipe Ingredients'!$T$5:$T$1204,'Recipe Ingredients'!$B$5:$B$1204,A24)/G24))</f>
        <v>0</v>
      </c>
      <c r="AI24" s="45">
        <f>IF(OR(A24="",G24=""),"",IF(G24=0,"",SUMIFS('Recipe Ingredients'!$U$5:$U$1204,'Recipe Ingredients'!$B$5:$B$1204,A24)/G24))</f>
        <v>0</v>
      </c>
      <c r="AJ24" s="17">
        <f>IF(A24="","",IF(COUNTIFS('Recipe Ingredients'!$B$5:$B$1204,A24,'Recipe Ingredients'!$V$5:$V$1204,"&lt;&gt;",'Recipe Ingredients'!$V$5:$V$1204,"&lt;&gt;None")=0,"None listed",COUNTIFS('Recipe Ingredients'!$B$5:$B$1204,A24,'Recipe Ingredients'!$V$5:$V$1204,"&lt;&gt;",'Recipe Ingredients'!$V$5:$V$1204,"&lt;&gt;None")&amp;" ingredient(s) flagged"))</f>
        <v>0</v>
      </c>
      <c r="AK24" s="18">
        <f>IF(OR(AD24="",NOT(ISNUMBER(AD24))),"",COUNTIFS($AD$5:$AD$204,"&lt;"&amp;AD24)+COUNTIFS($AD$5:AD24,AD24))</f>
        <v>0</v>
      </c>
      <c r="AL24" s="18">
        <f>IF(B24="",0,IF(AND(OR(FilterDiet="Any",T24=FilterDiet),OR(FilterCategory="Any",C24=FilterCategory),OR(FilterMethod="Any",L24=FilterMethod),OR(FilterTime=0,AND(J24&lt;&gt;"",J24&lt;=FilterTime)),OR(FilterCost=0,AND(AD24&lt;&gt;"",ISNUMBER(AD24),AD24&lt;=FilterCost)),OR(FilterAllergen="Any",COUNTIFS('Recipe Ingredients'!$B$5:$B$1204,A24,'Recipe Ingredients'!$V$5:$V$1204,FilterAllergen)=0)),1,0))</f>
        <v>0</v>
      </c>
      <c r="AM24" s="18">
        <f>IF(AL24=0,"",SUM($AL$5:AL24))</f>
        <v>0</v>
      </c>
      <c r="AN24" s="18">
        <f>IF(B24="","",COUNTIFS($AZ$5:$AZ$204,"&gt;"&amp;AZ24)+COUNTIFS($AZ$5:AZ24,AZ24))</f>
        <v>0</v>
      </c>
      <c r="AO24" s="18">
        <f>IF(B24="","",COUNTIFS($AE$5:$AE$204,"&gt;"&amp;AE24)+COUNTIFS($AE$5:AE24,AE24))</f>
        <v>0</v>
      </c>
      <c r="AP24" s="18">
        <f>IF(B24="","",COUNTIFS($AF$5:$AF$204,"&gt;"&amp;AF24)+COUNTIFS($AF$5:AF24,AF24))</f>
        <v>0</v>
      </c>
      <c r="AQ24" s="18">
        <f>IF(B24="","",COUNTIFS($AI$5:$AI$204,"&gt;"&amp;AI24)+COUNTIFS($AI$5:AI24,AI24))</f>
        <v>0</v>
      </c>
      <c r="AR24" s="18">
        <f>IF(B24="","",COUNTIFS($AS$5:$AS$204,"&gt;"&amp;AS24)+COUNTIFS($AS$5:AS24,AS24))</f>
        <v>0</v>
      </c>
      <c r="AS24" s="45">
        <f>IF(B24="","",IF(BB24="",99999,BC24))</f>
        <v>0</v>
      </c>
      <c r="AT24" s="45">
        <f>IF(A24="",0,SUMIFS('Meal Plan'!$L$5:$L$504,'Meal Plan'!$G$5:$G$504,A24,'Meal Plan'!$B$5:$B$504,"&gt;="&amp;ShopFrom,'Meal Plan'!$B$5:$B$504,"&lt;="&amp;ShopTo,'Meal Plan'!$M$5:$M$504,"Yes"))</f>
        <v>0</v>
      </c>
      <c r="AU24" s="25">
        <f>IF(OR(A24="",AC24=""),"",AC24*AT24)</f>
        <v>0</v>
      </c>
      <c r="AV24" s="18">
        <f>IF(A24="","",COUNTIFS('Recipe Ingredients'!$B$5:$B$1204,A24,'Recipe Ingredients'!$N$5:$N$1204,""))</f>
        <v>0</v>
      </c>
      <c r="AZ24" s="18">
        <f>IF(A24="","",COUNTIFS('Meal Plan'!$G$5:$G$504,A24))</f>
        <v>0</v>
      </c>
      <c r="BA24" s="18">
        <f>IF(A24="","",COUNTIFS('Meal Plan'!$G$5:$G$504,A24,'Meal Plan'!$N$5:$N$504,"Prepared")+COUNTIFS('Meal Plan'!$G$5:$G$504,A24,'Meal Plan'!$N$5:$N$504,"Eaten"))</f>
        <v>0</v>
      </c>
      <c r="BB24" s="19">
        <f>IF(A24="","",IF(COUNTIFS('Meal Plan'!$G$5:$G$504,A24,'Meal Plan'!$B$5:$B$504,"&lt;="&amp;TODAY())=0,"",SUMPRODUCT(MAX(('Meal Plan'!$G$5:$G$504=A24)*('Meal Plan'!$B$5:$B$504&lt;=TODAY())*'Meal Plan'!$B$5:$B$504))))</f>
        <v>0</v>
      </c>
      <c r="BC24" s="18">
        <f>IF(BB24="","",TODAY()-BB24)</f>
        <v>0</v>
      </c>
      <c r="BF24" s="31">
        <f>IF(B24="","",IF(G24="","Add - how many does it serve?",IF(AB24=0,"Add - no ingredients listed yet",IF(AV24&gt;0,"Check - "&amp;AV24&amp;" ingredient(s) have no price",IF(AND(BC24&lt;&gt;"",BC24&lt;RotationGapDays),"Cooked recently","OK")))))</f>
        <v>0</v>
      </c>
    </row>
    <row r="25" spans="1:58">
      <c r="A25" s="39">
        <f>IF(B25="","",RecipePrefix&amp;TEXT(ROW()-4,"0000"))</f>
        <v>0</v>
      </c>
      <c r="J25" s="18">
        <f>IF(B25="","",IF(AND(H25="",I25=""),"",IF(H25="",0,H25)+IF(I25="",0,I25)))</f>
        <v>0</v>
      </c>
      <c r="K25" s="46">
        <f>IF(J25="","",IF(J25&lt;=30,"Yes","No"))</f>
        <v>0</v>
      </c>
      <c r="AB25" s="18">
        <f>IF(A25="","",COUNTIFS('Recipe Ingredients'!$B$5:$B$1204,A25))</f>
        <v>0</v>
      </c>
      <c r="AC25" s="25">
        <f>IF(A25="","",SUMIFS('Recipe Ingredients'!$N$5:$N$1204,'Recipe Ingredients'!$B$5:$B$1204,A25))</f>
        <v>0</v>
      </c>
      <c r="AD25" s="25">
        <f>IF(OR(AC25="",G25=""),"",IF(G25=0,"",AC25/G25))</f>
        <v>0</v>
      </c>
      <c r="AE25" s="30">
        <f>IF(OR(A25="",G25=""),"",IF(G25=0,"",SUMIFS('Recipe Ingredients'!$Q$5:$Q$1204,'Recipe Ingredients'!$B$5:$B$1204,A25)/G25))</f>
        <v>0</v>
      </c>
      <c r="AF25" s="45">
        <f>IF(OR(A25="",G25=""),"",IF(G25=0,"",SUMIFS('Recipe Ingredients'!$R$5:$R$1204,'Recipe Ingredients'!$B$5:$B$1204,A25)/G25))</f>
        <v>0</v>
      </c>
      <c r="AG25" s="45">
        <f>IF(OR(A25="",G25=""),"",IF(G25=0,"",SUMIFS('Recipe Ingredients'!$S$5:$S$1204,'Recipe Ingredients'!$B$5:$B$1204,A25)/G25))</f>
        <v>0</v>
      </c>
      <c r="AH25" s="45">
        <f>IF(OR(A25="",G25=""),"",IF(G25=0,"",SUMIFS('Recipe Ingredients'!$T$5:$T$1204,'Recipe Ingredients'!$B$5:$B$1204,A25)/G25))</f>
        <v>0</v>
      </c>
      <c r="AI25" s="45">
        <f>IF(OR(A25="",G25=""),"",IF(G25=0,"",SUMIFS('Recipe Ingredients'!$U$5:$U$1204,'Recipe Ingredients'!$B$5:$B$1204,A25)/G25))</f>
        <v>0</v>
      </c>
      <c r="AJ25" s="17">
        <f>IF(A25="","",IF(COUNTIFS('Recipe Ingredients'!$B$5:$B$1204,A25,'Recipe Ingredients'!$V$5:$V$1204,"&lt;&gt;",'Recipe Ingredients'!$V$5:$V$1204,"&lt;&gt;None")=0,"None listed",COUNTIFS('Recipe Ingredients'!$B$5:$B$1204,A25,'Recipe Ingredients'!$V$5:$V$1204,"&lt;&gt;",'Recipe Ingredients'!$V$5:$V$1204,"&lt;&gt;None")&amp;" ingredient(s) flagged"))</f>
        <v>0</v>
      </c>
      <c r="AK25" s="18">
        <f>IF(OR(AD25="",NOT(ISNUMBER(AD25))),"",COUNTIFS($AD$5:$AD$204,"&lt;"&amp;AD25)+COUNTIFS($AD$5:AD25,AD25))</f>
        <v>0</v>
      </c>
      <c r="AL25" s="18">
        <f>IF(B25="",0,IF(AND(OR(FilterDiet="Any",T25=FilterDiet),OR(FilterCategory="Any",C25=FilterCategory),OR(FilterMethod="Any",L25=FilterMethod),OR(FilterTime=0,AND(J25&lt;&gt;"",J25&lt;=FilterTime)),OR(FilterCost=0,AND(AD25&lt;&gt;"",ISNUMBER(AD25),AD25&lt;=FilterCost)),OR(FilterAllergen="Any",COUNTIFS('Recipe Ingredients'!$B$5:$B$1204,A25,'Recipe Ingredients'!$V$5:$V$1204,FilterAllergen)=0)),1,0))</f>
        <v>0</v>
      </c>
      <c r="AM25" s="18">
        <f>IF(AL25=0,"",SUM($AL$5:AL25))</f>
        <v>0</v>
      </c>
      <c r="AN25" s="18">
        <f>IF(B25="","",COUNTIFS($AZ$5:$AZ$204,"&gt;"&amp;AZ25)+COUNTIFS($AZ$5:AZ25,AZ25))</f>
        <v>0</v>
      </c>
      <c r="AO25" s="18">
        <f>IF(B25="","",COUNTIFS($AE$5:$AE$204,"&gt;"&amp;AE25)+COUNTIFS($AE$5:AE25,AE25))</f>
        <v>0</v>
      </c>
      <c r="AP25" s="18">
        <f>IF(B25="","",COUNTIFS($AF$5:$AF$204,"&gt;"&amp;AF25)+COUNTIFS($AF$5:AF25,AF25))</f>
        <v>0</v>
      </c>
      <c r="AQ25" s="18">
        <f>IF(B25="","",COUNTIFS($AI$5:$AI$204,"&gt;"&amp;AI25)+COUNTIFS($AI$5:AI25,AI25))</f>
        <v>0</v>
      </c>
      <c r="AR25" s="18">
        <f>IF(B25="","",COUNTIFS($AS$5:$AS$204,"&gt;"&amp;AS25)+COUNTIFS($AS$5:AS25,AS25))</f>
        <v>0</v>
      </c>
      <c r="AS25" s="45">
        <f>IF(B25="","",IF(BB25="",99999,BC25))</f>
        <v>0</v>
      </c>
      <c r="AT25" s="45">
        <f>IF(A25="",0,SUMIFS('Meal Plan'!$L$5:$L$504,'Meal Plan'!$G$5:$G$504,A25,'Meal Plan'!$B$5:$B$504,"&gt;="&amp;ShopFrom,'Meal Plan'!$B$5:$B$504,"&lt;="&amp;ShopTo,'Meal Plan'!$M$5:$M$504,"Yes"))</f>
        <v>0</v>
      </c>
      <c r="AU25" s="25">
        <f>IF(OR(A25="",AC25=""),"",AC25*AT25)</f>
        <v>0</v>
      </c>
      <c r="AV25" s="18">
        <f>IF(A25="","",COUNTIFS('Recipe Ingredients'!$B$5:$B$1204,A25,'Recipe Ingredients'!$N$5:$N$1204,""))</f>
        <v>0</v>
      </c>
      <c r="AZ25" s="18">
        <f>IF(A25="","",COUNTIFS('Meal Plan'!$G$5:$G$504,A25))</f>
        <v>0</v>
      </c>
      <c r="BA25" s="18">
        <f>IF(A25="","",COUNTIFS('Meal Plan'!$G$5:$G$504,A25,'Meal Plan'!$N$5:$N$504,"Prepared")+COUNTIFS('Meal Plan'!$G$5:$G$504,A25,'Meal Plan'!$N$5:$N$504,"Eaten"))</f>
        <v>0</v>
      </c>
      <c r="BB25" s="19">
        <f>IF(A25="","",IF(COUNTIFS('Meal Plan'!$G$5:$G$504,A25,'Meal Plan'!$B$5:$B$504,"&lt;="&amp;TODAY())=0,"",SUMPRODUCT(MAX(('Meal Plan'!$G$5:$G$504=A25)*('Meal Plan'!$B$5:$B$504&lt;=TODAY())*'Meal Plan'!$B$5:$B$504))))</f>
        <v>0</v>
      </c>
      <c r="BC25" s="18">
        <f>IF(BB25="","",TODAY()-BB25)</f>
        <v>0</v>
      </c>
      <c r="BF25" s="31">
        <f>IF(B25="","",IF(G25="","Add - how many does it serve?",IF(AB25=0,"Add - no ingredients listed yet",IF(AV25&gt;0,"Check - "&amp;AV25&amp;" ingredient(s) have no price",IF(AND(BC25&lt;&gt;"",BC25&lt;RotationGapDays),"Cooked recently","OK")))))</f>
        <v>0</v>
      </c>
    </row>
    <row r="26" spans="1:58">
      <c r="A26" s="39">
        <f>IF(B26="","",RecipePrefix&amp;TEXT(ROW()-4,"0000"))</f>
        <v>0</v>
      </c>
      <c r="J26" s="18">
        <f>IF(B26="","",IF(AND(H26="",I26=""),"",IF(H26="",0,H26)+IF(I26="",0,I26)))</f>
        <v>0</v>
      </c>
      <c r="K26" s="46">
        <f>IF(J26="","",IF(J26&lt;=30,"Yes","No"))</f>
        <v>0</v>
      </c>
      <c r="AB26" s="18">
        <f>IF(A26="","",COUNTIFS('Recipe Ingredients'!$B$5:$B$1204,A26))</f>
        <v>0</v>
      </c>
      <c r="AC26" s="25">
        <f>IF(A26="","",SUMIFS('Recipe Ingredients'!$N$5:$N$1204,'Recipe Ingredients'!$B$5:$B$1204,A26))</f>
        <v>0</v>
      </c>
      <c r="AD26" s="25">
        <f>IF(OR(AC26="",G26=""),"",IF(G26=0,"",AC26/G26))</f>
        <v>0</v>
      </c>
      <c r="AE26" s="30">
        <f>IF(OR(A26="",G26=""),"",IF(G26=0,"",SUMIFS('Recipe Ingredients'!$Q$5:$Q$1204,'Recipe Ingredients'!$B$5:$B$1204,A26)/G26))</f>
        <v>0</v>
      </c>
      <c r="AF26" s="45">
        <f>IF(OR(A26="",G26=""),"",IF(G26=0,"",SUMIFS('Recipe Ingredients'!$R$5:$R$1204,'Recipe Ingredients'!$B$5:$B$1204,A26)/G26))</f>
        <v>0</v>
      </c>
      <c r="AG26" s="45">
        <f>IF(OR(A26="",G26=""),"",IF(G26=0,"",SUMIFS('Recipe Ingredients'!$S$5:$S$1204,'Recipe Ingredients'!$B$5:$B$1204,A26)/G26))</f>
        <v>0</v>
      </c>
      <c r="AH26" s="45">
        <f>IF(OR(A26="",G26=""),"",IF(G26=0,"",SUMIFS('Recipe Ingredients'!$T$5:$T$1204,'Recipe Ingredients'!$B$5:$B$1204,A26)/G26))</f>
        <v>0</v>
      </c>
      <c r="AI26" s="45">
        <f>IF(OR(A26="",G26=""),"",IF(G26=0,"",SUMIFS('Recipe Ingredients'!$U$5:$U$1204,'Recipe Ingredients'!$B$5:$B$1204,A26)/G26))</f>
        <v>0</v>
      </c>
      <c r="AJ26" s="17">
        <f>IF(A26="","",IF(COUNTIFS('Recipe Ingredients'!$B$5:$B$1204,A26,'Recipe Ingredients'!$V$5:$V$1204,"&lt;&gt;",'Recipe Ingredients'!$V$5:$V$1204,"&lt;&gt;None")=0,"None listed",COUNTIFS('Recipe Ingredients'!$B$5:$B$1204,A26,'Recipe Ingredients'!$V$5:$V$1204,"&lt;&gt;",'Recipe Ingredients'!$V$5:$V$1204,"&lt;&gt;None")&amp;" ingredient(s) flagged"))</f>
        <v>0</v>
      </c>
      <c r="AK26" s="18">
        <f>IF(OR(AD26="",NOT(ISNUMBER(AD26))),"",COUNTIFS($AD$5:$AD$204,"&lt;"&amp;AD26)+COUNTIFS($AD$5:AD26,AD26))</f>
        <v>0</v>
      </c>
      <c r="AL26" s="18">
        <f>IF(B26="",0,IF(AND(OR(FilterDiet="Any",T26=FilterDiet),OR(FilterCategory="Any",C26=FilterCategory),OR(FilterMethod="Any",L26=FilterMethod),OR(FilterTime=0,AND(J26&lt;&gt;"",J26&lt;=FilterTime)),OR(FilterCost=0,AND(AD26&lt;&gt;"",ISNUMBER(AD26),AD26&lt;=FilterCost)),OR(FilterAllergen="Any",COUNTIFS('Recipe Ingredients'!$B$5:$B$1204,A26,'Recipe Ingredients'!$V$5:$V$1204,FilterAllergen)=0)),1,0))</f>
        <v>0</v>
      </c>
      <c r="AM26" s="18">
        <f>IF(AL26=0,"",SUM($AL$5:AL26))</f>
        <v>0</v>
      </c>
      <c r="AN26" s="18">
        <f>IF(B26="","",COUNTIFS($AZ$5:$AZ$204,"&gt;"&amp;AZ26)+COUNTIFS($AZ$5:AZ26,AZ26))</f>
        <v>0</v>
      </c>
      <c r="AO26" s="18">
        <f>IF(B26="","",COUNTIFS($AE$5:$AE$204,"&gt;"&amp;AE26)+COUNTIFS($AE$5:AE26,AE26))</f>
        <v>0</v>
      </c>
      <c r="AP26" s="18">
        <f>IF(B26="","",COUNTIFS($AF$5:$AF$204,"&gt;"&amp;AF26)+COUNTIFS($AF$5:AF26,AF26))</f>
        <v>0</v>
      </c>
      <c r="AQ26" s="18">
        <f>IF(B26="","",COUNTIFS($AI$5:$AI$204,"&gt;"&amp;AI26)+COUNTIFS($AI$5:AI26,AI26))</f>
        <v>0</v>
      </c>
      <c r="AR26" s="18">
        <f>IF(B26="","",COUNTIFS($AS$5:$AS$204,"&gt;"&amp;AS26)+COUNTIFS($AS$5:AS26,AS26))</f>
        <v>0</v>
      </c>
      <c r="AS26" s="45">
        <f>IF(B26="","",IF(BB26="",99999,BC26))</f>
        <v>0</v>
      </c>
      <c r="AT26" s="45">
        <f>IF(A26="",0,SUMIFS('Meal Plan'!$L$5:$L$504,'Meal Plan'!$G$5:$G$504,A26,'Meal Plan'!$B$5:$B$504,"&gt;="&amp;ShopFrom,'Meal Plan'!$B$5:$B$504,"&lt;="&amp;ShopTo,'Meal Plan'!$M$5:$M$504,"Yes"))</f>
        <v>0</v>
      </c>
      <c r="AU26" s="25">
        <f>IF(OR(A26="",AC26=""),"",AC26*AT26)</f>
        <v>0</v>
      </c>
      <c r="AV26" s="18">
        <f>IF(A26="","",COUNTIFS('Recipe Ingredients'!$B$5:$B$1204,A26,'Recipe Ingredients'!$N$5:$N$1204,""))</f>
        <v>0</v>
      </c>
      <c r="AZ26" s="18">
        <f>IF(A26="","",COUNTIFS('Meal Plan'!$G$5:$G$504,A26))</f>
        <v>0</v>
      </c>
      <c r="BA26" s="18">
        <f>IF(A26="","",COUNTIFS('Meal Plan'!$G$5:$G$504,A26,'Meal Plan'!$N$5:$N$504,"Prepared")+COUNTIFS('Meal Plan'!$G$5:$G$504,A26,'Meal Plan'!$N$5:$N$504,"Eaten"))</f>
        <v>0</v>
      </c>
      <c r="BB26" s="19">
        <f>IF(A26="","",IF(COUNTIFS('Meal Plan'!$G$5:$G$504,A26,'Meal Plan'!$B$5:$B$504,"&lt;="&amp;TODAY())=0,"",SUMPRODUCT(MAX(('Meal Plan'!$G$5:$G$504=A26)*('Meal Plan'!$B$5:$B$504&lt;=TODAY())*'Meal Plan'!$B$5:$B$504))))</f>
        <v>0</v>
      </c>
      <c r="BC26" s="18">
        <f>IF(BB26="","",TODAY()-BB26)</f>
        <v>0</v>
      </c>
      <c r="BF26" s="31">
        <f>IF(B26="","",IF(G26="","Add - how many does it serve?",IF(AB26=0,"Add - no ingredients listed yet",IF(AV26&gt;0,"Check - "&amp;AV26&amp;" ingredient(s) have no price",IF(AND(BC26&lt;&gt;"",BC26&lt;RotationGapDays),"Cooked recently","OK")))))</f>
        <v>0</v>
      </c>
    </row>
    <row r="27" spans="1:58">
      <c r="A27" s="39">
        <f>IF(B27="","",RecipePrefix&amp;TEXT(ROW()-4,"0000"))</f>
        <v>0</v>
      </c>
      <c r="J27" s="18">
        <f>IF(B27="","",IF(AND(H27="",I27=""),"",IF(H27="",0,H27)+IF(I27="",0,I27)))</f>
        <v>0</v>
      </c>
      <c r="K27" s="46">
        <f>IF(J27="","",IF(J27&lt;=30,"Yes","No"))</f>
        <v>0</v>
      </c>
      <c r="AB27" s="18">
        <f>IF(A27="","",COUNTIFS('Recipe Ingredients'!$B$5:$B$1204,A27))</f>
        <v>0</v>
      </c>
      <c r="AC27" s="25">
        <f>IF(A27="","",SUMIFS('Recipe Ingredients'!$N$5:$N$1204,'Recipe Ingredients'!$B$5:$B$1204,A27))</f>
        <v>0</v>
      </c>
      <c r="AD27" s="25">
        <f>IF(OR(AC27="",G27=""),"",IF(G27=0,"",AC27/G27))</f>
        <v>0</v>
      </c>
      <c r="AE27" s="30">
        <f>IF(OR(A27="",G27=""),"",IF(G27=0,"",SUMIFS('Recipe Ingredients'!$Q$5:$Q$1204,'Recipe Ingredients'!$B$5:$B$1204,A27)/G27))</f>
        <v>0</v>
      </c>
      <c r="AF27" s="45">
        <f>IF(OR(A27="",G27=""),"",IF(G27=0,"",SUMIFS('Recipe Ingredients'!$R$5:$R$1204,'Recipe Ingredients'!$B$5:$B$1204,A27)/G27))</f>
        <v>0</v>
      </c>
      <c r="AG27" s="45">
        <f>IF(OR(A27="",G27=""),"",IF(G27=0,"",SUMIFS('Recipe Ingredients'!$S$5:$S$1204,'Recipe Ingredients'!$B$5:$B$1204,A27)/G27))</f>
        <v>0</v>
      </c>
      <c r="AH27" s="45">
        <f>IF(OR(A27="",G27=""),"",IF(G27=0,"",SUMIFS('Recipe Ingredients'!$T$5:$T$1204,'Recipe Ingredients'!$B$5:$B$1204,A27)/G27))</f>
        <v>0</v>
      </c>
      <c r="AI27" s="45">
        <f>IF(OR(A27="",G27=""),"",IF(G27=0,"",SUMIFS('Recipe Ingredients'!$U$5:$U$1204,'Recipe Ingredients'!$B$5:$B$1204,A27)/G27))</f>
        <v>0</v>
      </c>
      <c r="AJ27" s="17">
        <f>IF(A27="","",IF(COUNTIFS('Recipe Ingredients'!$B$5:$B$1204,A27,'Recipe Ingredients'!$V$5:$V$1204,"&lt;&gt;",'Recipe Ingredients'!$V$5:$V$1204,"&lt;&gt;None")=0,"None listed",COUNTIFS('Recipe Ingredients'!$B$5:$B$1204,A27,'Recipe Ingredients'!$V$5:$V$1204,"&lt;&gt;",'Recipe Ingredients'!$V$5:$V$1204,"&lt;&gt;None")&amp;" ingredient(s) flagged"))</f>
        <v>0</v>
      </c>
      <c r="AK27" s="18">
        <f>IF(OR(AD27="",NOT(ISNUMBER(AD27))),"",COUNTIFS($AD$5:$AD$204,"&lt;"&amp;AD27)+COUNTIFS($AD$5:AD27,AD27))</f>
        <v>0</v>
      </c>
      <c r="AL27" s="18">
        <f>IF(B27="",0,IF(AND(OR(FilterDiet="Any",T27=FilterDiet),OR(FilterCategory="Any",C27=FilterCategory),OR(FilterMethod="Any",L27=FilterMethod),OR(FilterTime=0,AND(J27&lt;&gt;"",J27&lt;=FilterTime)),OR(FilterCost=0,AND(AD27&lt;&gt;"",ISNUMBER(AD27),AD27&lt;=FilterCost)),OR(FilterAllergen="Any",COUNTIFS('Recipe Ingredients'!$B$5:$B$1204,A27,'Recipe Ingredients'!$V$5:$V$1204,FilterAllergen)=0)),1,0))</f>
        <v>0</v>
      </c>
      <c r="AM27" s="18">
        <f>IF(AL27=0,"",SUM($AL$5:AL27))</f>
        <v>0</v>
      </c>
      <c r="AN27" s="18">
        <f>IF(B27="","",COUNTIFS($AZ$5:$AZ$204,"&gt;"&amp;AZ27)+COUNTIFS($AZ$5:AZ27,AZ27))</f>
        <v>0</v>
      </c>
      <c r="AO27" s="18">
        <f>IF(B27="","",COUNTIFS($AE$5:$AE$204,"&gt;"&amp;AE27)+COUNTIFS($AE$5:AE27,AE27))</f>
        <v>0</v>
      </c>
      <c r="AP27" s="18">
        <f>IF(B27="","",COUNTIFS($AF$5:$AF$204,"&gt;"&amp;AF27)+COUNTIFS($AF$5:AF27,AF27))</f>
        <v>0</v>
      </c>
      <c r="AQ27" s="18">
        <f>IF(B27="","",COUNTIFS($AI$5:$AI$204,"&gt;"&amp;AI27)+COUNTIFS($AI$5:AI27,AI27))</f>
        <v>0</v>
      </c>
      <c r="AR27" s="18">
        <f>IF(B27="","",COUNTIFS($AS$5:$AS$204,"&gt;"&amp;AS27)+COUNTIFS($AS$5:AS27,AS27))</f>
        <v>0</v>
      </c>
      <c r="AS27" s="45">
        <f>IF(B27="","",IF(BB27="",99999,BC27))</f>
        <v>0</v>
      </c>
      <c r="AT27" s="45">
        <f>IF(A27="",0,SUMIFS('Meal Plan'!$L$5:$L$504,'Meal Plan'!$G$5:$G$504,A27,'Meal Plan'!$B$5:$B$504,"&gt;="&amp;ShopFrom,'Meal Plan'!$B$5:$B$504,"&lt;="&amp;ShopTo,'Meal Plan'!$M$5:$M$504,"Yes"))</f>
        <v>0</v>
      </c>
      <c r="AU27" s="25">
        <f>IF(OR(A27="",AC27=""),"",AC27*AT27)</f>
        <v>0</v>
      </c>
      <c r="AV27" s="18">
        <f>IF(A27="","",COUNTIFS('Recipe Ingredients'!$B$5:$B$1204,A27,'Recipe Ingredients'!$N$5:$N$1204,""))</f>
        <v>0</v>
      </c>
      <c r="AZ27" s="18">
        <f>IF(A27="","",COUNTIFS('Meal Plan'!$G$5:$G$504,A27))</f>
        <v>0</v>
      </c>
      <c r="BA27" s="18">
        <f>IF(A27="","",COUNTIFS('Meal Plan'!$G$5:$G$504,A27,'Meal Plan'!$N$5:$N$504,"Prepared")+COUNTIFS('Meal Plan'!$G$5:$G$504,A27,'Meal Plan'!$N$5:$N$504,"Eaten"))</f>
        <v>0</v>
      </c>
      <c r="BB27" s="19">
        <f>IF(A27="","",IF(COUNTIFS('Meal Plan'!$G$5:$G$504,A27,'Meal Plan'!$B$5:$B$504,"&lt;="&amp;TODAY())=0,"",SUMPRODUCT(MAX(('Meal Plan'!$G$5:$G$504=A27)*('Meal Plan'!$B$5:$B$504&lt;=TODAY())*'Meal Plan'!$B$5:$B$504))))</f>
        <v>0</v>
      </c>
      <c r="BC27" s="18">
        <f>IF(BB27="","",TODAY()-BB27)</f>
        <v>0</v>
      </c>
      <c r="BF27" s="31">
        <f>IF(B27="","",IF(G27="","Add - how many does it serve?",IF(AB27=0,"Add - no ingredients listed yet",IF(AV27&gt;0,"Check - "&amp;AV27&amp;" ingredient(s) have no price",IF(AND(BC27&lt;&gt;"",BC27&lt;RotationGapDays),"Cooked recently","OK")))))</f>
        <v>0</v>
      </c>
    </row>
    <row r="28" spans="1:58">
      <c r="A28" s="39">
        <f>IF(B28="","",RecipePrefix&amp;TEXT(ROW()-4,"0000"))</f>
        <v>0</v>
      </c>
      <c r="J28" s="18">
        <f>IF(B28="","",IF(AND(H28="",I28=""),"",IF(H28="",0,H28)+IF(I28="",0,I28)))</f>
        <v>0</v>
      </c>
      <c r="K28" s="46">
        <f>IF(J28="","",IF(J28&lt;=30,"Yes","No"))</f>
        <v>0</v>
      </c>
      <c r="AB28" s="18">
        <f>IF(A28="","",COUNTIFS('Recipe Ingredients'!$B$5:$B$1204,A28))</f>
        <v>0</v>
      </c>
      <c r="AC28" s="25">
        <f>IF(A28="","",SUMIFS('Recipe Ingredients'!$N$5:$N$1204,'Recipe Ingredients'!$B$5:$B$1204,A28))</f>
        <v>0</v>
      </c>
      <c r="AD28" s="25">
        <f>IF(OR(AC28="",G28=""),"",IF(G28=0,"",AC28/G28))</f>
        <v>0</v>
      </c>
      <c r="AE28" s="30">
        <f>IF(OR(A28="",G28=""),"",IF(G28=0,"",SUMIFS('Recipe Ingredients'!$Q$5:$Q$1204,'Recipe Ingredients'!$B$5:$B$1204,A28)/G28))</f>
        <v>0</v>
      </c>
      <c r="AF28" s="45">
        <f>IF(OR(A28="",G28=""),"",IF(G28=0,"",SUMIFS('Recipe Ingredients'!$R$5:$R$1204,'Recipe Ingredients'!$B$5:$B$1204,A28)/G28))</f>
        <v>0</v>
      </c>
      <c r="AG28" s="45">
        <f>IF(OR(A28="",G28=""),"",IF(G28=0,"",SUMIFS('Recipe Ingredients'!$S$5:$S$1204,'Recipe Ingredients'!$B$5:$B$1204,A28)/G28))</f>
        <v>0</v>
      </c>
      <c r="AH28" s="45">
        <f>IF(OR(A28="",G28=""),"",IF(G28=0,"",SUMIFS('Recipe Ingredients'!$T$5:$T$1204,'Recipe Ingredients'!$B$5:$B$1204,A28)/G28))</f>
        <v>0</v>
      </c>
      <c r="AI28" s="45">
        <f>IF(OR(A28="",G28=""),"",IF(G28=0,"",SUMIFS('Recipe Ingredients'!$U$5:$U$1204,'Recipe Ingredients'!$B$5:$B$1204,A28)/G28))</f>
        <v>0</v>
      </c>
      <c r="AJ28" s="17">
        <f>IF(A28="","",IF(COUNTIFS('Recipe Ingredients'!$B$5:$B$1204,A28,'Recipe Ingredients'!$V$5:$V$1204,"&lt;&gt;",'Recipe Ingredients'!$V$5:$V$1204,"&lt;&gt;None")=0,"None listed",COUNTIFS('Recipe Ingredients'!$B$5:$B$1204,A28,'Recipe Ingredients'!$V$5:$V$1204,"&lt;&gt;",'Recipe Ingredients'!$V$5:$V$1204,"&lt;&gt;None")&amp;" ingredient(s) flagged"))</f>
        <v>0</v>
      </c>
      <c r="AK28" s="18">
        <f>IF(OR(AD28="",NOT(ISNUMBER(AD28))),"",COUNTIFS($AD$5:$AD$204,"&lt;"&amp;AD28)+COUNTIFS($AD$5:AD28,AD28))</f>
        <v>0</v>
      </c>
      <c r="AL28" s="18">
        <f>IF(B28="",0,IF(AND(OR(FilterDiet="Any",T28=FilterDiet),OR(FilterCategory="Any",C28=FilterCategory),OR(FilterMethod="Any",L28=FilterMethod),OR(FilterTime=0,AND(J28&lt;&gt;"",J28&lt;=FilterTime)),OR(FilterCost=0,AND(AD28&lt;&gt;"",ISNUMBER(AD28),AD28&lt;=FilterCost)),OR(FilterAllergen="Any",COUNTIFS('Recipe Ingredients'!$B$5:$B$1204,A28,'Recipe Ingredients'!$V$5:$V$1204,FilterAllergen)=0)),1,0))</f>
        <v>0</v>
      </c>
      <c r="AM28" s="18">
        <f>IF(AL28=0,"",SUM($AL$5:AL28))</f>
        <v>0</v>
      </c>
      <c r="AN28" s="18">
        <f>IF(B28="","",COUNTIFS($AZ$5:$AZ$204,"&gt;"&amp;AZ28)+COUNTIFS($AZ$5:AZ28,AZ28))</f>
        <v>0</v>
      </c>
      <c r="AO28" s="18">
        <f>IF(B28="","",COUNTIFS($AE$5:$AE$204,"&gt;"&amp;AE28)+COUNTIFS($AE$5:AE28,AE28))</f>
        <v>0</v>
      </c>
      <c r="AP28" s="18">
        <f>IF(B28="","",COUNTIFS($AF$5:$AF$204,"&gt;"&amp;AF28)+COUNTIFS($AF$5:AF28,AF28))</f>
        <v>0</v>
      </c>
      <c r="AQ28" s="18">
        <f>IF(B28="","",COUNTIFS($AI$5:$AI$204,"&gt;"&amp;AI28)+COUNTIFS($AI$5:AI28,AI28))</f>
        <v>0</v>
      </c>
      <c r="AR28" s="18">
        <f>IF(B28="","",COUNTIFS($AS$5:$AS$204,"&gt;"&amp;AS28)+COUNTIFS($AS$5:AS28,AS28))</f>
        <v>0</v>
      </c>
      <c r="AS28" s="45">
        <f>IF(B28="","",IF(BB28="",99999,BC28))</f>
        <v>0</v>
      </c>
      <c r="AT28" s="45">
        <f>IF(A28="",0,SUMIFS('Meal Plan'!$L$5:$L$504,'Meal Plan'!$G$5:$G$504,A28,'Meal Plan'!$B$5:$B$504,"&gt;="&amp;ShopFrom,'Meal Plan'!$B$5:$B$504,"&lt;="&amp;ShopTo,'Meal Plan'!$M$5:$M$504,"Yes"))</f>
        <v>0</v>
      </c>
      <c r="AU28" s="25">
        <f>IF(OR(A28="",AC28=""),"",AC28*AT28)</f>
        <v>0</v>
      </c>
      <c r="AV28" s="18">
        <f>IF(A28="","",COUNTIFS('Recipe Ingredients'!$B$5:$B$1204,A28,'Recipe Ingredients'!$N$5:$N$1204,""))</f>
        <v>0</v>
      </c>
      <c r="AZ28" s="18">
        <f>IF(A28="","",COUNTIFS('Meal Plan'!$G$5:$G$504,A28))</f>
        <v>0</v>
      </c>
      <c r="BA28" s="18">
        <f>IF(A28="","",COUNTIFS('Meal Plan'!$G$5:$G$504,A28,'Meal Plan'!$N$5:$N$504,"Prepared")+COUNTIFS('Meal Plan'!$G$5:$G$504,A28,'Meal Plan'!$N$5:$N$504,"Eaten"))</f>
        <v>0</v>
      </c>
      <c r="BB28" s="19">
        <f>IF(A28="","",IF(COUNTIFS('Meal Plan'!$G$5:$G$504,A28,'Meal Plan'!$B$5:$B$504,"&lt;="&amp;TODAY())=0,"",SUMPRODUCT(MAX(('Meal Plan'!$G$5:$G$504=A28)*('Meal Plan'!$B$5:$B$504&lt;=TODAY())*'Meal Plan'!$B$5:$B$504))))</f>
        <v>0</v>
      </c>
      <c r="BC28" s="18">
        <f>IF(BB28="","",TODAY()-BB28)</f>
        <v>0</v>
      </c>
      <c r="BF28" s="31">
        <f>IF(B28="","",IF(G28="","Add - how many does it serve?",IF(AB28=0,"Add - no ingredients listed yet",IF(AV28&gt;0,"Check - "&amp;AV28&amp;" ingredient(s) have no price",IF(AND(BC28&lt;&gt;"",BC28&lt;RotationGapDays),"Cooked recently","OK")))))</f>
        <v>0</v>
      </c>
    </row>
    <row r="29" spans="1:58">
      <c r="A29" s="39">
        <f>IF(B29="","",RecipePrefix&amp;TEXT(ROW()-4,"0000"))</f>
        <v>0</v>
      </c>
      <c r="J29" s="18">
        <f>IF(B29="","",IF(AND(H29="",I29=""),"",IF(H29="",0,H29)+IF(I29="",0,I29)))</f>
        <v>0</v>
      </c>
      <c r="K29" s="46">
        <f>IF(J29="","",IF(J29&lt;=30,"Yes","No"))</f>
        <v>0</v>
      </c>
      <c r="AB29" s="18">
        <f>IF(A29="","",COUNTIFS('Recipe Ingredients'!$B$5:$B$1204,A29))</f>
        <v>0</v>
      </c>
      <c r="AC29" s="25">
        <f>IF(A29="","",SUMIFS('Recipe Ingredients'!$N$5:$N$1204,'Recipe Ingredients'!$B$5:$B$1204,A29))</f>
        <v>0</v>
      </c>
      <c r="AD29" s="25">
        <f>IF(OR(AC29="",G29=""),"",IF(G29=0,"",AC29/G29))</f>
        <v>0</v>
      </c>
      <c r="AE29" s="30">
        <f>IF(OR(A29="",G29=""),"",IF(G29=0,"",SUMIFS('Recipe Ingredients'!$Q$5:$Q$1204,'Recipe Ingredients'!$B$5:$B$1204,A29)/G29))</f>
        <v>0</v>
      </c>
      <c r="AF29" s="45">
        <f>IF(OR(A29="",G29=""),"",IF(G29=0,"",SUMIFS('Recipe Ingredients'!$R$5:$R$1204,'Recipe Ingredients'!$B$5:$B$1204,A29)/G29))</f>
        <v>0</v>
      </c>
      <c r="AG29" s="45">
        <f>IF(OR(A29="",G29=""),"",IF(G29=0,"",SUMIFS('Recipe Ingredients'!$S$5:$S$1204,'Recipe Ingredients'!$B$5:$B$1204,A29)/G29))</f>
        <v>0</v>
      </c>
      <c r="AH29" s="45">
        <f>IF(OR(A29="",G29=""),"",IF(G29=0,"",SUMIFS('Recipe Ingredients'!$T$5:$T$1204,'Recipe Ingredients'!$B$5:$B$1204,A29)/G29))</f>
        <v>0</v>
      </c>
      <c r="AI29" s="45">
        <f>IF(OR(A29="",G29=""),"",IF(G29=0,"",SUMIFS('Recipe Ingredients'!$U$5:$U$1204,'Recipe Ingredients'!$B$5:$B$1204,A29)/G29))</f>
        <v>0</v>
      </c>
      <c r="AJ29" s="17">
        <f>IF(A29="","",IF(COUNTIFS('Recipe Ingredients'!$B$5:$B$1204,A29,'Recipe Ingredients'!$V$5:$V$1204,"&lt;&gt;",'Recipe Ingredients'!$V$5:$V$1204,"&lt;&gt;None")=0,"None listed",COUNTIFS('Recipe Ingredients'!$B$5:$B$1204,A29,'Recipe Ingredients'!$V$5:$V$1204,"&lt;&gt;",'Recipe Ingredients'!$V$5:$V$1204,"&lt;&gt;None")&amp;" ingredient(s) flagged"))</f>
        <v>0</v>
      </c>
      <c r="AK29" s="18">
        <f>IF(OR(AD29="",NOT(ISNUMBER(AD29))),"",COUNTIFS($AD$5:$AD$204,"&lt;"&amp;AD29)+COUNTIFS($AD$5:AD29,AD29))</f>
        <v>0</v>
      </c>
      <c r="AL29" s="18">
        <f>IF(B29="",0,IF(AND(OR(FilterDiet="Any",T29=FilterDiet),OR(FilterCategory="Any",C29=FilterCategory),OR(FilterMethod="Any",L29=FilterMethod),OR(FilterTime=0,AND(J29&lt;&gt;"",J29&lt;=FilterTime)),OR(FilterCost=0,AND(AD29&lt;&gt;"",ISNUMBER(AD29),AD29&lt;=FilterCost)),OR(FilterAllergen="Any",COUNTIFS('Recipe Ingredients'!$B$5:$B$1204,A29,'Recipe Ingredients'!$V$5:$V$1204,FilterAllergen)=0)),1,0))</f>
        <v>0</v>
      </c>
      <c r="AM29" s="18">
        <f>IF(AL29=0,"",SUM($AL$5:AL29))</f>
        <v>0</v>
      </c>
      <c r="AN29" s="18">
        <f>IF(B29="","",COUNTIFS($AZ$5:$AZ$204,"&gt;"&amp;AZ29)+COUNTIFS($AZ$5:AZ29,AZ29))</f>
        <v>0</v>
      </c>
      <c r="AO29" s="18">
        <f>IF(B29="","",COUNTIFS($AE$5:$AE$204,"&gt;"&amp;AE29)+COUNTIFS($AE$5:AE29,AE29))</f>
        <v>0</v>
      </c>
      <c r="AP29" s="18">
        <f>IF(B29="","",COUNTIFS($AF$5:$AF$204,"&gt;"&amp;AF29)+COUNTIFS($AF$5:AF29,AF29))</f>
        <v>0</v>
      </c>
      <c r="AQ29" s="18">
        <f>IF(B29="","",COUNTIFS($AI$5:$AI$204,"&gt;"&amp;AI29)+COUNTIFS($AI$5:AI29,AI29))</f>
        <v>0</v>
      </c>
      <c r="AR29" s="18">
        <f>IF(B29="","",COUNTIFS($AS$5:$AS$204,"&gt;"&amp;AS29)+COUNTIFS($AS$5:AS29,AS29))</f>
        <v>0</v>
      </c>
      <c r="AS29" s="45">
        <f>IF(B29="","",IF(BB29="",99999,BC29))</f>
        <v>0</v>
      </c>
      <c r="AT29" s="45">
        <f>IF(A29="",0,SUMIFS('Meal Plan'!$L$5:$L$504,'Meal Plan'!$G$5:$G$504,A29,'Meal Plan'!$B$5:$B$504,"&gt;="&amp;ShopFrom,'Meal Plan'!$B$5:$B$504,"&lt;="&amp;ShopTo,'Meal Plan'!$M$5:$M$504,"Yes"))</f>
        <v>0</v>
      </c>
      <c r="AU29" s="25">
        <f>IF(OR(A29="",AC29=""),"",AC29*AT29)</f>
        <v>0</v>
      </c>
      <c r="AV29" s="18">
        <f>IF(A29="","",COUNTIFS('Recipe Ingredients'!$B$5:$B$1204,A29,'Recipe Ingredients'!$N$5:$N$1204,""))</f>
        <v>0</v>
      </c>
      <c r="AZ29" s="18">
        <f>IF(A29="","",COUNTIFS('Meal Plan'!$G$5:$G$504,A29))</f>
        <v>0</v>
      </c>
      <c r="BA29" s="18">
        <f>IF(A29="","",COUNTIFS('Meal Plan'!$G$5:$G$504,A29,'Meal Plan'!$N$5:$N$504,"Prepared")+COUNTIFS('Meal Plan'!$G$5:$G$504,A29,'Meal Plan'!$N$5:$N$504,"Eaten"))</f>
        <v>0</v>
      </c>
      <c r="BB29" s="19">
        <f>IF(A29="","",IF(COUNTIFS('Meal Plan'!$G$5:$G$504,A29,'Meal Plan'!$B$5:$B$504,"&lt;="&amp;TODAY())=0,"",SUMPRODUCT(MAX(('Meal Plan'!$G$5:$G$504=A29)*('Meal Plan'!$B$5:$B$504&lt;=TODAY())*'Meal Plan'!$B$5:$B$504))))</f>
        <v>0</v>
      </c>
      <c r="BC29" s="18">
        <f>IF(BB29="","",TODAY()-BB29)</f>
        <v>0</v>
      </c>
      <c r="BF29" s="31">
        <f>IF(B29="","",IF(G29="","Add - how many does it serve?",IF(AB29=0,"Add - no ingredients listed yet",IF(AV29&gt;0,"Check - "&amp;AV29&amp;" ingredient(s) have no price",IF(AND(BC29&lt;&gt;"",BC29&lt;RotationGapDays),"Cooked recently","OK")))))</f>
        <v>0</v>
      </c>
    </row>
    <row r="30" spans="1:58">
      <c r="A30" s="39">
        <f>IF(B30="","",RecipePrefix&amp;TEXT(ROW()-4,"0000"))</f>
        <v>0</v>
      </c>
      <c r="J30" s="18">
        <f>IF(B30="","",IF(AND(H30="",I30=""),"",IF(H30="",0,H30)+IF(I30="",0,I30)))</f>
        <v>0</v>
      </c>
      <c r="K30" s="46">
        <f>IF(J30="","",IF(J30&lt;=30,"Yes","No"))</f>
        <v>0</v>
      </c>
      <c r="AB30" s="18">
        <f>IF(A30="","",COUNTIFS('Recipe Ingredients'!$B$5:$B$1204,A30))</f>
        <v>0</v>
      </c>
      <c r="AC30" s="25">
        <f>IF(A30="","",SUMIFS('Recipe Ingredients'!$N$5:$N$1204,'Recipe Ingredients'!$B$5:$B$1204,A30))</f>
        <v>0</v>
      </c>
      <c r="AD30" s="25">
        <f>IF(OR(AC30="",G30=""),"",IF(G30=0,"",AC30/G30))</f>
        <v>0</v>
      </c>
      <c r="AE30" s="30">
        <f>IF(OR(A30="",G30=""),"",IF(G30=0,"",SUMIFS('Recipe Ingredients'!$Q$5:$Q$1204,'Recipe Ingredients'!$B$5:$B$1204,A30)/G30))</f>
        <v>0</v>
      </c>
      <c r="AF30" s="45">
        <f>IF(OR(A30="",G30=""),"",IF(G30=0,"",SUMIFS('Recipe Ingredients'!$R$5:$R$1204,'Recipe Ingredients'!$B$5:$B$1204,A30)/G30))</f>
        <v>0</v>
      </c>
      <c r="AG30" s="45">
        <f>IF(OR(A30="",G30=""),"",IF(G30=0,"",SUMIFS('Recipe Ingredients'!$S$5:$S$1204,'Recipe Ingredients'!$B$5:$B$1204,A30)/G30))</f>
        <v>0</v>
      </c>
      <c r="AH30" s="45">
        <f>IF(OR(A30="",G30=""),"",IF(G30=0,"",SUMIFS('Recipe Ingredients'!$T$5:$T$1204,'Recipe Ingredients'!$B$5:$B$1204,A30)/G30))</f>
        <v>0</v>
      </c>
      <c r="AI30" s="45">
        <f>IF(OR(A30="",G30=""),"",IF(G30=0,"",SUMIFS('Recipe Ingredients'!$U$5:$U$1204,'Recipe Ingredients'!$B$5:$B$1204,A30)/G30))</f>
        <v>0</v>
      </c>
      <c r="AJ30" s="17">
        <f>IF(A30="","",IF(COUNTIFS('Recipe Ingredients'!$B$5:$B$1204,A30,'Recipe Ingredients'!$V$5:$V$1204,"&lt;&gt;",'Recipe Ingredients'!$V$5:$V$1204,"&lt;&gt;None")=0,"None listed",COUNTIFS('Recipe Ingredients'!$B$5:$B$1204,A30,'Recipe Ingredients'!$V$5:$V$1204,"&lt;&gt;",'Recipe Ingredients'!$V$5:$V$1204,"&lt;&gt;None")&amp;" ingredient(s) flagged"))</f>
        <v>0</v>
      </c>
      <c r="AK30" s="18">
        <f>IF(OR(AD30="",NOT(ISNUMBER(AD30))),"",COUNTIFS($AD$5:$AD$204,"&lt;"&amp;AD30)+COUNTIFS($AD$5:AD30,AD30))</f>
        <v>0</v>
      </c>
      <c r="AL30" s="18">
        <f>IF(B30="",0,IF(AND(OR(FilterDiet="Any",T30=FilterDiet),OR(FilterCategory="Any",C30=FilterCategory),OR(FilterMethod="Any",L30=FilterMethod),OR(FilterTime=0,AND(J30&lt;&gt;"",J30&lt;=FilterTime)),OR(FilterCost=0,AND(AD30&lt;&gt;"",ISNUMBER(AD30),AD30&lt;=FilterCost)),OR(FilterAllergen="Any",COUNTIFS('Recipe Ingredients'!$B$5:$B$1204,A30,'Recipe Ingredients'!$V$5:$V$1204,FilterAllergen)=0)),1,0))</f>
        <v>0</v>
      </c>
      <c r="AM30" s="18">
        <f>IF(AL30=0,"",SUM($AL$5:AL30))</f>
        <v>0</v>
      </c>
      <c r="AN30" s="18">
        <f>IF(B30="","",COUNTIFS($AZ$5:$AZ$204,"&gt;"&amp;AZ30)+COUNTIFS($AZ$5:AZ30,AZ30))</f>
        <v>0</v>
      </c>
      <c r="AO30" s="18">
        <f>IF(B30="","",COUNTIFS($AE$5:$AE$204,"&gt;"&amp;AE30)+COUNTIFS($AE$5:AE30,AE30))</f>
        <v>0</v>
      </c>
      <c r="AP30" s="18">
        <f>IF(B30="","",COUNTIFS($AF$5:$AF$204,"&gt;"&amp;AF30)+COUNTIFS($AF$5:AF30,AF30))</f>
        <v>0</v>
      </c>
      <c r="AQ30" s="18">
        <f>IF(B30="","",COUNTIFS($AI$5:$AI$204,"&gt;"&amp;AI30)+COUNTIFS($AI$5:AI30,AI30))</f>
        <v>0</v>
      </c>
      <c r="AR30" s="18">
        <f>IF(B30="","",COUNTIFS($AS$5:$AS$204,"&gt;"&amp;AS30)+COUNTIFS($AS$5:AS30,AS30))</f>
        <v>0</v>
      </c>
      <c r="AS30" s="45">
        <f>IF(B30="","",IF(BB30="",99999,BC30))</f>
        <v>0</v>
      </c>
      <c r="AT30" s="45">
        <f>IF(A30="",0,SUMIFS('Meal Plan'!$L$5:$L$504,'Meal Plan'!$G$5:$G$504,A30,'Meal Plan'!$B$5:$B$504,"&gt;="&amp;ShopFrom,'Meal Plan'!$B$5:$B$504,"&lt;="&amp;ShopTo,'Meal Plan'!$M$5:$M$504,"Yes"))</f>
        <v>0</v>
      </c>
      <c r="AU30" s="25">
        <f>IF(OR(A30="",AC30=""),"",AC30*AT30)</f>
        <v>0</v>
      </c>
      <c r="AV30" s="18">
        <f>IF(A30="","",COUNTIFS('Recipe Ingredients'!$B$5:$B$1204,A30,'Recipe Ingredients'!$N$5:$N$1204,""))</f>
        <v>0</v>
      </c>
      <c r="AZ30" s="18">
        <f>IF(A30="","",COUNTIFS('Meal Plan'!$G$5:$G$504,A30))</f>
        <v>0</v>
      </c>
      <c r="BA30" s="18">
        <f>IF(A30="","",COUNTIFS('Meal Plan'!$G$5:$G$504,A30,'Meal Plan'!$N$5:$N$504,"Prepared")+COUNTIFS('Meal Plan'!$G$5:$G$504,A30,'Meal Plan'!$N$5:$N$504,"Eaten"))</f>
        <v>0</v>
      </c>
      <c r="BB30" s="19">
        <f>IF(A30="","",IF(COUNTIFS('Meal Plan'!$G$5:$G$504,A30,'Meal Plan'!$B$5:$B$504,"&lt;="&amp;TODAY())=0,"",SUMPRODUCT(MAX(('Meal Plan'!$G$5:$G$504=A30)*('Meal Plan'!$B$5:$B$504&lt;=TODAY())*'Meal Plan'!$B$5:$B$504))))</f>
        <v>0</v>
      </c>
      <c r="BC30" s="18">
        <f>IF(BB30="","",TODAY()-BB30)</f>
        <v>0</v>
      </c>
      <c r="BF30" s="31">
        <f>IF(B30="","",IF(G30="","Add - how many does it serve?",IF(AB30=0,"Add - no ingredients listed yet",IF(AV30&gt;0,"Check - "&amp;AV30&amp;" ingredient(s) have no price",IF(AND(BC30&lt;&gt;"",BC30&lt;RotationGapDays),"Cooked recently","OK")))))</f>
        <v>0</v>
      </c>
    </row>
    <row r="31" spans="1:58">
      <c r="A31" s="39">
        <f>IF(B31="","",RecipePrefix&amp;TEXT(ROW()-4,"0000"))</f>
        <v>0</v>
      </c>
      <c r="J31" s="18">
        <f>IF(B31="","",IF(AND(H31="",I31=""),"",IF(H31="",0,H31)+IF(I31="",0,I31)))</f>
        <v>0</v>
      </c>
      <c r="K31" s="46">
        <f>IF(J31="","",IF(J31&lt;=30,"Yes","No"))</f>
        <v>0</v>
      </c>
      <c r="AB31" s="18">
        <f>IF(A31="","",COUNTIFS('Recipe Ingredients'!$B$5:$B$1204,A31))</f>
        <v>0</v>
      </c>
      <c r="AC31" s="25">
        <f>IF(A31="","",SUMIFS('Recipe Ingredients'!$N$5:$N$1204,'Recipe Ingredients'!$B$5:$B$1204,A31))</f>
        <v>0</v>
      </c>
      <c r="AD31" s="25">
        <f>IF(OR(AC31="",G31=""),"",IF(G31=0,"",AC31/G31))</f>
        <v>0</v>
      </c>
      <c r="AE31" s="30">
        <f>IF(OR(A31="",G31=""),"",IF(G31=0,"",SUMIFS('Recipe Ingredients'!$Q$5:$Q$1204,'Recipe Ingredients'!$B$5:$B$1204,A31)/G31))</f>
        <v>0</v>
      </c>
      <c r="AF31" s="45">
        <f>IF(OR(A31="",G31=""),"",IF(G31=0,"",SUMIFS('Recipe Ingredients'!$R$5:$R$1204,'Recipe Ingredients'!$B$5:$B$1204,A31)/G31))</f>
        <v>0</v>
      </c>
      <c r="AG31" s="45">
        <f>IF(OR(A31="",G31=""),"",IF(G31=0,"",SUMIFS('Recipe Ingredients'!$S$5:$S$1204,'Recipe Ingredients'!$B$5:$B$1204,A31)/G31))</f>
        <v>0</v>
      </c>
      <c r="AH31" s="45">
        <f>IF(OR(A31="",G31=""),"",IF(G31=0,"",SUMIFS('Recipe Ingredients'!$T$5:$T$1204,'Recipe Ingredients'!$B$5:$B$1204,A31)/G31))</f>
        <v>0</v>
      </c>
      <c r="AI31" s="45">
        <f>IF(OR(A31="",G31=""),"",IF(G31=0,"",SUMIFS('Recipe Ingredients'!$U$5:$U$1204,'Recipe Ingredients'!$B$5:$B$1204,A31)/G31))</f>
        <v>0</v>
      </c>
      <c r="AJ31" s="17">
        <f>IF(A31="","",IF(COUNTIFS('Recipe Ingredients'!$B$5:$B$1204,A31,'Recipe Ingredients'!$V$5:$V$1204,"&lt;&gt;",'Recipe Ingredients'!$V$5:$V$1204,"&lt;&gt;None")=0,"None listed",COUNTIFS('Recipe Ingredients'!$B$5:$B$1204,A31,'Recipe Ingredients'!$V$5:$V$1204,"&lt;&gt;",'Recipe Ingredients'!$V$5:$V$1204,"&lt;&gt;None")&amp;" ingredient(s) flagged"))</f>
        <v>0</v>
      </c>
      <c r="AK31" s="18">
        <f>IF(OR(AD31="",NOT(ISNUMBER(AD31))),"",COUNTIFS($AD$5:$AD$204,"&lt;"&amp;AD31)+COUNTIFS($AD$5:AD31,AD31))</f>
        <v>0</v>
      </c>
      <c r="AL31" s="18">
        <f>IF(B31="",0,IF(AND(OR(FilterDiet="Any",T31=FilterDiet),OR(FilterCategory="Any",C31=FilterCategory),OR(FilterMethod="Any",L31=FilterMethod),OR(FilterTime=0,AND(J31&lt;&gt;"",J31&lt;=FilterTime)),OR(FilterCost=0,AND(AD31&lt;&gt;"",ISNUMBER(AD31),AD31&lt;=FilterCost)),OR(FilterAllergen="Any",COUNTIFS('Recipe Ingredients'!$B$5:$B$1204,A31,'Recipe Ingredients'!$V$5:$V$1204,FilterAllergen)=0)),1,0))</f>
        <v>0</v>
      </c>
      <c r="AM31" s="18">
        <f>IF(AL31=0,"",SUM($AL$5:AL31))</f>
        <v>0</v>
      </c>
      <c r="AN31" s="18">
        <f>IF(B31="","",COUNTIFS($AZ$5:$AZ$204,"&gt;"&amp;AZ31)+COUNTIFS($AZ$5:AZ31,AZ31))</f>
        <v>0</v>
      </c>
      <c r="AO31" s="18">
        <f>IF(B31="","",COUNTIFS($AE$5:$AE$204,"&gt;"&amp;AE31)+COUNTIFS($AE$5:AE31,AE31))</f>
        <v>0</v>
      </c>
      <c r="AP31" s="18">
        <f>IF(B31="","",COUNTIFS($AF$5:$AF$204,"&gt;"&amp;AF31)+COUNTIFS($AF$5:AF31,AF31))</f>
        <v>0</v>
      </c>
      <c r="AQ31" s="18">
        <f>IF(B31="","",COUNTIFS($AI$5:$AI$204,"&gt;"&amp;AI31)+COUNTIFS($AI$5:AI31,AI31))</f>
        <v>0</v>
      </c>
      <c r="AR31" s="18">
        <f>IF(B31="","",COUNTIFS($AS$5:$AS$204,"&gt;"&amp;AS31)+COUNTIFS($AS$5:AS31,AS31))</f>
        <v>0</v>
      </c>
      <c r="AS31" s="45">
        <f>IF(B31="","",IF(BB31="",99999,BC31))</f>
        <v>0</v>
      </c>
      <c r="AT31" s="45">
        <f>IF(A31="",0,SUMIFS('Meal Plan'!$L$5:$L$504,'Meal Plan'!$G$5:$G$504,A31,'Meal Plan'!$B$5:$B$504,"&gt;="&amp;ShopFrom,'Meal Plan'!$B$5:$B$504,"&lt;="&amp;ShopTo,'Meal Plan'!$M$5:$M$504,"Yes"))</f>
        <v>0</v>
      </c>
      <c r="AU31" s="25">
        <f>IF(OR(A31="",AC31=""),"",AC31*AT31)</f>
        <v>0</v>
      </c>
      <c r="AV31" s="18">
        <f>IF(A31="","",COUNTIFS('Recipe Ingredients'!$B$5:$B$1204,A31,'Recipe Ingredients'!$N$5:$N$1204,""))</f>
        <v>0</v>
      </c>
      <c r="AZ31" s="18">
        <f>IF(A31="","",COUNTIFS('Meal Plan'!$G$5:$G$504,A31))</f>
        <v>0</v>
      </c>
      <c r="BA31" s="18">
        <f>IF(A31="","",COUNTIFS('Meal Plan'!$G$5:$G$504,A31,'Meal Plan'!$N$5:$N$504,"Prepared")+COUNTIFS('Meal Plan'!$G$5:$G$504,A31,'Meal Plan'!$N$5:$N$504,"Eaten"))</f>
        <v>0</v>
      </c>
      <c r="BB31" s="19">
        <f>IF(A31="","",IF(COUNTIFS('Meal Plan'!$G$5:$G$504,A31,'Meal Plan'!$B$5:$B$504,"&lt;="&amp;TODAY())=0,"",SUMPRODUCT(MAX(('Meal Plan'!$G$5:$G$504=A31)*('Meal Plan'!$B$5:$B$504&lt;=TODAY())*'Meal Plan'!$B$5:$B$504))))</f>
        <v>0</v>
      </c>
      <c r="BC31" s="18">
        <f>IF(BB31="","",TODAY()-BB31)</f>
        <v>0</v>
      </c>
      <c r="BF31" s="31">
        <f>IF(B31="","",IF(G31="","Add - how many does it serve?",IF(AB31=0,"Add - no ingredients listed yet",IF(AV31&gt;0,"Check - "&amp;AV31&amp;" ingredient(s) have no price",IF(AND(BC31&lt;&gt;"",BC31&lt;RotationGapDays),"Cooked recently","OK")))))</f>
        <v>0</v>
      </c>
    </row>
    <row r="32" spans="1:58">
      <c r="A32" s="39">
        <f>IF(B32="","",RecipePrefix&amp;TEXT(ROW()-4,"0000"))</f>
        <v>0</v>
      </c>
      <c r="J32" s="18">
        <f>IF(B32="","",IF(AND(H32="",I32=""),"",IF(H32="",0,H32)+IF(I32="",0,I32)))</f>
        <v>0</v>
      </c>
      <c r="K32" s="46">
        <f>IF(J32="","",IF(J32&lt;=30,"Yes","No"))</f>
        <v>0</v>
      </c>
      <c r="AB32" s="18">
        <f>IF(A32="","",COUNTIFS('Recipe Ingredients'!$B$5:$B$1204,A32))</f>
        <v>0</v>
      </c>
      <c r="AC32" s="25">
        <f>IF(A32="","",SUMIFS('Recipe Ingredients'!$N$5:$N$1204,'Recipe Ingredients'!$B$5:$B$1204,A32))</f>
        <v>0</v>
      </c>
      <c r="AD32" s="25">
        <f>IF(OR(AC32="",G32=""),"",IF(G32=0,"",AC32/G32))</f>
        <v>0</v>
      </c>
      <c r="AE32" s="30">
        <f>IF(OR(A32="",G32=""),"",IF(G32=0,"",SUMIFS('Recipe Ingredients'!$Q$5:$Q$1204,'Recipe Ingredients'!$B$5:$B$1204,A32)/G32))</f>
        <v>0</v>
      </c>
      <c r="AF32" s="45">
        <f>IF(OR(A32="",G32=""),"",IF(G32=0,"",SUMIFS('Recipe Ingredients'!$R$5:$R$1204,'Recipe Ingredients'!$B$5:$B$1204,A32)/G32))</f>
        <v>0</v>
      </c>
      <c r="AG32" s="45">
        <f>IF(OR(A32="",G32=""),"",IF(G32=0,"",SUMIFS('Recipe Ingredients'!$S$5:$S$1204,'Recipe Ingredients'!$B$5:$B$1204,A32)/G32))</f>
        <v>0</v>
      </c>
      <c r="AH32" s="45">
        <f>IF(OR(A32="",G32=""),"",IF(G32=0,"",SUMIFS('Recipe Ingredients'!$T$5:$T$1204,'Recipe Ingredients'!$B$5:$B$1204,A32)/G32))</f>
        <v>0</v>
      </c>
      <c r="AI32" s="45">
        <f>IF(OR(A32="",G32=""),"",IF(G32=0,"",SUMIFS('Recipe Ingredients'!$U$5:$U$1204,'Recipe Ingredients'!$B$5:$B$1204,A32)/G32))</f>
        <v>0</v>
      </c>
      <c r="AJ32" s="17">
        <f>IF(A32="","",IF(COUNTIFS('Recipe Ingredients'!$B$5:$B$1204,A32,'Recipe Ingredients'!$V$5:$V$1204,"&lt;&gt;",'Recipe Ingredients'!$V$5:$V$1204,"&lt;&gt;None")=0,"None listed",COUNTIFS('Recipe Ingredients'!$B$5:$B$1204,A32,'Recipe Ingredients'!$V$5:$V$1204,"&lt;&gt;",'Recipe Ingredients'!$V$5:$V$1204,"&lt;&gt;None")&amp;" ingredient(s) flagged"))</f>
        <v>0</v>
      </c>
      <c r="AK32" s="18">
        <f>IF(OR(AD32="",NOT(ISNUMBER(AD32))),"",COUNTIFS($AD$5:$AD$204,"&lt;"&amp;AD32)+COUNTIFS($AD$5:AD32,AD32))</f>
        <v>0</v>
      </c>
      <c r="AL32" s="18">
        <f>IF(B32="",0,IF(AND(OR(FilterDiet="Any",T32=FilterDiet),OR(FilterCategory="Any",C32=FilterCategory),OR(FilterMethod="Any",L32=FilterMethod),OR(FilterTime=0,AND(J32&lt;&gt;"",J32&lt;=FilterTime)),OR(FilterCost=0,AND(AD32&lt;&gt;"",ISNUMBER(AD32),AD32&lt;=FilterCost)),OR(FilterAllergen="Any",COUNTIFS('Recipe Ingredients'!$B$5:$B$1204,A32,'Recipe Ingredients'!$V$5:$V$1204,FilterAllergen)=0)),1,0))</f>
        <v>0</v>
      </c>
      <c r="AM32" s="18">
        <f>IF(AL32=0,"",SUM($AL$5:AL32))</f>
        <v>0</v>
      </c>
      <c r="AN32" s="18">
        <f>IF(B32="","",COUNTIFS($AZ$5:$AZ$204,"&gt;"&amp;AZ32)+COUNTIFS($AZ$5:AZ32,AZ32))</f>
        <v>0</v>
      </c>
      <c r="AO32" s="18">
        <f>IF(B32="","",COUNTIFS($AE$5:$AE$204,"&gt;"&amp;AE32)+COUNTIFS($AE$5:AE32,AE32))</f>
        <v>0</v>
      </c>
      <c r="AP32" s="18">
        <f>IF(B32="","",COUNTIFS($AF$5:$AF$204,"&gt;"&amp;AF32)+COUNTIFS($AF$5:AF32,AF32))</f>
        <v>0</v>
      </c>
      <c r="AQ32" s="18">
        <f>IF(B32="","",COUNTIFS($AI$5:$AI$204,"&gt;"&amp;AI32)+COUNTIFS($AI$5:AI32,AI32))</f>
        <v>0</v>
      </c>
      <c r="AR32" s="18">
        <f>IF(B32="","",COUNTIFS($AS$5:$AS$204,"&gt;"&amp;AS32)+COUNTIFS($AS$5:AS32,AS32))</f>
        <v>0</v>
      </c>
      <c r="AS32" s="45">
        <f>IF(B32="","",IF(BB32="",99999,BC32))</f>
        <v>0</v>
      </c>
      <c r="AT32" s="45">
        <f>IF(A32="",0,SUMIFS('Meal Plan'!$L$5:$L$504,'Meal Plan'!$G$5:$G$504,A32,'Meal Plan'!$B$5:$B$504,"&gt;="&amp;ShopFrom,'Meal Plan'!$B$5:$B$504,"&lt;="&amp;ShopTo,'Meal Plan'!$M$5:$M$504,"Yes"))</f>
        <v>0</v>
      </c>
      <c r="AU32" s="25">
        <f>IF(OR(A32="",AC32=""),"",AC32*AT32)</f>
        <v>0</v>
      </c>
      <c r="AV32" s="18">
        <f>IF(A32="","",COUNTIFS('Recipe Ingredients'!$B$5:$B$1204,A32,'Recipe Ingredients'!$N$5:$N$1204,""))</f>
        <v>0</v>
      </c>
      <c r="AZ32" s="18">
        <f>IF(A32="","",COUNTIFS('Meal Plan'!$G$5:$G$504,A32))</f>
        <v>0</v>
      </c>
      <c r="BA32" s="18">
        <f>IF(A32="","",COUNTIFS('Meal Plan'!$G$5:$G$504,A32,'Meal Plan'!$N$5:$N$504,"Prepared")+COUNTIFS('Meal Plan'!$G$5:$G$504,A32,'Meal Plan'!$N$5:$N$504,"Eaten"))</f>
        <v>0</v>
      </c>
      <c r="BB32" s="19">
        <f>IF(A32="","",IF(COUNTIFS('Meal Plan'!$G$5:$G$504,A32,'Meal Plan'!$B$5:$B$504,"&lt;="&amp;TODAY())=0,"",SUMPRODUCT(MAX(('Meal Plan'!$G$5:$G$504=A32)*('Meal Plan'!$B$5:$B$504&lt;=TODAY())*'Meal Plan'!$B$5:$B$504))))</f>
        <v>0</v>
      </c>
      <c r="BC32" s="18">
        <f>IF(BB32="","",TODAY()-BB32)</f>
        <v>0</v>
      </c>
      <c r="BF32" s="31">
        <f>IF(B32="","",IF(G32="","Add - how many does it serve?",IF(AB32=0,"Add - no ingredients listed yet",IF(AV32&gt;0,"Check - "&amp;AV32&amp;" ingredient(s) have no price",IF(AND(BC32&lt;&gt;"",BC32&lt;RotationGapDays),"Cooked recently","OK")))))</f>
        <v>0</v>
      </c>
    </row>
    <row r="33" spans="1:58">
      <c r="A33" s="39">
        <f>IF(B33="","",RecipePrefix&amp;TEXT(ROW()-4,"0000"))</f>
        <v>0</v>
      </c>
      <c r="J33" s="18">
        <f>IF(B33="","",IF(AND(H33="",I33=""),"",IF(H33="",0,H33)+IF(I33="",0,I33)))</f>
        <v>0</v>
      </c>
      <c r="K33" s="46">
        <f>IF(J33="","",IF(J33&lt;=30,"Yes","No"))</f>
        <v>0</v>
      </c>
      <c r="AB33" s="18">
        <f>IF(A33="","",COUNTIFS('Recipe Ingredients'!$B$5:$B$1204,A33))</f>
        <v>0</v>
      </c>
      <c r="AC33" s="25">
        <f>IF(A33="","",SUMIFS('Recipe Ingredients'!$N$5:$N$1204,'Recipe Ingredients'!$B$5:$B$1204,A33))</f>
        <v>0</v>
      </c>
      <c r="AD33" s="25">
        <f>IF(OR(AC33="",G33=""),"",IF(G33=0,"",AC33/G33))</f>
        <v>0</v>
      </c>
      <c r="AE33" s="30">
        <f>IF(OR(A33="",G33=""),"",IF(G33=0,"",SUMIFS('Recipe Ingredients'!$Q$5:$Q$1204,'Recipe Ingredients'!$B$5:$B$1204,A33)/G33))</f>
        <v>0</v>
      </c>
      <c r="AF33" s="45">
        <f>IF(OR(A33="",G33=""),"",IF(G33=0,"",SUMIFS('Recipe Ingredients'!$R$5:$R$1204,'Recipe Ingredients'!$B$5:$B$1204,A33)/G33))</f>
        <v>0</v>
      </c>
      <c r="AG33" s="45">
        <f>IF(OR(A33="",G33=""),"",IF(G33=0,"",SUMIFS('Recipe Ingredients'!$S$5:$S$1204,'Recipe Ingredients'!$B$5:$B$1204,A33)/G33))</f>
        <v>0</v>
      </c>
      <c r="AH33" s="45">
        <f>IF(OR(A33="",G33=""),"",IF(G33=0,"",SUMIFS('Recipe Ingredients'!$T$5:$T$1204,'Recipe Ingredients'!$B$5:$B$1204,A33)/G33))</f>
        <v>0</v>
      </c>
      <c r="AI33" s="45">
        <f>IF(OR(A33="",G33=""),"",IF(G33=0,"",SUMIFS('Recipe Ingredients'!$U$5:$U$1204,'Recipe Ingredients'!$B$5:$B$1204,A33)/G33))</f>
        <v>0</v>
      </c>
      <c r="AJ33" s="17">
        <f>IF(A33="","",IF(COUNTIFS('Recipe Ingredients'!$B$5:$B$1204,A33,'Recipe Ingredients'!$V$5:$V$1204,"&lt;&gt;",'Recipe Ingredients'!$V$5:$V$1204,"&lt;&gt;None")=0,"None listed",COUNTIFS('Recipe Ingredients'!$B$5:$B$1204,A33,'Recipe Ingredients'!$V$5:$V$1204,"&lt;&gt;",'Recipe Ingredients'!$V$5:$V$1204,"&lt;&gt;None")&amp;" ingredient(s) flagged"))</f>
        <v>0</v>
      </c>
      <c r="AK33" s="18">
        <f>IF(OR(AD33="",NOT(ISNUMBER(AD33))),"",COUNTIFS($AD$5:$AD$204,"&lt;"&amp;AD33)+COUNTIFS($AD$5:AD33,AD33))</f>
        <v>0</v>
      </c>
      <c r="AL33" s="18">
        <f>IF(B33="",0,IF(AND(OR(FilterDiet="Any",T33=FilterDiet),OR(FilterCategory="Any",C33=FilterCategory),OR(FilterMethod="Any",L33=FilterMethod),OR(FilterTime=0,AND(J33&lt;&gt;"",J33&lt;=FilterTime)),OR(FilterCost=0,AND(AD33&lt;&gt;"",ISNUMBER(AD33),AD33&lt;=FilterCost)),OR(FilterAllergen="Any",COUNTIFS('Recipe Ingredients'!$B$5:$B$1204,A33,'Recipe Ingredients'!$V$5:$V$1204,FilterAllergen)=0)),1,0))</f>
        <v>0</v>
      </c>
      <c r="AM33" s="18">
        <f>IF(AL33=0,"",SUM($AL$5:AL33))</f>
        <v>0</v>
      </c>
      <c r="AN33" s="18">
        <f>IF(B33="","",COUNTIFS($AZ$5:$AZ$204,"&gt;"&amp;AZ33)+COUNTIFS($AZ$5:AZ33,AZ33))</f>
        <v>0</v>
      </c>
      <c r="AO33" s="18">
        <f>IF(B33="","",COUNTIFS($AE$5:$AE$204,"&gt;"&amp;AE33)+COUNTIFS($AE$5:AE33,AE33))</f>
        <v>0</v>
      </c>
      <c r="AP33" s="18">
        <f>IF(B33="","",COUNTIFS($AF$5:$AF$204,"&gt;"&amp;AF33)+COUNTIFS($AF$5:AF33,AF33))</f>
        <v>0</v>
      </c>
      <c r="AQ33" s="18">
        <f>IF(B33="","",COUNTIFS($AI$5:$AI$204,"&gt;"&amp;AI33)+COUNTIFS($AI$5:AI33,AI33))</f>
        <v>0</v>
      </c>
      <c r="AR33" s="18">
        <f>IF(B33="","",COUNTIFS($AS$5:$AS$204,"&gt;"&amp;AS33)+COUNTIFS($AS$5:AS33,AS33))</f>
        <v>0</v>
      </c>
      <c r="AS33" s="45">
        <f>IF(B33="","",IF(BB33="",99999,BC33))</f>
        <v>0</v>
      </c>
      <c r="AT33" s="45">
        <f>IF(A33="",0,SUMIFS('Meal Plan'!$L$5:$L$504,'Meal Plan'!$G$5:$G$504,A33,'Meal Plan'!$B$5:$B$504,"&gt;="&amp;ShopFrom,'Meal Plan'!$B$5:$B$504,"&lt;="&amp;ShopTo,'Meal Plan'!$M$5:$M$504,"Yes"))</f>
        <v>0</v>
      </c>
      <c r="AU33" s="25">
        <f>IF(OR(A33="",AC33=""),"",AC33*AT33)</f>
        <v>0</v>
      </c>
      <c r="AV33" s="18">
        <f>IF(A33="","",COUNTIFS('Recipe Ingredients'!$B$5:$B$1204,A33,'Recipe Ingredients'!$N$5:$N$1204,""))</f>
        <v>0</v>
      </c>
      <c r="AZ33" s="18">
        <f>IF(A33="","",COUNTIFS('Meal Plan'!$G$5:$G$504,A33))</f>
        <v>0</v>
      </c>
      <c r="BA33" s="18">
        <f>IF(A33="","",COUNTIFS('Meal Plan'!$G$5:$G$504,A33,'Meal Plan'!$N$5:$N$504,"Prepared")+COUNTIFS('Meal Plan'!$G$5:$G$504,A33,'Meal Plan'!$N$5:$N$504,"Eaten"))</f>
        <v>0</v>
      </c>
      <c r="BB33" s="19">
        <f>IF(A33="","",IF(COUNTIFS('Meal Plan'!$G$5:$G$504,A33,'Meal Plan'!$B$5:$B$504,"&lt;="&amp;TODAY())=0,"",SUMPRODUCT(MAX(('Meal Plan'!$G$5:$G$504=A33)*('Meal Plan'!$B$5:$B$504&lt;=TODAY())*'Meal Plan'!$B$5:$B$504))))</f>
        <v>0</v>
      </c>
      <c r="BC33" s="18">
        <f>IF(BB33="","",TODAY()-BB33)</f>
        <v>0</v>
      </c>
      <c r="BF33" s="31">
        <f>IF(B33="","",IF(G33="","Add - how many does it serve?",IF(AB33=0,"Add - no ingredients listed yet",IF(AV33&gt;0,"Check - "&amp;AV33&amp;" ingredient(s) have no price",IF(AND(BC33&lt;&gt;"",BC33&lt;RotationGapDays),"Cooked recently","OK")))))</f>
        <v>0</v>
      </c>
    </row>
    <row r="34" spans="1:58">
      <c r="A34" s="39">
        <f>IF(B34="","",RecipePrefix&amp;TEXT(ROW()-4,"0000"))</f>
        <v>0</v>
      </c>
      <c r="J34" s="18">
        <f>IF(B34="","",IF(AND(H34="",I34=""),"",IF(H34="",0,H34)+IF(I34="",0,I34)))</f>
        <v>0</v>
      </c>
      <c r="K34" s="46">
        <f>IF(J34="","",IF(J34&lt;=30,"Yes","No"))</f>
        <v>0</v>
      </c>
      <c r="AB34" s="18">
        <f>IF(A34="","",COUNTIFS('Recipe Ingredients'!$B$5:$B$1204,A34))</f>
        <v>0</v>
      </c>
      <c r="AC34" s="25">
        <f>IF(A34="","",SUMIFS('Recipe Ingredients'!$N$5:$N$1204,'Recipe Ingredients'!$B$5:$B$1204,A34))</f>
        <v>0</v>
      </c>
      <c r="AD34" s="25">
        <f>IF(OR(AC34="",G34=""),"",IF(G34=0,"",AC34/G34))</f>
        <v>0</v>
      </c>
      <c r="AE34" s="30">
        <f>IF(OR(A34="",G34=""),"",IF(G34=0,"",SUMIFS('Recipe Ingredients'!$Q$5:$Q$1204,'Recipe Ingredients'!$B$5:$B$1204,A34)/G34))</f>
        <v>0</v>
      </c>
      <c r="AF34" s="45">
        <f>IF(OR(A34="",G34=""),"",IF(G34=0,"",SUMIFS('Recipe Ingredients'!$R$5:$R$1204,'Recipe Ingredients'!$B$5:$B$1204,A34)/G34))</f>
        <v>0</v>
      </c>
      <c r="AG34" s="45">
        <f>IF(OR(A34="",G34=""),"",IF(G34=0,"",SUMIFS('Recipe Ingredients'!$S$5:$S$1204,'Recipe Ingredients'!$B$5:$B$1204,A34)/G34))</f>
        <v>0</v>
      </c>
      <c r="AH34" s="45">
        <f>IF(OR(A34="",G34=""),"",IF(G34=0,"",SUMIFS('Recipe Ingredients'!$T$5:$T$1204,'Recipe Ingredients'!$B$5:$B$1204,A34)/G34))</f>
        <v>0</v>
      </c>
      <c r="AI34" s="45">
        <f>IF(OR(A34="",G34=""),"",IF(G34=0,"",SUMIFS('Recipe Ingredients'!$U$5:$U$1204,'Recipe Ingredients'!$B$5:$B$1204,A34)/G34))</f>
        <v>0</v>
      </c>
      <c r="AJ34" s="17">
        <f>IF(A34="","",IF(COUNTIFS('Recipe Ingredients'!$B$5:$B$1204,A34,'Recipe Ingredients'!$V$5:$V$1204,"&lt;&gt;",'Recipe Ingredients'!$V$5:$V$1204,"&lt;&gt;None")=0,"None listed",COUNTIFS('Recipe Ingredients'!$B$5:$B$1204,A34,'Recipe Ingredients'!$V$5:$V$1204,"&lt;&gt;",'Recipe Ingredients'!$V$5:$V$1204,"&lt;&gt;None")&amp;" ingredient(s) flagged"))</f>
        <v>0</v>
      </c>
      <c r="AK34" s="18">
        <f>IF(OR(AD34="",NOT(ISNUMBER(AD34))),"",COUNTIFS($AD$5:$AD$204,"&lt;"&amp;AD34)+COUNTIFS($AD$5:AD34,AD34))</f>
        <v>0</v>
      </c>
      <c r="AL34" s="18">
        <f>IF(B34="",0,IF(AND(OR(FilterDiet="Any",T34=FilterDiet),OR(FilterCategory="Any",C34=FilterCategory),OR(FilterMethod="Any",L34=FilterMethod),OR(FilterTime=0,AND(J34&lt;&gt;"",J34&lt;=FilterTime)),OR(FilterCost=0,AND(AD34&lt;&gt;"",ISNUMBER(AD34),AD34&lt;=FilterCost)),OR(FilterAllergen="Any",COUNTIFS('Recipe Ingredients'!$B$5:$B$1204,A34,'Recipe Ingredients'!$V$5:$V$1204,FilterAllergen)=0)),1,0))</f>
        <v>0</v>
      </c>
      <c r="AM34" s="18">
        <f>IF(AL34=0,"",SUM($AL$5:AL34))</f>
        <v>0</v>
      </c>
      <c r="AN34" s="18">
        <f>IF(B34="","",COUNTIFS($AZ$5:$AZ$204,"&gt;"&amp;AZ34)+COUNTIFS($AZ$5:AZ34,AZ34))</f>
        <v>0</v>
      </c>
      <c r="AO34" s="18">
        <f>IF(B34="","",COUNTIFS($AE$5:$AE$204,"&gt;"&amp;AE34)+COUNTIFS($AE$5:AE34,AE34))</f>
        <v>0</v>
      </c>
      <c r="AP34" s="18">
        <f>IF(B34="","",COUNTIFS($AF$5:$AF$204,"&gt;"&amp;AF34)+COUNTIFS($AF$5:AF34,AF34))</f>
        <v>0</v>
      </c>
      <c r="AQ34" s="18">
        <f>IF(B34="","",COUNTIFS($AI$5:$AI$204,"&gt;"&amp;AI34)+COUNTIFS($AI$5:AI34,AI34))</f>
        <v>0</v>
      </c>
      <c r="AR34" s="18">
        <f>IF(B34="","",COUNTIFS($AS$5:$AS$204,"&gt;"&amp;AS34)+COUNTIFS($AS$5:AS34,AS34))</f>
        <v>0</v>
      </c>
      <c r="AS34" s="45">
        <f>IF(B34="","",IF(BB34="",99999,BC34))</f>
        <v>0</v>
      </c>
      <c r="AT34" s="45">
        <f>IF(A34="",0,SUMIFS('Meal Plan'!$L$5:$L$504,'Meal Plan'!$G$5:$G$504,A34,'Meal Plan'!$B$5:$B$504,"&gt;="&amp;ShopFrom,'Meal Plan'!$B$5:$B$504,"&lt;="&amp;ShopTo,'Meal Plan'!$M$5:$M$504,"Yes"))</f>
        <v>0</v>
      </c>
      <c r="AU34" s="25">
        <f>IF(OR(A34="",AC34=""),"",AC34*AT34)</f>
        <v>0</v>
      </c>
      <c r="AV34" s="18">
        <f>IF(A34="","",COUNTIFS('Recipe Ingredients'!$B$5:$B$1204,A34,'Recipe Ingredients'!$N$5:$N$1204,""))</f>
        <v>0</v>
      </c>
      <c r="AZ34" s="18">
        <f>IF(A34="","",COUNTIFS('Meal Plan'!$G$5:$G$504,A34))</f>
        <v>0</v>
      </c>
      <c r="BA34" s="18">
        <f>IF(A34="","",COUNTIFS('Meal Plan'!$G$5:$G$504,A34,'Meal Plan'!$N$5:$N$504,"Prepared")+COUNTIFS('Meal Plan'!$G$5:$G$504,A34,'Meal Plan'!$N$5:$N$504,"Eaten"))</f>
        <v>0</v>
      </c>
      <c r="BB34" s="19">
        <f>IF(A34="","",IF(COUNTIFS('Meal Plan'!$G$5:$G$504,A34,'Meal Plan'!$B$5:$B$504,"&lt;="&amp;TODAY())=0,"",SUMPRODUCT(MAX(('Meal Plan'!$G$5:$G$504=A34)*('Meal Plan'!$B$5:$B$504&lt;=TODAY())*'Meal Plan'!$B$5:$B$504))))</f>
        <v>0</v>
      </c>
      <c r="BC34" s="18">
        <f>IF(BB34="","",TODAY()-BB34)</f>
        <v>0</v>
      </c>
      <c r="BF34" s="31">
        <f>IF(B34="","",IF(G34="","Add - how many does it serve?",IF(AB34=0,"Add - no ingredients listed yet",IF(AV34&gt;0,"Check - "&amp;AV34&amp;" ingredient(s) have no price",IF(AND(BC34&lt;&gt;"",BC34&lt;RotationGapDays),"Cooked recently","OK")))))</f>
        <v>0</v>
      </c>
    </row>
    <row r="35" spans="1:58">
      <c r="A35" s="39">
        <f>IF(B35="","",RecipePrefix&amp;TEXT(ROW()-4,"0000"))</f>
        <v>0</v>
      </c>
      <c r="J35" s="18">
        <f>IF(B35="","",IF(AND(H35="",I35=""),"",IF(H35="",0,H35)+IF(I35="",0,I35)))</f>
        <v>0</v>
      </c>
      <c r="K35" s="46">
        <f>IF(J35="","",IF(J35&lt;=30,"Yes","No"))</f>
        <v>0</v>
      </c>
      <c r="AB35" s="18">
        <f>IF(A35="","",COUNTIFS('Recipe Ingredients'!$B$5:$B$1204,A35))</f>
        <v>0</v>
      </c>
      <c r="AC35" s="25">
        <f>IF(A35="","",SUMIFS('Recipe Ingredients'!$N$5:$N$1204,'Recipe Ingredients'!$B$5:$B$1204,A35))</f>
        <v>0</v>
      </c>
      <c r="AD35" s="25">
        <f>IF(OR(AC35="",G35=""),"",IF(G35=0,"",AC35/G35))</f>
        <v>0</v>
      </c>
      <c r="AE35" s="30">
        <f>IF(OR(A35="",G35=""),"",IF(G35=0,"",SUMIFS('Recipe Ingredients'!$Q$5:$Q$1204,'Recipe Ingredients'!$B$5:$B$1204,A35)/G35))</f>
        <v>0</v>
      </c>
      <c r="AF35" s="45">
        <f>IF(OR(A35="",G35=""),"",IF(G35=0,"",SUMIFS('Recipe Ingredients'!$R$5:$R$1204,'Recipe Ingredients'!$B$5:$B$1204,A35)/G35))</f>
        <v>0</v>
      </c>
      <c r="AG35" s="45">
        <f>IF(OR(A35="",G35=""),"",IF(G35=0,"",SUMIFS('Recipe Ingredients'!$S$5:$S$1204,'Recipe Ingredients'!$B$5:$B$1204,A35)/G35))</f>
        <v>0</v>
      </c>
      <c r="AH35" s="45">
        <f>IF(OR(A35="",G35=""),"",IF(G35=0,"",SUMIFS('Recipe Ingredients'!$T$5:$T$1204,'Recipe Ingredients'!$B$5:$B$1204,A35)/G35))</f>
        <v>0</v>
      </c>
      <c r="AI35" s="45">
        <f>IF(OR(A35="",G35=""),"",IF(G35=0,"",SUMIFS('Recipe Ingredients'!$U$5:$U$1204,'Recipe Ingredients'!$B$5:$B$1204,A35)/G35))</f>
        <v>0</v>
      </c>
      <c r="AJ35" s="17">
        <f>IF(A35="","",IF(COUNTIFS('Recipe Ingredients'!$B$5:$B$1204,A35,'Recipe Ingredients'!$V$5:$V$1204,"&lt;&gt;",'Recipe Ingredients'!$V$5:$V$1204,"&lt;&gt;None")=0,"None listed",COUNTIFS('Recipe Ingredients'!$B$5:$B$1204,A35,'Recipe Ingredients'!$V$5:$V$1204,"&lt;&gt;",'Recipe Ingredients'!$V$5:$V$1204,"&lt;&gt;None")&amp;" ingredient(s) flagged"))</f>
        <v>0</v>
      </c>
      <c r="AK35" s="18">
        <f>IF(OR(AD35="",NOT(ISNUMBER(AD35))),"",COUNTIFS($AD$5:$AD$204,"&lt;"&amp;AD35)+COUNTIFS($AD$5:AD35,AD35))</f>
        <v>0</v>
      </c>
      <c r="AL35" s="18">
        <f>IF(B35="",0,IF(AND(OR(FilterDiet="Any",T35=FilterDiet),OR(FilterCategory="Any",C35=FilterCategory),OR(FilterMethod="Any",L35=FilterMethod),OR(FilterTime=0,AND(J35&lt;&gt;"",J35&lt;=FilterTime)),OR(FilterCost=0,AND(AD35&lt;&gt;"",ISNUMBER(AD35),AD35&lt;=FilterCost)),OR(FilterAllergen="Any",COUNTIFS('Recipe Ingredients'!$B$5:$B$1204,A35,'Recipe Ingredients'!$V$5:$V$1204,FilterAllergen)=0)),1,0))</f>
        <v>0</v>
      </c>
      <c r="AM35" s="18">
        <f>IF(AL35=0,"",SUM($AL$5:AL35))</f>
        <v>0</v>
      </c>
      <c r="AN35" s="18">
        <f>IF(B35="","",COUNTIFS($AZ$5:$AZ$204,"&gt;"&amp;AZ35)+COUNTIFS($AZ$5:AZ35,AZ35))</f>
        <v>0</v>
      </c>
      <c r="AO35" s="18">
        <f>IF(B35="","",COUNTIFS($AE$5:$AE$204,"&gt;"&amp;AE35)+COUNTIFS($AE$5:AE35,AE35))</f>
        <v>0</v>
      </c>
      <c r="AP35" s="18">
        <f>IF(B35="","",COUNTIFS($AF$5:$AF$204,"&gt;"&amp;AF35)+COUNTIFS($AF$5:AF35,AF35))</f>
        <v>0</v>
      </c>
      <c r="AQ35" s="18">
        <f>IF(B35="","",COUNTIFS($AI$5:$AI$204,"&gt;"&amp;AI35)+COUNTIFS($AI$5:AI35,AI35))</f>
        <v>0</v>
      </c>
      <c r="AR35" s="18">
        <f>IF(B35="","",COUNTIFS($AS$5:$AS$204,"&gt;"&amp;AS35)+COUNTIFS($AS$5:AS35,AS35))</f>
        <v>0</v>
      </c>
      <c r="AS35" s="45">
        <f>IF(B35="","",IF(BB35="",99999,BC35))</f>
        <v>0</v>
      </c>
      <c r="AT35" s="45">
        <f>IF(A35="",0,SUMIFS('Meal Plan'!$L$5:$L$504,'Meal Plan'!$G$5:$G$504,A35,'Meal Plan'!$B$5:$B$504,"&gt;="&amp;ShopFrom,'Meal Plan'!$B$5:$B$504,"&lt;="&amp;ShopTo,'Meal Plan'!$M$5:$M$504,"Yes"))</f>
        <v>0</v>
      </c>
      <c r="AU35" s="25">
        <f>IF(OR(A35="",AC35=""),"",AC35*AT35)</f>
        <v>0</v>
      </c>
      <c r="AV35" s="18">
        <f>IF(A35="","",COUNTIFS('Recipe Ingredients'!$B$5:$B$1204,A35,'Recipe Ingredients'!$N$5:$N$1204,""))</f>
        <v>0</v>
      </c>
      <c r="AZ35" s="18">
        <f>IF(A35="","",COUNTIFS('Meal Plan'!$G$5:$G$504,A35))</f>
        <v>0</v>
      </c>
      <c r="BA35" s="18">
        <f>IF(A35="","",COUNTIFS('Meal Plan'!$G$5:$G$504,A35,'Meal Plan'!$N$5:$N$504,"Prepared")+COUNTIFS('Meal Plan'!$G$5:$G$504,A35,'Meal Plan'!$N$5:$N$504,"Eaten"))</f>
        <v>0</v>
      </c>
      <c r="BB35" s="19">
        <f>IF(A35="","",IF(COUNTIFS('Meal Plan'!$G$5:$G$504,A35,'Meal Plan'!$B$5:$B$504,"&lt;="&amp;TODAY())=0,"",SUMPRODUCT(MAX(('Meal Plan'!$G$5:$G$504=A35)*('Meal Plan'!$B$5:$B$504&lt;=TODAY())*'Meal Plan'!$B$5:$B$504))))</f>
        <v>0</v>
      </c>
      <c r="BC35" s="18">
        <f>IF(BB35="","",TODAY()-BB35)</f>
        <v>0</v>
      </c>
      <c r="BF35" s="31">
        <f>IF(B35="","",IF(G35="","Add - how many does it serve?",IF(AB35=0,"Add - no ingredients listed yet",IF(AV35&gt;0,"Check - "&amp;AV35&amp;" ingredient(s) have no price",IF(AND(BC35&lt;&gt;"",BC35&lt;RotationGapDays),"Cooked recently","OK")))))</f>
        <v>0</v>
      </c>
    </row>
    <row r="36" spans="1:58">
      <c r="A36" s="39">
        <f>IF(B36="","",RecipePrefix&amp;TEXT(ROW()-4,"0000"))</f>
        <v>0</v>
      </c>
      <c r="J36" s="18">
        <f>IF(B36="","",IF(AND(H36="",I36=""),"",IF(H36="",0,H36)+IF(I36="",0,I36)))</f>
        <v>0</v>
      </c>
      <c r="K36" s="46">
        <f>IF(J36="","",IF(J36&lt;=30,"Yes","No"))</f>
        <v>0</v>
      </c>
      <c r="AB36" s="18">
        <f>IF(A36="","",COUNTIFS('Recipe Ingredients'!$B$5:$B$1204,A36))</f>
        <v>0</v>
      </c>
      <c r="AC36" s="25">
        <f>IF(A36="","",SUMIFS('Recipe Ingredients'!$N$5:$N$1204,'Recipe Ingredients'!$B$5:$B$1204,A36))</f>
        <v>0</v>
      </c>
      <c r="AD36" s="25">
        <f>IF(OR(AC36="",G36=""),"",IF(G36=0,"",AC36/G36))</f>
        <v>0</v>
      </c>
      <c r="AE36" s="30">
        <f>IF(OR(A36="",G36=""),"",IF(G36=0,"",SUMIFS('Recipe Ingredients'!$Q$5:$Q$1204,'Recipe Ingredients'!$B$5:$B$1204,A36)/G36))</f>
        <v>0</v>
      </c>
      <c r="AF36" s="45">
        <f>IF(OR(A36="",G36=""),"",IF(G36=0,"",SUMIFS('Recipe Ingredients'!$R$5:$R$1204,'Recipe Ingredients'!$B$5:$B$1204,A36)/G36))</f>
        <v>0</v>
      </c>
      <c r="AG36" s="45">
        <f>IF(OR(A36="",G36=""),"",IF(G36=0,"",SUMIFS('Recipe Ingredients'!$S$5:$S$1204,'Recipe Ingredients'!$B$5:$B$1204,A36)/G36))</f>
        <v>0</v>
      </c>
      <c r="AH36" s="45">
        <f>IF(OR(A36="",G36=""),"",IF(G36=0,"",SUMIFS('Recipe Ingredients'!$T$5:$T$1204,'Recipe Ingredients'!$B$5:$B$1204,A36)/G36))</f>
        <v>0</v>
      </c>
      <c r="AI36" s="45">
        <f>IF(OR(A36="",G36=""),"",IF(G36=0,"",SUMIFS('Recipe Ingredients'!$U$5:$U$1204,'Recipe Ingredients'!$B$5:$B$1204,A36)/G36))</f>
        <v>0</v>
      </c>
      <c r="AJ36" s="17">
        <f>IF(A36="","",IF(COUNTIFS('Recipe Ingredients'!$B$5:$B$1204,A36,'Recipe Ingredients'!$V$5:$V$1204,"&lt;&gt;",'Recipe Ingredients'!$V$5:$V$1204,"&lt;&gt;None")=0,"None listed",COUNTIFS('Recipe Ingredients'!$B$5:$B$1204,A36,'Recipe Ingredients'!$V$5:$V$1204,"&lt;&gt;",'Recipe Ingredients'!$V$5:$V$1204,"&lt;&gt;None")&amp;" ingredient(s) flagged"))</f>
        <v>0</v>
      </c>
      <c r="AK36" s="18">
        <f>IF(OR(AD36="",NOT(ISNUMBER(AD36))),"",COUNTIFS($AD$5:$AD$204,"&lt;"&amp;AD36)+COUNTIFS($AD$5:AD36,AD36))</f>
        <v>0</v>
      </c>
      <c r="AL36" s="18">
        <f>IF(B36="",0,IF(AND(OR(FilterDiet="Any",T36=FilterDiet),OR(FilterCategory="Any",C36=FilterCategory),OR(FilterMethod="Any",L36=FilterMethod),OR(FilterTime=0,AND(J36&lt;&gt;"",J36&lt;=FilterTime)),OR(FilterCost=0,AND(AD36&lt;&gt;"",ISNUMBER(AD36),AD36&lt;=FilterCost)),OR(FilterAllergen="Any",COUNTIFS('Recipe Ingredients'!$B$5:$B$1204,A36,'Recipe Ingredients'!$V$5:$V$1204,FilterAllergen)=0)),1,0))</f>
        <v>0</v>
      </c>
      <c r="AM36" s="18">
        <f>IF(AL36=0,"",SUM($AL$5:AL36))</f>
        <v>0</v>
      </c>
      <c r="AN36" s="18">
        <f>IF(B36="","",COUNTIFS($AZ$5:$AZ$204,"&gt;"&amp;AZ36)+COUNTIFS($AZ$5:AZ36,AZ36))</f>
        <v>0</v>
      </c>
      <c r="AO36" s="18">
        <f>IF(B36="","",COUNTIFS($AE$5:$AE$204,"&gt;"&amp;AE36)+COUNTIFS($AE$5:AE36,AE36))</f>
        <v>0</v>
      </c>
      <c r="AP36" s="18">
        <f>IF(B36="","",COUNTIFS($AF$5:$AF$204,"&gt;"&amp;AF36)+COUNTIFS($AF$5:AF36,AF36))</f>
        <v>0</v>
      </c>
      <c r="AQ36" s="18">
        <f>IF(B36="","",COUNTIFS($AI$5:$AI$204,"&gt;"&amp;AI36)+COUNTIFS($AI$5:AI36,AI36))</f>
        <v>0</v>
      </c>
      <c r="AR36" s="18">
        <f>IF(B36="","",COUNTIFS($AS$5:$AS$204,"&gt;"&amp;AS36)+COUNTIFS($AS$5:AS36,AS36))</f>
        <v>0</v>
      </c>
      <c r="AS36" s="45">
        <f>IF(B36="","",IF(BB36="",99999,BC36))</f>
        <v>0</v>
      </c>
      <c r="AT36" s="45">
        <f>IF(A36="",0,SUMIFS('Meal Plan'!$L$5:$L$504,'Meal Plan'!$G$5:$G$504,A36,'Meal Plan'!$B$5:$B$504,"&gt;="&amp;ShopFrom,'Meal Plan'!$B$5:$B$504,"&lt;="&amp;ShopTo,'Meal Plan'!$M$5:$M$504,"Yes"))</f>
        <v>0</v>
      </c>
      <c r="AU36" s="25">
        <f>IF(OR(A36="",AC36=""),"",AC36*AT36)</f>
        <v>0</v>
      </c>
      <c r="AV36" s="18">
        <f>IF(A36="","",COUNTIFS('Recipe Ingredients'!$B$5:$B$1204,A36,'Recipe Ingredients'!$N$5:$N$1204,""))</f>
        <v>0</v>
      </c>
      <c r="AZ36" s="18">
        <f>IF(A36="","",COUNTIFS('Meal Plan'!$G$5:$G$504,A36))</f>
        <v>0</v>
      </c>
      <c r="BA36" s="18">
        <f>IF(A36="","",COUNTIFS('Meal Plan'!$G$5:$G$504,A36,'Meal Plan'!$N$5:$N$504,"Prepared")+COUNTIFS('Meal Plan'!$G$5:$G$504,A36,'Meal Plan'!$N$5:$N$504,"Eaten"))</f>
        <v>0</v>
      </c>
      <c r="BB36" s="19">
        <f>IF(A36="","",IF(COUNTIFS('Meal Plan'!$G$5:$G$504,A36,'Meal Plan'!$B$5:$B$504,"&lt;="&amp;TODAY())=0,"",SUMPRODUCT(MAX(('Meal Plan'!$G$5:$G$504=A36)*('Meal Plan'!$B$5:$B$504&lt;=TODAY())*'Meal Plan'!$B$5:$B$504))))</f>
        <v>0</v>
      </c>
      <c r="BC36" s="18">
        <f>IF(BB36="","",TODAY()-BB36)</f>
        <v>0</v>
      </c>
      <c r="BF36" s="31">
        <f>IF(B36="","",IF(G36="","Add - how many does it serve?",IF(AB36=0,"Add - no ingredients listed yet",IF(AV36&gt;0,"Check - "&amp;AV36&amp;" ingredient(s) have no price",IF(AND(BC36&lt;&gt;"",BC36&lt;RotationGapDays),"Cooked recently","OK")))))</f>
        <v>0</v>
      </c>
    </row>
    <row r="37" spans="1:58">
      <c r="A37" s="39">
        <f>IF(B37="","",RecipePrefix&amp;TEXT(ROW()-4,"0000"))</f>
        <v>0</v>
      </c>
      <c r="J37" s="18">
        <f>IF(B37="","",IF(AND(H37="",I37=""),"",IF(H37="",0,H37)+IF(I37="",0,I37)))</f>
        <v>0</v>
      </c>
      <c r="K37" s="46">
        <f>IF(J37="","",IF(J37&lt;=30,"Yes","No"))</f>
        <v>0</v>
      </c>
      <c r="AB37" s="18">
        <f>IF(A37="","",COUNTIFS('Recipe Ingredients'!$B$5:$B$1204,A37))</f>
        <v>0</v>
      </c>
      <c r="AC37" s="25">
        <f>IF(A37="","",SUMIFS('Recipe Ingredients'!$N$5:$N$1204,'Recipe Ingredients'!$B$5:$B$1204,A37))</f>
        <v>0</v>
      </c>
      <c r="AD37" s="25">
        <f>IF(OR(AC37="",G37=""),"",IF(G37=0,"",AC37/G37))</f>
        <v>0</v>
      </c>
      <c r="AE37" s="30">
        <f>IF(OR(A37="",G37=""),"",IF(G37=0,"",SUMIFS('Recipe Ingredients'!$Q$5:$Q$1204,'Recipe Ingredients'!$B$5:$B$1204,A37)/G37))</f>
        <v>0</v>
      </c>
      <c r="AF37" s="45">
        <f>IF(OR(A37="",G37=""),"",IF(G37=0,"",SUMIFS('Recipe Ingredients'!$R$5:$R$1204,'Recipe Ingredients'!$B$5:$B$1204,A37)/G37))</f>
        <v>0</v>
      </c>
      <c r="AG37" s="45">
        <f>IF(OR(A37="",G37=""),"",IF(G37=0,"",SUMIFS('Recipe Ingredients'!$S$5:$S$1204,'Recipe Ingredients'!$B$5:$B$1204,A37)/G37))</f>
        <v>0</v>
      </c>
      <c r="AH37" s="45">
        <f>IF(OR(A37="",G37=""),"",IF(G37=0,"",SUMIFS('Recipe Ingredients'!$T$5:$T$1204,'Recipe Ingredients'!$B$5:$B$1204,A37)/G37))</f>
        <v>0</v>
      </c>
      <c r="AI37" s="45">
        <f>IF(OR(A37="",G37=""),"",IF(G37=0,"",SUMIFS('Recipe Ingredients'!$U$5:$U$1204,'Recipe Ingredients'!$B$5:$B$1204,A37)/G37))</f>
        <v>0</v>
      </c>
      <c r="AJ37" s="17">
        <f>IF(A37="","",IF(COUNTIFS('Recipe Ingredients'!$B$5:$B$1204,A37,'Recipe Ingredients'!$V$5:$V$1204,"&lt;&gt;",'Recipe Ingredients'!$V$5:$V$1204,"&lt;&gt;None")=0,"None listed",COUNTIFS('Recipe Ingredients'!$B$5:$B$1204,A37,'Recipe Ingredients'!$V$5:$V$1204,"&lt;&gt;",'Recipe Ingredients'!$V$5:$V$1204,"&lt;&gt;None")&amp;" ingredient(s) flagged"))</f>
        <v>0</v>
      </c>
      <c r="AK37" s="18">
        <f>IF(OR(AD37="",NOT(ISNUMBER(AD37))),"",COUNTIFS($AD$5:$AD$204,"&lt;"&amp;AD37)+COUNTIFS($AD$5:AD37,AD37))</f>
        <v>0</v>
      </c>
      <c r="AL37" s="18">
        <f>IF(B37="",0,IF(AND(OR(FilterDiet="Any",T37=FilterDiet),OR(FilterCategory="Any",C37=FilterCategory),OR(FilterMethod="Any",L37=FilterMethod),OR(FilterTime=0,AND(J37&lt;&gt;"",J37&lt;=FilterTime)),OR(FilterCost=0,AND(AD37&lt;&gt;"",ISNUMBER(AD37),AD37&lt;=FilterCost)),OR(FilterAllergen="Any",COUNTIFS('Recipe Ingredients'!$B$5:$B$1204,A37,'Recipe Ingredients'!$V$5:$V$1204,FilterAllergen)=0)),1,0))</f>
        <v>0</v>
      </c>
      <c r="AM37" s="18">
        <f>IF(AL37=0,"",SUM($AL$5:AL37))</f>
        <v>0</v>
      </c>
      <c r="AN37" s="18">
        <f>IF(B37="","",COUNTIFS($AZ$5:$AZ$204,"&gt;"&amp;AZ37)+COUNTIFS($AZ$5:AZ37,AZ37))</f>
        <v>0</v>
      </c>
      <c r="AO37" s="18">
        <f>IF(B37="","",COUNTIFS($AE$5:$AE$204,"&gt;"&amp;AE37)+COUNTIFS($AE$5:AE37,AE37))</f>
        <v>0</v>
      </c>
      <c r="AP37" s="18">
        <f>IF(B37="","",COUNTIFS($AF$5:$AF$204,"&gt;"&amp;AF37)+COUNTIFS($AF$5:AF37,AF37))</f>
        <v>0</v>
      </c>
      <c r="AQ37" s="18">
        <f>IF(B37="","",COUNTIFS($AI$5:$AI$204,"&gt;"&amp;AI37)+COUNTIFS($AI$5:AI37,AI37))</f>
        <v>0</v>
      </c>
      <c r="AR37" s="18">
        <f>IF(B37="","",COUNTIFS($AS$5:$AS$204,"&gt;"&amp;AS37)+COUNTIFS($AS$5:AS37,AS37))</f>
        <v>0</v>
      </c>
      <c r="AS37" s="45">
        <f>IF(B37="","",IF(BB37="",99999,BC37))</f>
        <v>0</v>
      </c>
      <c r="AT37" s="45">
        <f>IF(A37="",0,SUMIFS('Meal Plan'!$L$5:$L$504,'Meal Plan'!$G$5:$G$504,A37,'Meal Plan'!$B$5:$B$504,"&gt;="&amp;ShopFrom,'Meal Plan'!$B$5:$B$504,"&lt;="&amp;ShopTo,'Meal Plan'!$M$5:$M$504,"Yes"))</f>
        <v>0</v>
      </c>
      <c r="AU37" s="25">
        <f>IF(OR(A37="",AC37=""),"",AC37*AT37)</f>
        <v>0</v>
      </c>
      <c r="AV37" s="18">
        <f>IF(A37="","",COUNTIFS('Recipe Ingredients'!$B$5:$B$1204,A37,'Recipe Ingredients'!$N$5:$N$1204,""))</f>
        <v>0</v>
      </c>
      <c r="AZ37" s="18">
        <f>IF(A37="","",COUNTIFS('Meal Plan'!$G$5:$G$504,A37))</f>
        <v>0</v>
      </c>
      <c r="BA37" s="18">
        <f>IF(A37="","",COUNTIFS('Meal Plan'!$G$5:$G$504,A37,'Meal Plan'!$N$5:$N$504,"Prepared")+COUNTIFS('Meal Plan'!$G$5:$G$504,A37,'Meal Plan'!$N$5:$N$504,"Eaten"))</f>
        <v>0</v>
      </c>
      <c r="BB37" s="19">
        <f>IF(A37="","",IF(COUNTIFS('Meal Plan'!$G$5:$G$504,A37,'Meal Plan'!$B$5:$B$504,"&lt;="&amp;TODAY())=0,"",SUMPRODUCT(MAX(('Meal Plan'!$G$5:$G$504=A37)*('Meal Plan'!$B$5:$B$504&lt;=TODAY())*'Meal Plan'!$B$5:$B$504))))</f>
        <v>0</v>
      </c>
      <c r="BC37" s="18">
        <f>IF(BB37="","",TODAY()-BB37)</f>
        <v>0</v>
      </c>
      <c r="BF37" s="31">
        <f>IF(B37="","",IF(G37="","Add - how many does it serve?",IF(AB37=0,"Add - no ingredients listed yet",IF(AV37&gt;0,"Check - "&amp;AV37&amp;" ingredient(s) have no price",IF(AND(BC37&lt;&gt;"",BC37&lt;RotationGapDays),"Cooked recently","OK")))))</f>
        <v>0</v>
      </c>
    </row>
    <row r="38" spans="1:58">
      <c r="A38" s="39">
        <f>IF(B38="","",RecipePrefix&amp;TEXT(ROW()-4,"0000"))</f>
        <v>0</v>
      </c>
      <c r="J38" s="18">
        <f>IF(B38="","",IF(AND(H38="",I38=""),"",IF(H38="",0,H38)+IF(I38="",0,I38)))</f>
        <v>0</v>
      </c>
      <c r="K38" s="46">
        <f>IF(J38="","",IF(J38&lt;=30,"Yes","No"))</f>
        <v>0</v>
      </c>
      <c r="AB38" s="18">
        <f>IF(A38="","",COUNTIFS('Recipe Ingredients'!$B$5:$B$1204,A38))</f>
        <v>0</v>
      </c>
      <c r="AC38" s="25">
        <f>IF(A38="","",SUMIFS('Recipe Ingredients'!$N$5:$N$1204,'Recipe Ingredients'!$B$5:$B$1204,A38))</f>
        <v>0</v>
      </c>
      <c r="AD38" s="25">
        <f>IF(OR(AC38="",G38=""),"",IF(G38=0,"",AC38/G38))</f>
        <v>0</v>
      </c>
      <c r="AE38" s="30">
        <f>IF(OR(A38="",G38=""),"",IF(G38=0,"",SUMIFS('Recipe Ingredients'!$Q$5:$Q$1204,'Recipe Ingredients'!$B$5:$B$1204,A38)/G38))</f>
        <v>0</v>
      </c>
      <c r="AF38" s="45">
        <f>IF(OR(A38="",G38=""),"",IF(G38=0,"",SUMIFS('Recipe Ingredients'!$R$5:$R$1204,'Recipe Ingredients'!$B$5:$B$1204,A38)/G38))</f>
        <v>0</v>
      </c>
      <c r="AG38" s="45">
        <f>IF(OR(A38="",G38=""),"",IF(G38=0,"",SUMIFS('Recipe Ingredients'!$S$5:$S$1204,'Recipe Ingredients'!$B$5:$B$1204,A38)/G38))</f>
        <v>0</v>
      </c>
      <c r="AH38" s="45">
        <f>IF(OR(A38="",G38=""),"",IF(G38=0,"",SUMIFS('Recipe Ingredients'!$T$5:$T$1204,'Recipe Ingredients'!$B$5:$B$1204,A38)/G38))</f>
        <v>0</v>
      </c>
      <c r="AI38" s="45">
        <f>IF(OR(A38="",G38=""),"",IF(G38=0,"",SUMIFS('Recipe Ingredients'!$U$5:$U$1204,'Recipe Ingredients'!$B$5:$B$1204,A38)/G38))</f>
        <v>0</v>
      </c>
      <c r="AJ38" s="17">
        <f>IF(A38="","",IF(COUNTIFS('Recipe Ingredients'!$B$5:$B$1204,A38,'Recipe Ingredients'!$V$5:$V$1204,"&lt;&gt;",'Recipe Ingredients'!$V$5:$V$1204,"&lt;&gt;None")=0,"None listed",COUNTIFS('Recipe Ingredients'!$B$5:$B$1204,A38,'Recipe Ingredients'!$V$5:$V$1204,"&lt;&gt;",'Recipe Ingredients'!$V$5:$V$1204,"&lt;&gt;None")&amp;" ingredient(s) flagged"))</f>
        <v>0</v>
      </c>
      <c r="AK38" s="18">
        <f>IF(OR(AD38="",NOT(ISNUMBER(AD38))),"",COUNTIFS($AD$5:$AD$204,"&lt;"&amp;AD38)+COUNTIFS($AD$5:AD38,AD38))</f>
        <v>0</v>
      </c>
      <c r="AL38" s="18">
        <f>IF(B38="",0,IF(AND(OR(FilterDiet="Any",T38=FilterDiet),OR(FilterCategory="Any",C38=FilterCategory),OR(FilterMethod="Any",L38=FilterMethod),OR(FilterTime=0,AND(J38&lt;&gt;"",J38&lt;=FilterTime)),OR(FilterCost=0,AND(AD38&lt;&gt;"",ISNUMBER(AD38),AD38&lt;=FilterCost)),OR(FilterAllergen="Any",COUNTIFS('Recipe Ingredients'!$B$5:$B$1204,A38,'Recipe Ingredients'!$V$5:$V$1204,FilterAllergen)=0)),1,0))</f>
        <v>0</v>
      </c>
      <c r="AM38" s="18">
        <f>IF(AL38=0,"",SUM($AL$5:AL38))</f>
        <v>0</v>
      </c>
      <c r="AN38" s="18">
        <f>IF(B38="","",COUNTIFS($AZ$5:$AZ$204,"&gt;"&amp;AZ38)+COUNTIFS($AZ$5:AZ38,AZ38))</f>
        <v>0</v>
      </c>
      <c r="AO38" s="18">
        <f>IF(B38="","",COUNTIFS($AE$5:$AE$204,"&gt;"&amp;AE38)+COUNTIFS($AE$5:AE38,AE38))</f>
        <v>0</v>
      </c>
      <c r="AP38" s="18">
        <f>IF(B38="","",COUNTIFS($AF$5:$AF$204,"&gt;"&amp;AF38)+COUNTIFS($AF$5:AF38,AF38))</f>
        <v>0</v>
      </c>
      <c r="AQ38" s="18">
        <f>IF(B38="","",COUNTIFS($AI$5:$AI$204,"&gt;"&amp;AI38)+COUNTIFS($AI$5:AI38,AI38))</f>
        <v>0</v>
      </c>
      <c r="AR38" s="18">
        <f>IF(B38="","",COUNTIFS($AS$5:$AS$204,"&gt;"&amp;AS38)+COUNTIFS($AS$5:AS38,AS38))</f>
        <v>0</v>
      </c>
      <c r="AS38" s="45">
        <f>IF(B38="","",IF(BB38="",99999,BC38))</f>
        <v>0</v>
      </c>
      <c r="AT38" s="45">
        <f>IF(A38="",0,SUMIFS('Meal Plan'!$L$5:$L$504,'Meal Plan'!$G$5:$G$504,A38,'Meal Plan'!$B$5:$B$504,"&gt;="&amp;ShopFrom,'Meal Plan'!$B$5:$B$504,"&lt;="&amp;ShopTo,'Meal Plan'!$M$5:$M$504,"Yes"))</f>
        <v>0</v>
      </c>
      <c r="AU38" s="25">
        <f>IF(OR(A38="",AC38=""),"",AC38*AT38)</f>
        <v>0</v>
      </c>
      <c r="AV38" s="18">
        <f>IF(A38="","",COUNTIFS('Recipe Ingredients'!$B$5:$B$1204,A38,'Recipe Ingredients'!$N$5:$N$1204,""))</f>
        <v>0</v>
      </c>
      <c r="AZ38" s="18">
        <f>IF(A38="","",COUNTIFS('Meal Plan'!$G$5:$G$504,A38))</f>
        <v>0</v>
      </c>
      <c r="BA38" s="18">
        <f>IF(A38="","",COUNTIFS('Meal Plan'!$G$5:$G$504,A38,'Meal Plan'!$N$5:$N$504,"Prepared")+COUNTIFS('Meal Plan'!$G$5:$G$504,A38,'Meal Plan'!$N$5:$N$504,"Eaten"))</f>
        <v>0</v>
      </c>
      <c r="BB38" s="19">
        <f>IF(A38="","",IF(COUNTIFS('Meal Plan'!$G$5:$G$504,A38,'Meal Plan'!$B$5:$B$504,"&lt;="&amp;TODAY())=0,"",SUMPRODUCT(MAX(('Meal Plan'!$G$5:$G$504=A38)*('Meal Plan'!$B$5:$B$504&lt;=TODAY())*'Meal Plan'!$B$5:$B$504))))</f>
        <v>0</v>
      </c>
      <c r="BC38" s="18">
        <f>IF(BB38="","",TODAY()-BB38)</f>
        <v>0</v>
      </c>
      <c r="BF38" s="31">
        <f>IF(B38="","",IF(G38="","Add - how many does it serve?",IF(AB38=0,"Add - no ingredients listed yet",IF(AV38&gt;0,"Check - "&amp;AV38&amp;" ingredient(s) have no price",IF(AND(BC38&lt;&gt;"",BC38&lt;RotationGapDays),"Cooked recently","OK")))))</f>
        <v>0</v>
      </c>
    </row>
    <row r="39" spans="1:58">
      <c r="A39" s="39">
        <f>IF(B39="","",RecipePrefix&amp;TEXT(ROW()-4,"0000"))</f>
        <v>0</v>
      </c>
      <c r="J39" s="18">
        <f>IF(B39="","",IF(AND(H39="",I39=""),"",IF(H39="",0,H39)+IF(I39="",0,I39)))</f>
        <v>0</v>
      </c>
      <c r="K39" s="46">
        <f>IF(J39="","",IF(J39&lt;=30,"Yes","No"))</f>
        <v>0</v>
      </c>
      <c r="AB39" s="18">
        <f>IF(A39="","",COUNTIFS('Recipe Ingredients'!$B$5:$B$1204,A39))</f>
        <v>0</v>
      </c>
      <c r="AC39" s="25">
        <f>IF(A39="","",SUMIFS('Recipe Ingredients'!$N$5:$N$1204,'Recipe Ingredients'!$B$5:$B$1204,A39))</f>
        <v>0</v>
      </c>
      <c r="AD39" s="25">
        <f>IF(OR(AC39="",G39=""),"",IF(G39=0,"",AC39/G39))</f>
        <v>0</v>
      </c>
      <c r="AE39" s="30">
        <f>IF(OR(A39="",G39=""),"",IF(G39=0,"",SUMIFS('Recipe Ingredients'!$Q$5:$Q$1204,'Recipe Ingredients'!$B$5:$B$1204,A39)/G39))</f>
        <v>0</v>
      </c>
      <c r="AF39" s="45">
        <f>IF(OR(A39="",G39=""),"",IF(G39=0,"",SUMIFS('Recipe Ingredients'!$R$5:$R$1204,'Recipe Ingredients'!$B$5:$B$1204,A39)/G39))</f>
        <v>0</v>
      </c>
      <c r="AG39" s="45">
        <f>IF(OR(A39="",G39=""),"",IF(G39=0,"",SUMIFS('Recipe Ingredients'!$S$5:$S$1204,'Recipe Ingredients'!$B$5:$B$1204,A39)/G39))</f>
        <v>0</v>
      </c>
      <c r="AH39" s="45">
        <f>IF(OR(A39="",G39=""),"",IF(G39=0,"",SUMIFS('Recipe Ingredients'!$T$5:$T$1204,'Recipe Ingredients'!$B$5:$B$1204,A39)/G39))</f>
        <v>0</v>
      </c>
      <c r="AI39" s="45">
        <f>IF(OR(A39="",G39=""),"",IF(G39=0,"",SUMIFS('Recipe Ingredients'!$U$5:$U$1204,'Recipe Ingredients'!$B$5:$B$1204,A39)/G39))</f>
        <v>0</v>
      </c>
      <c r="AJ39" s="17">
        <f>IF(A39="","",IF(COUNTIFS('Recipe Ingredients'!$B$5:$B$1204,A39,'Recipe Ingredients'!$V$5:$V$1204,"&lt;&gt;",'Recipe Ingredients'!$V$5:$V$1204,"&lt;&gt;None")=0,"None listed",COUNTIFS('Recipe Ingredients'!$B$5:$B$1204,A39,'Recipe Ingredients'!$V$5:$V$1204,"&lt;&gt;",'Recipe Ingredients'!$V$5:$V$1204,"&lt;&gt;None")&amp;" ingredient(s) flagged"))</f>
        <v>0</v>
      </c>
      <c r="AK39" s="18">
        <f>IF(OR(AD39="",NOT(ISNUMBER(AD39))),"",COUNTIFS($AD$5:$AD$204,"&lt;"&amp;AD39)+COUNTIFS($AD$5:AD39,AD39))</f>
        <v>0</v>
      </c>
      <c r="AL39" s="18">
        <f>IF(B39="",0,IF(AND(OR(FilterDiet="Any",T39=FilterDiet),OR(FilterCategory="Any",C39=FilterCategory),OR(FilterMethod="Any",L39=FilterMethod),OR(FilterTime=0,AND(J39&lt;&gt;"",J39&lt;=FilterTime)),OR(FilterCost=0,AND(AD39&lt;&gt;"",ISNUMBER(AD39),AD39&lt;=FilterCost)),OR(FilterAllergen="Any",COUNTIFS('Recipe Ingredients'!$B$5:$B$1204,A39,'Recipe Ingredients'!$V$5:$V$1204,FilterAllergen)=0)),1,0))</f>
        <v>0</v>
      </c>
      <c r="AM39" s="18">
        <f>IF(AL39=0,"",SUM($AL$5:AL39))</f>
        <v>0</v>
      </c>
      <c r="AN39" s="18">
        <f>IF(B39="","",COUNTIFS($AZ$5:$AZ$204,"&gt;"&amp;AZ39)+COUNTIFS($AZ$5:AZ39,AZ39))</f>
        <v>0</v>
      </c>
      <c r="AO39" s="18">
        <f>IF(B39="","",COUNTIFS($AE$5:$AE$204,"&gt;"&amp;AE39)+COUNTIFS($AE$5:AE39,AE39))</f>
        <v>0</v>
      </c>
      <c r="AP39" s="18">
        <f>IF(B39="","",COUNTIFS($AF$5:$AF$204,"&gt;"&amp;AF39)+COUNTIFS($AF$5:AF39,AF39))</f>
        <v>0</v>
      </c>
      <c r="AQ39" s="18">
        <f>IF(B39="","",COUNTIFS($AI$5:$AI$204,"&gt;"&amp;AI39)+COUNTIFS($AI$5:AI39,AI39))</f>
        <v>0</v>
      </c>
      <c r="AR39" s="18">
        <f>IF(B39="","",COUNTIFS($AS$5:$AS$204,"&gt;"&amp;AS39)+COUNTIFS($AS$5:AS39,AS39))</f>
        <v>0</v>
      </c>
      <c r="AS39" s="45">
        <f>IF(B39="","",IF(BB39="",99999,BC39))</f>
        <v>0</v>
      </c>
      <c r="AT39" s="45">
        <f>IF(A39="",0,SUMIFS('Meal Plan'!$L$5:$L$504,'Meal Plan'!$G$5:$G$504,A39,'Meal Plan'!$B$5:$B$504,"&gt;="&amp;ShopFrom,'Meal Plan'!$B$5:$B$504,"&lt;="&amp;ShopTo,'Meal Plan'!$M$5:$M$504,"Yes"))</f>
        <v>0</v>
      </c>
      <c r="AU39" s="25">
        <f>IF(OR(A39="",AC39=""),"",AC39*AT39)</f>
        <v>0</v>
      </c>
      <c r="AV39" s="18">
        <f>IF(A39="","",COUNTIFS('Recipe Ingredients'!$B$5:$B$1204,A39,'Recipe Ingredients'!$N$5:$N$1204,""))</f>
        <v>0</v>
      </c>
      <c r="AZ39" s="18">
        <f>IF(A39="","",COUNTIFS('Meal Plan'!$G$5:$G$504,A39))</f>
        <v>0</v>
      </c>
      <c r="BA39" s="18">
        <f>IF(A39="","",COUNTIFS('Meal Plan'!$G$5:$G$504,A39,'Meal Plan'!$N$5:$N$504,"Prepared")+COUNTIFS('Meal Plan'!$G$5:$G$504,A39,'Meal Plan'!$N$5:$N$504,"Eaten"))</f>
        <v>0</v>
      </c>
      <c r="BB39" s="19">
        <f>IF(A39="","",IF(COUNTIFS('Meal Plan'!$G$5:$G$504,A39,'Meal Plan'!$B$5:$B$504,"&lt;="&amp;TODAY())=0,"",SUMPRODUCT(MAX(('Meal Plan'!$G$5:$G$504=A39)*('Meal Plan'!$B$5:$B$504&lt;=TODAY())*'Meal Plan'!$B$5:$B$504))))</f>
        <v>0</v>
      </c>
      <c r="BC39" s="18">
        <f>IF(BB39="","",TODAY()-BB39)</f>
        <v>0</v>
      </c>
      <c r="BF39" s="31">
        <f>IF(B39="","",IF(G39="","Add - how many does it serve?",IF(AB39=0,"Add - no ingredients listed yet",IF(AV39&gt;0,"Check - "&amp;AV39&amp;" ingredient(s) have no price",IF(AND(BC39&lt;&gt;"",BC39&lt;RotationGapDays),"Cooked recently","OK")))))</f>
        <v>0</v>
      </c>
    </row>
    <row r="40" spans="1:58">
      <c r="A40" s="39">
        <f>IF(B40="","",RecipePrefix&amp;TEXT(ROW()-4,"0000"))</f>
        <v>0</v>
      </c>
      <c r="J40" s="18">
        <f>IF(B40="","",IF(AND(H40="",I40=""),"",IF(H40="",0,H40)+IF(I40="",0,I40)))</f>
        <v>0</v>
      </c>
      <c r="K40" s="46">
        <f>IF(J40="","",IF(J40&lt;=30,"Yes","No"))</f>
        <v>0</v>
      </c>
      <c r="AB40" s="18">
        <f>IF(A40="","",COUNTIFS('Recipe Ingredients'!$B$5:$B$1204,A40))</f>
        <v>0</v>
      </c>
      <c r="AC40" s="25">
        <f>IF(A40="","",SUMIFS('Recipe Ingredients'!$N$5:$N$1204,'Recipe Ingredients'!$B$5:$B$1204,A40))</f>
        <v>0</v>
      </c>
      <c r="AD40" s="25">
        <f>IF(OR(AC40="",G40=""),"",IF(G40=0,"",AC40/G40))</f>
        <v>0</v>
      </c>
      <c r="AE40" s="30">
        <f>IF(OR(A40="",G40=""),"",IF(G40=0,"",SUMIFS('Recipe Ingredients'!$Q$5:$Q$1204,'Recipe Ingredients'!$B$5:$B$1204,A40)/G40))</f>
        <v>0</v>
      </c>
      <c r="AF40" s="45">
        <f>IF(OR(A40="",G40=""),"",IF(G40=0,"",SUMIFS('Recipe Ingredients'!$R$5:$R$1204,'Recipe Ingredients'!$B$5:$B$1204,A40)/G40))</f>
        <v>0</v>
      </c>
      <c r="AG40" s="45">
        <f>IF(OR(A40="",G40=""),"",IF(G40=0,"",SUMIFS('Recipe Ingredients'!$S$5:$S$1204,'Recipe Ingredients'!$B$5:$B$1204,A40)/G40))</f>
        <v>0</v>
      </c>
      <c r="AH40" s="45">
        <f>IF(OR(A40="",G40=""),"",IF(G40=0,"",SUMIFS('Recipe Ingredients'!$T$5:$T$1204,'Recipe Ingredients'!$B$5:$B$1204,A40)/G40))</f>
        <v>0</v>
      </c>
      <c r="AI40" s="45">
        <f>IF(OR(A40="",G40=""),"",IF(G40=0,"",SUMIFS('Recipe Ingredients'!$U$5:$U$1204,'Recipe Ingredients'!$B$5:$B$1204,A40)/G40))</f>
        <v>0</v>
      </c>
      <c r="AJ40" s="17">
        <f>IF(A40="","",IF(COUNTIFS('Recipe Ingredients'!$B$5:$B$1204,A40,'Recipe Ingredients'!$V$5:$V$1204,"&lt;&gt;",'Recipe Ingredients'!$V$5:$V$1204,"&lt;&gt;None")=0,"None listed",COUNTIFS('Recipe Ingredients'!$B$5:$B$1204,A40,'Recipe Ingredients'!$V$5:$V$1204,"&lt;&gt;",'Recipe Ingredients'!$V$5:$V$1204,"&lt;&gt;None")&amp;" ingredient(s) flagged"))</f>
        <v>0</v>
      </c>
      <c r="AK40" s="18">
        <f>IF(OR(AD40="",NOT(ISNUMBER(AD40))),"",COUNTIFS($AD$5:$AD$204,"&lt;"&amp;AD40)+COUNTIFS($AD$5:AD40,AD40))</f>
        <v>0</v>
      </c>
      <c r="AL40" s="18">
        <f>IF(B40="",0,IF(AND(OR(FilterDiet="Any",T40=FilterDiet),OR(FilterCategory="Any",C40=FilterCategory),OR(FilterMethod="Any",L40=FilterMethod),OR(FilterTime=0,AND(J40&lt;&gt;"",J40&lt;=FilterTime)),OR(FilterCost=0,AND(AD40&lt;&gt;"",ISNUMBER(AD40),AD40&lt;=FilterCost)),OR(FilterAllergen="Any",COUNTIFS('Recipe Ingredients'!$B$5:$B$1204,A40,'Recipe Ingredients'!$V$5:$V$1204,FilterAllergen)=0)),1,0))</f>
        <v>0</v>
      </c>
      <c r="AM40" s="18">
        <f>IF(AL40=0,"",SUM($AL$5:AL40))</f>
        <v>0</v>
      </c>
      <c r="AN40" s="18">
        <f>IF(B40="","",COUNTIFS($AZ$5:$AZ$204,"&gt;"&amp;AZ40)+COUNTIFS($AZ$5:AZ40,AZ40))</f>
        <v>0</v>
      </c>
      <c r="AO40" s="18">
        <f>IF(B40="","",COUNTIFS($AE$5:$AE$204,"&gt;"&amp;AE40)+COUNTIFS($AE$5:AE40,AE40))</f>
        <v>0</v>
      </c>
      <c r="AP40" s="18">
        <f>IF(B40="","",COUNTIFS($AF$5:$AF$204,"&gt;"&amp;AF40)+COUNTIFS($AF$5:AF40,AF40))</f>
        <v>0</v>
      </c>
      <c r="AQ40" s="18">
        <f>IF(B40="","",COUNTIFS($AI$5:$AI$204,"&gt;"&amp;AI40)+COUNTIFS($AI$5:AI40,AI40))</f>
        <v>0</v>
      </c>
      <c r="AR40" s="18">
        <f>IF(B40="","",COUNTIFS($AS$5:$AS$204,"&gt;"&amp;AS40)+COUNTIFS($AS$5:AS40,AS40))</f>
        <v>0</v>
      </c>
      <c r="AS40" s="45">
        <f>IF(B40="","",IF(BB40="",99999,BC40))</f>
        <v>0</v>
      </c>
      <c r="AT40" s="45">
        <f>IF(A40="",0,SUMIFS('Meal Plan'!$L$5:$L$504,'Meal Plan'!$G$5:$G$504,A40,'Meal Plan'!$B$5:$B$504,"&gt;="&amp;ShopFrom,'Meal Plan'!$B$5:$B$504,"&lt;="&amp;ShopTo,'Meal Plan'!$M$5:$M$504,"Yes"))</f>
        <v>0</v>
      </c>
      <c r="AU40" s="25">
        <f>IF(OR(A40="",AC40=""),"",AC40*AT40)</f>
        <v>0</v>
      </c>
      <c r="AV40" s="18">
        <f>IF(A40="","",COUNTIFS('Recipe Ingredients'!$B$5:$B$1204,A40,'Recipe Ingredients'!$N$5:$N$1204,""))</f>
        <v>0</v>
      </c>
      <c r="AZ40" s="18">
        <f>IF(A40="","",COUNTIFS('Meal Plan'!$G$5:$G$504,A40))</f>
        <v>0</v>
      </c>
      <c r="BA40" s="18">
        <f>IF(A40="","",COUNTIFS('Meal Plan'!$G$5:$G$504,A40,'Meal Plan'!$N$5:$N$504,"Prepared")+COUNTIFS('Meal Plan'!$G$5:$G$504,A40,'Meal Plan'!$N$5:$N$504,"Eaten"))</f>
        <v>0</v>
      </c>
      <c r="BB40" s="19">
        <f>IF(A40="","",IF(COUNTIFS('Meal Plan'!$G$5:$G$504,A40,'Meal Plan'!$B$5:$B$504,"&lt;="&amp;TODAY())=0,"",SUMPRODUCT(MAX(('Meal Plan'!$G$5:$G$504=A40)*('Meal Plan'!$B$5:$B$504&lt;=TODAY())*'Meal Plan'!$B$5:$B$504))))</f>
        <v>0</v>
      </c>
      <c r="BC40" s="18">
        <f>IF(BB40="","",TODAY()-BB40)</f>
        <v>0</v>
      </c>
      <c r="BF40" s="31">
        <f>IF(B40="","",IF(G40="","Add - how many does it serve?",IF(AB40=0,"Add - no ingredients listed yet",IF(AV40&gt;0,"Check - "&amp;AV40&amp;" ingredient(s) have no price",IF(AND(BC40&lt;&gt;"",BC40&lt;RotationGapDays),"Cooked recently","OK")))))</f>
        <v>0</v>
      </c>
    </row>
    <row r="41" spans="1:58">
      <c r="A41" s="39">
        <f>IF(B41="","",RecipePrefix&amp;TEXT(ROW()-4,"0000"))</f>
        <v>0</v>
      </c>
      <c r="J41" s="18">
        <f>IF(B41="","",IF(AND(H41="",I41=""),"",IF(H41="",0,H41)+IF(I41="",0,I41)))</f>
        <v>0</v>
      </c>
      <c r="K41" s="46">
        <f>IF(J41="","",IF(J41&lt;=30,"Yes","No"))</f>
        <v>0</v>
      </c>
      <c r="AB41" s="18">
        <f>IF(A41="","",COUNTIFS('Recipe Ingredients'!$B$5:$B$1204,A41))</f>
        <v>0</v>
      </c>
      <c r="AC41" s="25">
        <f>IF(A41="","",SUMIFS('Recipe Ingredients'!$N$5:$N$1204,'Recipe Ingredients'!$B$5:$B$1204,A41))</f>
        <v>0</v>
      </c>
      <c r="AD41" s="25">
        <f>IF(OR(AC41="",G41=""),"",IF(G41=0,"",AC41/G41))</f>
        <v>0</v>
      </c>
      <c r="AE41" s="30">
        <f>IF(OR(A41="",G41=""),"",IF(G41=0,"",SUMIFS('Recipe Ingredients'!$Q$5:$Q$1204,'Recipe Ingredients'!$B$5:$B$1204,A41)/G41))</f>
        <v>0</v>
      </c>
      <c r="AF41" s="45">
        <f>IF(OR(A41="",G41=""),"",IF(G41=0,"",SUMIFS('Recipe Ingredients'!$R$5:$R$1204,'Recipe Ingredients'!$B$5:$B$1204,A41)/G41))</f>
        <v>0</v>
      </c>
      <c r="AG41" s="45">
        <f>IF(OR(A41="",G41=""),"",IF(G41=0,"",SUMIFS('Recipe Ingredients'!$S$5:$S$1204,'Recipe Ingredients'!$B$5:$B$1204,A41)/G41))</f>
        <v>0</v>
      </c>
      <c r="AH41" s="45">
        <f>IF(OR(A41="",G41=""),"",IF(G41=0,"",SUMIFS('Recipe Ingredients'!$T$5:$T$1204,'Recipe Ingredients'!$B$5:$B$1204,A41)/G41))</f>
        <v>0</v>
      </c>
      <c r="AI41" s="45">
        <f>IF(OR(A41="",G41=""),"",IF(G41=0,"",SUMIFS('Recipe Ingredients'!$U$5:$U$1204,'Recipe Ingredients'!$B$5:$B$1204,A41)/G41))</f>
        <v>0</v>
      </c>
      <c r="AJ41" s="17">
        <f>IF(A41="","",IF(COUNTIFS('Recipe Ingredients'!$B$5:$B$1204,A41,'Recipe Ingredients'!$V$5:$V$1204,"&lt;&gt;",'Recipe Ingredients'!$V$5:$V$1204,"&lt;&gt;None")=0,"None listed",COUNTIFS('Recipe Ingredients'!$B$5:$B$1204,A41,'Recipe Ingredients'!$V$5:$V$1204,"&lt;&gt;",'Recipe Ingredients'!$V$5:$V$1204,"&lt;&gt;None")&amp;" ingredient(s) flagged"))</f>
        <v>0</v>
      </c>
      <c r="AK41" s="18">
        <f>IF(OR(AD41="",NOT(ISNUMBER(AD41))),"",COUNTIFS($AD$5:$AD$204,"&lt;"&amp;AD41)+COUNTIFS($AD$5:AD41,AD41))</f>
        <v>0</v>
      </c>
      <c r="AL41" s="18">
        <f>IF(B41="",0,IF(AND(OR(FilterDiet="Any",T41=FilterDiet),OR(FilterCategory="Any",C41=FilterCategory),OR(FilterMethod="Any",L41=FilterMethod),OR(FilterTime=0,AND(J41&lt;&gt;"",J41&lt;=FilterTime)),OR(FilterCost=0,AND(AD41&lt;&gt;"",ISNUMBER(AD41),AD41&lt;=FilterCost)),OR(FilterAllergen="Any",COUNTIFS('Recipe Ingredients'!$B$5:$B$1204,A41,'Recipe Ingredients'!$V$5:$V$1204,FilterAllergen)=0)),1,0))</f>
        <v>0</v>
      </c>
      <c r="AM41" s="18">
        <f>IF(AL41=0,"",SUM($AL$5:AL41))</f>
        <v>0</v>
      </c>
      <c r="AN41" s="18">
        <f>IF(B41="","",COUNTIFS($AZ$5:$AZ$204,"&gt;"&amp;AZ41)+COUNTIFS($AZ$5:AZ41,AZ41))</f>
        <v>0</v>
      </c>
      <c r="AO41" s="18">
        <f>IF(B41="","",COUNTIFS($AE$5:$AE$204,"&gt;"&amp;AE41)+COUNTIFS($AE$5:AE41,AE41))</f>
        <v>0</v>
      </c>
      <c r="AP41" s="18">
        <f>IF(B41="","",COUNTIFS($AF$5:$AF$204,"&gt;"&amp;AF41)+COUNTIFS($AF$5:AF41,AF41))</f>
        <v>0</v>
      </c>
      <c r="AQ41" s="18">
        <f>IF(B41="","",COUNTIFS($AI$5:$AI$204,"&gt;"&amp;AI41)+COUNTIFS($AI$5:AI41,AI41))</f>
        <v>0</v>
      </c>
      <c r="AR41" s="18">
        <f>IF(B41="","",COUNTIFS($AS$5:$AS$204,"&gt;"&amp;AS41)+COUNTIFS($AS$5:AS41,AS41))</f>
        <v>0</v>
      </c>
      <c r="AS41" s="45">
        <f>IF(B41="","",IF(BB41="",99999,BC41))</f>
        <v>0</v>
      </c>
      <c r="AT41" s="45">
        <f>IF(A41="",0,SUMIFS('Meal Plan'!$L$5:$L$504,'Meal Plan'!$G$5:$G$504,A41,'Meal Plan'!$B$5:$B$504,"&gt;="&amp;ShopFrom,'Meal Plan'!$B$5:$B$504,"&lt;="&amp;ShopTo,'Meal Plan'!$M$5:$M$504,"Yes"))</f>
        <v>0</v>
      </c>
      <c r="AU41" s="25">
        <f>IF(OR(A41="",AC41=""),"",AC41*AT41)</f>
        <v>0</v>
      </c>
      <c r="AV41" s="18">
        <f>IF(A41="","",COUNTIFS('Recipe Ingredients'!$B$5:$B$1204,A41,'Recipe Ingredients'!$N$5:$N$1204,""))</f>
        <v>0</v>
      </c>
      <c r="AZ41" s="18">
        <f>IF(A41="","",COUNTIFS('Meal Plan'!$G$5:$G$504,A41))</f>
        <v>0</v>
      </c>
      <c r="BA41" s="18">
        <f>IF(A41="","",COUNTIFS('Meal Plan'!$G$5:$G$504,A41,'Meal Plan'!$N$5:$N$504,"Prepared")+COUNTIFS('Meal Plan'!$G$5:$G$504,A41,'Meal Plan'!$N$5:$N$504,"Eaten"))</f>
        <v>0</v>
      </c>
      <c r="BB41" s="19">
        <f>IF(A41="","",IF(COUNTIFS('Meal Plan'!$G$5:$G$504,A41,'Meal Plan'!$B$5:$B$504,"&lt;="&amp;TODAY())=0,"",SUMPRODUCT(MAX(('Meal Plan'!$G$5:$G$504=A41)*('Meal Plan'!$B$5:$B$504&lt;=TODAY())*'Meal Plan'!$B$5:$B$504))))</f>
        <v>0</v>
      </c>
      <c r="BC41" s="18">
        <f>IF(BB41="","",TODAY()-BB41)</f>
        <v>0</v>
      </c>
      <c r="BF41" s="31">
        <f>IF(B41="","",IF(G41="","Add - how many does it serve?",IF(AB41=0,"Add - no ingredients listed yet",IF(AV41&gt;0,"Check - "&amp;AV41&amp;" ingredient(s) have no price",IF(AND(BC41&lt;&gt;"",BC41&lt;RotationGapDays),"Cooked recently","OK")))))</f>
        <v>0</v>
      </c>
    </row>
    <row r="42" spans="1:58">
      <c r="A42" s="39">
        <f>IF(B42="","",RecipePrefix&amp;TEXT(ROW()-4,"0000"))</f>
        <v>0</v>
      </c>
      <c r="J42" s="18">
        <f>IF(B42="","",IF(AND(H42="",I42=""),"",IF(H42="",0,H42)+IF(I42="",0,I42)))</f>
        <v>0</v>
      </c>
      <c r="K42" s="46">
        <f>IF(J42="","",IF(J42&lt;=30,"Yes","No"))</f>
        <v>0</v>
      </c>
      <c r="AB42" s="18">
        <f>IF(A42="","",COUNTIFS('Recipe Ingredients'!$B$5:$B$1204,A42))</f>
        <v>0</v>
      </c>
      <c r="AC42" s="25">
        <f>IF(A42="","",SUMIFS('Recipe Ingredients'!$N$5:$N$1204,'Recipe Ingredients'!$B$5:$B$1204,A42))</f>
        <v>0</v>
      </c>
      <c r="AD42" s="25">
        <f>IF(OR(AC42="",G42=""),"",IF(G42=0,"",AC42/G42))</f>
        <v>0</v>
      </c>
      <c r="AE42" s="30">
        <f>IF(OR(A42="",G42=""),"",IF(G42=0,"",SUMIFS('Recipe Ingredients'!$Q$5:$Q$1204,'Recipe Ingredients'!$B$5:$B$1204,A42)/G42))</f>
        <v>0</v>
      </c>
      <c r="AF42" s="45">
        <f>IF(OR(A42="",G42=""),"",IF(G42=0,"",SUMIFS('Recipe Ingredients'!$R$5:$R$1204,'Recipe Ingredients'!$B$5:$B$1204,A42)/G42))</f>
        <v>0</v>
      </c>
      <c r="AG42" s="45">
        <f>IF(OR(A42="",G42=""),"",IF(G42=0,"",SUMIFS('Recipe Ingredients'!$S$5:$S$1204,'Recipe Ingredients'!$B$5:$B$1204,A42)/G42))</f>
        <v>0</v>
      </c>
      <c r="AH42" s="45">
        <f>IF(OR(A42="",G42=""),"",IF(G42=0,"",SUMIFS('Recipe Ingredients'!$T$5:$T$1204,'Recipe Ingredients'!$B$5:$B$1204,A42)/G42))</f>
        <v>0</v>
      </c>
      <c r="AI42" s="45">
        <f>IF(OR(A42="",G42=""),"",IF(G42=0,"",SUMIFS('Recipe Ingredients'!$U$5:$U$1204,'Recipe Ingredients'!$B$5:$B$1204,A42)/G42))</f>
        <v>0</v>
      </c>
      <c r="AJ42" s="17">
        <f>IF(A42="","",IF(COUNTIFS('Recipe Ingredients'!$B$5:$B$1204,A42,'Recipe Ingredients'!$V$5:$V$1204,"&lt;&gt;",'Recipe Ingredients'!$V$5:$V$1204,"&lt;&gt;None")=0,"None listed",COUNTIFS('Recipe Ingredients'!$B$5:$B$1204,A42,'Recipe Ingredients'!$V$5:$V$1204,"&lt;&gt;",'Recipe Ingredients'!$V$5:$V$1204,"&lt;&gt;None")&amp;" ingredient(s) flagged"))</f>
        <v>0</v>
      </c>
      <c r="AK42" s="18">
        <f>IF(OR(AD42="",NOT(ISNUMBER(AD42))),"",COUNTIFS($AD$5:$AD$204,"&lt;"&amp;AD42)+COUNTIFS($AD$5:AD42,AD42))</f>
        <v>0</v>
      </c>
      <c r="AL42" s="18">
        <f>IF(B42="",0,IF(AND(OR(FilterDiet="Any",T42=FilterDiet),OR(FilterCategory="Any",C42=FilterCategory),OR(FilterMethod="Any",L42=FilterMethod),OR(FilterTime=0,AND(J42&lt;&gt;"",J42&lt;=FilterTime)),OR(FilterCost=0,AND(AD42&lt;&gt;"",ISNUMBER(AD42),AD42&lt;=FilterCost)),OR(FilterAllergen="Any",COUNTIFS('Recipe Ingredients'!$B$5:$B$1204,A42,'Recipe Ingredients'!$V$5:$V$1204,FilterAllergen)=0)),1,0))</f>
        <v>0</v>
      </c>
      <c r="AM42" s="18">
        <f>IF(AL42=0,"",SUM($AL$5:AL42))</f>
        <v>0</v>
      </c>
      <c r="AN42" s="18">
        <f>IF(B42="","",COUNTIFS($AZ$5:$AZ$204,"&gt;"&amp;AZ42)+COUNTIFS($AZ$5:AZ42,AZ42))</f>
        <v>0</v>
      </c>
      <c r="AO42" s="18">
        <f>IF(B42="","",COUNTIFS($AE$5:$AE$204,"&gt;"&amp;AE42)+COUNTIFS($AE$5:AE42,AE42))</f>
        <v>0</v>
      </c>
      <c r="AP42" s="18">
        <f>IF(B42="","",COUNTIFS($AF$5:$AF$204,"&gt;"&amp;AF42)+COUNTIFS($AF$5:AF42,AF42))</f>
        <v>0</v>
      </c>
      <c r="AQ42" s="18">
        <f>IF(B42="","",COUNTIFS($AI$5:$AI$204,"&gt;"&amp;AI42)+COUNTIFS($AI$5:AI42,AI42))</f>
        <v>0</v>
      </c>
      <c r="AR42" s="18">
        <f>IF(B42="","",COUNTIFS($AS$5:$AS$204,"&gt;"&amp;AS42)+COUNTIFS($AS$5:AS42,AS42))</f>
        <v>0</v>
      </c>
      <c r="AS42" s="45">
        <f>IF(B42="","",IF(BB42="",99999,BC42))</f>
        <v>0</v>
      </c>
      <c r="AT42" s="45">
        <f>IF(A42="",0,SUMIFS('Meal Plan'!$L$5:$L$504,'Meal Plan'!$G$5:$G$504,A42,'Meal Plan'!$B$5:$B$504,"&gt;="&amp;ShopFrom,'Meal Plan'!$B$5:$B$504,"&lt;="&amp;ShopTo,'Meal Plan'!$M$5:$M$504,"Yes"))</f>
        <v>0</v>
      </c>
      <c r="AU42" s="25">
        <f>IF(OR(A42="",AC42=""),"",AC42*AT42)</f>
        <v>0</v>
      </c>
      <c r="AV42" s="18">
        <f>IF(A42="","",COUNTIFS('Recipe Ingredients'!$B$5:$B$1204,A42,'Recipe Ingredients'!$N$5:$N$1204,""))</f>
        <v>0</v>
      </c>
      <c r="AZ42" s="18">
        <f>IF(A42="","",COUNTIFS('Meal Plan'!$G$5:$G$504,A42))</f>
        <v>0</v>
      </c>
      <c r="BA42" s="18">
        <f>IF(A42="","",COUNTIFS('Meal Plan'!$G$5:$G$504,A42,'Meal Plan'!$N$5:$N$504,"Prepared")+COUNTIFS('Meal Plan'!$G$5:$G$504,A42,'Meal Plan'!$N$5:$N$504,"Eaten"))</f>
        <v>0</v>
      </c>
      <c r="BB42" s="19">
        <f>IF(A42="","",IF(COUNTIFS('Meal Plan'!$G$5:$G$504,A42,'Meal Plan'!$B$5:$B$504,"&lt;="&amp;TODAY())=0,"",SUMPRODUCT(MAX(('Meal Plan'!$G$5:$G$504=A42)*('Meal Plan'!$B$5:$B$504&lt;=TODAY())*'Meal Plan'!$B$5:$B$504))))</f>
        <v>0</v>
      </c>
      <c r="BC42" s="18">
        <f>IF(BB42="","",TODAY()-BB42)</f>
        <v>0</v>
      </c>
      <c r="BF42" s="31">
        <f>IF(B42="","",IF(G42="","Add - how many does it serve?",IF(AB42=0,"Add - no ingredients listed yet",IF(AV42&gt;0,"Check - "&amp;AV42&amp;" ingredient(s) have no price",IF(AND(BC42&lt;&gt;"",BC42&lt;RotationGapDays),"Cooked recently","OK")))))</f>
        <v>0</v>
      </c>
    </row>
    <row r="43" spans="1:58">
      <c r="A43" s="39">
        <f>IF(B43="","",RecipePrefix&amp;TEXT(ROW()-4,"0000"))</f>
        <v>0</v>
      </c>
      <c r="J43" s="18">
        <f>IF(B43="","",IF(AND(H43="",I43=""),"",IF(H43="",0,H43)+IF(I43="",0,I43)))</f>
        <v>0</v>
      </c>
      <c r="K43" s="46">
        <f>IF(J43="","",IF(J43&lt;=30,"Yes","No"))</f>
        <v>0</v>
      </c>
      <c r="AB43" s="18">
        <f>IF(A43="","",COUNTIFS('Recipe Ingredients'!$B$5:$B$1204,A43))</f>
        <v>0</v>
      </c>
      <c r="AC43" s="25">
        <f>IF(A43="","",SUMIFS('Recipe Ingredients'!$N$5:$N$1204,'Recipe Ingredients'!$B$5:$B$1204,A43))</f>
        <v>0</v>
      </c>
      <c r="AD43" s="25">
        <f>IF(OR(AC43="",G43=""),"",IF(G43=0,"",AC43/G43))</f>
        <v>0</v>
      </c>
      <c r="AE43" s="30">
        <f>IF(OR(A43="",G43=""),"",IF(G43=0,"",SUMIFS('Recipe Ingredients'!$Q$5:$Q$1204,'Recipe Ingredients'!$B$5:$B$1204,A43)/G43))</f>
        <v>0</v>
      </c>
      <c r="AF43" s="45">
        <f>IF(OR(A43="",G43=""),"",IF(G43=0,"",SUMIFS('Recipe Ingredients'!$R$5:$R$1204,'Recipe Ingredients'!$B$5:$B$1204,A43)/G43))</f>
        <v>0</v>
      </c>
      <c r="AG43" s="45">
        <f>IF(OR(A43="",G43=""),"",IF(G43=0,"",SUMIFS('Recipe Ingredients'!$S$5:$S$1204,'Recipe Ingredients'!$B$5:$B$1204,A43)/G43))</f>
        <v>0</v>
      </c>
      <c r="AH43" s="45">
        <f>IF(OR(A43="",G43=""),"",IF(G43=0,"",SUMIFS('Recipe Ingredients'!$T$5:$T$1204,'Recipe Ingredients'!$B$5:$B$1204,A43)/G43))</f>
        <v>0</v>
      </c>
      <c r="AI43" s="45">
        <f>IF(OR(A43="",G43=""),"",IF(G43=0,"",SUMIFS('Recipe Ingredients'!$U$5:$U$1204,'Recipe Ingredients'!$B$5:$B$1204,A43)/G43))</f>
        <v>0</v>
      </c>
      <c r="AJ43" s="17">
        <f>IF(A43="","",IF(COUNTIFS('Recipe Ingredients'!$B$5:$B$1204,A43,'Recipe Ingredients'!$V$5:$V$1204,"&lt;&gt;",'Recipe Ingredients'!$V$5:$V$1204,"&lt;&gt;None")=0,"None listed",COUNTIFS('Recipe Ingredients'!$B$5:$B$1204,A43,'Recipe Ingredients'!$V$5:$V$1204,"&lt;&gt;",'Recipe Ingredients'!$V$5:$V$1204,"&lt;&gt;None")&amp;" ingredient(s) flagged"))</f>
        <v>0</v>
      </c>
      <c r="AK43" s="18">
        <f>IF(OR(AD43="",NOT(ISNUMBER(AD43))),"",COUNTIFS($AD$5:$AD$204,"&lt;"&amp;AD43)+COUNTIFS($AD$5:AD43,AD43))</f>
        <v>0</v>
      </c>
      <c r="AL43" s="18">
        <f>IF(B43="",0,IF(AND(OR(FilterDiet="Any",T43=FilterDiet),OR(FilterCategory="Any",C43=FilterCategory),OR(FilterMethod="Any",L43=FilterMethod),OR(FilterTime=0,AND(J43&lt;&gt;"",J43&lt;=FilterTime)),OR(FilterCost=0,AND(AD43&lt;&gt;"",ISNUMBER(AD43),AD43&lt;=FilterCost)),OR(FilterAllergen="Any",COUNTIFS('Recipe Ingredients'!$B$5:$B$1204,A43,'Recipe Ingredients'!$V$5:$V$1204,FilterAllergen)=0)),1,0))</f>
        <v>0</v>
      </c>
      <c r="AM43" s="18">
        <f>IF(AL43=0,"",SUM($AL$5:AL43))</f>
        <v>0</v>
      </c>
      <c r="AN43" s="18">
        <f>IF(B43="","",COUNTIFS($AZ$5:$AZ$204,"&gt;"&amp;AZ43)+COUNTIFS($AZ$5:AZ43,AZ43))</f>
        <v>0</v>
      </c>
      <c r="AO43" s="18">
        <f>IF(B43="","",COUNTIFS($AE$5:$AE$204,"&gt;"&amp;AE43)+COUNTIFS($AE$5:AE43,AE43))</f>
        <v>0</v>
      </c>
      <c r="AP43" s="18">
        <f>IF(B43="","",COUNTIFS($AF$5:$AF$204,"&gt;"&amp;AF43)+COUNTIFS($AF$5:AF43,AF43))</f>
        <v>0</v>
      </c>
      <c r="AQ43" s="18">
        <f>IF(B43="","",COUNTIFS($AI$5:$AI$204,"&gt;"&amp;AI43)+COUNTIFS($AI$5:AI43,AI43))</f>
        <v>0</v>
      </c>
      <c r="AR43" s="18">
        <f>IF(B43="","",COUNTIFS($AS$5:$AS$204,"&gt;"&amp;AS43)+COUNTIFS($AS$5:AS43,AS43))</f>
        <v>0</v>
      </c>
      <c r="AS43" s="45">
        <f>IF(B43="","",IF(BB43="",99999,BC43))</f>
        <v>0</v>
      </c>
      <c r="AT43" s="45">
        <f>IF(A43="",0,SUMIFS('Meal Plan'!$L$5:$L$504,'Meal Plan'!$G$5:$G$504,A43,'Meal Plan'!$B$5:$B$504,"&gt;="&amp;ShopFrom,'Meal Plan'!$B$5:$B$504,"&lt;="&amp;ShopTo,'Meal Plan'!$M$5:$M$504,"Yes"))</f>
        <v>0</v>
      </c>
      <c r="AU43" s="25">
        <f>IF(OR(A43="",AC43=""),"",AC43*AT43)</f>
        <v>0</v>
      </c>
      <c r="AV43" s="18">
        <f>IF(A43="","",COUNTIFS('Recipe Ingredients'!$B$5:$B$1204,A43,'Recipe Ingredients'!$N$5:$N$1204,""))</f>
        <v>0</v>
      </c>
      <c r="AZ43" s="18">
        <f>IF(A43="","",COUNTIFS('Meal Plan'!$G$5:$G$504,A43))</f>
        <v>0</v>
      </c>
      <c r="BA43" s="18">
        <f>IF(A43="","",COUNTIFS('Meal Plan'!$G$5:$G$504,A43,'Meal Plan'!$N$5:$N$504,"Prepared")+COUNTIFS('Meal Plan'!$G$5:$G$504,A43,'Meal Plan'!$N$5:$N$504,"Eaten"))</f>
        <v>0</v>
      </c>
      <c r="BB43" s="19">
        <f>IF(A43="","",IF(COUNTIFS('Meal Plan'!$G$5:$G$504,A43,'Meal Plan'!$B$5:$B$504,"&lt;="&amp;TODAY())=0,"",SUMPRODUCT(MAX(('Meal Plan'!$G$5:$G$504=A43)*('Meal Plan'!$B$5:$B$504&lt;=TODAY())*'Meal Plan'!$B$5:$B$504))))</f>
        <v>0</v>
      </c>
      <c r="BC43" s="18">
        <f>IF(BB43="","",TODAY()-BB43)</f>
        <v>0</v>
      </c>
      <c r="BF43" s="31">
        <f>IF(B43="","",IF(G43="","Add - how many does it serve?",IF(AB43=0,"Add - no ingredients listed yet",IF(AV43&gt;0,"Check - "&amp;AV43&amp;" ingredient(s) have no price",IF(AND(BC43&lt;&gt;"",BC43&lt;RotationGapDays),"Cooked recently","OK")))))</f>
        <v>0</v>
      </c>
    </row>
    <row r="44" spans="1:58">
      <c r="A44" s="39">
        <f>IF(B44="","",RecipePrefix&amp;TEXT(ROW()-4,"0000"))</f>
        <v>0</v>
      </c>
      <c r="J44" s="18">
        <f>IF(B44="","",IF(AND(H44="",I44=""),"",IF(H44="",0,H44)+IF(I44="",0,I44)))</f>
        <v>0</v>
      </c>
      <c r="K44" s="46">
        <f>IF(J44="","",IF(J44&lt;=30,"Yes","No"))</f>
        <v>0</v>
      </c>
      <c r="AB44" s="18">
        <f>IF(A44="","",COUNTIFS('Recipe Ingredients'!$B$5:$B$1204,A44))</f>
        <v>0</v>
      </c>
      <c r="AC44" s="25">
        <f>IF(A44="","",SUMIFS('Recipe Ingredients'!$N$5:$N$1204,'Recipe Ingredients'!$B$5:$B$1204,A44))</f>
        <v>0</v>
      </c>
      <c r="AD44" s="25">
        <f>IF(OR(AC44="",G44=""),"",IF(G44=0,"",AC44/G44))</f>
        <v>0</v>
      </c>
      <c r="AE44" s="30">
        <f>IF(OR(A44="",G44=""),"",IF(G44=0,"",SUMIFS('Recipe Ingredients'!$Q$5:$Q$1204,'Recipe Ingredients'!$B$5:$B$1204,A44)/G44))</f>
        <v>0</v>
      </c>
      <c r="AF44" s="45">
        <f>IF(OR(A44="",G44=""),"",IF(G44=0,"",SUMIFS('Recipe Ingredients'!$R$5:$R$1204,'Recipe Ingredients'!$B$5:$B$1204,A44)/G44))</f>
        <v>0</v>
      </c>
      <c r="AG44" s="45">
        <f>IF(OR(A44="",G44=""),"",IF(G44=0,"",SUMIFS('Recipe Ingredients'!$S$5:$S$1204,'Recipe Ingredients'!$B$5:$B$1204,A44)/G44))</f>
        <v>0</v>
      </c>
      <c r="AH44" s="45">
        <f>IF(OR(A44="",G44=""),"",IF(G44=0,"",SUMIFS('Recipe Ingredients'!$T$5:$T$1204,'Recipe Ingredients'!$B$5:$B$1204,A44)/G44))</f>
        <v>0</v>
      </c>
      <c r="AI44" s="45">
        <f>IF(OR(A44="",G44=""),"",IF(G44=0,"",SUMIFS('Recipe Ingredients'!$U$5:$U$1204,'Recipe Ingredients'!$B$5:$B$1204,A44)/G44))</f>
        <v>0</v>
      </c>
      <c r="AJ44" s="17">
        <f>IF(A44="","",IF(COUNTIFS('Recipe Ingredients'!$B$5:$B$1204,A44,'Recipe Ingredients'!$V$5:$V$1204,"&lt;&gt;",'Recipe Ingredients'!$V$5:$V$1204,"&lt;&gt;None")=0,"None listed",COUNTIFS('Recipe Ingredients'!$B$5:$B$1204,A44,'Recipe Ingredients'!$V$5:$V$1204,"&lt;&gt;",'Recipe Ingredients'!$V$5:$V$1204,"&lt;&gt;None")&amp;" ingredient(s) flagged"))</f>
        <v>0</v>
      </c>
      <c r="AK44" s="18">
        <f>IF(OR(AD44="",NOT(ISNUMBER(AD44))),"",COUNTIFS($AD$5:$AD$204,"&lt;"&amp;AD44)+COUNTIFS($AD$5:AD44,AD44))</f>
        <v>0</v>
      </c>
      <c r="AL44" s="18">
        <f>IF(B44="",0,IF(AND(OR(FilterDiet="Any",T44=FilterDiet),OR(FilterCategory="Any",C44=FilterCategory),OR(FilterMethod="Any",L44=FilterMethod),OR(FilterTime=0,AND(J44&lt;&gt;"",J44&lt;=FilterTime)),OR(FilterCost=0,AND(AD44&lt;&gt;"",ISNUMBER(AD44),AD44&lt;=FilterCost)),OR(FilterAllergen="Any",COUNTIFS('Recipe Ingredients'!$B$5:$B$1204,A44,'Recipe Ingredients'!$V$5:$V$1204,FilterAllergen)=0)),1,0))</f>
        <v>0</v>
      </c>
      <c r="AM44" s="18">
        <f>IF(AL44=0,"",SUM($AL$5:AL44))</f>
        <v>0</v>
      </c>
      <c r="AN44" s="18">
        <f>IF(B44="","",COUNTIFS($AZ$5:$AZ$204,"&gt;"&amp;AZ44)+COUNTIFS($AZ$5:AZ44,AZ44))</f>
        <v>0</v>
      </c>
      <c r="AO44" s="18">
        <f>IF(B44="","",COUNTIFS($AE$5:$AE$204,"&gt;"&amp;AE44)+COUNTIFS($AE$5:AE44,AE44))</f>
        <v>0</v>
      </c>
      <c r="AP44" s="18">
        <f>IF(B44="","",COUNTIFS($AF$5:$AF$204,"&gt;"&amp;AF44)+COUNTIFS($AF$5:AF44,AF44))</f>
        <v>0</v>
      </c>
      <c r="AQ44" s="18">
        <f>IF(B44="","",COUNTIFS($AI$5:$AI$204,"&gt;"&amp;AI44)+COUNTIFS($AI$5:AI44,AI44))</f>
        <v>0</v>
      </c>
      <c r="AR44" s="18">
        <f>IF(B44="","",COUNTIFS($AS$5:$AS$204,"&gt;"&amp;AS44)+COUNTIFS($AS$5:AS44,AS44))</f>
        <v>0</v>
      </c>
      <c r="AS44" s="45">
        <f>IF(B44="","",IF(BB44="",99999,BC44))</f>
        <v>0</v>
      </c>
      <c r="AT44" s="45">
        <f>IF(A44="",0,SUMIFS('Meal Plan'!$L$5:$L$504,'Meal Plan'!$G$5:$G$504,A44,'Meal Plan'!$B$5:$B$504,"&gt;="&amp;ShopFrom,'Meal Plan'!$B$5:$B$504,"&lt;="&amp;ShopTo,'Meal Plan'!$M$5:$M$504,"Yes"))</f>
        <v>0</v>
      </c>
      <c r="AU44" s="25">
        <f>IF(OR(A44="",AC44=""),"",AC44*AT44)</f>
        <v>0</v>
      </c>
      <c r="AV44" s="18">
        <f>IF(A44="","",COUNTIFS('Recipe Ingredients'!$B$5:$B$1204,A44,'Recipe Ingredients'!$N$5:$N$1204,""))</f>
        <v>0</v>
      </c>
      <c r="AZ44" s="18">
        <f>IF(A44="","",COUNTIFS('Meal Plan'!$G$5:$G$504,A44))</f>
        <v>0</v>
      </c>
      <c r="BA44" s="18">
        <f>IF(A44="","",COUNTIFS('Meal Plan'!$G$5:$G$504,A44,'Meal Plan'!$N$5:$N$504,"Prepared")+COUNTIFS('Meal Plan'!$G$5:$G$504,A44,'Meal Plan'!$N$5:$N$504,"Eaten"))</f>
        <v>0</v>
      </c>
      <c r="BB44" s="19">
        <f>IF(A44="","",IF(COUNTIFS('Meal Plan'!$G$5:$G$504,A44,'Meal Plan'!$B$5:$B$504,"&lt;="&amp;TODAY())=0,"",SUMPRODUCT(MAX(('Meal Plan'!$G$5:$G$504=A44)*('Meal Plan'!$B$5:$B$504&lt;=TODAY())*'Meal Plan'!$B$5:$B$504))))</f>
        <v>0</v>
      </c>
      <c r="BC44" s="18">
        <f>IF(BB44="","",TODAY()-BB44)</f>
        <v>0</v>
      </c>
      <c r="BF44" s="31">
        <f>IF(B44="","",IF(G44="","Add - how many does it serve?",IF(AB44=0,"Add - no ingredients listed yet",IF(AV44&gt;0,"Check - "&amp;AV44&amp;" ingredient(s) have no price",IF(AND(BC44&lt;&gt;"",BC44&lt;RotationGapDays),"Cooked recently","OK")))))</f>
        <v>0</v>
      </c>
    </row>
    <row r="45" spans="1:58">
      <c r="A45" s="39">
        <f>IF(B45="","",RecipePrefix&amp;TEXT(ROW()-4,"0000"))</f>
        <v>0</v>
      </c>
      <c r="J45" s="18">
        <f>IF(B45="","",IF(AND(H45="",I45=""),"",IF(H45="",0,H45)+IF(I45="",0,I45)))</f>
        <v>0</v>
      </c>
      <c r="K45" s="46">
        <f>IF(J45="","",IF(J45&lt;=30,"Yes","No"))</f>
        <v>0</v>
      </c>
      <c r="AB45" s="18">
        <f>IF(A45="","",COUNTIFS('Recipe Ingredients'!$B$5:$B$1204,A45))</f>
        <v>0</v>
      </c>
      <c r="AC45" s="25">
        <f>IF(A45="","",SUMIFS('Recipe Ingredients'!$N$5:$N$1204,'Recipe Ingredients'!$B$5:$B$1204,A45))</f>
        <v>0</v>
      </c>
      <c r="AD45" s="25">
        <f>IF(OR(AC45="",G45=""),"",IF(G45=0,"",AC45/G45))</f>
        <v>0</v>
      </c>
      <c r="AE45" s="30">
        <f>IF(OR(A45="",G45=""),"",IF(G45=0,"",SUMIFS('Recipe Ingredients'!$Q$5:$Q$1204,'Recipe Ingredients'!$B$5:$B$1204,A45)/G45))</f>
        <v>0</v>
      </c>
      <c r="AF45" s="45">
        <f>IF(OR(A45="",G45=""),"",IF(G45=0,"",SUMIFS('Recipe Ingredients'!$R$5:$R$1204,'Recipe Ingredients'!$B$5:$B$1204,A45)/G45))</f>
        <v>0</v>
      </c>
      <c r="AG45" s="45">
        <f>IF(OR(A45="",G45=""),"",IF(G45=0,"",SUMIFS('Recipe Ingredients'!$S$5:$S$1204,'Recipe Ingredients'!$B$5:$B$1204,A45)/G45))</f>
        <v>0</v>
      </c>
      <c r="AH45" s="45">
        <f>IF(OR(A45="",G45=""),"",IF(G45=0,"",SUMIFS('Recipe Ingredients'!$T$5:$T$1204,'Recipe Ingredients'!$B$5:$B$1204,A45)/G45))</f>
        <v>0</v>
      </c>
      <c r="AI45" s="45">
        <f>IF(OR(A45="",G45=""),"",IF(G45=0,"",SUMIFS('Recipe Ingredients'!$U$5:$U$1204,'Recipe Ingredients'!$B$5:$B$1204,A45)/G45))</f>
        <v>0</v>
      </c>
      <c r="AJ45" s="17">
        <f>IF(A45="","",IF(COUNTIFS('Recipe Ingredients'!$B$5:$B$1204,A45,'Recipe Ingredients'!$V$5:$V$1204,"&lt;&gt;",'Recipe Ingredients'!$V$5:$V$1204,"&lt;&gt;None")=0,"None listed",COUNTIFS('Recipe Ingredients'!$B$5:$B$1204,A45,'Recipe Ingredients'!$V$5:$V$1204,"&lt;&gt;",'Recipe Ingredients'!$V$5:$V$1204,"&lt;&gt;None")&amp;" ingredient(s) flagged"))</f>
        <v>0</v>
      </c>
      <c r="AK45" s="18">
        <f>IF(OR(AD45="",NOT(ISNUMBER(AD45))),"",COUNTIFS($AD$5:$AD$204,"&lt;"&amp;AD45)+COUNTIFS($AD$5:AD45,AD45))</f>
        <v>0</v>
      </c>
      <c r="AL45" s="18">
        <f>IF(B45="",0,IF(AND(OR(FilterDiet="Any",T45=FilterDiet),OR(FilterCategory="Any",C45=FilterCategory),OR(FilterMethod="Any",L45=FilterMethod),OR(FilterTime=0,AND(J45&lt;&gt;"",J45&lt;=FilterTime)),OR(FilterCost=0,AND(AD45&lt;&gt;"",ISNUMBER(AD45),AD45&lt;=FilterCost)),OR(FilterAllergen="Any",COUNTIFS('Recipe Ingredients'!$B$5:$B$1204,A45,'Recipe Ingredients'!$V$5:$V$1204,FilterAllergen)=0)),1,0))</f>
        <v>0</v>
      </c>
      <c r="AM45" s="18">
        <f>IF(AL45=0,"",SUM($AL$5:AL45))</f>
        <v>0</v>
      </c>
      <c r="AN45" s="18">
        <f>IF(B45="","",COUNTIFS($AZ$5:$AZ$204,"&gt;"&amp;AZ45)+COUNTIFS($AZ$5:AZ45,AZ45))</f>
        <v>0</v>
      </c>
      <c r="AO45" s="18">
        <f>IF(B45="","",COUNTIFS($AE$5:$AE$204,"&gt;"&amp;AE45)+COUNTIFS($AE$5:AE45,AE45))</f>
        <v>0</v>
      </c>
      <c r="AP45" s="18">
        <f>IF(B45="","",COUNTIFS($AF$5:$AF$204,"&gt;"&amp;AF45)+COUNTIFS($AF$5:AF45,AF45))</f>
        <v>0</v>
      </c>
      <c r="AQ45" s="18">
        <f>IF(B45="","",COUNTIFS($AI$5:$AI$204,"&gt;"&amp;AI45)+COUNTIFS($AI$5:AI45,AI45))</f>
        <v>0</v>
      </c>
      <c r="AR45" s="18">
        <f>IF(B45="","",COUNTIFS($AS$5:$AS$204,"&gt;"&amp;AS45)+COUNTIFS($AS$5:AS45,AS45))</f>
        <v>0</v>
      </c>
      <c r="AS45" s="45">
        <f>IF(B45="","",IF(BB45="",99999,BC45))</f>
        <v>0</v>
      </c>
      <c r="AT45" s="45">
        <f>IF(A45="",0,SUMIFS('Meal Plan'!$L$5:$L$504,'Meal Plan'!$G$5:$G$504,A45,'Meal Plan'!$B$5:$B$504,"&gt;="&amp;ShopFrom,'Meal Plan'!$B$5:$B$504,"&lt;="&amp;ShopTo,'Meal Plan'!$M$5:$M$504,"Yes"))</f>
        <v>0</v>
      </c>
      <c r="AU45" s="25">
        <f>IF(OR(A45="",AC45=""),"",AC45*AT45)</f>
        <v>0</v>
      </c>
      <c r="AV45" s="18">
        <f>IF(A45="","",COUNTIFS('Recipe Ingredients'!$B$5:$B$1204,A45,'Recipe Ingredients'!$N$5:$N$1204,""))</f>
        <v>0</v>
      </c>
      <c r="AZ45" s="18">
        <f>IF(A45="","",COUNTIFS('Meal Plan'!$G$5:$G$504,A45))</f>
        <v>0</v>
      </c>
      <c r="BA45" s="18">
        <f>IF(A45="","",COUNTIFS('Meal Plan'!$G$5:$G$504,A45,'Meal Plan'!$N$5:$N$504,"Prepared")+COUNTIFS('Meal Plan'!$G$5:$G$504,A45,'Meal Plan'!$N$5:$N$504,"Eaten"))</f>
        <v>0</v>
      </c>
      <c r="BB45" s="19">
        <f>IF(A45="","",IF(COUNTIFS('Meal Plan'!$G$5:$G$504,A45,'Meal Plan'!$B$5:$B$504,"&lt;="&amp;TODAY())=0,"",SUMPRODUCT(MAX(('Meal Plan'!$G$5:$G$504=A45)*('Meal Plan'!$B$5:$B$504&lt;=TODAY())*'Meal Plan'!$B$5:$B$504))))</f>
        <v>0</v>
      </c>
      <c r="BC45" s="18">
        <f>IF(BB45="","",TODAY()-BB45)</f>
        <v>0</v>
      </c>
      <c r="BF45" s="31">
        <f>IF(B45="","",IF(G45="","Add - how many does it serve?",IF(AB45=0,"Add - no ingredients listed yet",IF(AV45&gt;0,"Check - "&amp;AV45&amp;" ingredient(s) have no price",IF(AND(BC45&lt;&gt;"",BC45&lt;RotationGapDays),"Cooked recently","OK")))))</f>
        <v>0</v>
      </c>
    </row>
    <row r="46" spans="1:58">
      <c r="A46" s="39">
        <f>IF(B46="","",RecipePrefix&amp;TEXT(ROW()-4,"0000"))</f>
        <v>0</v>
      </c>
      <c r="J46" s="18">
        <f>IF(B46="","",IF(AND(H46="",I46=""),"",IF(H46="",0,H46)+IF(I46="",0,I46)))</f>
        <v>0</v>
      </c>
      <c r="K46" s="46">
        <f>IF(J46="","",IF(J46&lt;=30,"Yes","No"))</f>
        <v>0</v>
      </c>
      <c r="AB46" s="18">
        <f>IF(A46="","",COUNTIFS('Recipe Ingredients'!$B$5:$B$1204,A46))</f>
        <v>0</v>
      </c>
      <c r="AC46" s="25">
        <f>IF(A46="","",SUMIFS('Recipe Ingredients'!$N$5:$N$1204,'Recipe Ingredients'!$B$5:$B$1204,A46))</f>
        <v>0</v>
      </c>
      <c r="AD46" s="25">
        <f>IF(OR(AC46="",G46=""),"",IF(G46=0,"",AC46/G46))</f>
        <v>0</v>
      </c>
      <c r="AE46" s="30">
        <f>IF(OR(A46="",G46=""),"",IF(G46=0,"",SUMIFS('Recipe Ingredients'!$Q$5:$Q$1204,'Recipe Ingredients'!$B$5:$B$1204,A46)/G46))</f>
        <v>0</v>
      </c>
      <c r="AF46" s="45">
        <f>IF(OR(A46="",G46=""),"",IF(G46=0,"",SUMIFS('Recipe Ingredients'!$R$5:$R$1204,'Recipe Ingredients'!$B$5:$B$1204,A46)/G46))</f>
        <v>0</v>
      </c>
      <c r="AG46" s="45">
        <f>IF(OR(A46="",G46=""),"",IF(G46=0,"",SUMIFS('Recipe Ingredients'!$S$5:$S$1204,'Recipe Ingredients'!$B$5:$B$1204,A46)/G46))</f>
        <v>0</v>
      </c>
      <c r="AH46" s="45">
        <f>IF(OR(A46="",G46=""),"",IF(G46=0,"",SUMIFS('Recipe Ingredients'!$T$5:$T$1204,'Recipe Ingredients'!$B$5:$B$1204,A46)/G46))</f>
        <v>0</v>
      </c>
      <c r="AI46" s="45">
        <f>IF(OR(A46="",G46=""),"",IF(G46=0,"",SUMIFS('Recipe Ingredients'!$U$5:$U$1204,'Recipe Ingredients'!$B$5:$B$1204,A46)/G46))</f>
        <v>0</v>
      </c>
      <c r="AJ46" s="17">
        <f>IF(A46="","",IF(COUNTIFS('Recipe Ingredients'!$B$5:$B$1204,A46,'Recipe Ingredients'!$V$5:$V$1204,"&lt;&gt;",'Recipe Ingredients'!$V$5:$V$1204,"&lt;&gt;None")=0,"None listed",COUNTIFS('Recipe Ingredients'!$B$5:$B$1204,A46,'Recipe Ingredients'!$V$5:$V$1204,"&lt;&gt;",'Recipe Ingredients'!$V$5:$V$1204,"&lt;&gt;None")&amp;" ingredient(s) flagged"))</f>
        <v>0</v>
      </c>
      <c r="AK46" s="18">
        <f>IF(OR(AD46="",NOT(ISNUMBER(AD46))),"",COUNTIFS($AD$5:$AD$204,"&lt;"&amp;AD46)+COUNTIFS($AD$5:AD46,AD46))</f>
        <v>0</v>
      </c>
      <c r="AL46" s="18">
        <f>IF(B46="",0,IF(AND(OR(FilterDiet="Any",T46=FilterDiet),OR(FilterCategory="Any",C46=FilterCategory),OR(FilterMethod="Any",L46=FilterMethod),OR(FilterTime=0,AND(J46&lt;&gt;"",J46&lt;=FilterTime)),OR(FilterCost=0,AND(AD46&lt;&gt;"",ISNUMBER(AD46),AD46&lt;=FilterCost)),OR(FilterAllergen="Any",COUNTIFS('Recipe Ingredients'!$B$5:$B$1204,A46,'Recipe Ingredients'!$V$5:$V$1204,FilterAllergen)=0)),1,0))</f>
        <v>0</v>
      </c>
      <c r="AM46" s="18">
        <f>IF(AL46=0,"",SUM($AL$5:AL46))</f>
        <v>0</v>
      </c>
      <c r="AN46" s="18">
        <f>IF(B46="","",COUNTIFS($AZ$5:$AZ$204,"&gt;"&amp;AZ46)+COUNTIFS($AZ$5:AZ46,AZ46))</f>
        <v>0</v>
      </c>
      <c r="AO46" s="18">
        <f>IF(B46="","",COUNTIFS($AE$5:$AE$204,"&gt;"&amp;AE46)+COUNTIFS($AE$5:AE46,AE46))</f>
        <v>0</v>
      </c>
      <c r="AP46" s="18">
        <f>IF(B46="","",COUNTIFS($AF$5:$AF$204,"&gt;"&amp;AF46)+COUNTIFS($AF$5:AF46,AF46))</f>
        <v>0</v>
      </c>
      <c r="AQ46" s="18">
        <f>IF(B46="","",COUNTIFS($AI$5:$AI$204,"&gt;"&amp;AI46)+COUNTIFS($AI$5:AI46,AI46))</f>
        <v>0</v>
      </c>
      <c r="AR46" s="18">
        <f>IF(B46="","",COUNTIFS($AS$5:$AS$204,"&gt;"&amp;AS46)+COUNTIFS($AS$5:AS46,AS46))</f>
        <v>0</v>
      </c>
      <c r="AS46" s="45">
        <f>IF(B46="","",IF(BB46="",99999,BC46))</f>
        <v>0</v>
      </c>
      <c r="AT46" s="45">
        <f>IF(A46="",0,SUMIFS('Meal Plan'!$L$5:$L$504,'Meal Plan'!$G$5:$G$504,A46,'Meal Plan'!$B$5:$B$504,"&gt;="&amp;ShopFrom,'Meal Plan'!$B$5:$B$504,"&lt;="&amp;ShopTo,'Meal Plan'!$M$5:$M$504,"Yes"))</f>
        <v>0</v>
      </c>
      <c r="AU46" s="25">
        <f>IF(OR(A46="",AC46=""),"",AC46*AT46)</f>
        <v>0</v>
      </c>
      <c r="AV46" s="18">
        <f>IF(A46="","",COUNTIFS('Recipe Ingredients'!$B$5:$B$1204,A46,'Recipe Ingredients'!$N$5:$N$1204,""))</f>
        <v>0</v>
      </c>
      <c r="AZ46" s="18">
        <f>IF(A46="","",COUNTIFS('Meal Plan'!$G$5:$G$504,A46))</f>
        <v>0</v>
      </c>
      <c r="BA46" s="18">
        <f>IF(A46="","",COUNTIFS('Meal Plan'!$G$5:$G$504,A46,'Meal Plan'!$N$5:$N$504,"Prepared")+COUNTIFS('Meal Plan'!$G$5:$G$504,A46,'Meal Plan'!$N$5:$N$504,"Eaten"))</f>
        <v>0</v>
      </c>
      <c r="BB46" s="19">
        <f>IF(A46="","",IF(COUNTIFS('Meal Plan'!$G$5:$G$504,A46,'Meal Plan'!$B$5:$B$504,"&lt;="&amp;TODAY())=0,"",SUMPRODUCT(MAX(('Meal Plan'!$G$5:$G$504=A46)*('Meal Plan'!$B$5:$B$504&lt;=TODAY())*'Meal Plan'!$B$5:$B$504))))</f>
        <v>0</v>
      </c>
      <c r="BC46" s="18">
        <f>IF(BB46="","",TODAY()-BB46)</f>
        <v>0</v>
      </c>
      <c r="BF46" s="31">
        <f>IF(B46="","",IF(G46="","Add - how many does it serve?",IF(AB46=0,"Add - no ingredients listed yet",IF(AV46&gt;0,"Check - "&amp;AV46&amp;" ingredient(s) have no price",IF(AND(BC46&lt;&gt;"",BC46&lt;RotationGapDays),"Cooked recently","OK")))))</f>
        <v>0</v>
      </c>
    </row>
    <row r="47" spans="1:58">
      <c r="A47" s="39">
        <f>IF(B47="","",RecipePrefix&amp;TEXT(ROW()-4,"0000"))</f>
        <v>0</v>
      </c>
      <c r="J47" s="18">
        <f>IF(B47="","",IF(AND(H47="",I47=""),"",IF(H47="",0,H47)+IF(I47="",0,I47)))</f>
        <v>0</v>
      </c>
      <c r="K47" s="46">
        <f>IF(J47="","",IF(J47&lt;=30,"Yes","No"))</f>
        <v>0</v>
      </c>
      <c r="AB47" s="18">
        <f>IF(A47="","",COUNTIFS('Recipe Ingredients'!$B$5:$B$1204,A47))</f>
        <v>0</v>
      </c>
      <c r="AC47" s="25">
        <f>IF(A47="","",SUMIFS('Recipe Ingredients'!$N$5:$N$1204,'Recipe Ingredients'!$B$5:$B$1204,A47))</f>
        <v>0</v>
      </c>
      <c r="AD47" s="25">
        <f>IF(OR(AC47="",G47=""),"",IF(G47=0,"",AC47/G47))</f>
        <v>0</v>
      </c>
      <c r="AE47" s="30">
        <f>IF(OR(A47="",G47=""),"",IF(G47=0,"",SUMIFS('Recipe Ingredients'!$Q$5:$Q$1204,'Recipe Ingredients'!$B$5:$B$1204,A47)/G47))</f>
        <v>0</v>
      </c>
      <c r="AF47" s="45">
        <f>IF(OR(A47="",G47=""),"",IF(G47=0,"",SUMIFS('Recipe Ingredients'!$R$5:$R$1204,'Recipe Ingredients'!$B$5:$B$1204,A47)/G47))</f>
        <v>0</v>
      </c>
      <c r="AG47" s="45">
        <f>IF(OR(A47="",G47=""),"",IF(G47=0,"",SUMIFS('Recipe Ingredients'!$S$5:$S$1204,'Recipe Ingredients'!$B$5:$B$1204,A47)/G47))</f>
        <v>0</v>
      </c>
      <c r="AH47" s="45">
        <f>IF(OR(A47="",G47=""),"",IF(G47=0,"",SUMIFS('Recipe Ingredients'!$T$5:$T$1204,'Recipe Ingredients'!$B$5:$B$1204,A47)/G47))</f>
        <v>0</v>
      </c>
      <c r="AI47" s="45">
        <f>IF(OR(A47="",G47=""),"",IF(G47=0,"",SUMIFS('Recipe Ingredients'!$U$5:$U$1204,'Recipe Ingredients'!$B$5:$B$1204,A47)/G47))</f>
        <v>0</v>
      </c>
      <c r="AJ47" s="17">
        <f>IF(A47="","",IF(COUNTIFS('Recipe Ingredients'!$B$5:$B$1204,A47,'Recipe Ingredients'!$V$5:$V$1204,"&lt;&gt;",'Recipe Ingredients'!$V$5:$V$1204,"&lt;&gt;None")=0,"None listed",COUNTIFS('Recipe Ingredients'!$B$5:$B$1204,A47,'Recipe Ingredients'!$V$5:$V$1204,"&lt;&gt;",'Recipe Ingredients'!$V$5:$V$1204,"&lt;&gt;None")&amp;" ingredient(s) flagged"))</f>
        <v>0</v>
      </c>
      <c r="AK47" s="18">
        <f>IF(OR(AD47="",NOT(ISNUMBER(AD47))),"",COUNTIFS($AD$5:$AD$204,"&lt;"&amp;AD47)+COUNTIFS($AD$5:AD47,AD47))</f>
        <v>0</v>
      </c>
      <c r="AL47" s="18">
        <f>IF(B47="",0,IF(AND(OR(FilterDiet="Any",T47=FilterDiet),OR(FilterCategory="Any",C47=FilterCategory),OR(FilterMethod="Any",L47=FilterMethod),OR(FilterTime=0,AND(J47&lt;&gt;"",J47&lt;=FilterTime)),OR(FilterCost=0,AND(AD47&lt;&gt;"",ISNUMBER(AD47),AD47&lt;=FilterCost)),OR(FilterAllergen="Any",COUNTIFS('Recipe Ingredients'!$B$5:$B$1204,A47,'Recipe Ingredients'!$V$5:$V$1204,FilterAllergen)=0)),1,0))</f>
        <v>0</v>
      </c>
      <c r="AM47" s="18">
        <f>IF(AL47=0,"",SUM($AL$5:AL47))</f>
        <v>0</v>
      </c>
      <c r="AN47" s="18">
        <f>IF(B47="","",COUNTIFS($AZ$5:$AZ$204,"&gt;"&amp;AZ47)+COUNTIFS($AZ$5:AZ47,AZ47))</f>
        <v>0</v>
      </c>
      <c r="AO47" s="18">
        <f>IF(B47="","",COUNTIFS($AE$5:$AE$204,"&gt;"&amp;AE47)+COUNTIFS($AE$5:AE47,AE47))</f>
        <v>0</v>
      </c>
      <c r="AP47" s="18">
        <f>IF(B47="","",COUNTIFS($AF$5:$AF$204,"&gt;"&amp;AF47)+COUNTIFS($AF$5:AF47,AF47))</f>
        <v>0</v>
      </c>
      <c r="AQ47" s="18">
        <f>IF(B47="","",COUNTIFS($AI$5:$AI$204,"&gt;"&amp;AI47)+COUNTIFS($AI$5:AI47,AI47))</f>
        <v>0</v>
      </c>
      <c r="AR47" s="18">
        <f>IF(B47="","",COUNTIFS($AS$5:$AS$204,"&gt;"&amp;AS47)+COUNTIFS($AS$5:AS47,AS47))</f>
        <v>0</v>
      </c>
      <c r="AS47" s="45">
        <f>IF(B47="","",IF(BB47="",99999,BC47))</f>
        <v>0</v>
      </c>
      <c r="AT47" s="45">
        <f>IF(A47="",0,SUMIFS('Meal Plan'!$L$5:$L$504,'Meal Plan'!$G$5:$G$504,A47,'Meal Plan'!$B$5:$B$504,"&gt;="&amp;ShopFrom,'Meal Plan'!$B$5:$B$504,"&lt;="&amp;ShopTo,'Meal Plan'!$M$5:$M$504,"Yes"))</f>
        <v>0</v>
      </c>
      <c r="AU47" s="25">
        <f>IF(OR(A47="",AC47=""),"",AC47*AT47)</f>
        <v>0</v>
      </c>
      <c r="AV47" s="18">
        <f>IF(A47="","",COUNTIFS('Recipe Ingredients'!$B$5:$B$1204,A47,'Recipe Ingredients'!$N$5:$N$1204,""))</f>
        <v>0</v>
      </c>
      <c r="AZ47" s="18">
        <f>IF(A47="","",COUNTIFS('Meal Plan'!$G$5:$G$504,A47))</f>
        <v>0</v>
      </c>
      <c r="BA47" s="18">
        <f>IF(A47="","",COUNTIFS('Meal Plan'!$G$5:$G$504,A47,'Meal Plan'!$N$5:$N$504,"Prepared")+COUNTIFS('Meal Plan'!$G$5:$G$504,A47,'Meal Plan'!$N$5:$N$504,"Eaten"))</f>
        <v>0</v>
      </c>
      <c r="BB47" s="19">
        <f>IF(A47="","",IF(COUNTIFS('Meal Plan'!$G$5:$G$504,A47,'Meal Plan'!$B$5:$B$504,"&lt;="&amp;TODAY())=0,"",SUMPRODUCT(MAX(('Meal Plan'!$G$5:$G$504=A47)*('Meal Plan'!$B$5:$B$504&lt;=TODAY())*'Meal Plan'!$B$5:$B$504))))</f>
        <v>0</v>
      </c>
      <c r="BC47" s="18">
        <f>IF(BB47="","",TODAY()-BB47)</f>
        <v>0</v>
      </c>
      <c r="BF47" s="31">
        <f>IF(B47="","",IF(G47="","Add - how many does it serve?",IF(AB47=0,"Add - no ingredients listed yet",IF(AV47&gt;0,"Check - "&amp;AV47&amp;" ingredient(s) have no price",IF(AND(BC47&lt;&gt;"",BC47&lt;RotationGapDays),"Cooked recently","OK")))))</f>
        <v>0</v>
      </c>
    </row>
    <row r="48" spans="1:58">
      <c r="A48" s="39">
        <f>IF(B48="","",RecipePrefix&amp;TEXT(ROW()-4,"0000"))</f>
        <v>0</v>
      </c>
      <c r="J48" s="18">
        <f>IF(B48="","",IF(AND(H48="",I48=""),"",IF(H48="",0,H48)+IF(I48="",0,I48)))</f>
        <v>0</v>
      </c>
      <c r="K48" s="46">
        <f>IF(J48="","",IF(J48&lt;=30,"Yes","No"))</f>
        <v>0</v>
      </c>
      <c r="AB48" s="18">
        <f>IF(A48="","",COUNTIFS('Recipe Ingredients'!$B$5:$B$1204,A48))</f>
        <v>0</v>
      </c>
      <c r="AC48" s="25">
        <f>IF(A48="","",SUMIFS('Recipe Ingredients'!$N$5:$N$1204,'Recipe Ingredients'!$B$5:$B$1204,A48))</f>
        <v>0</v>
      </c>
      <c r="AD48" s="25">
        <f>IF(OR(AC48="",G48=""),"",IF(G48=0,"",AC48/G48))</f>
        <v>0</v>
      </c>
      <c r="AE48" s="30">
        <f>IF(OR(A48="",G48=""),"",IF(G48=0,"",SUMIFS('Recipe Ingredients'!$Q$5:$Q$1204,'Recipe Ingredients'!$B$5:$B$1204,A48)/G48))</f>
        <v>0</v>
      </c>
      <c r="AF48" s="45">
        <f>IF(OR(A48="",G48=""),"",IF(G48=0,"",SUMIFS('Recipe Ingredients'!$R$5:$R$1204,'Recipe Ingredients'!$B$5:$B$1204,A48)/G48))</f>
        <v>0</v>
      </c>
      <c r="AG48" s="45">
        <f>IF(OR(A48="",G48=""),"",IF(G48=0,"",SUMIFS('Recipe Ingredients'!$S$5:$S$1204,'Recipe Ingredients'!$B$5:$B$1204,A48)/G48))</f>
        <v>0</v>
      </c>
      <c r="AH48" s="45">
        <f>IF(OR(A48="",G48=""),"",IF(G48=0,"",SUMIFS('Recipe Ingredients'!$T$5:$T$1204,'Recipe Ingredients'!$B$5:$B$1204,A48)/G48))</f>
        <v>0</v>
      </c>
      <c r="AI48" s="45">
        <f>IF(OR(A48="",G48=""),"",IF(G48=0,"",SUMIFS('Recipe Ingredients'!$U$5:$U$1204,'Recipe Ingredients'!$B$5:$B$1204,A48)/G48))</f>
        <v>0</v>
      </c>
      <c r="AJ48" s="17">
        <f>IF(A48="","",IF(COUNTIFS('Recipe Ingredients'!$B$5:$B$1204,A48,'Recipe Ingredients'!$V$5:$V$1204,"&lt;&gt;",'Recipe Ingredients'!$V$5:$V$1204,"&lt;&gt;None")=0,"None listed",COUNTIFS('Recipe Ingredients'!$B$5:$B$1204,A48,'Recipe Ingredients'!$V$5:$V$1204,"&lt;&gt;",'Recipe Ingredients'!$V$5:$V$1204,"&lt;&gt;None")&amp;" ingredient(s) flagged"))</f>
        <v>0</v>
      </c>
      <c r="AK48" s="18">
        <f>IF(OR(AD48="",NOT(ISNUMBER(AD48))),"",COUNTIFS($AD$5:$AD$204,"&lt;"&amp;AD48)+COUNTIFS($AD$5:AD48,AD48))</f>
        <v>0</v>
      </c>
      <c r="AL48" s="18">
        <f>IF(B48="",0,IF(AND(OR(FilterDiet="Any",T48=FilterDiet),OR(FilterCategory="Any",C48=FilterCategory),OR(FilterMethod="Any",L48=FilterMethod),OR(FilterTime=0,AND(J48&lt;&gt;"",J48&lt;=FilterTime)),OR(FilterCost=0,AND(AD48&lt;&gt;"",ISNUMBER(AD48),AD48&lt;=FilterCost)),OR(FilterAllergen="Any",COUNTIFS('Recipe Ingredients'!$B$5:$B$1204,A48,'Recipe Ingredients'!$V$5:$V$1204,FilterAllergen)=0)),1,0))</f>
        <v>0</v>
      </c>
      <c r="AM48" s="18">
        <f>IF(AL48=0,"",SUM($AL$5:AL48))</f>
        <v>0</v>
      </c>
      <c r="AN48" s="18">
        <f>IF(B48="","",COUNTIFS($AZ$5:$AZ$204,"&gt;"&amp;AZ48)+COUNTIFS($AZ$5:AZ48,AZ48))</f>
        <v>0</v>
      </c>
      <c r="AO48" s="18">
        <f>IF(B48="","",COUNTIFS($AE$5:$AE$204,"&gt;"&amp;AE48)+COUNTIFS($AE$5:AE48,AE48))</f>
        <v>0</v>
      </c>
      <c r="AP48" s="18">
        <f>IF(B48="","",COUNTIFS($AF$5:$AF$204,"&gt;"&amp;AF48)+COUNTIFS($AF$5:AF48,AF48))</f>
        <v>0</v>
      </c>
      <c r="AQ48" s="18">
        <f>IF(B48="","",COUNTIFS($AI$5:$AI$204,"&gt;"&amp;AI48)+COUNTIFS($AI$5:AI48,AI48))</f>
        <v>0</v>
      </c>
      <c r="AR48" s="18">
        <f>IF(B48="","",COUNTIFS($AS$5:$AS$204,"&gt;"&amp;AS48)+COUNTIFS($AS$5:AS48,AS48))</f>
        <v>0</v>
      </c>
      <c r="AS48" s="45">
        <f>IF(B48="","",IF(BB48="",99999,BC48))</f>
        <v>0</v>
      </c>
      <c r="AT48" s="45">
        <f>IF(A48="",0,SUMIFS('Meal Plan'!$L$5:$L$504,'Meal Plan'!$G$5:$G$504,A48,'Meal Plan'!$B$5:$B$504,"&gt;="&amp;ShopFrom,'Meal Plan'!$B$5:$B$504,"&lt;="&amp;ShopTo,'Meal Plan'!$M$5:$M$504,"Yes"))</f>
        <v>0</v>
      </c>
      <c r="AU48" s="25">
        <f>IF(OR(A48="",AC48=""),"",AC48*AT48)</f>
        <v>0</v>
      </c>
      <c r="AV48" s="18">
        <f>IF(A48="","",COUNTIFS('Recipe Ingredients'!$B$5:$B$1204,A48,'Recipe Ingredients'!$N$5:$N$1204,""))</f>
        <v>0</v>
      </c>
      <c r="AZ48" s="18">
        <f>IF(A48="","",COUNTIFS('Meal Plan'!$G$5:$G$504,A48))</f>
        <v>0</v>
      </c>
      <c r="BA48" s="18">
        <f>IF(A48="","",COUNTIFS('Meal Plan'!$G$5:$G$504,A48,'Meal Plan'!$N$5:$N$504,"Prepared")+COUNTIFS('Meal Plan'!$G$5:$G$504,A48,'Meal Plan'!$N$5:$N$504,"Eaten"))</f>
        <v>0</v>
      </c>
      <c r="BB48" s="19">
        <f>IF(A48="","",IF(COUNTIFS('Meal Plan'!$G$5:$G$504,A48,'Meal Plan'!$B$5:$B$504,"&lt;="&amp;TODAY())=0,"",SUMPRODUCT(MAX(('Meal Plan'!$G$5:$G$504=A48)*('Meal Plan'!$B$5:$B$504&lt;=TODAY())*'Meal Plan'!$B$5:$B$504))))</f>
        <v>0</v>
      </c>
      <c r="BC48" s="18">
        <f>IF(BB48="","",TODAY()-BB48)</f>
        <v>0</v>
      </c>
      <c r="BF48" s="31">
        <f>IF(B48="","",IF(G48="","Add - how many does it serve?",IF(AB48=0,"Add - no ingredients listed yet",IF(AV48&gt;0,"Check - "&amp;AV48&amp;" ingredient(s) have no price",IF(AND(BC48&lt;&gt;"",BC48&lt;RotationGapDays),"Cooked recently","OK")))))</f>
        <v>0</v>
      </c>
    </row>
    <row r="49" spans="1:58">
      <c r="A49" s="39">
        <f>IF(B49="","",RecipePrefix&amp;TEXT(ROW()-4,"0000"))</f>
        <v>0</v>
      </c>
      <c r="J49" s="18">
        <f>IF(B49="","",IF(AND(H49="",I49=""),"",IF(H49="",0,H49)+IF(I49="",0,I49)))</f>
        <v>0</v>
      </c>
      <c r="K49" s="46">
        <f>IF(J49="","",IF(J49&lt;=30,"Yes","No"))</f>
        <v>0</v>
      </c>
      <c r="AB49" s="18">
        <f>IF(A49="","",COUNTIFS('Recipe Ingredients'!$B$5:$B$1204,A49))</f>
        <v>0</v>
      </c>
      <c r="AC49" s="25">
        <f>IF(A49="","",SUMIFS('Recipe Ingredients'!$N$5:$N$1204,'Recipe Ingredients'!$B$5:$B$1204,A49))</f>
        <v>0</v>
      </c>
      <c r="AD49" s="25">
        <f>IF(OR(AC49="",G49=""),"",IF(G49=0,"",AC49/G49))</f>
        <v>0</v>
      </c>
      <c r="AE49" s="30">
        <f>IF(OR(A49="",G49=""),"",IF(G49=0,"",SUMIFS('Recipe Ingredients'!$Q$5:$Q$1204,'Recipe Ingredients'!$B$5:$B$1204,A49)/G49))</f>
        <v>0</v>
      </c>
      <c r="AF49" s="45">
        <f>IF(OR(A49="",G49=""),"",IF(G49=0,"",SUMIFS('Recipe Ingredients'!$R$5:$R$1204,'Recipe Ingredients'!$B$5:$B$1204,A49)/G49))</f>
        <v>0</v>
      </c>
      <c r="AG49" s="45">
        <f>IF(OR(A49="",G49=""),"",IF(G49=0,"",SUMIFS('Recipe Ingredients'!$S$5:$S$1204,'Recipe Ingredients'!$B$5:$B$1204,A49)/G49))</f>
        <v>0</v>
      </c>
      <c r="AH49" s="45">
        <f>IF(OR(A49="",G49=""),"",IF(G49=0,"",SUMIFS('Recipe Ingredients'!$T$5:$T$1204,'Recipe Ingredients'!$B$5:$B$1204,A49)/G49))</f>
        <v>0</v>
      </c>
      <c r="AI49" s="45">
        <f>IF(OR(A49="",G49=""),"",IF(G49=0,"",SUMIFS('Recipe Ingredients'!$U$5:$U$1204,'Recipe Ingredients'!$B$5:$B$1204,A49)/G49))</f>
        <v>0</v>
      </c>
      <c r="AJ49" s="17">
        <f>IF(A49="","",IF(COUNTIFS('Recipe Ingredients'!$B$5:$B$1204,A49,'Recipe Ingredients'!$V$5:$V$1204,"&lt;&gt;",'Recipe Ingredients'!$V$5:$V$1204,"&lt;&gt;None")=0,"None listed",COUNTIFS('Recipe Ingredients'!$B$5:$B$1204,A49,'Recipe Ingredients'!$V$5:$V$1204,"&lt;&gt;",'Recipe Ingredients'!$V$5:$V$1204,"&lt;&gt;None")&amp;" ingredient(s) flagged"))</f>
        <v>0</v>
      </c>
      <c r="AK49" s="18">
        <f>IF(OR(AD49="",NOT(ISNUMBER(AD49))),"",COUNTIFS($AD$5:$AD$204,"&lt;"&amp;AD49)+COUNTIFS($AD$5:AD49,AD49))</f>
        <v>0</v>
      </c>
      <c r="AL49" s="18">
        <f>IF(B49="",0,IF(AND(OR(FilterDiet="Any",T49=FilterDiet),OR(FilterCategory="Any",C49=FilterCategory),OR(FilterMethod="Any",L49=FilterMethod),OR(FilterTime=0,AND(J49&lt;&gt;"",J49&lt;=FilterTime)),OR(FilterCost=0,AND(AD49&lt;&gt;"",ISNUMBER(AD49),AD49&lt;=FilterCost)),OR(FilterAllergen="Any",COUNTIFS('Recipe Ingredients'!$B$5:$B$1204,A49,'Recipe Ingredients'!$V$5:$V$1204,FilterAllergen)=0)),1,0))</f>
        <v>0</v>
      </c>
      <c r="AM49" s="18">
        <f>IF(AL49=0,"",SUM($AL$5:AL49))</f>
        <v>0</v>
      </c>
      <c r="AN49" s="18">
        <f>IF(B49="","",COUNTIFS($AZ$5:$AZ$204,"&gt;"&amp;AZ49)+COUNTIFS($AZ$5:AZ49,AZ49))</f>
        <v>0</v>
      </c>
      <c r="AO49" s="18">
        <f>IF(B49="","",COUNTIFS($AE$5:$AE$204,"&gt;"&amp;AE49)+COUNTIFS($AE$5:AE49,AE49))</f>
        <v>0</v>
      </c>
      <c r="AP49" s="18">
        <f>IF(B49="","",COUNTIFS($AF$5:$AF$204,"&gt;"&amp;AF49)+COUNTIFS($AF$5:AF49,AF49))</f>
        <v>0</v>
      </c>
      <c r="AQ49" s="18">
        <f>IF(B49="","",COUNTIFS($AI$5:$AI$204,"&gt;"&amp;AI49)+COUNTIFS($AI$5:AI49,AI49))</f>
        <v>0</v>
      </c>
      <c r="AR49" s="18">
        <f>IF(B49="","",COUNTIFS($AS$5:$AS$204,"&gt;"&amp;AS49)+COUNTIFS($AS$5:AS49,AS49))</f>
        <v>0</v>
      </c>
      <c r="AS49" s="45">
        <f>IF(B49="","",IF(BB49="",99999,BC49))</f>
        <v>0</v>
      </c>
      <c r="AT49" s="45">
        <f>IF(A49="",0,SUMIFS('Meal Plan'!$L$5:$L$504,'Meal Plan'!$G$5:$G$504,A49,'Meal Plan'!$B$5:$B$504,"&gt;="&amp;ShopFrom,'Meal Plan'!$B$5:$B$504,"&lt;="&amp;ShopTo,'Meal Plan'!$M$5:$M$504,"Yes"))</f>
        <v>0</v>
      </c>
      <c r="AU49" s="25">
        <f>IF(OR(A49="",AC49=""),"",AC49*AT49)</f>
        <v>0</v>
      </c>
      <c r="AV49" s="18">
        <f>IF(A49="","",COUNTIFS('Recipe Ingredients'!$B$5:$B$1204,A49,'Recipe Ingredients'!$N$5:$N$1204,""))</f>
        <v>0</v>
      </c>
      <c r="AZ49" s="18">
        <f>IF(A49="","",COUNTIFS('Meal Plan'!$G$5:$G$504,A49))</f>
        <v>0</v>
      </c>
      <c r="BA49" s="18">
        <f>IF(A49="","",COUNTIFS('Meal Plan'!$G$5:$G$504,A49,'Meal Plan'!$N$5:$N$504,"Prepared")+COUNTIFS('Meal Plan'!$G$5:$G$504,A49,'Meal Plan'!$N$5:$N$504,"Eaten"))</f>
        <v>0</v>
      </c>
      <c r="BB49" s="19">
        <f>IF(A49="","",IF(COUNTIFS('Meal Plan'!$G$5:$G$504,A49,'Meal Plan'!$B$5:$B$504,"&lt;="&amp;TODAY())=0,"",SUMPRODUCT(MAX(('Meal Plan'!$G$5:$G$504=A49)*('Meal Plan'!$B$5:$B$504&lt;=TODAY())*'Meal Plan'!$B$5:$B$504))))</f>
        <v>0</v>
      </c>
      <c r="BC49" s="18">
        <f>IF(BB49="","",TODAY()-BB49)</f>
        <v>0</v>
      </c>
      <c r="BF49" s="31">
        <f>IF(B49="","",IF(G49="","Add - how many does it serve?",IF(AB49=0,"Add - no ingredients listed yet",IF(AV49&gt;0,"Check - "&amp;AV49&amp;" ingredient(s) have no price",IF(AND(BC49&lt;&gt;"",BC49&lt;RotationGapDays),"Cooked recently","OK")))))</f>
        <v>0</v>
      </c>
    </row>
    <row r="50" spans="1:58">
      <c r="A50" s="39">
        <f>IF(B50="","",RecipePrefix&amp;TEXT(ROW()-4,"0000"))</f>
        <v>0</v>
      </c>
      <c r="J50" s="18">
        <f>IF(B50="","",IF(AND(H50="",I50=""),"",IF(H50="",0,H50)+IF(I50="",0,I50)))</f>
        <v>0</v>
      </c>
      <c r="K50" s="46">
        <f>IF(J50="","",IF(J50&lt;=30,"Yes","No"))</f>
        <v>0</v>
      </c>
      <c r="AB50" s="18">
        <f>IF(A50="","",COUNTIFS('Recipe Ingredients'!$B$5:$B$1204,A50))</f>
        <v>0</v>
      </c>
      <c r="AC50" s="25">
        <f>IF(A50="","",SUMIFS('Recipe Ingredients'!$N$5:$N$1204,'Recipe Ingredients'!$B$5:$B$1204,A50))</f>
        <v>0</v>
      </c>
      <c r="AD50" s="25">
        <f>IF(OR(AC50="",G50=""),"",IF(G50=0,"",AC50/G50))</f>
        <v>0</v>
      </c>
      <c r="AE50" s="30">
        <f>IF(OR(A50="",G50=""),"",IF(G50=0,"",SUMIFS('Recipe Ingredients'!$Q$5:$Q$1204,'Recipe Ingredients'!$B$5:$B$1204,A50)/G50))</f>
        <v>0</v>
      </c>
      <c r="AF50" s="45">
        <f>IF(OR(A50="",G50=""),"",IF(G50=0,"",SUMIFS('Recipe Ingredients'!$R$5:$R$1204,'Recipe Ingredients'!$B$5:$B$1204,A50)/G50))</f>
        <v>0</v>
      </c>
      <c r="AG50" s="45">
        <f>IF(OR(A50="",G50=""),"",IF(G50=0,"",SUMIFS('Recipe Ingredients'!$S$5:$S$1204,'Recipe Ingredients'!$B$5:$B$1204,A50)/G50))</f>
        <v>0</v>
      </c>
      <c r="AH50" s="45">
        <f>IF(OR(A50="",G50=""),"",IF(G50=0,"",SUMIFS('Recipe Ingredients'!$T$5:$T$1204,'Recipe Ingredients'!$B$5:$B$1204,A50)/G50))</f>
        <v>0</v>
      </c>
      <c r="AI50" s="45">
        <f>IF(OR(A50="",G50=""),"",IF(G50=0,"",SUMIFS('Recipe Ingredients'!$U$5:$U$1204,'Recipe Ingredients'!$B$5:$B$1204,A50)/G50))</f>
        <v>0</v>
      </c>
      <c r="AJ50" s="17">
        <f>IF(A50="","",IF(COUNTIFS('Recipe Ingredients'!$B$5:$B$1204,A50,'Recipe Ingredients'!$V$5:$V$1204,"&lt;&gt;",'Recipe Ingredients'!$V$5:$V$1204,"&lt;&gt;None")=0,"None listed",COUNTIFS('Recipe Ingredients'!$B$5:$B$1204,A50,'Recipe Ingredients'!$V$5:$V$1204,"&lt;&gt;",'Recipe Ingredients'!$V$5:$V$1204,"&lt;&gt;None")&amp;" ingredient(s) flagged"))</f>
        <v>0</v>
      </c>
      <c r="AK50" s="18">
        <f>IF(OR(AD50="",NOT(ISNUMBER(AD50))),"",COUNTIFS($AD$5:$AD$204,"&lt;"&amp;AD50)+COUNTIFS($AD$5:AD50,AD50))</f>
        <v>0</v>
      </c>
      <c r="AL50" s="18">
        <f>IF(B50="",0,IF(AND(OR(FilterDiet="Any",T50=FilterDiet),OR(FilterCategory="Any",C50=FilterCategory),OR(FilterMethod="Any",L50=FilterMethod),OR(FilterTime=0,AND(J50&lt;&gt;"",J50&lt;=FilterTime)),OR(FilterCost=0,AND(AD50&lt;&gt;"",ISNUMBER(AD50),AD50&lt;=FilterCost)),OR(FilterAllergen="Any",COUNTIFS('Recipe Ingredients'!$B$5:$B$1204,A50,'Recipe Ingredients'!$V$5:$V$1204,FilterAllergen)=0)),1,0))</f>
        <v>0</v>
      </c>
      <c r="AM50" s="18">
        <f>IF(AL50=0,"",SUM($AL$5:AL50))</f>
        <v>0</v>
      </c>
      <c r="AN50" s="18">
        <f>IF(B50="","",COUNTIFS($AZ$5:$AZ$204,"&gt;"&amp;AZ50)+COUNTIFS($AZ$5:AZ50,AZ50))</f>
        <v>0</v>
      </c>
      <c r="AO50" s="18">
        <f>IF(B50="","",COUNTIFS($AE$5:$AE$204,"&gt;"&amp;AE50)+COUNTIFS($AE$5:AE50,AE50))</f>
        <v>0</v>
      </c>
      <c r="AP50" s="18">
        <f>IF(B50="","",COUNTIFS($AF$5:$AF$204,"&gt;"&amp;AF50)+COUNTIFS($AF$5:AF50,AF50))</f>
        <v>0</v>
      </c>
      <c r="AQ50" s="18">
        <f>IF(B50="","",COUNTIFS($AI$5:$AI$204,"&gt;"&amp;AI50)+COUNTIFS($AI$5:AI50,AI50))</f>
        <v>0</v>
      </c>
      <c r="AR50" s="18">
        <f>IF(B50="","",COUNTIFS($AS$5:$AS$204,"&gt;"&amp;AS50)+COUNTIFS($AS$5:AS50,AS50))</f>
        <v>0</v>
      </c>
      <c r="AS50" s="45">
        <f>IF(B50="","",IF(BB50="",99999,BC50))</f>
        <v>0</v>
      </c>
      <c r="AT50" s="45">
        <f>IF(A50="",0,SUMIFS('Meal Plan'!$L$5:$L$504,'Meal Plan'!$G$5:$G$504,A50,'Meal Plan'!$B$5:$B$504,"&gt;="&amp;ShopFrom,'Meal Plan'!$B$5:$B$504,"&lt;="&amp;ShopTo,'Meal Plan'!$M$5:$M$504,"Yes"))</f>
        <v>0</v>
      </c>
      <c r="AU50" s="25">
        <f>IF(OR(A50="",AC50=""),"",AC50*AT50)</f>
        <v>0</v>
      </c>
      <c r="AV50" s="18">
        <f>IF(A50="","",COUNTIFS('Recipe Ingredients'!$B$5:$B$1204,A50,'Recipe Ingredients'!$N$5:$N$1204,""))</f>
        <v>0</v>
      </c>
      <c r="AZ50" s="18">
        <f>IF(A50="","",COUNTIFS('Meal Plan'!$G$5:$G$504,A50))</f>
        <v>0</v>
      </c>
      <c r="BA50" s="18">
        <f>IF(A50="","",COUNTIFS('Meal Plan'!$G$5:$G$504,A50,'Meal Plan'!$N$5:$N$504,"Prepared")+COUNTIFS('Meal Plan'!$G$5:$G$504,A50,'Meal Plan'!$N$5:$N$504,"Eaten"))</f>
        <v>0</v>
      </c>
      <c r="BB50" s="19">
        <f>IF(A50="","",IF(COUNTIFS('Meal Plan'!$G$5:$G$504,A50,'Meal Plan'!$B$5:$B$504,"&lt;="&amp;TODAY())=0,"",SUMPRODUCT(MAX(('Meal Plan'!$G$5:$G$504=A50)*('Meal Plan'!$B$5:$B$504&lt;=TODAY())*'Meal Plan'!$B$5:$B$504))))</f>
        <v>0</v>
      </c>
      <c r="BC50" s="18">
        <f>IF(BB50="","",TODAY()-BB50)</f>
        <v>0</v>
      </c>
      <c r="BF50" s="31">
        <f>IF(B50="","",IF(G50="","Add - how many does it serve?",IF(AB50=0,"Add - no ingredients listed yet",IF(AV50&gt;0,"Check - "&amp;AV50&amp;" ingredient(s) have no price",IF(AND(BC50&lt;&gt;"",BC50&lt;RotationGapDays),"Cooked recently","OK")))))</f>
        <v>0</v>
      </c>
    </row>
    <row r="51" spans="1:58">
      <c r="A51" s="39">
        <f>IF(B51="","",RecipePrefix&amp;TEXT(ROW()-4,"0000"))</f>
        <v>0</v>
      </c>
      <c r="J51" s="18">
        <f>IF(B51="","",IF(AND(H51="",I51=""),"",IF(H51="",0,H51)+IF(I51="",0,I51)))</f>
        <v>0</v>
      </c>
      <c r="K51" s="46">
        <f>IF(J51="","",IF(J51&lt;=30,"Yes","No"))</f>
        <v>0</v>
      </c>
      <c r="AB51" s="18">
        <f>IF(A51="","",COUNTIFS('Recipe Ingredients'!$B$5:$B$1204,A51))</f>
        <v>0</v>
      </c>
      <c r="AC51" s="25">
        <f>IF(A51="","",SUMIFS('Recipe Ingredients'!$N$5:$N$1204,'Recipe Ingredients'!$B$5:$B$1204,A51))</f>
        <v>0</v>
      </c>
      <c r="AD51" s="25">
        <f>IF(OR(AC51="",G51=""),"",IF(G51=0,"",AC51/G51))</f>
        <v>0</v>
      </c>
      <c r="AE51" s="30">
        <f>IF(OR(A51="",G51=""),"",IF(G51=0,"",SUMIFS('Recipe Ingredients'!$Q$5:$Q$1204,'Recipe Ingredients'!$B$5:$B$1204,A51)/G51))</f>
        <v>0</v>
      </c>
      <c r="AF51" s="45">
        <f>IF(OR(A51="",G51=""),"",IF(G51=0,"",SUMIFS('Recipe Ingredients'!$R$5:$R$1204,'Recipe Ingredients'!$B$5:$B$1204,A51)/G51))</f>
        <v>0</v>
      </c>
      <c r="AG51" s="45">
        <f>IF(OR(A51="",G51=""),"",IF(G51=0,"",SUMIFS('Recipe Ingredients'!$S$5:$S$1204,'Recipe Ingredients'!$B$5:$B$1204,A51)/G51))</f>
        <v>0</v>
      </c>
      <c r="AH51" s="45">
        <f>IF(OR(A51="",G51=""),"",IF(G51=0,"",SUMIFS('Recipe Ingredients'!$T$5:$T$1204,'Recipe Ingredients'!$B$5:$B$1204,A51)/G51))</f>
        <v>0</v>
      </c>
      <c r="AI51" s="45">
        <f>IF(OR(A51="",G51=""),"",IF(G51=0,"",SUMIFS('Recipe Ingredients'!$U$5:$U$1204,'Recipe Ingredients'!$B$5:$B$1204,A51)/G51))</f>
        <v>0</v>
      </c>
      <c r="AJ51" s="17">
        <f>IF(A51="","",IF(COUNTIFS('Recipe Ingredients'!$B$5:$B$1204,A51,'Recipe Ingredients'!$V$5:$V$1204,"&lt;&gt;",'Recipe Ingredients'!$V$5:$V$1204,"&lt;&gt;None")=0,"None listed",COUNTIFS('Recipe Ingredients'!$B$5:$B$1204,A51,'Recipe Ingredients'!$V$5:$V$1204,"&lt;&gt;",'Recipe Ingredients'!$V$5:$V$1204,"&lt;&gt;None")&amp;" ingredient(s) flagged"))</f>
        <v>0</v>
      </c>
      <c r="AK51" s="18">
        <f>IF(OR(AD51="",NOT(ISNUMBER(AD51))),"",COUNTIFS($AD$5:$AD$204,"&lt;"&amp;AD51)+COUNTIFS($AD$5:AD51,AD51))</f>
        <v>0</v>
      </c>
      <c r="AL51" s="18">
        <f>IF(B51="",0,IF(AND(OR(FilterDiet="Any",T51=FilterDiet),OR(FilterCategory="Any",C51=FilterCategory),OR(FilterMethod="Any",L51=FilterMethod),OR(FilterTime=0,AND(J51&lt;&gt;"",J51&lt;=FilterTime)),OR(FilterCost=0,AND(AD51&lt;&gt;"",ISNUMBER(AD51),AD51&lt;=FilterCost)),OR(FilterAllergen="Any",COUNTIFS('Recipe Ingredients'!$B$5:$B$1204,A51,'Recipe Ingredients'!$V$5:$V$1204,FilterAllergen)=0)),1,0))</f>
        <v>0</v>
      </c>
      <c r="AM51" s="18">
        <f>IF(AL51=0,"",SUM($AL$5:AL51))</f>
        <v>0</v>
      </c>
      <c r="AN51" s="18">
        <f>IF(B51="","",COUNTIFS($AZ$5:$AZ$204,"&gt;"&amp;AZ51)+COUNTIFS($AZ$5:AZ51,AZ51))</f>
        <v>0</v>
      </c>
      <c r="AO51" s="18">
        <f>IF(B51="","",COUNTIFS($AE$5:$AE$204,"&gt;"&amp;AE51)+COUNTIFS($AE$5:AE51,AE51))</f>
        <v>0</v>
      </c>
      <c r="AP51" s="18">
        <f>IF(B51="","",COUNTIFS($AF$5:$AF$204,"&gt;"&amp;AF51)+COUNTIFS($AF$5:AF51,AF51))</f>
        <v>0</v>
      </c>
      <c r="AQ51" s="18">
        <f>IF(B51="","",COUNTIFS($AI$5:$AI$204,"&gt;"&amp;AI51)+COUNTIFS($AI$5:AI51,AI51))</f>
        <v>0</v>
      </c>
      <c r="AR51" s="18">
        <f>IF(B51="","",COUNTIFS($AS$5:$AS$204,"&gt;"&amp;AS51)+COUNTIFS($AS$5:AS51,AS51))</f>
        <v>0</v>
      </c>
      <c r="AS51" s="45">
        <f>IF(B51="","",IF(BB51="",99999,BC51))</f>
        <v>0</v>
      </c>
      <c r="AT51" s="45">
        <f>IF(A51="",0,SUMIFS('Meal Plan'!$L$5:$L$504,'Meal Plan'!$G$5:$G$504,A51,'Meal Plan'!$B$5:$B$504,"&gt;="&amp;ShopFrom,'Meal Plan'!$B$5:$B$504,"&lt;="&amp;ShopTo,'Meal Plan'!$M$5:$M$504,"Yes"))</f>
        <v>0</v>
      </c>
      <c r="AU51" s="25">
        <f>IF(OR(A51="",AC51=""),"",AC51*AT51)</f>
        <v>0</v>
      </c>
      <c r="AV51" s="18">
        <f>IF(A51="","",COUNTIFS('Recipe Ingredients'!$B$5:$B$1204,A51,'Recipe Ingredients'!$N$5:$N$1204,""))</f>
        <v>0</v>
      </c>
      <c r="AZ51" s="18">
        <f>IF(A51="","",COUNTIFS('Meal Plan'!$G$5:$G$504,A51))</f>
        <v>0</v>
      </c>
      <c r="BA51" s="18">
        <f>IF(A51="","",COUNTIFS('Meal Plan'!$G$5:$G$504,A51,'Meal Plan'!$N$5:$N$504,"Prepared")+COUNTIFS('Meal Plan'!$G$5:$G$504,A51,'Meal Plan'!$N$5:$N$504,"Eaten"))</f>
        <v>0</v>
      </c>
      <c r="BB51" s="19">
        <f>IF(A51="","",IF(COUNTIFS('Meal Plan'!$G$5:$G$504,A51,'Meal Plan'!$B$5:$B$504,"&lt;="&amp;TODAY())=0,"",SUMPRODUCT(MAX(('Meal Plan'!$G$5:$G$504=A51)*('Meal Plan'!$B$5:$B$504&lt;=TODAY())*'Meal Plan'!$B$5:$B$504))))</f>
        <v>0</v>
      </c>
      <c r="BC51" s="18">
        <f>IF(BB51="","",TODAY()-BB51)</f>
        <v>0</v>
      </c>
      <c r="BF51" s="31">
        <f>IF(B51="","",IF(G51="","Add - how many does it serve?",IF(AB51=0,"Add - no ingredients listed yet",IF(AV51&gt;0,"Check - "&amp;AV51&amp;" ingredient(s) have no price",IF(AND(BC51&lt;&gt;"",BC51&lt;RotationGapDays),"Cooked recently","OK")))))</f>
        <v>0</v>
      </c>
    </row>
    <row r="52" spans="1:58">
      <c r="A52" s="39">
        <f>IF(B52="","",RecipePrefix&amp;TEXT(ROW()-4,"0000"))</f>
        <v>0</v>
      </c>
      <c r="J52" s="18">
        <f>IF(B52="","",IF(AND(H52="",I52=""),"",IF(H52="",0,H52)+IF(I52="",0,I52)))</f>
        <v>0</v>
      </c>
      <c r="K52" s="46">
        <f>IF(J52="","",IF(J52&lt;=30,"Yes","No"))</f>
        <v>0</v>
      </c>
      <c r="AB52" s="18">
        <f>IF(A52="","",COUNTIFS('Recipe Ingredients'!$B$5:$B$1204,A52))</f>
        <v>0</v>
      </c>
      <c r="AC52" s="25">
        <f>IF(A52="","",SUMIFS('Recipe Ingredients'!$N$5:$N$1204,'Recipe Ingredients'!$B$5:$B$1204,A52))</f>
        <v>0</v>
      </c>
      <c r="AD52" s="25">
        <f>IF(OR(AC52="",G52=""),"",IF(G52=0,"",AC52/G52))</f>
        <v>0</v>
      </c>
      <c r="AE52" s="30">
        <f>IF(OR(A52="",G52=""),"",IF(G52=0,"",SUMIFS('Recipe Ingredients'!$Q$5:$Q$1204,'Recipe Ingredients'!$B$5:$B$1204,A52)/G52))</f>
        <v>0</v>
      </c>
      <c r="AF52" s="45">
        <f>IF(OR(A52="",G52=""),"",IF(G52=0,"",SUMIFS('Recipe Ingredients'!$R$5:$R$1204,'Recipe Ingredients'!$B$5:$B$1204,A52)/G52))</f>
        <v>0</v>
      </c>
      <c r="AG52" s="45">
        <f>IF(OR(A52="",G52=""),"",IF(G52=0,"",SUMIFS('Recipe Ingredients'!$S$5:$S$1204,'Recipe Ingredients'!$B$5:$B$1204,A52)/G52))</f>
        <v>0</v>
      </c>
      <c r="AH52" s="45">
        <f>IF(OR(A52="",G52=""),"",IF(G52=0,"",SUMIFS('Recipe Ingredients'!$T$5:$T$1204,'Recipe Ingredients'!$B$5:$B$1204,A52)/G52))</f>
        <v>0</v>
      </c>
      <c r="AI52" s="45">
        <f>IF(OR(A52="",G52=""),"",IF(G52=0,"",SUMIFS('Recipe Ingredients'!$U$5:$U$1204,'Recipe Ingredients'!$B$5:$B$1204,A52)/G52))</f>
        <v>0</v>
      </c>
      <c r="AJ52" s="17">
        <f>IF(A52="","",IF(COUNTIFS('Recipe Ingredients'!$B$5:$B$1204,A52,'Recipe Ingredients'!$V$5:$V$1204,"&lt;&gt;",'Recipe Ingredients'!$V$5:$V$1204,"&lt;&gt;None")=0,"None listed",COUNTIFS('Recipe Ingredients'!$B$5:$B$1204,A52,'Recipe Ingredients'!$V$5:$V$1204,"&lt;&gt;",'Recipe Ingredients'!$V$5:$V$1204,"&lt;&gt;None")&amp;" ingredient(s) flagged"))</f>
        <v>0</v>
      </c>
      <c r="AK52" s="18">
        <f>IF(OR(AD52="",NOT(ISNUMBER(AD52))),"",COUNTIFS($AD$5:$AD$204,"&lt;"&amp;AD52)+COUNTIFS($AD$5:AD52,AD52))</f>
        <v>0</v>
      </c>
      <c r="AL52" s="18">
        <f>IF(B52="",0,IF(AND(OR(FilterDiet="Any",T52=FilterDiet),OR(FilterCategory="Any",C52=FilterCategory),OR(FilterMethod="Any",L52=FilterMethod),OR(FilterTime=0,AND(J52&lt;&gt;"",J52&lt;=FilterTime)),OR(FilterCost=0,AND(AD52&lt;&gt;"",ISNUMBER(AD52),AD52&lt;=FilterCost)),OR(FilterAllergen="Any",COUNTIFS('Recipe Ingredients'!$B$5:$B$1204,A52,'Recipe Ingredients'!$V$5:$V$1204,FilterAllergen)=0)),1,0))</f>
        <v>0</v>
      </c>
      <c r="AM52" s="18">
        <f>IF(AL52=0,"",SUM($AL$5:AL52))</f>
        <v>0</v>
      </c>
      <c r="AN52" s="18">
        <f>IF(B52="","",COUNTIFS($AZ$5:$AZ$204,"&gt;"&amp;AZ52)+COUNTIFS($AZ$5:AZ52,AZ52))</f>
        <v>0</v>
      </c>
      <c r="AO52" s="18">
        <f>IF(B52="","",COUNTIFS($AE$5:$AE$204,"&gt;"&amp;AE52)+COUNTIFS($AE$5:AE52,AE52))</f>
        <v>0</v>
      </c>
      <c r="AP52" s="18">
        <f>IF(B52="","",COUNTIFS($AF$5:$AF$204,"&gt;"&amp;AF52)+COUNTIFS($AF$5:AF52,AF52))</f>
        <v>0</v>
      </c>
      <c r="AQ52" s="18">
        <f>IF(B52="","",COUNTIFS($AI$5:$AI$204,"&gt;"&amp;AI52)+COUNTIFS($AI$5:AI52,AI52))</f>
        <v>0</v>
      </c>
      <c r="AR52" s="18">
        <f>IF(B52="","",COUNTIFS($AS$5:$AS$204,"&gt;"&amp;AS52)+COUNTIFS($AS$5:AS52,AS52))</f>
        <v>0</v>
      </c>
      <c r="AS52" s="45">
        <f>IF(B52="","",IF(BB52="",99999,BC52))</f>
        <v>0</v>
      </c>
      <c r="AT52" s="45">
        <f>IF(A52="",0,SUMIFS('Meal Plan'!$L$5:$L$504,'Meal Plan'!$G$5:$G$504,A52,'Meal Plan'!$B$5:$B$504,"&gt;="&amp;ShopFrom,'Meal Plan'!$B$5:$B$504,"&lt;="&amp;ShopTo,'Meal Plan'!$M$5:$M$504,"Yes"))</f>
        <v>0</v>
      </c>
      <c r="AU52" s="25">
        <f>IF(OR(A52="",AC52=""),"",AC52*AT52)</f>
        <v>0</v>
      </c>
      <c r="AV52" s="18">
        <f>IF(A52="","",COUNTIFS('Recipe Ingredients'!$B$5:$B$1204,A52,'Recipe Ingredients'!$N$5:$N$1204,""))</f>
        <v>0</v>
      </c>
      <c r="AZ52" s="18">
        <f>IF(A52="","",COUNTIFS('Meal Plan'!$G$5:$G$504,A52))</f>
        <v>0</v>
      </c>
      <c r="BA52" s="18">
        <f>IF(A52="","",COUNTIFS('Meal Plan'!$G$5:$G$504,A52,'Meal Plan'!$N$5:$N$504,"Prepared")+COUNTIFS('Meal Plan'!$G$5:$G$504,A52,'Meal Plan'!$N$5:$N$504,"Eaten"))</f>
        <v>0</v>
      </c>
      <c r="BB52" s="19">
        <f>IF(A52="","",IF(COUNTIFS('Meal Plan'!$G$5:$G$504,A52,'Meal Plan'!$B$5:$B$504,"&lt;="&amp;TODAY())=0,"",SUMPRODUCT(MAX(('Meal Plan'!$G$5:$G$504=A52)*('Meal Plan'!$B$5:$B$504&lt;=TODAY())*'Meal Plan'!$B$5:$B$504))))</f>
        <v>0</v>
      </c>
      <c r="BC52" s="18">
        <f>IF(BB52="","",TODAY()-BB52)</f>
        <v>0</v>
      </c>
      <c r="BF52" s="31">
        <f>IF(B52="","",IF(G52="","Add - how many does it serve?",IF(AB52=0,"Add - no ingredients listed yet",IF(AV52&gt;0,"Check - "&amp;AV52&amp;" ingredient(s) have no price",IF(AND(BC52&lt;&gt;"",BC52&lt;RotationGapDays),"Cooked recently","OK")))))</f>
        <v>0</v>
      </c>
    </row>
    <row r="53" spans="1:58">
      <c r="A53" s="39">
        <f>IF(B53="","",RecipePrefix&amp;TEXT(ROW()-4,"0000"))</f>
        <v>0</v>
      </c>
      <c r="J53" s="18">
        <f>IF(B53="","",IF(AND(H53="",I53=""),"",IF(H53="",0,H53)+IF(I53="",0,I53)))</f>
        <v>0</v>
      </c>
      <c r="K53" s="46">
        <f>IF(J53="","",IF(J53&lt;=30,"Yes","No"))</f>
        <v>0</v>
      </c>
      <c r="AB53" s="18">
        <f>IF(A53="","",COUNTIFS('Recipe Ingredients'!$B$5:$B$1204,A53))</f>
        <v>0</v>
      </c>
      <c r="AC53" s="25">
        <f>IF(A53="","",SUMIFS('Recipe Ingredients'!$N$5:$N$1204,'Recipe Ingredients'!$B$5:$B$1204,A53))</f>
        <v>0</v>
      </c>
      <c r="AD53" s="25">
        <f>IF(OR(AC53="",G53=""),"",IF(G53=0,"",AC53/G53))</f>
        <v>0</v>
      </c>
      <c r="AE53" s="30">
        <f>IF(OR(A53="",G53=""),"",IF(G53=0,"",SUMIFS('Recipe Ingredients'!$Q$5:$Q$1204,'Recipe Ingredients'!$B$5:$B$1204,A53)/G53))</f>
        <v>0</v>
      </c>
      <c r="AF53" s="45">
        <f>IF(OR(A53="",G53=""),"",IF(G53=0,"",SUMIFS('Recipe Ingredients'!$R$5:$R$1204,'Recipe Ingredients'!$B$5:$B$1204,A53)/G53))</f>
        <v>0</v>
      </c>
      <c r="AG53" s="45">
        <f>IF(OR(A53="",G53=""),"",IF(G53=0,"",SUMIFS('Recipe Ingredients'!$S$5:$S$1204,'Recipe Ingredients'!$B$5:$B$1204,A53)/G53))</f>
        <v>0</v>
      </c>
      <c r="AH53" s="45">
        <f>IF(OR(A53="",G53=""),"",IF(G53=0,"",SUMIFS('Recipe Ingredients'!$T$5:$T$1204,'Recipe Ingredients'!$B$5:$B$1204,A53)/G53))</f>
        <v>0</v>
      </c>
      <c r="AI53" s="45">
        <f>IF(OR(A53="",G53=""),"",IF(G53=0,"",SUMIFS('Recipe Ingredients'!$U$5:$U$1204,'Recipe Ingredients'!$B$5:$B$1204,A53)/G53))</f>
        <v>0</v>
      </c>
      <c r="AJ53" s="17">
        <f>IF(A53="","",IF(COUNTIFS('Recipe Ingredients'!$B$5:$B$1204,A53,'Recipe Ingredients'!$V$5:$V$1204,"&lt;&gt;",'Recipe Ingredients'!$V$5:$V$1204,"&lt;&gt;None")=0,"None listed",COUNTIFS('Recipe Ingredients'!$B$5:$B$1204,A53,'Recipe Ingredients'!$V$5:$V$1204,"&lt;&gt;",'Recipe Ingredients'!$V$5:$V$1204,"&lt;&gt;None")&amp;" ingredient(s) flagged"))</f>
        <v>0</v>
      </c>
      <c r="AK53" s="18">
        <f>IF(OR(AD53="",NOT(ISNUMBER(AD53))),"",COUNTIFS($AD$5:$AD$204,"&lt;"&amp;AD53)+COUNTIFS($AD$5:AD53,AD53))</f>
        <v>0</v>
      </c>
      <c r="AL53" s="18">
        <f>IF(B53="",0,IF(AND(OR(FilterDiet="Any",T53=FilterDiet),OR(FilterCategory="Any",C53=FilterCategory),OR(FilterMethod="Any",L53=FilterMethod),OR(FilterTime=0,AND(J53&lt;&gt;"",J53&lt;=FilterTime)),OR(FilterCost=0,AND(AD53&lt;&gt;"",ISNUMBER(AD53),AD53&lt;=FilterCost)),OR(FilterAllergen="Any",COUNTIFS('Recipe Ingredients'!$B$5:$B$1204,A53,'Recipe Ingredients'!$V$5:$V$1204,FilterAllergen)=0)),1,0))</f>
        <v>0</v>
      </c>
      <c r="AM53" s="18">
        <f>IF(AL53=0,"",SUM($AL$5:AL53))</f>
        <v>0</v>
      </c>
      <c r="AN53" s="18">
        <f>IF(B53="","",COUNTIFS($AZ$5:$AZ$204,"&gt;"&amp;AZ53)+COUNTIFS($AZ$5:AZ53,AZ53))</f>
        <v>0</v>
      </c>
      <c r="AO53" s="18">
        <f>IF(B53="","",COUNTIFS($AE$5:$AE$204,"&gt;"&amp;AE53)+COUNTIFS($AE$5:AE53,AE53))</f>
        <v>0</v>
      </c>
      <c r="AP53" s="18">
        <f>IF(B53="","",COUNTIFS($AF$5:$AF$204,"&gt;"&amp;AF53)+COUNTIFS($AF$5:AF53,AF53))</f>
        <v>0</v>
      </c>
      <c r="AQ53" s="18">
        <f>IF(B53="","",COUNTIFS($AI$5:$AI$204,"&gt;"&amp;AI53)+COUNTIFS($AI$5:AI53,AI53))</f>
        <v>0</v>
      </c>
      <c r="AR53" s="18">
        <f>IF(B53="","",COUNTIFS($AS$5:$AS$204,"&gt;"&amp;AS53)+COUNTIFS($AS$5:AS53,AS53))</f>
        <v>0</v>
      </c>
      <c r="AS53" s="45">
        <f>IF(B53="","",IF(BB53="",99999,BC53))</f>
        <v>0</v>
      </c>
      <c r="AT53" s="45">
        <f>IF(A53="",0,SUMIFS('Meal Plan'!$L$5:$L$504,'Meal Plan'!$G$5:$G$504,A53,'Meal Plan'!$B$5:$B$504,"&gt;="&amp;ShopFrom,'Meal Plan'!$B$5:$B$504,"&lt;="&amp;ShopTo,'Meal Plan'!$M$5:$M$504,"Yes"))</f>
        <v>0</v>
      </c>
      <c r="AU53" s="25">
        <f>IF(OR(A53="",AC53=""),"",AC53*AT53)</f>
        <v>0</v>
      </c>
      <c r="AV53" s="18">
        <f>IF(A53="","",COUNTIFS('Recipe Ingredients'!$B$5:$B$1204,A53,'Recipe Ingredients'!$N$5:$N$1204,""))</f>
        <v>0</v>
      </c>
      <c r="AZ53" s="18">
        <f>IF(A53="","",COUNTIFS('Meal Plan'!$G$5:$G$504,A53))</f>
        <v>0</v>
      </c>
      <c r="BA53" s="18">
        <f>IF(A53="","",COUNTIFS('Meal Plan'!$G$5:$G$504,A53,'Meal Plan'!$N$5:$N$504,"Prepared")+COUNTIFS('Meal Plan'!$G$5:$G$504,A53,'Meal Plan'!$N$5:$N$504,"Eaten"))</f>
        <v>0</v>
      </c>
      <c r="BB53" s="19">
        <f>IF(A53="","",IF(COUNTIFS('Meal Plan'!$G$5:$G$504,A53,'Meal Plan'!$B$5:$B$504,"&lt;="&amp;TODAY())=0,"",SUMPRODUCT(MAX(('Meal Plan'!$G$5:$G$504=A53)*('Meal Plan'!$B$5:$B$504&lt;=TODAY())*'Meal Plan'!$B$5:$B$504))))</f>
        <v>0</v>
      </c>
      <c r="BC53" s="18">
        <f>IF(BB53="","",TODAY()-BB53)</f>
        <v>0</v>
      </c>
      <c r="BF53" s="31">
        <f>IF(B53="","",IF(G53="","Add - how many does it serve?",IF(AB53=0,"Add - no ingredients listed yet",IF(AV53&gt;0,"Check - "&amp;AV53&amp;" ingredient(s) have no price",IF(AND(BC53&lt;&gt;"",BC53&lt;RotationGapDays),"Cooked recently","OK")))))</f>
        <v>0</v>
      </c>
    </row>
    <row r="54" spans="1:58">
      <c r="A54" s="39">
        <f>IF(B54="","",RecipePrefix&amp;TEXT(ROW()-4,"0000"))</f>
        <v>0</v>
      </c>
      <c r="J54" s="18">
        <f>IF(B54="","",IF(AND(H54="",I54=""),"",IF(H54="",0,H54)+IF(I54="",0,I54)))</f>
        <v>0</v>
      </c>
      <c r="K54" s="46">
        <f>IF(J54="","",IF(J54&lt;=30,"Yes","No"))</f>
        <v>0</v>
      </c>
      <c r="AB54" s="18">
        <f>IF(A54="","",COUNTIFS('Recipe Ingredients'!$B$5:$B$1204,A54))</f>
        <v>0</v>
      </c>
      <c r="AC54" s="25">
        <f>IF(A54="","",SUMIFS('Recipe Ingredients'!$N$5:$N$1204,'Recipe Ingredients'!$B$5:$B$1204,A54))</f>
        <v>0</v>
      </c>
      <c r="AD54" s="25">
        <f>IF(OR(AC54="",G54=""),"",IF(G54=0,"",AC54/G54))</f>
        <v>0</v>
      </c>
      <c r="AE54" s="30">
        <f>IF(OR(A54="",G54=""),"",IF(G54=0,"",SUMIFS('Recipe Ingredients'!$Q$5:$Q$1204,'Recipe Ingredients'!$B$5:$B$1204,A54)/G54))</f>
        <v>0</v>
      </c>
      <c r="AF54" s="45">
        <f>IF(OR(A54="",G54=""),"",IF(G54=0,"",SUMIFS('Recipe Ingredients'!$R$5:$R$1204,'Recipe Ingredients'!$B$5:$B$1204,A54)/G54))</f>
        <v>0</v>
      </c>
      <c r="AG54" s="45">
        <f>IF(OR(A54="",G54=""),"",IF(G54=0,"",SUMIFS('Recipe Ingredients'!$S$5:$S$1204,'Recipe Ingredients'!$B$5:$B$1204,A54)/G54))</f>
        <v>0</v>
      </c>
      <c r="AH54" s="45">
        <f>IF(OR(A54="",G54=""),"",IF(G54=0,"",SUMIFS('Recipe Ingredients'!$T$5:$T$1204,'Recipe Ingredients'!$B$5:$B$1204,A54)/G54))</f>
        <v>0</v>
      </c>
      <c r="AI54" s="45">
        <f>IF(OR(A54="",G54=""),"",IF(G54=0,"",SUMIFS('Recipe Ingredients'!$U$5:$U$1204,'Recipe Ingredients'!$B$5:$B$1204,A54)/G54))</f>
        <v>0</v>
      </c>
      <c r="AJ54" s="17">
        <f>IF(A54="","",IF(COUNTIFS('Recipe Ingredients'!$B$5:$B$1204,A54,'Recipe Ingredients'!$V$5:$V$1204,"&lt;&gt;",'Recipe Ingredients'!$V$5:$V$1204,"&lt;&gt;None")=0,"None listed",COUNTIFS('Recipe Ingredients'!$B$5:$B$1204,A54,'Recipe Ingredients'!$V$5:$V$1204,"&lt;&gt;",'Recipe Ingredients'!$V$5:$V$1204,"&lt;&gt;None")&amp;" ingredient(s) flagged"))</f>
        <v>0</v>
      </c>
      <c r="AK54" s="18">
        <f>IF(OR(AD54="",NOT(ISNUMBER(AD54))),"",COUNTIFS($AD$5:$AD$204,"&lt;"&amp;AD54)+COUNTIFS($AD$5:AD54,AD54))</f>
        <v>0</v>
      </c>
      <c r="AL54" s="18">
        <f>IF(B54="",0,IF(AND(OR(FilterDiet="Any",T54=FilterDiet),OR(FilterCategory="Any",C54=FilterCategory),OR(FilterMethod="Any",L54=FilterMethod),OR(FilterTime=0,AND(J54&lt;&gt;"",J54&lt;=FilterTime)),OR(FilterCost=0,AND(AD54&lt;&gt;"",ISNUMBER(AD54),AD54&lt;=FilterCost)),OR(FilterAllergen="Any",COUNTIFS('Recipe Ingredients'!$B$5:$B$1204,A54,'Recipe Ingredients'!$V$5:$V$1204,FilterAllergen)=0)),1,0))</f>
        <v>0</v>
      </c>
      <c r="AM54" s="18">
        <f>IF(AL54=0,"",SUM($AL$5:AL54))</f>
        <v>0</v>
      </c>
      <c r="AN54" s="18">
        <f>IF(B54="","",COUNTIFS($AZ$5:$AZ$204,"&gt;"&amp;AZ54)+COUNTIFS($AZ$5:AZ54,AZ54))</f>
        <v>0</v>
      </c>
      <c r="AO54" s="18">
        <f>IF(B54="","",COUNTIFS($AE$5:$AE$204,"&gt;"&amp;AE54)+COUNTIFS($AE$5:AE54,AE54))</f>
        <v>0</v>
      </c>
      <c r="AP54" s="18">
        <f>IF(B54="","",COUNTIFS($AF$5:$AF$204,"&gt;"&amp;AF54)+COUNTIFS($AF$5:AF54,AF54))</f>
        <v>0</v>
      </c>
      <c r="AQ54" s="18">
        <f>IF(B54="","",COUNTIFS($AI$5:$AI$204,"&gt;"&amp;AI54)+COUNTIFS($AI$5:AI54,AI54))</f>
        <v>0</v>
      </c>
      <c r="AR54" s="18">
        <f>IF(B54="","",COUNTIFS($AS$5:$AS$204,"&gt;"&amp;AS54)+COUNTIFS($AS$5:AS54,AS54))</f>
        <v>0</v>
      </c>
      <c r="AS54" s="45">
        <f>IF(B54="","",IF(BB54="",99999,BC54))</f>
        <v>0</v>
      </c>
      <c r="AT54" s="45">
        <f>IF(A54="",0,SUMIFS('Meal Plan'!$L$5:$L$504,'Meal Plan'!$G$5:$G$504,A54,'Meal Plan'!$B$5:$B$504,"&gt;="&amp;ShopFrom,'Meal Plan'!$B$5:$B$504,"&lt;="&amp;ShopTo,'Meal Plan'!$M$5:$M$504,"Yes"))</f>
        <v>0</v>
      </c>
      <c r="AU54" s="25">
        <f>IF(OR(A54="",AC54=""),"",AC54*AT54)</f>
        <v>0</v>
      </c>
      <c r="AV54" s="18">
        <f>IF(A54="","",COUNTIFS('Recipe Ingredients'!$B$5:$B$1204,A54,'Recipe Ingredients'!$N$5:$N$1204,""))</f>
        <v>0</v>
      </c>
      <c r="AZ54" s="18">
        <f>IF(A54="","",COUNTIFS('Meal Plan'!$G$5:$G$504,A54))</f>
        <v>0</v>
      </c>
      <c r="BA54" s="18">
        <f>IF(A54="","",COUNTIFS('Meal Plan'!$G$5:$G$504,A54,'Meal Plan'!$N$5:$N$504,"Prepared")+COUNTIFS('Meal Plan'!$G$5:$G$504,A54,'Meal Plan'!$N$5:$N$504,"Eaten"))</f>
        <v>0</v>
      </c>
      <c r="BB54" s="19">
        <f>IF(A54="","",IF(COUNTIFS('Meal Plan'!$G$5:$G$504,A54,'Meal Plan'!$B$5:$B$504,"&lt;="&amp;TODAY())=0,"",SUMPRODUCT(MAX(('Meal Plan'!$G$5:$G$504=A54)*('Meal Plan'!$B$5:$B$504&lt;=TODAY())*'Meal Plan'!$B$5:$B$504))))</f>
        <v>0</v>
      </c>
      <c r="BC54" s="18">
        <f>IF(BB54="","",TODAY()-BB54)</f>
        <v>0</v>
      </c>
      <c r="BF54" s="31">
        <f>IF(B54="","",IF(G54="","Add - how many does it serve?",IF(AB54=0,"Add - no ingredients listed yet",IF(AV54&gt;0,"Check - "&amp;AV54&amp;" ingredient(s) have no price",IF(AND(BC54&lt;&gt;"",BC54&lt;RotationGapDays),"Cooked recently","OK")))))</f>
        <v>0</v>
      </c>
    </row>
    <row r="55" spans="1:58">
      <c r="A55" s="39">
        <f>IF(B55="","",RecipePrefix&amp;TEXT(ROW()-4,"0000"))</f>
        <v>0</v>
      </c>
      <c r="J55" s="18">
        <f>IF(B55="","",IF(AND(H55="",I55=""),"",IF(H55="",0,H55)+IF(I55="",0,I55)))</f>
        <v>0</v>
      </c>
      <c r="K55" s="46">
        <f>IF(J55="","",IF(J55&lt;=30,"Yes","No"))</f>
        <v>0</v>
      </c>
      <c r="AB55" s="18">
        <f>IF(A55="","",COUNTIFS('Recipe Ingredients'!$B$5:$B$1204,A55))</f>
        <v>0</v>
      </c>
      <c r="AC55" s="25">
        <f>IF(A55="","",SUMIFS('Recipe Ingredients'!$N$5:$N$1204,'Recipe Ingredients'!$B$5:$B$1204,A55))</f>
        <v>0</v>
      </c>
      <c r="AD55" s="25">
        <f>IF(OR(AC55="",G55=""),"",IF(G55=0,"",AC55/G55))</f>
        <v>0</v>
      </c>
      <c r="AE55" s="30">
        <f>IF(OR(A55="",G55=""),"",IF(G55=0,"",SUMIFS('Recipe Ingredients'!$Q$5:$Q$1204,'Recipe Ingredients'!$B$5:$B$1204,A55)/G55))</f>
        <v>0</v>
      </c>
      <c r="AF55" s="45">
        <f>IF(OR(A55="",G55=""),"",IF(G55=0,"",SUMIFS('Recipe Ingredients'!$R$5:$R$1204,'Recipe Ingredients'!$B$5:$B$1204,A55)/G55))</f>
        <v>0</v>
      </c>
      <c r="AG55" s="45">
        <f>IF(OR(A55="",G55=""),"",IF(G55=0,"",SUMIFS('Recipe Ingredients'!$S$5:$S$1204,'Recipe Ingredients'!$B$5:$B$1204,A55)/G55))</f>
        <v>0</v>
      </c>
      <c r="AH55" s="45">
        <f>IF(OR(A55="",G55=""),"",IF(G55=0,"",SUMIFS('Recipe Ingredients'!$T$5:$T$1204,'Recipe Ingredients'!$B$5:$B$1204,A55)/G55))</f>
        <v>0</v>
      </c>
      <c r="AI55" s="45">
        <f>IF(OR(A55="",G55=""),"",IF(G55=0,"",SUMIFS('Recipe Ingredients'!$U$5:$U$1204,'Recipe Ingredients'!$B$5:$B$1204,A55)/G55))</f>
        <v>0</v>
      </c>
      <c r="AJ55" s="17">
        <f>IF(A55="","",IF(COUNTIFS('Recipe Ingredients'!$B$5:$B$1204,A55,'Recipe Ingredients'!$V$5:$V$1204,"&lt;&gt;",'Recipe Ingredients'!$V$5:$V$1204,"&lt;&gt;None")=0,"None listed",COUNTIFS('Recipe Ingredients'!$B$5:$B$1204,A55,'Recipe Ingredients'!$V$5:$V$1204,"&lt;&gt;",'Recipe Ingredients'!$V$5:$V$1204,"&lt;&gt;None")&amp;" ingredient(s) flagged"))</f>
        <v>0</v>
      </c>
      <c r="AK55" s="18">
        <f>IF(OR(AD55="",NOT(ISNUMBER(AD55))),"",COUNTIFS($AD$5:$AD$204,"&lt;"&amp;AD55)+COUNTIFS($AD$5:AD55,AD55))</f>
        <v>0</v>
      </c>
      <c r="AL55" s="18">
        <f>IF(B55="",0,IF(AND(OR(FilterDiet="Any",T55=FilterDiet),OR(FilterCategory="Any",C55=FilterCategory),OR(FilterMethod="Any",L55=FilterMethod),OR(FilterTime=0,AND(J55&lt;&gt;"",J55&lt;=FilterTime)),OR(FilterCost=0,AND(AD55&lt;&gt;"",ISNUMBER(AD55),AD55&lt;=FilterCost)),OR(FilterAllergen="Any",COUNTIFS('Recipe Ingredients'!$B$5:$B$1204,A55,'Recipe Ingredients'!$V$5:$V$1204,FilterAllergen)=0)),1,0))</f>
        <v>0</v>
      </c>
      <c r="AM55" s="18">
        <f>IF(AL55=0,"",SUM($AL$5:AL55))</f>
        <v>0</v>
      </c>
      <c r="AN55" s="18">
        <f>IF(B55="","",COUNTIFS($AZ$5:$AZ$204,"&gt;"&amp;AZ55)+COUNTIFS($AZ$5:AZ55,AZ55))</f>
        <v>0</v>
      </c>
      <c r="AO55" s="18">
        <f>IF(B55="","",COUNTIFS($AE$5:$AE$204,"&gt;"&amp;AE55)+COUNTIFS($AE$5:AE55,AE55))</f>
        <v>0</v>
      </c>
      <c r="AP55" s="18">
        <f>IF(B55="","",COUNTIFS($AF$5:$AF$204,"&gt;"&amp;AF55)+COUNTIFS($AF$5:AF55,AF55))</f>
        <v>0</v>
      </c>
      <c r="AQ55" s="18">
        <f>IF(B55="","",COUNTIFS($AI$5:$AI$204,"&gt;"&amp;AI55)+COUNTIFS($AI$5:AI55,AI55))</f>
        <v>0</v>
      </c>
      <c r="AR55" s="18">
        <f>IF(B55="","",COUNTIFS($AS$5:$AS$204,"&gt;"&amp;AS55)+COUNTIFS($AS$5:AS55,AS55))</f>
        <v>0</v>
      </c>
      <c r="AS55" s="45">
        <f>IF(B55="","",IF(BB55="",99999,BC55))</f>
        <v>0</v>
      </c>
      <c r="AT55" s="45">
        <f>IF(A55="",0,SUMIFS('Meal Plan'!$L$5:$L$504,'Meal Plan'!$G$5:$G$504,A55,'Meal Plan'!$B$5:$B$504,"&gt;="&amp;ShopFrom,'Meal Plan'!$B$5:$B$504,"&lt;="&amp;ShopTo,'Meal Plan'!$M$5:$M$504,"Yes"))</f>
        <v>0</v>
      </c>
      <c r="AU55" s="25">
        <f>IF(OR(A55="",AC55=""),"",AC55*AT55)</f>
        <v>0</v>
      </c>
      <c r="AV55" s="18">
        <f>IF(A55="","",COUNTIFS('Recipe Ingredients'!$B$5:$B$1204,A55,'Recipe Ingredients'!$N$5:$N$1204,""))</f>
        <v>0</v>
      </c>
      <c r="AZ55" s="18">
        <f>IF(A55="","",COUNTIFS('Meal Plan'!$G$5:$G$504,A55))</f>
        <v>0</v>
      </c>
      <c r="BA55" s="18">
        <f>IF(A55="","",COUNTIFS('Meal Plan'!$G$5:$G$504,A55,'Meal Plan'!$N$5:$N$504,"Prepared")+COUNTIFS('Meal Plan'!$G$5:$G$504,A55,'Meal Plan'!$N$5:$N$504,"Eaten"))</f>
        <v>0</v>
      </c>
      <c r="BB55" s="19">
        <f>IF(A55="","",IF(COUNTIFS('Meal Plan'!$G$5:$G$504,A55,'Meal Plan'!$B$5:$B$504,"&lt;="&amp;TODAY())=0,"",SUMPRODUCT(MAX(('Meal Plan'!$G$5:$G$504=A55)*('Meal Plan'!$B$5:$B$504&lt;=TODAY())*'Meal Plan'!$B$5:$B$504))))</f>
        <v>0</v>
      </c>
      <c r="BC55" s="18">
        <f>IF(BB55="","",TODAY()-BB55)</f>
        <v>0</v>
      </c>
      <c r="BF55" s="31">
        <f>IF(B55="","",IF(G55="","Add - how many does it serve?",IF(AB55=0,"Add - no ingredients listed yet",IF(AV55&gt;0,"Check - "&amp;AV55&amp;" ingredient(s) have no price",IF(AND(BC55&lt;&gt;"",BC55&lt;RotationGapDays),"Cooked recently","OK")))))</f>
        <v>0</v>
      </c>
    </row>
    <row r="56" spans="1:58">
      <c r="A56" s="39">
        <f>IF(B56="","",RecipePrefix&amp;TEXT(ROW()-4,"0000"))</f>
        <v>0</v>
      </c>
      <c r="J56" s="18">
        <f>IF(B56="","",IF(AND(H56="",I56=""),"",IF(H56="",0,H56)+IF(I56="",0,I56)))</f>
        <v>0</v>
      </c>
      <c r="K56" s="46">
        <f>IF(J56="","",IF(J56&lt;=30,"Yes","No"))</f>
        <v>0</v>
      </c>
      <c r="AB56" s="18">
        <f>IF(A56="","",COUNTIFS('Recipe Ingredients'!$B$5:$B$1204,A56))</f>
        <v>0</v>
      </c>
      <c r="AC56" s="25">
        <f>IF(A56="","",SUMIFS('Recipe Ingredients'!$N$5:$N$1204,'Recipe Ingredients'!$B$5:$B$1204,A56))</f>
        <v>0</v>
      </c>
      <c r="AD56" s="25">
        <f>IF(OR(AC56="",G56=""),"",IF(G56=0,"",AC56/G56))</f>
        <v>0</v>
      </c>
      <c r="AE56" s="30">
        <f>IF(OR(A56="",G56=""),"",IF(G56=0,"",SUMIFS('Recipe Ingredients'!$Q$5:$Q$1204,'Recipe Ingredients'!$B$5:$B$1204,A56)/G56))</f>
        <v>0</v>
      </c>
      <c r="AF56" s="45">
        <f>IF(OR(A56="",G56=""),"",IF(G56=0,"",SUMIFS('Recipe Ingredients'!$R$5:$R$1204,'Recipe Ingredients'!$B$5:$B$1204,A56)/G56))</f>
        <v>0</v>
      </c>
      <c r="AG56" s="45">
        <f>IF(OR(A56="",G56=""),"",IF(G56=0,"",SUMIFS('Recipe Ingredients'!$S$5:$S$1204,'Recipe Ingredients'!$B$5:$B$1204,A56)/G56))</f>
        <v>0</v>
      </c>
      <c r="AH56" s="45">
        <f>IF(OR(A56="",G56=""),"",IF(G56=0,"",SUMIFS('Recipe Ingredients'!$T$5:$T$1204,'Recipe Ingredients'!$B$5:$B$1204,A56)/G56))</f>
        <v>0</v>
      </c>
      <c r="AI56" s="45">
        <f>IF(OR(A56="",G56=""),"",IF(G56=0,"",SUMIFS('Recipe Ingredients'!$U$5:$U$1204,'Recipe Ingredients'!$B$5:$B$1204,A56)/G56))</f>
        <v>0</v>
      </c>
      <c r="AJ56" s="17">
        <f>IF(A56="","",IF(COUNTIFS('Recipe Ingredients'!$B$5:$B$1204,A56,'Recipe Ingredients'!$V$5:$V$1204,"&lt;&gt;",'Recipe Ingredients'!$V$5:$V$1204,"&lt;&gt;None")=0,"None listed",COUNTIFS('Recipe Ingredients'!$B$5:$B$1204,A56,'Recipe Ingredients'!$V$5:$V$1204,"&lt;&gt;",'Recipe Ingredients'!$V$5:$V$1204,"&lt;&gt;None")&amp;" ingredient(s) flagged"))</f>
        <v>0</v>
      </c>
      <c r="AK56" s="18">
        <f>IF(OR(AD56="",NOT(ISNUMBER(AD56))),"",COUNTIFS($AD$5:$AD$204,"&lt;"&amp;AD56)+COUNTIFS($AD$5:AD56,AD56))</f>
        <v>0</v>
      </c>
      <c r="AL56" s="18">
        <f>IF(B56="",0,IF(AND(OR(FilterDiet="Any",T56=FilterDiet),OR(FilterCategory="Any",C56=FilterCategory),OR(FilterMethod="Any",L56=FilterMethod),OR(FilterTime=0,AND(J56&lt;&gt;"",J56&lt;=FilterTime)),OR(FilterCost=0,AND(AD56&lt;&gt;"",ISNUMBER(AD56),AD56&lt;=FilterCost)),OR(FilterAllergen="Any",COUNTIFS('Recipe Ingredients'!$B$5:$B$1204,A56,'Recipe Ingredients'!$V$5:$V$1204,FilterAllergen)=0)),1,0))</f>
        <v>0</v>
      </c>
      <c r="AM56" s="18">
        <f>IF(AL56=0,"",SUM($AL$5:AL56))</f>
        <v>0</v>
      </c>
      <c r="AN56" s="18">
        <f>IF(B56="","",COUNTIFS($AZ$5:$AZ$204,"&gt;"&amp;AZ56)+COUNTIFS($AZ$5:AZ56,AZ56))</f>
        <v>0</v>
      </c>
      <c r="AO56" s="18">
        <f>IF(B56="","",COUNTIFS($AE$5:$AE$204,"&gt;"&amp;AE56)+COUNTIFS($AE$5:AE56,AE56))</f>
        <v>0</v>
      </c>
      <c r="AP56" s="18">
        <f>IF(B56="","",COUNTIFS($AF$5:$AF$204,"&gt;"&amp;AF56)+COUNTIFS($AF$5:AF56,AF56))</f>
        <v>0</v>
      </c>
      <c r="AQ56" s="18">
        <f>IF(B56="","",COUNTIFS($AI$5:$AI$204,"&gt;"&amp;AI56)+COUNTIFS($AI$5:AI56,AI56))</f>
        <v>0</v>
      </c>
      <c r="AR56" s="18">
        <f>IF(B56="","",COUNTIFS($AS$5:$AS$204,"&gt;"&amp;AS56)+COUNTIFS($AS$5:AS56,AS56))</f>
        <v>0</v>
      </c>
      <c r="AS56" s="45">
        <f>IF(B56="","",IF(BB56="",99999,BC56))</f>
        <v>0</v>
      </c>
      <c r="AT56" s="45">
        <f>IF(A56="",0,SUMIFS('Meal Plan'!$L$5:$L$504,'Meal Plan'!$G$5:$G$504,A56,'Meal Plan'!$B$5:$B$504,"&gt;="&amp;ShopFrom,'Meal Plan'!$B$5:$B$504,"&lt;="&amp;ShopTo,'Meal Plan'!$M$5:$M$504,"Yes"))</f>
        <v>0</v>
      </c>
      <c r="AU56" s="25">
        <f>IF(OR(A56="",AC56=""),"",AC56*AT56)</f>
        <v>0</v>
      </c>
      <c r="AV56" s="18">
        <f>IF(A56="","",COUNTIFS('Recipe Ingredients'!$B$5:$B$1204,A56,'Recipe Ingredients'!$N$5:$N$1204,""))</f>
        <v>0</v>
      </c>
      <c r="AZ56" s="18">
        <f>IF(A56="","",COUNTIFS('Meal Plan'!$G$5:$G$504,A56))</f>
        <v>0</v>
      </c>
      <c r="BA56" s="18">
        <f>IF(A56="","",COUNTIFS('Meal Plan'!$G$5:$G$504,A56,'Meal Plan'!$N$5:$N$504,"Prepared")+COUNTIFS('Meal Plan'!$G$5:$G$504,A56,'Meal Plan'!$N$5:$N$504,"Eaten"))</f>
        <v>0</v>
      </c>
      <c r="BB56" s="19">
        <f>IF(A56="","",IF(COUNTIFS('Meal Plan'!$G$5:$G$504,A56,'Meal Plan'!$B$5:$B$504,"&lt;="&amp;TODAY())=0,"",SUMPRODUCT(MAX(('Meal Plan'!$G$5:$G$504=A56)*('Meal Plan'!$B$5:$B$504&lt;=TODAY())*'Meal Plan'!$B$5:$B$504))))</f>
        <v>0</v>
      </c>
      <c r="BC56" s="18">
        <f>IF(BB56="","",TODAY()-BB56)</f>
        <v>0</v>
      </c>
      <c r="BF56" s="31">
        <f>IF(B56="","",IF(G56="","Add - how many does it serve?",IF(AB56=0,"Add - no ingredients listed yet",IF(AV56&gt;0,"Check - "&amp;AV56&amp;" ingredient(s) have no price",IF(AND(BC56&lt;&gt;"",BC56&lt;RotationGapDays),"Cooked recently","OK")))))</f>
        <v>0</v>
      </c>
    </row>
    <row r="57" spans="1:58">
      <c r="A57" s="39">
        <f>IF(B57="","",RecipePrefix&amp;TEXT(ROW()-4,"0000"))</f>
        <v>0</v>
      </c>
      <c r="J57" s="18">
        <f>IF(B57="","",IF(AND(H57="",I57=""),"",IF(H57="",0,H57)+IF(I57="",0,I57)))</f>
        <v>0</v>
      </c>
      <c r="K57" s="46">
        <f>IF(J57="","",IF(J57&lt;=30,"Yes","No"))</f>
        <v>0</v>
      </c>
      <c r="AB57" s="18">
        <f>IF(A57="","",COUNTIFS('Recipe Ingredients'!$B$5:$B$1204,A57))</f>
        <v>0</v>
      </c>
      <c r="AC57" s="25">
        <f>IF(A57="","",SUMIFS('Recipe Ingredients'!$N$5:$N$1204,'Recipe Ingredients'!$B$5:$B$1204,A57))</f>
        <v>0</v>
      </c>
      <c r="AD57" s="25">
        <f>IF(OR(AC57="",G57=""),"",IF(G57=0,"",AC57/G57))</f>
        <v>0</v>
      </c>
      <c r="AE57" s="30">
        <f>IF(OR(A57="",G57=""),"",IF(G57=0,"",SUMIFS('Recipe Ingredients'!$Q$5:$Q$1204,'Recipe Ingredients'!$B$5:$B$1204,A57)/G57))</f>
        <v>0</v>
      </c>
      <c r="AF57" s="45">
        <f>IF(OR(A57="",G57=""),"",IF(G57=0,"",SUMIFS('Recipe Ingredients'!$R$5:$R$1204,'Recipe Ingredients'!$B$5:$B$1204,A57)/G57))</f>
        <v>0</v>
      </c>
      <c r="AG57" s="45">
        <f>IF(OR(A57="",G57=""),"",IF(G57=0,"",SUMIFS('Recipe Ingredients'!$S$5:$S$1204,'Recipe Ingredients'!$B$5:$B$1204,A57)/G57))</f>
        <v>0</v>
      </c>
      <c r="AH57" s="45">
        <f>IF(OR(A57="",G57=""),"",IF(G57=0,"",SUMIFS('Recipe Ingredients'!$T$5:$T$1204,'Recipe Ingredients'!$B$5:$B$1204,A57)/G57))</f>
        <v>0</v>
      </c>
      <c r="AI57" s="45">
        <f>IF(OR(A57="",G57=""),"",IF(G57=0,"",SUMIFS('Recipe Ingredients'!$U$5:$U$1204,'Recipe Ingredients'!$B$5:$B$1204,A57)/G57))</f>
        <v>0</v>
      </c>
      <c r="AJ57" s="17">
        <f>IF(A57="","",IF(COUNTIFS('Recipe Ingredients'!$B$5:$B$1204,A57,'Recipe Ingredients'!$V$5:$V$1204,"&lt;&gt;",'Recipe Ingredients'!$V$5:$V$1204,"&lt;&gt;None")=0,"None listed",COUNTIFS('Recipe Ingredients'!$B$5:$B$1204,A57,'Recipe Ingredients'!$V$5:$V$1204,"&lt;&gt;",'Recipe Ingredients'!$V$5:$V$1204,"&lt;&gt;None")&amp;" ingredient(s) flagged"))</f>
        <v>0</v>
      </c>
      <c r="AK57" s="18">
        <f>IF(OR(AD57="",NOT(ISNUMBER(AD57))),"",COUNTIFS($AD$5:$AD$204,"&lt;"&amp;AD57)+COUNTIFS($AD$5:AD57,AD57))</f>
        <v>0</v>
      </c>
      <c r="AL57" s="18">
        <f>IF(B57="",0,IF(AND(OR(FilterDiet="Any",T57=FilterDiet),OR(FilterCategory="Any",C57=FilterCategory),OR(FilterMethod="Any",L57=FilterMethod),OR(FilterTime=0,AND(J57&lt;&gt;"",J57&lt;=FilterTime)),OR(FilterCost=0,AND(AD57&lt;&gt;"",ISNUMBER(AD57),AD57&lt;=FilterCost)),OR(FilterAllergen="Any",COUNTIFS('Recipe Ingredients'!$B$5:$B$1204,A57,'Recipe Ingredients'!$V$5:$V$1204,FilterAllergen)=0)),1,0))</f>
        <v>0</v>
      </c>
      <c r="AM57" s="18">
        <f>IF(AL57=0,"",SUM($AL$5:AL57))</f>
        <v>0</v>
      </c>
      <c r="AN57" s="18">
        <f>IF(B57="","",COUNTIFS($AZ$5:$AZ$204,"&gt;"&amp;AZ57)+COUNTIFS($AZ$5:AZ57,AZ57))</f>
        <v>0</v>
      </c>
      <c r="AO57" s="18">
        <f>IF(B57="","",COUNTIFS($AE$5:$AE$204,"&gt;"&amp;AE57)+COUNTIFS($AE$5:AE57,AE57))</f>
        <v>0</v>
      </c>
      <c r="AP57" s="18">
        <f>IF(B57="","",COUNTIFS($AF$5:$AF$204,"&gt;"&amp;AF57)+COUNTIFS($AF$5:AF57,AF57))</f>
        <v>0</v>
      </c>
      <c r="AQ57" s="18">
        <f>IF(B57="","",COUNTIFS($AI$5:$AI$204,"&gt;"&amp;AI57)+COUNTIFS($AI$5:AI57,AI57))</f>
        <v>0</v>
      </c>
      <c r="AR57" s="18">
        <f>IF(B57="","",COUNTIFS($AS$5:$AS$204,"&gt;"&amp;AS57)+COUNTIFS($AS$5:AS57,AS57))</f>
        <v>0</v>
      </c>
      <c r="AS57" s="45">
        <f>IF(B57="","",IF(BB57="",99999,BC57))</f>
        <v>0</v>
      </c>
      <c r="AT57" s="45">
        <f>IF(A57="",0,SUMIFS('Meal Plan'!$L$5:$L$504,'Meal Plan'!$G$5:$G$504,A57,'Meal Plan'!$B$5:$B$504,"&gt;="&amp;ShopFrom,'Meal Plan'!$B$5:$B$504,"&lt;="&amp;ShopTo,'Meal Plan'!$M$5:$M$504,"Yes"))</f>
        <v>0</v>
      </c>
      <c r="AU57" s="25">
        <f>IF(OR(A57="",AC57=""),"",AC57*AT57)</f>
        <v>0</v>
      </c>
      <c r="AV57" s="18">
        <f>IF(A57="","",COUNTIFS('Recipe Ingredients'!$B$5:$B$1204,A57,'Recipe Ingredients'!$N$5:$N$1204,""))</f>
        <v>0</v>
      </c>
      <c r="AZ57" s="18">
        <f>IF(A57="","",COUNTIFS('Meal Plan'!$G$5:$G$504,A57))</f>
        <v>0</v>
      </c>
      <c r="BA57" s="18">
        <f>IF(A57="","",COUNTIFS('Meal Plan'!$G$5:$G$504,A57,'Meal Plan'!$N$5:$N$504,"Prepared")+COUNTIFS('Meal Plan'!$G$5:$G$504,A57,'Meal Plan'!$N$5:$N$504,"Eaten"))</f>
        <v>0</v>
      </c>
      <c r="BB57" s="19">
        <f>IF(A57="","",IF(COUNTIFS('Meal Plan'!$G$5:$G$504,A57,'Meal Plan'!$B$5:$B$504,"&lt;="&amp;TODAY())=0,"",SUMPRODUCT(MAX(('Meal Plan'!$G$5:$G$504=A57)*('Meal Plan'!$B$5:$B$504&lt;=TODAY())*'Meal Plan'!$B$5:$B$504))))</f>
        <v>0</v>
      </c>
      <c r="BC57" s="18">
        <f>IF(BB57="","",TODAY()-BB57)</f>
        <v>0</v>
      </c>
      <c r="BF57" s="31">
        <f>IF(B57="","",IF(G57="","Add - how many does it serve?",IF(AB57=0,"Add - no ingredients listed yet",IF(AV57&gt;0,"Check - "&amp;AV57&amp;" ingredient(s) have no price",IF(AND(BC57&lt;&gt;"",BC57&lt;RotationGapDays),"Cooked recently","OK")))))</f>
        <v>0</v>
      </c>
    </row>
    <row r="58" spans="1:58">
      <c r="A58" s="39">
        <f>IF(B58="","",RecipePrefix&amp;TEXT(ROW()-4,"0000"))</f>
        <v>0</v>
      </c>
      <c r="J58" s="18">
        <f>IF(B58="","",IF(AND(H58="",I58=""),"",IF(H58="",0,H58)+IF(I58="",0,I58)))</f>
        <v>0</v>
      </c>
      <c r="K58" s="46">
        <f>IF(J58="","",IF(J58&lt;=30,"Yes","No"))</f>
        <v>0</v>
      </c>
      <c r="AB58" s="18">
        <f>IF(A58="","",COUNTIFS('Recipe Ingredients'!$B$5:$B$1204,A58))</f>
        <v>0</v>
      </c>
      <c r="AC58" s="25">
        <f>IF(A58="","",SUMIFS('Recipe Ingredients'!$N$5:$N$1204,'Recipe Ingredients'!$B$5:$B$1204,A58))</f>
        <v>0</v>
      </c>
      <c r="AD58" s="25">
        <f>IF(OR(AC58="",G58=""),"",IF(G58=0,"",AC58/G58))</f>
        <v>0</v>
      </c>
      <c r="AE58" s="30">
        <f>IF(OR(A58="",G58=""),"",IF(G58=0,"",SUMIFS('Recipe Ingredients'!$Q$5:$Q$1204,'Recipe Ingredients'!$B$5:$B$1204,A58)/G58))</f>
        <v>0</v>
      </c>
      <c r="AF58" s="45">
        <f>IF(OR(A58="",G58=""),"",IF(G58=0,"",SUMIFS('Recipe Ingredients'!$R$5:$R$1204,'Recipe Ingredients'!$B$5:$B$1204,A58)/G58))</f>
        <v>0</v>
      </c>
      <c r="AG58" s="45">
        <f>IF(OR(A58="",G58=""),"",IF(G58=0,"",SUMIFS('Recipe Ingredients'!$S$5:$S$1204,'Recipe Ingredients'!$B$5:$B$1204,A58)/G58))</f>
        <v>0</v>
      </c>
      <c r="AH58" s="45">
        <f>IF(OR(A58="",G58=""),"",IF(G58=0,"",SUMIFS('Recipe Ingredients'!$T$5:$T$1204,'Recipe Ingredients'!$B$5:$B$1204,A58)/G58))</f>
        <v>0</v>
      </c>
      <c r="AI58" s="45">
        <f>IF(OR(A58="",G58=""),"",IF(G58=0,"",SUMIFS('Recipe Ingredients'!$U$5:$U$1204,'Recipe Ingredients'!$B$5:$B$1204,A58)/G58))</f>
        <v>0</v>
      </c>
      <c r="AJ58" s="17">
        <f>IF(A58="","",IF(COUNTIFS('Recipe Ingredients'!$B$5:$B$1204,A58,'Recipe Ingredients'!$V$5:$V$1204,"&lt;&gt;",'Recipe Ingredients'!$V$5:$V$1204,"&lt;&gt;None")=0,"None listed",COUNTIFS('Recipe Ingredients'!$B$5:$B$1204,A58,'Recipe Ingredients'!$V$5:$V$1204,"&lt;&gt;",'Recipe Ingredients'!$V$5:$V$1204,"&lt;&gt;None")&amp;" ingredient(s) flagged"))</f>
        <v>0</v>
      </c>
      <c r="AK58" s="18">
        <f>IF(OR(AD58="",NOT(ISNUMBER(AD58))),"",COUNTIFS($AD$5:$AD$204,"&lt;"&amp;AD58)+COUNTIFS($AD$5:AD58,AD58))</f>
        <v>0</v>
      </c>
      <c r="AL58" s="18">
        <f>IF(B58="",0,IF(AND(OR(FilterDiet="Any",T58=FilterDiet),OR(FilterCategory="Any",C58=FilterCategory),OR(FilterMethod="Any",L58=FilterMethod),OR(FilterTime=0,AND(J58&lt;&gt;"",J58&lt;=FilterTime)),OR(FilterCost=0,AND(AD58&lt;&gt;"",ISNUMBER(AD58),AD58&lt;=FilterCost)),OR(FilterAllergen="Any",COUNTIFS('Recipe Ingredients'!$B$5:$B$1204,A58,'Recipe Ingredients'!$V$5:$V$1204,FilterAllergen)=0)),1,0))</f>
        <v>0</v>
      </c>
      <c r="AM58" s="18">
        <f>IF(AL58=0,"",SUM($AL$5:AL58))</f>
        <v>0</v>
      </c>
      <c r="AN58" s="18">
        <f>IF(B58="","",COUNTIFS($AZ$5:$AZ$204,"&gt;"&amp;AZ58)+COUNTIFS($AZ$5:AZ58,AZ58))</f>
        <v>0</v>
      </c>
      <c r="AO58" s="18">
        <f>IF(B58="","",COUNTIFS($AE$5:$AE$204,"&gt;"&amp;AE58)+COUNTIFS($AE$5:AE58,AE58))</f>
        <v>0</v>
      </c>
      <c r="AP58" s="18">
        <f>IF(B58="","",COUNTIFS($AF$5:$AF$204,"&gt;"&amp;AF58)+COUNTIFS($AF$5:AF58,AF58))</f>
        <v>0</v>
      </c>
      <c r="AQ58" s="18">
        <f>IF(B58="","",COUNTIFS($AI$5:$AI$204,"&gt;"&amp;AI58)+COUNTIFS($AI$5:AI58,AI58))</f>
        <v>0</v>
      </c>
      <c r="AR58" s="18">
        <f>IF(B58="","",COUNTIFS($AS$5:$AS$204,"&gt;"&amp;AS58)+COUNTIFS($AS$5:AS58,AS58))</f>
        <v>0</v>
      </c>
      <c r="AS58" s="45">
        <f>IF(B58="","",IF(BB58="",99999,BC58))</f>
        <v>0</v>
      </c>
      <c r="AT58" s="45">
        <f>IF(A58="",0,SUMIFS('Meal Plan'!$L$5:$L$504,'Meal Plan'!$G$5:$G$504,A58,'Meal Plan'!$B$5:$B$504,"&gt;="&amp;ShopFrom,'Meal Plan'!$B$5:$B$504,"&lt;="&amp;ShopTo,'Meal Plan'!$M$5:$M$504,"Yes"))</f>
        <v>0</v>
      </c>
      <c r="AU58" s="25">
        <f>IF(OR(A58="",AC58=""),"",AC58*AT58)</f>
        <v>0</v>
      </c>
      <c r="AV58" s="18">
        <f>IF(A58="","",COUNTIFS('Recipe Ingredients'!$B$5:$B$1204,A58,'Recipe Ingredients'!$N$5:$N$1204,""))</f>
        <v>0</v>
      </c>
      <c r="AZ58" s="18">
        <f>IF(A58="","",COUNTIFS('Meal Plan'!$G$5:$G$504,A58))</f>
        <v>0</v>
      </c>
      <c r="BA58" s="18">
        <f>IF(A58="","",COUNTIFS('Meal Plan'!$G$5:$G$504,A58,'Meal Plan'!$N$5:$N$504,"Prepared")+COUNTIFS('Meal Plan'!$G$5:$G$504,A58,'Meal Plan'!$N$5:$N$504,"Eaten"))</f>
        <v>0</v>
      </c>
      <c r="BB58" s="19">
        <f>IF(A58="","",IF(COUNTIFS('Meal Plan'!$G$5:$G$504,A58,'Meal Plan'!$B$5:$B$504,"&lt;="&amp;TODAY())=0,"",SUMPRODUCT(MAX(('Meal Plan'!$G$5:$G$504=A58)*('Meal Plan'!$B$5:$B$504&lt;=TODAY())*'Meal Plan'!$B$5:$B$504))))</f>
        <v>0</v>
      </c>
      <c r="BC58" s="18">
        <f>IF(BB58="","",TODAY()-BB58)</f>
        <v>0</v>
      </c>
      <c r="BF58" s="31">
        <f>IF(B58="","",IF(G58="","Add - how many does it serve?",IF(AB58=0,"Add - no ingredients listed yet",IF(AV58&gt;0,"Check - "&amp;AV58&amp;" ingredient(s) have no price",IF(AND(BC58&lt;&gt;"",BC58&lt;RotationGapDays),"Cooked recently","OK")))))</f>
        <v>0</v>
      </c>
    </row>
    <row r="59" spans="1:58">
      <c r="A59" s="39">
        <f>IF(B59="","",RecipePrefix&amp;TEXT(ROW()-4,"0000"))</f>
        <v>0</v>
      </c>
      <c r="J59" s="18">
        <f>IF(B59="","",IF(AND(H59="",I59=""),"",IF(H59="",0,H59)+IF(I59="",0,I59)))</f>
        <v>0</v>
      </c>
      <c r="K59" s="46">
        <f>IF(J59="","",IF(J59&lt;=30,"Yes","No"))</f>
        <v>0</v>
      </c>
      <c r="AB59" s="18">
        <f>IF(A59="","",COUNTIFS('Recipe Ingredients'!$B$5:$B$1204,A59))</f>
        <v>0</v>
      </c>
      <c r="AC59" s="25">
        <f>IF(A59="","",SUMIFS('Recipe Ingredients'!$N$5:$N$1204,'Recipe Ingredients'!$B$5:$B$1204,A59))</f>
        <v>0</v>
      </c>
      <c r="AD59" s="25">
        <f>IF(OR(AC59="",G59=""),"",IF(G59=0,"",AC59/G59))</f>
        <v>0</v>
      </c>
      <c r="AE59" s="30">
        <f>IF(OR(A59="",G59=""),"",IF(G59=0,"",SUMIFS('Recipe Ingredients'!$Q$5:$Q$1204,'Recipe Ingredients'!$B$5:$B$1204,A59)/G59))</f>
        <v>0</v>
      </c>
      <c r="AF59" s="45">
        <f>IF(OR(A59="",G59=""),"",IF(G59=0,"",SUMIFS('Recipe Ingredients'!$R$5:$R$1204,'Recipe Ingredients'!$B$5:$B$1204,A59)/G59))</f>
        <v>0</v>
      </c>
      <c r="AG59" s="45">
        <f>IF(OR(A59="",G59=""),"",IF(G59=0,"",SUMIFS('Recipe Ingredients'!$S$5:$S$1204,'Recipe Ingredients'!$B$5:$B$1204,A59)/G59))</f>
        <v>0</v>
      </c>
      <c r="AH59" s="45">
        <f>IF(OR(A59="",G59=""),"",IF(G59=0,"",SUMIFS('Recipe Ingredients'!$T$5:$T$1204,'Recipe Ingredients'!$B$5:$B$1204,A59)/G59))</f>
        <v>0</v>
      </c>
      <c r="AI59" s="45">
        <f>IF(OR(A59="",G59=""),"",IF(G59=0,"",SUMIFS('Recipe Ingredients'!$U$5:$U$1204,'Recipe Ingredients'!$B$5:$B$1204,A59)/G59))</f>
        <v>0</v>
      </c>
      <c r="AJ59" s="17">
        <f>IF(A59="","",IF(COUNTIFS('Recipe Ingredients'!$B$5:$B$1204,A59,'Recipe Ingredients'!$V$5:$V$1204,"&lt;&gt;",'Recipe Ingredients'!$V$5:$V$1204,"&lt;&gt;None")=0,"None listed",COUNTIFS('Recipe Ingredients'!$B$5:$B$1204,A59,'Recipe Ingredients'!$V$5:$V$1204,"&lt;&gt;",'Recipe Ingredients'!$V$5:$V$1204,"&lt;&gt;None")&amp;" ingredient(s) flagged"))</f>
        <v>0</v>
      </c>
      <c r="AK59" s="18">
        <f>IF(OR(AD59="",NOT(ISNUMBER(AD59))),"",COUNTIFS($AD$5:$AD$204,"&lt;"&amp;AD59)+COUNTIFS($AD$5:AD59,AD59))</f>
        <v>0</v>
      </c>
      <c r="AL59" s="18">
        <f>IF(B59="",0,IF(AND(OR(FilterDiet="Any",T59=FilterDiet),OR(FilterCategory="Any",C59=FilterCategory),OR(FilterMethod="Any",L59=FilterMethod),OR(FilterTime=0,AND(J59&lt;&gt;"",J59&lt;=FilterTime)),OR(FilterCost=0,AND(AD59&lt;&gt;"",ISNUMBER(AD59),AD59&lt;=FilterCost)),OR(FilterAllergen="Any",COUNTIFS('Recipe Ingredients'!$B$5:$B$1204,A59,'Recipe Ingredients'!$V$5:$V$1204,FilterAllergen)=0)),1,0))</f>
        <v>0</v>
      </c>
      <c r="AM59" s="18">
        <f>IF(AL59=0,"",SUM($AL$5:AL59))</f>
        <v>0</v>
      </c>
      <c r="AN59" s="18">
        <f>IF(B59="","",COUNTIFS($AZ$5:$AZ$204,"&gt;"&amp;AZ59)+COUNTIFS($AZ$5:AZ59,AZ59))</f>
        <v>0</v>
      </c>
      <c r="AO59" s="18">
        <f>IF(B59="","",COUNTIFS($AE$5:$AE$204,"&gt;"&amp;AE59)+COUNTIFS($AE$5:AE59,AE59))</f>
        <v>0</v>
      </c>
      <c r="AP59" s="18">
        <f>IF(B59="","",COUNTIFS($AF$5:$AF$204,"&gt;"&amp;AF59)+COUNTIFS($AF$5:AF59,AF59))</f>
        <v>0</v>
      </c>
      <c r="AQ59" s="18">
        <f>IF(B59="","",COUNTIFS($AI$5:$AI$204,"&gt;"&amp;AI59)+COUNTIFS($AI$5:AI59,AI59))</f>
        <v>0</v>
      </c>
      <c r="AR59" s="18">
        <f>IF(B59="","",COUNTIFS($AS$5:$AS$204,"&gt;"&amp;AS59)+COUNTIFS($AS$5:AS59,AS59))</f>
        <v>0</v>
      </c>
      <c r="AS59" s="45">
        <f>IF(B59="","",IF(BB59="",99999,BC59))</f>
        <v>0</v>
      </c>
      <c r="AT59" s="45">
        <f>IF(A59="",0,SUMIFS('Meal Plan'!$L$5:$L$504,'Meal Plan'!$G$5:$G$504,A59,'Meal Plan'!$B$5:$B$504,"&gt;="&amp;ShopFrom,'Meal Plan'!$B$5:$B$504,"&lt;="&amp;ShopTo,'Meal Plan'!$M$5:$M$504,"Yes"))</f>
        <v>0</v>
      </c>
      <c r="AU59" s="25">
        <f>IF(OR(A59="",AC59=""),"",AC59*AT59)</f>
        <v>0</v>
      </c>
      <c r="AV59" s="18">
        <f>IF(A59="","",COUNTIFS('Recipe Ingredients'!$B$5:$B$1204,A59,'Recipe Ingredients'!$N$5:$N$1204,""))</f>
        <v>0</v>
      </c>
      <c r="AZ59" s="18">
        <f>IF(A59="","",COUNTIFS('Meal Plan'!$G$5:$G$504,A59))</f>
        <v>0</v>
      </c>
      <c r="BA59" s="18">
        <f>IF(A59="","",COUNTIFS('Meal Plan'!$G$5:$G$504,A59,'Meal Plan'!$N$5:$N$504,"Prepared")+COUNTIFS('Meal Plan'!$G$5:$G$504,A59,'Meal Plan'!$N$5:$N$504,"Eaten"))</f>
        <v>0</v>
      </c>
      <c r="BB59" s="19">
        <f>IF(A59="","",IF(COUNTIFS('Meal Plan'!$G$5:$G$504,A59,'Meal Plan'!$B$5:$B$504,"&lt;="&amp;TODAY())=0,"",SUMPRODUCT(MAX(('Meal Plan'!$G$5:$G$504=A59)*('Meal Plan'!$B$5:$B$504&lt;=TODAY())*'Meal Plan'!$B$5:$B$504))))</f>
        <v>0</v>
      </c>
      <c r="BC59" s="18">
        <f>IF(BB59="","",TODAY()-BB59)</f>
        <v>0</v>
      </c>
      <c r="BF59" s="31">
        <f>IF(B59="","",IF(G59="","Add - how many does it serve?",IF(AB59=0,"Add - no ingredients listed yet",IF(AV59&gt;0,"Check - "&amp;AV59&amp;" ingredient(s) have no price",IF(AND(BC59&lt;&gt;"",BC59&lt;RotationGapDays),"Cooked recently","OK")))))</f>
        <v>0</v>
      </c>
    </row>
    <row r="60" spans="1:58">
      <c r="A60" s="39">
        <f>IF(B60="","",RecipePrefix&amp;TEXT(ROW()-4,"0000"))</f>
        <v>0</v>
      </c>
      <c r="J60" s="18">
        <f>IF(B60="","",IF(AND(H60="",I60=""),"",IF(H60="",0,H60)+IF(I60="",0,I60)))</f>
        <v>0</v>
      </c>
      <c r="K60" s="46">
        <f>IF(J60="","",IF(J60&lt;=30,"Yes","No"))</f>
        <v>0</v>
      </c>
      <c r="AB60" s="18">
        <f>IF(A60="","",COUNTIFS('Recipe Ingredients'!$B$5:$B$1204,A60))</f>
        <v>0</v>
      </c>
      <c r="AC60" s="25">
        <f>IF(A60="","",SUMIFS('Recipe Ingredients'!$N$5:$N$1204,'Recipe Ingredients'!$B$5:$B$1204,A60))</f>
        <v>0</v>
      </c>
      <c r="AD60" s="25">
        <f>IF(OR(AC60="",G60=""),"",IF(G60=0,"",AC60/G60))</f>
        <v>0</v>
      </c>
      <c r="AE60" s="30">
        <f>IF(OR(A60="",G60=""),"",IF(G60=0,"",SUMIFS('Recipe Ingredients'!$Q$5:$Q$1204,'Recipe Ingredients'!$B$5:$B$1204,A60)/G60))</f>
        <v>0</v>
      </c>
      <c r="AF60" s="45">
        <f>IF(OR(A60="",G60=""),"",IF(G60=0,"",SUMIFS('Recipe Ingredients'!$R$5:$R$1204,'Recipe Ingredients'!$B$5:$B$1204,A60)/G60))</f>
        <v>0</v>
      </c>
      <c r="AG60" s="45">
        <f>IF(OR(A60="",G60=""),"",IF(G60=0,"",SUMIFS('Recipe Ingredients'!$S$5:$S$1204,'Recipe Ingredients'!$B$5:$B$1204,A60)/G60))</f>
        <v>0</v>
      </c>
      <c r="AH60" s="45">
        <f>IF(OR(A60="",G60=""),"",IF(G60=0,"",SUMIFS('Recipe Ingredients'!$T$5:$T$1204,'Recipe Ingredients'!$B$5:$B$1204,A60)/G60))</f>
        <v>0</v>
      </c>
      <c r="AI60" s="45">
        <f>IF(OR(A60="",G60=""),"",IF(G60=0,"",SUMIFS('Recipe Ingredients'!$U$5:$U$1204,'Recipe Ingredients'!$B$5:$B$1204,A60)/G60))</f>
        <v>0</v>
      </c>
      <c r="AJ60" s="17">
        <f>IF(A60="","",IF(COUNTIFS('Recipe Ingredients'!$B$5:$B$1204,A60,'Recipe Ingredients'!$V$5:$V$1204,"&lt;&gt;",'Recipe Ingredients'!$V$5:$V$1204,"&lt;&gt;None")=0,"None listed",COUNTIFS('Recipe Ingredients'!$B$5:$B$1204,A60,'Recipe Ingredients'!$V$5:$V$1204,"&lt;&gt;",'Recipe Ingredients'!$V$5:$V$1204,"&lt;&gt;None")&amp;" ingredient(s) flagged"))</f>
        <v>0</v>
      </c>
      <c r="AK60" s="18">
        <f>IF(OR(AD60="",NOT(ISNUMBER(AD60))),"",COUNTIFS($AD$5:$AD$204,"&lt;"&amp;AD60)+COUNTIFS($AD$5:AD60,AD60))</f>
        <v>0</v>
      </c>
      <c r="AL60" s="18">
        <f>IF(B60="",0,IF(AND(OR(FilterDiet="Any",T60=FilterDiet),OR(FilterCategory="Any",C60=FilterCategory),OR(FilterMethod="Any",L60=FilterMethod),OR(FilterTime=0,AND(J60&lt;&gt;"",J60&lt;=FilterTime)),OR(FilterCost=0,AND(AD60&lt;&gt;"",ISNUMBER(AD60),AD60&lt;=FilterCost)),OR(FilterAllergen="Any",COUNTIFS('Recipe Ingredients'!$B$5:$B$1204,A60,'Recipe Ingredients'!$V$5:$V$1204,FilterAllergen)=0)),1,0))</f>
        <v>0</v>
      </c>
      <c r="AM60" s="18">
        <f>IF(AL60=0,"",SUM($AL$5:AL60))</f>
        <v>0</v>
      </c>
      <c r="AN60" s="18">
        <f>IF(B60="","",COUNTIFS($AZ$5:$AZ$204,"&gt;"&amp;AZ60)+COUNTIFS($AZ$5:AZ60,AZ60))</f>
        <v>0</v>
      </c>
      <c r="AO60" s="18">
        <f>IF(B60="","",COUNTIFS($AE$5:$AE$204,"&gt;"&amp;AE60)+COUNTIFS($AE$5:AE60,AE60))</f>
        <v>0</v>
      </c>
      <c r="AP60" s="18">
        <f>IF(B60="","",COUNTIFS($AF$5:$AF$204,"&gt;"&amp;AF60)+COUNTIFS($AF$5:AF60,AF60))</f>
        <v>0</v>
      </c>
      <c r="AQ60" s="18">
        <f>IF(B60="","",COUNTIFS($AI$5:$AI$204,"&gt;"&amp;AI60)+COUNTIFS($AI$5:AI60,AI60))</f>
        <v>0</v>
      </c>
      <c r="AR60" s="18">
        <f>IF(B60="","",COUNTIFS($AS$5:$AS$204,"&gt;"&amp;AS60)+COUNTIFS($AS$5:AS60,AS60))</f>
        <v>0</v>
      </c>
      <c r="AS60" s="45">
        <f>IF(B60="","",IF(BB60="",99999,BC60))</f>
        <v>0</v>
      </c>
      <c r="AT60" s="45">
        <f>IF(A60="",0,SUMIFS('Meal Plan'!$L$5:$L$504,'Meal Plan'!$G$5:$G$504,A60,'Meal Plan'!$B$5:$B$504,"&gt;="&amp;ShopFrom,'Meal Plan'!$B$5:$B$504,"&lt;="&amp;ShopTo,'Meal Plan'!$M$5:$M$504,"Yes"))</f>
        <v>0</v>
      </c>
      <c r="AU60" s="25">
        <f>IF(OR(A60="",AC60=""),"",AC60*AT60)</f>
        <v>0</v>
      </c>
      <c r="AV60" s="18">
        <f>IF(A60="","",COUNTIFS('Recipe Ingredients'!$B$5:$B$1204,A60,'Recipe Ingredients'!$N$5:$N$1204,""))</f>
        <v>0</v>
      </c>
      <c r="AZ60" s="18">
        <f>IF(A60="","",COUNTIFS('Meal Plan'!$G$5:$G$504,A60))</f>
        <v>0</v>
      </c>
      <c r="BA60" s="18">
        <f>IF(A60="","",COUNTIFS('Meal Plan'!$G$5:$G$504,A60,'Meal Plan'!$N$5:$N$504,"Prepared")+COUNTIFS('Meal Plan'!$G$5:$G$504,A60,'Meal Plan'!$N$5:$N$504,"Eaten"))</f>
        <v>0</v>
      </c>
      <c r="BB60" s="19">
        <f>IF(A60="","",IF(COUNTIFS('Meal Plan'!$G$5:$G$504,A60,'Meal Plan'!$B$5:$B$504,"&lt;="&amp;TODAY())=0,"",SUMPRODUCT(MAX(('Meal Plan'!$G$5:$G$504=A60)*('Meal Plan'!$B$5:$B$504&lt;=TODAY())*'Meal Plan'!$B$5:$B$504))))</f>
        <v>0</v>
      </c>
      <c r="BC60" s="18">
        <f>IF(BB60="","",TODAY()-BB60)</f>
        <v>0</v>
      </c>
      <c r="BF60" s="31">
        <f>IF(B60="","",IF(G60="","Add - how many does it serve?",IF(AB60=0,"Add - no ingredients listed yet",IF(AV60&gt;0,"Check - "&amp;AV60&amp;" ingredient(s) have no price",IF(AND(BC60&lt;&gt;"",BC60&lt;RotationGapDays),"Cooked recently","OK")))))</f>
        <v>0</v>
      </c>
    </row>
    <row r="61" spans="1:58">
      <c r="A61" s="39">
        <f>IF(B61="","",RecipePrefix&amp;TEXT(ROW()-4,"0000"))</f>
        <v>0</v>
      </c>
      <c r="J61" s="18">
        <f>IF(B61="","",IF(AND(H61="",I61=""),"",IF(H61="",0,H61)+IF(I61="",0,I61)))</f>
        <v>0</v>
      </c>
      <c r="K61" s="46">
        <f>IF(J61="","",IF(J61&lt;=30,"Yes","No"))</f>
        <v>0</v>
      </c>
      <c r="AB61" s="18">
        <f>IF(A61="","",COUNTIFS('Recipe Ingredients'!$B$5:$B$1204,A61))</f>
        <v>0</v>
      </c>
      <c r="AC61" s="25">
        <f>IF(A61="","",SUMIFS('Recipe Ingredients'!$N$5:$N$1204,'Recipe Ingredients'!$B$5:$B$1204,A61))</f>
        <v>0</v>
      </c>
      <c r="AD61" s="25">
        <f>IF(OR(AC61="",G61=""),"",IF(G61=0,"",AC61/G61))</f>
        <v>0</v>
      </c>
      <c r="AE61" s="30">
        <f>IF(OR(A61="",G61=""),"",IF(G61=0,"",SUMIFS('Recipe Ingredients'!$Q$5:$Q$1204,'Recipe Ingredients'!$B$5:$B$1204,A61)/G61))</f>
        <v>0</v>
      </c>
      <c r="AF61" s="45">
        <f>IF(OR(A61="",G61=""),"",IF(G61=0,"",SUMIFS('Recipe Ingredients'!$R$5:$R$1204,'Recipe Ingredients'!$B$5:$B$1204,A61)/G61))</f>
        <v>0</v>
      </c>
      <c r="AG61" s="45">
        <f>IF(OR(A61="",G61=""),"",IF(G61=0,"",SUMIFS('Recipe Ingredients'!$S$5:$S$1204,'Recipe Ingredients'!$B$5:$B$1204,A61)/G61))</f>
        <v>0</v>
      </c>
      <c r="AH61" s="45">
        <f>IF(OR(A61="",G61=""),"",IF(G61=0,"",SUMIFS('Recipe Ingredients'!$T$5:$T$1204,'Recipe Ingredients'!$B$5:$B$1204,A61)/G61))</f>
        <v>0</v>
      </c>
      <c r="AI61" s="45">
        <f>IF(OR(A61="",G61=""),"",IF(G61=0,"",SUMIFS('Recipe Ingredients'!$U$5:$U$1204,'Recipe Ingredients'!$B$5:$B$1204,A61)/G61))</f>
        <v>0</v>
      </c>
      <c r="AJ61" s="17">
        <f>IF(A61="","",IF(COUNTIFS('Recipe Ingredients'!$B$5:$B$1204,A61,'Recipe Ingredients'!$V$5:$V$1204,"&lt;&gt;",'Recipe Ingredients'!$V$5:$V$1204,"&lt;&gt;None")=0,"None listed",COUNTIFS('Recipe Ingredients'!$B$5:$B$1204,A61,'Recipe Ingredients'!$V$5:$V$1204,"&lt;&gt;",'Recipe Ingredients'!$V$5:$V$1204,"&lt;&gt;None")&amp;" ingredient(s) flagged"))</f>
        <v>0</v>
      </c>
      <c r="AK61" s="18">
        <f>IF(OR(AD61="",NOT(ISNUMBER(AD61))),"",COUNTIFS($AD$5:$AD$204,"&lt;"&amp;AD61)+COUNTIFS($AD$5:AD61,AD61))</f>
        <v>0</v>
      </c>
      <c r="AL61" s="18">
        <f>IF(B61="",0,IF(AND(OR(FilterDiet="Any",T61=FilterDiet),OR(FilterCategory="Any",C61=FilterCategory),OR(FilterMethod="Any",L61=FilterMethod),OR(FilterTime=0,AND(J61&lt;&gt;"",J61&lt;=FilterTime)),OR(FilterCost=0,AND(AD61&lt;&gt;"",ISNUMBER(AD61),AD61&lt;=FilterCost)),OR(FilterAllergen="Any",COUNTIFS('Recipe Ingredients'!$B$5:$B$1204,A61,'Recipe Ingredients'!$V$5:$V$1204,FilterAllergen)=0)),1,0))</f>
        <v>0</v>
      </c>
      <c r="AM61" s="18">
        <f>IF(AL61=0,"",SUM($AL$5:AL61))</f>
        <v>0</v>
      </c>
      <c r="AN61" s="18">
        <f>IF(B61="","",COUNTIFS($AZ$5:$AZ$204,"&gt;"&amp;AZ61)+COUNTIFS($AZ$5:AZ61,AZ61))</f>
        <v>0</v>
      </c>
      <c r="AO61" s="18">
        <f>IF(B61="","",COUNTIFS($AE$5:$AE$204,"&gt;"&amp;AE61)+COUNTIFS($AE$5:AE61,AE61))</f>
        <v>0</v>
      </c>
      <c r="AP61" s="18">
        <f>IF(B61="","",COUNTIFS($AF$5:$AF$204,"&gt;"&amp;AF61)+COUNTIFS($AF$5:AF61,AF61))</f>
        <v>0</v>
      </c>
      <c r="AQ61" s="18">
        <f>IF(B61="","",COUNTIFS($AI$5:$AI$204,"&gt;"&amp;AI61)+COUNTIFS($AI$5:AI61,AI61))</f>
        <v>0</v>
      </c>
      <c r="AR61" s="18">
        <f>IF(B61="","",COUNTIFS($AS$5:$AS$204,"&gt;"&amp;AS61)+COUNTIFS($AS$5:AS61,AS61))</f>
        <v>0</v>
      </c>
      <c r="AS61" s="45">
        <f>IF(B61="","",IF(BB61="",99999,BC61))</f>
        <v>0</v>
      </c>
      <c r="AT61" s="45">
        <f>IF(A61="",0,SUMIFS('Meal Plan'!$L$5:$L$504,'Meal Plan'!$G$5:$G$504,A61,'Meal Plan'!$B$5:$B$504,"&gt;="&amp;ShopFrom,'Meal Plan'!$B$5:$B$504,"&lt;="&amp;ShopTo,'Meal Plan'!$M$5:$M$504,"Yes"))</f>
        <v>0</v>
      </c>
      <c r="AU61" s="25">
        <f>IF(OR(A61="",AC61=""),"",AC61*AT61)</f>
        <v>0</v>
      </c>
      <c r="AV61" s="18">
        <f>IF(A61="","",COUNTIFS('Recipe Ingredients'!$B$5:$B$1204,A61,'Recipe Ingredients'!$N$5:$N$1204,""))</f>
        <v>0</v>
      </c>
      <c r="AZ61" s="18">
        <f>IF(A61="","",COUNTIFS('Meal Plan'!$G$5:$G$504,A61))</f>
        <v>0</v>
      </c>
      <c r="BA61" s="18">
        <f>IF(A61="","",COUNTIFS('Meal Plan'!$G$5:$G$504,A61,'Meal Plan'!$N$5:$N$504,"Prepared")+COUNTIFS('Meal Plan'!$G$5:$G$504,A61,'Meal Plan'!$N$5:$N$504,"Eaten"))</f>
        <v>0</v>
      </c>
      <c r="BB61" s="19">
        <f>IF(A61="","",IF(COUNTIFS('Meal Plan'!$G$5:$G$504,A61,'Meal Plan'!$B$5:$B$504,"&lt;="&amp;TODAY())=0,"",SUMPRODUCT(MAX(('Meal Plan'!$G$5:$G$504=A61)*('Meal Plan'!$B$5:$B$504&lt;=TODAY())*'Meal Plan'!$B$5:$B$504))))</f>
        <v>0</v>
      </c>
      <c r="BC61" s="18">
        <f>IF(BB61="","",TODAY()-BB61)</f>
        <v>0</v>
      </c>
      <c r="BF61" s="31">
        <f>IF(B61="","",IF(G61="","Add - how many does it serve?",IF(AB61=0,"Add - no ingredients listed yet",IF(AV61&gt;0,"Check - "&amp;AV61&amp;" ingredient(s) have no price",IF(AND(BC61&lt;&gt;"",BC61&lt;RotationGapDays),"Cooked recently","OK")))))</f>
        <v>0</v>
      </c>
    </row>
    <row r="62" spans="1:58">
      <c r="A62" s="39">
        <f>IF(B62="","",RecipePrefix&amp;TEXT(ROW()-4,"0000"))</f>
        <v>0</v>
      </c>
      <c r="J62" s="18">
        <f>IF(B62="","",IF(AND(H62="",I62=""),"",IF(H62="",0,H62)+IF(I62="",0,I62)))</f>
        <v>0</v>
      </c>
      <c r="K62" s="46">
        <f>IF(J62="","",IF(J62&lt;=30,"Yes","No"))</f>
        <v>0</v>
      </c>
      <c r="AB62" s="18">
        <f>IF(A62="","",COUNTIFS('Recipe Ingredients'!$B$5:$B$1204,A62))</f>
        <v>0</v>
      </c>
      <c r="AC62" s="25">
        <f>IF(A62="","",SUMIFS('Recipe Ingredients'!$N$5:$N$1204,'Recipe Ingredients'!$B$5:$B$1204,A62))</f>
        <v>0</v>
      </c>
      <c r="AD62" s="25">
        <f>IF(OR(AC62="",G62=""),"",IF(G62=0,"",AC62/G62))</f>
        <v>0</v>
      </c>
      <c r="AE62" s="30">
        <f>IF(OR(A62="",G62=""),"",IF(G62=0,"",SUMIFS('Recipe Ingredients'!$Q$5:$Q$1204,'Recipe Ingredients'!$B$5:$B$1204,A62)/G62))</f>
        <v>0</v>
      </c>
      <c r="AF62" s="45">
        <f>IF(OR(A62="",G62=""),"",IF(G62=0,"",SUMIFS('Recipe Ingredients'!$R$5:$R$1204,'Recipe Ingredients'!$B$5:$B$1204,A62)/G62))</f>
        <v>0</v>
      </c>
      <c r="AG62" s="45">
        <f>IF(OR(A62="",G62=""),"",IF(G62=0,"",SUMIFS('Recipe Ingredients'!$S$5:$S$1204,'Recipe Ingredients'!$B$5:$B$1204,A62)/G62))</f>
        <v>0</v>
      </c>
      <c r="AH62" s="45">
        <f>IF(OR(A62="",G62=""),"",IF(G62=0,"",SUMIFS('Recipe Ingredients'!$T$5:$T$1204,'Recipe Ingredients'!$B$5:$B$1204,A62)/G62))</f>
        <v>0</v>
      </c>
      <c r="AI62" s="45">
        <f>IF(OR(A62="",G62=""),"",IF(G62=0,"",SUMIFS('Recipe Ingredients'!$U$5:$U$1204,'Recipe Ingredients'!$B$5:$B$1204,A62)/G62))</f>
        <v>0</v>
      </c>
      <c r="AJ62" s="17">
        <f>IF(A62="","",IF(COUNTIFS('Recipe Ingredients'!$B$5:$B$1204,A62,'Recipe Ingredients'!$V$5:$V$1204,"&lt;&gt;",'Recipe Ingredients'!$V$5:$V$1204,"&lt;&gt;None")=0,"None listed",COUNTIFS('Recipe Ingredients'!$B$5:$B$1204,A62,'Recipe Ingredients'!$V$5:$V$1204,"&lt;&gt;",'Recipe Ingredients'!$V$5:$V$1204,"&lt;&gt;None")&amp;" ingredient(s) flagged"))</f>
        <v>0</v>
      </c>
      <c r="AK62" s="18">
        <f>IF(OR(AD62="",NOT(ISNUMBER(AD62))),"",COUNTIFS($AD$5:$AD$204,"&lt;"&amp;AD62)+COUNTIFS($AD$5:AD62,AD62))</f>
        <v>0</v>
      </c>
      <c r="AL62" s="18">
        <f>IF(B62="",0,IF(AND(OR(FilterDiet="Any",T62=FilterDiet),OR(FilterCategory="Any",C62=FilterCategory),OR(FilterMethod="Any",L62=FilterMethod),OR(FilterTime=0,AND(J62&lt;&gt;"",J62&lt;=FilterTime)),OR(FilterCost=0,AND(AD62&lt;&gt;"",ISNUMBER(AD62),AD62&lt;=FilterCost)),OR(FilterAllergen="Any",COUNTIFS('Recipe Ingredients'!$B$5:$B$1204,A62,'Recipe Ingredients'!$V$5:$V$1204,FilterAllergen)=0)),1,0))</f>
        <v>0</v>
      </c>
      <c r="AM62" s="18">
        <f>IF(AL62=0,"",SUM($AL$5:AL62))</f>
        <v>0</v>
      </c>
      <c r="AN62" s="18">
        <f>IF(B62="","",COUNTIFS($AZ$5:$AZ$204,"&gt;"&amp;AZ62)+COUNTIFS($AZ$5:AZ62,AZ62))</f>
        <v>0</v>
      </c>
      <c r="AO62" s="18">
        <f>IF(B62="","",COUNTIFS($AE$5:$AE$204,"&gt;"&amp;AE62)+COUNTIFS($AE$5:AE62,AE62))</f>
        <v>0</v>
      </c>
      <c r="AP62" s="18">
        <f>IF(B62="","",COUNTIFS($AF$5:$AF$204,"&gt;"&amp;AF62)+COUNTIFS($AF$5:AF62,AF62))</f>
        <v>0</v>
      </c>
      <c r="AQ62" s="18">
        <f>IF(B62="","",COUNTIFS($AI$5:$AI$204,"&gt;"&amp;AI62)+COUNTIFS($AI$5:AI62,AI62))</f>
        <v>0</v>
      </c>
      <c r="AR62" s="18">
        <f>IF(B62="","",COUNTIFS($AS$5:$AS$204,"&gt;"&amp;AS62)+COUNTIFS($AS$5:AS62,AS62))</f>
        <v>0</v>
      </c>
      <c r="AS62" s="45">
        <f>IF(B62="","",IF(BB62="",99999,BC62))</f>
        <v>0</v>
      </c>
      <c r="AT62" s="45">
        <f>IF(A62="",0,SUMIFS('Meal Plan'!$L$5:$L$504,'Meal Plan'!$G$5:$G$504,A62,'Meal Plan'!$B$5:$B$504,"&gt;="&amp;ShopFrom,'Meal Plan'!$B$5:$B$504,"&lt;="&amp;ShopTo,'Meal Plan'!$M$5:$M$504,"Yes"))</f>
        <v>0</v>
      </c>
      <c r="AU62" s="25">
        <f>IF(OR(A62="",AC62=""),"",AC62*AT62)</f>
        <v>0</v>
      </c>
      <c r="AV62" s="18">
        <f>IF(A62="","",COUNTIFS('Recipe Ingredients'!$B$5:$B$1204,A62,'Recipe Ingredients'!$N$5:$N$1204,""))</f>
        <v>0</v>
      </c>
      <c r="AZ62" s="18">
        <f>IF(A62="","",COUNTIFS('Meal Plan'!$G$5:$G$504,A62))</f>
        <v>0</v>
      </c>
      <c r="BA62" s="18">
        <f>IF(A62="","",COUNTIFS('Meal Plan'!$G$5:$G$504,A62,'Meal Plan'!$N$5:$N$504,"Prepared")+COUNTIFS('Meal Plan'!$G$5:$G$504,A62,'Meal Plan'!$N$5:$N$504,"Eaten"))</f>
        <v>0</v>
      </c>
      <c r="BB62" s="19">
        <f>IF(A62="","",IF(COUNTIFS('Meal Plan'!$G$5:$G$504,A62,'Meal Plan'!$B$5:$B$504,"&lt;="&amp;TODAY())=0,"",SUMPRODUCT(MAX(('Meal Plan'!$G$5:$G$504=A62)*('Meal Plan'!$B$5:$B$504&lt;=TODAY())*'Meal Plan'!$B$5:$B$504))))</f>
        <v>0</v>
      </c>
      <c r="BC62" s="18">
        <f>IF(BB62="","",TODAY()-BB62)</f>
        <v>0</v>
      </c>
      <c r="BF62" s="31">
        <f>IF(B62="","",IF(G62="","Add - how many does it serve?",IF(AB62=0,"Add - no ingredients listed yet",IF(AV62&gt;0,"Check - "&amp;AV62&amp;" ingredient(s) have no price",IF(AND(BC62&lt;&gt;"",BC62&lt;RotationGapDays),"Cooked recently","OK")))))</f>
        <v>0</v>
      </c>
    </row>
    <row r="63" spans="1:58">
      <c r="A63" s="39">
        <f>IF(B63="","",RecipePrefix&amp;TEXT(ROW()-4,"0000"))</f>
        <v>0</v>
      </c>
      <c r="J63" s="18">
        <f>IF(B63="","",IF(AND(H63="",I63=""),"",IF(H63="",0,H63)+IF(I63="",0,I63)))</f>
        <v>0</v>
      </c>
      <c r="K63" s="46">
        <f>IF(J63="","",IF(J63&lt;=30,"Yes","No"))</f>
        <v>0</v>
      </c>
      <c r="AB63" s="18">
        <f>IF(A63="","",COUNTIFS('Recipe Ingredients'!$B$5:$B$1204,A63))</f>
        <v>0</v>
      </c>
      <c r="AC63" s="25">
        <f>IF(A63="","",SUMIFS('Recipe Ingredients'!$N$5:$N$1204,'Recipe Ingredients'!$B$5:$B$1204,A63))</f>
        <v>0</v>
      </c>
      <c r="AD63" s="25">
        <f>IF(OR(AC63="",G63=""),"",IF(G63=0,"",AC63/G63))</f>
        <v>0</v>
      </c>
      <c r="AE63" s="30">
        <f>IF(OR(A63="",G63=""),"",IF(G63=0,"",SUMIFS('Recipe Ingredients'!$Q$5:$Q$1204,'Recipe Ingredients'!$B$5:$B$1204,A63)/G63))</f>
        <v>0</v>
      </c>
      <c r="AF63" s="45">
        <f>IF(OR(A63="",G63=""),"",IF(G63=0,"",SUMIFS('Recipe Ingredients'!$R$5:$R$1204,'Recipe Ingredients'!$B$5:$B$1204,A63)/G63))</f>
        <v>0</v>
      </c>
      <c r="AG63" s="45">
        <f>IF(OR(A63="",G63=""),"",IF(G63=0,"",SUMIFS('Recipe Ingredients'!$S$5:$S$1204,'Recipe Ingredients'!$B$5:$B$1204,A63)/G63))</f>
        <v>0</v>
      </c>
      <c r="AH63" s="45">
        <f>IF(OR(A63="",G63=""),"",IF(G63=0,"",SUMIFS('Recipe Ingredients'!$T$5:$T$1204,'Recipe Ingredients'!$B$5:$B$1204,A63)/G63))</f>
        <v>0</v>
      </c>
      <c r="AI63" s="45">
        <f>IF(OR(A63="",G63=""),"",IF(G63=0,"",SUMIFS('Recipe Ingredients'!$U$5:$U$1204,'Recipe Ingredients'!$B$5:$B$1204,A63)/G63))</f>
        <v>0</v>
      </c>
      <c r="AJ63" s="17">
        <f>IF(A63="","",IF(COUNTIFS('Recipe Ingredients'!$B$5:$B$1204,A63,'Recipe Ingredients'!$V$5:$V$1204,"&lt;&gt;",'Recipe Ingredients'!$V$5:$V$1204,"&lt;&gt;None")=0,"None listed",COUNTIFS('Recipe Ingredients'!$B$5:$B$1204,A63,'Recipe Ingredients'!$V$5:$V$1204,"&lt;&gt;",'Recipe Ingredients'!$V$5:$V$1204,"&lt;&gt;None")&amp;" ingredient(s) flagged"))</f>
        <v>0</v>
      </c>
      <c r="AK63" s="18">
        <f>IF(OR(AD63="",NOT(ISNUMBER(AD63))),"",COUNTIFS($AD$5:$AD$204,"&lt;"&amp;AD63)+COUNTIFS($AD$5:AD63,AD63))</f>
        <v>0</v>
      </c>
      <c r="AL63" s="18">
        <f>IF(B63="",0,IF(AND(OR(FilterDiet="Any",T63=FilterDiet),OR(FilterCategory="Any",C63=FilterCategory),OR(FilterMethod="Any",L63=FilterMethod),OR(FilterTime=0,AND(J63&lt;&gt;"",J63&lt;=FilterTime)),OR(FilterCost=0,AND(AD63&lt;&gt;"",ISNUMBER(AD63),AD63&lt;=FilterCost)),OR(FilterAllergen="Any",COUNTIFS('Recipe Ingredients'!$B$5:$B$1204,A63,'Recipe Ingredients'!$V$5:$V$1204,FilterAllergen)=0)),1,0))</f>
        <v>0</v>
      </c>
      <c r="AM63" s="18">
        <f>IF(AL63=0,"",SUM($AL$5:AL63))</f>
        <v>0</v>
      </c>
      <c r="AN63" s="18">
        <f>IF(B63="","",COUNTIFS($AZ$5:$AZ$204,"&gt;"&amp;AZ63)+COUNTIFS($AZ$5:AZ63,AZ63))</f>
        <v>0</v>
      </c>
      <c r="AO63" s="18">
        <f>IF(B63="","",COUNTIFS($AE$5:$AE$204,"&gt;"&amp;AE63)+COUNTIFS($AE$5:AE63,AE63))</f>
        <v>0</v>
      </c>
      <c r="AP63" s="18">
        <f>IF(B63="","",COUNTIFS($AF$5:$AF$204,"&gt;"&amp;AF63)+COUNTIFS($AF$5:AF63,AF63))</f>
        <v>0</v>
      </c>
      <c r="AQ63" s="18">
        <f>IF(B63="","",COUNTIFS($AI$5:$AI$204,"&gt;"&amp;AI63)+COUNTIFS($AI$5:AI63,AI63))</f>
        <v>0</v>
      </c>
      <c r="AR63" s="18">
        <f>IF(B63="","",COUNTIFS($AS$5:$AS$204,"&gt;"&amp;AS63)+COUNTIFS($AS$5:AS63,AS63))</f>
        <v>0</v>
      </c>
      <c r="AS63" s="45">
        <f>IF(B63="","",IF(BB63="",99999,BC63))</f>
        <v>0</v>
      </c>
      <c r="AT63" s="45">
        <f>IF(A63="",0,SUMIFS('Meal Plan'!$L$5:$L$504,'Meal Plan'!$G$5:$G$504,A63,'Meal Plan'!$B$5:$B$504,"&gt;="&amp;ShopFrom,'Meal Plan'!$B$5:$B$504,"&lt;="&amp;ShopTo,'Meal Plan'!$M$5:$M$504,"Yes"))</f>
        <v>0</v>
      </c>
      <c r="AU63" s="25">
        <f>IF(OR(A63="",AC63=""),"",AC63*AT63)</f>
        <v>0</v>
      </c>
      <c r="AV63" s="18">
        <f>IF(A63="","",COUNTIFS('Recipe Ingredients'!$B$5:$B$1204,A63,'Recipe Ingredients'!$N$5:$N$1204,""))</f>
        <v>0</v>
      </c>
      <c r="AZ63" s="18">
        <f>IF(A63="","",COUNTIFS('Meal Plan'!$G$5:$G$504,A63))</f>
        <v>0</v>
      </c>
      <c r="BA63" s="18">
        <f>IF(A63="","",COUNTIFS('Meal Plan'!$G$5:$G$504,A63,'Meal Plan'!$N$5:$N$504,"Prepared")+COUNTIFS('Meal Plan'!$G$5:$G$504,A63,'Meal Plan'!$N$5:$N$504,"Eaten"))</f>
        <v>0</v>
      </c>
      <c r="BB63" s="19">
        <f>IF(A63="","",IF(COUNTIFS('Meal Plan'!$G$5:$G$504,A63,'Meal Plan'!$B$5:$B$504,"&lt;="&amp;TODAY())=0,"",SUMPRODUCT(MAX(('Meal Plan'!$G$5:$G$504=A63)*('Meal Plan'!$B$5:$B$504&lt;=TODAY())*'Meal Plan'!$B$5:$B$504))))</f>
        <v>0</v>
      </c>
      <c r="BC63" s="18">
        <f>IF(BB63="","",TODAY()-BB63)</f>
        <v>0</v>
      </c>
      <c r="BF63" s="31">
        <f>IF(B63="","",IF(G63="","Add - how many does it serve?",IF(AB63=0,"Add - no ingredients listed yet",IF(AV63&gt;0,"Check - "&amp;AV63&amp;" ingredient(s) have no price",IF(AND(BC63&lt;&gt;"",BC63&lt;RotationGapDays),"Cooked recently","OK")))))</f>
        <v>0</v>
      </c>
    </row>
    <row r="64" spans="1:58">
      <c r="A64" s="39">
        <f>IF(B64="","",RecipePrefix&amp;TEXT(ROW()-4,"0000"))</f>
        <v>0</v>
      </c>
      <c r="J64" s="18">
        <f>IF(B64="","",IF(AND(H64="",I64=""),"",IF(H64="",0,H64)+IF(I64="",0,I64)))</f>
        <v>0</v>
      </c>
      <c r="K64" s="46">
        <f>IF(J64="","",IF(J64&lt;=30,"Yes","No"))</f>
        <v>0</v>
      </c>
      <c r="AB64" s="18">
        <f>IF(A64="","",COUNTIFS('Recipe Ingredients'!$B$5:$B$1204,A64))</f>
        <v>0</v>
      </c>
      <c r="AC64" s="25">
        <f>IF(A64="","",SUMIFS('Recipe Ingredients'!$N$5:$N$1204,'Recipe Ingredients'!$B$5:$B$1204,A64))</f>
        <v>0</v>
      </c>
      <c r="AD64" s="25">
        <f>IF(OR(AC64="",G64=""),"",IF(G64=0,"",AC64/G64))</f>
        <v>0</v>
      </c>
      <c r="AE64" s="30">
        <f>IF(OR(A64="",G64=""),"",IF(G64=0,"",SUMIFS('Recipe Ingredients'!$Q$5:$Q$1204,'Recipe Ingredients'!$B$5:$B$1204,A64)/G64))</f>
        <v>0</v>
      </c>
      <c r="AF64" s="45">
        <f>IF(OR(A64="",G64=""),"",IF(G64=0,"",SUMIFS('Recipe Ingredients'!$R$5:$R$1204,'Recipe Ingredients'!$B$5:$B$1204,A64)/G64))</f>
        <v>0</v>
      </c>
      <c r="AG64" s="45">
        <f>IF(OR(A64="",G64=""),"",IF(G64=0,"",SUMIFS('Recipe Ingredients'!$S$5:$S$1204,'Recipe Ingredients'!$B$5:$B$1204,A64)/G64))</f>
        <v>0</v>
      </c>
      <c r="AH64" s="45">
        <f>IF(OR(A64="",G64=""),"",IF(G64=0,"",SUMIFS('Recipe Ingredients'!$T$5:$T$1204,'Recipe Ingredients'!$B$5:$B$1204,A64)/G64))</f>
        <v>0</v>
      </c>
      <c r="AI64" s="45">
        <f>IF(OR(A64="",G64=""),"",IF(G64=0,"",SUMIFS('Recipe Ingredients'!$U$5:$U$1204,'Recipe Ingredients'!$B$5:$B$1204,A64)/G64))</f>
        <v>0</v>
      </c>
      <c r="AJ64" s="17">
        <f>IF(A64="","",IF(COUNTIFS('Recipe Ingredients'!$B$5:$B$1204,A64,'Recipe Ingredients'!$V$5:$V$1204,"&lt;&gt;",'Recipe Ingredients'!$V$5:$V$1204,"&lt;&gt;None")=0,"None listed",COUNTIFS('Recipe Ingredients'!$B$5:$B$1204,A64,'Recipe Ingredients'!$V$5:$V$1204,"&lt;&gt;",'Recipe Ingredients'!$V$5:$V$1204,"&lt;&gt;None")&amp;" ingredient(s) flagged"))</f>
        <v>0</v>
      </c>
      <c r="AK64" s="18">
        <f>IF(OR(AD64="",NOT(ISNUMBER(AD64))),"",COUNTIFS($AD$5:$AD$204,"&lt;"&amp;AD64)+COUNTIFS($AD$5:AD64,AD64))</f>
        <v>0</v>
      </c>
      <c r="AL64" s="18">
        <f>IF(B64="",0,IF(AND(OR(FilterDiet="Any",T64=FilterDiet),OR(FilterCategory="Any",C64=FilterCategory),OR(FilterMethod="Any",L64=FilterMethod),OR(FilterTime=0,AND(J64&lt;&gt;"",J64&lt;=FilterTime)),OR(FilterCost=0,AND(AD64&lt;&gt;"",ISNUMBER(AD64),AD64&lt;=FilterCost)),OR(FilterAllergen="Any",COUNTIFS('Recipe Ingredients'!$B$5:$B$1204,A64,'Recipe Ingredients'!$V$5:$V$1204,FilterAllergen)=0)),1,0))</f>
        <v>0</v>
      </c>
      <c r="AM64" s="18">
        <f>IF(AL64=0,"",SUM($AL$5:AL64))</f>
        <v>0</v>
      </c>
      <c r="AN64" s="18">
        <f>IF(B64="","",COUNTIFS($AZ$5:$AZ$204,"&gt;"&amp;AZ64)+COUNTIFS($AZ$5:AZ64,AZ64))</f>
        <v>0</v>
      </c>
      <c r="AO64" s="18">
        <f>IF(B64="","",COUNTIFS($AE$5:$AE$204,"&gt;"&amp;AE64)+COUNTIFS($AE$5:AE64,AE64))</f>
        <v>0</v>
      </c>
      <c r="AP64" s="18">
        <f>IF(B64="","",COUNTIFS($AF$5:$AF$204,"&gt;"&amp;AF64)+COUNTIFS($AF$5:AF64,AF64))</f>
        <v>0</v>
      </c>
      <c r="AQ64" s="18">
        <f>IF(B64="","",COUNTIFS($AI$5:$AI$204,"&gt;"&amp;AI64)+COUNTIFS($AI$5:AI64,AI64))</f>
        <v>0</v>
      </c>
      <c r="AR64" s="18">
        <f>IF(B64="","",COUNTIFS($AS$5:$AS$204,"&gt;"&amp;AS64)+COUNTIFS($AS$5:AS64,AS64))</f>
        <v>0</v>
      </c>
      <c r="AS64" s="45">
        <f>IF(B64="","",IF(BB64="",99999,BC64))</f>
        <v>0</v>
      </c>
      <c r="AT64" s="45">
        <f>IF(A64="",0,SUMIFS('Meal Plan'!$L$5:$L$504,'Meal Plan'!$G$5:$G$504,A64,'Meal Plan'!$B$5:$B$504,"&gt;="&amp;ShopFrom,'Meal Plan'!$B$5:$B$504,"&lt;="&amp;ShopTo,'Meal Plan'!$M$5:$M$504,"Yes"))</f>
        <v>0</v>
      </c>
      <c r="AU64" s="25">
        <f>IF(OR(A64="",AC64=""),"",AC64*AT64)</f>
        <v>0</v>
      </c>
      <c r="AV64" s="18">
        <f>IF(A64="","",COUNTIFS('Recipe Ingredients'!$B$5:$B$1204,A64,'Recipe Ingredients'!$N$5:$N$1204,""))</f>
        <v>0</v>
      </c>
      <c r="AZ64" s="18">
        <f>IF(A64="","",COUNTIFS('Meal Plan'!$G$5:$G$504,A64))</f>
        <v>0</v>
      </c>
      <c r="BA64" s="18">
        <f>IF(A64="","",COUNTIFS('Meal Plan'!$G$5:$G$504,A64,'Meal Plan'!$N$5:$N$504,"Prepared")+COUNTIFS('Meal Plan'!$G$5:$G$504,A64,'Meal Plan'!$N$5:$N$504,"Eaten"))</f>
        <v>0</v>
      </c>
      <c r="BB64" s="19">
        <f>IF(A64="","",IF(COUNTIFS('Meal Plan'!$G$5:$G$504,A64,'Meal Plan'!$B$5:$B$504,"&lt;="&amp;TODAY())=0,"",SUMPRODUCT(MAX(('Meal Plan'!$G$5:$G$504=A64)*('Meal Plan'!$B$5:$B$504&lt;=TODAY())*'Meal Plan'!$B$5:$B$504))))</f>
        <v>0</v>
      </c>
      <c r="BC64" s="18">
        <f>IF(BB64="","",TODAY()-BB64)</f>
        <v>0</v>
      </c>
      <c r="BF64" s="31">
        <f>IF(B64="","",IF(G64="","Add - how many does it serve?",IF(AB64=0,"Add - no ingredients listed yet",IF(AV64&gt;0,"Check - "&amp;AV64&amp;" ingredient(s) have no price",IF(AND(BC64&lt;&gt;"",BC64&lt;RotationGapDays),"Cooked recently","OK")))))</f>
        <v>0</v>
      </c>
    </row>
    <row r="65" spans="1:58">
      <c r="A65" s="39">
        <f>IF(B65="","",RecipePrefix&amp;TEXT(ROW()-4,"0000"))</f>
        <v>0</v>
      </c>
      <c r="J65" s="18">
        <f>IF(B65="","",IF(AND(H65="",I65=""),"",IF(H65="",0,H65)+IF(I65="",0,I65)))</f>
        <v>0</v>
      </c>
      <c r="K65" s="46">
        <f>IF(J65="","",IF(J65&lt;=30,"Yes","No"))</f>
        <v>0</v>
      </c>
      <c r="AB65" s="18">
        <f>IF(A65="","",COUNTIFS('Recipe Ingredients'!$B$5:$B$1204,A65))</f>
        <v>0</v>
      </c>
      <c r="AC65" s="25">
        <f>IF(A65="","",SUMIFS('Recipe Ingredients'!$N$5:$N$1204,'Recipe Ingredients'!$B$5:$B$1204,A65))</f>
        <v>0</v>
      </c>
      <c r="AD65" s="25">
        <f>IF(OR(AC65="",G65=""),"",IF(G65=0,"",AC65/G65))</f>
        <v>0</v>
      </c>
      <c r="AE65" s="30">
        <f>IF(OR(A65="",G65=""),"",IF(G65=0,"",SUMIFS('Recipe Ingredients'!$Q$5:$Q$1204,'Recipe Ingredients'!$B$5:$B$1204,A65)/G65))</f>
        <v>0</v>
      </c>
      <c r="AF65" s="45">
        <f>IF(OR(A65="",G65=""),"",IF(G65=0,"",SUMIFS('Recipe Ingredients'!$R$5:$R$1204,'Recipe Ingredients'!$B$5:$B$1204,A65)/G65))</f>
        <v>0</v>
      </c>
      <c r="AG65" s="45">
        <f>IF(OR(A65="",G65=""),"",IF(G65=0,"",SUMIFS('Recipe Ingredients'!$S$5:$S$1204,'Recipe Ingredients'!$B$5:$B$1204,A65)/G65))</f>
        <v>0</v>
      </c>
      <c r="AH65" s="45">
        <f>IF(OR(A65="",G65=""),"",IF(G65=0,"",SUMIFS('Recipe Ingredients'!$T$5:$T$1204,'Recipe Ingredients'!$B$5:$B$1204,A65)/G65))</f>
        <v>0</v>
      </c>
      <c r="AI65" s="45">
        <f>IF(OR(A65="",G65=""),"",IF(G65=0,"",SUMIFS('Recipe Ingredients'!$U$5:$U$1204,'Recipe Ingredients'!$B$5:$B$1204,A65)/G65))</f>
        <v>0</v>
      </c>
      <c r="AJ65" s="17">
        <f>IF(A65="","",IF(COUNTIFS('Recipe Ingredients'!$B$5:$B$1204,A65,'Recipe Ingredients'!$V$5:$V$1204,"&lt;&gt;",'Recipe Ingredients'!$V$5:$V$1204,"&lt;&gt;None")=0,"None listed",COUNTIFS('Recipe Ingredients'!$B$5:$B$1204,A65,'Recipe Ingredients'!$V$5:$V$1204,"&lt;&gt;",'Recipe Ingredients'!$V$5:$V$1204,"&lt;&gt;None")&amp;" ingredient(s) flagged"))</f>
        <v>0</v>
      </c>
      <c r="AK65" s="18">
        <f>IF(OR(AD65="",NOT(ISNUMBER(AD65))),"",COUNTIFS($AD$5:$AD$204,"&lt;"&amp;AD65)+COUNTIFS($AD$5:AD65,AD65))</f>
        <v>0</v>
      </c>
      <c r="AL65" s="18">
        <f>IF(B65="",0,IF(AND(OR(FilterDiet="Any",T65=FilterDiet),OR(FilterCategory="Any",C65=FilterCategory),OR(FilterMethod="Any",L65=FilterMethod),OR(FilterTime=0,AND(J65&lt;&gt;"",J65&lt;=FilterTime)),OR(FilterCost=0,AND(AD65&lt;&gt;"",ISNUMBER(AD65),AD65&lt;=FilterCost)),OR(FilterAllergen="Any",COUNTIFS('Recipe Ingredients'!$B$5:$B$1204,A65,'Recipe Ingredients'!$V$5:$V$1204,FilterAllergen)=0)),1,0))</f>
        <v>0</v>
      </c>
      <c r="AM65" s="18">
        <f>IF(AL65=0,"",SUM($AL$5:AL65))</f>
        <v>0</v>
      </c>
      <c r="AN65" s="18">
        <f>IF(B65="","",COUNTIFS($AZ$5:$AZ$204,"&gt;"&amp;AZ65)+COUNTIFS($AZ$5:AZ65,AZ65))</f>
        <v>0</v>
      </c>
      <c r="AO65" s="18">
        <f>IF(B65="","",COUNTIFS($AE$5:$AE$204,"&gt;"&amp;AE65)+COUNTIFS($AE$5:AE65,AE65))</f>
        <v>0</v>
      </c>
      <c r="AP65" s="18">
        <f>IF(B65="","",COUNTIFS($AF$5:$AF$204,"&gt;"&amp;AF65)+COUNTIFS($AF$5:AF65,AF65))</f>
        <v>0</v>
      </c>
      <c r="AQ65" s="18">
        <f>IF(B65="","",COUNTIFS($AI$5:$AI$204,"&gt;"&amp;AI65)+COUNTIFS($AI$5:AI65,AI65))</f>
        <v>0</v>
      </c>
      <c r="AR65" s="18">
        <f>IF(B65="","",COUNTIFS($AS$5:$AS$204,"&gt;"&amp;AS65)+COUNTIFS($AS$5:AS65,AS65))</f>
        <v>0</v>
      </c>
      <c r="AS65" s="45">
        <f>IF(B65="","",IF(BB65="",99999,BC65))</f>
        <v>0</v>
      </c>
      <c r="AT65" s="45">
        <f>IF(A65="",0,SUMIFS('Meal Plan'!$L$5:$L$504,'Meal Plan'!$G$5:$G$504,A65,'Meal Plan'!$B$5:$B$504,"&gt;="&amp;ShopFrom,'Meal Plan'!$B$5:$B$504,"&lt;="&amp;ShopTo,'Meal Plan'!$M$5:$M$504,"Yes"))</f>
        <v>0</v>
      </c>
      <c r="AU65" s="25">
        <f>IF(OR(A65="",AC65=""),"",AC65*AT65)</f>
        <v>0</v>
      </c>
      <c r="AV65" s="18">
        <f>IF(A65="","",COUNTIFS('Recipe Ingredients'!$B$5:$B$1204,A65,'Recipe Ingredients'!$N$5:$N$1204,""))</f>
        <v>0</v>
      </c>
      <c r="AZ65" s="18">
        <f>IF(A65="","",COUNTIFS('Meal Plan'!$G$5:$G$504,A65))</f>
        <v>0</v>
      </c>
      <c r="BA65" s="18">
        <f>IF(A65="","",COUNTIFS('Meal Plan'!$G$5:$G$504,A65,'Meal Plan'!$N$5:$N$504,"Prepared")+COUNTIFS('Meal Plan'!$G$5:$G$504,A65,'Meal Plan'!$N$5:$N$504,"Eaten"))</f>
        <v>0</v>
      </c>
      <c r="BB65" s="19">
        <f>IF(A65="","",IF(COUNTIFS('Meal Plan'!$G$5:$G$504,A65,'Meal Plan'!$B$5:$B$504,"&lt;="&amp;TODAY())=0,"",SUMPRODUCT(MAX(('Meal Plan'!$G$5:$G$504=A65)*('Meal Plan'!$B$5:$B$504&lt;=TODAY())*'Meal Plan'!$B$5:$B$504))))</f>
        <v>0</v>
      </c>
      <c r="BC65" s="18">
        <f>IF(BB65="","",TODAY()-BB65)</f>
        <v>0</v>
      </c>
      <c r="BF65" s="31">
        <f>IF(B65="","",IF(G65="","Add - how many does it serve?",IF(AB65=0,"Add - no ingredients listed yet",IF(AV65&gt;0,"Check - "&amp;AV65&amp;" ingredient(s) have no price",IF(AND(BC65&lt;&gt;"",BC65&lt;RotationGapDays),"Cooked recently","OK")))))</f>
        <v>0</v>
      </c>
    </row>
    <row r="66" spans="1:58">
      <c r="A66" s="39">
        <f>IF(B66="","",RecipePrefix&amp;TEXT(ROW()-4,"0000"))</f>
        <v>0</v>
      </c>
      <c r="J66" s="18">
        <f>IF(B66="","",IF(AND(H66="",I66=""),"",IF(H66="",0,H66)+IF(I66="",0,I66)))</f>
        <v>0</v>
      </c>
      <c r="K66" s="46">
        <f>IF(J66="","",IF(J66&lt;=30,"Yes","No"))</f>
        <v>0</v>
      </c>
      <c r="AB66" s="18">
        <f>IF(A66="","",COUNTIFS('Recipe Ingredients'!$B$5:$B$1204,A66))</f>
        <v>0</v>
      </c>
      <c r="AC66" s="25">
        <f>IF(A66="","",SUMIFS('Recipe Ingredients'!$N$5:$N$1204,'Recipe Ingredients'!$B$5:$B$1204,A66))</f>
        <v>0</v>
      </c>
      <c r="AD66" s="25">
        <f>IF(OR(AC66="",G66=""),"",IF(G66=0,"",AC66/G66))</f>
        <v>0</v>
      </c>
      <c r="AE66" s="30">
        <f>IF(OR(A66="",G66=""),"",IF(G66=0,"",SUMIFS('Recipe Ingredients'!$Q$5:$Q$1204,'Recipe Ingredients'!$B$5:$B$1204,A66)/G66))</f>
        <v>0</v>
      </c>
      <c r="AF66" s="45">
        <f>IF(OR(A66="",G66=""),"",IF(G66=0,"",SUMIFS('Recipe Ingredients'!$R$5:$R$1204,'Recipe Ingredients'!$B$5:$B$1204,A66)/G66))</f>
        <v>0</v>
      </c>
      <c r="AG66" s="45">
        <f>IF(OR(A66="",G66=""),"",IF(G66=0,"",SUMIFS('Recipe Ingredients'!$S$5:$S$1204,'Recipe Ingredients'!$B$5:$B$1204,A66)/G66))</f>
        <v>0</v>
      </c>
      <c r="AH66" s="45">
        <f>IF(OR(A66="",G66=""),"",IF(G66=0,"",SUMIFS('Recipe Ingredients'!$T$5:$T$1204,'Recipe Ingredients'!$B$5:$B$1204,A66)/G66))</f>
        <v>0</v>
      </c>
      <c r="AI66" s="45">
        <f>IF(OR(A66="",G66=""),"",IF(G66=0,"",SUMIFS('Recipe Ingredients'!$U$5:$U$1204,'Recipe Ingredients'!$B$5:$B$1204,A66)/G66))</f>
        <v>0</v>
      </c>
      <c r="AJ66" s="17">
        <f>IF(A66="","",IF(COUNTIFS('Recipe Ingredients'!$B$5:$B$1204,A66,'Recipe Ingredients'!$V$5:$V$1204,"&lt;&gt;",'Recipe Ingredients'!$V$5:$V$1204,"&lt;&gt;None")=0,"None listed",COUNTIFS('Recipe Ingredients'!$B$5:$B$1204,A66,'Recipe Ingredients'!$V$5:$V$1204,"&lt;&gt;",'Recipe Ingredients'!$V$5:$V$1204,"&lt;&gt;None")&amp;" ingredient(s) flagged"))</f>
        <v>0</v>
      </c>
      <c r="AK66" s="18">
        <f>IF(OR(AD66="",NOT(ISNUMBER(AD66))),"",COUNTIFS($AD$5:$AD$204,"&lt;"&amp;AD66)+COUNTIFS($AD$5:AD66,AD66))</f>
        <v>0</v>
      </c>
      <c r="AL66" s="18">
        <f>IF(B66="",0,IF(AND(OR(FilterDiet="Any",T66=FilterDiet),OR(FilterCategory="Any",C66=FilterCategory),OR(FilterMethod="Any",L66=FilterMethod),OR(FilterTime=0,AND(J66&lt;&gt;"",J66&lt;=FilterTime)),OR(FilterCost=0,AND(AD66&lt;&gt;"",ISNUMBER(AD66),AD66&lt;=FilterCost)),OR(FilterAllergen="Any",COUNTIFS('Recipe Ingredients'!$B$5:$B$1204,A66,'Recipe Ingredients'!$V$5:$V$1204,FilterAllergen)=0)),1,0))</f>
        <v>0</v>
      </c>
      <c r="AM66" s="18">
        <f>IF(AL66=0,"",SUM($AL$5:AL66))</f>
        <v>0</v>
      </c>
      <c r="AN66" s="18">
        <f>IF(B66="","",COUNTIFS($AZ$5:$AZ$204,"&gt;"&amp;AZ66)+COUNTIFS($AZ$5:AZ66,AZ66))</f>
        <v>0</v>
      </c>
      <c r="AO66" s="18">
        <f>IF(B66="","",COUNTIFS($AE$5:$AE$204,"&gt;"&amp;AE66)+COUNTIFS($AE$5:AE66,AE66))</f>
        <v>0</v>
      </c>
      <c r="AP66" s="18">
        <f>IF(B66="","",COUNTIFS($AF$5:$AF$204,"&gt;"&amp;AF66)+COUNTIFS($AF$5:AF66,AF66))</f>
        <v>0</v>
      </c>
      <c r="AQ66" s="18">
        <f>IF(B66="","",COUNTIFS($AI$5:$AI$204,"&gt;"&amp;AI66)+COUNTIFS($AI$5:AI66,AI66))</f>
        <v>0</v>
      </c>
      <c r="AR66" s="18">
        <f>IF(B66="","",COUNTIFS($AS$5:$AS$204,"&gt;"&amp;AS66)+COUNTIFS($AS$5:AS66,AS66))</f>
        <v>0</v>
      </c>
      <c r="AS66" s="45">
        <f>IF(B66="","",IF(BB66="",99999,BC66))</f>
        <v>0</v>
      </c>
      <c r="AT66" s="45">
        <f>IF(A66="",0,SUMIFS('Meal Plan'!$L$5:$L$504,'Meal Plan'!$G$5:$G$504,A66,'Meal Plan'!$B$5:$B$504,"&gt;="&amp;ShopFrom,'Meal Plan'!$B$5:$B$504,"&lt;="&amp;ShopTo,'Meal Plan'!$M$5:$M$504,"Yes"))</f>
        <v>0</v>
      </c>
      <c r="AU66" s="25">
        <f>IF(OR(A66="",AC66=""),"",AC66*AT66)</f>
        <v>0</v>
      </c>
      <c r="AV66" s="18">
        <f>IF(A66="","",COUNTIFS('Recipe Ingredients'!$B$5:$B$1204,A66,'Recipe Ingredients'!$N$5:$N$1204,""))</f>
        <v>0</v>
      </c>
      <c r="AZ66" s="18">
        <f>IF(A66="","",COUNTIFS('Meal Plan'!$G$5:$G$504,A66))</f>
        <v>0</v>
      </c>
      <c r="BA66" s="18">
        <f>IF(A66="","",COUNTIFS('Meal Plan'!$G$5:$G$504,A66,'Meal Plan'!$N$5:$N$504,"Prepared")+COUNTIFS('Meal Plan'!$G$5:$G$504,A66,'Meal Plan'!$N$5:$N$504,"Eaten"))</f>
        <v>0</v>
      </c>
      <c r="BB66" s="19">
        <f>IF(A66="","",IF(COUNTIFS('Meal Plan'!$G$5:$G$504,A66,'Meal Plan'!$B$5:$B$504,"&lt;="&amp;TODAY())=0,"",SUMPRODUCT(MAX(('Meal Plan'!$G$5:$G$504=A66)*('Meal Plan'!$B$5:$B$504&lt;=TODAY())*'Meal Plan'!$B$5:$B$504))))</f>
        <v>0</v>
      </c>
      <c r="BC66" s="18">
        <f>IF(BB66="","",TODAY()-BB66)</f>
        <v>0</v>
      </c>
      <c r="BF66" s="31">
        <f>IF(B66="","",IF(G66="","Add - how many does it serve?",IF(AB66=0,"Add - no ingredients listed yet",IF(AV66&gt;0,"Check - "&amp;AV66&amp;" ingredient(s) have no price",IF(AND(BC66&lt;&gt;"",BC66&lt;RotationGapDays),"Cooked recently","OK")))))</f>
        <v>0</v>
      </c>
    </row>
    <row r="67" spans="1:58">
      <c r="A67" s="39">
        <f>IF(B67="","",RecipePrefix&amp;TEXT(ROW()-4,"0000"))</f>
        <v>0</v>
      </c>
      <c r="J67" s="18">
        <f>IF(B67="","",IF(AND(H67="",I67=""),"",IF(H67="",0,H67)+IF(I67="",0,I67)))</f>
        <v>0</v>
      </c>
      <c r="K67" s="46">
        <f>IF(J67="","",IF(J67&lt;=30,"Yes","No"))</f>
        <v>0</v>
      </c>
      <c r="AB67" s="18">
        <f>IF(A67="","",COUNTIFS('Recipe Ingredients'!$B$5:$B$1204,A67))</f>
        <v>0</v>
      </c>
      <c r="AC67" s="25">
        <f>IF(A67="","",SUMIFS('Recipe Ingredients'!$N$5:$N$1204,'Recipe Ingredients'!$B$5:$B$1204,A67))</f>
        <v>0</v>
      </c>
      <c r="AD67" s="25">
        <f>IF(OR(AC67="",G67=""),"",IF(G67=0,"",AC67/G67))</f>
        <v>0</v>
      </c>
      <c r="AE67" s="30">
        <f>IF(OR(A67="",G67=""),"",IF(G67=0,"",SUMIFS('Recipe Ingredients'!$Q$5:$Q$1204,'Recipe Ingredients'!$B$5:$B$1204,A67)/G67))</f>
        <v>0</v>
      </c>
      <c r="AF67" s="45">
        <f>IF(OR(A67="",G67=""),"",IF(G67=0,"",SUMIFS('Recipe Ingredients'!$R$5:$R$1204,'Recipe Ingredients'!$B$5:$B$1204,A67)/G67))</f>
        <v>0</v>
      </c>
      <c r="AG67" s="45">
        <f>IF(OR(A67="",G67=""),"",IF(G67=0,"",SUMIFS('Recipe Ingredients'!$S$5:$S$1204,'Recipe Ingredients'!$B$5:$B$1204,A67)/G67))</f>
        <v>0</v>
      </c>
      <c r="AH67" s="45">
        <f>IF(OR(A67="",G67=""),"",IF(G67=0,"",SUMIFS('Recipe Ingredients'!$T$5:$T$1204,'Recipe Ingredients'!$B$5:$B$1204,A67)/G67))</f>
        <v>0</v>
      </c>
      <c r="AI67" s="45">
        <f>IF(OR(A67="",G67=""),"",IF(G67=0,"",SUMIFS('Recipe Ingredients'!$U$5:$U$1204,'Recipe Ingredients'!$B$5:$B$1204,A67)/G67))</f>
        <v>0</v>
      </c>
      <c r="AJ67" s="17">
        <f>IF(A67="","",IF(COUNTIFS('Recipe Ingredients'!$B$5:$B$1204,A67,'Recipe Ingredients'!$V$5:$V$1204,"&lt;&gt;",'Recipe Ingredients'!$V$5:$V$1204,"&lt;&gt;None")=0,"None listed",COUNTIFS('Recipe Ingredients'!$B$5:$B$1204,A67,'Recipe Ingredients'!$V$5:$V$1204,"&lt;&gt;",'Recipe Ingredients'!$V$5:$V$1204,"&lt;&gt;None")&amp;" ingredient(s) flagged"))</f>
        <v>0</v>
      </c>
      <c r="AK67" s="18">
        <f>IF(OR(AD67="",NOT(ISNUMBER(AD67))),"",COUNTIFS($AD$5:$AD$204,"&lt;"&amp;AD67)+COUNTIFS($AD$5:AD67,AD67))</f>
        <v>0</v>
      </c>
      <c r="AL67" s="18">
        <f>IF(B67="",0,IF(AND(OR(FilterDiet="Any",T67=FilterDiet),OR(FilterCategory="Any",C67=FilterCategory),OR(FilterMethod="Any",L67=FilterMethod),OR(FilterTime=0,AND(J67&lt;&gt;"",J67&lt;=FilterTime)),OR(FilterCost=0,AND(AD67&lt;&gt;"",ISNUMBER(AD67),AD67&lt;=FilterCost)),OR(FilterAllergen="Any",COUNTIFS('Recipe Ingredients'!$B$5:$B$1204,A67,'Recipe Ingredients'!$V$5:$V$1204,FilterAllergen)=0)),1,0))</f>
        <v>0</v>
      </c>
      <c r="AM67" s="18">
        <f>IF(AL67=0,"",SUM($AL$5:AL67))</f>
        <v>0</v>
      </c>
      <c r="AN67" s="18">
        <f>IF(B67="","",COUNTIFS($AZ$5:$AZ$204,"&gt;"&amp;AZ67)+COUNTIFS($AZ$5:AZ67,AZ67))</f>
        <v>0</v>
      </c>
      <c r="AO67" s="18">
        <f>IF(B67="","",COUNTIFS($AE$5:$AE$204,"&gt;"&amp;AE67)+COUNTIFS($AE$5:AE67,AE67))</f>
        <v>0</v>
      </c>
      <c r="AP67" s="18">
        <f>IF(B67="","",COUNTIFS($AF$5:$AF$204,"&gt;"&amp;AF67)+COUNTIFS($AF$5:AF67,AF67))</f>
        <v>0</v>
      </c>
      <c r="AQ67" s="18">
        <f>IF(B67="","",COUNTIFS($AI$5:$AI$204,"&gt;"&amp;AI67)+COUNTIFS($AI$5:AI67,AI67))</f>
        <v>0</v>
      </c>
      <c r="AR67" s="18">
        <f>IF(B67="","",COUNTIFS($AS$5:$AS$204,"&gt;"&amp;AS67)+COUNTIFS($AS$5:AS67,AS67))</f>
        <v>0</v>
      </c>
      <c r="AS67" s="45">
        <f>IF(B67="","",IF(BB67="",99999,BC67))</f>
        <v>0</v>
      </c>
      <c r="AT67" s="45">
        <f>IF(A67="",0,SUMIFS('Meal Plan'!$L$5:$L$504,'Meal Plan'!$G$5:$G$504,A67,'Meal Plan'!$B$5:$B$504,"&gt;="&amp;ShopFrom,'Meal Plan'!$B$5:$B$504,"&lt;="&amp;ShopTo,'Meal Plan'!$M$5:$M$504,"Yes"))</f>
        <v>0</v>
      </c>
      <c r="AU67" s="25">
        <f>IF(OR(A67="",AC67=""),"",AC67*AT67)</f>
        <v>0</v>
      </c>
      <c r="AV67" s="18">
        <f>IF(A67="","",COUNTIFS('Recipe Ingredients'!$B$5:$B$1204,A67,'Recipe Ingredients'!$N$5:$N$1204,""))</f>
        <v>0</v>
      </c>
      <c r="AZ67" s="18">
        <f>IF(A67="","",COUNTIFS('Meal Plan'!$G$5:$G$504,A67))</f>
        <v>0</v>
      </c>
      <c r="BA67" s="18">
        <f>IF(A67="","",COUNTIFS('Meal Plan'!$G$5:$G$504,A67,'Meal Plan'!$N$5:$N$504,"Prepared")+COUNTIFS('Meal Plan'!$G$5:$G$504,A67,'Meal Plan'!$N$5:$N$504,"Eaten"))</f>
        <v>0</v>
      </c>
      <c r="BB67" s="19">
        <f>IF(A67="","",IF(COUNTIFS('Meal Plan'!$G$5:$G$504,A67,'Meal Plan'!$B$5:$B$504,"&lt;="&amp;TODAY())=0,"",SUMPRODUCT(MAX(('Meal Plan'!$G$5:$G$504=A67)*('Meal Plan'!$B$5:$B$504&lt;=TODAY())*'Meal Plan'!$B$5:$B$504))))</f>
        <v>0</v>
      </c>
      <c r="BC67" s="18">
        <f>IF(BB67="","",TODAY()-BB67)</f>
        <v>0</v>
      </c>
      <c r="BF67" s="31">
        <f>IF(B67="","",IF(G67="","Add - how many does it serve?",IF(AB67=0,"Add - no ingredients listed yet",IF(AV67&gt;0,"Check - "&amp;AV67&amp;" ingredient(s) have no price",IF(AND(BC67&lt;&gt;"",BC67&lt;RotationGapDays),"Cooked recently","OK")))))</f>
        <v>0</v>
      </c>
    </row>
    <row r="68" spans="1:58">
      <c r="A68" s="39">
        <f>IF(B68="","",RecipePrefix&amp;TEXT(ROW()-4,"0000"))</f>
        <v>0</v>
      </c>
      <c r="J68" s="18">
        <f>IF(B68="","",IF(AND(H68="",I68=""),"",IF(H68="",0,H68)+IF(I68="",0,I68)))</f>
        <v>0</v>
      </c>
      <c r="K68" s="46">
        <f>IF(J68="","",IF(J68&lt;=30,"Yes","No"))</f>
        <v>0</v>
      </c>
      <c r="AB68" s="18">
        <f>IF(A68="","",COUNTIFS('Recipe Ingredients'!$B$5:$B$1204,A68))</f>
        <v>0</v>
      </c>
      <c r="AC68" s="25">
        <f>IF(A68="","",SUMIFS('Recipe Ingredients'!$N$5:$N$1204,'Recipe Ingredients'!$B$5:$B$1204,A68))</f>
        <v>0</v>
      </c>
      <c r="AD68" s="25">
        <f>IF(OR(AC68="",G68=""),"",IF(G68=0,"",AC68/G68))</f>
        <v>0</v>
      </c>
      <c r="AE68" s="30">
        <f>IF(OR(A68="",G68=""),"",IF(G68=0,"",SUMIFS('Recipe Ingredients'!$Q$5:$Q$1204,'Recipe Ingredients'!$B$5:$B$1204,A68)/G68))</f>
        <v>0</v>
      </c>
      <c r="AF68" s="45">
        <f>IF(OR(A68="",G68=""),"",IF(G68=0,"",SUMIFS('Recipe Ingredients'!$R$5:$R$1204,'Recipe Ingredients'!$B$5:$B$1204,A68)/G68))</f>
        <v>0</v>
      </c>
      <c r="AG68" s="45">
        <f>IF(OR(A68="",G68=""),"",IF(G68=0,"",SUMIFS('Recipe Ingredients'!$S$5:$S$1204,'Recipe Ingredients'!$B$5:$B$1204,A68)/G68))</f>
        <v>0</v>
      </c>
      <c r="AH68" s="45">
        <f>IF(OR(A68="",G68=""),"",IF(G68=0,"",SUMIFS('Recipe Ingredients'!$T$5:$T$1204,'Recipe Ingredients'!$B$5:$B$1204,A68)/G68))</f>
        <v>0</v>
      </c>
      <c r="AI68" s="45">
        <f>IF(OR(A68="",G68=""),"",IF(G68=0,"",SUMIFS('Recipe Ingredients'!$U$5:$U$1204,'Recipe Ingredients'!$B$5:$B$1204,A68)/G68))</f>
        <v>0</v>
      </c>
      <c r="AJ68" s="17">
        <f>IF(A68="","",IF(COUNTIFS('Recipe Ingredients'!$B$5:$B$1204,A68,'Recipe Ingredients'!$V$5:$V$1204,"&lt;&gt;",'Recipe Ingredients'!$V$5:$V$1204,"&lt;&gt;None")=0,"None listed",COUNTIFS('Recipe Ingredients'!$B$5:$B$1204,A68,'Recipe Ingredients'!$V$5:$V$1204,"&lt;&gt;",'Recipe Ingredients'!$V$5:$V$1204,"&lt;&gt;None")&amp;" ingredient(s) flagged"))</f>
        <v>0</v>
      </c>
      <c r="AK68" s="18">
        <f>IF(OR(AD68="",NOT(ISNUMBER(AD68))),"",COUNTIFS($AD$5:$AD$204,"&lt;"&amp;AD68)+COUNTIFS($AD$5:AD68,AD68))</f>
        <v>0</v>
      </c>
      <c r="AL68" s="18">
        <f>IF(B68="",0,IF(AND(OR(FilterDiet="Any",T68=FilterDiet),OR(FilterCategory="Any",C68=FilterCategory),OR(FilterMethod="Any",L68=FilterMethod),OR(FilterTime=0,AND(J68&lt;&gt;"",J68&lt;=FilterTime)),OR(FilterCost=0,AND(AD68&lt;&gt;"",ISNUMBER(AD68),AD68&lt;=FilterCost)),OR(FilterAllergen="Any",COUNTIFS('Recipe Ingredients'!$B$5:$B$1204,A68,'Recipe Ingredients'!$V$5:$V$1204,FilterAllergen)=0)),1,0))</f>
        <v>0</v>
      </c>
      <c r="AM68" s="18">
        <f>IF(AL68=0,"",SUM($AL$5:AL68))</f>
        <v>0</v>
      </c>
      <c r="AN68" s="18">
        <f>IF(B68="","",COUNTIFS($AZ$5:$AZ$204,"&gt;"&amp;AZ68)+COUNTIFS($AZ$5:AZ68,AZ68))</f>
        <v>0</v>
      </c>
      <c r="AO68" s="18">
        <f>IF(B68="","",COUNTIFS($AE$5:$AE$204,"&gt;"&amp;AE68)+COUNTIFS($AE$5:AE68,AE68))</f>
        <v>0</v>
      </c>
      <c r="AP68" s="18">
        <f>IF(B68="","",COUNTIFS($AF$5:$AF$204,"&gt;"&amp;AF68)+COUNTIFS($AF$5:AF68,AF68))</f>
        <v>0</v>
      </c>
      <c r="AQ68" s="18">
        <f>IF(B68="","",COUNTIFS($AI$5:$AI$204,"&gt;"&amp;AI68)+COUNTIFS($AI$5:AI68,AI68))</f>
        <v>0</v>
      </c>
      <c r="AR68" s="18">
        <f>IF(B68="","",COUNTIFS($AS$5:$AS$204,"&gt;"&amp;AS68)+COUNTIFS($AS$5:AS68,AS68))</f>
        <v>0</v>
      </c>
      <c r="AS68" s="45">
        <f>IF(B68="","",IF(BB68="",99999,BC68))</f>
        <v>0</v>
      </c>
      <c r="AT68" s="45">
        <f>IF(A68="",0,SUMIFS('Meal Plan'!$L$5:$L$504,'Meal Plan'!$G$5:$G$504,A68,'Meal Plan'!$B$5:$B$504,"&gt;="&amp;ShopFrom,'Meal Plan'!$B$5:$B$504,"&lt;="&amp;ShopTo,'Meal Plan'!$M$5:$M$504,"Yes"))</f>
        <v>0</v>
      </c>
      <c r="AU68" s="25">
        <f>IF(OR(A68="",AC68=""),"",AC68*AT68)</f>
        <v>0</v>
      </c>
      <c r="AV68" s="18">
        <f>IF(A68="","",COUNTIFS('Recipe Ingredients'!$B$5:$B$1204,A68,'Recipe Ingredients'!$N$5:$N$1204,""))</f>
        <v>0</v>
      </c>
      <c r="AZ68" s="18">
        <f>IF(A68="","",COUNTIFS('Meal Plan'!$G$5:$G$504,A68))</f>
        <v>0</v>
      </c>
      <c r="BA68" s="18">
        <f>IF(A68="","",COUNTIFS('Meal Plan'!$G$5:$G$504,A68,'Meal Plan'!$N$5:$N$504,"Prepared")+COUNTIFS('Meal Plan'!$G$5:$G$504,A68,'Meal Plan'!$N$5:$N$504,"Eaten"))</f>
        <v>0</v>
      </c>
      <c r="BB68" s="19">
        <f>IF(A68="","",IF(COUNTIFS('Meal Plan'!$G$5:$G$504,A68,'Meal Plan'!$B$5:$B$504,"&lt;="&amp;TODAY())=0,"",SUMPRODUCT(MAX(('Meal Plan'!$G$5:$G$504=A68)*('Meal Plan'!$B$5:$B$504&lt;=TODAY())*'Meal Plan'!$B$5:$B$504))))</f>
        <v>0</v>
      </c>
      <c r="BC68" s="18">
        <f>IF(BB68="","",TODAY()-BB68)</f>
        <v>0</v>
      </c>
      <c r="BF68" s="31">
        <f>IF(B68="","",IF(G68="","Add - how many does it serve?",IF(AB68=0,"Add - no ingredients listed yet",IF(AV68&gt;0,"Check - "&amp;AV68&amp;" ingredient(s) have no price",IF(AND(BC68&lt;&gt;"",BC68&lt;RotationGapDays),"Cooked recently","OK")))))</f>
        <v>0</v>
      </c>
    </row>
    <row r="69" spans="1:58">
      <c r="A69" s="39">
        <f>IF(B69="","",RecipePrefix&amp;TEXT(ROW()-4,"0000"))</f>
        <v>0</v>
      </c>
      <c r="J69" s="18">
        <f>IF(B69="","",IF(AND(H69="",I69=""),"",IF(H69="",0,H69)+IF(I69="",0,I69)))</f>
        <v>0</v>
      </c>
      <c r="K69" s="46">
        <f>IF(J69="","",IF(J69&lt;=30,"Yes","No"))</f>
        <v>0</v>
      </c>
      <c r="AB69" s="18">
        <f>IF(A69="","",COUNTIFS('Recipe Ingredients'!$B$5:$B$1204,A69))</f>
        <v>0</v>
      </c>
      <c r="AC69" s="25">
        <f>IF(A69="","",SUMIFS('Recipe Ingredients'!$N$5:$N$1204,'Recipe Ingredients'!$B$5:$B$1204,A69))</f>
        <v>0</v>
      </c>
      <c r="AD69" s="25">
        <f>IF(OR(AC69="",G69=""),"",IF(G69=0,"",AC69/G69))</f>
        <v>0</v>
      </c>
      <c r="AE69" s="30">
        <f>IF(OR(A69="",G69=""),"",IF(G69=0,"",SUMIFS('Recipe Ingredients'!$Q$5:$Q$1204,'Recipe Ingredients'!$B$5:$B$1204,A69)/G69))</f>
        <v>0</v>
      </c>
      <c r="AF69" s="45">
        <f>IF(OR(A69="",G69=""),"",IF(G69=0,"",SUMIFS('Recipe Ingredients'!$R$5:$R$1204,'Recipe Ingredients'!$B$5:$B$1204,A69)/G69))</f>
        <v>0</v>
      </c>
      <c r="AG69" s="45">
        <f>IF(OR(A69="",G69=""),"",IF(G69=0,"",SUMIFS('Recipe Ingredients'!$S$5:$S$1204,'Recipe Ingredients'!$B$5:$B$1204,A69)/G69))</f>
        <v>0</v>
      </c>
      <c r="AH69" s="45">
        <f>IF(OR(A69="",G69=""),"",IF(G69=0,"",SUMIFS('Recipe Ingredients'!$T$5:$T$1204,'Recipe Ingredients'!$B$5:$B$1204,A69)/G69))</f>
        <v>0</v>
      </c>
      <c r="AI69" s="45">
        <f>IF(OR(A69="",G69=""),"",IF(G69=0,"",SUMIFS('Recipe Ingredients'!$U$5:$U$1204,'Recipe Ingredients'!$B$5:$B$1204,A69)/G69))</f>
        <v>0</v>
      </c>
      <c r="AJ69" s="17">
        <f>IF(A69="","",IF(COUNTIFS('Recipe Ingredients'!$B$5:$B$1204,A69,'Recipe Ingredients'!$V$5:$V$1204,"&lt;&gt;",'Recipe Ingredients'!$V$5:$V$1204,"&lt;&gt;None")=0,"None listed",COUNTIFS('Recipe Ingredients'!$B$5:$B$1204,A69,'Recipe Ingredients'!$V$5:$V$1204,"&lt;&gt;",'Recipe Ingredients'!$V$5:$V$1204,"&lt;&gt;None")&amp;" ingredient(s) flagged"))</f>
        <v>0</v>
      </c>
      <c r="AK69" s="18">
        <f>IF(OR(AD69="",NOT(ISNUMBER(AD69))),"",COUNTIFS($AD$5:$AD$204,"&lt;"&amp;AD69)+COUNTIFS($AD$5:AD69,AD69))</f>
        <v>0</v>
      </c>
      <c r="AL69" s="18">
        <f>IF(B69="",0,IF(AND(OR(FilterDiet="Any",T69=FilterDiet),OR(FilterCategory="Any",C69=FilterCategory),OR(FilterMethod="Any",L69=FilterMethod),OR(FilterTime=0,AND(J69&lt;&gt;"",J69&lt;=FilterTime)),OR(FilterCost=0,AND(AD69&lt;&gt;"",ISNUMBER(AD69),AD69&lt;=FilterCost)),OR(FilterAllergen="Any",COUNTIFS('Recipe Ingredients'!$B$5:$B$1204,A69,'Recipe Ingredients'!$V$5:$V$1204,FilterAllergen)=0)),1,0))</f>
        <v>0</v>
      </c>
      <c r="AM69" s="18">
        <f>IF(AL69=0,"",SUM($AL$5:AL69))</f>
        <v>0</v>
      </c>
      <c r="AN69" s="18">
        <f>IF(B69="","",COUNTIFS($AZ$5:$AZ$204,"&gt;"&amp;AZ69)+COUNTIFS($AZ$5:AZ69,AZ69))</f>
        <v>0</v>
      </c>
      <c r="AO69" s="18">
        <f>IF(B69="","",COUNTIFS($AE$5:$AE$204,"&gt;"&amp;AE69)+COUNTIFS($AE$5:AE69,AE69))</f>
        <v>0</v>
      </c>
      <c r="AP69" s="18">
        <f>IF(B69="","",COUNTIFS($AF$5:$AF$204,"&gt;"&amp;AF69)+COUNTIFS($AF$5:AF69,AF69))</f>
        <v>0</v>
      </c>
      <c r="AQ69" s="18">
        <f>IF(B69="","",COUNTIFS($AI$5:$AI$204,"&gt;"&amp;AI69)+COUNTIFS($AI$5:AI69,AI69))</f>
        <v>0</v>
      </c>
      <c r="AR69" s="18">
        <f>IF(B69="","",COUNTIFS($AS$5:$AS$204,"&gt;"&amp;AS69)+COUNTIFS($AS$5:AS69,AS69))</f>
        <v>0</v>
      </c>
      <c r="AS69" s="45">
        <f>IF(B69="","",IF(BB69="",99999,BC69))</f>
        <v>0</v>
      </c>
      <c r="AT69" s="45">
        <f>IF(A69="",0,SUMIFS('Meal Plan'!$L$5:$L$504,'Meal Plan'!$G$5:$G$504,A69,'Meal Plan'!$B$5:$B$504,"&gt;="&amp;ShopFrom,'Meal Plan'!$B$5:$B$504,"&lt;="&amp;ShopTo,'Meal Plan'!$M$5:$M$504,"Yes"))</f>
        <v>0</v>
      </c>
      <c r="AU69" s="25">
        <f>IF(OR(A69="",AC69=""),"",AC69*AT69)</f>
        <v>0</v>
      </c>
      <c r="AV69" s="18">
        <f>IF(A69="","",COUNTIFS('Recipe Ingredients'!$B$5:$B$1204,A69,'Recipe Ingredients'!$N$5:$N$1204,""))</f>
        <v>0</v>
      </c>
      <c r="AZ69" s="18">
        <f>IF(A69="","",COUNTIFS('Meal Plan'!$G$5:$G$504,A69))</f>
        <v>0</v>
      </c>
      <c r="BA69" s="18">
        <f>IF(A69="","",COUNTIFS('Meal Plan'!$G$5:$G$504,A69,'Meal Plan'!$N$5:$N$504,"Prepared")+COUNTIFS('Meal Plan'!$G$5:$G$504,A69,'Meal Plan'!$N$5:$N$504,"Eaten"))</f>
        <v>0</v>
      </c>
      <c r="BB69" s="19">
        <f>IF(A69="","",IF(COUNTIFS('Meal Plan'!$G$5:$G$504,A69,'Meal Plan'!$B$5:$B$504,"&lt;="&amp;TODAY())=0,"",SUMPRODUCT(MAX(('Meal Plan'!$G$5:$G$504=A69)*('Meal Plan'!$B$5:$B$504&lt;=TODAY())*'Meal Plan'!$B$5:$B$504))))</f>
        <v>0</v>
      </c>
      <c r="BC69" s="18">
        <f>IF(BB69="","",TODAY()-BB69)</f>
        <v>0</v>
      </c>
      <c r="BF69" s="31">
        <f>IF(B69="","",IF(G69="","Add - how many does it serve?",IF(AB69=0,"Add - no ingredients listed yet",IF(AV69&gt;0,"Check - "&amp;AV69&amp;" ingredient(s) have no price",IF(AND(BC69&lt;&gt;"",BC69&lt;RotationGapDays),"Cooked recently","OK")))))</f>
        <v>0</v>
      </c>
    </row>
    <row r="70" spans="1:58">
      <c r="A70" s="39">
        <f>IF(B70="","",RecipePrefix&amp;TEXT(ROW()-4,"0000"))</f>
        <v>0</v>
      </c>
      <c r="J70" s="18">
        <f>IF(B70="","",IF(AND(H70="",I70=""),"",IF(H70="",0,H70)+IF(I70="",0,I70)))</f>
        <v>0</v>
      </c>
      <c r="K70" s="46">
        <f>IF(J70="","",IF(J70&lt;=30,"Yes","No"))</f>
        <v>0</v>
      </c>
      <c r="AB70" s="18">
        <f>IF(A70="","",COUNTIFS('Recipe Ingredients'!$B$5:$B$1204,A70))</f>
        <v>0</v>
      </c>
      <c r="AC70" s="25">
        <f>IF(A70="","",SUMIFS('Recipe Ingredients'!$N$5:$N$1204,'Recipe Ingredients'!$B$5:$B$1204,A70))</f>
        <v>0</v>
      </c>
      <c r="AD70" s="25">
        <f>IF(OR(AC70="",G70=""),"",IF(G70=0,"",AC70/G70))</f>
        <v>0</v>
      </c>
      <c r="AE70" s="30">
        <f>IF(OR(A70="",G70=""),"",IF(G70=0,"",SUMIFS('Recipe Ingredients'!$Q$5:$Q$1204,'Recipe Ingredients'!$B$5:$B$1204,A70)/G70))</f>
        <v>0</v>
      </c>
      <c r="AF70" s="45">
        <f>IF(OR(A70="",G70=""),"",IF(G70=0,"",SUMIFS('Recipe Ingredients'!$R$5:$R$1204,'Recipe Ingredients'!$B$5:$B$1204,A70)/G70))</f>
        <v>0</v>
      </c>
      <c r="AG70" s="45">
        <f>IF(OR(A70="",G70=""),"",IF(G70=0,"",SUMIFS('Recipe Ingredients'!$S$5:$S$1204,'Recipe Ingredients'!$B$5:$B$1204,A70)/G70))</f>
        <v>0</v>
      </c>
      <c r="AH70" s="45">
        <f>IF(OR(A70="",G70=""),"",IF(G70=0,"",SUMIFS('Recipe Ingredients'!$T$5:$T$1204,'Recipe Ingredients'!$B$5:$B$1204,A70)/G70))</f>
        <v>0</v>
      </c>
      <c r="AI70" s="45">
        <f>IF(OR(A70="",G70=""),"",IF(G70=0,"",SUMIFS('Recipe Ingredients'!$U$5:$U$1204,'Recipe Ingredients'!$B$5:$B$1204,A70)/G70))</f>
        <v>0</v>
      </c>
      <c r="AJ70" s="17">
        <f>IF(A70="","",IF(COUNTIFS('Recipe Ingredients'!$B$5:$B$1204,A70,'Recipe Ingredients'!$V$5:$V$1204,"&lt;&gt;",'Recipe Ingredients'!$V$5:$V$1204,"&lt;&gt;None")=0,"None listed",COUNTIFS('Recipe Ingredients'!$B$5:$B$1204,A70,'Recipe Ingredients'!$V$5:$V$1204,"&lt;&gt;",'Recipe Ingredients'!$V$5:$V$1204,"&lt;&gt;None")&amp;" ingredient(s) flagged"))</f>
        <v>0</v>
      </c>
      <c r="AK70" s="18">
        <f>IF(OR(AD70="",NOT(ISNUMBER(AD70))),"",COUNTIFS($AD$5:$AD$204,"&lt;"&amp;AD70)+COUNTIFS($AD$5:AD70,AD70))</f>
        <v>0</v>
      </c>
      <c r="AL70" s="18">
        <f>IF(B70="",0,IF(AND(OR(FilterDiet="Any",T70=FilterDiet),OR(FilterCategory="Any",C70=FilterCategory),OR(FilterMethod="Any",L70=FilterMethod),OR(FilterTime=0,AND(J70&lt;&gt;"",J70&lt;=FilterTime)),OR(FilterCost=0,AND(AD70&lt;&gt;"",ISNUMBER(AD70),AD70&lt;=FilterCost)),OR(FilterAllergen="Any",COUNTIFS('Recipe Ingredients'!$B$5:$B$1204,A70,'Recipe Ingredients'!$V$5:$V$1204,FilterAllergen)=0)),1,0))</f>
        <v>0</v>
      </c>
      <c r="AM70" s="18">
        <f>IF(AL70=0,"",SUM($AL$5:AL70))</f>
        <v>0</v>
      </c>
      <c r="AN70" s="18">
        <f>IF(B70="","",COUNTIFS($AZ$5:$AZ$204,"&gt;"&amp;AZ70)+COUNTIFS($AZ$5:AZ70,AZ70))</f>
        <v>0</v>
      </c>
      <c r="AO70" s="18">
        <f>IF(B70="","",COUNTIFS($AE$5:$AE$204,"&gt;"&amp;AE70)+COUNTIFS($AE$5:AE70,AE70))</f>
        <v>0</v>
      </c>
      <c r="AP70" s="18">
        <f>IF(B70="","",COUNTIFS($AF$5:$AF$204,"&gt;"&amp;AF70)+COUNTIFS($AF$5:AF70,AF70))</f>
        <v>0</v>
      </c>
      <c r="AQ70" s="18">
        <f>IF(B70="","",COUNTIFS($AI$5:$AI$204,"&gt;"&amp;AI70)+COUNTIFS($AI$5:AI70,AI70))</f>
        <v>0</v>
      </c>
      <c r="AR70" s="18">
        <f>IF(B70="","",COUNTIFS($AS$5:$AS$204,"&gt;"&amp;AS70)+COUNTIFS($AS$5:AS70,AS70))</f>
        <v>0</v>
      </c>
      <c r="AS70" s="45">
        <f>IF(B70="","",IF(BB70="",99999,BC70))</f>
        <v>0</v>
      </c>
      <c r="AT70" s="45">
        <f>IF(A70="",0,SUMIFS('Meal Plan'!$L$5:$L$504,'Meal Plan'!$G$5:$G$504,A70,'Meal Plan'!$B$5:$B$504,"&gt;="&amp;ShopFrom,'Meal Plan'!$B$5:$B$504,"&lt;="&amp;ShopTo,'Meal Plan'!$M$5:$M$504,"Yes"))</f>
        <v>0</v>
      </c>
      <c r="AU70" s="25">
        <f>IF(OR(A70="",AC70=""),"",AC70*AT70)</f>
        <v>0</v>
      </c>
      <c r="AV70" s="18">
        <f>IF(A70="","",COUNTIFS('Recipe Ingredients'!$B$5:$B$1204,A70,'Recipe Ingredients'!$N$5:$N$1204,""))</f>
        <v>0</v>
      </c>
      <c r="AZ70" s="18">
        <f>IF(A70="","",COUNTIFS('Meal Plan'!$G$5:$G$504,A70))</f>
        <v>0</v>
      </c>
      <c r="BA70" s="18">
        <f>IF(A70="","",COUNTIFS('Meal Plan'!$G$5:$G$504,A70,'Meal Plan'!$N$5:$N$504,"Prepared")+COUNTIFS('Meal Plan'!$G$5:$G$504,A70,'Meal Plan'!$N$5:$N$504,"Eaten"))</f>
        <v>0</v>
      </c>
      <c r="BB70" s="19">
        <f>IF(A70="","",IF(COUNTIFS('Meal Plan'!$G$5:$G$504,A70,'Meal Plan'!$B$5:$B$504,"&lt;="&amp;TODAY())=0,"",SUMPRODUCT(MAX(('Meal Plan'!$G$5:$G$504=A70)*('Meal Plan'!$B$5:$B$504&lt;=TODAY())*'Meal Plan'!$B$5:$B$504))))</f>
        <v>0</v>
      </c>
      <c r="BC70" s="18">
        <f>IF(BB70="","",TODAY()-BB70)</f>
        <v>0</v>
      </c>
      <c r="BF70" s="31">
        <f>IF(B70="","",IF(G70="","Add - how many does it serve?",IF(AB70=0,"Add - no ingredients listed yet",IF(AV70&gt;0,"Check - "&amp;AV70&amp;" ingredient(s) have no price",IF(AND(BC70&lt;&gt;"",BC70&lt;RotationGapDays),"Cooked recently","OK")))))</f>
        <v>0</v>
      </c>
    </row>
    <row r="71" spans="1:58">
      <c r="A71" s="39">
        <f>IF(B71="","",RecipePrefix&amp;TEXT(ROW()-4,"0000"))</f>
        <v>0</v>
      </c>
      <c r="J71" s="18">
        <f>IF(B71="","",IF(AND(H71="",I71=""),"",IF(H71="",0,H71)+IF(I71="",0,I71)))</f>
        <v>0</v>
      </c>
      <c r="K71" s="46">
        <f>IF(J71="","",IF(J71&lt;=30,"Yes","No"))</f>
        <v>0</v>
      </c>
      <c r="AB71" s="18">
        <f>IF(A71="","",COUNTIFS('Recipe Ingredients'!$B$5:$B$1204,A71))</f>
        <v>0</v>
      </c>
      <c r="AC71" s="25">
        <f>IF(A71="","",SUMIFS('Recipe Ingredients'!$N$5:$N$1204,'Recipe Ingredients'!$B$5:$B$1204,A71))</f>
        <v>0</v>
      </c>
      <c r="AD71" s="25">
        <f>IF(OR(AC71="",G71=""),"",IF(G71=0,"",AC71/G71))</f>
        <v>0</v>
      </c>
      <c r="AE71" s="30">
        <f>IF(OR(A71="",G71=""),"",IF(G71=0,"",SUMIFS('Recipe Ingredients'!$Q$5:$Q$1204,'Recipe Ingredients'!$B$5:$B$1204,A71)/G71))</f>
        <v>0</v>
      </c>
      <c r="AF71" s="45">
        <f>IF(OR(A71="",G71=""),"",IF(G71=0,"",SUMIFS('Recipe Ingredients'!$R$5:$R$1204,'Recipe Ingredients'!$B$5:$B$1204,A71)/G71))</f>
        <v>0</v>
      </c>
      <c r="AG71" s="45">
        <f>IF(OR(A71="",G71=""),"",IF(G71=0,"",SUMIFS('Recipe Ingredients'!$S$5:$S$1204,'Recipe Ingredients'!$B$5:$B$1204,A71)/G71))</f>
        <v>0</v>
      </c>
      <c r="AH71" s="45">
        <f>IF(OR(A71="",G71=""),"",IF(G71=0,"",SUMIFS('Recipe Ingredients'!$T$5:$T$1204,'Recipe Ingredients'!$B$5:$B$1204,A71)/G71))</f>
        <v>0</v>
      </c>
      <c r="AI71" s="45">
        <f>IF(OR(A71="",G71=""),"",IF(G71=0,"",SUMIFS('Recipe Ingredients'!$U$5:$U$1204,'Recipe Ingredients'!$B$5:$B$1204,A71)/G71))</f>
        <v>0</v>
      </c>
      <c r="AJ71" s="17">
        <f>IF(A71="","",IF(COUNTIFS('Recipe Ingredients'!$B$5:$B$1204,A71,'Recipe Ingredients'!$V$5:$V$1204,"&lt;&gt;",'Recipe Ingredients'!$V$5:$V$1204,"&lt;&gt;None")=0,"None listed",COUNTIFS('Recipe Ingredients'!$B$5:$B$1204,A71,'Recipe Ingredients'!$V$5:$V$1204,"&lt;&gt;",'Recipe Ingredients'!$V$5:$V$1204,"&lt;&gt;None")&amp;" ingredient(s) flagged"))</f>
        <v>0</v>
      </c>
      <c r="AK71" s="18">
        <f>IF(OR(AD71="",NOT(ISNUMBER(AD71))),"",COUNTIFS($AD$5:$AD$204,"&lt;"&amp;AD71)+COUNTIFS($AD$5:AD71,AD71))</f>
        <v>0</v>
      </c>
      <c r="AL71" s="18">
        <f>IF(B71="",0,IF(AND(OR(FilterDiet="Any",T71=FilterDiet),OR(FilterCategory="Any",C71=FilterCategory),OR(FilterMethod="Any",L71=FilterMethod),OR(FilterTime=0,AND(J71&lt;&gt;"",J71&lt;=FilterTime)),OR(FilterCost=0,AND(AD71&lt;&gt;"",ISNUMBER(AD71),AD71&lt;=FilterCost)),OR(FilterAllergen="Any",COUNTIFS('Recipe Ingredients'!$B$5:$B$1204,A71,'Recipe Ingredients'!$V$5:$V$1204,FilterAllergen)=0)),1,0))</f>
        <v>0</v>
      </c>
      <c r="AM71" s="18">
        <f>IF(AL71=0,"",SUM($AL$5:AL71))</f>
        <v>0</v>
      </c>
      <c r="AN71" s="18">
        <f>IF(B71="","",COUNTIFS($AZ$5:$AZ$204,"&gt;"&amp;AZ71)+COUNTIFS($AZ$5:AZ71,AZ71))</f>
        <v>0</v>
      </c>
      <c r="AO71" s="18">
        <f>IF(B71="","",COUNTIFS($AE$5:$AE$204,"&gt;"&amp;AE71)+COUNTIFS($AE$5:AE71,AE71))</f>
        <v>0</v>
      </c>
      <c r="AP71" s="18">
        <f>IF(B71="","",COUNTIFS($AF$5:$AF$204,"&gt;"&amp;AF71)+COUNTIFS($AF$5:AF71,AF71))</f>
        <v>0</v>
      </c>
      <c r="AQ71" s="18">
        <f>IF(B71="","",COUNTIFS($AI$5:$AI$204,"&gt;"&amp;AI71)+COUNTIFS($AI$5:AI71,AI71))</f>
        <v>0</v>
      </c>
      <c r="AR71" s="18">
        <f>IF(B71="","",COUNTIFS($AS$5:$AS$204,"&gt;"&amp;AS71)+COUNTIFS($AS$5:AS71,AS71))</f>
        <v>0</v>
      </c>
      <c r="AS71" s="45">
        <f>IF(B71="","",IF(BB71="",99999,BC71))</f>
        <v>0</v>
      </c>
      <c r="AT71" s="45">
        <f>IF(A71="",0,SUMIFS('Meal Plan'!$L$5:$L$504,'Meal Plan'!$G$5:$G$504,A71,'Meal Plan'!$B$5:$B$504,"&gt;="&amp;ShopFrom,'Meal Plan'!$B$5:$B$504,"&lt;="&amp;ShopTo,'Meal Plan'!$M$5:$M$504,"Yes"))</f>
        <v>0</v>
      </c>
      <c r="AU71" s="25">
        <f>IF(OR(A71="",AC71=""),"",AC71*AT71)</f>
        <v>0</v>
      </c>
      <c r="AV71" s="18">
        <f>IF(A71="","",COUNTIFS('Recipe Ingredients'!$B$5:$B$1204,A71,'Recipe Ingredients'!$N$5:$N$1204,""))</f>
        <v>0</v>
      </c>
      <c r="AZ71" s="18">
        <f>IF(A71="","",COUNTIFS('Meal Plan'!$G$5:$G$504,A71))</f>
        <v>0</v>
      </c>
      <c r="BA71" s="18">
        <f>IF(A71="","",COUNTIFS('Meal Plan'!$G$5:$G$504,A71,'Meal Plan'!$N$5:$N$504,"Prepared")+COUNTIFS('Meal Plan'!$G$5:$G$504,A71,'Meal Plan'!$N$5:$N$504,"Eaten"))</f>
        <v>0</v>
      </c>
      <c r="BB71" s="19">
        <f>IF(A71="","",IF(COUNTIFS('Meal Plan'!$G$5:$G$504,A71,'Meal Plan'!$B$5:$B$504,"&lt;="&amp;TODAY())=0,"",SUMPRODUCT(MAX(('Meal Plan'!$G$5:$G$504=A71)*('Meal Plan'!$B$5:$B$504&lt;=TODAY())*'Meal Plan'!$B$5:$B$504))))</f>
        <v>0</v>
      </c>
      <c r="BC71" s="18">
        <f>IF(BB71="","",TODAY()-BB71)</f>
        <v>0</v>
      </c>
      <c r="BF71" s="31">
        <f>IF(B71="","",IF(G71="","Add - how many does it serve?",IF(AB71=0,"Add - no ingredients listed yet",IF(AV71&gt;0,"Check - "&amp;AV71&amp;" ingredient(s) have no price",IF(AND(BC71&lt;&gt;"",BC71&lt;RotationGapDays),"Cooked recently","OK")))))</f>
        <v>0</v>
      </c>
    </row>
    <row r="72" spans="1:58">
      <c r="A72" s="39">
        <f>IF(B72="","",RecipePrefix&amp;TEXT(ROW()-4,"0000"))</f>
        <v>0</v>
      </c>
      <c r="J72" s="18">
        <f>IF(B72="","",IF(AND(H72="",I72=""),"",IF(H72="",0,H72)+IF(I72="",0,I72)))</f>
        <v>0</v>
      </c>
      <c r="K72" s="46">
        <f>IF(J72="","",IF(J72&lt;=30,"Yes","No"))</f>
        <v>0</v>
      </c>
      <c r="AB72" s="18">
        <f>IF(A72="","",COUNTIFS('Recipe Ingredients'!$B$5:$B$1204,A72))</f>
        <v>0</v>
      </c>
      <c r="AC72" s="25">
        <f>IF(A72="","",SUMIFS('Recipe Ingredients'!$N$5:$N$1204,'Recipe Ingredients'!$B$5:$B$1204,A72))</f>
        <v>0</v>
      </c>
      <c r="AD72" s="25">
        <f>IF(OR(AC72="",G72=""),"",IF(G72=0,"",AC72/G72))</f>
        <v>0</v>
      </c>
      <c r="AE72" s="30">
        <f>IF(OR(A72="",G72=""),"",IF(G72=0,"",SUMIFS('Recipe Ingredients'!$Q$5:$Q$1204,'Recipe Ingredients'!$B$5:$B$1204,A72)/G72))</f>
        <v>0</v>
      </c>
      <c r="AF72" s="45">
        <f>IF(OR(A72="",G72=""),"",IF(G72=0,"",SUMIFS('Recipe Ingredients'!$R$5:$R$1204,'Recipe Ingredients'!$B$5:$B$1204,A72)/G72))</f>
        <v>0</v>
      </c>
      <c r="AG72" s="45">
        <f>IF(OR(A72="",G72=""),"",IF(G72=0,"",SUMIFS('Recipe Ingredients'!$S$5:$S$1204,'Recipe Ingredients'!$B$5:$B$1204,A72)/G72))</f>
        <v>0</v>
      </c>
      <c r="AH72" s="45">
        <f>IF(OR(A72="",G72=""),"",IF(G72=0,"",SUMIFS('Recipe Ingredients'!$T$5:$T$1204,'Recipe Ingredients'!$B$5:$B$1204,A72)/G72))</f>
        <v>0</v>
      </c>
      <c r="AI72" s="45">
        <f>IF(OR(A72="",G72=""),"",IF(G72=0,"",SUMIFS('Recipe Ingredients'!$U$5:$U$1204,'Recipe Ingredients'!$B$5:$B$1204,A72)/G72))</f>
        <v>0</v>
      </c>
      <c r="AJ72" s="17">
        <f>IF(A72="","",IF(COUNTIFS('Recipe Ingredients'!$B$5:$B$1204,A72,'Recipe Ingredients'!$V$5:$V$1204,"&lt;&gt;",'Recipe Ingredients'!$V$5:$V$1204,"&lt;&gt;None")=0,"None listed",COUNTIFS('Recipe Ingredients'!$B$5:$B$1204,A72,'Recipe Ingredients'!$V$5:$V$1204,"&lt;&gt;",'Recipe Ingredients'!$V$5:$V$1204,"&lt;&gt;None")&amp;" ingredient(s) flagged"))</f>
        <v>0</v>
      </c>
      <c r="AK72" s="18">
        <f>IF(OR(AD72="",NOT(ISNUMBER(AD72))),"",COUNTIFS($AD$5:$AD$204,"&lt;"&amp;AD72)+COUNTIFS($AD$5:AD72,AD72))</f>
        <v>0</v>
      </c>
      <c r="AL72" s="18">
        <f>IF(B72="",0,IF(AND(OR(FilterDiet="Any",T72=FilterDiet),OR(FilterCategory="Any",C72=FilterCategory),OR(FilterMethod="Any",L72=FilterMethod),OR(FilterTime=0,AND(J72&lt;&gt;"",J72&lt;=FilterTime)),OR(FilterCost=0,AND(AD72&lt;&gt;"",ISNUMBER(AD72),AD72&lt;=FilterCost)),OR(FilterAllergen="Any",COUNTIFS('Recipe Ingredients'!$B$5:$B$1204,A72,'Recipe Ingredients'!$V$5:$V$1204,FilterAllergen)=0)),1,0))</f>
        <v>0</v>
      </c>
      <c r="AM72" s="18">
        <f>IF(AL72=0,"",SUM($AL$5:AL72))</f>
        <v>0</v>
      </c>
      <c r="AN72" s="18">
        <f>IF(B72="","",COUNTIFS($AZ$5:$AZ$204,"&gt;"&amp;AZ72)+COUNTIFS($AZ$5:AZ72,AZ72))</f>
        <v>0</v>
      </c>
      <c r="AO72" s="18">
        <f>IF(B72="","",COUNTIFS($AE$5:$AE$204,"&gt;"&amp;AE72)+COUNTIFS($AE$5:AE72,AE72))</f>
        <v>0</v>
      </c>
      <c r="AP72" s="18">
        <f>IF(B72="","",COUNTIFS($AF$5:$AF$204,"&gt;"&amp;AF72)+COUNTIFS($AF$5:AF72,AF72))</f>
        <v>0</v>
      </c>
      <c r="AQ72" s="18">
        <f>IF(B72="","",COUNTIFS($AI$5:$AI$204,"&gt;"&amp;AI72)+COUNTIFS($AI$5:AI72,AI72))</f>
        <v>0</v>
      </c>
      <c r="AR72" s="18">
        <f>IF(B72="","",COUNTIFS($AS$5:$AS$204,"&gt;"&amp;AS72)+COUNTIFS($AS$5:AS72,AS72))</f>
        <v>0</v>
      </c>
      <c r="AS72" s="45">
        <f>IF(B72="","",IF(BB72="",99999,BC72))</f>
        <v>0</v>
      </c>
      <c r="AT72" s="45">
        <f>IF(A72="",0,SUMIFS('Meal Plan'!$L$5:$L$504,'Meal Plan'!$G$5:$G$504,A72,'Meal Plan'!$B$5:$B$504,"&gt;="&amp;ShopFrom,'Meal Plan'!$B$5:$B$504,"&lt;="&amp;ShopTo,'Meal Plan'!$M$5:$M$504,"Yes"))</f>
        <v>0</v>
      </c>
      <c r="AU72" s="25">
        <f>IF(OR(A72="",AC72=""),"",AC72*AT72)</f>
        <v>0</v>
      </c>
      <c r="AV72" s="18">
        <f>IF(A72="","",COUNTIFS('Recipe Ingredients'!$B$5:$B$1204,A72,'Recipe Ingredients'!$N$5:$N$1204,""))</f>
        <v>0</v>
      </c>
      <c r="AZ72" s="18">
        <f>IF(A72="","",COUNTIFS('Meal Plan'!$G$5:$G$504,A72))</f>
        <v>0</v>
      </c>
      <c r="BA72" s="18">
        <f>IF(A72="","",COUNTIFS('Meal Plan'!$G$5:$G$504,A72,'Meal Plan'!$N$5:$N$504,"Prepared")+COUNTIFS('Meal Plan'!$G$5:$G$504,A72,'Meal Plan'!$N$5:$N$504,"Eaten"))</f>
        <v>0</v>
      </c>
      <c r="BB72" s="19">
        <f>IF(A72="","",IF(COUNTIFS('Meal Plan'!$G$5:$G$504,A72,'Meal Plan'!$B$5:$B$504,"&lt;="&amp;TODAY())=0,"",SUMPRODUCT(MAX(('Meal Plan'!$G$5:$G$504=A72)*('Meal Plan'!$B$5:$B$504&lt;=TODAY())*'Meal Plan'!$B$5:$B$504))))</f>
        <v>0</v>
      </c>
      <c r="BC72" s="18">
        <f>IF(BB72="","",TODAY()-BB72)</f>
        <v>0</v>
      </c>
      <c r="BF72" s="31">
        <f>IF(B72="","",IF(G72="","Add - how many does it serve?",IF(AB72=0,"Add - no ingredients listed yet",IF(AV72&gt;0,"Check - "&amp;AV72&amp;" ingredient(s) have no price",IF(AND(BC72&lt;&gt;"",BC72&lt;RotationGapDays),"Cooked recently","OK")))))</f>
        <v>0</v>
      </c>
    </row>
    <row r="73" spans="1:58">
      <c r="A73" s="39">
        <f>IF(B73="","",RecipePrefix&amp;TEXT(ROW()-4,"0000"))</f>
        <v>0</v>
      </c>
      <c r="J73" s="18">
        <f>IF(B73="","",IF(AND(H73="",I73=""),"",IF(H73="",0,H73)+IF(I73="",0,I73)))</f>
        <v>0</v>
      </c>
      <c r="K73" s="46">
        <f>IF(J73="","",IF(J73&lt;=30,"Yes","No"))</f>
        <v>0</v>
      </c>
      <c r="AB73" s="18">
        <f>IF(A73="","",COUNTIFS('Recipe Ingredients'!$B$5:$B$1204,A73))</f>
        <v>0</v>
      </c>
      <c r="AC73" s="25">
        <f>IF(A73="","",SUMIFS('Recipe Ingredients'!$N$5:$N$1204,'Recipe Ingredients'!$B$5:$B$1204,A73))</f>
        <v>0</v>
      </c>
      <c r="AD73" s="25">
        <f>IF(OR(AC73="",G73=""),"",IF(G73=0,"",AC73/G73))</f>
        <v>0</v>
      </c>
      <c r="AE73" s="30">
        <f>IF(OR(A73="",G73=""),"",IF(G73=0,"",SUMIFS('Recipe Ingredients'!$Q$5:$Q$1204,'Recipe Ingredients'!$B$5:$B$1204,A73)/G73))</f>
        <v>0</v>
      </c>
      <c r="AF73" s="45">
        <f>IF(OR(A73="",G73=""),"",IF(G73=0,"",SUMIFS('Recipe Ingredients'!$R$5:$R$1204,'Recipe Ingredients'!$B$5:$B$1204,A73)/G73))</f>
        <v>0</v>
      </c>
      <c r="AG73" s="45">
        <f>IF(OR(A73="",G73=""),"",IF(G73=0,"",SUMIFS('Recipe Ingredients'!$S$5:$S$1204,'Recipe Ingredients'!$B$5:$B$1204,A73)/G73))</f>
        <v>0</v>
      </c>
      <c r="AH73" s="45">
        <f>IF(OR(A73="",G73=""),"",IF(G73=0,"",SUMIFS('Recipe Ingredients'!$T$5:$T$1204,'Recipe Ingredients'!$B$5:$B$1204,A73)/G73))</f>
        <v>0</v>
      </c>
      <c r="AI73" s="45">
        <f>IF(OR(A73="",G73=""),"",IF(G73=0,"",SUMIFS('Recipe Ingredients'!$U$5:$U$1204,'Recipe Ingredients'!$B$5:$B$1204,A73)/G73))</f>
        <v>0</v>
      </c>
      <c r="AJ73" s="17">
        <f>IF(A73="","",IF(COUNTIFS('Recipe Ingredients'!$B$5:$B$1204,A73,'Recipe Ingredients'!$V$5:$V$1204,"&lt;&gt;",'Recipe Ingredients'!$V$5:$V$1204,"&lt;&gt;None")=0,"None listed",COUNTIFS('Recipe Ingredients'!$B$5:$B$1204,A73,'Recipe Ingredients'!$V$5:$V$1204,"&lt;&gt;",'Recipe Ingredients'!$V$5:$V$1204,"&lt;&gt;None")&amp;" ingredient(s) flagged"))</f>
        <v>0</v>
      </c>
      <c r="AK73" s="18">
        <f>IF(OR(AD73="",NOT(ISNUMBER(AD73))),"",COUNTIFS($AD$5:$AD$204,"&lt;"&amp;AD73)+COUNTIFS($AD$5:AD73,AD73))</f>
        <v>0</v>
      </c>
      <c r="AL73" s="18">
        <f>IF(B73="",0,IF(AND(OR(FilterDiet="Any",T73=FilterDiet),OR(FilterCategory="Any",C73=FilterCategory),OR(FilterMethod="Any",L73=FilterMethod),OR(FilterTime=0,AND(J73&lt;&gt;"",J73&lt;=FilterTime)),OR(FilterCost=0,AND(AD73&lt;&gt;"",ISNUMBER(AD73),AD73&lt;=FilterCost)),OR(FilterAllergen="Any",COUNTIFS('Recipe Ingredients'!$B$5:$B$1204,A73,'Recipe Ingredients'!$V$5:$V$1204,FilterAllergen)=0)),1,0))</f>
        <v>0</v>
      </c>
      <c r="AM73" s="18">
        <f>IF(AL73=0,"",SUM($AL$5:AL73))</f>
        <v>0</v>
      </c>
      <c r="AN73" s="18">
        <f>IF(B73="","",COUNTIFS($AZ$5:$AZ$204,"&gt;"&amp;AZ73)+COUNTIFS($AZ$5:AZ73,AZ73))</f>
        <v>0</v>
      </c>
      <c r="AO73" s="18">
        <f>IF(B73="","",COUNTIFS($AE$5:$AE$204,"&gt;"&amp;AE73)+COUNTIFS($AE$5:AE73,AE73))</f>
        <v>0</v>
      </c>
      <c r="AP73" s="18">
        <f>IF(B73="","",COUNTIFS($AF$5:$AF$204,"&gt;"&amp;AF73)+COUNTIFS($AF$5:AF73,AF73))</f>
        <v>0</v>
      </c>
      <c r="AQ73" s="18">
        <f>IF(B73="","",COUNTIFS($AI$5:$AI$204,"&gt;"&amp;AI73)+COUNTIFS($AI$5:AI73,AI73))</f>
        <v>0</v>
      </c>
      <c r="AR73" s="18">
        <f>IF(B73="","",COUNTIFS($AS$5:$AS$204,"&gt;"&amp;AS73)+COUNTIFS($AS$5:AS73,AS73))</f>
        <v>0</v>
      </c>
      <c r="AS73" s="45">
        <f>IF(B73="","",IF(BB73="",99999,BC73))</f>
        <v>0</v>
      </c>
      <c r="AT73" s="45">
        <f>IF(A73="",0,SUMIFS('Meal Plan'!$L$5:$L$504,'Meal Plan'!$G$5:$G$504,A73,'Meal Plan'!$B$5:$B$504,"&gt;="&amp;ShopFrom,'Meal Plan'!$B$5:$B$504,"&lt;="&amp;ShopTo,'Meal Plan'!$M$5:$M$504,"Yes"))</f>
        <v>0</v>
      </c>
      <c r="AU73" s="25">
        <f>IF(OR(A73="",AC73=""),"",AC73*AT73)</f>
        <v>0</v>
      </c>
      <c r="AV73" s="18">
        <f>IF(A73="","",COUNTIFS('Recipe Ingredients'!$B$5:$B$1204,A73,'Recipe Ingredients'!$N$5:$N$1204,""))</f>
        <v>0</v>
      </c>
      <c r="AZ73" s="18">
        <f>IF(A73="","",COUNTIFS('Meal Plan'!$G$5:$G$504,A73))</f>
        <v>0</v>
      </c>
      <c r="BA73" s="18">
        <f>IF(A73="","",COUNTIFS('Meal Plan'!$G$5:$G$504,A73,'Meal Plan'!$N$5:$N$504,"Prepared")+COUNTIFS('Meal Plan'!$G$5:$G$504,A73,'Meal Plan'!$N$5:$N$504,"Eaten"))</f>
        <v>0</v>
      </c>
      <c r="BB73" s="19">
        <f>IF(A73="","",IF(COUNTIFS('Meal Plan'!$G$5:$G$504,A73,'Meal Plan'!$B$5:$B$504,"&lt;="&amp;TODAY())=0,"",SUMPRODUCT(MAX(('Meal Plan'!$G$5:$G$504=A73)*('Meal Plan'!$B$5:$B$504&lt;=TODAY())*'Meal Plan'!$B$5:$B$504))))</f>
        <v>0</v>
      </c>
      <c r="BC73" s="18">
        <f>IF(BB73="","",TODAY()-BB73)</f>
        <v>0</v>
      </c>
      <c r="BF73" s="31">
        <f>IF(B73="","",IF(G73="","Add - how many does it serve?",IF(AB73=0,"Add - no ingredients listed yet",IF(AV73&gt;0,"Check - "&amp;AV73&amp;" ingredient(s) have no price",IF(AND(BC73&lt;&gt;"",BC73&lt;RotationGapDays),"Cooked recently","OK")))))</f>
        <v>0</v>
      </c>
    </row>
    <row r="74" spans="1:58">
      <c r="A74" s="39">
        <f>IF(B74="","",RecipePrefix&amp;TEXT(ROW()-4,"0000"))</f>
        <v>0</v>
      </c>
      <c r="J74" s="18">
        <f>IF(B74="","",IF(AND(H74="",I74=""),"",IF(H74="",0,H74)+IF(I74="",0,I74)))</f>
        <v>0</v>
      </c>
      <c r="K74" s="46">
        <f>IF(J74="","",IF(J74&lt;=30,"Yes","No"))</f>
        <v>0</v>
      </c>
      <c r="AB74" s="18">
        <f>IF(A74="","",COUNTIFS('Recipe Ingredients'!$B$5:$B$1204,A74))</f>
        <v>0</v>
      </c>
      <c r="AC74" s="25">
        <f>IF(A74="","",SUMIFS('Recipe Ingredients'!$N$5:$N$1204,'Recipe Ingredients'!$B$5:$B$1204,A74))</f>
        <v>0</v>
      </c>
      <c r="AD74" s="25">
        <f>IF(OR(AC74="",G74=""),"",IF(G74=0,"",AC74/G74))</f>
        <v>0</v>
      </c>
      <c r="AE74" s="30">
        <f>IF(OR(A74="",G74=""),"",IF(G74=0,"",SUMIFS('Recipe Ingredients'!$Q$5:$Q$1204,'Recipe Ingredients'!$B$5:$B$1204,A74)/G74))</f>
        <v>0</v>
      </c>
      <c r="AF74" s="45">
        <f>IF(OR(A74="",G74=""),"",IF(G74=0,"",SUMIFS('Recipe Ingredients'!$R$5:$R$1204,'Recipe Ingredients'!$B$5:$B$1204,A74)/G74))</f>
        <v>0</v>
      </c>
      <c r="AG74" s="45">
        <f>IF(OR(A74="",G74=""),"",IF(G74=0,"",SUMIFS('Recipe Ingredients'!$S$5:$S$1204,'Recipe Ingredients'!$B$5:$B$1204,A74)/G74))</f>
        <v>0</v>
      </c>
      <c r="AH74" s="45">
        <f>IF(OR(A74="",G74=""),"",IF(G74=0,"",SUMIFS('Recipe Ingredients'!$T$5:$T$1204,'Recipe Ingredients'!$B$5:$B$1204,A74)/G74))</f>
        <v>0</v>
      </c>
      <c r="AI74" s="45">
        <f>IF(OR(A74="",G74=""),"",IF(G74=0,"",SUMIFS('Recipe Ingredients'!$U$5:$U$1204,'Recipe Ingredients'!$B$5:$B$1204,A74)/G74))</f>
        <v>0</v>
      </c>
      <c r="AJ74" s="17">
        <f>IF(A74="","",IF(COUNTIFS('Recipe Ingredients'!$B$5:$B$1204,A74,'Recipe Ingredients'!$V$5:$V$1204,"&lt;&gt;",'Recipe Ingredients'!$V$5:$V$1204,"&lt;&gt;None")=0,"None listed",COUNTIFS('Recipe Ingredients'!$B$5:$B$1204,A74,'Recipe Ingredients'!$V$5:$V$1204,"&lt;&gt;",'Recipe Ingredients'!$V$5:$V$1204,"&lt;&gt;None")&amp;" ingredient(s) flagged"))</f>
        <v>0</v>
      </c>
      <c r="AK74" s="18">
        <f>IF(OR(AD74="",NOT(ISNUMBER(AD74))),"",COUNTIFS($AD$5:$AD$204,"&lt;"&amp;AD74)+COUNTIFS($AD$5:AD74,AD74))</f>
        <v>0</v>
      </c>
      <c r="AL74" s="18">
        <f>IF(B74="",0,IF(AND(OR(FilterDiet="Any",T74=FilterDiet),OR(FilterCategory="Any",C74=FilterCategory),OR(FilterMethod="Any",L74=FilterMethod),OR(FilterTime=0,AND(J74&lt;&gt;"",J74&lt;=FilterTime)),OR(FilterCost=0,AND(AD74&lt;&gt;"",ISNUMBER(AD74),AD74&lt;=FilterCost)),OR(FilterAllergen="Any",COUNTIFS('Recipe Ingredients'!$B$5:$B$1204,A74,'Recipe Ingredients'!$V$5:$V$1204,FilterAllergen)=0)),1,0))</f>
        <v>0</v>
      </c>
      <c r="AM74" s="18">
        <f>IF(AL74=0,"",SUM($AL$5:AL74))</f>
        <v>0</v>
      </c>
      <c r="AN74" s="18">
        <f>IF(B74="","",COUNTIFS($AZ$5:$AZ$204,"&gt;"&amp;AZ74)+COUNTIFS($AZ$5:AZ74,AZ74))</f>
        <v>0</v>
      </c>
      <c r="AO74" s="18">
        <f>IF(B74="","",COUNTIFS($AE$5:$AE$204,"&gt;"&amp;AE74)+COUNTIFS($AE$5:AE74,AE74))</f>
        <v>0</v>
      </c>
      <c r="AP74" s="18">
        <f>IF(B74="","",COUNTIFS($AF$5:$AF$204,"&gt;"&amp;AF74)+COUNTIFS($AF$5:AF74,AF74))</f>
        <v>0</v>
      </c>
      <c r="AQ74" s="18">
        <f>IF(B74="","",COUNTIFS($AI$5:$AI$204,"&gt;"&amp;AI74)+COUNTIFS($AI$5:AI74,AI74))</f>
        <v>0</v>
      </c>
      <c r="AR74" s="18">
        <f>IF(B74="","",COUNTIFS($AS$5:$AS$204,"&gt;"&amp;AS74)+COUNTIFS($AS$5:AS74,AS74))</f>
        <v>0</v>
      </c>
      <c r="AS74" s="45">
        <f>IF(B74="","",IF(BB74="",99999,BC74))</f>
        <v>0</v>
      </c>
      <c r="AT74" s="45">
        <f>IF(A74="",0,SUMIFS('Meal Plan'!$L$5:$L$504,'Meal Plan'!$G$5:$G$504,A74,'Meal Plan'!$B$5:$B$504,"&gt;="&amp;ShopFrom,'Meal Plan'!$B$5:$B$504,"&lt;="&amp;ShopTo,'Meal Plan'!$M$5:$M$504,"Yes"))</f>
        <v>0</v>
      </c>
      <c r="AU74" s="25">
        <f>IF(OR(A74="",AC74=""),"",AC74*AT74)</f>
        <v>0</v>
      </c>
      <c r="AV74" s="18">
        <f>IF(A74="","",COUNTIFS('Recipe Ingredients'!$B$5:$B$1204,A74,'Recipe Ingredients'!$N$5:$N$1204,""))</f>
        <v>0</v>
      </c>
      <c r="AZ74" s="18">
        <f>IF(A74="","",COUNTIFS('Meal Plan'!$G$5:$G$504,A74))</f>
        <v>0</v>
      </c>
      <c r="BA74" s="18">
        <f>IF(A74="","",COUNTIFS('Meal Plan'!$G$5:$G$504,A74,'Meal Plan'!$N$5:$N$504,"Prepared")+COUNTIFS('Meal Plan'!$G$5:$G$504,A74,'Meal Plan'!$N$5:$N$504,"Eaten"))</f>
        <v>0</v>
      </c>
      <c r="BB74" s="19">
        <f>IF(A74="","",IF(COUNTIFS('Meal Plan'!$G$5:$G$504,A74,'Meal Plan'!$B$5:$B$504,"&lt;="&amp;TODAY())=0,"",SUMPRODUCT(MAX(('Meal Plan'!$G$5:$G$504=A74)*('Meal Plan'!$B$5:$B$504&lt;=TODAY())*'Meal Plan'!$B$5:$B$504))))</f>
        <v>0</v>
      </c>
      <c r="BC74" s="18">
        <f>IF(BB74="","",TODAY()-BB74)</f>
        <v>0</v>
      </c>
      <c r="BF74" s="31">
        <f>IF(B74="","",IF(G74="","Add - how many does it serve?",IF(AB74=0,"Add - no ingredients listed yet",IF(AV74&gt;0,"Check - "&amp;AV74&amp;" ingredient(s) have no price",IF(AND(BC74&lt;&gt;"",BC74&lt;RotationGapDays),"Cooked recently","OK")))))</f>
        <v>0</v>
      </c>
    </row>
    <row r="75" spans="1:58">
      <c r="A75" s="39">
        <f>IF(B75="","",RecipePrefix&amp;TEXT(ROW()-4,"0000"))</f>
        <v>0</v>
      </c>
      <c r="J75" s="18">
        <f>IF(B75="","",IF(AND(H75="",I75=""),"",IF(H75="",0,H75)+IF(I75="",0,I75)))</f>
        <v>0</v>
      </c>
      <c r="K75" s="46">
        <f>IF(J75="","",IF(J75&lt;=30,"Yes","No"))</f>
        <v>0</v>
      </c>
      <c r="AB75" s="18">
        <f>IF(A75="","",COUNTIFS('Recipe Ingredients'!$B$5:$B$1204,A75))</f>
        <v>0</v>
      </c>
      <c r="AC75" s="25">
        <f>IF(A75="","",SUMIFS('Recipe Ingredients'!$N$5:$N$1204,'Recipe Ingredients'!$B$5:$B$1204,A75))</f>
        <v>0</v>
      </c>
      <c r="AD75" s="25">
        <f>IF(OR(AC75="",G75=""),"",IF(G75=0,"",AC75/G75))</f>
        <v>0</v>
      </c>
      <c r="AE75" s="30">
        <f>IF(OR(A75="",G75=""),"",IF(G75=0,"",SUMIFS('Recipe Ingredients'!$Q$5:$Q$1204,'Recipe Ingredients'!$B$5:$B$1204,A75)/G75))</f>
        <v>0</v>
      </c>
      <c r="AF75" s="45">
        <f>IF(OR(A75="",G75=""),"",IF(G75=0,"",SUMIFS('Recipe Ingredients'!$R$5:$R$1204,'Recipe Ingredients'!$B$5:$B$1204,A75)/G75))</f>
        <v>0</v>
      </c>
      <c r="AG75" s="45">
        <f>IF(OR(A75="",G75=""),"",IF(G75=0,"",SUMIFS('Recipe Ingredients'!$S$5:$S$1204,'Recipe Ingredients'!$B$5:$B$1204,A75)/G75))</f>
        <v>0</v>
      </c>
      <c r="AH75" s="45">
        <f>IF(OR(A75="",G75=""),"",IF(G75=0,"",SUMIFS('Recipe Ingredients'!$T$5:$T$1204,'Recipe Ingredients'!$B$5:$B$1204,A75)/G75))</f>
        <v>0</v>
      </c>
      <c r="AI75" s="45">
        <f>IF(OR(A75="",G75=""),"",IF(G75=0,"",SUMIFS('Recipe Ingredients'!$U$5:$U$1204,'Recipe Ingredients'!$B$5:$B$1204,A75)/G75))</f>
        <v>0</v>
      </c>
      <c r="AJ75" s="17">
        <f>IF(A75="","",IF(COUNTIFS('Recipe Ingredients'!$B$5:$B$1204,A75,'Recipe Ingredients'!$V$5:$V$1204,"&lt;&gt;",'Recipe Ingredients'!$V$5:$V$1204,"&lt;&gt;None")=0,"None listed",COUNTIFS('Recipe Ingredients'!$B$5:$B$1204,A75,'Recipe Ingredients'!$V$5:$V$1204,"&lt;&gt;",'Recipe Ingredients'!$V$5:$V$1204,"&lt;&gt;None")&amp;" ingredient(s) flagged"))</f>
        <v>0</v>
      </c>
      <c r="AK75" s="18">
        <f>IF(OR(AD75="",NOT(ISNUMBER(AD75))),"",COUNTIFS($AD$5:$AD$204,"&lt;"&amp;AD75)+COUNTIFS($AD$5:AD75,AD75))</f>
        <v>0</v>
      </c>
      <c r="AL75" s="18">
        <f>IF(B75="",0,IF(AND(OR(FilterDiet="Any",T75=FilterDiet),OR(FilterCategory="Any",C75=FilterCategory),OR(FilterMethod="Any",L75=FilterMethod),OR(FilterTime=0,AND(J75&lt;&gt;"",J75&lt;=FilterTime)),OR(FilterCost=0,AND(AD75&lt;&gt;"",ISNUMBER(AD75),AD75&lt;=FilterCost)),OR(FilterAllergen="Any",COUNTIFS('Recipe Ingredients'!$B$5:$B$1204,A75,'Recipe Ingredients'!$V$5:$V$1204,FilterAllergen)=0)),1,0))</f>
        <v>0</v>
      </c>
      <c r="AM75" s="18">
        <f>IF(AL75=0,"",SUM($AL$5:AL75))</f>
        <v>0</v>
      </c>
      <c r="AN75" s="18">
        <f>IF(B75="","",COUNTIFS($AZ$5:$AZ$204,"&gt;"&amp;AZ75)+COUNTIFS($AZ$5:AZ75,AZ75))</f>
        <v>0</v>
      </c>
      <c r="AO75" s="18">
        <f>IF(B75="","",COUNTIFS($AE$5:$AE$204,"&gt;"&amp;AE75)+COUNTIFS($AE$5:AE75,AE75))</f>
        <v>0</v>
      </c>
      <c r="AP75" s="18">
        <f>IF(B75="","",COUNTIFS($AF$5:$AF$204,"&gt;"&amp;AF75)+COUNTIFS($AF$5:AF75,AF75))</f>
        <v>0</v>
      </c>
      <c r="AQ75" s="18">
        <f>IF(B75="","",COUNTIFS($AI$5:$AI$204,"&gt;"&amp;AI75)+COUNTIFS($AI$5:AI75,AI75))</f>
        <v>0</v>
      </c>
      <c r="AR75" s="18">
        <f>IF(B75="","",COUNTIFS($AS$5:$AS$204,"&gt;"&amp;AS75)+COUNTIFS($AS$5:AS75,AS75))</f>
        <v>0</v>
      </c>
      <c r="AS75" s="45">
        <f>IF(B75="","",IF(BB75="",99999,BC75))</f>
        <v>0</v>
      </c>
      <c r="AT75" s="45">
        <f>IF(A75="",0,SUMIFS('Meal Plan'!$L$5:$L$504,'Meal Plan'!$G$5:$G$504,A75,'Meal Plan'!$B$5:$B$504,"&gt;="&amp;ShopFrom,'Meal Plan'!$B$5:$B$504,"&lt;="&amp;ShopTo,'Meal Plan'!$M$5:$M$504,"Yes"))</f>
        <v>0</v>
      </c>
      <c r="AU75" s="25">
        <f>IF(OR(A75="",AC75=""),"",AC75*AT75)</f>
        <v>0</v>
      </c>
      <c r="AV75" s="18">
        <f>IF(A75="","",COUNTIFS('Recipe Ingredients'!$B$5:$B$1204,A75,'Recipe Ingredients'!$N$5:$N$1204,""))</f>
        <v>0</v>
      </c>
      <c r="AZ75" s="18">
        <f>IF(A75="","",COUNTIFS('Meal Plan'!$G$5:$G$504,A75))</f>
        <v>0</v>
      </c>
      <c r="BA75" s="18">
        <f>IF(A75="","",COUNTIFS('Meal Plan'!$G$5:$G$504,A75,'Meal Plan'!$N$5:$N$504,"Prepared")+COUNTIFS('Meal Plan'!$G$5:$G$504,A75,'Meal Plan'!$N$5:$N$504,"Eaten"))</f>
        <v>0</v>
      </c>
      <c r="BB75" s="19">
        <f>IF(A75="","",IF(COUNTIFS('Meal Plan'!$G$5:$G$504,A75,'Meal Plan'!$B$5:$B$504,"&lt;="&amp;TODAY())=0,"",SUMPRODUCT(MAX(('Meal Plan'!$G$5:$G$504=A75)*('Meal Plan'!$B$5:$B$504&lt;=TODAY())*'Meal Plan'!$B$5:$B$504))))</f>
        <v>0</v>
      </c>
      <c r="BC75" s="18">
        <f>IF(BB75="","",TODAY()-BB75)</f>
        <v>0</v>
      </c>
      <c r="BF75" s="31">
        <f>IF(B75="","",IF(G75="","Add - how many does it serve?",IF(AB75=0,"Add - no ingredients listed yet",IF(AV75&gt;0,"Check - "&amp;AV75&amp;" ingredient(s) have no price",IF(AND(BC75&lt;&gt;"",BC75&lt;RotationGapDays),"Cooked recently","OK")))))</f>
        <v>0</v>
      </c>
    </row>
    <row r="76" spans="1:58">
      <c r="A76" s="39">
        <f>IF(B76="","",RecipePrefix&amp;TEXT(ROW()-4,"0000"))</f>
        <v>0</v>
      </c>
      <c r="J76" s="18">
        <f>IF(B76="","",IF(AND(H76="",I76=""),"",IF(H76="",0,H76)+IF(I76="",0,I76)))</f>
        <v>0</v>
      </c>
      <c r="K76" s="46">
        <f>IF(J76="","",IF(J76&lt;=30,"Yes","No"))</f>
        <v>0</v>
      </c>
      <c r="AB76" s="18">
        <f>IF(A76="","",COUNTIFS('Recipe Ingredients'!$B$5:$B$1204,A76))</f>
        <v>0</v>
      </c>
      <c r="AC76" s="25">
        <f>IF(A76="","",SUMIFS('Recipe Ingredients'!$N$5:$N$1204,'Recipe Ingredients'!$B$5:$B$1204,A76))</f>
        <v>0</v>
      </c>
      <c r="AD76" s="25">
        <f>IF(OR(AC76="",G76=""),"",IF(G76=0,"",AC76/G76))</f>
        <v>0</v>
      </c>
      <c r="AE76" s="30">
        <f>IF(OR(A76="",G76=""),"",IF(G76=0,"",SUMIFS('Recipe Ingredients'!$Q$5:$Q$1204,'Recipe Ingredients'!$B$5:$B$1204,A76)/G76))</f>
        <v>0</v>
      </c>
      <c r="AF76" s="45">
        <f>IF(OR(A76="",G76=""),"",IF(G76=0,"",SUMIFS('Recipe Ingredients'!$R$5:$R$1204,'Recipe Ingredients'!$B$5:$B$1204,A76)/G76))</f>
        <v>0</v>
      </c>
      <c r="AG76" s="45">
        <f>IF(OR(A76="",G76=""),"",IF(G76=0,"",SUMIFS('Recipe Ingredients'!$S$5:$S$1204,'Recipe Ingredients'!$B$5:$B$1204,A76)/G76))</f>
        <v>0</v>
      </c>
      <c r="AH76" s="45">
        <f>IF(OR(A76="",G76=""),"",IF(G76=0,"",SUMIFS('Recipe Ingredients'!$T$5:$T$1204,'Recipe Ingredients'!$B$5:$B$1204,A76)/G76))</f>
        <v>0</v>
      </c>
      <c r="AI76" s="45">
        <f>IF(OR(A76="",G76=""),"",IF(G76=0,"",SUMIFS('Recipe Ingredients'!$U$5:$U$1204,'Recipe Ingredients'!$B$5:$B$1204,A76)/G76))</f>
        <v>0</v>
      </c>
      <c r="AJ76" s="17">
        <f>IF(A76="","",IF(COUNTIFS('Recipe Ingredients'!$B$5:$B$1204,A76,'Recipe Ingredients'!$V$5:$V$1204,"&lt;&gt;",'Recipe Ingredients'!$V$5:$V$1204,"&lt;&gt;None")=0,"None listed",COUNTIFS('Recipe Ingredients'!$B$5:$B$1204,A76,'Recipe Ingredients'!$V$5:$V$1204,"&lt;&gt;",'Recipe Ingredients'!$V$5:$V$1204,"&lt;&gt;None")&amp;" ingredient(s) flagged"))</f>
        <v>0</v>
      </c>
      <c r="AK76" s="18">
        <f>IF(OR(AD76="",NOT(ISNUMBER(AD76))),"",COUNTIFS($AD$5:$AD$204,"&lt;"&amp;AD76)+COUNTIFS($AD$5:AD76,AD76))</f>
        <v>0</v>
      </c>
      <c r="AL76" s="18">
        <f>IF(B76="",0,IF(AND(OR(FilterDiet="Any",T76=FilterDiet),OR(FilterCategory="Any",C76=FilterCategory),OR(FilterMethod="Any",L76=FilterMethod),OR(FilterTime=0,AND(J76&lt;&gt;"",J76&lt;=FilterTime)),OR(FilterCost=0,AND(AD76&lt;&gt;"",ISNUMBER(AD76),AD76&lt;=FilterCost)),OR(FilterAllergen="Any",COUNTIFS('Recipe Ingredients'!$B$5:$B$1204,A76,'Recipe Ingredients'!$V$5:$V$1204,FilterAllergen)=0)),1,0))</f>
        <v>0</v>
      </c>
      <c r="AM76" s="18">
        <f>IF(AL76=0,"",SUM($AL$5:AL76))</f>
        <v>0</v>
      </c>
      <c r="AN76" s="18">
        <f>IF(B76="","",COUNTIFS($AZ$5:$AZ$204,"&gt;"&amp;AZ76)+COUNTIFS($AZ$5:AZ76,AZ76))</f>
        <v>0</v>
      </c>
      <c r="AO76" s="18">
        <f>IF(B76="","",COUNTIFS($AE$5:$AE$204,"&gt;"&amp;AE76)+COUNTIFS($AE$5:AE76,AE76))</f>
        <v>0</v>
      </c>
      <c r="AP76" s="18">
        <f>IF(B76="","",COUNTIFS($AF$5:$AF$204,"&gt;"&amp;AF76)+COUNTIFS($AF$5:AF76,AF76))</f>
        <v>0</v>
      </c>
      <c r="AQ76" s="18">
        <f>IF(B76="","",COUNTIFS($AI$5:$AI$204,"&gt;"&amp;AI76)+COUNTIFS($AI$5:AI76,AI76))</f>
        <v>0</v>
      </c>
      <c r="AR76" s="18">
        <f>IF(B76="","",COUNTIFS($AS$5:$AS$204,"&gt;"&amp;AS76)+COUNTIFS($AS$5:AS76,AS76))</f>
        <v>0</v>
      </c>
      <c r="AS76" s="45">
        <f>IF(B76="","",IF(BB76="",99999,BC76))</f>
        <v>0</v>
      </c>
      <c r="AT76" s="45">
        <f>IF(A76="",0,SUMIFS('Meal Plan'!$L$5:$L$504,'Meal Plan'!$G$5:$G$504,A76,'Meal Plan'!$B$5:$B$504,"&gt;="&amp;ShopFrom,'Meal Plan'!$B$5:$B$504,"&lt;="&amp;ShopTo,'Meal Plan'!$M$5:$M$504,"Yes"))</f>
        <v>0</v>
      </c>
      <c r="AU76" s="25">
        <f>IF(OR(A76="",AC76=""),"",AC76*AT76)</f>
        <v>0</v>
      </c>
      <c r="AV76" s="18">
        <f>IF(A76="","",COUNTIFS('Recipe Ingredients'!$B$5:$B$1204,A76,'Recipe Ingredients'!$N$5:$N$1204,""))</f>
        <v>0</v>
      </c>
      <c r="AZ76" s="18">
        <f>IF(A76="","",COUNTIFS('Meal Plan'!$G$5:$G$504,A76))</f>
        <v>0</v>
      </c>
      <c r="BA76" s="18">
        <f>IF(A76="","",COUNTIFS('Meal Plan'!$G$5:$G$504,A76,'Meal Plan'!$N$5:$N$504,"Prepared")+COUNTIFS('Meal Plan'!$G$5:$G$504,A76,'Meal Plan'!$N$5:$N$504,"Eaten"))</f>
        <v>0</v>
      </c>
      <c r="BB76" s="19">
        <f>IF(A76="","",IF(COUNTIFS('Meal Plan'!$G$5:$G$504,A76,'Meal Plan'!$B$5:$B$504,"&lt;="&amp;TODAY())=0,"",SUMPRODUCT(MAX(('Meal Plan'!$G$5:$G$504=A76)*('Meal Plan'!$B$5:$B$504&lt;=TODAY())*'Meal Plan'!$B$5:$B$504))))</f>
        <v>0</v>
      </c>
      <c r="BC76" s="18">
        <f>IF(BB76="","",TODAY()-BB76)</f>
        <v>0</v>
      </c>
      <c r="BF76" s="31">
        <f>IF(B76="","",IF(G76="","Add - how many does it serve?",IF(AB76=0,"Add - no ingredients listed yet",IF(AV76&gt;0,"Check - "&amp;AV76&amp;" ingredient(s) have no price",IF(AND(BC76&lt;&gt;"",BC76&lt;RotationGapDays),"Cooked recently","OK")))))</f>
        <v>0</v>
      </c>
    </row>
    <row r="77" spans="1:58">
      <c r="A77" s="39">
        <f>IF(B77="","",RecipePrefix&amp;TEXT(ROW()-4,"0000"))</f>
        <v>0</v>
      </c>
      <c r="J77" s="18">
        <f>IF(B77="","",IF(AND(H77="",I77=""),"",IF(H77="",0,H77)+IF(I77="",0,I77)))</f>
        <v>0</v>
      </c>
      <c r="K77" s="46">
        <f>IF(J77="","",IF(J77&lt;=30,"Yes","No"))</f>
        <v>0</v>
      </c>
      <c r="AB77" s="18">
        <f>IF(A77="","",COUNTIFS('Recipe Ingredients'!$B$5:$B$1204,A77))</f>
        <v>0</v>
      </c>
      <c r="AC77" s="25">
        <f>IF(A77="","",SUMIFS('Recipe Ingredients'!$N$5:$N$1204,'Recipe Ingredients'!$B$5:$B$1204,A77))</f>
        <v>0</v>
      </c>
      <c r="AD77" s="25">
        <f>IF(OR(AC77="",G77=""),"",IF(G77=0,"",AC77/G77))</f>
        <v>0</v>
      </c>
      <c r="AE77" s="30">
        <f>IF(OR(A77="",G77=""),"",IF(G77=0,"",SUMIFS('Recipe Ingredients'!$Q$5:$Q$1204,'Recipe Ingredients'!$B$5:$B$1204,A77)/G77))</f>
        <v>0</v>
      </c>
      <c r="AF77" s="45">
        <f>IF(OR(A77="",G77=""),"",IF(G77=0,"",SUMIFS('Recipe Ingredients'!$R$5:$R$1204,'Recipe Ingredients'!$B$5:$B$1204,A77)/G77))</f>
        <v>0</v>
      </c>
      <c r="AG77" s="45">
        <f>IF(OR(A77="",G77=""),"",IF(G77=0,"",SUMIFS('Recipe Ingredients'!$S$5:$S$1204,'Recipe Ingredients'!$B$5:$B$1204,A77)/G77))</f>
        <v>0</v>
      </c>
      <c r="AH77" s="45">
        <f>IF(OR(A77="",G77=""),"",IF(G77=0,"",SUMIFS('Recipe Ingredients'!$T$5:$T$1204,'Recipe Ingredients'!$B$5:$B$1204,A77)/G77))</f>
        <v>0</v>
      </c>
      <c r="AI77" s="45">
        <f>IF(OR(A77="",G77=""),"",IF(G77=0,"",SUMIFS('Recipe Ingredients'!$U$5:$U$1204,'Recipe Ingredients'!$B$5:$B$1204,A77)/G77))</f>
        <v>0</v>
      </c>
      <c r="AJ77" s="17">
        <f>IF(A77="","",IF(COUNTIFS('Recipe Ingredients'!$B$5:$B$1204,A77,'Recipe Ingredients'!$V$5:$V$1204,"&lt;&gt;",'Recipe Ingredients'!$V$5:$V$1204,"&lt;&gt;None")=0,"None listed",COUNTIFS('Recipe Ingredients'!$B$5:$B$1204,A77,'Recipe Ingredients'!$V$5:$V$1204,"&lt;&gt;",'Recipe Ingredients'!$V$5:$V$1204,"&lt;&gt;None")&amp;" ingredient(s) flagged"))</f>
        <v>0</v>
      </c>
      <c r="AK77" s="18">
        <f>IF(OR(AD77="",NOT(ISNUMBER(AD77))),"",COUNTIFS($AD$5:$AD$204,"&lt;"&amp;AD77)+COUNTIFS($AD$5:AD77,AD77))</f>
        <v>0</v>
      </c>
      <c r="AL77" s="18">
        <f>IF(B77="",0,IF(AND(OR(FilterDiet="Any",T77=FilterDiet),OR(FilterCategory="Any",C77=FilterCategory),OR(FilterMethod="Any",L77=FilterMethod),OR(FilterTime=0,AND(J77&lt;&gt;"",J77&lt;=FilterTime)),OR(FilterCost=0,AND(AD77&lt;&gt;"",ISNUMBER(AD77),AD77&lt;=FilterCost)),OR(FilterAllergen="Any",COUNTIFS('Recipe Ingredients'!$B$5:$B$1204,A77,'Recipe Ingredients'!$V$5:$V$1204,FilterAllergen)=0)),1,0))</f>
        <v>0</v>
      </c>
      <c r="AM77" s="18">
        <f>IF(AL77=0,"",SUM($AL$5:AL77))</f>
        <v>0</v>
      </c>
      <c r="AN77" s="18">
        <f>IF(B77="","",COUNTIFS($AZ$5:$AZ$204,"&gt;"&amp;AZ77)+COUNTIFS($AZ$5:AZ77,AZ77))</f>
        <v>0</v>
      </c>
      <c r="AO77" s="18">
        <f>IF(B77="","",COUNTIFS($AE$5:$AE$204,"&gt;"&amp;AE77)+COUNTIFS($AE$5:AE77,AE77))</f>
        <v>0</v>
      </c>
      <c r="AP77" s="18">
        <f>IF(B77="","",COUNTIFS($AF$5:$AF$204,"&gt;"&amp;AF77)+COUNTIFS($AF$5:AF77,AF77))</f>
        <v>0</v>
      </c>
      <c r="AQ77" s="18">
        <f>IF(B77="","",COUNTIFS($AI$5:$AI$204,"&gt;"&amp;AI77)+COUNTIFS($AI$5:AI77,AI77))</f>
        <v>0</v>
      </c>
      <c r="AR77" s="18">
        <f>IF(B77="","",COUNTIFS($AS$5:$AS$204,"&gt;"&amp;AS77)+COUNTIFS($AS$5:AS77,AS77))</f>
        <v>0</v>
      </c>
      <c r="AS77" s="45">
        <f>IF(B77="","",IF(BB77="",99999,BC77))</f>
        <v>0</v>
      </c>
      <c r="AT77" s="45">
        <f>IF(A77="",0,SUMIFS('Meal Plan'!$L$5:$L$504,'Meal Plan'!$G$5:$G$504,A77,'Meal Plan'!$B$5:$B$504,"&gt;="&amp;ShopFrom,'Meal Plan'!$B$5:$B$504,"&lt;="&amp;ShopTo,'Meal Plan'!$M$5:$M$504,"Yes"))</f>
        <v>0</v>
      </c>
      <c r="AU77" s="25">
        <f>IF(OR(A77="",AC77=""),"",AC77*AT77)</f>
        <v>0</v>
      </c>
      <c r="AV77" s="18">
        <f>IF(A77="","",COUNTIFS('Recipe Ingredients'!$B$5:$B$1204,A77,'Recipe Ingredients'!$N$5:$N$1204,""))</f>
        <v>0</v>
      </c>
      <c r="AZ77" s="18">
        <f>IF(A77="","",COUNTIFS('Meal Plan'!$G$5:$G$504,A77))</f>
        <v>0</v>
      </c>
      <c r="BA77" s="18">
        <f>IF(A77="","",COUNTIFS('Meal Plan'!$G$5:$G$504,A77,'Meal Plan'!$N$5:$N$504,"Prepared")+COUNTIFS('Meal Plan'!$G$5:$G$504,A77,'Meal Plan'!$N$5:$N$504,"Eaten"))</f>
        <v>0</v>
      </c>
      <c r="BB77" s="19">
        <f>IF(A77="","",IF(COUNTIFS('Meal Plan'!$G$5:$G$504,A77,'Meal Plan'!$B$5:$B$504,"&lt;="&amp;TODAY())=0,"",SUMPRODUCT(MAX(('Meal Plan'!$G$5:$G$504=A77)*('Meal Plan'!$B$5:$B$504&lt;=TODAY())*'Meal Plan'!$B$5:$B$504))))</f>
        <v>0</v>
      </c>
      <c r="BC77" s="18">
        <f>IF(BB77="","",TODAY()-BB77)</f>
        <v>0</v>
      </c>
      <c r="BF77" s="31">
        <f>IF(B77="","",IF(G77="","Add - how many does it serve?",IF(AB77=0,"Add - no ingredients listed yet",IF(AV77&gt;0,"Check - "&amp;AV77&amp;" ingredient(s) have no price",IF(AND(BC77&lt;&gt;"",BC77&lt;RotationGapDays),"Cooked recently","OK")))))</f>
        <v>0</v>
      </c>
    </row>
    <row r="78" spans="1:58">
      <c r="A78" s="39">
        <f>IF(B78="","",RecipePrefix&amp;TEXT(ROW()-4,"0000"))</f>
        <v>0</v>
      </c>
      <c r="J78" s="18">
        <f>IF(B78="","",IF(AND(H78="",I78=""),"",IF(H78="",0,H78)+IF(I78="",0,I78)))</f>
        <v>0</v>
      </c>
      <c r="K78" s="46">
        <f>IF(J78="","",IF(J78&lt;=30,"Yes","No"))</f>
        <v>0</v>
      </c>
      <c r="AB78" s="18">
        <f>IF(A78="","",COUNTIFS('Recipe Ingredients'!$B$5:$B$1204,A78))</f>
        <v>0</v>
      </c>
      <c r="AC78" s="25">
        <f>IF(A78="","",SUMIFS('Recipe Ingredients'!$N$5:$N$1204,'Recipe Ingredients'!$B$5:$B$1204,A78))</f>
        <v>0</v>
      </c>
      <c r="AD78" s="25">
        <f>IF(OR(AC78="",G78=""),"",IF(G78=0,"",AC78/G78))</f>
        <v>0</v>
      </c>
      <c r="AE78" s="30">
        <f>IF(OR(A78="",G78=""),"",IF(G78=0,"",SUMIFS('Recipe Ingredients'!$Q$5:$Q$1204,'Recipe Ingredients'!$B$5:$B$1204,A78)/G78))</f>
        <v>0</v>
      </c>
      <c r="AF78" s="45">
        <f>IF(OR(A78="",G78=""),"",IF(G78=0,"",SUMIFS('Recipe Ingredients'!$R$5:$R$1204,'Recipe Ingredients'!$B$5:$B$1204,A78)/G78))</f>
        <v>0</v>
      </c>
      <c r="AG78" s="45">
        <f>IF(OR(A78="",G78=""),"",IF(G78=0,"",SUMIFS('Recipe Ingredients'!$S$5:$S$1204,'Recipe Ingredients'!$B$5:$B$1204,A78)/G78))</f>
        <v>0</v>
      </c>
      <c r="AH78" s="45">
        <f>IF(OR(A78="",G78=""),"",IF(G78=0,"",SUMIFS('Recipe Ingredients'!$T$5:$T$1204,'Recipe Ingredients'!$B$5:$B$1204,A78)/G78))</f>
        <v>0</v>
      </c>
      <c r="AI78" s="45">
        <f>IF(OR(A78="",G78=""),"",IF(G78=0,"",SUMIFS('Recipe Ingredients'!$U$5:$U$1204,'Recipe Ingredients'!$B$5:$B$1204,A78)/G78))</f>
        <v>0</v>
      </c>
      <c r="AJ78" s="17">
        <f>IF(A78="","",IF(COUNTIFS('Recipe Ingredients'!$B$5:$B$1204,A78,'Recipe Ingredients'!$V$5:$V$1204,"&lt;&gt;",'Recipe Ingredients'!$V$5:$V$1204,"&lt;&gt;None")=0,"None listed",COUNTIFS('Recipe Ingredients'!$B$5:$B$1204,A78,'Recipe Ingredients'!$V$5:$V$1204,"&lt;&gt;",'Recipe Ingredients'!$V$5:$V$1204,"&lt;&gt;None")&amp;" ingredient(s) flagged"))</f>
        <v>0</v>
      </c>
      <c r="AK78" s="18">
        <f>IF(OR(AD78="",NOT(ISNUMBER(AD78))),"",COUNTIFS($AD$5:$AD$204,"&lt;"&amp;AD78)+COUNTIFS($AD$5:AD78,AD78))</f>
        <v>0</v>
      </c>
      <c r="AL78" s="18">
        <f>IF(B78="",0,IF(AND(OR(FilterDiet="Any",T78=FilterDiet),OR(FilterCategory="Any",C78=FilterCategory),OR(FilterMethod="Any",L78=FilterMethod),OR(FilterTime=0,AND(J78&lt;&gt;"",J78&lt;=FilterTime)),OR(FilterCost=0,AND(AD78&lt;&gt;"",ISNUMBER(AD78),AD78&lt;=FilterCost)),OR(FilterAllergen="Any",COUNTIFS('Recipe Ingredients'!$B$5:$B$1204,A78,'Recipe Ingredients'!$V$5:$V$1204,FilterAllergen)=0)),1,0))</f>
        <v>0</v>
      </c>
      <c r="AM78" s="18">
        <f>IF(AL78=0,"",SUM($AL$5:AL78))</f>
        <v>0</v>
      </c>
      <c r="AN78" s="18">
        <f>IF(B78="","",COUNTIFS($AZ$5:$AZ$204,"&gt;"&amp;AZ78)+COUNTIFS($AZ$5:AZ78,AZ78))</f>
        <v>0</v>
      </c>
      <c r="AO78" s="18">
        <f>IF(B78="","",COUNTIFS($AE$5:$AE$204,"&gt;"&amp;AE78)+COUNTIFS($AE$5:AE78,AE78))</f>
        <v>0</v>
      </c>
      <c r="AP78" s="18">
        <f>IF(B78="","",COUNTIFS($AF$5:$AF$204,"&gt;"&amp;AF78)+COUNTIFS($AF$5:AF78,AF78))</f>
        <v>0</v>
      </c>
      <c r="AQ78" s="18">
        <f>IF(B78="","",COUNTIFS($AI$5:$AI$204,"&gt;"&amp;AI78)+COUNTIFS($AI$5:AI78,AI78))</f>
        <v>0</v>
      </c>
      <c r="AR78" s="18">
        <f>IF(B78="","",COUNTIFS($AS$5:$AS$204,"&gt;"&amp;AS78)+COUNTIFS($AS$5:AS78,AS78))</f>
        <v>0</v>
      </c>
      <c r="AS78" s="45">
        <f>IF(B78="","",IF(BB78="",99999,BC78))</f>
        <v>0</v>
      </c>
      <c r="AT78" s="45">
        <f>IF(A78="",0,SUMIFS('Meal Plan'!$L$5:$L$504,'Meal Plan'!$G$5:$G$504,A78,'Meal Plan'!$B$5:$B$504,"&gt;="&amp;ShopFrom,'Meal Plan'!$B$5:$B$504,"&lt;="&amp;ShopTo,'Meal Plan'!$M$5:$M$504,"Yes"))</f>
        <v>0</v>
      </c>
      <c r="AU78" s="25">
        <f>IF(OR(A78="",AC78=""),"",AC78*AT78)</f>
        <v>0</v>
      </c>
      <c r="AV78" s="18">
        <f>IF(A78="","",COUNTIFS('Recipe Ingredients'!$B$5:$B$1204,A78,'Recipe Ingredients'!$N$5:$N$1204,""))</f>
        <v>0</v>
      </c>
      <c r="AZ78" s="18">
        <f>IF(A78="","",COUNTIFS('Meal Plan'!$G$5:$G$504,A78))</f>
        <v>0</v>
      </c>
      <c r="BA78" s="18">
        <f>IF(A78="","",COUNTIFS('Meal Plan'!$G$5:$G$504,A78,'Meal Plan'!$N$5:$N$504,"Prepared")+COUNTIFS('Meal Plan'!$G$5:$G$504,A78,'Meal Plan'!$N$5:$N$504,"Eaten"))</f>
        <v>0</v>
      </c>
      <c r="BB78" s="19">
        <f>IF(A78="","",IF(COUNTIFS('Meal Plan'!$G$5:$G$504,A78,'Meal Plan'!$B$5:$B$504,"&lt;="&amp;TODAY())=0,"",SUMPRODUCT(MAX(('Meal Plan'!$G$5:$G$504=A78)*('Meal Plan'!$B$5:$B$504&lt;=TODAY())*'Meal Plan'!$B$5:$B$504))))</f>
        <v>0</v>
      </c>
      <c r="BC78" s="18">
        <f>IF(BB78="","",TODAY()-BB78)</f>
        <v>0</v>
      </c>
      <c r="BF78" s="31">
        <f>IF(B78="","",IF(G78="","Add - how many does it serve?",IF(AB78=0,"Add - no ingredients listed yet",IF(AV78&gt;0,"Check - "&amp;AV78&amp;" ingredient(s) have no price",IF(AND(BC78&lt;&gt;"",BC78&lt;RotationGapDays),"Cooked recently","OK")))))</f>
        <v>0</v>
      </c>
    </row>
    <row r="79" spans="1:58">
      <c r="A79" s="39">
        <f>IF(B79="","",RecipePrefix&amp;TEXT(ROW()-4,"0000"))</f>
        <v>0</v>
      </c>
      <c r="J79" s="18">
        <f>IF(B79="","",IF(AND(H79="",I79=""),"",IF(H79="",0,H79)+IF(I79="",0,I79)))</f>
        <v>0</v>
      </c>
      <c r="K79" s="46">
        <f>IF(J79="","",IF(J79&lt;=30,"Yes","No"))</f>
        <v>0</v>
      </c>
      <c r="AB79" s="18">
        <f>IF(A79="","",COUNTIFS('Recipe Ingredients'!$B$5:$B$1204,A79))</f>
        <v>0</v>
      </c>
      <c r="AC79" s="25">
        <f>IF(A79="","",SUMIFS('Recipe Ingredients'!$N$5:$N$1204,'Recipe Ingredients'!$B$5:$B$1204,A79))</f>
        <v>0</v>
      </c>
      <c r="AD79" s="25">
        <f>IF(OR(AC79="",G79=""),"",IF(G79=0,"",AC79/G79))</f>
        <v>0</v>
      </c>
      <c r="AE79" s="30">
        <f>IF(OR(A79="",G79=""),"",IF(G79=0,"",SUMIFS('Recipe Ingredients'!$Q$5:$Q$1204,'Recipe Ingredients'!$B$5:$B$1204,A79)/G79))</f>
        <v>0</v>
      </c>
      <c r="AF79" s="45">
        <f>IF(OR(A79="",G79=""),"",IF(G79=0,"",SUMIFS('Recipe Ingredients'!$R$5:$R$1204,'Recipe Ingredients'!$B$5:$B$1204,A79)/G79))</f>
        <v>0</v>
      </c>
      <c r="AG79" s="45">
        <f>IF(OR(A79="",G79=""),"",IF(G79=0,"",SUMIFS('Recipe Ingredients'!$S$5:$S$1204,'Recipe Ingredients'!$B$5:$B$1204,A79)/G79))</f>
        <v>0</v>
      </c>
      <c r="AH79" s="45">
        <f>IF(OR(A79="",G79=""),"",IF(G79=0,"",SUMIFS('Recipe Ingredients'!$T$5:$T$1204,'Recipe Ingredients'!$B$5:$B$1204,A79)/G79))</f>
        <v>0</v>
      </c>
      <c r="AI79" s="45">
        <f>IF(OR(A79="",G79=""),"",IF(G79=0,"",SUMIFS('Recipe Ingredients'!$U$5:$U$1204,'Recipe Ingredients'!$B$5:$B$1204,A79)/G79))</f>
        <v>0</v>
      </c>
      <c r="AJ79" s="17">
        <f>IF(A79="","",IF(COUNTIFS('Recipe Ingredients'!$B$5:$B$1204,A79,'Recipe Ingredients'!$V$5:$V$1204,"&lt;&gt;",'Recipe Ingredients'!$V$5:$V$1204,"&lt;&gt;None")=0,"None listed",COUNTIFS('Recipe Ingredients'!$B$5:$B$1204,A79,'Recipe Ingredients'!$V$5:$V$1204,"&lt;&gt;",'Recipe Ingredients'!$V$5:$V$1204,"&lt;&gt;None")&amp;" ingredient(s) flagged"))</f>
        <v>0</v>
      </c>
      <c r="AK79" s="18">
        <f>IF(OR(AD79="",NOT(ISNUMBER(AD79))),"",COUNTIFS($AD$5:$AD$204,"&lt;"&amp;AD79)+COUNTIFS($AD$5:AD79,AD79))</f>
        <v>0</v>
      </c>
      <c r="AL79" s="18">
        <f>IF(B79="",0,IF(AND(OR(FilterDiet="Any",T79=FilterDiet),OR(FilterCategory="Any",C79=FilterCategory),OR(FilterMethod="Any",L79=FilterMethod),OR(FilterTime=0,AND(J79&lt;&gt;"",J79&lt;=FilterTime)),OR(FilterCost=0,AND(AD79&lt;&gt;"",ISNUMBER(AD79),AD79&lt;=FilterCost)),OR(FilterAllergen="Any",COUNTIFS('Recipe Ingredients'!$B$5:$B$1204,A79,'Recipe Ingredients'!$V$5:$V$1204,FilterAllergen)=0)),1,0))</f>
        <v>0</v>
      </c>
      <c r="AM79" s="18">
        <f>IF(AL79=0,"",SUM($AL$5:AL79))</f>
        <v>0</v>
      </c>
      <c r="AN79" s="18">
        <f>IF(B79="","",COUNTIFS($AZ$5:$AZ$204,"&gt;"&amp;AZ79)+COUNTIFS($AZ$5:AZ79,AZ79))</f>
        <v>0</v>
      </c>
      <c r="AO79" s="18">
        <f>IF(B79="","",COUNTIFS($AE$5:$AE$204,"&gt;"&amp;AE79)+COUNTIFS($AE$5:AE79,AE79))</f>
        <v>0</v>
      </c>
      <c r="AP79" s="18">
        <f>IF(B79="","",COUNTIFS($AF$5:$AF$204,"&gt;"&amp;AF79)+COUNTIFS($AF$5:AF79,AF79))</f>
        <v>0</v>
      </c>
      <c r="AQ79" s="18">
        <f>IF(B79="","",COUNTIFS($AI$5:$AI$204,"&gt;"&amp;AI79)+COUNTIFS($AI$5:AI79,AI79))</f>
        <v>0</v>
      </c>
      <c r="AR79" s="18">
        <f>IF(B79="","",COUNTIFS($AS$5:$AS$204,"&gt;"&amp;AS79)+COUNTIFS($AS$5:AS79,AS79))</f>
        <v>0</v>
      </c>
      <c r="AS79" s="45">
        <f>IF(B79="","",IF(BB79="",99999,BC79))</f>
        <v>0</v>
      </c>
      <c r="AT79" s="45">
        <f>IF(A79="",0,SUMIFS('Meal Plan'!$L$5:$L$504,'Meal Plan'!$G$5:$G$504,A79,'Meal Plan'!$B$5:$B$504,"&gt;="&amp;ShopFrom,'Meal Plan'!$B$5:$B$504,"&lt;="&amp;ShopTo,'Meal Plan'!$M$5:$M$504,"Yes"))</f>
        <v>0</v>
      </c>
      <c r="AU79" s="25">
        <f>IF(OR(A79="",AC79=""),"",AC79*AT79)</f>
        <v>0</v>
      </c>
      <c r="AV79" s="18">
        <f>IF(A79="","",COUNTIFS('Recipe Ingredients'!$B$5:$B$1204,A79,'Recipe Ingredients'!$N$5:$N$1204,""))</f>
        <v>0</v>
      </c>
      <c r="AZ79" s="18">
        <f>IF(A79="","",COUNTIFS('Meal Plan'!$G$5:$G$504,A79))</f>
        <v>0</v>
      </c>
      <c r="BA79" s="18">
        <f>IF(A79="","",COUNTIFS('Meal Plan'!$G$5:$G$504,A79,'Meal Plan'!$N$5:$N$504,"Prepared")+COUNTIFS('Meal Plan'!$G$5:$G$504,A79,'Meal Plan'!$N$5:$N$504,"Eaten"))</f>
        <v>0</v>
      </c>
      <c r="BB79" s="19">
        <f>IF(A79="","",IF(COUNTIFS('Meal Plan'!$G$5:$G$504,A79,'Meal Plan'!$B$5:$B$504,"&lt;="&amp;TODAY())=0,"",SUMPRODUCT(MAX(('Meal Plan'!$G$5:$G$504=A79)*('Meal Plan'!$B$5:$B$504&lt;=TODAY())*'Meal Plan'!$B$5:$B$504))))</f>
        <v>0</v>
      </c>
      <c r="BC79" s="18">
        <f>IF(BB79="","",TODAY()-BB79)</f>
        <v>0</v>
      </c>
      <c r="BF79" s="31">
        <f>IF(B79="","",IF(G79="","Add - how many does it serve?",IF(AB79=0,"Add - no ingredients listed yet",IF(AV79&gt;0,"Check - "&amp;AV79&amp;" ingredient(s) have no price",IF(AND(BC79&lt;&gt;"",BC79&lt;RotationGapDays),"Cooked recently","OK")))))</f>
        <v>0</v>
      </c>
    </row>
    <row r="80" spans="1:58">
      <c r="A80" s="39">
        <f>IF(B80="","",RecipePrefix&amp;TEXT(ROW()-4,"0000"))</f>
        <v>0</v>
      </c>
      <c r="J80" s="18">
        <f>IF(B80="","",IF(AND(H80="",I80=""),"",IF(H80="",0,H80)+IF(I80="",0,I80)))</f>
        <v>0</v>
      </c>
      <c r="K80" s="46">
        <f>IF(J80="","",IF(J80&lt;=30,"Yes","No"))</f>
        <v>0</v>
      </c>
      <c r="AB80" s="18">
        <f>IF(A80="","",COUNTIFS('Recipe Ingredients'!$B$5:$B$1204,A80))</f>
        <v>0</v>
      </c>
      <c r="AC80" s="25">
        <f>IF(A80="","",SUMIFS('Recipe Ingredients'!$N$5:$N$1204,'Recipe Ingredients'!$B$5:$B$1204,A80))</f>
        <v>0</v>
      </c>
      <c r="AD80" s="25">
        <f>IF(OR(AC80="",G80=""),"",IF(G80=0,"",AC80/G80))</f>
        <v>0</v>
      </c>
      <c r="AE80" s="30">
        <f>IF(OR(A80="",G80=""),"",IF(G80=0,"",SUMIFS('Recipe Ingredients'!$Q$5:$Q$1204,'Recipe Ingredients'!$B$5:$B$1204,A80)/G80))</f>
        <v>0</v>
      </c>
      <c r="AF80" s="45">
        <f>IF(OR(A80="",G80=""),"",IF(G80=0,"",SUMIFS('Recipe Ingredients'!$R$5:$R$1204,'Recipe Ingredients'!$B$5:$B$1204,A80)/G80))</f>
        <v>0</v>
      </c>
      <c r="AG80" s="45">
        <f>IF(OR(A80="",G80=""),"",IF(G80=0,"",SUMIFS('Recipe Ingredients'!$S$5:$S$1204,'Recipe Ingredients'!$B$5:$B$1204,A80)/G80))</f>
        <v>0</v>
      </c>
      <c r="AH80" s="45">
        <f>IF(OR(A80="",G80=""),"",IF(G80=0,"",SUMIFS('Recipe Ingredients'!$T$5:$T$1204,'Recipe Ingredients'!$B$5:$B$1204,A80)/G80))</f>
        <v>0</v>
      </c>
      <c r="AI80" s="45">
        <f>IF(OR(A80="",G80=""),"",IF(G80=0,"",SUMIFS('Recipe Ingredients'!$U$5:$U$1204,'Recipe Ingredients'!$B$5:$B$1204,A80)/G80))</f>
        <v>0</v>
      </c>
      <c r="AJ80" s="17">
        <f>IF(A80="","",IF(COUNTIFS('Recipe Ingredients'!$B$5:$B$1204,A80,'Recipe Ingredients'!$V$5:$V$1204,"&lt;&gt;",'Recipe Ingredients'!$V$5:$V$1204,"&lt;&gt;None")=0,"None listed",COUNTIFS('Recipe Ingredients'!$B$5:$B$1204,A80,'Recipe Ingredients'!$V$5:$V$1204,"&lt;&gt;",'Recipe Ingredients'!$V$5:$V$1204,"&lt;&gt;None")&amp;" ingredient(s) flagged"))</f>
        <v>0</v>
      </c>
      <c r="AK80" s="18">
        <f>IF(OR(AD80="",NOT(ISNUMBER(AD80))),"",COUNTIFS($AD$5:$AD$204,"&lt;"&amp;AD80)+COUNTIFS($AD$5:AD80,AD80))</f>
        <v>0</v>
      </c>
      <c r="AL80" s="18">
        <f>IF(B80="",0,IF(AND(OR(FilterDiet="Any",T80=FilterDiet),OR(FilterCategory="Any",C80=FilterCategory),OR(FilterMethod="Any",L80=FilterMethod),OR(FilterTime=0,AND(J80&lt;&gt;"",J80&lt;=FilterTime)),OR(FilterCost=0,AND(AD80&lt;&gt;"",ISNUMBER(AD80),AD80&lt;=FilterCost)),OR(FilterAllergen="Any",COUNTIFS('Recipe Ingredients'!$B$5:$B$1204,A80,'Recipe Ingredients'!$V$5:$V$1204,FilterAllergen)=0)),1,0))</f>
        <v>0</v>
      </c>
      <c r="AM80" s="18">
        <f>IF(AL80=0,"",SUM($AL$5:AL80))</f>
        <v>0</v>
      </c>
      <c r="AN80" s="18">
        <f>IF(B80="","",COUNTIFS($AZ$5:$AZ$204,"&gt;"&amp;AZ80)+COUNTIFS($AZ$5:AZ80,AZ80))</f>
        <v>0</v>
      </c>
      <c r="AO80" s="18">
        <f>IF(B80="","",COUNTIFS($AE$5:$AE$204,"&gt;"&amp;AE80)+COUNTIFS($AE$5:AE80,AE80))</f>
        <v>0</v>
      </c>
      <c r="AP80" s="18">
        <f>IF(B80="","",COUNTIFS($AF$5:$AF$204,"&gt;"&amp;AF80)+COUNTIFS($AF$5:AF80,AF80))</f>
        <v>0</v>
      </c>
      <c r="AQ80" s="18">
        <f>IF(B80="","",COUNTIFS($AI$5:$AI$204,"&gt;"&amp;AI80)+COUNTIFS($AI$5:AI80,AI80))</f>
        <v>0</v>
      </c>
      <c r="AR80" s="18">
        <f>IF(B80="","",COUNTIFS($AS$5:$AS$204,"&gt;"&amp;AS80)+COUNTIFS($AS$5:AS80,AS80))</f>
        <v>0</v>
      </c>
      <c r="AS80" s="45">
        <f>IF(B80="","",IF(BB80="",99999,BC80))</f>
        <v>0</v>
      </c>
      <c r="AT80" s="45">
        <f>IF(A80="",0,SUMIFS('Meal Plan'!$L$5:$L$504,'Meal Plan'!$G$5:$G$504,A80,'Meal Plan'!$B$5:$B$504,"&gt;="&amp;ShopFrom,'Meal Plan'!$B$5:$B$504,"&lt;="&amp;ShopTo,'Meal Plan'!$M$5:$M$504,"Yes"))</f>
        <v>0</v>
      </c>
      <c r="AU80" s="25">
        <f>IF(OR(A80="",AC80=""),"",AC80*AT80)</f>
        <v>0</v>
      </c>
      <c r="AV80" s="18">
        <f>IF(A80="","",COUNTIFS('Recipe Ingredients'!$B$5:$B$1204,A80,'Recipe Ingredients'!$N$5:$N$1204,""))</f>
        <v>0</v>
      </c>
      <c r="AZ80" s="18">
        <f>IF(A80="","",COUNTIFS('Meal Plan'!$G$5:$G$504,A80))</f>
        <v>0</v>
      </c>
      <c r="BA80" s="18">
        <f>IF(A80="","",COUNTIFS('Meal Plan'!$G$5:$G$504,A80,'Meal Plan'!$N$5:$N$504,"Prepared")+COUNTIFS('Meal Plan'!$G$5:$G$504,A80,'Meal Plan'!$N$5:$N$504,"Eaten"))</f>
        <v>0</v>
      </c>
      <c r="BB80" s="19">
        <f>IF(A80="","",IF(COUNTIFS('Meal Plan'!$G$5:$G$504,A80,'Meal Plan'!$B$5:$B$504,"&lt;="&amp;TODAY())=0,"",SUMPRODUCT(MAX(('Meal Plan'!$G$5:$G$504=A80)*('Meal Plan'!$B$5:$B$504&lt;=TODAY())*'Meal Plan'!$B$5:$B$504))))</f>
        <v>0</v>
      </c>
      <c r="BC80" s="18">
        <f>IF(BB80="","",TODAY()-BB80)</f>
        <v>0</v>
      </c>
      <c r="BF80" s="31">
        <f>IF(B80="","",IF(G80="","Add - how many does it serve?",IF(AB80=0,"Add - no ingredients listed yet",IF(AV80&gt;0,"Check - "&amp;AV80&amp;" ingredient(s) have no price",IF(AND(BC80&lt;&gt;"",BC80&lt;RotationGapDays),"Cooked recently","OK")))))</f>
        <v>0</v>
      </c>
    </row>
    <row r="81" spans="1:58">
      <c r="A81" s="39">
        <f>IF(B81="","",RecipePrefix&amp;TEXT(ROW()-4,"0000"))</f>
        <v>0</v>
      </c>
      <c r="J81" s="18">
        <f>IF(B81="","",IF(AND(H81="",I81=""),"",IF(H81="",0,H81)+IF(I81="",0,I81)))</f>
        <v>0</v>
      </c>
      <c r="K81" s="46">
        <f>IF(J81="","",IF(J81&lt;=30,"Yes","No"))</f>
        <v>0</v>
      </c>
      <c r="AB81" s="18">
        <f>IF(A81="","",COUNTIFS('Recipe Ingredients'!$B$5:$B$1204,A81))</f>
        <v>0</v>
      </c>
      <c r="AC81" s="25">
        <f>IF(A81="","",SUMIFS('Recipe Ingredients'!$N$5:$N$1204,'Recipe Ingredients'!$B$5:$B$1204,A81))</f>
        <v>0</v>
      </c>
      <c r="AD81" s="25">
        <f>IF(OR(AC81="",G81=""),"",IF(G81=0,"",AC81/G81))</f>
        <v>0</v>
      </c>
      <c r="AE81" s="30">
        <f>IF(OR(A81="",G81=""),"",IF(G81=0,"",SUMIFS('Recipe Ingredients'!$Q$5:$Q$1204,'Recipe Ingredients'!$B$5:$B$1204,A81)/G81))</f>
        <v>0</v>
      </c>
      <c r="AF81" s="45">
        <f>IF(OR(A81="",G81=""),"",IF(G81=0,"",SUMIFS('Recipe Ingredients'!$R$5:$R$1204,'Recipe Ingredients'!$B$5:$B$1204,A81)/G81))</f>
        <v>0</v>
      </c>
      <c r="AG81" s="45">
        <f>IF(OR(A81="",G81=""),"",IF(G81=0,"",SUMIFS('Recipe Ingredients'!$S$5:$S$1204,'Recipe Ingredients'!$B$5:$B$1204,A81)/G81))</f>
        <v>0</v>
      </c>
      <c r="AH81" s="45">
        <f>IF(OR(A81="",G81=""),"",IF(G81=0,"",SUMIFS('Recipe Ingredients'!$T$5:$T$1204,'Recipe Ingredients'!$B$5:$B$1204,A81)/G81))</f>
        <v>0</v>
      </c>
      <c r="AI81" s="45">
        <f>IF(OR(A81="",G81=""),"",IF(G81=0,"",SUMIFS('Recipe Ingredients'!$U$5:$U$1204,'Recipe Ingredients'!$B$5:$B$1204,A81)/G81))</f>
        <v>0</v>
      </c>
      <c r="AJ81" s="17">
        <f>IF(A81="","",IF(COUNTIFS('Recipe Ingredients'!$B$5:$B$1204,A81,'Recipe Ingredients'!$V$5:$V$1204,"&lt;&gt;",'Recipe Ingredients'!$V$5:$V$1204,"&lt;&gt;None")=0,"None listed",COUNTIFS('Recipe Ingredients'!$B$5:$B$1204,A81,'Recipe Ingredients'!$V$5:$V$1204,"&lt;&gt;",'Recipe Ingredients'!$V$5:$V$1204,"&lt;&gt;None")&amp;" ingredient(s) flagged"))</f>
        <v>0</v>
      </c>
      <c r="AK81" s="18">
        <f>IF(OR(AD81="",NOT(ISNUMBER(AD81))),"",COUNTIFS($AD$5:$AD$204,"&lt;"&amp;AD81)+COUNTIFS($AD$5:AD81,AD81))</f>
        <v>0</v>
      </c>
      <c r="AL81" s="18">
        <f>IF(B81="",0,IF(AND(OR(FilterDiet="Any",T81=FilterDiet),OR(FilterCategory="Any",C81=FilterCategory),OR(FilterMethod="Any",L81=FilterMethod),OR(FilterTime=0,AND(J81&lt;&gt;"",J81&lt;=FilterTime)),OR(FilterCost=0,AND(AD81&lt;&gt;"",ISNUMBER(AD81),AD81&lt;=FilterCost)),OR(FilterAllergen="Any",COUNTIFS('Recipe Ingredients'!$B$5:$B$1204,A81,'Recipe Ingredients'!$V$5:$V$1204,FilterAllergen)=0)),1,0))</f>
        <v>0</v>
      </c>
      <c r="AM81" s="18">
        <f>IF(AL81=0,"",SUM($AL$5:AL81))</f>
        <v>0</v>
      </c>
      <c r="AN81" s="18">
        <f>IF(B81="","",COUNTIFS($AZ$5:$AZ$204,"&gt;"&amp;AZ81)+COUNTIFS($AZ$5:AZ81,AZ81))</f>
        <v>0</v>
      </c>
      <c r="AO81" s="18">
        <f>IF(B81="","",COUNTIFS($AE$5:$AE$204,"&gt;"&amp;AE81)+COUNTIFS($AE$5:AE81,AE81))</f>
        <v>0</v>
      </c>
      <c r="AP81" s="18">
        <f>IF(B81="","",COUNTIFS($AF$5:$AF$204,"&gt;"&amp;AF81)+COUNTIFS($AF$5:AF81,AF81))</f>
        <v>0</v>
      </c>
      <c r="AQ81" s="18">
        <f>IF(B81="","",COUNTIFS($AI$5:$AI$204,"&gt;"&amp;AI81)+COUNTIFS($AI$5:AI81,AI81))</f>
        <v>0</v>
      </c>
      <c r="AR81" s="18">
        <f>IF(B81="","",COUNTIFS($AS$5:$AS$204,"&gt;"&amp;AS81)+COUNTIFS($AS$5:AS81,AS81))</f>
        <v>0</v>
      </c>
      <c r="AS81" s="45">
        <f>IF(B81="","",IF(BB81="",99999,BC81))</f>
        <v>0</v>
      </c>
      <c r="AT81" s="45">
        <f>IF(A81="",0,SUMIFS('Meal Plan'!$L$5:$L$504,'Meal Plan'!$G$5:$G$504,A81,'Meal Plan'!$B$5:$B$504,"&gt;="&amp;ShopFrom,'Meal Plan'!$B$5:$B$504,"&lt;="&amp;ShopTo,'Meal Plan'!$M$5:$M$504,"Yes"))</f>
        <v>0</v>
      </c>
      <c r="AU81" s="25">
        <f>IF(OR(A81="",AC81=""),"",AC81*AT81)</f>
        <v>0</v>
      </c>
      <c r="AV81" s="18">
        <f>IF(A81="","",COUNTIFS('Recipe Ingredients'!$B$5:$B$1204,A81,'Recipe Ingredients'!$N$5:$N$1204,""))</f>
        <v>0</v>
      </c>
      <c r="AZ81" s="18">
        <f>IF(A81="","",COUNTIFS('Meal Plan'!$G$5:$G$504,A81))</f>
        <v>0</v>
      </c>
      <c r="BA81" s="18">
        <f>IF(A81="","",COUNTIFS('Meal Plan'!$G$5:$G$504,A81,'Meal Plan'!$N$5:$N$504,"Prepared")+COUNTIFS('Meal Plan'!$G$5:$G$504,A81,'Meal Plan'!$N$5:$N$504,"Eaten"))</f>
        <v>0</v>
      </c>
      <c r="BB81" s="19">
        <f>IF(A81="","",IF(COUNTIFS('Meal Plan'!$G$5:$G$504,A81,'Meal Plan'!$B$5:$B$504,"&lt;="&amp;TODAY())=0,"",SUMPRODUCT(MAX(('Meal Plan'!$G$5:$G$504=A81)*('Meal Plan'!$B$5:$B$504&lt;=TODAY())*'Meal Plan'!$B$5:$B$504))))</f>
        <v>0</v>
      </c>
      <c r="BC81" s="18">
        <f>IF(BB81="","",TODAY()-BB81)</f>
        <v>0</v>
      </c>
      <c r="BF81" s="31">
        <f>IF(B81="","",IF(G81="","Add - how many does it serve?",IF(AB81=0,"Add - no ingredients listed yet",IF(AV81&gt;0,"Check - "&amp;AV81&amp;" ingredient(s) have no price",IF(AND(BC81&lt;&gt;"",BC81&lt;RotationGapDays),"Cooked recently","OK")))))</f>
        <v>0</v>
      </c>
    </row>
    <row r="82" spans="1:58">
      <c r="A82" s="39">
        <f>IF(B82="","",RecipePrefix&amp;TEXT(ROW()-4,"0000"))</f>
        <v>0</v>
      </c>
      <c r="J82" s="18">
        <f>IF(B82="","",IF(AND(H82="",I82=""),"",IF(H82="",0,H82)+IF(I82="",0,I82)))</f>
        <v>0</v>
      </c>
      <c r="K82" s="46">
        <f>IF(J82="","",IF(J82&lt;=30,"Yes","No"))</f>
        <v>0</v>
      </c>
      <c r="AB82" s="18">
        <f>IF(A82="","",COUNTIFS('Recipe Ingredients'!$B$5:$B$1204,A82))</f>
        <v>0</v>
      </c>
      <c r="AC82" s="25">
        <f>IF(A82="","",SUMIFS('Recipe Ingredients'!$N$5:$N$1204,'Recipe Ingredients'!$B$5:$B$1204,A82))</f>
        <v>0</v>
      </c>
      <c r="AD82" s="25">
        <f>IF(OR(AC82="",G82=""),"",IF(G82=0,"",AC82/G82))</f>
        <v>0</v>
      </c>
      <c r="AE82" s="30">
        <f>IF(OR(A82="",G82=""),"",IF(G82=0,"",SUMIFS('Recipe Ingredients'!$Q$5:$Q$1204,'Recipe Ingredients'!$B$5:$B$1204,A82)/G82))</f>
        <v>0</v>
      </c>
      <c r="AF82" s="45">
        <f>IF(OR(A82="",G82=""),"",IF(G82=0,"",SUMIFS('Recipe Ingredients'!$R$5:$R$1204,'Recipe Ingredients'!$B$5:$B$1204,A82)/G82))</f>
        <v>0</v>
      </c>
      <c r="AG82" s="45">
        <f>IF(OR(A82="",G82=""),"",IF(G82=0,"",SUMIFS('Recipe Ingredients'!$S$5:$S$1204,'Recipe Ingredients'!$B$5:$B$1204,A82)/G82))</f>
        <v>0</v>
      </c>
      <c r="AH82" s="45">
        <f>IF(OR(A82="",G82=""),"",IF(G82=0,"",SUMIFS('Recipe Ingredients'!$T$5:$T$1204,'Recipe Ingredients'!$B$5:$B$1204,A82)/G82))</f>
        <v>0</v>
      </c>
      <c r="AI82" s="45">
        <f>IF(OR(A82="",G82=""),"",IF(G82=0,"",SUMIFS('Recipe Ingredients'!$U$5:$U$1204,'Recipe Ingredients'!$B$5:$B$1204,A82)/G82))</f>
        <v>0</v>
      </c>
      <c r="AJ82" s="17">
        <f>IF(A82="","",IF(COUNTIFS('Recipe Ingredients'!$B$5:$B$1204,A82,'Recipe Ingredients'!$V$5:$V$1204,"&lt;&gt;",'Recipe Ingredients'!$V$5:$V$1204,"&lt;&gt;None")=0,"None listed",COUNTIFS('Recipe Ingredients'!$B$5:$B$1204,A82,'Recipe Ingredients'!$V$5:$V$1204,"&lt;&gt;",'Recipe Ingredients'!$V$5:$V$1204,"&lt;&gt;None")&amp;" ingredient(s) flagged"))</f>
        <v>0</v>
      </c>
      <c r="AK82" s="18">
        <f>IF(OR(AD82="",NOT(ISNUMBER(AD82))),"",COUNTIFS($AD$5:$AD$204,"&lt;"&amp;AD82)+COUNTIFS($AD$5:AD82,AD82))</f>
        <v>0</v>
      </c>
      <c r="AL82" s="18">
        <f>IF(B82="",0,IF(AND(OR(FilterDiet="Any",T82=FilterDiet),OR(FilterCategory="Any",C82=FilterCategory),OR(FilterMethod="Any",L82=FilterMethod),OR(FilterTime=0,AND(J82&lt;&gt;"",J82&lt;=FilterTime)),OR(FilterCost=0,AND(AD82&lt;&gt;"",ISNUMBER(AD82),AD82&lt;=FilterCost)),OR(FilterAllergen="Any",COUNTIFS('Recipe Ingredients'!$B$5:$B$1204,A82,'Recipe Ingredients'!$V$5:$V$1204,FilterAllergen)=0)),1,0))</f>
        <v>0</v>
      </c>
      <c r="AM82" s="18">
        <f>IF(AL82=0,"",SUM($AL$5:AL82))</f>
        <v>0</v>
      </c>
      <c r="AN82" s="18">
        <f>IF(B82="","",COUNTIFS($AZ$5:$AZ$204,"&gt;"&amp;AZ82)+COUNTIFS($AZ$5:AZ82,AZ82))</f>
        <v>0</v>
      </c>
      <c r="AO82" s="18">
        <f>IF(B82="","",COUNTIFS($AE$5:$AE$204,"&gt;"&amp;AE82)+COUNTIFS($AE$5:AE82,AE82))</f>
        <v>0</v>
      </c>
      <c r="AP82" s="18">
        <f>IF(B82="","",COUNTIFS($AF$5:$AF$204,"&gt;"&amp;AF82)+COUNTIFS($AF$5:AF82,AF82))</f>
        <v>0</v>
      </c>
      <c r="AQ82" s="18">
        <f>IF(B82="","",COUNTIFS($AI$5:$AI$204,"&gt;"&amp;AI82)+COUNTIFS($AI$5:AI82,AI82))</f>
        <v>0</v>
      </c>
      <c r="AR82" s="18">
        <f>IF(B82="","",COUNTIFS($AS$5:$AS$204,"&gt;"&amp;AS82)+COUNTIFS($AS$5:AS82,AS82))</f>
        <v>0</v>
      </c>
      <c r="AS82" s="45">
        <f>IF(B82="","",IF(BB82="",99999,BC82))</f>
        <v>0</v>
      </c>
      <c r="AT82" s="45">
        <f>IF(A82="",0,SUMIFS('Meal Plan'!$L$5:$L$504,'Meal Plan'!$G$5:$G$504,A82,'Meal Plan'!$B$5:$B$504,"&gt;="&amp;ShopFrom,'Meal Plan'!$B$5:$B$504,"&lt;="&amp;ShopTo,'Meal Plan'!$M$5:$M$504,"Yes"))</f>
        <v>0</v>
      </c>
      <c r="AU82" s="25">
        <f>IF(OR(A82="",AC82=""),"",AC82*AT82)</f>
        <v>0</v>
      </c>
      <c r="AV82" s="18">
        <f>IF(A82="","",COUNTIFS('Recipe Ingredients'!$B$5:$B$1204,A82,'Recipe Ingredients'!$N$5:$N$1204,""))</f>
        <v>0</v>
      </c>
      <c r="AZ82" s="18">
        <f>IF(A82="","",COUNTIFS('Meal Plan'!$G$5:$G$504,A82))</f>
        <v>0</v>
      </c>
      <c r="BA82" s="18">
        <f>IF(A82="","",COUNTIFS('Meal Plan'!$G$5:$G$504,A82,'Meal Plan'!$N$5:$N$504,"Prepared")+COUNTIFS('Meal Plan'!$G$5:$G$504,A82,'Meal Plan'!$N$5:$N$504,"Eaten"))</f>
        <v>0</v>
      </c>
      <c r="BB82" s="19">
        <f>IF(A82="","",IF(COUNTIFS('Meal Plan'!$G$5:$G$504,A82,'Meal Plan'!$B$5:$B$504,"&lt;="&amp;TODAY())=0,"",SUMPRODUCT(MAX(('Meal Plan'!$G$5:$G$504=A82)*('Meal Plan'!$B$5:$B$504&lt;=TODAY())*'Meal Plan'!$B$5:$B$504))))</f>
        <v>0</v>
      </c>
      <c r="BC82" s="18">
        <f>IF(BB82="","",TODAY()-BB82)</f>
        <v>0</v>
      </c>
      <c r="BF82" s="31">
        <f>IF(B82="","",IF(G82="","Add - how many does it serve?",IF(AB82=0,"Add - no ingredients listed yet",IF(AV82&gt;0,"Check - "&amp;AV82&amp;" ingredient(s) have no price",IF(AND(BC82&lt;&gt;"",BC82&lt;RotationGapDays),"Cooked recently","OK")))))</f>
        <v>0</v>
      </c>
    </row>
    <row r="83" spans="1:58">
      <c r="A83" s="39">
        <f>IF(B83="","",RecipePrefix&amp;TEXT(ROW()-4,"0000"))</f>
        <v>0</v>
      </c>
      <c r="J83" s="18">
        <f>IF(B83="","",IF(AND(H83="",I83=""),"",IF(H83="",0,H83)+IF(I83="",0,I83)))</f>
        <v>0</v>
      </c>
      <c r="K83" s="46">
        <f>IF(J83="","",IF(J83&lt;=30,"Yes","No"))</f>
        <v>0</v>
      </c>
      <c r="AB83" s="18">
        <f>IF(A83="","",COUNTIFS('Recipe Ingredients'!$B$5:$B$1204,A83))</f>
        <v>0</v>
      </c>
      <c r="AC83" s="25">
        <f>IF(A83="","",SUMIFS('Recipe Ingredients'!$N$5:$N$1204,'Recipe Ingredients'!$B$5:$B$1204,A83))</f>
        <v>0</v>
      </c>
      <c r="AD83" s="25">
        <f>IF(OR(AC83="",G83=""),"",IF(G83=0,"",AC83/G83))</f>
        <v>0</v>
      </c>
      <c r="AE83" s="30">
        <f>IF(OR(A83="",G83=""),"",IF(G83=0,"",SUMIFS('Recipe Ingredients'!$Q$5:$Q$1204,'Recipe Ingredients'!$B$5:$B$1204,A83)/G83))</f>
        <v>0</v>
      </c>
      <c r="AF83" s="45">
        <f>IF(OR(A83="",G83=""),"",IF(G83=0,"",SUMIFS('Recipe Ingredients'!$R$5:$R$1204,'Recipe Ingredients'!$B$5:$B$1204,A83)/G83))</f>
        <v>0</v>
      </c>
      <c r="AG83" s="45">
        <f>IF(OR(A83="",G83=""),"",IF(G83=0,"",SUMIFS('Recipe Ingredients'!$S$5:$S$1204,'Recipe Ingredients'!$B$5:$B$1204,A83)/G83))</f>
        <v>0</v>
      </c>
      <c r="AH83" s="45">
        <f>IF(OR(A83="",G83=""),"",IF(G83=0,"",SUMIFS('Recipe Ingredients'!$T$5:$T$1204,'Recipe Ingredients'!$B$5:$B$1204,A83)/G83))</f>
        <v>0</v>
      </c>
      <c r="AI83" s="45">
        <f>IF(OR(A83="",G83=""),"",IF(G83=0,"",SUMIFS('Recipe Ingredients'!$U$5:$U$1204,'Recipe Ingredients'!$B$5:$B$1204,A83)/G83))</f>
        <v>0</v>
      </c>
      <c r="AJ83" s="17">
        <f>IF(A83="","",IF(COUNTIFS('Recipe Ingredients'!$B$5:$B$1204,A83,'Recipe Ingredients'!$V$5:$V$1204,"&lt;&gt;",'Recipe Ingredients'!$V$5:$V$1204,"&lt;&gt;None")=0,"None listed",COUNTIFS('Recipe Ingredients'!$B$5:$B$1204,A83,'Recipe Ingredients'!$V$5:$V$1204,"&lt;&gt;",'Recipe Ingredients'!$V$5:$V$1204,"&lt;&gt;None")&amp;" ingredient(s) flagged"))</f>
        <v>0</v>
      </c>
      <c r="AK83" s="18">
        <f>IF(OR(AD83="",NOT(ISNUMBER(AD83))),"",COUNTIFS($AD$5:$AD$204,"&lt;"&amp;AD83)+COUNTIFS($AD$5:AD83,AD83))</f>
        <v>0</v>
      </c>
      <c r="AL83" s="18">
        <f>IF(B83="",0,IF(AND(OR(FilterDiet="Any",T83=FilterDiet),OR(FilterCategory="Any",C83=FilterCategory),OR(FilterMethod="Any",L83=FilterMethod),OR(FilterTime=0,AND(J83&lt;&gt;"",J83&lt;=FilterTime)),OR(FilterCost=0,AND(AD83&lt;&gt;"",ISNUMBER(AD83),AD83&lt;=FilterCost)),OR(FilterAllergen="Any",COUNTIFS('Recipe Ingredients'!$B$5:$B$1204,A83,'Recipe Ingredients'!$V$5:$V$1204,FilterAllergen)=0)),1,0))</f>
        <v>0</v>
      </c>
      <c r="AM83" s="18">
        <f>IF(AL83=0,"",SUM($AL$5:AL83))</f>
        <v>0</v>
      </c>
      <c r="AN83" s="18">
        <f>IF(B83="","",COUNTIFS($AZ$5:$AZ$204,"&gt;"&amp;AZ83)+COUNTIFS($AZ$5:AZ83,AZ83))</f>
        <v>0</v>
      </c>
      <c r="AO83" s="18">
        <f>IF(B83="","",COUNTIFS($AE$5:$AE$204,"&gt;"&amp;AE83)+COUNTIFS($AE$5:AE83,AE83))</f>
        <v>0</v>
      </c>
      <c r="AP83" s="18">
        <f>IF(B83="","",COUNTIFS($AF$5:$AF$204,"&gt;"&amp;AF83)+COUNTIFS($AF$5:AF83,AF83))</f>
        <v>0</v>
      </c>
      <c r="AQ83" s="18">
        <f>IF(B83="","",COUNTIFS($AI$5:$AI$204,"&gt;"&amp;AI83)+COUNTIFS($AI$5:AI83,AI83))</f>
        <v>0</v>
      </c>
      <c r="AR83" s="18">
        <f>IF(B83="","",COUNTIFS($AS$5:$AS$204,"&gt;"&amp;AS83)+COUNTIFS($AS$5:AS83,AS83))</f>
        <v>0</v>
      </c>
      <c r="AS83" s="45">
        <f>IF(B83="","",IF(BB83="",99999,BC83))</f>
        <v>0</v>
      </c>
      <c r="AT83" s="45">
        <f>IF(A83="",0,SUMIFS('Meal Plan'!$L$5:$L$504,'Meal Plan'!$G$5:$G$504,A83,'Meal Plan'!$B$5:$B$504,"&gt;="&amp;ShopFrom,'Meal Plan'!$B$5:$B$504,"&lt;="&amp;ShopTo,'Meal Plan'!$M$5:$M$504,"Yes"))</f>
        <v>0</v>
      </c>
      <c r="AU83" s="25">
        <f>IF(OR(A83="",AC83=""),"",AC83*AT83)</f>
        <v>0</v>
      </c>
      <c r="AV83" s="18">
        <f>IF(A83="","",COUNTIFS('Recipe Ingredients'!$B$5:$B$1204,A83,'Recipe Ingredients'!$N$5:$N$1204,""))</f>
        <v>0</v>
      </c>
      <c r="AZ83" s="18">
        <f>IF(A83="","",COUNTIFS('Meal Plan'!$G$5:$G$504,A83))</f>
        <v>0</v>
      </c>
      <c r="BA83" s="18">
        <f>IF(A83="","",COUNTIFS('Meal Plan'!$G$5:$G$504,A83,'Meal Plan'!$N$5:$N$504,"Prepared")+COUNTIFS('Meal Plan'!$G$5:$G$504,A83,'Meal Plan'!$N$5:$N$504,"Eaten"))</f>
        <v>0</v>
      </c>
      <c r="BB83" s="19">
        <f>IF(A83="","",IF(COUNTIFS('Meal Plan'!$G$5:$G$504,A83,'Meal Plan'!$B$5:$B$504,"&lt;="&amp;TODAY())=0,"",SUMPRODUCT(MAX(('Meal Plan'!$G$5:$G$504=A83)*('Meal Plan'!$B$5:$B$504&lt;=TODAY())*'Meal Plan'!$B$5:$B$504))))</f>
        <v>0</v>
      </c>
      <c r="BC83" s="18">
        <f>IF(BB83="","",TODAY()-BB83)</f>
        <v>0</v>
      </c>
      <c r="BF83" s="31">
        <f>IF(B83="","",IF(G83="","Add - how many does it serve?",IF(AB83=0,"Add - no ingredients listed yet",IF(AV83&gt;0,"Check - "&amp;AV83&amp;" ingredient(s) have no price",IF(AND(BC83&lt;&gt;"",BC83&lt;RotationGapDays),"Cooked recently","OK")))))</f>
        <v>0</v>
      </c>
    </row>
    <row r="84" spans="1:58">
      <c r="A84" s="39">
        <f>IF(B84="","",RecipePrefix&amp;TEXT(ROW()-4,"0000"))</f>
        <v>0</v>
      </c>
      <c r="J84" s="18">
        <f>IF(B84="","",IF(AND(H84="",I84=""),"",IF(H84="",0,H84)+IF(I84="",0,I84)))</f>
        <v>0</v>
      </c>
      <c r="K84" s="46">
        <f>IF(J84="","",IF(J84&lt;=30,"Yes","No"))</f>
        <v>0</v>
      </c>
      <c r="AB84" s="18">
        <f>IF(A84="","",COUNTIFS('Recipe Ingredients'!$B$5:$B$1204,A84))</f>
        <v>0</v>
      </c>
      <c r="AC84" s="25">
        <f>IF(A84="","",SUMIFS('Recipe Ingredients'!$N$5:$N$1204,'Recipe Ingredients'!$B$5:$B$1204,A84))</f>
        <v>0</v>
      </c>
      <c r="AD84" s="25">
        <f>IF(OR(AC84="",G84=""),"",IF(G84=0,"",AC84/G84))</f>
        <v>0</v>
      </c>
      <c r="AE84" s="30">
        <f>IF(OR(A84="",G84=""),"",IF(G84=0,"",SUMIFS('Recipe Ingredients'!$Q$5:$Q$1204,'Recipe Ingredients'!$B$5:$B$1204,A84)/G84))</f>
        <v>0</v>
      </c>
      <c r="AF84" s="45">
        <f>IF(OR(A84="",G84=""),"",IF(G84=0,"",SUMIFS('Recipe Ingredients'!$R$5:$R$1204,'Recipe Ingredients'!$B$5:$B$1204,A84)/G84))</f>
        <v>0</v>
      </c>
      <c r="AG84" s="45">
        <f>IF(OR(A84="",G84=""),"",IF(G84=0,"",SUMIFS('Recipe Ingredients'!$S$5:$S$1204,'Recipe Ingredients'!$B$5:$B$1204,A84)/G84))</f>
        <v>0</v>
      </c>
      <c r="AH84" s="45">
        <f>IF(OR(A84="",G84=""),"",IF(G84=0,"",SUMIFS('Recipe Ingredients'!$T$5:$T$1204,'Recipe Ingredients'!$B$5:$B$1204,A84)/G84))</f>
        <v>0</v>
      </c>
      <c r="AI84" s="45">
        <f>IF(OR(A84="",G84=""),"",IF(G84=0,"",SUMIFS('Recipe Ingredients'!$U$5:$U$1204,'Recipe Ingredients'!$B$5:$B$1204,A84)/G84))</f>
        <v>0</v>
      </c>
      <c r="AJ84" s="17">
        <f>IF(A84="","",IF(COUNTIFS('Recipe Ingredients'!$B$5:$B$1204,A84,'Recipe Ingredients'!$V$5:$V$1204,"&lt;&gt;",'Recipe Ingredients'!$V$5:$V$1204,"&lt;&gt;None")=0,"None listed",COUNTIFS('Recipe Ingredients'!$B$5:$B$1204,A84,'Recipe Ingredients'!$V$5:$V$1204,"&lt;&gt;",'Recipe Ingredients'!$V$5:$V$1204,"&lt;&gt;None")&amp;" ingredient(s) flagged"))</f>
        <v>0</v>
      </c>
      <c r="AK84" s="18">
        <f>IF(OR(AD84="",NOT(ISNUMBER(AD84))),"",COUNTIFS($AD$5:$AD$204,"&lt;"&amp;AD84)+COUNTIFS($AD$5:AD84,AD84))</f>
        <v>0</v>
      </c>
      <c r="AL84" s="18">
        <f>IF(B84="",0,IF(AND(OR(FilterDiet="Any",T84=FilterDiet),OR(FilterCategory="Any",C84=FilterCategory),OR(FilterMethod="Any",L84=FilterMethod),OR(FilterTime=0,AND(J84&lt;&gt;"",J84&lt;=FilterTime)),OR(FilterCost=0,AND(AD84&lt;&gt;"",ISNUMBER(AD84),AD84&lt;=FilterCost)),OR(FilterAllergen="Any",COUNTIFS('Recipe Ingredients'!$B$5:$B$1204,A84,'Recipe Ingredients'!$V$5:$V$1204,FilterAllergen)=0)),1,0))</f>
        <v>0</v>
      </c>
      <c r="AM84" s="18">
        <f>IF(AL84=0,"",SUM($AL$5:AL84))</f>
        <v>0</v>
      </c>
      <c r="AN84" s="18">
        <f>IF(B84="","",COUNTIFS($AZ$5:$AZ$204,"&gt;"&amp;AZ84)+COUNTIFS($AZ$5:AZ84,AZ84))</f>
        <v>0</v>
      </c>
      <c r="AO84" s="18">
        <f>IF(B84="","",COUNTIFS($AE$5:$AE$204,"&gt;"&amp;AE84)+COUNTIFS($AE$5:AE84,AE84))</f>
        <v>0</v>
      </c>
      <c r="AP84" s="18">
        <f>IF(B84="","",COUNTIFS($AF$5:$AF$204,"&gt;"&amp;AF84)+COUNTIFS($AF$5:AF84,AF84))</f>
        <v>0</v>
      </c>
      <c r="AQ84" s="18">
        <f>IF(B84="","",COUNTIFS($AI$5:$AI$204,"&gt;"&amp;AI84)+COUNTIFS($AI$5:AI84,AI84))</f>
        <v>0</v>
      </c>
      <c r="AR84" s="18">
        <f>IF(B84="","",COUNTIFS($AS$5:$AS$204,"&gt;"&amp;AS84)+COUNTIFS($AS$5:AS84,AS84))</f>
        <v>0</v>
      </c>
      <c r="AS84" s="45">
        <f>IF(B84="","",IF(BB84="",99999,BC84))</f>
        <v>0</v>
      </c>
      <c r="AT84" s="45">
        <f>IF(A84="",0,SUMIFS('Meal Plan'!$L$5:$L$504,'Meal Plan'!$G$5:$G$504,A84,'Meal Plan'!$B$5:$B$504,"&gt;="&amp;ShopFrom,'Meal Plan'!$B$5:$B$504,"&lt;="&amp;ShopTo,'Meal Plan'!$M$5:$M$504,"Yes"))</f>
        <v>0</v>
      </c>
      <c r="AU84" s="25">
        <f>IF(OR(A84="",AC84=""),"",AC84*AT84)</f>
        <v>0</v>
      </c>
      <c r="AV84" s="18">
        <f>IF(A84="","",COUNTIFS('Recipe Ingredients'!$B$5:$B$1204,A84,'Recipe Ingredients'!$N$5:$N$1204,""))</f>
        <v>0</v>
      </c>
      <c r="AZ84" s="18">
        <f>IF(A84="","",COUNTIFS('Meal Plan'!$G$5:$G$504,A84))</f>
        <v>0</v>
      </c>
      <c r="BA84" s="18">
        <f>IF(A84="","",COUNTIFS('Meal Plan'!$G$5:$G$504,A84,'Meal Plan'!$N$5:$N$504,"Prepared")+COUNTIFS('Meal Plan'!$G$5:$G$504,A84,'Meal Plan'!$N$5:$N$504,"Eaten"))</f>
        <v>0</v>
      </c>
      <c r="BB84" s="19">
        <f>IF(A84="","",IF(COUNTIFS('Meal Plan'!$G$5:$G$504,A84,'Meal Plan'!$B$5:$B$504,"&lt;="&amp;TODAY())=0,"",SUMPRODUCT(MAX(('Meal Plan'!$G$5:$G$504=A84)*('Meal Plan'!$B$5:$B$504&lt;=TODAY())*'Meal Plan'!$B$5:$B$504))))</f>
        <v>0</v>
      </c>
      <c r="BC84" s="18">
        <f>IF(BB84="","",TODAY()-BB84)</f>
        <v>0</v>
      </c>
      <c r="BF84" s="31">
        <f>IF(B84="","",IF(G84="","Add - how many does it serve?",IF(AB84=0,"Add - no ingredients listed yet",IF(AV84&gt;0,"Check - "&amp;AV84&amp;" ingredient(s) have no price",IF(AND(BC84&lt;&gt;"",BC84&lt;RotationGapDays),"Cooked recently","OK")))))</f>
        <v>0</v>
      </c>
    </row>
    <row r="85" spans="1:58">
      <c r="A85" s="39">
        <f>IF(B85="","",RecipePrefix&amp;TEXT(ROW()-4,"0000"))</f>
        <v>0</v>
      </c>
      <c r="J85" s="18">
        <f>IF(B85="","",IF(AND(H85="",I85=""),"",IF(H85="",0,H85)+IF(I85="",0,I85)))</f>
        <v>0</v>
      </c>
      <c r="K85" s="46">
        <f>IF(J85="","",IF(J85&lt;=30,"Yes","No"))</f>
        <v>0</v>
      </c>
      <c r="AB85" s="18">
        <f>IF(A85="","",COUNTIFS('Recipe Ingredients'!$B$5:$B$1204,A85))</f>
        <v>0</v>
      </c>
      <c r="AC85" s="25">
        <f>IF(A85="","",SUMIFS('Recipe Ingredients'!$N$5:$N$1204,'Recipe Ingredients'!$B$5:$B$1204,A85))</f>
        <v>0</v>
      </c>
      <c r="AD85" s="25">
        <f>IF(OR(AC85="",G85=""),"",IF(G85=0,"",AC85/G85))</f>
        <v>0</v>
      </c>
      <c r="AE85" s="30">
        <f>IF(OR(A85="",G85=""),"",IF(G85=0,"",SUMIFS('Recipe Ingredients'!$Q$5:$Q$1204,'Recipe Ingredients'!$B$5:$B$1204,A85)/G85))</f>
        <v>0</v>
      </c>
      <c r="AF85" s="45">
        <f>IF(OR(A85="",G85=""),"",IF(G85=0,"",SUMIFS('Recipe Ingredients'!$R$5:$R$1204,'Recipe Ingredients'!$B$5:$B$1204,A85)/G85))</f>
        <v>0</v>
      </c>
      <c r="AG85" s="45">
        <f>IF(OR(A85="",G85=""),"",IF(G85=0,"",SUMIFS('Recipe Ingredients'!$S$5:$S$1204,'Recipe Ingredients'!$B$5:$B$1204,A85)/G85))</f>
        <v>0</v>
      </c>
      <c r="AH85" s="45">
        <f>IF(OR(A85="",G85=""),"",IF(G85=0,"",SUMIFS('Recipe Ingredients'!$T$5:$T$1204,'Recipe Ingredients'!$B$5:$B$1204,A85)/G85))</f>
        <v>0</v>
      </c>
      <c r="AI85" s="45">
        <f>IF(OR(A85="",G85=""),"",IF(G85=0,"",SUMIFS('Recipe Ingredients'!$U$5:$U$1204,'Recipe Ingredients'!$B$5:$B$1204,A85)/G85))</f>
        <v>0</v>
      </c>
      <c r="AJ85" s="17">
        <f>IF(A85="","",IF(COUNTIFS('Recipe Ingredients'!$B$5:$B$1204,A85,'Recipe Ingredients'!$V$5:$V$1204,"&lt;&gt;",'Recipe Ingredients'!$V$5:$V$1204,"&lt;&gt;None")=0,"None listed",COUNTIFS('Recipe Ingredients'!$B$5:$B$1204,A85,'Recipe Ingredients'!$V$5:$V$1204,"&lt;&gt;",'Recipe Ingredients'!$V$5:$V$1204,"&lt;&gt;None")&amp;" ingredient(s) flagged"))</f>
        <v>0</v>
      </c>
      <c r="AK85" s="18">
        <f>IF(OR(AD85="",NOT(ISNUMBER(AD85))),"",COUNTIFS($AD$5:$AD$204,"&lt;"&amp;AD85)+COUNTIFS($AD$5:AD85,AD85))</f>
        <v>0</v>
      </c>
      <c r="AL85" s="18">
        <f>IF(B85="",0,IF(AND(OR(FilterDiet="Any",T85=FilterDiet),OR(FilterCategory="Any",C85=FilterCategory),OR(FilterMethod="Any",L85=FilterMethod),OR(FilterTime=0,AND(J85&lt;&gt;"",J85&lt;=FilterTime)),OR(FilterCost=0,AND(AD85&lt;&gt;"",ISNUMBER(AD85),AD85&lt;=FilterCost)),OR(FilterAllergen="Any",COUNTIFS('Recipe Ingredients'!$B$5:$B$1204,A85,'Recipe Ingredients'!$V$5:$V$1204,FilterAllergen)=0)),1,0))</f>
        <v>0</v>
      </c>
      <c r="AM85" s="18">
        <f>IF(AL85=0,"",SUM($AL$5:AL85))</f>
        <v>0</v>
      </c>
      <c r="AN85" s="18">
        <f>IF(B85="","",COUNTIFS($AZ$5:$AZ$204,"&gt;"&amp;AZ85)+COUNTIFS($AZ$5:AZ85,AZ85))</f>
        <v>0</v>
      </c>
      <c r="AO85" s="18">
        <f>IF(B85="","",COUNTIFS($AE$5:$AE$204,"&gt;"&amp;AE85)+COUNTIFS($AE$5:AE85,AE85))</f>
        <v>0</v>
      </c>
      <c r="AP85" s="18">
        <f>IF(B85="","",COUNTIFS($AF$5:$AF$204,"&gt;"&amp;AF85)+COUNTIFS($AF$5:AF85,AF85))</f>
        <v>0</v>
      </c>
      <c r="AQ85" s="18">
        <f>IF(B85="","",COUNTIFS($AI$5:$AI$204,"&gt;"&amp;AI85)+COUNTIFS($AI$5:AI85,AI85))</f>
        <v>0</v>
      </c>
      <c r="AR85" s="18">
        <f>IF(B85="","",COUNTIFS($AS$5:$AS$204,"&gt;"&amp;AS85)+COUNTIFS($AS$5:AS85,AS85))</f>
        <v>0</v>
      </c>
      <c r="AS85" s="45">
        <f>IF(B85="","",IF(BB85="",99999,BC85))</f>
        <v>0</v>
      </c>
      <c r="AT85" s="45">
        <f>IF(A85="",0,SUMIFS('Meal Plan'!$L$5:$L$504,'Meal Plan'!$G$5:$G$504,A85,'Meal Plan'!$B$5:$B$504,"&gt;="&amp;ShopFrom,'Meal Plan'!$B$5:$B$504,"&lt;="&amp;ShopTo,'Meal Plan'!$M$5:$M$504,"Yes"))</f>
        <v>0</v>
      </c>
      <c r="AU85" s="25">
        <f>IF(OR(A85="",AC85=""),"",AC85*AT85)</f>
        <v>0</v>
      </c>
      <c r="AV85" s="18">
        <f>IF(A85="","",COUNTIFS('Recipe Ingredients'!$B$5:$B$1204,A85,'Recipe Ingredients'!$N$5:$N$1204,""))</f>
        <v>0</v>
      </c>
      <c r="AZ85" s="18">
        <f>IF(A85="","",COUNTIFS('Meal Plan'!$G$5:$G$504,A85))</f>
        <v>0</v>
      </c>
      <c r="BA85" s="18">
        <f>IF(A85="","",COUNTIFS('Meal Plan'!$G$5:$G$504,A85,'Meal Plan'!$N$5:$N$504,"Prepared")+COUNTIFS('Meal Plan'!$G$5:$G$504,A85,'Meal Plan'!$N$5:$N$504,"Eaten"))</f>
        <v>0</v>
      </c>
      <c r="BB85" s="19">
        <f>IF(A85="","",IF(COUNTIFS('Meal Plan'!$G$5:$G$504,A85,'Meal Plan'!$B$5:$B$504,"&lt;="&amp;TODAY())=0,"",SUMPRODUCT(MAX(('Meal Plan'!$G$5:$G$504=A85)*('Meal Plan'!$B$5:$B$504&lt;=TODAY())*'Meal Plan'!$B$5:$B$504))))</f>
        <v>0</v>
      </c>
      <c r="BC85" s="18">
        <f>IF(BB85="","",TODAY()-BB85)</f>
        <v>0</v>
      </c>
      <c r="BF85" s="31">
        <f>IF(B85="","",IF(G85="","Add - how many does it serve?",IF(AB85=0,"Add - no ingredients listed yet",IF(AV85&gt;0,"Check - "&amp;AV85&amp;" ingredient(s) have no price",IF(AND(BC85&lt;&gt;"",BC85&lt;RotationGapDays),"Cooked recently","OK")))))</f>
        <v>0</v>
      </c>
    </row>
    <row r="86" spans="1:58">
      <c r="A86" s="39">
        <f>IF(B86="","",RecipePrefix&amp;TEXT(ROW()-4,"0000"))</f>
        <v>0</v>
      </c>
      <c r="J86" s="18">
        <f>IF(B86="","",IF(AND(H86="",I86=""),"",IF(H86="",0,H86)+IF(I86="",0,I86)))</f>
        <v>0</v>
      </c>
      <c r="K86" s="46">
        <f>IF(J86="","",IF(J86&lt;=30,"Yes","No"))</f>
        <v>0</v>
      </c>
      <c r="AB86" s="18">
        <f>IF(A86="","",COUNTIFS('Recipe Ingredients'!$B$5:$B$1204,A86))</f>
        <v>0</v>
      </c>
      <c r="AC86" s="25">
        <f>IF(A86="","",SUMIFS('Recipe Ingredients'!$N$5:$N$1204,'Recipe Ingredients'!$B$5:$B$1204,A86))</f>
        <v>0</v>
      </c>
      <c r="AD86" s="25">
        <f>IF(OR(AC86="",G86=""),"",IF(G86=0,"",AC86/G86))</f>
        <v>0</v>
      </c>
      <c r="AE86" s="30">
        <f>IF(OR(A86="",G86=""),"",IF(G86=0,"",SUMIFS('Recipe Ingredients'!$Q$5:$Q$1204,'Recipe Ingredients'!$B$5:$B$1204,A86)/G86))</f>
        <v>0</v>
      </c>
      <c r="AF86" s="45">
        <f>IF(OR(A86="",G86=""),"",IF(G86=0,"",SUMIFS('Recipe Ingredients'!$R$5:$R$1204,'Recipe Ingredients'!$B$5:$B$1204,A86)/G86))</f>
        <v>0</v>
      </c>
      <c r="AG86" s="45">
        <f>IF(OR(A86="",G86=""),"",IF(G86=0,"",SUMIFS('Recipe Ingredients'!$S$5:$S$1204,'Recipe Ingredients'!$B$5:$B$1204,A86)/G86))</f>
        <v>0</v>
      </c>
      <c r="AH86" s="45">
        <f>IF(OR(A86="",G86=""),"",IF(G86=0,"",SUMIFS('Recipe Ingredients'!$T$5:$T$1204,'Recipe Ingredients'!$B$5:$B$1204,A86)/G86))</f>
        <v>0</v>
      </c>
      <c r="AI86" s="45">
        <f>IF(OR(A86="",G86=""),"",IF(G86=0,"",SUMIFS('Recipe Ingredients'!$U$5:$U$1204,'Recipe Ingredients'!$B$5:$B$1204,A86)/G86))</f>
        <v>0</v>
      </c>
      <c r="AJ86" s="17">
        <f>IF(A86="","",IF(COUNTIFS('Recipe Ingredients'!$B$5:$B$1204,A86,'Recipe Ingredients'!$V$5:$V$1204,"&lt;&gt;",'Recipe Ingredients'!$V$5:$V$1204,"&lt;&gt;None")=0,"None listed",COUNTIFS('Recipe Ingredients'!$B$5:$B$1204,A86,'Recipe Ingredients'!$V$5:$V$1204,"&lt;&gt;",'Recipe Ingredients'!$V$5:$V$1204,"&lt;&gt;None")&amp;" ingredient(s) flagged"))</f>
        <v>0</v>
      </c>
      <c r="AK86" s="18">
        <f>IF(OR(AD86="",NOT(ISNUMBER(AD86))),"",COUNTIFS($AD$5:$AD$204,"&lt;"&amp;AD86)+COUNTIFS($AD$5:AD86,AD86))</f>
        <v>0</v>
      </c>
      <c r="AL86" s="18">
        <f>IF(B86="",0,IF(AND(OR(FilterDiet="Any",T86=FilterDiet),OR(FilterCategory="Any",C86=FilterCategory),OR(FilterMethod="Any",L86=FilterMethod),OR(FilterTime=0,AND(J86&lt;&gt;"",J86&lt;=FilterTime)),OR(FilterCost=0,AND(AD86&lt;&gt;"",ISNUMBER(AD86),AD86&lt;=FilterCost)),OR(FilterAllergen="Any",COUNTIFS('Recipe Ingredients'!$B$5:$B$1204,A86,'Recipe Ingredients'!$V$5:$V$1204,FilterAllergen)=0)),1,0))</f>
        <v>0</v>
      </c>
      <c r="AM86" s="18">
        <f>IF(AL86=0,"",SUM($AL$5:AL86))</f>
        <v>0</v>
      </c>
      <c r="AN86" s="18">
        <f>IF(B86="","",COUNTIFS($AZ$5:$AZ$204,"&gt;"&amp;AZ86)+COUNTIFS($AZ$5:AZ86,AZ86))</f>
        <v>0</v>
      </c>
      <c r="AO86" s="18">
        <f>IF(B86="","",COUNTIFS($AE$5:$AE$204,"&gt;"&amp;AE86)+COUNTIFS($AE$5:AE86,AE86))</f>
        <v>0</v>
      </c>
      <c r="AP86" s="18">
        <f>IF(B86="","",COUNTIFS($AF$5:$AF$204,"&gt;"&amp;AF86)+COUNTIFS($AF$5:AF86,AF86))</f>
        <v>0</v>
      </c>
      <c r="AQ86" s="18">
        <f>IF(B86="","",COUNTIFS($AI$5:$AI$204,"&gt;"&amp;AI86)+COUNTIFS($AI$5:AI86,AI86))</f>
        <v>0</v>
      </c>
      <c r="AR86" s="18">
        <f>IF(B86="","",COUNTIFS($AS$5:$AS$204,"&gt;"&amp;AS86)+COUNTIFS($AS$5:AS86,AS86))</f>
        <v>0</v>
      </c>
      <c r="AS86" s="45">
        <f>IF(B86="","",IF(BB86="",99999,BC86))</f>
        <v>0</v>
      </c>
      <c r="AT86" s="45">
        <f>IF(A86="",0,SUMIFS('Meal Plan'!$L$5:$L$504,'Meal Plan'!$G$5:$G$504,A86,'Meal Plan'!$B$5:$B$504,"&gt;="&amp;ShopFrom,'Meal Plan'!$B$5:$B$504,"&lt;="&amp;ShopTo,'Meal Plan'!$M$5:$M$504,"Yes"))</f>
        <v>0</v>
      </c>
      <c r="AU86" s="25">
        <f>IF(OR(A86="",AC86=""),"",AC86*AT86)</f>
        <v>0</v>
      </c>
      <c r="AV86" s="18">
        <f>IF(A86="","",COUNTIFS('Recipe Ingredients'!$B$5:$B$1204,A86,'Recipe Ingredients'!$N$5:$N$1204,""))</f>
        <v>0</v>
      </c>
      <c r="AZ86" s="18">
        <f>IF(A86="","",COUNTIFS('Meal Plan'!$G$5:$G$504,A86))</f>
        <v>0</v>
      </c>
      <c r="BA86" s="18">
        <f>IF(A86="","",COUNTIFS('Meal Plan'!$G$5:$G$504,A86,'Meal Plan'!$N$5:$N$504,"Prepared")+COUNTIFS('Meal Plan'!$G$5:$G$504,A86,'Meal Plan'!$N$5:$N$504,"Eaten"))</f>
        <v>0</v>
      </c>
      <c r="BB86" s="19">
        <f>IF(A86="","",IF(COUNTIFS('Meal Plan'!$G$5:$G$504,A86,'Meal Plan'!$B$5:$B$504,"&lt;="&amp;TODAY())=0,"",SUMPRODUCT(MAX(('Meal Plan'!$G$5:$G$504=A86)*('Meal Plan'!$B$5:$B$504&lt;=TODAY())*'Meal Plan'!$B$5:$B$504))))</f>
        <v>0</v>
      </c>
      <c r="BC86" s="18">
        <f>IF(BB86="","",TODAY()-BB86)</f>
        <v>0</v>
      </c>
      <c r="BF86" s="31">
        <f>IF(B86="","",IF(G86="","Add - how many does it serve?",IF(AB86=0,"Add - no ingredients listed yet",IF(AV86&gt;0,"Check - "&amp;AV86&amp;" ingredient(s) have no price",IF(AND(BC86&lt;&gt;"",BC86&lt;RotationGapDays),"Cooked recently","OK")))))</f>
        <v>0</v>
      </c>
    </row>
    <row r="87" spans="1:58">
      <c r="A87" s="39">
        <f>IF(B87="","",RecipePrefix&amp;TEXT(ROW()-4,"0000"))</f>
        <v>0</v>
      </c>
      <c r="J87" s="18">
        <f>IF(B87="","",IF(AND(H87="",I87=""),"",IF(H87="",0,H87)+IF(I87="",0,I87)))</f>
        <v>0</v>
      </c>
      <c r="K87" s="46">
        <f>IF(J87="","",IF(J87&lt;=30,"Yes","No"))</f>
        <v>0</v>
      </c>
      <c r="AB87" s="18">
        <f>IF(A87="","",COUNTIFS('Recipe Ingredients'!$B$5:$B$1204,A87))</f>
        <v>0</v>
      </c>
      <c r="AC87" s="25">
        <f>IF(A87="","",SUMIFS('Recipe Ingredients'!$N$5:$N$1204,'Recipe Ingredients'!$B$5:$B$1204,A87))</f>
        <v>0</v>
      </c>
      <c r="AD87" s="25">
        <f>IF(OR(AC87="",G87=""),"",IF(G87=0,"",AC87/G87))</f>
        <v>0</v>
      </c>
      <c r="AE87" s="30">
        <f>IF(OR(A87="",G87=""),"",IF(G87=0,"",SUMIFS('Recipe Ingredients'!$Q$5:$Q$1204,'Recipe Ingredients'!$B$5:$B$1204,A87)/G87))</f>
        <v>0</v>
      </c>
      <c r="AF87" s="45">
        <f>IF(OR(A87="",G87=""),"",IF(G87=0,"",SUMIFS('Recipe Ingredients'!$R$5:$R$1204,'Recipe Ingredients'!$B$5:$B$1204,A87)/G87))</f>
        <v>0</v>
      </c>
      <c r="AG87" s="45">
        <f>IF(OR(A87="",G87=""),"",IF(G87=0,"",SUMIFS('Recipe Ingredients'!$S$5:$S$1204,'Recipe Ingredients'!$B$5:$B$1204,A87)/G87))</f>
        <v>0</v>
      </c>
      <c r="AH87" s="45">
        <f>IF(OR(A87="",G87=""),"",IF(G87=0,"",SUMIFS('Recipe Ingredients'!$T$5:$T$1204,'Recipe Ingredients'!$B$5:$B$1204,A87)/G87))</f>
        <v>0</v>
      </c>
      <c r="AI87" s="45">
        <f>IF(OR(A87="",G87=""),"",IF(G87=0,"",SUMIFS('Recipe Ingredients'!$U$5:$U$1204,'Recipe Ingredients'!$B$5:$B$1204,A87)/G87))</f>
        <v>0</v>
      </c>
      <c r="AJ87" s="17">
        <f>IF(A87="","",IF(COUNTIFS('Recipe Ingredients'!$B$5:$B$1204,A87,'Recipe Ingredients'!$V$5:$V$1204,"&lt;&gt;",'Recipe Ingredients'!$V$5:$V$1204,"&lt;&gt;None")=0,"None listed",COUNTIFS('Recipe Ingredients'!$B$5:$B$1204,A87,'Recipe Ingredients'!$V$5:$V$1204,"&lt;&gt;",'Recipe Ingredients'!$V$5:$V$1204,"&lt;&gt;None")&amp;" ingredient(s) flagged"))</f>
        <v>0</v>
      </c>
      <c r="AK87" s="18">
        <f>IF(OR(AD87="",NOT(ISNUMBER(AD87))),"",COUNTIFS($AD$5:$AD$204,"&lt;"&amp;AD87)+COUNTIFS($AD$5:AD87,AD87))</f>
        <v>0</v>
      </c>
      <c r="AL87" s="18">
        <f>IF(B87="",0,IF(AND(OR(FilterDiet="Any",T87=FilterDiet),OR(FilterCategory="Any",C87=FilterCategory),OR(FilterMethod="Any",L87=FilterMethod),OR(FilterTime=0,AND(J87&lt;&gt;"",J87&lt;=FilterTime)),OR(FilterCost=0,AND(AD87&lt;&gt;"",ISNUMBER(AD87),AD87&lt;=FilterCost)),OR(FilterAllergen="Any",COUNTIFS('Recipe Ingredients'!$B$5:$B$1204,A87,'Recipe Ingredients'!$V$5:$V$1204,FilterAllergen)=0)),1,0))</f>
        <v>0</v>
      </c>
      <c r="AM87" s="18">
        <f>IF(AL87=0,"",SUM($AL$5:AL87))</f>
        <v>0</v>
      </c>
      <c r="AN87" s="18">
        <f>IF(B87="","",COUNTIFS($AZ$5:$AZ$204,"&gt;"&amp;AZ87)+COUNTIFS($AZ$5:AZ87,AZ87))</f>
        <v>0</v>
      </c>
      <c r="AO87" s="18">
        <f>IF(B87="","",COUNTIFS($AE$5:$AE$204,"&gt;"&amp;AE87)+COUNTIFS($AE$5:AE87,AE87))</f>
        <v>0</v>
      </c>
      <c r="AP87" s="18">
        <f>IF(B87="","",COUNTIFS($AF$5:$AF$204,"&gt;"&amp;AF87)+COUNTIFS($AF$5:AF87,AF87))</f>
        <v>0</v>
      </c>
      <c r="AQ87" s="18">
        <f>IF(B87="","",COUNTIFS($AI$5:$AI$204,"&gt;"&amp;AI87)+COUNTIFS($AI$5:AI87,AI87))</f>
        <v>0</v>
      </c>
      <c r="AR87" s="18">
        <f>IF(B87="","",COUNTIFS($AS$5:$AS$204,"&gt;"&amp;AS87)+COUNTIFS($AS$5:AS87,AS87))</f>
        <v>0</v>
      </c>
      <c r="AS87" s="45">
        <f>IF(B87="","",IF(BB87="",99999,BC87))</f>
        <v>0</v>
      </c>
      <c r="AT87" s="45">
        <f>IF(A87="",0,SUMIFS('Meal Plan'!$L$5:$L$504,'Meal Plan'!$G$5:$G$504,A87,'Meal Plan'!$B$5:$B$504,"&gt;="&amp;ShopFrom,'Meal Plan'!$B$5:$B$504,"&lt;="&amp;ShopTo,'Meal Plan'!$M$5:$M$504,"Yes"))</f>
        <v>0</v>
      </c>
      <c r="AU87" s="25">
        <f>IF(OR(A87="",AC87=""),"",AC87*AT87)</f>
        <v>0</v>
      </c>
      <c r="AV87" s="18">
        <f>IF(A87="","",COUNTIFS('Recipe Ingredients'!$B$5:$B$1204,A87,'Recipe Ingredients'!$N$5:$N$1204,""))</f>
        <v>0</v>
      </c>
      <c r="AZ87" s="18">
        <f>IF(A87="","",COUNTIFS('Meal Plan'!$G$5:$G$504,A87))</f>
        <v>0</v>
      </c>
      <c r="BA87" s="18">
        <f>IF(A87="","",COUNTIFS('Meal Plan'!$G$5:$G$504,A87,'Meal Plan'!$N$5:$N$504,"Prepared")+COUNTIFS('Meal Plan'!$G$5:$G$504,A87,'Meal Plan'!$N$5:$N$504,"Eaten"))</f>
        <v>0</v>
      </c>
      <c r="BB87" s="19">
        <f>IF(A87="","",IF(COUNTIFS('Meal Plan'!$G$5:$G$504,A87,'Meal Plan'!$B$5:$B$504,"&lt;="&amp;TODAY())=0,"",SUMPRODUCT(MAX(('Meal Plan'!$G$5:$G$504=A87)*('Meal Plan'!$B$5:$B$504&lt;=TODAY())*'Meal Plan'!$B$5:$B$504))))</f>
        <v>0</v>
      </c>
      <c r="BC87" s="18">
        <f>IF(BB87="","",TODAY()-BB87)</f>
        <v>0</v>
      </c>
      <c r="BF87" s="31">
        <f>IF(B87="","",IF(G87="","Add - how many does it serve?",IF(AB87=0,"Add - no ingredients listed yet",IF(AV87&gt;0,"Check - "&amp;AV87&amp;" ingredient(s) have no price",IF(AND(BC87&lt;&gt;"",BC87&lt;RotationGapDays),"Cooked recently","OK")))))</f>
        <v>0</v>
      </c>
    </row>
    <row r="88" spans="1:58">
      <c r="A88" s="39">
        <f>IF(B88="","",RecipePrefix&amp;TEXT(ROW()-4,"0000"))</f>
        <v>0</v>
      </c>
      <c r="J88" s="18">
        <f>IF(B88="","",IF(AND(H88="",I88=""),"",IF(H88="",0,H88)+IF(I88="",0,I88)))</f>
        <v>0</v>
      </c>
      <c r="K88" s="46">
        <f>IF(J88="","",IF(J88&lt;=30,"Yes","No"))</f>
        <v>0</v>
      </c>
      <c r="AB88" s="18">
        <f>IF(A88="","",COUNTIFS('Recipe Ingredients'!$B$5:$B$1204,A88))</f>
        <v>0</v>
      </c>
      <c r="AC88" s="25">
        <f>IF(A88="","",SUMIFS('Recipe Ingredients'!$N$5:$N$1204,'Recipe Ingredients'!$B$5:$B$1204,A88))</f>
        <v>0</v>
      </c>
      <c r="AD88" s="25">
        <f>IF(OR(AC88="",G88=""),"",IF(G88=0,"",AC88/G88))</f>
        <v>0</v>
      </c>
      <c r="AE88" s="30">
        <f>IF(OR(A88="",G88=""),"",IF(G88=0,"",SUMIFS('Recipe Ingredients'!$Q$5:$Q$1204,'Recipe Ingredients'!$B$5:$B$1204,A88)/G88))</f>
        <v>0</v>
      </c>
      <c r="AF88" s="45">
        <f>IF(OR(A88="",G88=""),"",IF(G88=0,"",SUMIFS('Recipe Ingredients'!$R$5:$R$1204,'Recipe Ingredients'!$B$5:$B$1204,A88)/G88))</f>
        <v>0</v>
      </c>
      <c r="AG88" s="45">
        <f>IF(OR(A88="",G88=""),"",IF(G88=0,"",SUMIFS('Recipe Ingredients'!$S$5:$S$1204,'Recipe Ingredients'!$B$5:$B$1204,A88)/G88))</f>
        <v>0</v>
      </c>
      <c r="AH88" s="45">
        <f>IF(OR(A88="",G88=""),"",IF(G88=0,"",SUMIFS('Recipe Ingredients'!$T$5:$T$1204,'Recipe Ingredients'!$B$5:$B$1204,A88)/G88))</f>
        <v>0</v>
      </c>
      <c r="AI88" s="45">
        <f>IF(OR(A88="",G88=""),"",IF(G88=0,"",SUMIFS('Recipe Ingredients'!$U$5:$U$1204,'Recipe Ingredients'!$B$5:$B$1204,A88)/G88))</f>
        <v>0</v>
      </c>
      <c r="AJ88" s="17">
        <f>IF(A88="","",IF(COUNTIFS('Recipe Ingredients'!$B$5:$B$1204,A88,'Recipe Ingredients'!$V$5:$V$1204,"&lt;&gt;",'Recipe Ingredients'!$V$5:$V$1204,"&lt;&gt;None")=0,"None listed",COUNTIFS('Recipe Ingredients'!$B$5:$B$1204,A88,'Recipe Ingredients'!$V$5:$V$1204,"&lt;&gt;",'Recipe Ingredients'!$V$5:$V$1204,"&lt;&gt;None")&amp;" ingredient(s) flagged"))</f>
        <v>0</v>
      </c>
      <c r="AK88" s="18">
        <f>IF(OR(AD88="",NOT(ISNUMBER(AD88))),"",COUNTIFS($AD$5:$AD$204,"&lt;"&amp;AD88)+COUNTIFS($AD$5:AD88,AD88))</f>
        <v>0</v>
      </c>
      <c r="AL88" s="18">
        <f>IF(B88="",0,IF(AND(OR(FilterDiet="Any",T88=FilterDiet),OR(FilterCategory="Any",C88=FilterCategory),OR(FilterMethod="Any",L88=FilterMethod),OR(FilterTime=0,AND(J88&lt;&gt;"",J88&lt;=FilterTime)),OR(FilterCost=0,AND(AD88&lt;&gt;"",ISNUMBER(AD88),AD88&lt;=FilterCost)),OR(FilterAllergen="Any",COUNTIFS('Recipe Ingredients'!$B$5:$B$1204,A88,'Recipe Ingredients'!$V$5:$V$1204,FilterAllergen)=0)),1,0))</f>
        <v>0</v>
      </c>
      <c r="AM88" s="18">
        <f>IF(AL88=0,"",SUM($AL$5:AL88))</f>
        <v>0</v>
      </c>
      <c r="AN88" s="18">
        <f>IF(B88="","",COUNTIFS($AZ$5:$AZ$204,"&gt;"&amp;AZ88)+COUNTIFS($AZ$5:AZ88,AZ88))</f>
        <v>0</v>
      </c>
      <c r="AO88" s="18">
        <f>IF(B88="","",COUNTIFS($AE$5:$AE$204,"&gt;"&amp;AE88)+COUNTIFS($AE$5:AE88,AE88))</f>
        <v>0</v>
      </c>
      <c r="AP88" s="18">
        <f>IF(B88="","",COUNTIFS($AF$5:$AF$204,"&gt;"&amp;AF88)+COUNTIFS($AF$5:AF88,AF88))</f>
        <v>0</v>
      </c>
      <c r="AQ88" s="18">
        <f>IF(B88="","",COUNTIFS($AI$5:$AI$204,"&gt;"&amp;AI88)+COUNTIFS($AI$5:AI88,AI88))</f>
        <v>0</v>
      </c>
      <c r="AR88" s="18">
        <f>IF(B88="","",COUNTIFS($AS$5:$AS$204,"&gt;"&amp;AS88)+COUNTIFS($AS$5:AS88,AS88))</f>
        <v>0</v>
      </c>
      <c r="AS88" s="45">
        <f>IF(B88="","",IF(BB88="",99999,BC88))</f>
        <v>0</v>
      </c>
      <c r="AT88" s="45">
        <f>IF(A88="",0,SUMIFS('Meal Plan'!$L$5:$L$504,'Meal Plan'!$G$5:$G$504,A88,'Meal Plan'!$B$5:$B$504,"&gt;="&amp;ShopFrom,'Meal Plan'!$B$5:$B$504,"&lt;="&amp;ShopTo,'Meal Plan'!$M$5:$M$504,"Yes"))</f>
        <v>0</v>
      </c>
      <c r="AU88" s="25">
        <f>IF(OR(A88="",AC88=""),"",AC88*AT88)</f>
        <v>0</v>
      </c>
      <c r="AV88" s="18">
        <f>IF(A88="","",COUNTIFS('Recipe Ingredients'!$B$5:$B$1204,A88,'Recipe Ingredients'!$N$5:$N$1204,""))</f>
        <v>0</v>
      </c>
      <c r="AZ88" s="18">
        <f>IF(A88="","",COUNTIFS('Meal Plan'!$G$5:$G$504,A88))</f>
        <v>0</v>
      </c>
      <c r="BA88" s="18">
        <f>IF(A88="","",COUNTIFS('Meal Plan'!$G$5:$G$504,A88,'Meal Plan'!$N$5:$N$504,"Prepared")+COUNTIFS('Meal Plan'!$G$5:$G$504,A88,'Meal Plan'!$N$5:$N$504,"Eaten"))</f>
        <v>0</v>
      </c>
      <c r="BB88" s="19">
        <f>IF(A88="","",IF(COUNTIFS('Meal Plan'!$G$5:$G$504,A88,'Meal Plan'!$B$5:$B$504,"&lt;="&amp;TODAY())=0,"",SUMPRODUCT(MAX(('Meal Plan'!$G$5:$G$504=A88)*('Meal Plan'!$B$5:$B$504&lt;=TODAY())*'Meal Plan'!$B$5:$B$504))))</f>
        <v>0</v>
      </c>
      <c r="BC88" s="18">
        <f>IF(BB88="","",TODAY()-BB88)</f>
        <v>0</v>
      </c>
      <c r="BF88" s="31">
        <f>IF(B88="","",IF(G88="","Add - how many does it serve?",IF(AB88=0,"Add - no ingredients listed yet",IF(AV88&gt;0,"Check - "&amp;AV88&amp;" ingredient(s) have no price",IF(AND(BC88&lt;&gt;"",BC88&lt;RotationGapDays),"Cooked recently","OK")))))</f>
        <v>0</v>
      </c>
    </row>
    <row r="89" spans="1:58">
      <c r="A89" s="39">
        <f>IF(B89="","",RecipePrefix&amp;TEXT(ROW()-4,"0000"))</f>
        <v>0</v>
      </c>
      <c r="J89" s="18">
        <f>IF(B89="","",IF(AND(H89="",I89=""),"",IF(H89="",0,H89)+IF(I89="",0,I89)))</f>
        <v>0</v>
      </c>
      <c r="K89" s="46">
        <f>IF(J89="","",IF(J89&lt;=30,"Yes","No"))</f>
        <v>0</v>
      </c>
      <c r="AB89" s="18">
        <f>IF(A89="","",COUNTIFS('Recipe Ingredients'!$B$5:$B$1204,A89))</f>
        <v>0</v>
      </c>
      <c r="AC89" s="25">
        <f>IF(A89="","",SUMIFS('Recipe Ingredients'!$N$5:$N$1204,'Recipe Ingredients'!$B$5:$B$1204,A89))</f>
        <v>0</v>
      </c>
      <c r="AD89" s="25">
        <f>IF(OR(AC89="",G89=""),"",IF(G89=0,"",AC89/G89))</f>
        <v>0</v>
      </c>
      <c r="AE89" s="30">
        <f>IF(OR(A89="",G89=""),"",IF(G89=0,"",SUMIFS('Recipe Ingredients'!$Q$5:$Q$1204,'Recipe Ingredients'!$B$5:$B$1204,A89)/G89))</f>
        <v>0</v>
      </c>
      <c r="AF89" s="45">
        <f>IF(OR(A89="",G89=""),"",IF(G89=0,"",SUMIFS('Recipe Ingredients'!$R$5:$R$1204,'Recipe Ingredients'!$B$5:$B$1204,A89)/G89))</f>
        <v>0</v>
      </c>
      <c r="AG89" s="45">
        <f>IF(OR(A89="",G89=""),"",IF(G89=0,"",SUMIFS('Recipe Ingredients'!$S$5:$S$1204,'Recipe Ingredients'!$B$5:$B$1204,A89)/G89))</f>
        <v>0</v>
      </c>
      <c r="AH89" s="45">
        <f>IF(OR(A89="",G89=""),"",IF(G89=0,"",SUMIFS('Recipe Ingredients'!$T$5:$T$1204,'Recipe Ingredients'!$B$5:$B$1204,A89)/G89))</f>
        <v>0</v>
      </c>
      <c r="AI89" s="45">
        <f>IF(OR(A89="",G89=""),"",IF(G89=0,"",SUMIFS('Recipe Ingredients'!$U$5:$U$1204,'Recipe Ingredients'!$B$5:$B$1204,A89)/G89))</f>
        <v>0</v>
      </c>
      <c r="AJ89" s="17">
        <f>IF(A89="","",IF(COUNTIFS('Recipe Ingredients'!$B$5:$B$1204,A89,'Recipe Ingredients'!$V$5:$V$1204,"&lt;&gt;",'Recipe Ingredients'!$V$5:$V$1204,"&lt;&gt;None")=0,"None listed",COUNTIFS('Recipe Ingredients'!$B$5:$B$1204,A89,'Recipe Ingredients'!$V$5:$V$1204,"&lt;&gt;",'Recipe Ingredients'!$V$5:$V$1204,"&lt;&gt;None")&amp;" ingredient(s) flagged"))</f>
        <v>0</v>
      </c>
      <c r="AK89" s="18">
        <f>IF(OR(AD89="",NOT(ISNUMBER(AD89))),"",COUNTIFS($AD$5:$AD$204,"&lt;"&amp;AD89)+COUNTIFS($AD$5:AD89,AD89))</f>
        <v>0</v>
      </c>
      <c r="AL89" s="18">
        <f>IF(B89="",0,IF(AND(OR(FilterDiet="Any",T89=FilterDiet),OR(FilterCategory="Any",C89=FilterCategory),OR(FilterMethod="Any",L89=FilterMethod),OR(FilterTime=0,AND(J89&lt;&gt;"",J89&lt;=FilterTime)),OR(FilterCost=0,AND(AD89&lt;&gt;"",ISNUMBER(AD89),AD89&lt;=FilterCost)),OR(FilterAllergen="Any",COUNTIFS('Recipe Ingredients'!$B$5:$B$1204,A89,'Recipe Ingredients'!$V$5:$V$1204,FilterAllergen)=0)),1,0))</f>
        <v>0</v>
      </c>
      <c r="AM89" s="18">
        <f>IF(AL89=0,"",SUM($AL$5:AL89))</f>
        <v>0</v>
      </c>
      <c r="AN89" s="18">
        <f>IF(B89="","",COUNTIFS($AZ$5:$AZ$204,"&gt;"&amp;AZ89)+COUNTIFS($AZ$5:AZ89,AZ89))</f>
        <v>0</v>
      </c>
      <c r="AO89" s="18">
        <f>IF(B89="","",COUNTIFS($AE$5:$AE$204,"&gt;"&amp;AE89)+COUNTIFS($AE$5:AE89,AE89))</f>
        <v>0</v>
      </c>
      <c r="AP89" s="18">
        <f>IF(B89="","",COUNTIFS($AF$5:$AF$204,"&gt;"&amp;AF89)+COUNTIFS($AF$5:AF89,AF89))</f>
        <v>0</v>
      </c>
      <c r="AQ89" s="18">
        <f>IF(B89="","",COUNTIFS($AI$5:$AI$204,"&gt;"&amp;AI89)+COUNTIFS($AI$5:AI89,AI89))</f>
        <v>0</v>
      </c>
      <c r="AR89" s="18">
        <f>IF(B89="","",COUNTIFS($AS$5:$AS$204,"&gt;"&amp;AS89)+COUNTIFS($AS$5:AS89,AS89))</f>
        <v>0</v>
      </c>
      <c r="AS89" s="45">
        <f>IF(B89="","",IF(BB89="",99999,BC89))</f>
        <v>0</v>
      </c>
      <c r="AT89" s="45">
        <f>IF(A89="",0,SUMIFS('Meal Plan'!$L$5:$L$504,'Meal Plan'!$G$5:$G$504,A89,'Meal Plan'!$B$5:$B$504,"&gt;="&amp;ShopFrom,'Meal Plan'!$B$5:$B$504,"&lt;="&amp;ShopTo,'Meal Plan'!$M$5:$M$504,"Yes"))</f>
        <v>0</v>
      </c>
      <c r="AU89" s="25">
        <f>IF(OR(A89="",AC89=""),"",AC89*AT89)</f>
        <v>0</v>
      </c>
      <c r="AV89" s="18">
        <f>IF(A89="","",COUNTIFS('Recipe Ingredients'!$B$5:$B$1204,A89,'Recipe Ingredients'!$N$5:$N$1204,""))</f>
        <v>0</v>
      </c>
      <c r="AZ89" s="18">
        <f>IF(A89="","",COUNTIFS('Meal Plan'!$G$5:$G$504,A89))</f>
        <v>0</v>
      </c>
      <c r="BA89" s="18">
        <f>IF(A89="","",COUNTIFS('Meal Plan'!$G$5:$G$504,A89,'Meal Plan'!$N$5:$N$504,"Prepared")+COUNTIFS('Meal Plan'!$G$5:$G$504,A89,'Meal Plan'!$N$5:$N$504,"Eaten"))</f>
        <v>0</v>
      </c>
      <c r="BB89" s="19">
        <f>IF(A89="","",IF(COUNTIFS('Meal Plan'!$G$5:$G$504,A89,'Meal Plan'!$B$5:$B$504,"&lt;="&amp;TODAY())=0,"",SUMPRODUCT(MAX(('Meal Plan'!$G$5:$G$504=A89)*('Meal Plan'!$B$5:$B$504&lt;=TODAY())*'Meal Plan'!$B$5:$B$504))))</f>
        <v>0</v>
      </c>
      <c r="BC89" s="18">
        <f>IF(BB89="","",TODAY()-BB89)</f>
        <v>0</v>
      </c>
      <c r="BF89" s="31">
        <f>IF(B89="","",IF(G89="","Add - how many does it serve?",IF(AB89=0,"Add - no ingredients listed yet",IF(AV89&gt;0,"Check - "&amp;AV89&amp;" ingredient(s) have no price",IF(AND(BC89&lt;&gt;"",BC89&lt;RotationGapDays),"Cooked recently","OK")))))</f>
        <v>0</v>
      </c>
    </row>
    <row r="90" spans="1:58">
      <c r="A90" s="39">
        <f>IF(B90="","",RecipePrefix&amp;TEXT(ROW()-4,"0000"))</f>
        <v>0</v>
      </c>
      <c r="J90" s="18">
        <f>IF(B90="","",IF(AND(H90="",I90=""),"",IF(H90="",0,H90)+IF(I90="",0,I90)))</f>
        <v>0</v>
      </c>
      <c r="K90" s="46">
        <f>IF(J90="","",IF(J90&lt;=30,"Yes","No"))</f>
        <v>0</v>
      </c>
      <c r="AB90" s="18">
        <f>IF(A90="","",COUNTIFS('Recipe Ingredients'!$B$5:$B$1204,A90))</f>
        <v>0</v>
      </c>
      <c r="AC90" s="25">
        <f>IF(A90="","",SUMIFS('Recipe Ingredients'!$N$5:$N$1204,'Recipe Ingredients'!$B$5:$B$1204,A90))</f>
        <v>0</v>
      </c>
      <c r="AD90" s="25">
        <f>IF(OR(AC90="",G90=""),"",IF(G90=0,"",AC90/G90))</f>
        <v>0</v>
      </c>
      <c r="AE90" s="30">
        <f>IF(OR(A90="",G90=""),"",IF(G90=0,"",SUMIFS('Recipe Ingredients'!$Q$5:$Q$1204,'Recipe Ingredients'!$B$5:$B$1204,A90)/G90))</f>
        <v>0</v>
      </c>
      <c r="AF90" s="45">
        <f>IF(OR(A90="",G90=""),"",IF(G90=0,"",SUMIFS('Recipe Ingredients'!$R$5:$R$1204,'Recipe Ingredients'!$B$5:$B$1204,A90)/G90))</f>
        <v>0</v>
      </c>
      <c r="AG90" s="45">
        <f>IF(OR(A90="",G90=""),"",IF(G90=0,"",SUMIFS('Recipe Ingredients'!$S$5:$S$1204,'Recipe Ingredients'!$B$5:$B$1204,A90)/G90))</f>
        <v>0</v>
      </c>
      <c r="AH90" s="45">
        <f>IF(OR(A90="",G90=""),"",IF(G90=0,"",SUMIFS('Recipe Ingredients'!$T$5:$T$1204,'Recipe Ingredients'!$B$5:$B$1204,A90)/G90))</f>
        <v>0</v>
      </c>
      <c r="AI90" s="45">
        <f>IF(OR(A90="",G90=""),"",IF(G90=0,"",SUMIFS('Recipe Ingredients'!$U$5:$U$1204,'Recipe Ingredients'!$B$5:$B$1204,A90)/G90))</f>
        <v>0</v>
      </c>
      <c r="AJ90" s="17">
        <f>IF(A90="","",IF(COUNTIFS('Recipe Ingredients'!$B$5:$B$1204,A90,'Recipe Ingredients'!$V$5:$V$1204,"&lt;&gt;",'Recipe Ingredients'!$V$5:$V$1204,"&lt;&gt;None")=0,"None listed",COUNTIFS('Recipe Ingredients'!$B$5:$B$1204,A90,'Recipe Ingredients'!$V$5:$V$1204,"&lt;&gt;",'Recipe Ingredients'!$V$5:$V$1204,"&lt;&gt;None")&amp;" ingredient(s) flagged"))</f>
        <v>0</v>
      </c>
      <c r="AK90" s="18">
        <f>IF(OR(AD90="",NOT(ISNUMBER(AD90))),"",COUNTIFS($AD$5:$AD$204,"&lt;"&amp;AD90)+COUNTIFS($AD$5:AD90,AD90))</f>
        <v>0</v>
      </c>
      <c r="AL90" s="18">
        <f>IF(B90="",0,IF(AND(OR(FilterDiet="Any",T90=FilterDiet),OR(FilterCategory="Any",C90=FilterCategory),OR(FilterMethod="Any",L90=FilterMethod),OR(FilterTime=0,AND(J90&lt;&gt;"",J90&lt;=FilterTime)),OR(FilterCost=0,AND(AD90&lt;&gt;"",ISNUMBER(AD90),AD90&lt;=FilterCost)),OR(FilterAllergen="Any",COUNTIFS('Recipe Ingredients'!$B$5:$B$1204,A90,'Recipe Ingredients'!$V$5:$V$1204,FilterAllergen)=0)),1,0))</f>
        <v>0</v>
      </c>
      <c r="AM90" s="18">
        <f>IF(AL90=0,"",SUM($AL$5:AL90))</f>
        <v>0</v>
      </c>
      <c r="AN90" s="18">
        <f>IF(B90="","",COUNTIFS($AZ$5:$AZ$204,"&gt;"&amp;AZ90)+COUNTIFS($AZ$5:AZ90,AZ90))</f>
        <v>0</v>
      </c>
      <c r="AO90" s="18">
        <f>IF(B90="","",COUNTIFS($AE$5:$AE$204,"&gt;"&amp;AE90)+COUNTIFS($AE$5:AE90,AE90))</f>
        <v>0</v>
      </c>
      <c r="AP90" s="18">
        <f>IF(B90="","",COUNTIFS($AF$5:$AF$204,"&gt;"&amp;AF90)+COUNTIFS($AF$5:AF90,AF90))</f>
        <v>0</v>
      </c>
      <c r="AQ90" s="18">
        <f>IF(B90="","",COUNTIFS($AI$5:$AI$204,"&gt;"&amp;AI90)+COUNTIFS($AI$5:AI90,AI90))</f>
        <v>0</v>
      </c>
      <c r="AR90" s="18">
        <f>IF(B90="","",COUNTIFS($AS$5:$AS$204,"&gt;"&amp;AS90)+COUNTIFS($AS$5:AS90,AS90))</f>
        <v>0</v>
      </c>
      <c r="AS90" s="45">
        <f>IF(B90="","",IF(BB90="",99999,BC90))</f>
        <v>0</v>
      </c>
      <c r="AT90" s="45">
        <f>IF(A90="",0,SUMIFS('Meal Plan'!$L$5:$L$504,'Meal Plan'!$G$5:$G$504,A90,'Meal Plan'!$B$5:$B$504,"&gt;="&amp;ShopFrom,'Meal Plan'!$B$5:$B$504,"&lt;="&amp;ShopTo,'Meal Plan'!$M$5:$M$504,"Yes"))</f>
        <v>0</v>
      </c>
      <c r="AU90" s="25">
        <f>IF(OR(A90="",AC90=""),"",AC90*AT90)</f>
        <v>0</v>
      </c>
      <c r="AV90" s="18">
        <f>IF(A90="","",COUNTIFS('Recipe Ingredients'!$B$5:$B$1204,A90,'Recipe Ingredients'!$N$5:$N$1204,""))</f>
        <v>0</v>
      </c>
      <c r="AZ90" s="18">
        <f>IF(A90="","",COUNTIFS('Meal Plan'!$G$5:$G$504,A90))</f>
        <v>0</v>
      </c>
      <c r="BA90" s="18">
        <f>IF(A90="","",COUNTIFS('Meal Plan'!$G$5:$G$504,A90,'Meal Plan'!$N$5:$N$504,"Prepared")+COUNTIFS('Meal Plan'!$G$5:$G$504,A90,'Meal Plan'!$N$5:$N$504,"Eaten"))</f>
        <v>0</v>
      </c>
      <c r="BB90" s="19">
        <f>IF(A90="","",IF(COUNTIFS('Meal Plan'!$G$5:$G$504,A90,'Meal Plan'!$B$5:$B$504,"&lt;="&amp;TODAY())=0,"",SUMPRODUCT(MAX(('Meal Plan'!$G$5:$G$504=A90)*('Meal Plan'!$B$5:$B$504&lt;=TODAY())*'Meal Plan'!$B$5:$B$504))))</f>
        <v>0</v>
      </c>
      <c r="BC90" s="18">
        <f>IF(BB90="","",TODAY()-BB90)</f>
        <v>0</v>
      </c>
      <c r="BF90" s="31">
        <f>IF(B90="","",IF(G90="","Add - how many does it serve?",IF(AB90=0,"Add - no ingredients listed yet",IF(AV90&gt;0,"Check - "&amp;AV90&amp;" ingredient(s) have no price",IF(AND(BC90&lt;&gt;"",BC90&lt;RotationGapDays),"Cooked recently","OK")))))</f>
        <v>0</v>
      </c>
    </row>
    <row r="91" spans="1:58">
      <c r="A91" s="39">
        <f>IF(B91="","",RecipePrefix&amp;TEXT(ROW()-4,"0000"))</f>
        <v>0</v>
      </c>
      <c r="J91" s="18">
        <f>IF(B91="","",IF(AND(H91="",I91=""),"",IF(H91="",0,H91)+IF(I91="",0,I91)))</f>
        <v>0</v>
      </c>
      <c r="K91" s="46">
        <f>IF(J91="","",IF(J91&lt;=30,"Yes","No"))</f>
        <v>0</v>
      </c>
      <c r="AB91" s="18">
        <f>IF(A91="","",COUNTIFS('Recipe Ingredients'!$B$5:$B$1204,A91))</f>
        <v>0</v>
      </c>
      <c r="AC91" s="25">
        <f>IF(A91="","",SUMIFS('Recipe Ingredients'!$N$5:$N$1204,'Recipe Ingredients'!$B$5:$B$1204,A91))</f>
        <v>0</v>
      </c>
      <c r="AD91" s="25">
        <f>IF(OR(AC91="",G91=""),"",IF(G91=0,"",AC91/G91))</f>
        <v>0</v>
      </c>
      <c r="AE91" s="30">
        <f>IF(OR(A91="",G91=""),"",IF(G91=0,"",SUMIFS('Recipe Ingredients'!$Q$5:$Q$1204,'Recipe Ingredients'!$B$5:$B$1204,A91)/G91))</f>
        <v>0</v>
      </c>
      <c r="AF91" s="45">
        <f>IF(OR(A91="",G91=""),"",IF(G91=0,"",SUMIFS('Recipe Ingredients'!$R$5:$R$1204,'Recipe Ingredients'!$B$5:$B$1204,A91)/G91))</f>
        <v>0</v>
      </c>
      <c r="AG91" s="45">
        <f>IF(OR(A91="",G91=""),"",IF(G91=0,"",SUMIFS('Recipe Ingredients'!$S$5:$S$1204,'Recipe Ingredients'!$B$5:$B$1204,A91)/G91))</f>
        <v>0</v>
      </c>
      <c r="AH91" s="45">
        <f>IF(OR(A91="",G91=""),"",IF(G91=0,"",SUMIFS('Recipe Ingredients'!$T$5:$T$1204,'Recipe Ingredients'!$B$5:$B$1204,A91)/G91))</f>
        <v>0</v>
      </c>
      <c r="AI91" s="45">
        <f>IF(OR(A91="",G91=""),"",IF(G91=0,"",SUMIFS('Recipe Ingredients'!$U$5:$U$1204,'Recipe Ingredients'!$B$5:$B$1204,A91)/G91))</f>
        <v>0</v>
      </c>
      <c r="AJ91" s="17">
        <f>IF(A91="","",IF(COUNTIFS('Recipe Ingredients'!$B$5:$B$1204,A91,'Recipe Ingredients'!$V$5:$V$1204,"&lt;&gt;",'Recipe Ingredients'!$V$5:$V$1204,"&lt;&gt;None")=0,"None listed",COUNTIFS('Recipe Ingredients'!$B$5:$B$1204,A91,'Recipe Ingredients'!$V$5:$V$1204,"&lt;&gt;",'Recipe Ingredients'!$V$5:$V$1204,"&lt;&gt;None")&amp;" ingredient(s) flagged"))</f>
        <v>0</v>
      </c>
      <c r="AK91" s="18">
        <f>IF(OR(AD91="",NOT(ISNUMBER(AD91))),"",COUNTIFS($AD$5:$AD$204,"&lt;"&amp;AD91)+COUNTIFS($AD$5:AD91,AD91))</f>
        <v>0</v>
      </c>
      <c r="AL91" s="18">
        <f>IF(B91="",0,IF(AND(OR(FilterDiet="Any",T91=FilterDiet),OR(FilterCategory="Any",C91=FilterCategory),OR(FilterMethod="Any",L91=FilterMethod),OR(FilterTime=0,AND(J91&lt;&gt;"",J91&lt;=FilterTime)),OR(FilterCost=0,AND(AD91&lt;&gt;"",ISNUMBER(AD91),AD91&lt;=FilterCost)),OR(FilterAllergen="Any",COUNTIFS('Recipe Ingredients'!$B$5:$B$1204,A91,'Recipe Ingredients'!$V$5:$V$1204,FilterAllergen)=0)),1,0))</f>
        <v>0</v>
      </c>
      <c r="AM91" s="18">
        <f>IF(AL91=0,"",SUM($AL$5:AL91))</f>
        <v>0</v>
      </c>
      <c r="AN91" s="18">
        <f>IF(B91="","",COUNTIFS($AZ$5:$AZ$204,"&gt;"&amp;AZ91)+COUNTIFS($AZ$5:AZ91,AZ91))</f>
        <v>0</v>
      </c>
      <c r="AO91" s="18">
        <f>IF(B91="","",COUNTIFS($AE$5:$AE$204,"&gt;"&amp;AE91)+COUNTIFS($AE$5:AE91,AE91))</f>
        <v>0</v>
      </c>
      <c r="AP91" s="18">
        <f>IF(B91="","",COUNTIFS($AF$5:$AF$204,"&gt;"&amp;AF91)+COUNTIFS($AF$5:AF91,AF91))</f>
        <v>0</v>
      </c>
      <c r="AQ91" s="18">
        <f>IF(B91="","",COUNTIFS($AI$5:$AI$204,"&gt;"&amp;AI91)+COUNTIFS($AI$5:AI91,AI91))</f>
        <v>0</v>
      </c>
      <c r="AR91" s="18">
        <f>IF(B91="","",COUNTIFS($AS$5:$AS$204,"&gt;"&amp;AS91)+COUNTIFS($AS$5:AS91,AS91))</f>
        <v>0</v>
      </c>
      <c r="AS91" s="45">
        <f>IF(B91="","",IF(BB91="",99999,BC91))</f>
        <v>0</v>
      </c>
      <c r="AT91" s="45">
        <f>IF(A91="",0,SUMIFS('Meal Plan'!$L$5:$L$504,'Meal Plan'!$G$5:$G$504,A91,'Meal Plan'!$B$5:$B$504,"&gt;="&amp;ShopFrom,'Meal Plan'!$B$5:$B$504,"&lt;="&amp;ShopTo,'Meal Plan'!$M$5:$M$504,"Yes"))</f>
        <v>0</v>
      </c>
      <c r="AU91" s="25">
        <f>IF(OR(A91="",AC91=""),"",AC91*AT91)</f>
        <v>0</v>
      </c>
      <c r="AV91" s="18">
        <f>IF(A91="","",COUNTIFS('Recipe Ingredients'!$B$5:$B$1204,A91,'Recipe Ingredients'!$N$5:$N$1204,""))</f>
        <v>0</v>
      </c>
      <c r="AZ91" s="18">
        <f>IF(A91="","",COUNTIFS('Meal Plan'!$G$5:$G$504,A91))</f>
        <v>0</v>
      </c>
      <c r="BA91" s="18">
        <f>IF(A91="","",COUNTIFS('Meal Plan'!$G$5:$G$504,A91,'Meal Plan'!$N$5:$N$504,"Prepared")+COUNTIFS('Meal Plan'!$G$5:$G$504,A91,'Meal Plan'!$N$5:$N$504,"Eaten"))</f>
        <v>0</v>
      </c>
      <c r="BB91" s="19">
        <f>IF(A91="","",IF(COUNTIFS('Meal Plan'!$G$5:$G$504,A91,'Meal Plan'!$B$5:$B$504,"&lt;="&amp;TODAY())=0,"",SUMPRODUCT(MAX(('Meal Plan'!$G$5:$G$504=A91)*('Meal Plan'!$B$5:$B$504&lt;=TODAY())*'Meal Plan'!$B$5:$B$504))))</f>
        <v>0</v>
      </c>
      <c r="BC91" s="18">
        <f>IF(BB91="","",TODAY()-BB91)</f>
        <v>0</v>
      </c>
      <c r="BF91" s="31">
        <f>IF(B91="","",IF(G91="","Add - how many does it serve?",IF(AB91=0,"Add - no ingredients listed yet",IF(AV91&gt;0,"Check - "&amp;AV91&amp;" ingredient(s) have no price",IF(AND(BC91&lt;&gt;"",BC91&lt;RotationGapDays),"Cooked recently","OK")))))</f>
        <v>0</v>
      </c>
    </row>
    <row r="92" spans="1:58">
      <c r="A92" s="39">
        <f>IF(B92="","",RecipePrefix&amp;TEXT(ROW()-4,"0000"))</f>
        <v>0</v>
      </c>
      <c r="J92" s="18">
        <f>IF(B92="","",IF(AND(H92="",I92=""),"",IF(H92="",0,H92)+IF(I92="",0,I92)))</f>
        <v>0</v>
      </c>
      <c r="K92" s="46">
        <f>IF(J92="","",IF(J92&lt;=30,"Yes","No"))</f>
        <v>0</v>
      </c>
      <c r="AB92" s="18">
        <f>IF(A92="","",COUNTIFS('Recipe Ingredients'!$B$5:$B$1204,A92))</f>
        <v>0</v>
      </c>
      <c r="AC92" s="25">
        <f>IF(A92="","",SUMIFS('Recipe Ingredients'!$N$5:$N$1204,'Recipe Ingredients'!$B$5:$B$1204,A92))</f>
        <v>0</v>
      </c>
      <c r="AD92" s="25">
        <f>IF(OR(AC92="",G92=""),"",IF(G92=0,"",AC92/G92))</f>
        <v>0</v>
      </c>
      <c r="AE92" s="30">
        <f>IF(OR(A92="",G92=""),"",IF(G92=0,"",SUMIFS('Recipe Ingredients'!$Q$5:$Q$1204,'Recipe Ingredients'!$B$5:$B$1204,A92)/G92))</f>
        <v>0</v>
      </c>
      <c r="AF92" s="45">
        <f>IF(OR(A92="",G92=""),"",IF(G92=0,"",SUMIFS('Recipe Ingredients'!$R$5:$R$1204,'Recipe Ingredients'!$B$5:$B$1204,A92)/G92))</f>
        <v>0</v>
      </c>
      <c r="AG92" s="45">
        <f>IF(OR(A92="",G92=""),"",IF(G92=0,"",SUMIFS('Recipe Ingredients'!$S$5:$S$1204,'Recipe Ingredients'!$B$5:$B$1204,A92)/G92))</f>
        <v>0</v>
      </c>
      <c r="AH92" s="45">
        <f>IF(OR(A92="",G92=""),"",IF(G92=0,"",SUMIFS('Recipe Ingredients'!$T$5:$T$1204,'Recipe Ingredients'!$B$5:$B$1204,A92)/G92))</f>
        <v>0</v>
      </c>
      <c r="AI92" s="45">
        <f>IF(OR(A92="",G92=""),"",IF(G92=0,"",SUMIFS('Recipe Ingredients'!$U$5:$U$1204,'Recipe Ingredients'!$B$5:$B$1204,A92)/G92))</f>
        <v>0</v>
      </c>
      <c r="AJ92" s="17">
        <f>IF(A92="","",IF(COUNTIFS('Recipe Ingredients'!$B$5:$B$1204,A92,'Recipe Ingredients'!$V$5:$V$1204,"&lt;&gt;",'Recipe Ingredients'!$V$5:$V$1204,"&lt;&gt;None")=0,"None listed",COUNTIFS('Recipe Ingredients'!$B$5:$B$1204,A92,'Recipe Ingredients'!$V$5:$V$1204,"&lt;&gt;",'Recipe Ingredients'!$V$5:$V$1204,"&lt;&gt;None")&amp;" ingredient(s) flagged"))</f>
        <v>0</v>
      </c>
      <c r="AK92" s="18">
        <f>IF(OR(AD92="",NOT(ISNUMBER(AD92))),"",COUNTIFS($AD$5:$AD$204,"&lt;"&amp;AD92)+COUNTIFS($AD$5:AD92,AD92))</f>
        <v>0</v>
      </c>
      <c r="AL92" s="18">
        <f>IF(B92="",0,IF(AND(OR(FilterDiet="Any",T92=FilterDiet),OR(FilterCategory="Any",C92=FilterCategory),OR(FilterMethod="Any",L92=FilterMethod),OR(FilterTime=0,AND(J92&lt;&gt;"",J92&lt;=FilterTime)),OR(FilterCost=0,AND(AD92&lt;&gt;"",ISNUMBER(AD92),AD92&lt;=FilterCost)),OR(FilterAllergen="Any",COUNTIFS('Recipe Ingredients'!$B$5:$B$1204,A92,'Recipe Ingredients'!$V$5:$V$1204,FilterAllergen)=0)),1,0))</f>
        <v>0</v>
      </c>
      <c r="AM92" s="18">
        <f>IF(AL92=0,"",SUM($AL$5:AL92))</f>
        <v>0</v>
      </c>
      <c r="AN92" s="18">
        <f>IF(B92="","",COUNTIFS($AZ$5:$AZ$204,"&gt;"&amp;AZ92)+COUNTIFS($AZ$5:AZ92,AZ92))</f>
        <v>0</v>
      </c>
      <c r="AO92" s="18">
        <f>IF(B92="","",COUNTIFS($AE$5:$AE$204,"&gt;"&amp;AE92)+COUNTIFS($AE$5:AE92,AE92))</f>
        <v>0</v>
      </c>
      <c r="AP92" s="18">
        <f>IF(B92="","",COUNTIFS($AF$5:$AF$204,"&gt;"&amp;AF92)+COUNTIFS($AF$5:AF92,AF92))</f>
        <v>0</v>
      </c>
      <c r="AQ92" s="18">
        <f>IF(B92="","",COUNTIFS($AI$5:$AI$204,"&gt;"&amp;AI92)+COUNTIFS($AI$5:AI92,AI92))</f>
        <v>0</v>
      </c>
      <c r="AR92" s="18">
        <f>IF(B92="","",COUNTIFS($AS$5:$AS$204,"&gt;"&amp;AS92)+COUNTIFS($AS$5:AS92,AS92))</f>
        <v>0</v>
      </c>
      <c r="AS92" s="45">
        <f>IF(B92="","",IF(BB92="",99999,BC92))</f>
        <v>0</v>
      </c>
      <c r="AT92" s="45">
        <f>IF(A92="",0,SUMIFS('Meal Plan'!$L$5:$L$504,'Meal Plan'!$G$5:$G$504,A92,'Meal Plan'!$B$5:$B$504,"&gt;="&amp;ShopFrom,'Meal Plan'!$B$5:$B$504,"&lt;="&amp;ShopTo,'Meal Plan'!$M$5:$M$504,"Yes"))</f>
        <v>0</v>
      </c>
      <c r="AU92" s="25">
        <f>IF(OR(A92="",AC92=""),"",AC92*AT92)</f>
        <v>0</v>
      </c>
      <c r="AV92" s="18">
        <f>IF(A92="","",COUNTIFS('Recipe Ingredients'!$B$5:$B$1204,A92,'Recipe Ingredients'!$N$5:$N$1204,""))</f>
        <v>0</v>
      </c>
      <c r="AZ92" s="18">
        <f>IF(A92="","",COUNTIFS('Meal Plan'!$G$5:$G$504,A92))</f>
        <v>0</v>
      </c>
      <c r="BA92" s="18">
        <f>IF(A92="","",COUNTIFS('Meal Plan'!$G$5:$G$504,A92,'Meal Plan'!$N$5:$N$504,"Prepared")+COUNTIFS('Meal Plan'!$G$5:$G$504,A92,'Meal Plan'!$N$5:$N$504,"Eaten"))</f>
        <v>0</v>
      </c>
      <c r="BB92" s="19">
        <f>IF(A92="","",IF(COUNTIFS('Meal Plan'!$G$5:$G$504,A92,'Meal Plan'!$B$5:$B$504,"&lt;="&amp;TODAY())=0,"",SUMPRODUCT(MAX(('Meal Plan'!$G$5:$G$504=A92)*('Meal Plan'!$B$5:$B$504&lt;=TODAY())*'Meal Plan'!$B$5:$B$504))))</f>
        <v>0</v>
      </c>
      <c r="BC92" s="18">
        <f>IF(BB92="","",TODAY()-BB92)</f>
        <v>0</v>
      </c>
      <c r="BF92" s="31">
        <f>IF(B92="","",IF(G92="","Add - how many does it serve?",IF(AB92=0,"Add - no ingredients listed yet",IF(AV92&gt;0,"Check - "&amp;AV92&amp;" ingredient(s) have no price",IF(AND(BC92&lt;&gt;"",BC92&lt;RotationGapDays),"Cooked recently","OK")))))</f>
        <v>0</v>
      </c>
    </row>
    <row r="93" spans="1:58">
      <c r="A93" s="39">
        <f>IF(B93="","",RecipePrefix&amp;TEXT(ROW()-4,"0000"))</f>
        <v>0</v>
      </c>
      <c r="J93" s="18">
        <f>IF(B93="","",IF(AND(H93="",I93=""),"",IF(H93="",0,H93)+IF(I93="",0,I93)))</f>
        <v>0</v>
      </c>
      <c r="K93" s="46">
        <f>IF(J93="","",IF(J93&lt;=30,"Yes","No"))</f>
        <v>0</v>
      </c>
      <c r="AB93" s="18">
        <f>IF(A93="","",COUNTIFS('Recipe Ingredients'!$B$5:$B$1204,A93))</f>
        <v>0</v>
      </c>
      <c r="AC93" s="25">
        <f>IF(A93="","",SUMIFS('Recipe Ingredients'!$N$5:$N$1204,'Recipe Ingredients'!$B$5:$B$1204,A93))</f>
        <v>0</v>
      </c>
      <c r="AD93" s="25">
        <f>IF(OR(AC93="",G93=""),"",IF(G93=0,"",AC93/G93))</f>
        <v>0</v>
      </c>
      <c r="AE93" s="30">
        <f>IF(OR(A93="",G93=""),"",IF(G93=0,"",SUMIFS('Recipe Ingredients'!$Q$5:$Q$1204,'Recipe Ingredients'!$B$5:$B$1204,A93)/G93))</f>
        <v>0</v>
      </c>
      <c r="AF93" s="45">
        <f>IF(OR(A93="",G93=""),"",IF(G93=0,"",SUMIFS('Recipe Ingredients'!$R$5:$R$1204,'Recipe Ingredients'!$B$5:$B$1204,A93)/G93))</f>
        <v>0</v>
      </c>
      <c r="AG93" s="45">
        <f>IF(OR(A93="",G93=""),"",IF(G93=0,"",SUMIFS('Recipe Ingredients'!$S$5:$S$1204,'Recipe Ingredients'!$B$5:$B$1204,A93)/G93))</f>
        <v>0</v>
      </c>
      <c r="AH93" s="45">
        <f>IF(OR(A93="",G93=""),"",IF(G93=0,"",SUMIFS('Recipe Ingredients'!$T$5:$T$1204,'Recipe Ingredients'!$B$5:$B$1204,A93)/G93))</f>
        <v>0</v>
      </c>
      <c r="AI93" s="45">
        <f>IF(OR(A93="",G93=""),"",IF(G93=0,"",SUMIFS('Recipe Ingredients'!$U$5:$U$1204,'Recipe Ingredients'!$B$5:$B$1204,A93)/G93))</f>
        <v>0</v>
      </c>
      <c r="AJ93" s="17">
        <f>IF(A93="","",IF(COUNTIFS('Recipe Ingredients'!$B$5:$B$1204,A93,'Recipe Ingredients'!$V$5:$V$1204,"&lt;&gt;",'Recipe Ingredients'!$V$5:$V$1204,"&lt;&gt;None")=0,"None listed",COUNTIFS('Recipe Ingredients'!$B$5:$B$1204,A93,'Recipe Ingredients'!$V$5:$V$1204,"&lt;&gt;",'Recipe Ingredients'!$V$5:$V$1204,"&lt;&gt;None")&amp;" ingredient(s) flagged"))</f>
        <v>0</v>
      </c>
      <c r="AK93" s="18">
        <f>IF(OR(AD93="",NOT(ISNUMBER(AD93))),"",COUNTIFS($AD$5:$AD$204,"&lt;"&amp;AD93)+COUNTIFS($AD$5:AD93,AD93))</f>
        <v>0</v>
      </c>
      <c r="AL93" s="18">
        <f>IF(B93="",0,IF(AND(OR(FilterDiet="Any",T93=FilterDiet),OR(FilterCategory="Any",C93=FilterCategory),OR(FilterMethod="Any",L93=FilterMethod),OR(FilterTime=0,AND(J93&lt;&gt;"",J93&lt;=FilterTime)),OR(FilterCost=0,AND(AD93&lt;&gt;"",ISNUMBER(AD93),AD93&lt;=FilterCost)),OR(FilterAllergen="Any",COUNTIFS('Recipe Ingredients'!$B$5:$B$1204,A93,'Recipe Ingredients'!$V$5:$V$1204,FilterAllergen)=0)),1,0))</f>
        <v>0</v>
      </c>
      <c r="AM93" s="18">
        <f>IF(AL93=0,"",SUM($AL$5:AL93))</f>
        <v>0</v>
      </c>
      <c r="AN93" s="18">
        <f>IF(B93="","",COUNTIFS($AZ$5:$AZ$204,"&gt;"&amp;AZ93)+COUNTIFS($AZ$5:AZ93,AZ93))</f>
        <v>0</v>
      </c>
      <c r="AO93" s="18">
        <f>IF(B93="","",COUNTIFS($AE$5:$AE$204,"&gt;"&amp;AE93)+COUNTIFS($AE$5:AE93,AE93))</f>
        <v>0</v>
      </c>
      <c r="AP93" s="18">
        <f>IF(B93="","",COUNTIFS($AF$5:$AF$204,"&gt;"&amp;AF93)+COUNTIFS($AF$5:AF93,AF93))</f>
        <v>0</v>
      </c>
      <c r="AQ93" s="18">
        <f>IF(B93="","",COUNTIFS($AI$5:$AI$204,"&gt;"&amp;AI93)+COUNTIFS($AI$5:AI93,AI93))</f>
        <v>0</v>
      </c>
      <c r="AR93" s="18">
        <f>IF(B93="","",COUNTIFS($AS$5:$AS$204,"&gt;"&amp;AS93)+COUNTIFS($AS$5:AS93,AS93))</f>
        <v>0</v>
      </c>
      <c r="AS93" s="45">
        <f>IF(B93="","",IF(BB93="",99999,BC93))</f>
        <v>0</v>
      </c>
      <c r="AT93" s="45">
        <f>IF(A93="",0,SUMIFS('Meal Plan'!$L$5:$L$504,'Meal Plan'!$G$5:$G$504,A93,'Meal Plan'!$B$5:$B$504,"&gt;="&amp;ShopFrom,'Meal Plan'!$B$5:$B$504,"&lt;="&amp;ShopTo,'Meal Plan'!$M$5:$M$504,"Yes"))</f>
        <v>0</v>
      </c>
      <c r="AU93" s="25">
        <f>IF(OR(A93="",AC93=""),"",AC93*AT93)</f>
        <v>0</v>
      </c>
      <c r="AV93" s="18">
        <f>IF(A93="","",COUNTIFS('Recipe Ingredients'!$B$5:$B$1204,A93,'Recipe Ingredients'!$N$5:$N$1204,""))</f>
        <v>0</v>
      </c>
      <c r="AZ93" s="18">
        <f>IF(A93="","",COUNTIFS('Meal Plan'!$G$5:$G$504,A93))</f>
        <v>0</v>
      </c>
      <c r="BA93" s="18">
        <f>IF(A93="","",COUNTIFS('Meal Plan'!$G$5:$G$504,A93,'Meal Plan'!$N$5:$N$504,"Prepared")+COUNTIFS('Meal Plan'!$G$5:$G$504,A93,'Meal Plan'!$N$5:$N$504,"Eaten"))</f>
        <v>0</v>
      </c>
      <c r="BB93" s="19">
        <f>IF(A93="","",IF(COUNTIFS('Meal Plan'!$G$5:$G$504,A93,'Meal Plan'!$B$5:$B$504,"&lt;="&amp;TODAY())=0,"",SUMPRODUCT(MAX(('Meal Plan'!$G$5:$G$504=A93)*('Meal Plan'!$B$5:$B$504&lt;=TODAY())*'Meal Plan'!$B$5:$B$504))))</f>
        <v>0</v>
      </c>
      <c r="BC93" s="18">
        <f>IF(BB93="","",TODAY()-BB93)</f>
        <v>0</v>
      </c>
      <c r="BF93" s="31">
        <f>IF(B93="","",IF(G93="","Add - how many does it serve?",IF(AB93=0,"Add - no ingredients listed yet",IF(AV93&gt;0,"Check - "&amp;AV93&amp;" ingredient(s) have no price",IF(AND(BC93&lt;&gt;"",BC93&lt;RotationGapDays),"Cooked recently","OK")))))</f>
        <v>0</v>
      </c>
    </row>
    <row r="94" spans="1:58">
      <c r="A94" s="39">
        <f>IF(B94="","",RecipePrefix&amp;TEXT(ROW()-4,"0000"))</f>
        <v>0</v>
      </c>
      <c r="J94" s="18">
        <f>IF(B94="","",IF(AND(H94="",I94=""),"",IF(H94="",0,H94)+IF(I94="",0,I94)))</f>
        <v>0</v>
      </c>
      <c r="K94" s="46">
        <f>IF(J94="","",IF(J94&lt;=30,"Yes","No"))</f>
        <v>0</v>
      </c>
      <c r="AB94" s="18">
        <f>IF(A94="","",COUNTIFS('Recipe Ingredients'!$B$5:$B$1204,A94))</f>
        <v>0</v>
      </c>
      <c r="AC94" s="25">
        <f>IF(A94="","",SUMIFS('Recipe Ingredients'!$N$5:$N$1204,'Recipe Ingredients'!$B$5:$B$1204,A94))</f>
        <v>0</v>
      </c>
      <c r="AD94" s="25">
        <f>IF(OR(AC94="",G94=""),"",IF(G94=0,"",AC94/G94))</f>
        <v>0</v>
      </c>
      <c r="AE94" s="30">
        <f>IF(OR(A94="",G94=""),"",IF(G94=0,"",SUMIFS('Recipe Ingredients'!$Q$5:$Q$1204,'Recipe Ingredients'!$B$5:$B$1204,A94)/G94))</f>
        <v>0</v>
      </c>
      <c r="AF94" s="45">
        <f>IF(OR(A94="",G94=""),"",IF(G94=0,"",SUMIFS('Recipe Ingredients'!$R$5:$R$1204,'Recipe Ingredients'!$B$5:$B$1204,A94)/G94))</f>
        <v>0</v>
      </c>
      <c r="AG94" s="45">
        <f>IF(OR(A94="",G94=""),"",IF(G94=0,"",SUMIFS('Recipe Ingredients'!$S$5:$S$1204,'Recipe Ingredients'!$B$5:$B$1204,A94)/G94))</f>
        <v>0</v>
      </c>
      <c r="AH94" s="45">
        <f>IF(OR(A94="",G94=""),"",IF(G94=0,"",SUMIFS('Recipe Ingredients'!$T$5:$T$1204,'Recipe Ingredients'!$B$5:$B$1204,A94)/G94))</f>
        <v>0</v>
      </c>
      <c r="AI94" s="45">
        <f>IF(OR(A94="",G94=""),"",IF(G94=0,"",SUMIFS('Recipe Ingredients'!$U$5:$U$1204,'Recipe Ingredients'!$B$5:$B$1204,A94)/G94))</f>
        <v>0</v>
      </c>
      <c r="AJ94" s="17">
        <f>IF(A94="","",IF(COUNTIFS('Recipe Ingredients'!$B$5:$B$1204,A94,'Recipe Ingredients'!$V$5:$V$1204,"&lt;&gt;",'Recipe Ingredients'!$V$5:$V$1204,"&lt;&gt;None")=0,"None listed",COUNTIFS('Recipe Ingredients'!$B$5:$B$1204,A94,'Recipe Ingredients'!$V$5:$V$1204,"&lt;&gt;",'Recipe Ingredients'!$V$5:$V$1204,"&lt;&gt;None")&amp;" ingredient(s) flagged"))</f>
        <v>0</v>
      </c>
      <c r="AK94" s="18">
        <f>IF(OR(AD94="",NOT(ISNUMBER(AD94))),"",COUNTIFS($AD$5:$AD$204,"&lt;"&amp;AD94)+COUNTIFS($AD$5:AD94,AD94))</f>
        <v>0</v>
      </c>
      <c r="AL94" s="18">
        <f>IF(B94="",0,IF(AND(OR(FilterDiet="Any",T94=FilterDiet),OR(FilterCategory="Any",C94=FilterCategory),OR(FilterMethod="Any",L94=FilterMethod),OR(FilterTime=0,AND(J94&lt;&gt;"",J94&lt;=FilterTime)),OR(FilterCost=0,AND(AD94&lt;&gt;"",ISNUMBER(AD94),AD94&lt;=FilterCost)),OR(FilterAllergen="Any",COUNTIFS('Recipe Ingredients'!$B$5:$B$1204,A94,'Recipe Ingredients'!$V$5:$V$1204,FilterAllergen)=0)),1,0))</f>
        <v>0</v>
      </c>
      <c r="AM94" s="18">
        <f>IF(AL94=0,"",SUM($AL$5:AL94))</f>
        <v>0</v>
      </c>
      <c r="AN94" s="18">
        <f>IF(B94="","",COUNTIFS($AZ$5:$AZ$204,"&gt;"&amp;AZ94)+COUNTIFS($AZ$5:AZ94,AZ94))</f>
        <v>0</v>
      </c>
      <c r="AO94" s="18">
        <f>IF(B94="","",COUNTIFS($AE$5:$AE$204,"&gt;"&amp;AE94)+COUNTIFS($AE$5:AE94,AE94))</f>
        <v>0</v>
      </c>
      <c r="AP94" s="18">
        <f>IF(B94="","",COUNTIFS($AF$5:$AF$204,"&gt;"&amp;AF94)+COUNTIFS($AF$5:AF94,AF94))</f>
        <v>0</v>
      </c>
      <c r="AQ94" s="18">
        <f>IF(B94="","",COUNTIFS($AI$5:$AI$204,"&gt;"&amp;AI94)+COUNTIFS($AI$5:AI94,AI94))</f>
        <v>0</v>
      </c>
      <c r="AR94" s="18">
        <f>IF(B94="","",COUNTIFS($AS$5:$AS$204,"&gt;"&amp;AS94)+COUNTIFS($AS$5:AS94,AS94))</f>
        <v>0</v>
      </c>
      <c r="AS94" s="45">
        <f>IF(B94="","",IF(BB94="",99999,BC94))</f>
        <v>0</v>
      </c>
      <c r="AT94" s="45">
        <f>IF(A94="",0,SUMIFS('Meal Plan'!$L$5:$L$504,'Meal Plan'!$G$5:$G$504,A94,'Meal Plan'!$B$5:$B$504,"&gt;="&amp;ShopFrom,'Meal Plan'!$B$5:$B$504,"&lt;="&amp;ShopTo,'Meal Plan'!$M$5:$M$504,"Yes"))</f>
        <v>0</v>
      </c>
      <c r="AU94" s="25">
        <f>IF(OR(A94="",AC94=""),"",AC94*AT94)</f>
        <v>0</v>
      </c>
      <c r="AV94" s="18">
        <f>IF(A94="","",COUNTIFS('Recipe Ingredients'!$B$5:$B$1204,A94,'Recipe Ingredients'!$N$5:$N$1204,""))</f>
        <v>0</v>
      </c>
      <c r="AZ94" s="18">
        <f>IF(A94="","",COUNTIFS('Meal Plan'!$G$5:$G$504,A94))</f>
        <v>0</v>
      </c>
      <c r="BA94" s="18">
        <f>IF(A94="","",COUNTIFS('Meal Plan'!$G$5:$G$504,A94,'Meal Plan'!$N$5:$N$504,"Prepared")+COUNTIFS('Meal Plan'!$G$5:$G$504,A94,'Meal Plan'!$N$5:$N$504,"Eaten"))</f>
        <v>0</v>
      </c>
      <c r="BB94" s="19">
        <f>IF(A94="","",IF(COUNTIFS('Meal Plan'!$G$5:$G$504,A94,'Meal Plan'!$B$5:$B$504,"&lt;="&amp;TODAY())=0,"",SUMPRODUCT(MAX(('Meal Plan'!$G$5:$G$504=A94)*('Meal Plan'!$B$5:$B$504&lt;=TODAY())*'Meal Plan'!$B$5:$B$504))))</f>
        <v>0</v>
      </c>
      <c r="BC94" s="18">
        <f>IF(BB94="","",TODAY()-BB94)</f>
        <v>0</v>
      </c>
      <c r="BF94" s="31">
        <f>IF(B94="","",IF(G94="","Add - how many does it serve?",IF(AB94=0,"Add - no ingredients listed yet",IF(AV94&gt;0,"Check - "&amp;AV94&amp;" ingredient(s) have no price",IF(AND(BC94&lt;&gt;"",BC94&lt;RotationGapDays),"Cooked recently","OK")))))</f>
        <v>0</v>
      </c>
    </row>
    <row r="95" spans="1:58">
      <c r="A95" s="39">
        <f>IF(B95="","",RecipePrefix&amp;TEXT(ROW()-4,"0000"))</f>
        <v>0</v>
      </c>
      <c r="J95" s="18">
        <f>IF(B95="","",IF(AND(H95="",I95=""),"",IF(H95="",0,H95)+IF(I95="",0,I95)))</f>
        <v>0</v>
      </c>
      <c r="K95" s="46">
        <f>IF(J95="","",IF(J95&lt;=30,"Yes","No"))</f>
        <v>0</v>
      </c>
      <c r="AB95" s="18">
        <f>IF(A95="","",COUNTIFS('Recipe Ingredients'!$B$5:$B$1204,A95))</f>
        <v>0</v>
      </c>
      <c r="AC95" s="25">
        <f>IF(A95="","",SUMIFS('Recipe Ingredients'!$N$5:$N$1204,'Recipe Ingredients'!$B$5:$B$1204,A95))</f>
        <v>0</v>
      </c>
      <c r="AD95" s="25">
        <f>IF(OR(AC95="",G95=""),"",IF(G95=0,"",AC95/G95))</f>
        <v>0</v>
      </c>
      <c r="AE95" s="30">
        <f>IF(OR(A95="",G95=""),"",IF(G95=0,"",SUMIFS('Recipe Ingredients'!$Q$5:$Q$1204,'Recipe Ingredients'!$B$5:$B$1204,A95)/G95))</f>
        <v>0</v>
      </c>
      <c r="AF95" s="45">
        <f>IF(OR(A95="",G95=""),"",IF(G95=0,"",SUMIFS('Recipe Ingredients'!$R$5:$R$1204,'Recipe Ingredients'!$B$5:$B$1204,A95)/G95))</f>
        <v>0</v>
      </c>
      <c r="AG95" s="45">
        <f>IF(OR(A95="",G95=""),"",IF(G95=0,"",SUMIFS('Recipe Ingredients'!$S$5:$S$1204,'Recipe Ingredients'!$B$5:$B$1204,A95)/G95))</f>
        <v>0</v>
      </c>
      <c r="AH95" s="45">
        <f>IF(OR(A95="",G95=""),"",IF(G95=0,"",SUMIFS('Recipe Ingredients'!$T$5:$T$1204,'Recipe Ingredients'!$B$5:$B$1204,A95)/G95))</f>
        <v>0</v>
      </c>
      <c r="AI95" s="45">
        <f>IF(OR(A95="",G95=""),"",IF(G95=0,"",SUMIFS('Recipe Ingredients'!$U$5:$U$1204,'Recipe Ingredients'!$B$5:$B$1204,A95)/G95))</f>
        <v>0</v>
      </c>
      <c r="AJ95" s="17">
        <f>IF(A95="","",IF(COUNTIFS('Recipe Ingredients'!$B$5:$B$1204,A95,'Recipe Ingredients'!$V$5:$V$1204,"&lt;&gt;",'Recipe Ingredients'!$V$5:$V$1204,"&lt;&gt;None")=0,"None listed",COUNTIFS('Recipe Ingredients'!$B$5:$B$1204,A95,'Recipe Ingredients'!$V$5:$V$1204,"&lt;&gt;",'Recipe Ingredients'!$V$5:$V$1204,"&lt;&gt;None")&amp;" ingredient(s) flagged"))</f>
        <v>0</v>
      </c>
      <c r="AK95" s="18">
        <f>IF(OR(AD95="",NOT(ISNUMBER(AD95))),"",COUNTIFS($AD$5:$AD$204,"&lt;"&amp;AD95)+COUNTIFS($AD$5:AD95,AD95))</f>
        <v>0</v>
      </c>
      <c r="AL95" s="18">
        <f>IF(B95="",0,IF(AND(OR(FilterDiet="Any",T95=FilterDiet),OR(FilterCategory="Any",C95=FilterCategory),OR(FilterMethod="Any",L95=FilterMethod),OR(FilterTime=0,AND(J95&lt;&gt;"",J95&lt;=FilterTime)),OR(FilterCost=0,AND(AD95&lt;&gt;"",ISNUMBER(AD95),AD95&lt;=FilterCost)),OR(FilterAllergen="Any",COUNTIFS('Recipe Ingredients'!$B$5:$B$1204,A95,'Recipe Ingredients'!$V$5:$V$1204,FilterAllergen)=0)),1,0))</f>
        <v>0</v>
      </c>
      <c r="AM95" s="18">
        <f>IF(AL95=0,"",SUM($AL$5:AL95))</f>
        <v>0</v>
      </c>
      <c r="AN95" s="18">
        <f>IF(B95="","",COUNTIFS($AZ$5:$AZ$204,"&gt;"&amp;AZ95)+COUNTIFS($AZ$5:AZ95,AZ95))</f>
        <v>0</v>
      </c>
      <c r="AO95" s="18">
        <f>IF(B95="","",COUNTIFS($AE$5:$AE$204,"&gt;"&amp;AE95)+COUNTIFS($AE$5:AE95,AE95))</f>
        <v>0</v>
      </c>
      <c r="AP95" s="18">
        <f>IF(B95="","",COUNTIFS($AF$5:$AF$204,"&gt;"&amp;AF95)+COUNTIFS($AF$5:AF95,AF95))</f>
        <v>0</v>
      </c>
      <c r="AQ95" s="18">
        <f>IF(B95="","",COUNTIFS($AI$5:$AI$204,"&gt;"&amp;AI95)+COUNTIFS($AI$5:AI95,AI95))</f>
        <v>0</v>
      </c>
      <c r="AR95" s="18">
        <f>IF(B95="","",COUNTIFS($AS$5:$AS$204,"&gt;"&amp;AS95)+COUNTIFS($AS$5:AS95,AS95))</f>
        <v>0</v>
      </c>
      <c r="AS95" s="45">
        <f>IF(B95="","",IF(BB95="",99999,BC95))</f>
        <v>0</v>
      </c>
      <c r="AT95" s="45">
        <f>IF(A95="",0,SUMIFS('Meal Plan'!$L$5:$L$504,'Meal Plan'!$G$5:$G$504,A95,'Meal Plan'!$B$5:$B$504,"&gt;="&amp;ShopFrom,'Meal Plan'!$B$5:$B$504,"&lt;="&amp;ShopTo,'Meal Plan'!$M$5:$M$504,"Yes"))</f>
        <v>0</v>
      </c>
      <c r="AU95" s="25">
        <f>IF(OR(A95="",AC95=""),"",AC95*AT95)</f>
        <v>0</v>
      </c>
      <c r="AV95" s="18">
        <f>IF(A95="","",COUNTIFS('Recipe Ingredients'!$B$5:$B$1204,A95,'Recipe Ingredients'!$N$5:$N$1204,""))</f>
        <v>0</v>
      </c>
      <c r="AZ95" s="18">
        <f>IF(A95="","",COUNTIFS('Meal Plan'!$G$5:$G$504,A95))</f>
        <v>0</v>
      </c>
      <c r="BA95" s="18">
        <f>IF(A95="","",COUNTIFS('Meal Plan'!$G$5:$G$504,A95,'Meal Plan'!$N$5:$N$504,"Prepared")+COUNTIFS('Meal Plan'!$G$5:$G$504,A95,'Meal Plan'!$N$5:$N$504,"Eaten"))</f>
        <v>0</v>
      </c>
      <c r="BB95" s="19">
        <f>IF(A95="","",IF(COUNTIFS('Meal Plan'!$G$5:$G$504,A95,'Meal Plan'!$B$5:$B$504,"&lt;="&amp;TODAY())=0,"",SUMPRODUCT(MAX(('Meal Plan'!$G$5:$G$504=A95)*('Meal Plan'!$B$5:$B$504&lt;=TODAY())*'Meal Plan'!$B$5:$B$504))))</f>
        <v>0</v>
      </c>
      <c r="BC95" s="18">
        <f>IF(BB95="","",TODAY()-BB95)</f>
        <v>0</v>
      </c>
      <c r="BF95" s="31">
        <f>IF(B95="","",IF(G95="","Add - how many does it serve?",IF(AB95=0,"Add - no ingredients listed yet",IF(AV95&gt;0,"Check - "&amp;AV95&amp;" ingredient(s) have no price",IF(AND(BC95&lt;&gt;"",BC95&lt;RotationGapDays),"Cooked recently","OK")))))</f>
        <v>0</v>
      </c>
    </row>
    <row r="96" spans="1:58">
      <c r="A96" s="39">
        <f>IF(B96="","",RecipePrefix&amp;TEXT(ROW()-4,"0000"))</f>
        <v>0</v>
      </c>
      <c r="J96" s="18">
        <f>IF(B96="","",IF(AND(H96="",I96=""),"",IF(H96="",0,H96)+IF(I96="",0,I96)))</f>
        <v>0</v>
      </c>
      <c r="K96" s="46">
        <f>IF(J96="","",IF(J96&lt;=30,"Yes","No"))</f>
        <v>0</v>
      </c>
      <c r="AB96" s="18">
        <f>IF(A96="","",COUNTIFS('Recipe Ingredients'!$B$5:$B$1204,A96))</f>
        <v>0</v>
      </c>
      <c r="AC96" s="25">
        <f>IF(A96="","",SUMIFS('Recipe Ingredients'!$N$5:$N$1204,'Recipe Ingredients'!$B$5:$B$1204,A96))</f>
        <v>0</v>
      </c>
      <c r="AD96" s="25">
        <f>IF(OR(AC96="",G96=""),"",IF(G96=0,"",AC96/G96))</f>
        <v>0</v>
      </c>
      <c r="AE96" s="30">
        <f>IF(OR(A96="",G96=""),"",IF(G96=0,"",SUMIFS('Recipe Ingredients'!$Q$5:$Q$1204,'Recipe Ingredients'!$B$5:$B$1204,A96)/G96))</f>
        <v>0</v>
      </c>
      <c r="AF96" s="45">
        <f>IF(OR(A96="",G96=""),"",IF(G96=0,"",SUMIFS('Recipe Ingredients'!$R$5:$R$1204,'Recipe Ingredients'!$B$5:$B$1204,A96)/G96))</f>
        <v>0</v>
      </c>
      <c r="AG96" s="45">
        <f>IF(OR(A96="",G96=""),"",IF(G96=0,"",SUMIFS('Recipe Ingredients'!$S$5:$S$1204,'Recipe Ingredients'!$B$5:$B$1204,A96)/G96))</f>
        <v>0</v>
      </c>
      <c r="AH96" s="45">
        <f>IF(OR(A96="",G96=""),"",IF(G96=0,"",SUMIFS('Recipe Ingredients'!$T$5:$T$1204,'Recipe Ingredients'!$B$5:$B$1204,A96)/G96))</f>
        <v>0</v>
      </c>
      <c r="AI96" s="45">
        <f>IF(OR(A96="",G96=""),"",IF(G96=0,"",SUMIFS('Recipe Ingredients'!$U$5:$U$1204,'Recipe Ingredients'!$B$5:$B$1204,A96)/G96))</f>
        <v>0</v>
      </c>
      <c r="AJ96" s="17">
        <f>IF(A96="","",IF(COUNTIFS('Recipe Ingredients'!$B$5:$B$1204,A96,'Recipe Ingredients'!$V$5:$V$1204,"&lt;&gt;",'Recipe Ingredients'!$V$5:$V$1204,"&lt;&gt;None")=0,"None listed",COUNTIFS('Recipe Ingredients'!$B$5:$B$1204,A96,'Recipe Ingredients'!$V$5:$V$1204,"&lt;&gt;",'Recipe Ingredients'!$V$5:$V$1204,"&lt;&gt;None")&amp;" ingredient(s) flagged"))</f>
        <v>0</v>
      </c>
      <c r="AK96" s="18">
        <f>IF(OR(AD96="",NOT(ISNUMBER(AD96))),"",COUNTIFS($AD$5:$AD$204,"&lt;"&amp;AD96)+COUNTIFS($AD$5:AD96,AD96))</f>
        <v>0</v>
      </c>
      <c r="AL96" s="18">
        <f>IF(B96="",0,IF(AND(OR(FilterDiet="Any",T96=FilterDiet),OR(FilterCategory="Any",C96=FilterCategory),OR(FilterMethod="Any",L96=FilterMethod),OR(FilterTime=0,AND(J96&lt;&gt;"",J96&lt;=FilterTime)),OR(FilterCost=0,AND(AD96&lt;&gt;"",ISNUMBER(AD96),AD96&lt;=FilterCost)),OR(FilterAllergen="Any",COUNTIFS('Recipe Ingredients'!$B$5:$B$1204,A96,'Recipe Ingredients'!$V$5:$V$1204,FilterAllergen)=0)),1,0))</f>
        <v>0</v>
      </c>
      <c r="AM96" s="18">
        <f>IF(AL96=0,"",SUM($AL$5:AL96))</f>
        <v>0</v>
      </c>
      <c r="AN96" s="18">
        <f>IF(B96="","",COUNTIFS($AZ$5:$AZ$204,"&gt;"&amp;AZ96)+COUNTIFS($AZ$5:AZ96,AZ96))</f>
        <v>0</v>
      </c>
      <c r="AO96" s="18">
        <f>IF(B96="","",COUNTIFS($AE$5:$AE$204,"&gt;"&amp;AE96)+COUNTIFS($AE$5:AE96,AE96))</f>
        <v>0</v>
      </c>
      <c r="AP96" s="18">
        <f>IF(B96="","",COUNTIFS($AF$5:$AF$204,"&gt;"&amp;AF96)+COUNTIFS($AF$5:AF96,AF96))</f>
        <v>0</v>
      </c>
      <c r="AQ96" s="18">
        <f>IF(B96="","",COUNTIFS($AI$5:$AI$204,"&gt;"&amp;AI96)+COUNTIFS($AI$5:AI96,AI96))</f>
        <v>0</v>
      </c>
      <c r="AR96" s="18">
        <f>IF(B96="","",COUNTIFS($AS$5:$AS$204,"&gt;"&amp;AS96)+COUNTIFS($AS$5:AS96,AS96))</f>
        <v>0</v>
      </c>
      <c r="AS96" s="45">
        <f>IF(B96="","",IF(BB96="",99999,BC96))</f>
        <v>0</v>
      </c>
      <c r="AT96" s="45">
        <f>IF(A96="",0,SUMIFS('Meal Plan'!$L$5:$L$504,'Meal Plan'!$G$5:$G$504,A96,'Meal Plan'!$B$5:$B$504,"&gt;="&amp;ShopFrom,'Meal Plan'!$B$5:$B$504,"&lt;="&amp;ShopTo,'Meal Plan'!$M$5:$M$504,"Yes"))</f>
        <v>0</v>
      </c>
      <c r="AU96" s="25">
        <f>IF(OR(A96="",AC96=""),"",AC96*AT96)</f>
        <v>0</v>
      </c>
      <c r="AV96" s="18">
        <f>IF(A96="","",COUNTIFS('Recipe Ingredients'!$B$5:$B$1204,A96,'Recipe Ingredients'!$N$5:$N$1204,""))</f>
        <v>0</v>
      </c>
      <c r="AZ96" s="18">
        <f>IF(A96="","",COUNTIFS('Meal Plan'!$G$5:$G$504,A96))</f>
        <v>0</v>
      </c>
      <c r="BA96" s="18">
        <f>IF(A96="","",COUNTIFS('Meal Plan'!$G$5:$G$504,A96,'Meal Plan'!$N$5:$N$504,"Prepared")+COUNTIFS('Meal Plan'!$G$5:$G$504,A96,'Meal Plan'!$N$5:$N$504,"Eaten"))</f>
        <v>0</v>
      </c>
      <c r="BB96" s="19">
        <f>IF(A96="","",IF(COUNTIFS('Meal Plan'!$G$5:$G$504,A96,'Meal Plan'!$B$5:$B$504,"&lt;="&amp;TODAY())=0,"",SUMPRODUCT(MAX(('Meal Plan'!$G$5:$G$504=A96)*('Meal Plan'!$B$5:$B$504&lt;=TODAY())*'Meal Plan'!$B$5:$B$504))))</f>
        <v>0</v>
      </c>
      <c r="BC96" s="18">
        <f>IF(BB96="","",TODAY()-BB96)</f>
        <v>0</v>
      </c>
      <c r="BF96" s="31">
        <f>IF(B96="","",IF(G96="","Add - how many does it serve?",IF(AB96=0,"Add - no ingredients listed yet",IF(AV96&gt;0,"Check - "&amp;AV96&amp;" ingredient(s) have no price",IF(AND(BC96&lt;&gt;"",BC96&lt;RotationGapDays),"Cooked recently","OK")))))</f>
        <v>0</v>
      </c>
    </row>
    <row r="97" spans="1:58">
      <c r="A97" s="39">
        <f>IF(B97="","",RecipePrefix&amp;TEXT(ROW()-4,"0000"))</f>
        <v>0</v>
      </c>
      <c r="J97" s="18">
        <f>IF(B97="","",IF(AND(H97="",I97=""),"",IF(H97="",0,H97)+IF(I97="",0,I97)))</f>
        <v>0</v>
      </c>
      <c r="K97" s="46">
        <f>IF(J97="","",IF(J97&lt;=30,"Yes","No"))</f>
        <v>0</v>
      </c>
      <c r="AB97" s="18">
        <f>IF(A97="","",COUNTIFS('Recipe Ingredients'!$B$5:$B$1204,A97))</f>
        <v>0</v>
      </c>
      <c r="AC97" s="25">
        <f>IF(A97="","",SUMIFS('Recipe Ingredients'!$N$5:$N$1204,'Recipe Ingredients'!$B$5:$B$1204,A97))</f>
        <v>0</v>
      </c>
      <c r="AD97" s="25">
        <f>IF(OR(AC97="",G97=""),"",IF(G97=0,"",AC97/G97))</f>
        <v>0</v>
      </c>
      <c r="AE97" s="30">
        <f>IF(OR(A97="",G97=""),"",IF(G97=0,"",SUMIFS('Recipe Ingredients'!$Q$5:$Q$1204,'Recipe Ingredients'!$B$5:$B$1204,A97)/G97))</f>
        <v>0</v>
      </c>
      <c r="AF97" s="45">
        <f>IF(OR(A97="",G97=""),"",IF(G97=0,"",SUMIFS('Recipe Ingredients'!$R$5:$R$1204,'Recipe Ingredients'!$B$5:$B$1204,A97)/G97))</f>
        <v>0</v>
      </c>
      <c r="AG97" s="45">
        <f>IF(OR(A97="",G97=""),"",IF(G97=0,"",SUMIFS('Recipe Ingredients'!$S$5:$S$1204,'Recipe Ingredients'!$B$5:$B$1204,A97)/G97))</f>
        <v>0</v>
      </c>
      <c r="AH97" s="45">
        <f>IF(OR(A97="",G97=""),"",IF(G97=0,"",SUMIFS('Recipe Ingredients'!$T$5:$T$1204,'Recipe Ingredients'!$B$5:$B$1204,A97)/G97))</f>
        <v>0</v>
      </c>
      <c r="AI97" s="45">
        <f>IF(OR(A97="",G97=""),"",IF(G97=0,"",SUMIFS('Recipe Ingredients'!$U$5:$U$1204,'Recipe Ingredients'!$B$5:$B$1204,A97)/G97))</f>
        <v>0</v>
      </c>
      <c r="AJ97" s="17">
        <f>IF(A97="","",IF(COUNTIFS('Recipe Ingredients'!$B$5:$B$1204,A97,'Recipe Ingredients'!$V$5:$V$1204,"&lt;&gt;",'Recipe Ingredients'!$V$5:$V$1204,"&lt;&gt;None")=0,"None listed",COUNTIFS('Recipe Ingredients'!$B$5:$B$1204,A97,'Recipe Ingredients'!$V$5:$V$1204,"&lt;&gt;",'Recipe Ingredients'!$V$5:$V$1204,"&lt;&gt;None")&amp;" ingredient(s) flagged"))</f>
        <v>0</v>
      </c>
      <c r="AK97" s="18">
        <f>IF(OR(AD97="",NOT(ISNUMBER(AD97))),"",COUNTIFS($AD$5:$AD$204,"&lt;"&amp;AD97)+COUNTIFS($AD$5:AD97,AD97))</f>
        <v>0</v>
      </c>
      <c r="AL97" s="18">
        <f>IF(B97="",0,IF(AND(OR(FilterDiet="Any",T97=FilterDiet),OR(FilterCategory="Any",C97=FilterCategory),OR(FilterMethod="Any",L97=FilterMethod),OR(FilterTime=0,AND(J97&lt;&gt;"",J97&lt;=FilterTime)),OR(FilterCost=0,AND(AD97&lt;&gt;"",ISNUMBER(AD97),AD97&lt;=FilterCost)),OR(FilterAllergen="Any",COUNTIFS('Recipe Ingredients'!$B$5:$B$1204,A97,'Recipe Ingredients'!$V$5:$V$1204,FilterAllergen)=0)),1,0))</f>
        <v>0</v>
      </c>
      <c r="AM97" s="18">
        <f>IF(AL97=0,"",SUM($AL$5:AL97))</f>
        <v>0</v>
      </c>
      <c r="AN97" s="18">
        <f>IF(B97="","",COUNTIFS($AZ$5:$AZ$204,"&gt;"&amp;AZ97)+COUNTIFS($AZ$5:AZ97,AZ97))</f>
        <v>0</v>
      </c>
      <c r="AO97" s="18">
        <f>IF(B97="","",COUNTIFS($AE$5:$AE$204,"&gt;"&amp;AE97)+COUNTIFS($AE$5:AE97,AE97))</f>
        <v>0</v>
      </c>
      <c r="AP97" s="18">
        <f>IF(B97="","",COUNTIFS($AF$5:$AF$204,"&gt;"&amp;AF97)+COUNTIFS($AF$5:AF97,AF97))</f>
        <v>0</v>
      </c>
      <c r="AQ97" s="18">
        <f>IF(B97="","",COUNTIFS($AI$5:$AI$204,"&gt;"&amp;AI97)+COUNTIFS($AI$5:AI97,AI97))</f>
        <v>0</v>
      </c>
      <c r="AR97" s="18">
        <f>IF(B97="","",COUNTIFS($AS$5:$AS$204,"&gt;"&amp;AS97)+COUNTIFS($AS$5:AS97,AS97))</f>
        <v>0</v>
      </c>
      <c r="AS97" s="45">
        <f>IF(B97="","",IF(BB97="",99999,BC97))</f>
        <v>0</v>
      </c>
      <c r="AT97" s="45">
        <f>IF(A97="",0,SUMIFS('Meal Plan'!$L$5:$L$504,'Meal Plan'!$G$5:$G$504,A97,'Meal Plan'!$B$5:$B$504,"&gt;="&amp;ShopFrom,'Meal Plan'!$B$5:$B$504,"&lt;="&amp;ShopTo,'Meal Plan'!$M$5:$M$504,"Yes"))</f>
        <v>0</v>
      </c>
      <c r="AU97" s="25">
        <f>IF(OR(A97="",AC97=""),"",AC97*AT97)</f>
        <v>0</v>
      </c>
      <c r="AV97" s="18">
        <f>IF(A97="","",COUNTIFS('Recipe Ingredients'!$B$5:$B$1204,A97,'Recipe Ingredients'!$N$5:$N$1204,""))</f>
        <v>0</v>
      </c>
      <c r="AZ97" s="18">
        <f>IF(A97="","",COUNTIFS('Meal Plan'!$G$5:$G$504,A97))</f>
        <v>0</v>
      </c>
      <c r="BA97" s="18">
        <f>IF(A97="","",COUNTIFS('Meal Plan'!$G$5:$G$504,A97,'Meal Plan'!$N$5:$N$504,"Prepared")+COUNTIFS('Meal Plan'!$G$5:$G$504,A97,'Meal Plan'!$N$5:$N$504,"Eaten"))</f>
        <v>0</v>
      </c>
      <c r="BB97" s="19">
        <f>IF(A97="","",IF(COUNTIFS('Meal Plan'!$G$5:$G$504,A97,'Meal Plan'!$B$5:$B$504,"&lt;="&amp;TODAY())=0,"",SUMPRODUCT(MAX(('Meal Plan'!$G$5:$G$504=A97)*('Meal Plan'!$B$5:$B$504&lt;=TODAY())*'Meal Plan'!$B$5:$B$504))))</f>
        <v>0</v>
      </c>
      <c r="BC97" s="18">
        <f>IF(BB97="","",TODAY()-BB97)</f>
        <v>0</v>
      </c>
      <c r="BF97" s="31">
        <f>IF(B97="","",IF(G97="","Add - how many does it serve?",IF(AB97=0,"Add - no ingredients listed yet",IF(AV97&gt;0,"Check - "&amp;AV97&amp;" ingredient(s) have no price",IF(AND(BC97&lt;&gt;"",BC97&lt;RotationGapDays),"Cooked recently","OK")))))</f>
        <v>0</v>
      </c>
    </row>
    <row r="98" spans="1:58">
      <c r="A98" s="39">
        <f>IF(B98="","",RecipePrefix&amp;TEXT(ROW()-4,"0000"))</f>
        <v>0</v>
      </c>
      <c r="J98" s="18">
        <f>IF(B98="","",IF(AND(H98="",I98=""),"",IF(H98="",0,H98)+IF(I98="",0,I98)))</f>
        <v>0</v>
      </c>
      <c r="K98" s="46">
        <f>IF(J98="","",IF(J98&lt;=30,"Yes","No"))</f>
        <v>0</v>
      </c>
      <c r="AB98" s="18">
        <f>IF(A98="","",COUNTIFS('Recipe Ingredients'!$B$5:$B$1204,A98))</f>
        <v>0</v>
      </c>
      <c r="AC98" s="25">
        <f>IF(A98="","",SUMIFS('Recipe Ingredients'!$N$5:$N$1204,'Recipe Ingredients'!$B$5:$B$1204,A98))</f>
        <v>0</v>
      </c>
      <c r="AD98" s="25">
        <f>IF(OR(AC98="",G98=""),"",IF(G98=0,"",AC98/G98))</f>
        <v>0</v>
      </c>
      <c r="AE98" s="30">
        <f>IF(OR(A98="",G98=""),"",IF(G98=0,"",SUMIFS('Recipe Ingredients'!$Q$5:$Q$1204,'Recipe Ingredients'!$B$5:$B$1204,A98)/G98))</f>
        <v>0</v>
      </c>
      <c r="AF98" s="45">
        <f>IF(OR(A98="",G98=""),"",IF(G98=0,"",SUMIFS('Recipe Ingredients'!$R$5:$R$1204,'Recipe Ingredients'!$B$5:$B$1204,A98)/G98))</f>
        <v>0</v>
      </c>
      <c r="AG98" s="45">
        <f>IF(OR(A98="",G98=""),"",IF(G98=0,"",SUMIFS('Recipe Ingredients'!$S$5:$S$1204,'Recipe Ingredients'!$B$5:$B$1204,A98)/G98))</f>
        <v>0</v>
      </c>
      <c r="AH98" s="45">
        <f>IF(OR(A98="",G98=""),"",IF(G98=0,"",SUMIFS('Recipe Ingredients'!$T$5:$T$1204,'Recipe Ingredients'!$B$5:$B$1204,A98)/G98))</f>
        <v>0</v>
      </c>
      <c r="AI98" s="45">
        <f>IF(OR(A98="",G98=""),"",IF(G98=0,"",SUMIFS('Recipe Ingredients'!$U$5:$U$1204,'Recipe Ingredients'!$B$5:$B$1204,A98)/G98))</f>
        <v>0</v>
      </c>
      <c r="AJ98" s="17">
        <f>IF(A98="","",IF(COUNTIFS('Recipe Ingredients'!$B$5:$B$1204,A98,'Recipe Ingredients'!$V$5:$V$1204,"&lt;&gt;",'Recipe Ingredients'!$V$5:$V$1204,"&lt;&gt;None")=0,"None listed",COUNTIFS('Recipe Ingredients'!$B$5:$B$1204,A98,'Recipe Ingredients'!$V$5:$V$1204,"&lt;&gt;",'Recipe Ingredients'!$V$5:$V$1204,"&lt;&gt;None")&amp;" ingredient(s) flagged"))</f>
        <v>0</v>
      </c>
      <c r="AK98" s="18">
        <f>IF(OR(AD98="",NOT(ISNUMBER(AD98))),"",COUNTIFS($AD$5:$AD$204,"&lt;"&amp;AD98)+COUNTIFS($AD$5:AD98,AD98))</f>
        <v>0</v>
      </c>
      <c r="AL98" s="18">
        <f>IF(B98="",0,IF(AND(OR(FilterDiet="Any",T98=FilterDiet),OR(FilterCategory="Any",C98=FilterCategory),OR(FilterMethod="Any",L98=FilterMethod),OR(FilterTime=0,AND(J98&lt;&gt;"",J98&lt;=FilterTime)),OR(FilterCost=0,AND(AD98&lt;&gt;"",ISNUMBER(AD98),AD98&lt;=FilterCost)),OR(FilterAllergen="Any",COUNTIFS('Recipe Ingredients'!$B$5:$B$1204,A98,'Recipe Ingredients'!$V$5:$V$1204,FilterAllergen)=0)),1,0))</f>
        <v>0</v>
      </c>
      <c r="AM98" s="18">
        <f>IF(AL98=0,"",SUM($AL$5:AL98))</f>
        <v>0</v>
      </c>
      <c r="AN98" s="18">
        <f>IF(B98="","",COUNTIFS($AZ$5:$AZ$204,"&gt;"&amp;AZ98)+COUNTIFS($AZ$5:AZ98,AZ98))</f>
        <v>0</v>
      </c>
      <c r="AO98" s="18">
        <f>IF(B98="","",COUNTIFS($AE$5:$AE$204,"&gt;"&amp;AE98)+COUNTIFS($AE$5:AE98,AE98))</f>
        <v>0</v>
      </c>
      <c r="AP98" s="18">
        <f>IF(B98="","",COUNTIFS($AF$5:$AF$204,"&gt;"&amp;AF98)+COUNTIFS($AF$5:AF98,AF98))</f>
        <v>0</v>
      </c>
      <c r="AQ98" s="18">
        <f>IF(B98="","",COUNTIFS($AI$5:$AI$204,"&gt;"&amp;AI98)+COUNTIFS($AI$5:AI98,AI98))</f>
        <v>0</v>
      </c>
      <c r="AR98" s="18">
        <f>IF(B98="","",COUNTIFS($AS$5:$AS$204,"&gt;"&amp;AS98)+COUNTIFS($AS$5:AS98,AS98))</f>
        <v>0</v>
      </c>
      <c r="AS98" s="45">
        <f>IF(B98="","",IF(BB98="",99999,BC98))</f>
        <v>0</v>
      </c>
      <c r="AT98" s="45">
        <f>IF(A98="",0,SUMIFS('Meal Plan'!$L$5:$L$504,'Meal Plan'!$G$5:$G$504,A98,'Meal Plan'!$B$5:$B$504,"&gt;="&amp;ShopFrom,'Meal Plan'!$B$5:$B$504,"&lt;="&amp;ShopTo,'Meal Plan'!$M$5:$M$504,"Yes"))</f>
        <v>0</v>
      </c>
      <c r="AU98" s="25">
        <f>IF(OR(A98="",AC98=""),"",AC98*AT98)</f>
        <v>0</v>
      </c>
      <c r="AV98" s="18">
        <f>IF(A98="","",COUNTIFS('Recipe Ingredients'!$B$5:$B$1204,A98,'Recipe Ingredients'!$N$5:$N$1204,""))</f>
        <v>0</v>
      </c>
      <c r="AZ98" s="18">
        <f>IF(A98="","",COUNTIFS('Meal Plan'!$G$5:$G$504,A98))</f>
        <v>0</v>
      </c>
      <c r="BA98" s="18">
        <f>IF(A98="","",COUNTIFS('Meal Plan'!$G$5:$G$504,A98,'Meal Plan'!$N$5:$N$504,"Prepared")+COUNTIFS('Meal Plan'!$G$5:$G$504,A98,'Meal Plan'!$N$5:$N$504,"Eaten"))</f>
        <v>0</v>
      </c>
      <c r="BB98" s="19">
        <f>IF(A98="","",IF(COUNTIFS('Meal Plan'!$G$5:$G$504,A98,'Meal Plan'!$B$5:$B$504,"&lt;="&amp;TODAY())=0,"",SUMPRODUCT(MAX(('Meal Plan'!$G$5:$G$504=A98)*('Meal Plan'!$B$5:$B$504&lt;=TODAY())*'Meal Plan'!$B$5:$B$504))))</f>
        <v>0</v>
      </c>
      <c r="BC98" s="18">
        <f>IF(BB98="","",TODAY()-BB98)</f>
        <v>0</v>
      </c>
      <c r="BF98" s="31">
        <f>IF(B98="","",IF(G98="","Add - how many does it serve?",IF(AB98=0,"Add - no ingredients listed yet",IF(AV98&gt;0,"Check - "&amp;AV98&amp;" ingredient(s) have no price",IF(AND(BC98&lt;&gt;"",BC98&lt;RotationGapDays),"Cooked recently","OK")))))</f>
        <v>0</v>
      </c>
    </row>
    <row r="99" spans="1:58">
      <c r="A99" s="39">
        <f>IF(B99="","",RecipePrefix&amp;TEXT(ROW()-4,"0000"))</f>
        <v>0</v>
      </c>
      <c r="J99" s="18">
        <f>IF(B99="","",IF(AND(H99="",I99=""),"",IF(H99="",0,H99)+IF(I99="",0,I99)))</f>
        <v>0</v>
      </c>
      <c r="K99" s="46">
        <f>IF(J99="","",IF(J99&lt;=30,"Yes","No"))</f>
        <v>0</v>
      </c>
      <c r="AB99" s="18">
        <f>IF(A99="","",COUNTIFS('Recipe Ingredients'!$B$5:$B$1204,A99))</f>
        <v>0</v>
      </c>
      <c r="AC99" s="25">
        <f>IF(A99="","",SUMIFS('Recipe Ingredients'!$N$5:$N$1204,'Recipe Ingredients'!$B$5:$B$1204,A99))</f>
        <v>0</v>
      </c>
      <c r="AD99" s="25">
        <f>IF(OR(AC99="",G99=""),"",IF(G99=0,"",AC99/G99))</f>
        <v>0</v>
      </c>
      <c r="AE99" s="30">
        <f>IF(OR(A99="",G99=""),"",IF(G99=0,"",SUMIFS('Recipe Ingredients'!$Q$5:$Q$1204,'Recipe Ingredients'!$B$5:$B$1204,A99)/G99))</f>
        <v>0</v>
      </c>
      <c r="AF99" s="45">
        <f>IF(OR(A99="",G99=""),"",IF(G99=0,"",SUMIFS('Recipe Ingredients'!$R$5:$R$1204,'Recipe Ingredients'!$B$5:$B$1204,A99)/G99))</f>
        <v>0</v>
      </c>
      <c r="AG99" s="45">
        <f>IF(OR(A99="",G99=""),"",IF(G99=0,"",SUMIFS('Recipe Ingredients'!$S$5:$S$1204,'Recipe Ingredients'!$B$5:$B$1204,A99)/G99))</f>
        <v>0</v>
      </c>
      <c r="AH99" s="45">
        <f>IF(OR(A99="",G99=""),"",IF(G99=0,"",SUMIFS('Recipe Ingredients'!$T$5:$T$1204,'Recipe Ingredients'!$B$5:$B$1204,A99)/G99))</f>
        <v>0</v>
      </c>
      <c r="AI99" s="45">
        <f>IF(OR(A99="",G99=""),"",IF(G99=0,"",SUMIFS('Recipe Ingredients'!$U$5:$U$1204,'Recipe Ingredients'!$B$5:$B$1204,A99)/G99))</f>
        <v>0</v>
      </c>
      <c r="AJ99" s="17">
        <f>IF(A99="","",IF(COUNTIFS('Recipe Ingredients'!$B$5:$B$1204,A99,'Recipe Ingredients'!$V$5:$V$1204,"&lt;&gt;",'Recipe Ingredients'!$V$5:$V$1204,"&lt;&gt;None")=0,"None listed",COUNTIFS('Recipe Ingredients'!$B$5:$B$1204,A99,'Recipe Ingredients'!$V$5:$V$1204,"&lt;&gt;",'Recipe Ingredients'!$V$5:$V$1204,"&lt;&gt;None")&amp;" ingredient(s) flagged"))</f>
        <v>0</v>
      </c>
      <c r="AK99" s="18">
        <f>IF(OR(AD99="",NOT(ISNUMBER(AD99))),"",COUNTIFS($AD$5:$AD$204,"&lt;"&amp;AD99)+COUNTIFS($AD$5:AD99,AD99))</f>
        <v>0</v>
      </c>
      <c r="AL99" s="18">
        <f>IF(B99="",0,IF(AND(OR(FilterDiet="Any",T99=FilterDiet),OR(FilterCategory="Any",C99=FilterCategory),OR(FilterMethod="Any",L99=FilterMethod),OR(FilterTime=0,AND(J99&lt;&gt;"",J99&lt;=FilterTime)),OR(FilterCost=0,AND(AD99&lt;&gt;"",ISNUMBER(AD99),AD99&lt;=FilterCost)),OR(FilterAllergen="Any",COUNTIFS('Recipe Ingredients'!$B$5:$B$1204,A99,'Recipe Ingredients'!$V$5:$V$1204,FilterAllergen)=0)),1,0))</f>
        <v>0</v>
      </c>
      <c r="AM99" s="18">
        <f>IF(AL99=0,"",SUM($AL$5:AL99))</f>
        <v>0</v>
      </c>
      <c r="AN99" s="18">
        <f>IF(B99="","",COUNTIFS($AZ$5:$AZ$204,"&gt;"&amp;AZ99)+COUNTIFS($AZ$5:AZ99,AZ99))</f>
        <v>0</v>
      </c>
      <c r="AO99" s="18">
        <f>IF(B99="","",COUNTIFS($AE$5:$AE$204,"&gt;"&amp;AE99)+COUNTIFS($AE$5:AE99,AE99))</f>
        <v>0</v>
      </c>
      <c r="AP99" s="18">
        <f>IF(B99="","",COUNTIFS($AF$5:$AF$204,"&gt;"&amp;AF99)+COUNTIFS($AF$5:AF99,AF99))</f>
        <v>0</v>
      </c>
      <c r="AQ99" s="18">
        <f>IF(B99="","",COUNTIFS($AI$5:$AI$204,"&gt;"&amp;AI99)+COUNTIFS($AI$5:AI99,AI99))</f>
        <v>0</v>
      </c>
      <c r="AR99" s="18">
        <f>IF(B99="","",COUNTIFS($AS$5:$AS$204,"&gt;"&amp;AS99)+COUNTIFS($AS$5:AS99,AS99))</f>
        <v>0</v>
      </c>
      <c r="AS99" s="45">
        <f>IF(B99="","",IF(BB99="",99999,BC99))</f>
        <v>0</v>
      </c>
      <c r="AT99" s="45">
        <f>IF(A99="",0,SUMIFS('Meal Plan'!$L$5:$L$504,'Meal Plan'!$G$5:$G$504,A99,'Meal Plan'!$B$5:$B$504,"&gt;="&amp;ShopFrom,'Meal Plan'!$B$5:$B$504,"&lt;="&amp;ShopTo,'Meal Plan'!$M$5:$M$504,"Yes"))</f>
        <v>0</v>
      </c>
      <c r="AU99" s="25">
        <f>IF(OR(A99="",AC99=""),"",AC99*AT99)</f>
        <v>0</v>
      </c>
      <c r="AV99" s="18">
        <f>IF(A99="","",COUNTIFS('Recipe Ingredients'!$B$5:$B$1204,A99,'Recipe Ingredients'!$N$5:$N$1204,""))</f>
        <v>0</v>
      </c>
      <c r="AZ99" s="18">
        <f>IF(A99="","",COUNTIFS('Meal Plan'!$G$5:$G$504,A99))</f>
        <v>0</v>
      </c>
      <c r="BA99" s="18">
        <f>IF(A99="","",COUNTIFS('Meal Plan'!$G$5:$G$504,A99,'Meal Plan'!$N$5:$N$504,"Prepared")+COUNTIFS('Meal Plan'!$G$5:$G$504,A99,'Meal Plan'!$N$5:$N$504,"Eaten"))</f>
        <v>0</v>
      </c>
      <c r="BB99" s="19">
        <f>IF(A99="","",IF(COUNTIFS('Meal Plan'!$G$5:$G$504,A99,'Meal Plan'!$B$5:$B$504,"&lt;="&amp;TODAY())=0,"",SUMPRODUCT(MAX(('Meal Plan'!$G$5:$G$504=A99)*('Meal Plan'!$B$5:$B$504&lt;=TODAY())*'Meal Plan'!$B$5:$B$504))))</f>
        <v>0</v>
      </c>
      <c r="BC99" s="18">
        <f>IF(BB99="","",TODAY()-BB99)</f>
        <v>0</v>
      </c>
      <c r="BF99" s="31">
        <f>IF(B99="","",IF(G99="","Add - how many does it serve?",IF(AB99=0,"Add - no ingredients listed yet",IF(AV99&gt;0,"Check - "&amp;AV99&amp;" ingredient(s) have no price",IF(AND(BC99&lt;&gt;"",BC99&lt;RotationGapDays),"Cooked recently","OK")))))</f>
        <v>0</v>
      </c>
    </row>
    <row r="100" spans="1:58">
      <c r="A100" s="39">
        <f>IF(B100="","",RecipePrefix&amp;TEXT(ROW()-4,"0000"))</f>
        <v>0</v>
      </c>
      <c r="J100" s="18">
        <f>IF(B100="","",IF(AND(H100="",I100=""),"",IF(H100="",0,H100)+IF(I100="",0,I100)))</f>
        <v>0</v>
      </c>
      <c r="K100" s="46">
        <f>IF(J100="","",IF(J100&lt;=30,"Yes","No"))</f>
        <v>0</v>
      </c>
      <c r="AB100" s="18">
        <f>IF(A100="","",COUNTIFS('Recipe Ingredients'!$B$5:$B$1204,A100))</f>
        <v>0</v>
      </c>
      <c r="AC100" s="25">
        <f>IF(A100="","",SUMIFS('Recipe Ingredients'!$N$5:$N$1204,'Recipe Ingredients'!$B$5:$B$1204,A100))</f>
        <v>0</v>
      </c>
      <c r="AD100" s="25">
        <f>IF(OR(AC100="",G100=""),"",IF(G100=0,"",AC100/G100))</f>
        <v>0</v>
      </c>
      <c r="AE100" s="30">
        <f>IF(OR(A100="",G100=""),"",IF(G100=0,"",SUMIFS('Recipe Ingredients'!$Q$5:$Q$1204,'Recipe Ingredients'!$B$5:$B$1204,A100)/G100))</f>
        <v>0</v>
      </c>
      <c r="AF100" s="45">
        <f>IF(OR(A100="",G100=""),"",IF(G100=0,"",SUMIFS('Recipe Ingredients'!$R$5:$R$1204,'Recipe Ingredients'!$B$5:$B$1204,A100)/G100))</f>
        <v>0</v>
      </c>
      <c r="AG100" s="45">
        <f>IF(OR(A100="",G100=""),"",IF(G100=0,"",SUMIFS('Recipe Ingredients'!$S$5:$S$1204,'Recipe Ingredients'!$B$5:$B$1204,A100)/G100))</f>
        <v>0</v>
      </c>
      <c r="AH100" s="45">
        <f>IF(OR(A100="",G100=""),"",IF(G100=0,"",SUMIFS('Recipe Ingredients'!$T$5:$T$1204,'Recipe Ingredients'!$B$5:$B$1204,A100)/G100))</f>
        <v>0</v>
      </c>
      <c r="AI100" s="45">
        <f>IF(OR(A100="",G100=""),"",IF(G100=0,"",SUMIFS('Recipe Ingredients'!$U$5:$U$1204,'Recipe Ingredients'!$B$5:$B$1204,A100)/G100))</f>
        <v>0</v>
      </c>
      <c r="AJ100" s="17">
        <f>IF(A100="","",IF(COUNTIFS('Recipe Ingredients'!$B$5:$B$1204,A100,'Recipe Ingredients'!$V$5:$V$1204,"&lt;&gt;",'Recipe Ingredients'!$V$5:$V$1204,"&lt;&gt;None")=0,"None listed",COUNTIFS('Recipe Ingredients'!$B$5:$B$1204,A100,'Recipe Ingredients'!$V$5:$V$1204,"&lt;&gt;",'Recipe Ingredients'!$V$5:$V$1204,"&lt;&gt;None")&amp;" ingredient(s) flagged"))</f>
        <v>0</v>
      </c>
      <c r="AK100" s="18">
        <f>IF(OR(AD100="",NOT(ISNUMBER(AD100))),"",COUNTIFS($AD$5:$AD$204,"&lt;"&amp;AD100)+COUNTIFS($AD$5:AD100,AD100))</f>
        <v>0</v>
      </c>
      <c r="AL100" s="18">
        <f>IF(B100="",0,IF(AND(OR(FilterDiet="Any",T100=FilterDiet),OR(FilterCategory="Any",C100=FilterCategory),OR(FilterMethod="Any",L100=FilterMethod),OR(FilterTime=0,AND(J100&lt;&gt;"",J100&lt;=FilterTime)),OR(FilterCost=0,AND(AD100&lt;&gt;"",ISNUMBER(AD100),AD100&lt;=FilterCost)),OR(FilterAllergen="Any",COUNTIFS('Recipe Ingredients'!$B$5:$B$1204,A100,'Recipe Ingredients'!$V$5:$V$1204,FilterAllergen)=0)),1,0))</f>
        <v>0</v>
      </c>
      <c r="AM100" s="18">
        <f>IF(AL100=0,"",SUM($AL$5:AL100))</f>
        <v>0</v>
      </c>
      <c r="AN100" s="18">
        <f>IF(B100="","",COUNTIFS($AZ$5:$AZ$204,"&gt;"&amp;AZ100)+COUNTIFS($AZ$5:AZ100,AZ100))</f>
        <v>0</v>
      </c>
      <c r="AO100" s="18">
        <f>IF(B100="","",COUNTIFS($AE$5:$AE$204,"&gt;"&amp;AE100)+COUNTIFS($AE$5:AE100,AE100))</f>
        <v>0</v>
      </c>
      <c r="AP100" s="18">
        <f>IF(B100="","",COUNTIFS($AF$5:$AF$204,"&gt;"&amp;AF100)+COUNTIFS($AF$5:AF100,AF100))</f>
        <v>0</v>
      </c>
      <c r="AQ100" s="18">
        <f>IF(B100="","",COUNTIFS($AI$5:$AI$204,"&gt;"&amp;AI100)+COUNTIFS($AI$5:AI100,AI100))</f>
        <v>0</v>
      </c>
      <c r="AR100" s="18">
        <f>IF(B100="","",COUNTIFS($AS$5:$AS$204,"&gt;"&amp;AS100)+COUNTIFS($AS$5:AS100,AS100))</f>
        <v>0</v>
      </c>
      <c r="AS100" s="45">
        <f>IF(B100="","",IF(BB100="",99999,BC100))</f>
        <v>0</v>
      </c>
      <c r="AT100" s="45">
        <f>IF(A100="",0,SUMIFS('Meal Plan'!$L$5:$L$504,'Meal Plan'!$G$5:$G$504,A100,'Meal Plan'!$B$5:$B$504,"&gt;="&amp;ShopFrom,'Meal Plan'!$B$5:$B$504,"&lt;="&amp;ShopTo,'Meal Plan'!$M$5:$M$504,"Yes"))</f>
        <v>0</v>
      </c>
      <c r="AU100" s="25">
        <f>IF(OR(A100="",AC100=""),"",AC100*AT100)</f>
        <v>0</v>
      </c>
      <c r="AV100" s="18">
        <f>IF(A100="","",COUNTIFS('Recipe Ingredients'!$B$5:$B$1204,A100,'Recipe Ingredients'!$N$5:$N$1204,""))</f>
        <v>0</v>
      </c>
      <c r="AZ100" s="18">
        <f>IF(A100="","",COUNTIFS('Meal Plan'!$G$5:$G$504,A100))</f>
        <v>0</v>
      </c>
      <c r="BA100" s="18">
        <f>IF(A100="","",COUNTIFS('Meal Plan'!$G$5:$G$504,A100,'Meal Plan'!$N$5:$N$504,"Prepared")+COUNTIFS('Meal Plan'!$G$5:$G$504,A100,'Meal Plan'!$N$5:$N$504,"Eaten"))</f>
        <v>0</v>
      </c>
      <c r="BB100" s="19">
        <f>IF(A100="","",IF(COUNTIFS('Meal Plan'!$G$5:$G$504,A100,'Meal Plan'!$B$5:$B$504,"&lt;="&amp;TODAY())=0,"",SUMPRODUCT(MAX(('Meal Plan'!$G$5:$G$504=A100)*('Meal Plan'!$B$5:$B$504&lt;=TODAY())*'Meal Plan'!$B$5:$B$504))))</f>
        <v>0</v>
      </c>
      <c r="BC100" s="18">
        <f>IF(BB100="","",TODAY()-BB100)</f>
        <v>0</v>
      </c>
      <c r="BF100" s="31">
        <f>IF(B100="","",IF(G100="","Add - how many does it serve?",IF(AB100=0,"Add - no ingredients listed yet",IF(AV100&gt;0,"Check - "&amp;AV100&amp;" ingredient(s) have no price",IF(AND(BC100&lt;&gt;"",BC100&lt;RotationGapDays),"Cooked recently","OK")))))</f>
        <v>0</v>
      </c>
    </row>
    <row r="101" spans="1:58">
      <c r="A101" s="39">
        <f>IF(B101="","",RecipePrefix&amp;TEXT(ROW()-4,"0000"))</f>
        <v>0</v>
      </c>
      <c r="J101" s="18">
        <f>IF(B101="","",IF(AND(H101="",I101=""),"",IF(H101="",0,H101)+IF(I101="",0,I101)))</f>
        <v>0</v>
      </c>
      <c r="K101" s="46">
        <f>IF(J101="","",IF(J101&lt;=30,"Yes","No"))</f>
        <v>0</v>
      </c>
      <c r="AB101" s="18">
        <f>IF(A101="","",COUNTIFS('Recipe Ingredients'!$B$5:$B$1204,A101))</f>
        <v>0</v>
      </c>
      <c r="AC101" s="25">
        <f>IF(A101="","",SUMIFS('Recipe Ingredients'!$N$5:$N$1204,'Recipe Ingredients'!$B$5:$B$1204,A101))</f>
        <v>0</v>
      </c>
      <c r="AD101" s="25">
        <f>IF(OR(AC101="",G101=""),"",IF(G101=0,"",AC101/G101))</f>
        <v>0</v>
      </c>
      <c r="AE101" s="30">
        <f>IF(OR(A101="",G101=""),"",IF(G101=0,"",SUMIFS('Recipe Ingredients'!$Q$5:$Q$1204,'Recipe Ingredients'!$B$5:$B$1204,A101)/G101))</f>
        <v>0</v>
      </c>
      <c r="AF101" s="45">
        <f>IF(OR(A101="",G101=""),"",IF(G101=0,"",SUMIFS('Recipe Ingredients'!$R$5:$R$1204,'Recipe Ingredients'!$B$5:$B$1204,A101)/G101))</f>
        <v>0</v>
      </c>
      <c r="AG101" s="45">
        <f>IF(OR(A101="",G101=""),"",IF(G101=0,"",SUMIFS('Recipe Ingredients'!$S$5:$S$1204,'Recipe Ingredients'!$B$5:$B$1204,A101)/G101))</f>
        <v>0</v>
      </c>
      <c r="AH101" s="45">
        <f>IF(OR(A101="",G101=""),"",IF(G101=0,"",SUMIFS('Recipe Ingredients'!$T$5:$T$1204,'Recipe Ingredients'!$B$5:$B$1204,A101)/G101))</f>
        <v>0</v>
      </c>
      <c r="AI101" s="45">
        <f>IF(OR(A101="",G101=""),"",IF(G101=0,"",SUMIFS('Recipe Ingredients'!$U$5:$U$1204,'Recipe Ingredients'!$B$5:$B$1204,A101)/G101))</f>
        <v>0</v>
      </c>
      <c r="AJ101" s="17">
        <f>IF(A101="","",IF(COUNTIFS('Recipe Ingredients'!$B$5:$B$1204,A101,'Recipe Ingredients'!$V$5:$V$1204,"&lt;&gt;",'Recipe Ingredients'!$V$5:$V$1204,"&lt;&gt;None")=0,"None listed",COUNTIFS('Recipe Ingredients'!$B$5:$B$1204,A101,'Recipe Ingredients'!$V$5:$V$1204,"&lt;&gt;",'Recipe Ingredients'!$V$5:$V$1204,"&lt;&gt;None")&amp;" ingredient(s) flagged"))</f>
        <v>0</v>
      </c>
      <c r="AK101" s="18">
        <f>IF(OR(AD101="",NOT(ISNUMBER(AD101))),"",COUNTIFS($AD$5:$AD$204,"&lt;"&amp;AD101)+COUNTIFS($AD$5:AD101,AD101))</f>
        <v>0</v>
      </c>
      <c r="AL101" s="18">
        <f>IF(B101="",0,IF(AND(OR(FilterDiet="Any",T101=FilterDiet),OR(FilterCategory="Any",C101=FilterCategory),OR(FilterMethod="Any",L101=FilterMethod),OR(FilterTime=0,AND(J101&lt;&gt;"",J101&lt;=FilterTime)),OR(FilterCost=0,AND(AD101&lt;&gt;"",ISNUMBER(AD101),AD101&lt;=FilterCost)),OR(FilterAllergen="Any",COUNTIFS('Recipe Ingredients'!$B$5:$B$1204,A101,'Recipe Ingredients'!$V$5:$V$1204,FilterAllergen)=0)),1,0))</f>
        <v>0</v>
      </c>
      <c r="AM101" s="18">
        <f>IF(AL101=0,"",SUM($AL$5:AL101))</f>
        <v>0</v>
      </c>
      <c r="AN101" s="18">
        <f>IF(B101="","",COUNTIFS($AZ$5:$AZ$204,"&gt;"&amp;AZ101)+COUNTIFS($AZ$5:AZ101,AZ101))</f>
        <v>0</v>
      </c>
      <c r="AO101" s="18">
        <f>IF(B101="","",COUNTIFS($AE$5:$AE$204,"&gt;"&amp;AE101)+COUNTIFS($AE$5:AE101,AE101))</f>
        <v>0</v>
      </c>
      <c r="AP101" s="18">
        <f>IF(B101="","",COUNTIFS($AF$5:$AF$204,"&gt;"&amp;AF101)+COUNTIFS($AF$5:AF101,AF101))</f>
        <v>0</v>
      </c>
      <c r="AQ101" s="18">
        <f>IF(B101="","",COUNTIFS($AI$5:$AI$204,"&gt;"&amp;AI101)+COUNTIFS($AI$5:AI101,AI101))</f>
        <v>0</v>
      </c>
      <c r="AR101" s="18">
        <f>IF(B101="","",COUNTIFS($AS$5:$AS$204,"&gt;"&amp;AS101)+COUNTIFS($AS$5:AS101,AS101))</f>
        <v>0</v>
      </c>
      <c r="AS101" s="45">
        <f>IF(B101="","",IF(BB101="",99999,BC101))</f>
        <v>0</v>
      </c>
      <c r="AT101" s="45">
        <f>IF(A101="",0,SUMIFS('Meal Plan'!$L$5:$L$504,'Meal Plan'!$G$5:$G$504,A101,'Meal Plan'!$B$5:$B$504,"&gt;="&amp;ShopFrom,'Meal Plan'!$B$5:$B$504,"&lt;="&amp;ShopTo,'Meal Plan'!$M$5:$M$504,"Yes"))</f>
        <v>0</v>
      </c>
      <c r="AU101" s="25">
        <f>IF(OR(A101="",AC101=""),"",AC101*AT101)</f>
        <v>0</v>
      </c>
      <c r="AV101" s="18">
        <f>IF(A101="","",COUNTIFS('Recipe Ingredients'!$B$5:$B$1204,A101,'Recipe Ingredients'!$N$5:$N$1204,""))</f>
        <v>0</v>
      </c>
      <c r="AZ101" s="18">
        <f>IF(A101="","",COUNTIFS('Meal Plan'!$G$5:$G$504,A101))</f>
        <v>0</v>
      </c>
      <c r="BA101" s="18">
        <f>IF(A101="","",COUNTIFS('Meal Plan'!$G$5:$G$504,A101,'Meal Plan'!$N$5:$N$504,"Prepared")+COUNTIFS('Meal Plan'!$G$5:$G$504,A101,'Meal Plan'!$N$5:$N$504,"Eaten"))</f>
        <v>0</v>
      </c>
      <c r="BB101" s="19">
        <f>IF(A101="","",IF(COUNTIFS('Meal Plan'!$G$5:$G$504,A101,'Meal Plan'!$B$5:$B$504,"&lt;="&amp;TODAY())=0,"",SUMPRODUCT(MAX(('Meal Plan'!$G$5:$G$504=A101)*('Meal Plan'!$B$5:$B$504&lt;=TODAY())*'Meal Plan'!$B$5:$B$504))))</f>
        <v>0</v>
      </c>
      <c r="BC101" s="18">
        <f>IF(BB101="","",TODAY()-BB101)</f>
        <v>0</v>
      </c>
      <c r="BF101" s="31">
        <f>IF(B101="","",IF(G101="","Add - how many does it serve?",IF(AB101=0,"Add - no ingredients listed yet",IF(AV101&gt;0,"Check - "&amp;AV101&amp;" ingredient(s) have no price",IF(AND(BC101&lt;&gt;"",BC101&lt;RotationGapDays),"Cooked recently","OK")))))</f>
        <v>0</v>
      </c>
    </row>
    <row r="102" spans="1:58">
      <c r="A102" s="39">
        <f>IF(B102="","",RecipePrefix&amp;TEXT(ROW()-4,"0000"))</f>
        <v>0</v>
      </c>
      <c r="J102" s="18">
        <f>IF(B102="","",IF(AND(H102="",I102=""),"",IF(H102="",0,H102)+IF(I102="",0,I102)))</f>
        <v>0</v>
      </c>
      <c r="K102" s="46">
        <f>IF(J102="","",IF(J102&lt;=30,"Yes","No"))</f>
        <v>0</v>
      </c>
      <c r="AB102" s="18">
        <f>IF(A102="","",COUNTIFS('Recipe Ingredients'!$B$5:$B$1204,A102))</f>
        <v>0</v>
      </c>
      <c r="AC102" s="25">
        <f>IF(A102="","",SUMIFS('Recipe Ingredients'!$N$5:$N$1204,'Recipe Ingredients'!$B$5:$B$1204,A102))</f>
        <v>0</v>
      </c>
      <c r="AD102" s="25">
        <f>IF(OR(AC102="",G102=""),"",IF(G102=0,"",AC102/G102))</f>
        <v>0</v>
      </c>
      <c r="AE102" s="30">
        <f>IF(OR(A102="",G102=""),"",IF(G102=0,"",SUMIFS('Recipe Ingredients'!$Q$5:$Q$1204,'Recipe Ingredients'!$B$5:$B$1204,A102)/G102))</f>
        <v>0</v>
      </c>
      <c r="AF102" s="45">
        <f>IF(OR(A102="",G102=""),"",IF(G102=0,"",SUMIFS('Recipe Ingredients'!$R$5:$R$1204,'Recipe Ingredients'!$B$5:$B$1204,A102)/G102))</f>
        <v>0</v>
      </c>
      <c r="AG102" s="45">
        <f>IF(OR(A102="",G102=""),"",IF(G102=0,"",SUMIFS('Recipe Ingredients'!$S$5:$S$1204,'Recipe Ingredients'!$B$5:$B$1204,A102)/G102))</f>
        <v>0</v>
      </c>
      <c r="AH102" s="45">
        <f>IF(OR(A102="",G102=""),"",IF(G102=0,"",SUMIFS('Recipe Ingredients'!$T$5:$T$1204,'Recipe Ingredients'!$B$5:$B$1204,A102)/G102))</f>
        <v>0</v>
      </c>
      <c r="AI102" s="45">
        <f>IF(OR(A102="",G102=""),"",IF(G102=0,"",SUMIFS('Recipe Ingredients'!$U$5:$U$1204,'Recipe Ingredients'!$B$5:$B$1204,A102)/G102))</f>
        <v>0</v>
      </c>
      <c r="AJ102" s="17">
        <f>IF(A102="","",IF(COUNTIFS('Recipe Ingredients'!$B$5:$B$1204,A102,'Recipe Ingredients'!$V$5:$V$1204,"&lt;&gt;",'Recipe Ingredients'!$V$5:$V$1204,"&lt;&gt;None")=0,"None listed",COUNTIFS('Recipe Ingredients'!$B$5:$B$1204,A102,'Recipe Ingredients'!$V$5:$V$1204,"&lt;&gt;",'Recipe Ingredients'!$V$5:$V$1204,"&lt;&gt;None")&amp;" ingredient(s) flagged"))</f>
        <v>0</v>
      </c>
      <c r="AK102" s="18">
        <f>IF(OR(AD102="",NOT(ISNUMBER(AD102))),"",COUNTIFS($AD$5:$AD$204,"&lt;"&amp;AD102)+COUNTIFS($AD$5:AD102,AD102))</f>
        <v>0</v>
      </c>
      <c r="AL102" s="18">
        <f>IF(B102="",0,IF(AND(OR(FilterDiet="Any",T102=FilterDiet),OR(FilterCategory="Any",C102=FilterCategory),OR(FilterMethod="Any",L102=FilterMethod),OR(FilterTime=0,AND(J102&lt;&gt;"",J102&lt;=FilterTime)),OR(FilterCost=0,AND(AD102&lt;&gt;"",ISNUMBER(AD102),AD102&lt;=FilterCost)),OR(FilterAllergen="Any",COUNTIFS('Recipe Ingredients'!$B$5:$B$1204,A102,'Recipe Ingredients'!$V$5:$V$1204,FilterAllergen)=0)),1,0))</f>
        <v>0</v>
      </c>
      <c r="AM102" s="18">
        <f>IF(AL102=0,"",SUM($AL$5:AL102))</f>
        <v>0</v>
      </c>
      <c r="AN102" s="18">
        <f>IF(B102="","",COUNTIFS($AZ$5:$AZ$204,"&gt;"&amp;AZ102)+COUNTIFS($AZ$5:AZ102,AZ102))</f>
        <v>0</v>
      </c>
      <c r="AO102" s="18">
        <f>IF(B102="","",COUNTIFS($AE$5:$AE$204,"&gt;"&amp;AE102)+COUNTIFS($AE$5:AE102,AE102))</f>
        <v>0</v>
      </c>
      <c r="AP102" s="18">
        <f>IF(B102="","",COUNTIFS($AF$5:$AF$204,"&gt;"&amp;AF102)+COUNTIFS($AF$5:AF102,AF102))</f>
        <v>0</v>
      </c>
      <c r="AQ102" s="18">
        <f>IF(B102="","",COUNTIFS($AI$5:$AI$204,"&gt;"&amp;AI102)+COUNTIFS($AI$5:AI102,AI102))</f>
        <v>0</v>
      </c>
      <c r="AR102" s="18">
        <f>IF(B102="","",COUNTIFS($AS$5:$AS$204,"&gt;"&amp;AS102)+COUNTIFS($AS$5:AS102,AS102))</f>
        <v>0</v>
      </c>
      <c r="AS102" s="45">
        <f>IF(B102="","",IF(BB102="",99999,BC102))</f>
        <v>0</v>
      </c>
      <c r="AT102" s="45">
        <f>IF(A102="",0,SUMIFS('Meal Plan'!$L$5:$L$504,'Meal Plan'!$G$5:$G$504,A102,'Meal Plan'!$B$5:$B$504,"&gt;="&amp;ShopFrom,'Meal Plan'!$B$5:$B$504,"&lt;="&amp;ShopTo,'Meal Plan'!$M$5:$M$504,"Yes"))</f>
        <v>0</v>
      </c>
      <c r="AU102" s="25">
        <f>IF(OR(A102="",AC102=""),"",AC102*AT102)</f>
        <v>0</v>
      </c>
      <c r="AV102" s="18">
        <f>IF(A102="","",COUNTIFS('Recipe Ingredients'!$B$5:$B$1204,A102,'Recipe Ingredients'!$N$5:$N$1204,""))</f>
        <v>0</v>
      </c>
      <c r="AZ102" s="18">
        <f>IF(A102="","",COUNTIFS('Meal Plan'!$G$5:$G$504,A102))</f>
        <v>0</v>
      </c>
      <c r="BA102" s="18">
        <f>IF(A102="","",COUNTIFS('Meal Plan'!$G$5:$G$504,A102,'Meal Plan'!$N$5:$N$504,"Prepared")+COUNTIFS('Meal Plan'!$G$5:$G$504,A102,'Meal Plan'!$N$5:$N$504,"Eaten"))</f>
        <v>0</v>
      </c>
      <c r="BB102" s="19">
        <f>IF(A102="","",IF(COUNTIFS('Meal Plan'!$G$5:$G$504,A102,'Meal Plan'!$B$5:$B$504,"&lt;="&amp;TODAY())=0,"",SUMPRODUCT(MAX(('Meal Plan'!$G$5:$G$504=A102)*('Meal Plan'!$B$5:$B$504&lt;=TODAY())*'Meal Plan'!$B$5:$B$504))))</f>
        <v>0</v>
      </c>
      <c r="BC102" s="18">
        <f>IF(BB102="","",TODAY()-BB102)</f>
        <v>0</v>
      </c>
      <c r="BF102" s="31">
        <f>IF(B102="","",IF(G102="","Add - how many does it serve?",IF(AB102=0,"Add - no ingredients listed yet",IF(AV102&gt;0,"Check - "&amp;AV102&amp;" ingredient(s) have no price",IF(AND(BC102&lt;&gt;"",BC102&lt;RotationGapDays),"Cooked recently","OK")))))</f>
        <v>0</v>
      </c>
    </row>
    <row r="103" spans="1:58">
      <c r="A103" s="39">
        <f>IF(B103="","",RecipePrefix&amp;TEXT(ROW()-4,"0000"))</f>
        <v>0</v>
      </c>
      <c r="J103" s="18">
        <f>IF(B103="","",IF(AND(H103="",I103=""),"",IF(H103="",0,H103)+IF(I103="",0,I103)))</f>
        <v>0</v>
      </c>
      <c r="K103" s="46">
        <f>IF(J103="","",IF(J103&lt;=30,"Yes","No"))</f>
        <v>0</v>
      </c>
      <c r="AB103" s="18">
        <f>IF(A103="","",COUNTIFS('Recipe Ingredients'!$B$5:$B$1204,A103))</f>
        <v>0</v>
      </c>
      <c r="AC103" s="25">
        <f>IF(A103="","",SUMIFS('Recipe Ingredients'!$N$5:$N$1204,'Recipe Ingredients'!$B$5:$B$1204,A103))</f>
        <v>0</v>
      </c>
      <c r="AD103" s="25">
        <f>IF(OR(AC103="",G103=""),"",IF(G103=0,"",AC103/G103))</f>
        <v>0</v>
      </c>
      <c r="AE103" s="30">
        <f>IF(OR(A103="",G103=""),"",IF(G103=0,"",SUMIFS('Recipe Ingredients'!$Q$5:$Q$1204,'Recipe Ingredients'!$B$5:$B$1204,A103)/G103))</f>
        <v>0</v>
      </c>
      <c r="AF103" s="45">
        <f>IF(OR(A103="",G103=""),"",IF(G103=0,"",SUMIFS('Recipe Ingredients'!$R$5:$R$1204,'Recipe Ingredients'!$B$5:$B$1204,A103)/G103))</f>
        <v>0</v>
      </c>
      <c r="AG103" s="45">
        <f>IF(OR(A103="",G103=""),"",IF(G103=0,"",SUMIFS('Recipe Ingredients'!$S$5:$S$1204,'Recipe Ingredients'!$B$5:$B$1204,A103)/G103))</f>
        <v>0</v>
      </c>
      <c r="AH103" s="45">
        <f>IF(OR(A103="",G103=""),"",IF(G103=0,"",SUMIFS('Recipe Ingredients'!$T$5:$T$1204,'Recipe Ingredients'!$B$5:$B$1204,A103)/G103))</f>
        <v>0</v>
      </c>
      <c r="AI103" s="45">
        <f>IF(OR(A103="",G103=""),"",IF(G103=0,"",SUMIFS('Recipe Ingredients'!$U$5:$U$1204,'Recipe Ingredients'!$B$5:$B$1204,A103)/G103))</f>
        <v>0</v>
      </c>
      <c r="AJ103" s="17">
        <f>IF(A103="","",IF(COUNTIFS('Recipe Ingredients'!$B$5:$B$1204,A103,'Recipe Ingredients'!$V$5:$V$1204,"&lt;&gt;",'Recipe Ingredients'!$V$5:$V$1204,"&lt;&gt;None")=0,"None listed",COUNTIFS('Recipe Ingredients'!$B$5:$B$1204,A103,'Recipe Ingredients'!$V$5:$V$1204,"&lt;&gt;",'Recipe Ingredients'!$V$5:$V$1204,"&lt;&gt;None")&amp;" ingredient(s) flagged"))</f>
        <v>0</v>
      </c>
      <c r="AK103" s="18">
        <f>IF(OR(AD103="",NOT(ISNUMBER(AD103))),"",COUNTIFS($AD$5:$AD$204,"&lt;"&amp;AD103)+COUNTIFS($AD$5:AD103,AD103))</f>
        <v>0</v>
      </c>
      <c r="AL103" s="18">
        <f>IF(B103="",0,IF(AND(OR(FilterDiet="Any",T103=FilterDiet),OR(FilterCategory="Any",C103=FilterCategory),OR(FilterMethod="Any",L103=FilterMethod),OR(FilterTime=0,AND(J103&lt;&gt;"",J103&lt;=FilterTime)),OR(FilterCost=0,AND(AD103&lt;&gt;"",ISNUMBER(AD103),AD103&lt;=FilterCost)),OR(FilterAllergen="Any",COUNTIFS('Recipe Ingredients'!$B$5:$B$1204,A103,'Recipe Ingredients'!$V$5:$V$1204,FilterAllergen)=0)),1,0))</f>
        <v>0</v>
      </c>
      <c r="AM103" s="18">
        <f>IF(AL103=0,"",SUM($AL$5:AL103))</f>
        <v>0</v>
      </c>
      <c r="AN103" s="18">
        <f>IF(B103="","",COUNTIFS($AZ$5:$AZ$204,"&gt;"&amp;AZ103)+COUNTIFS($AZ$5:AZ103,AZ103))</f>
        <v>0</v>
      </c>
      <c r="AO103" s="18">
        <f>IF(B103="","",COUNTIFS($AE$5:$AE$204,"&gt;"&amp;AE103)+COUNTIFS($AE$5:AE103,AE103))</f>
        <v>0</v>
      </c>
      <c r="AP103" s="18">
        <f>IF(B103="","",COUNTIFS($AF$5:$AF$204,"&gt;"&amp;AF103)+COUNTIFS($AF$5:AF103,AF103))</f>
        <v>0</v>
      </c>
      <c r="AQ103" s="18">
        <f>IF(B103="","",COUNTIFS($AI$5:$AI$204,"&gt;"&amp;AI103)+COUNTIFS($AI$5:AI103,AI103))</f>
        <v>0</v>
      </c>
      <c r="AR103" s="18">
        <f>IF(B103="","",COUNTIFS($AS$5:$AS$204,"&gt;"&amp;AS103)+COUNTIFS($AS$5:AS103,AS103))</f>
        <v>0</v>
      </c>
      <c r="AS103" s="45">
        <f>IF(B103="","",IF(BB103="",99999,BC103))</f>
        <v>0</v>
      </c>
      <c r="AT103" s="45">
        <f>IF(A103="",0,SUMIFS('Meal Plan'!$L$5:$L$504,'Meal Plan'!$G$5:$G$504,A103,'Meal Plan'!$B$5:$B$504,"&gt;="&amp;ShopFrom,'Meal Plan'!$B$5:$B$504,"&lt;="&amp;ShopTo,'Meal Plan'!$M$5:$M$504,"Yes"))</f>
        <v>0</v>
      </c>
      <c r="AU103" s="25">
        <f>IF(OR(A103="",AC103=""),"",AC103*AT103)</f>
        <v>0</v>
      </c>
      <c r="AV103" s="18">
        <f>IF(A103="","",COUNTIFS('Recipe Ingredients'!$B$5:$B$1204,A103,'Recipe Ingredients'!$N$5:$N$1204,""))</f>
        <v>0</v>
      </c>
      <c r="AZ103" s="18">
        <f>IF(A103="","",COUNTIFS('Meal Plan'!$G$5:$G$504,A103))</f>
        <v>0</v>
      </c>
      <c r="BA103" s="18">
        <f>IF(A103="","",COUNTIFS('Meal Plan'!$G$5:$G$504,A103,'Meal Plan'!$N$5:$N$504,"Prepared")+COUNTIFS('Meal Plan'!$G$5:$G$504,A103,'Meal Plan'!$N$5:$N$504,"Eaten"))</f>
        <v>0</v>
      </c>
      <c r="BB103" s="19">
        <f>IF(A103="","",IF(COUNTIFS('Meal Plan'!$G$5:$G$504,A103,'Meal Plan'!$B$5:$B$504,"&lt;="&amp;TODAY())=0,"",SUMPRODUCT(MAX(('Meal Plan'!$G$5:$G$504=A103)*('Meal Plan'!$B$5:$B$504&lt;=TODAY())*'Meal Plan'!$B$5:$B$504))))</f>
        <v>0</v>
      </c>
      <c r="BC103" s="18">
        <f>IF(BB103="","",TODAY()-BB103)</f>
        <v>0</v>
      </c>
      <c r="BF103" s="31">
        <f>IF(B103="","",IF(G103="","Add - how many does it serve?",IF(AB103=0,"Add - no ingredients listed yet",IF(AV103&gt;0,"Check - "&amp;AV103&amp;" ingredient(s) have no price",IF(AND(BC103&lt;&gt;"",BC103&lt;RotationGapDays),"Cooked recently","OK")))))</f>
        <v>0</v>
      </c>
    </row>
    <row r="104" spans="1:58">
      <c r="A104" s="39">
        <f>IF(B104="","",RecipePrefix&amp;TEXT(ROW()-4,"0000"))</f>
        <v>0</v>
      </c>
      <c r="J104" s="18">
        <f>IF(B104="","",IF(AND(H104="",I104=""),"",IF(H104="",0,H104)+IF(I104="",0,I104)))</f>
        <v>0</v>
      </c>
      <c r="K104" s="46">
        <f>IF(J104="","",IF(J104&lt;=30,"Yes","No"))</f>
        <v>0</v>
      </c>
      <c r="AB104" s="18">
        <f>IF(A104="","",COUNTIFS('Recipe Ingredients'!$B$5:$B$1204,A104))</f>
        <v>0</v>
      </c>
      <c r="AC104" s="25">
        <f>IF(A104="","",SUMIFS('Recipe Ingredients'!$N$5:$N$1204,'Recipe Ingredients'!$B$5:$B$1204,A104))</f>
        <v>0</v>
      </c>
      <c r="AD104" s="25">
        <f>IF(OR(AC104="",G104=""),"",IF(G104=0,"",AC104/G104))</f>
        <v>0</v>
      </c>
      <c r="AE104" s="30">
        <f>IF(OR(A104="",G104=""),"",IF(G104=0,"",SUMIFS('Recipe Ingredients'!$Q$5:$Q$1204,'Recipe Ingredients'!$B$5:$B$1204,A104)/G104))</f>
        <v>0</v>
      </c>
      <c r="AF104" s="45">
        <f>IF(OR(A104="",G104=""),"",IF(G104=0,"",SUMIFS('Recipe Ingredients'!$R$5:$R$1204,'Recipe Ingredients'!$B$5:$B$1204,A104)/G104))</f>
        <v>0</v>
      </c>
      <c r="AG104" s="45">
        <f>IF(OR(A104="",G104=""),"",IF(G104=0,"",SUMIFS('Recipe Ingredients'!$S$5:$S$1204,'Recipe Ingredients'!$B$5:$B$1204,A104)/G104))</f>
        <v>0</v>
      </c>
      <c r="AH104" s="45">
        <f>IF(OR(A104="",G104=""),"",IF(G104=0,"",SUMIFS('Recipe Ingredients'!$T$5:$T$1204,'Recipe Ingredients'!$B$5:$B$1204,A104)/G104))</f>
        <v>0</v>
      </c>
      <c r="AI104" s="45">
        <f>IF(OR(A104="",G104=""),"",IF(G104=0,"",SUMIFS('Recipe Ingredients'!$U$5:$U$1204,'Recipe Ingredients'!$B$5:$B$1204,A104)/G104))</f>
        <v>0</v>
      </c>
      <c r="AJ104" s="17">
        <f>IF(A104="","",IF(COUNTIFS('Recipe Ingredients'!$B$5:$B$1204,A104,'Recipe Ingredients'!$V$5:$V$1204,"&lt;&gt;",'Recipe Ingredients'!$V$5:$V$1204,"&lt;&gt;None")=0,"None listed",COUNTIFS('Recipe Ingredients'!$B$5:$B$1204,A104,'Recipe Ingredients'!$V$5:$V$1204,"&lt;&gt;",'Recipe Ingredients'!$V$5:$V$1204,"&lt;&gt;None")&amp;" ingredient(s) flagged"))</f>
        <v>0</v>
      </c>
      <c r="AK104" s="18">
        <f>IF(OR(AD104="",NOT(ISNUMBER(AD104))),"",COUNTIFS($AD$5:$AD$204,"&lt;"&amp;AD104)+COUNTIFS($AD$5:AD104,AD104))</f>
        <v>0</v>
      </c>
      <c r="AL104" s="18">
        <f>IF(B104="",0,IF(AND(OR(FilterDiet="Any",T104=FilterDiet),OR(FilterCategory="Any",C104=FilterCategory),OR(FilterMethod="Any",L104=FilterMethod),OR(FilterTime=0,AND(J104&lt;&gt;"",J104&lt;=FilterTime)),OR(FilterCost=0,AND(AD104&lt;&gt;"",ISNUMBER(AD104),AD104&lt;=FilterCost)),OR(FilterAllergen="Any",COUNTIFS('Recipe Ingredients'!$B$5:$B$1204,A104,'Recipe Ingredients'!$V$5:$V$1204,FilterAllergen)=0)),1,0))</f>
        <v>0</v>
      </c>
      <c r="AM104" s="18">
        <f>IF(AL104=0,"",SUM($AL$5:AL104))</f>
        <v>0</v>
      </c>
      <c r="AN104" s="18">
        <f>IF(B104="","",COUNTIFS($AZ$5:$AZ$204,"&gt;"&amp;AZ104)+COUNTIFS($AZ$5:AZ104,AZ104))</f>
        <v>0</v>
      </c>
      <c r="AO104" s="18">
        <f>IF(B104="","",COUNTIFS($AE$5:$AE$204,"&gt;"&amp;AE104)+COUNTIFS($AE$5:AE104,AE104))</f>
        <v>0</v>
      </c>
      <c r="AP104" s="18">
        <f>IF(B104="","",COUNTIFS($AF$5:$AF$204,"&gt;"&amp;AF104)+COUNTIFS($AF$5:AF104,AF104))</f>
        <v>0</v>
      </c>
      <c r="AQ104" s="18">
        <f>IF(B104="","",COUNTIFS($AI$5:$AI$204,"&gt;"&amp;AI104)+COUNTIFS($AI$5:AI104,AI104))</f>
        <v>0</v>
      </c>
      <c r="AR104" s="18">
        <f>IF(B104="","",COUNTIFS($AS$5:$AS$204,"&gt;"&amp;AS104)+COUNTIFS($AS$5:AS104,AS104))</f>
        <v>0</v>
      </c>
      <c r="AS104" s="45">
        <f>IF(B104="","",IF(BB104="",99999,BC104))</f>
        <v>0</v>
      </c>
      <c r="AT104" s="45">
        <f>IF(A104="",0,SUMIFS('Meal Plan'!$L$5:$L$504,'Meal Plan'!$G$5:$G$504,A104,'Meal Plan'!$B$5:$B$504,"&gt;="&amp;ShopFrom,'Meal Plan'!$B$5:$B$504,"&lt;="&amp;ShopTo,'Meal Plan'!$M$5:$M$504,"Yes"))</f>
        <v>0</v>
      </c>
      <c r="AU104" s="25">
        <f>IF(OR(A104="",AC104=""),"",AC104*AT104)</f>
        <v>0</v>
      </c>
      <c r="AV104" s="18">
        <f>IF(A104="","",COUNTIFS('Recipe Ingredients'!$B$5:$B$1204,A104,'Recipe Ingredients'!$N$5:$N$1204,""))</f>
        <v>0</v>
      </c>
      <c r="AZ104" s="18">
        <f>IF(A104="","",COUNTIFS('Meal Plan'!$G$5:$G$504,A104))</f>
        <v>0</v>
      </c>
      <c r="BA104" s="18">
        <f>IF(A104="","",COUNTIFS('Meal Plan'!$G$5:$G$504,A104,'Meal Plan'!$N$5:$N$504,"Prepared")+COUNTIFS('Meal Plan'!$G$5:$G$504,A104,'Meal Plan'!$N$5:$N$504,"Eaten"))</f>
        <v>0</v>
      </c>
      <c r="BB104" s="19">
        <f>IF(A104="","",IF(COUNTIFS('Meal Plan'!$G$5:$G$504,A104,'Meal Plan'!$B$5:$B$504,"&lt;="&amp;TODAY())=0,"",SUMPRODUCT(MAX(('Meal Plan'!$G$5:$G$504=A104)*('Meal Plan'!$B$5:$B$504&lt;=TODAY())*'Meal Plan'!$B$5:$B$504))))</f>
        <v>0</v>
      </c>
      <c r="BC104" s="18">
        <f>IF(BB104="","",TODAY()-BB104)</f>
        <v>0</v>
      </c>
      <c r="BF104" s="31">
        <f>IF(B104="","",IF(G104="","Add - how many does it serve?",IF(AB104=0,"Add - no ingredients listed yet",IF(AV104&gt;0,"Check - "&amp;AV104&amp;" ingredient(s) have no price",IF(AND(BC104&lt;&gt;"",BC104&lt;RotationGapDays),"Cooked recently","OK")))))</f>
        <v>0</v>
      </c>
    </row>
    <row r="105" spans="1:58">
      <c r="A105" s="39">
        <f>IF(B105="","",RecipePrefix&amp;TEXT(ROW()-4,"0000"))</f>
        <v>0</v>
      </c>
      <c r="J105" s="18">
        <f>IF(B105="","",IF(AND(H105="",I105=""),"",IF(H105="",0,H105)+IF(I105="",0,I105)))</f>
        <v>0</v>
      </c>
      <c r="K105" s="46">
        <f>IF(J105="","",IF(J105&lt;=30,"Yes","No"))</f>
        <v>0</v>
      </c>
      <c r="AB105" s="18">
        <f>IF(A105="","",COUNTIFS('Recipe Ingredients'!$B$5:$B$1204,A105))</f>
        <v>0</v>
      </c>
      <c r="AC105" s="25">
        <f>IF(A105="","",SUMIFS('Recipe Ingredients'!$N$5:$N$1204,'Recipe Ingredients'!$B$5:$B$1204,A105))</f>
        <v>0</v>
      </c>
      <c r="AD105" s="25">
        <f>IF(OR(AC105="",G105=""),"",IF(G105=0,"",AC105/G105))</f>
        <v>0</v>
      </c>
      <c r="AE105" s="30">
        <f>IF(OR(A105="",G105=""),"",IF(G105=0,"",SUMIFS('Recipe Ingredients'!$Q$5:$Q$1204,'Recipe Ingredients'!$B$5:$B$1204,A105)/G105))</f>
        <v>0</v>
      </c>
      <c r="AF105" s="45">
        <f>IF(OR(A105="",G105=""),"",IF(G105=0,"",SUMIFS('Recipe Ingredients'!$R$5:$R$1204,'Recipe Ingredients'!$B$5:$B$1204,A105)/G105))</f>
        <v>0</v>
      </c>
      <c r="AG105" s="45">
        <f>IF(OR(A105="",G105=""),"",IF(G105=0,"",SUMIFS('Recipe Ingredients'!$S$5:$S$1204,'Recipe Ingredients'!$B$5:$B$1204,A105)/G105))</f>
        <v>0</v>
      </c>
      <c r="AH105" s="45">
        <f>IF(OR(A105="",G105=""),"",IF(G105=0,"",SUMIFS('Recipe Ingredients'!$T$5:$T$1204,'Recipe Ingredients'!$B$5:$B$1204,A105)/G105))</f>
        <v>0</v>
      </c>
      <c r="AI105" s="45">
        <f>IF(OR(A105="",G105=""),"",IF(G105=0,"",SUMIFS('Recipe Ingredients'!$U$5:$U$1204,'Recipe Ingredients'!$B$5:$B$1204,A105)/G105))</f>
        <v>0</v>
      </c>
      <c r="AJ105" s="17">
        <f>IF(A105="","",IF(COUNTIFS('Recipe Ingredients'!$B$5:$B$1204,A105,'Recipe Ingredients'!$V$5:$V$1204,"&lt;&gt;",'Recipe Ingredients'!$V$5:$V$1204,"&lt;&gt;None")=0,"None listed",COUNTIFS('Recipe Ingredients'!$B$5:$B$1204,A105,'Recipe Ingredients'!$V$5:$V$1204,"&lt;&gt;",'Recipe Ingredients'!$V$5:$V$1204,"&lt;&gt;None")&amp;" ingredient(s) flagged"))</f>
        <v>0</v>
      </c>
      <c r="AK105" s="18">
        <f>IF(OR(AD105="",NOT(ISNUMBER(AD105))),"",COUNTIFS($AD$5:$AD$204,"&lt;"&amp;AD105)+COUNTIFS($AD$5:AD105,AD105))</f>
        <v>0</v>
      </c>
      <c r="AL105" s="18">
        <f>IF(B105="",0,IF(AND(OR(FilterDiet="Any",T105=FilterDiet),OR(FilterCategory="Any",C105=FilterCategory),OR(FilterMethod="Any",L105=FilterMethod),OR(FilterTime=0,AND(J105&lt;&gt;"",J105&lt;=FilterTime)),OR(FilterCost=0,AND(AD105&lt;&gt;"",ISNUMBER(AD105),AD105&lt;=FilterCost)),OR(FilterAllergen="Any",COUNTIFS('Recipe Ingredients'!$B$5:$B$1204,A105,'Recipe Ingredients'!$V$5:$V$1204,FilterAllergen)=0)),1,0))</f>
        <v>0</v>
      </c>
      <c r="AM105" s="18">
        <f>IF(AL105=0,"",SUM($AL$5:AL105))</f>
        <v>0</v>
      </c>
      <c r="AN105" s="18">
        <f>IF(B105="","",COUNTIFS($AZ$5:$AZ$204,"&gt;"&amp;AZ105)+COUNTIFS($AZ$5:AZ105,AZ105))</f>
        <v>0</v>
      </c>
      <c r="AO105" s="18">
        <f>IF(B105="","",COUNTIFS($AE$5:$AE$204,"&gt;"&amp;AE105)+COUNTIFS($AE$5:AE105,AE105))</f>
        <v>0</v>
      </c>
      <c r="AP105" s="18">
        <f>IF(B105="","",COUNTIFS($AF$5:$AF$204,"&gt;"&amp;AF105)+COUNTIFS($AF$5:AF105,AF105))</f>
        <v>0</v>
      </c>
      <c r="AQ105" s="18">
        <f>IF(B105="","",COUNTIFS($AI$5:$AI$204,"&gt;"&amp;AI105)+COUNTIFS($AI$5:AI105,AI105))</f>
        <v>0</v>
      </c>
      <c r="AR105" s="18">
        <f>IF(B105="","",COUNTIFS($AS$5:$AS$204,"&gt;"&amp;AS105)+COUNTIFS($AS$5:AS105,AS105))</f>
        <v>0</v>
      </c>
      <c r="AS105" s="45">
        <f>IF(B105="","",IF(BB105="",99999,BC105))</f>
        <v>0</v>
      </c>
      <c r="AT105" s="45">
        <f>IF(A105="",0,SUMIFS('Meal Plan'!$L$5:$L$504,'Meal Plan'!$G$5:$G$504,A105,'Meal Plan'!$B$5:$B$504,"&gt;="&amp;ShopFrom,'Meal Plan'!$B$5:$B$504,"&lt;="&amp;ShopTo,'Meal Plan'!$M$5:$M$504,"Yes"))</f>
        <v>0</v>
      </c>
      <c r="AU105" s="25">
        <f>IF(OR(A105="",AC105=""),"",AC105*AT105)</f>
        <v>0</v>
      </c>
      <c r="AV105" s="18">
        <f>IF(A105="","",COUNTIFS('Recipe Ingredients'!$B$5:$B$1204,A105,'Recipe Ingredients'!$N$5:$N$1204,""))</f>
        <v>0</v>
      </c>
      <c r="AZ105" s="18">
        <f>IF(A105="","",COUNTIFS('Meal Plan'!$G$5:$G$504,A105))</f>
        <v>0</v>
      </c>
      <c r="BA105" s="18">
        <f>IF(A105="","",COUNTIFS('Meal Plan'!$G$5:$G$504,A105,'Meal Plan'!$N$5:$N$504,"Prepared")+COUNTIFS('Meal Plan'!$G$5:$G$504,A105,'Meal Plan'!$N$5:$N$504,"Eaten"))</f>
        <v>0</v>
      </c>
      <c r="BB105" s="19">
        <f>IF(A105="","",IF(COUNTIFS('Meal Plan'!$G$5:$G$504,A105,'Meal Plan'!$B$5:$B$504,"&lt;="&amp;TODAY())=0,"",SUMPRODUCT(MAX(('Meal Plan'!$G$5:$G$504=A105)*('Meal Plan'!$B$5:$B$504&lt;=TODAY())*'Meal Plan'!$B$5:$B$504))))</f>
        <v>0</v>
      </c>
      <c r="BC105" s="18">
        <f>IF(BB105="","",TODAY()-BB105)</f>
        <v>0</v>
      </c>
      <c r="BF105" s="31">
        <f>IF(B105="","",IF(G105="","Add - how many does it serve?",IF(AB105=0,"Add - no ingredients listed yet",IF(AV105&gt;0,"Check - "&amp;AV105&amp;" ingredient(s) have no price",IF(AND(BC105&lt;&gt;"",BC105&lt;RotationGapDays),"Cooked recently","OK")))))</f>
        <v>0</v>
      </c>
    </row>
    <row r="106" spans="1:58">
      <c r="A106" s="39">
        <f>IF(B106="","",RecipePrefix&amp;TEXT(ROW()-4,"0000"))</f>
        <v>0</v>
      </c>
      <c r="J106" s="18">
        <f>IF(B106="","",IF(AND(H106="",I106=""),"",IF(H106="",0,H106)+IF(I106="",0,I106)))</f>
        <v>0</v>
      </c>
      <c r="K106" s="46">
        <f>IF(J106="","",IF(J106&lt;=30,"Yes","No"))</f>
        <v>0</v>
      </c>
      <c r="AB106" s="18">
        <f>IF(A106="","",COUNTIFS('Recipe Ingredients'!$B$5:$B$1204,A106))</f>
        <v>0</v>
      </c>
      <c r="AC106" s="25">
        <f>IF(A106="","",SUMIFS('Recipe Ingredients'!$N$5:$N$1204,'Recipe Ingredients'!$B$5:$B$1204,A106))</f>
        <v>0</v>
      </c>
      <c r="AD106" s="25">
        <f>IF(OR(AC106="",G106=""),"",IF(G106=0,"",AC106/G106))</f>
        <v>0</v>
      </c>
      <c r="AE106" s="30">
        <f>IF(OR(A106="",G106=""),"",IF(G106=0,"",SUMIFS('Recipe Ingredients'!$Q$5:$Q$1204,'Recipe Ingredients'!$B$5:$B$1204,A106)/G106))</f>
        <v>0</v>
      </c>
      <c r="AF106" s="45">
        <f>IF(OR(A106="",G106=""),"",IF(G106=0,"",SUMIFS('Recipe Ingredients'!$R$5:$R$1204,'Recipe Ingredients'!$B$5:$B$1204,A106)/G106))</f>
        <v>0</v>
      </c>
      <c r="AG106" s="45">
        <f>IF(OR(A106="",G106=""),"",IF(G106=0,"",SUMIFS('Recipe Ingredients'!$S$5:$S$1204,'Recipe Ingredients'!$B$5:$B$1204,A106)/G106))</f>
        <v>0</v>
      </c>
      <c r="AH106" s="45">
        <f>IF(OR(A106="",G106=""),"",IF(G106=0,"",SUMIFS('Recipe Ingredients'!$T$5:$T$1204,'Recipe Ingredients'!$B$5:$B$1204,A106)/G106))</f>
        <v>0</v>
      </c>
      <c r="AI106" s="45">
        <f>IF(OR(A106="",G106=""),"",IF(G106=0,"",SUMIFS('Recipe Ingredients'!$U$5:$U$1204,'Recipe Ingredients'!$B$5:$B$1204,A106)/G106))</f>
        <v>0</v>
      </c>
      <c r="AJ106" s="17">
        <f>IF(A106="","",IF(COUNTIFS('Recipe Ingredients'!$B$5:$B$1204,A106,'Recipe Ingredients'!$V$5:$V$1204,"&lt;&gt;",'Recipe Ingredients'!$V$5:$V$1204,"&lt;&gt;None")=0,"None listed",COUNTIFS('Recipe Ingredients'!$B$5:$B$1204,A106,'Recipe Ingredients'!$V$5:$V$1204,"&lt;&gt;",'Recipe Ingredients'!$V$5:$V$1204,"&lt;&gt;None")&amp;" ingredient(s) flagged"))</f>
        <v>0</v>
      </c>
      <c r="AK106" s="18">
        <f>IF(OR(AD106="",NOT(ISNUMBER(AD106))),"",COUNTIFS($AD$5:$AD$204,"&lt;"&amp;AD106)+COUNTIFS($AD$5:AD106,AD106))</f>
        <v>0</v>
      </c>
      <c r="AL106" s="18">
        <f>IF(B106="",0,IF(AND(OR(FilterDiet="Any",T106=FilterDiet),OR(FilterCategory="Any",C106=FilterCategory),OR(FilterMethod="Any",L106=FilterMethod),OR(FilterTime=0,AND(J106&lt;&gt;"",J106&lt;=FilterTime)),OR(FilterCost=0,AND(AD106&lt;&gt;"",ISNUMBER(AD106),AD106&lt;=FilterCost)),OR(FilterAllergen="Any",COUNTIFS('Recipe Ingredients'!$B$5:$B$1204,A106,'Recipe Ingredients'!$V$5:$V$1204,FilterAllergen)=0)),1,0))</f>
        <v>0</v>
      </c>
      <c r="AM106" s="18">
        <f>IF(AL106=0,"",SUM($AL$5:AL106))</f>
        <v>0</v>
      </c>
      <c r="AN106" s="18">
        <f>IF(B106="","",COUNTIFS($AZ$5:$AZ$204,"&gt;"&amp;AZ106)+COUNTIFS($AZ$5:AZ106,AZ106))</f>
        <v>0</v>
      </c>
      <c r="AO106" s="18">
        <f>IF(B106="","",COUNTIFS($AE$5:$AE$204,"&gt;"&amp;AE106)+COUNTIFS($AE$5:AE106,AE106))</f>
        <v>0</v>
      </c>
      <c r="AP106" s="18">
        <f>IF(B106="","",COUNTIFS($AF$5:$AF$204,"&gt;"&amp;AF106)+COUNTIFS($AF$5:AF106,AF106))</f>
        <v>0</v>
      </c>
      <c r="AQ106" s="18">
        <f>IF(B106="","",COUNTIFS($AI$5:$AI$204,"&gt;"&amp;AI106)+COUNTIFS($AI$5:AI106,AI106))</f>
        <v>0</v>
      </c>
      <c r="AR106" s="18">
        <f>IF(B106="","",COUNTIFS($AS$5:$AS$204,"&gt;"&amp;AS106)+COUNTIFS($AS$5:AS106,AS106))</f>
        <v>0</v>
      </c>
      <c r="AS106" s="45">
        <f>IF(B106="","",IF(BB106="",99999,BC106))</f>
        <v>0</v>
      </c>
      <c r="AT106" s="45">
        <f>IF(A106="",0,SUMIFS('Meal Plan'!$L$5:$L$504,'Meal Plan'!$G$5:$G$504,A106,'Meal Plan'!$B$5:$B$504,"&gt;="&amp;ShopFrom,'Meal Plan'!$B$5:$B$504,"&lt;="&amp;ShopTo,'Meal Plan'!$M$5:$M$504,"Yes"))</f>
        <v>0</v>
      </c>
      <c r="AU106" s="25">
        <f>IF(OR(A106="",AC106=""),"",AC106*AT106)</f>
        <v>0</v>
      </c>
      <c r="AV106" s="18">
        <f>IF(A106="","",COUNTIFS('Recipe Ingredients'!$B$5:$B$1204,A106,'Recipe Ingredients'!$N$5:$N$1204,""))</f>
        <v>0</v>
      </c>
      <c r="AZ106" s="18">
        <f>IF(A106="","",COUNTIFS('Meal Plan'!$G$5:$G$504,A106))</f>
        <v>0</v>
      </c>
      <c r="BA106" s="18">
        <f>IF(A106="","",COUNTIFS('Meal Plan'!$G$5:$G$504,A106,'Meal Plan'!$N$5:$N$504,"Prepared")+COUNTIFS('Meal Plan'!$G$5:$G$504,A106,'Meal Plan'!$N$5:$N$504,"Eaten"))</f>
        <v>0</v>
      </c>
      <c r="BB106" s="19">
        <f>IF(A106="","",IF(COUNTIFS('Meal Plan'!$G$5:$G$504,A106,'Meal Plan'!$B$5:$B$504,"&lt;="&amp;TODAY())=0,"",SUMPRODUCT(MAX(('Meal Plan'!$G$5:$G$504=A106)*('Meal Plan'!$B$5:$B$504&lt;=TODAY())*'Meal Plan'!$B$5:$B$504))))</f>
        <v>0</v>
      </c>
      <c r="BC106" s="18">
        <f>IF(BB106="","",TODAY()-BB106)</f>
        <v>0</v>
      </c>
      <c r="BF106" s="31">
        <f>IF(B106="","",IF(G106="","Add - how many does it serve?",IF(AB106=0,"Add - no ingredients listed yet",IF(AV106&gt;0,"Check - "&amp;AV106&amp;" ingredient(s) have no price",IF(AND(BC106&lt;&gt;"",BC106&lt;RotationGapDays),"Cooked recently","OK")))))</f>
        <v>0</v>
      </c>
    </row>
    <row r="107" spans="1:58">
      <c r="A107" s="39">
        <f>IF(B107="","",RecipePrefix&amp;TEXT(ROW()-4,"0000"))</f>
        <v>0</v>
      </c>
      <c r="J107" s="18">
        <f>IF(B107="","",IF(AND(H107="",I107=""),"",IF(H107="",0,H107)+IF(I107="",0,I107)))</f>
        <v>0</v>
      </c>
      <c r="K107" s="46">
        <f>IF(J107="","",IF(J107&lt;=30,"Yes","No"))</f>
        <v>0</v>
      </c>
      <c r="AB107" s="18">
        <f>IF(A107="","",COUNTIFS('Recipe Ingredients'!$B$5:$B$1204,A107))</f>
        <v>0</v>
      </c>
      <c r="AC107" s="25">
        <f>IF(A107="","",SUMIFS('Recipe Ingredients'!$N$5:$N$1204,'Recipe Ingredients'!$B$5:$B$1204,A107))</f>
        <v>0</v>
      </c>
      <c r="AD107" s="25">
        <f>IF(OR(AC107="",G107=""),"",IF(G107=0,"",AC107/G107))</f>
        <v>0</v>
      </c>
      <c r="AE107" s="30">
        <f>IF(OR(A107="",G107=""),"",IF(G107=0,"",SUMIFS('Recipe Ingredients'!$Q$5:$Q$1204,'Recipe Ingredients'!$B$5:$B$1204,A107)/G107))</f>
        <v>0</v>
      </c>
      <c r="AF107" s="45">
        <f>IF(OR(A107="",G107=""),"",IF(G107=0,"",SUMIFS('Recipe Ingredients'!$R$5:$R$1204,'Recipe Ingredients'!$B$5:$B$1204,A107)/G107))</f>
        <v>0</v>
      </c>
      <c r="AG107" s="45">
        <f>IF(OR(A107="",G107=""),"",IF(G107=0,"",SUMIFS('Recipe Ingredients'!$S$5:$S$1204,'Recipe Ingredients'!$B$5:$B$1204,A107)/G107))</f>
        <v>0</v>
      </c>
      <c r="AH107" s="45">
        <f>IF(OR(A107="",G107=""),"",IF(G107=0,"",SUMIFS('Recipe Ingredients'!$T$5:$T$1204,'Recipe Ingredients'!$B$5:$B$1204,A107)/G107))</f>
        <v>0</v>
      </c>
      <c r="AI107" s="45">
        <f>IF(OR(A107="",G107=""),"",IF(G107=0,"",SUMIFS('Recipe Ingredients'!$U$5:$U$1204,'Recipe Ingredients'!$B$5:$B$1204,A107)/G107))</f>
        <v>0</v>
      </c>
      <c r="AJ107" s="17">
        <f>IF(A107="","",IF(COUNTIFS('Recipe Ingredients'!$B$5:$B$1204,A107,'Recipe Ingredients'!$V$5:$V$1204,"&lt;&gt;",'Recipe Ingredients'!$V$5:$V$1204,"&lt;&gt;None")=0,"None listed",COUNTIFS('Recipe Ingredients'!$B$5:$B$1204,A107,'Recipe Ingredients'!$V$5:$V$1204,"&lt;&gt;",'Recipe Ingredients'!$V$5:$V$1204,"&lt;&gt;None")&amp;" ingredient(s) flagged"))</f>
        <v>0</v>
      </c>
      <c r="AK107" s="18">
        <f>IF(OR(AD107="",NOT(ISNUMBER(AD107))),"",COUNTIFS($AD$5:$AD$204,"&lt;"&amp;AD107)+COUNTIFS($AD$5:AD107,AD107))</f>
        <v>0</v>
      </c>
      <c r="AL107" s="18">
        <f>IF(B107="",0,IF(AND(OR(FilterDiet="Any",T107=FilterDiet),OR(FilterCategory="Any",C107=FilterCategory),OR(FilterMethod="Any",L107=FilterMethod),OR(FilterTime=0,AND(J107&lt;&gt;"",J107&lt;=FilterTime)),OR(FilterCost=0,AND(AD107&lt;&gt;"",ISNUMBER(AD107),AD107&lt;=FilterCost)),OR(FilterAllergen="Any",COUNTIFS('Recipe Ingredients'!$B$5:$B$1204,A107,'Recipe Ingredients'!$V$5:$V$1204,FilterAllergen)=0)),1,0))</f>
        <v>0</v>
      </c>
      <c r="AM107" s="18">
        <f>IF(AL107=0,"",SUM($AL$5:AL107))</f>
        <v>0</v>
      </c>
      <c r="AN107" s="18">
        <f>IF(B107="","",COUNTIFS($AZ$5:$AZ$204,"&gt;"&amp;AZ107)+COUNTIFS($AZ$5:AZ107,AZ107))</f>
        <v>0</v>
      </c>
      <c r="AO107" s="18">
        <f>IF(B107="","",COUNTIFS($AE$5:$AE$204,"&gt;"&amp;AE107)+COUNTIFS($AE$5:AE107,AE107))</f>
        <v>0</v>
      </c>
      <c r="AP107" s="18">
        <f>IF(B107="","",COUNTIFS($AF$5:$AF$204,"&gt;"&amp;AF107)+COUNTIFS($AF$5:AF107,AF107))</f>
        <v>0</v>
      </c>
      <c r="AQ107" s="18">
        <f>IF(B107="","",COUNTIFS($AI$5:$AI$204,"&gt;"&amp;AI107)+COUNTIFS($AI$5:AI107,AI107))</f>
        <v>0</v>
      </c>
      <c r="AR107" s="18">
        <f>IF(B107="","",COUNTIFS($AS$5:$AS$204,"&gt;"&amp;AS107)+COUNTIFS($AS$5:AS107,AS107))</f>
        <v>0</v>
      </c>
      <c r="AS107" s="45">
        <f>IF(B107="","",IF(BB107="",99999,BC107))</f>
        <v>0</v>
      </c>
      <c r="AT107" s="45">
        <f>IF(A107="",0,SUMIFS('Meal Plan'!$L$5:$L$504,'Meal Plan'!$G$5:$G$504,A107,'Meal Plan'!$B$5:$B$504,"&gt;="&amp;ShopFrom,'Meal Plan'!$B$5:$B$504,"&lt;="&amp;ShopTo,'Meal Plan'!$M$5:$M$504,"Yes"))</f>
        <v>0</v>
      </c>
      <c r="AU107" s="25">
        <f>IF(OR(A107="",AC107=""),"",AC107*AT107)</f>
        <v>0</v>
      </c>
      <c r="AV107" s="18">
        <f>IF(A107="","",COUNTIFS('Recipe Ingredients'!$B$5:$B$1204,A107,'Recipe Ingredients'!$N$5:$N$1204,""))</f>
        <v>0</v>
      </c>
      <c r="AZ107" s="18">
        <f>IF(A107="","",COUNTIFS('Meal Plan'!$G$5:$G$504,A107))</f>
        <v>0</v>
      </c>
      <c r="BA107" s="18">
        <f>IF(A107="","",COUNTIFS('Meal Plan'!$G$5:$G$504,A107,'Meal Plan'!$N$5:$N$504,"Prepared")+COUNTIFS('Meal Plan'!$G$5:$G$504,A107,'Meal Plan'!$N$5:$N$504,"Eaten"))</f>
        <v>0</v>
      </c>
      <c r="BB107" s="19">
        <f>IF(A107="","",IF(COUNTIFS('Meal Plan'!$G$5:$G$504,A107,'Meal Plan'!$B$5:$B$504,"&lt;="&amp;TODAY())=0,"",SUMPRODUCT(MAX(('Meal Plan'!$G$5:$G$504=A107)*('Meal Plan'!$B$5:$B$504&lt;=TODAY())*'Meal Plan'!$B$5:$B$504))))</f>
        <v>0</v>
      </c>
      <c r="BC107" s="18">
        <f>IF(BB107="","",TODAY()-BB107)</f>
        <v>0</v>
      </c>
      <c r="BF107" s="31">
        <f>IF(B107="","",IF(G107="","Add - how many does it serve?",IF(AB107=0,"Add - no ingredients listed yet",IF(AV107&gt;0,"Check - "&amp;AV107&amp;" ingredient(s) have no price",IF(AND(BC107&lt;&gt;"",BC107&lt;RotationGapDays),"Cooked recently","OK")))))</f>
        <v>0</v>
      </c>
    </row>
    <row r="108" spans="1:58">
      <c r="A108" s="39">
        <f>IF(B108="","",RecipePrefix&amp;TEXT(ROW()-4,"0000"))</f>
        <v>0</v>
      </c>
      <c r="J108" s="18">
        <f>IF(B108="","",IF(AND(H108="",I108=""),"",IF(H108="",0,H108)+IF(I108="",0,I108)))</f>
        <v>0</v>
      </c>
      <c r="K108" s="46">
        <f>IF(J108="","",IF(J108&lt;=30,"Yes","No"))</f>
        <v>0</v>
      </c>
      <c r="AB108" s="18">
        <f>IF(A108="","",COUNTIFS('Recipe Ingredients'!$B$5:$B$1204,A108))</f>
        <v>0</v>
      </c>
      <c r="AC108" s="25">
        <f>IF(A108="","",SUMIFS('Recipe Ingredients'!$N$5:$N$1204,'Recipe Ingredients'!$B$5:$B$1204,A108))</f>
        <v>0</v>
      </c>
      <c r="AD108" s="25">
        <f>IF(OR(AC108="",G108=""),"",IF(G108=0,"",AC108/G108))</f>
        <v>0</v>
      </c>
      <c r="AE108" s="30">
        <f>IF(OR(A108="",G108=""),"",IF(G108=0,"",SUMIFS('Recipe Ingredients'!$Q$5:$Q$1204,'Recipe Ingredients'!$B$5:$B$1204,A108)/G108))</f>
        <v>0</v>
      </c>
      <c r="AF108" s="45">
        <f>IF(OR(A108="",G108=""),"",IF(G108=0,"",SUMIFS('Recipe Ingredients'!$R$5:$R$1204,'Recipe Ingredients'!$B$5:$B$1204,A108)/G108))</f>
        <v>0</v>
      </c>
      <c r="AG108" s="45">
        <f>IF(OR(A108="",G108=""),"",IF(G108=0,"",SUMIFS('Recipe Ingredients'!$S$5:$S$1204,'Recipe Ingredients'!$B$5:$B$1204,A108)/G108))</f>
        <v>0</v>
      </c>
      <c r="AH108" s="45">
        <f>IF(OR(A108="",G108=""),"",IF(G108=0,"",SUMIFS('Recipe Ingredients'!$T$5:$T$1204,'Recipe Ingredients'!$B$5:$B$1204,A108)/G108))</f>
        <v>0</v>
      </c>
      <c r="AI108" s="45">
        <f>IF(OR(A108="",G108=""),"",IF(G108=0,"",SUMIFS('Recipe Ingredients'!$U$5:$U$1204,'Recipe Ingredients'!$B$5:$B$1204,A108)/G108))</f>
        <v>0</v>
      </c>
      <c r="AJ108" s="17">
        <f>IF(A108="","",IF(COUNTIFS('Recipe Ingredients'!$B$5:$B$1204,A108,'Recipe Ingredients'!$V$5:$V$1204,"&lt;&gt;",'Recipe Ingredients'!$V$5:$V$1204,"&lt;&gt;None")=0,"None listed",COUNTIFS('Recipe Ingredients'!$B$5:$B$1204,A108,'Recipe Ingredients'!$V$5:$V$1204,"&lt;&gt;",'Recipe Ingredients'!$V$5:$V$1204,"&lt;&gt;None")&amp;" ingredient(s) flagged"))</f>
        <v>0</v>
      </c>
      <c r="AK108" s="18">
        <f>IF(OR(AD108="",NOT(ISNUMBER(AD108))),"",COUNTIFS($AD$5:$AD$204,"&lt;"&amp;AD108)+COUNTIFS($AD$5:AD108,AD108))</f>
        <v>0</v>
      </c>
      <c r="AL108" s="18">
        <f>IF(B108="",0,IF(AND(OR(FilterDiet="Any",T108=FilterDiet),OR(FilterCategory="Any",C108=FilterCategory),OR(FilterMethod="Any",L108=FilterMethod),OR(FilterTime=0,AND(J108&lt;&gt;"",J108&lt;=FilterTime)),OR(FilterCost=0,AND(AD108&lt;&gt;"",ISNUMBER(AD108),AD108&lt;=FilterCost)),OR(FilterAllergen="Any",COUNTIFS('Recipe Ingredients'!$B$5:$B$1204,A108,'Recipe Ingredients'!$V$5:$V$1204,FilterAllergen)=0)),1,0))</f>
        <v>0</v>
      </c>
      <c r="AM108" s="18">
        <f>IF(AL108=0,"",SUM($AL$5:AL108))</f>
        <v>0</v>
      </c>
      <c r="AN108" s="18">
        <f>IF(B108="","",COUNTIFS($AZ$5:$AZ$204,"&gt;"&amp;AZ108)+COUNTIFS($AZ$5:AZ108,AZ108))</f>
        <v>0</v>
      </c>
      <c r="AO108" s="18">
        <f>IF(B108="","",COUNTIFS($AE$5:$AE$204,"&gt;"&amp;AE108)+COUNTIFS($AE$5:AE108,AE108))</f>
        <v>0</v>
      </c>
      <c r="AP108" s="18">
        <f>IF(B108="","",COUNTIFS($AF$5:$AF$204,"&gt;"&amp;AF108)+COUNTIFS($AF$5:AF108,AF108))</f>
        <v>0</v>
      </c>
      <c r="AQ108" s="18">
        <f>IF(B108="","",COUNTIFS($AI$5:$AI$204,"&gt;"&amp;AI108)+COUNTIFS($AI$5:AI108,AI108))</f>
        <v>0</v>
      </c>
      <c r="AR108" s="18">
        <f>IF(B108="","",COUNTIFS($AS$5:$AS$204,"&gt;"&amp;AS108)+COUNTIFS($AS$5:AS108,AS108))</f>
        <v>0</v>
      </c>
      <c r="AS108" s="45">
        <f>IF(B108="","",IF(BB108="",99999,BC108))</f>
        <v>0</v>
      </c>
      <c r="AT108" s="45">
        <f>IF(A108="",0,SUMIFS('Meal Plan'!$L$5:$L$504,'Meal Plan'!$G$5:$G$504,A108,'Meal Plan'!$B$5:$B$504,"&gt;="&amp;ShopFrom,'Meal Plan'!$B$5:$B$504,"&lt;="&amp;ShopTo,'Meal Plan'!$M$5:$M$504,"Yes"))</f>
        <v>0</v>
      </c>
      <c r="AU108" s="25">
        <f>IF(OR(A108="",AC108=""),"",AC108*AT108)</f>
        <v>0</v>
      </c>
      <c r="AV108" s="18">
        <f>IF(A108="","",COUNTIFS('Recipe Ingredients'!$B$5:$B$1204,A108,'Recipe Ingredients'!$N$5:$N$1204,""))</f>
        <v>0</v>
      </c>
      <c r="AZ108" s="18">
        <f>IF(A108="","",COUNTIFS('Meal Plan'!$G$5:$G$504,A108))</f>
        <v>0</v>
      </c>
      <c r="BA108" s="18">
        <f>IF(A108="","",COUNTIFS('Meal Plan'!$G$5:$G$504,A108,'Meal Plan'!$N$5:$N$504,"Prepared")+COUNTIFS('Meal Plan'!$G$5:$G$504,A108,'Meal Plan'!$N$5:$N$504,"Eaten"))</f>
        <v>0</v>
      </c>
      <c r="BB108" s="19">
        <f>IF(A108="","",IF(COUNTIFS('Meal Plan'!$G$5:$G$504,A108,'Meal Plan'!$B$5:$B$504,"&lt;="&amp;TODAY())=0,"",SUMPRODUCT(MAX(('Meal Plan'!$G$5:$G$504=A108)*('Meal Plan'!$B$5:$B$504&lt;=TODAY())*'Meal Plan'!$B$5:$B$504))))</f>
        <v>0</v>
      </c>
      <c r="BC108" s="18">
        <f>IF(BB108="","",TODAY()-BB108)</f>
        <v>0</v>
      </c>
      <c r="BF108" s="31">
        <f>IF(B108="","",IF(G108="","Add - how many does it serve?",IF(AB108=0,"Add - no ingredients listed yet",IF(AV108&gt;0,"Check - "&amp;AV108&amp;" ingredient(s) have no price",IF(AND(BC108&lt;&gt;"",BC108&lt;RotationGapDays),"Cooked recently","OK")))))</f>
        <v>0</v>
      </c>
    </row>
    <row r="109" spans="1:58">
      <c r="A109" s="39">
        <f>IF(B109="","",RecipePrefix&amp;TEXT(ROW()-4,"0000"))</f>
        <v>0</v>
      </c>
      <c r="J109" s="18">
        <f>IF(B109="","",IF(AND(H109="",I109=""),"",IF(H109="",0,H109)+IF(I109="",0,I109)))</f>
        <v>0</v>
      </c>
      <c r="K109" s="46">
        <f>IF(J109="","",IF(J109&lt;=30,"Yes","No"))</f>
        <v>0</v>
      </c>
      <c r="AB109" s="18">
        <f>IF(A109="","",COUNTIFS('Recipe Ingredients'!$B$5:$B$1204,A109))</f>
        <v>0</v>
      </c>
      <c r="AC109" s="25">
        <f>IF(A109="","",SUMIFS('Recipe Ingredients'!$N$5:$N$1204,'Recipe Ingredients'!$B$5:$B$1204,A109))</f>
        <v>0</v>
      </c>
      <c r="AD109" s="25">
        <f>IF(OR(AC109="",G109=""),"",IF(G109=0,"",AC109/G109))</f>
        <v>0</v>
      </c>
      <c r="AE109" s="30">
        <f>IF(OR(A109="",G109=""),"",IF(G109=0,"",SUMIFS('Recipe Ingredients'!$Q$5:$Q$1204,'Recipe Ingredients'!$B$5:$B$1204,A109)/G109))</f>
        <v>0</v>
      </c>
      <c r="AF109" s="45">
        <f>IF(OR(A109="",G109=""),"",IF(G109=0,"",SUMIFS('Recipe Ingredients'!$R$5:$R$1204,'Recipe Ingredients'!$B$5:$B$1204,A109)/G109))</f>
        <v>0</v>
      </c>
      <c r="AG109" s="45">
        <f>IF(OR(A109="",G109=""),"",IF(G109=0,"",SUMIFS('Recipe Ingredients'!$S$5:$S$1204,'Recipe Ingredients'!$B$5:$B$1204,A109)/G109))</f>
        <v>0</v>
      </c>
      <c r="AH109" s="45">
        <f>IF(OR(A109="",G109=""),"",IF(G109=0,"",SUMIFS('Recipe Ingredients'!$T$5:$T$1204,'Recipe Ingredients'!$B$5:$B$1204,A109)/G109))</f>
        <v>0</v>
      </c>
      <c r="AI109" s="45">
        <f>IF(OR(A109="",G109=""),"",IF(G109=0,"",SUMIFS('Recipe Ingredients'!$U$5:$U$1204,'Recipe Ingredients'!$B$5:$B$1204,A109)/G109))</f>
        <v>0</v>
      </c>
      <c r="AJ109" s="17">
        <f>IF(A109="","",IF(COUNTIFS('Recipe Ingredients'!$B$5:$B$1204,A109,'Recipe Ingredients'!$V$5:$V$1204,"&lt;&gt;",'Recipe Ingredients'!$V$5:$V$1204,"&lt;&gt;None")=0,"None listed",COUNTIFS('Recipe Ingredients'!$B$5:$B$1204,A109,'Recipe Ingredients'!$V$5:$V$1204,"&lt;&gt;",'Recipe Ingredients'!$V$5:$V$1204,"&lt;&gt;None")&amp;" ingredient(s) flagged"))</f>
        <v>0</v>
      </c>
      <c r="AK109" s="18">
        <f>IF(OR(AD109="",NOT(ISNUMBER(AD109))),"",COUNTIFS($AD$5:$AD$204,"&lt;"&amp;AD109)+COUNTIFS($AD$5:AD109,AD109))</f>
        <v>0</v>
      </c>
      <c r="AL109" s="18">
        <f>IF(B109="",0,IF(AND(OR(FilterDiet="Any",T109=FilterDiet),OR(FilterCategory="Any",C109=FilterCategory),OR(FilterMethod="Any",L109=FilterMethod),OR(FilterTime=0,AND(J109&lt;&gt;"",J109&lt;=FilterTime)),OR(FilterCost=0,AND(AD109&lt;&gt;"",ISNUMBER(AD109),AD109&lt;=FilterCost)),OR(FilterAllergen="Any",COUNTIFS('Recipe Ingredients'!$B$5:$B$1204,A109,'Recipe Ingredients'!$V$5:$V$1204,FilterAllergen)=0)),1,0))</f>
        <v>0</v>
      </c>
      <c r="AM109" s="18">
        <f>IF(AL109=0,"",SUM($AL$5:AL109))</f>
        <v>0</v>
      </c>
      <c r="AN109" s="18">
        <f>IF(B109="","",COUNTIFS($AZ$5:$AZ$204,"&gt;"&amp;AZ109)+COUNTIFS($AZ$5:AZ109,AZ109))</f>
        <v>0</v>
      </c>
      <c r="AO109" s="18">
        <f>IF(B109="","",COUNTIFS($AE$5:$AE$204,"&gt;"&amp;AE109)+COUNTIFS($AE$5:AE109,AE109))</f>
        <v>0</v>
      </c>
      <c r="AP109" s="18">
        <f>IF(B109="","",COUNTIFS($AF$5:$AF$204,"&gt;"&amp;AF109)+COUNTIFS($AF$5:AF109,AF109))</f>
        <v>0</v>
      </c>
      <c r="AQ109" s="18">
        <f>IF(B109="","",COUNTIFS($AI$5:$AI$204,"&gt;"&amp;AI109)+COUNTIFS($AI$5:AI109,AI109))</f>
        <v>0</v>
      </c>
      <c r="AR109" s="18">
        <f>IF(B109="","",COUNTIFS($AS$5:$AS$204,"&gt;"&amp;AS109)+COUNTIFS($AS$5:AS109,AS109))</f>
        <v>0</v>
      </c>
      <c r="AS109" s="45">
        <f>IF(B109="","",IF(BB109="",99999,BC109))</f>
        <v>0</v>
      </c>
      <c r="AT109" s="45">
        <f>IF(A109="",0,SUMIFS('Meal Plan'!$L$5:$L$504,'Meal Plan'!$G$5:$G$504,A109,'Meal Plan'!$B$5:$B$504,"&gt;="&amp;ShopFrom,'Meal Plan'!$B$5:$B$504,"&lt;="&amp;ShopTo,'Meal Plan'!$M$5:$M$504,"Yes"))</f>
        <v>0</v>
      </c>
      <c r="AU109" s="25">
        <f>IF(OR(A109="",AC109=""),"",AC109*AT109)</f>
        <v>0</v>
      </c>
      <c r="AV109" s="18">
        <f>IF(A109="","",COUNTIFS('Recipe Ingredients'!$B$5:$B$1204,A109,'Recipe Ingredients'!$N$5:$N$1204,""))</f>
        <v>0</v>
      </c>
      <c r="AZ109" s="18">
        <f>IF(A109="","",COUNTIFS('Meal Plan'!$G$5:$G$504,A109))</f>
        <v>0</v>
      </c>
      <c r="BA109" s="18">
        <f>IF(A109="","",COUNTIFS('Meal Plan'!$G$5:$G$504,A109,'Meal Plan'!$N$5:$N$504,"Prepared")+COUNTIFS('Meal Plan'!$G$5:$G$504,A109,'Meal Plan'!$N$5:$N$504,"Eaten"))</f>
        <v>0</v>
      </c>
      <c r="BB109" s="19">
        <f>IF(A109="","",IF(COUNTIFS('Meal Plan'!$G$5:$G$504,A109,'Meal Plan'!$B$5:$B$504,"&lt;="&amp;TODAY())=0,"",SUMPRODUCT(MAX(('Meal Plan'!$G$5:$G$504=A109)*('Meal Plan'!$B$5:$B$504&lt;=TODAY())*'Meal Plan'!$B$5:$B$504))))</f>
        <v>0</v>
      </c>
      <c r="BC109" s="18">
        <f>IF(BB109="","",TODAY()-BB109)</f>
        <v>0</v>
      </c>
      <c r="BF109" s="31">
        <f>IF(B109="","",IF(G109="","Add - how many does it serve?",IF(AB109=0,"Add - no ingredients listed yet",IF(AV109&gt;0,"Check - "&amp;AV109&amp;" ingredient(s) have no price",IF(AND(BC109&lt;&gt;"",BC109&lt;RotationGapDays),"Cooked recently","OK")))))</f>
        <v>0</v>
      </c>
    </row>
    <row r="110" spans="1:58">
      <c r="A110" s="39">
        <f>IF(B110="","",RecipePrefix&amp;TEXT(ROW()-4,"0000"))</f>
        <v>0</v>
      </c>
      <c r="J110" s="18">
        <f>IF(B110="","",IF(AND(H110="",I110=""),"",IF(H110="",0,H110)+IF(I110="",0,I110)))</f>
        <v>0</v>
      </c>
      <c r="K110" s="46">
        <f>IF(J110="","",IF(J110&lt;=30,"Yes","No"))</f>
        <v>0</v>
      </c>
      <c r="AB110" s="18">
        <f>IF(A110="","",COUNTIFS('Recipe Ingredients'!$B$5:$B$1204,A110))</f>
        <v>0</v>
      </c>
      <c r="AC110" s="25">
        <f>IF(A110="","",SUMIFS('Recipe Ingredients'!$N$5:$N$1204,'Recipe Ingredients'!$B$5:$B$1204,A110))</f>
        <v>0</v>
      </c>
      <c r="AD110" s="25">
        <f>IF(OR(AC110="",G110=""),"",IF(G110=0,"",AC110/G110))</f>
        <v>0</v>
      </c>
      <c r="AE110" s="30">
        <f>IF(OR(A110="",G110=""),"",IF(G110=0,"",SUMIFS('Recipe Ingredients'!$Q$5:$Q$1204,'Recipe Ingredients'!$B$5:$B$1204,A110)/G110))</f>
        <v>0</v>
      </c>
      <c r="AF110" s="45">
        <f>IF(OR(A110="",G110=""),"",IF(G110=0,"",SUMIFS('Recipe Ingredients'!$R$5:$R$1204,'Recipe Ingredients'!$B$5:$B$1204,A110)/G110))</f>
        <v>0</v>
      </c>
      <c r="AG110" s="45">
        <f>IF(OR(A110="",G110=""),"",IF(G110=0,"",SUMIFS('Recipe Ingredients'!$S$5:$S$1204,'Recipe Ingredients'!$B$5:$B$1204,A110)/G110))</f>
        <v>0</v>
      </c>
      <c r="AH110" s="45">
        <f>IF(OR(A110="",G110=""),"",IF(G110=0,"",SUMIFS('Recipe Ingredients'!$T$5:$T$1204,'Recipe Ingredients'!$B$5:$B$1204,A110)/G110))</f>
        <v>0</v>
      </c>
      <c r="AI110" s="45">
        <f>IF(OR(A110="",G110=""),"",IF(G110=0,"",SUMIFS('Recipe Ingredients'!$U$5:$U$1204,'Recipe Ingredients'!$B$5:$B$1204,A110)/G110))</f>
        <v>0</v>
      </c>
      <c r="AJ110" s="17">
        <f>IF(A110="","",IF(COUNTIFS('Recipe Ingredients'!$B$5:$B$1204,A110,'Recipe Ingredients'!$V$5:$V$1204,"&lt;&gt;",'Recipe Ingredients'!$V$5:$V$1204,"&lt;&gt;None")=0,"None listed",COUNTIFS('Recipe Ingredients'!$B$5:$B$1204,A110,'Recipe Ingredients'!$V$5:$V$1204,"&lt;&gt;",'Recipe Ingredients'!$V$5:$V$1204,"&lt;&gt;None")&amp;" ingredient(s) flagged"))</f>
        <v>0</v>
      </c>
      <c r="AK110" s="18">
        <f>IF(OR(AD110="",NOT(ISNUMBER(AD110))),"",COUNTIFS($AD$5:$AD$204,"&lt;"&amp;AD110)+COUNTIFS($AD$5:AD110,AD110))</f>
        <v>0</v>
      </c>
      <c r="AL110" s="18">
        <f>IF(B110="",0,IF(AND(OR(FilterDiet="Any",T110=FilterDiet),OR(FilterCategory="Any",C110=FilterCategory),OR(FilterMethod="Any",L110=FilterMethod),OR(FilterTime=0,AND(J110&lt;&gt;"",J110&lt;=FilterTime)),OR(FilterCost=0,AND(AD110&lt;&gt;"",ISNUMBER(AD110),AD110&lt;=FilterCost)),OR(FilterAllergen="Any",COUNTIFS('Recipe Ingredients'!$B$5:$B$1204,A110,'Recipe Ingredients'!$V$5:$V$1204,FilterAllergen)=0)),1,0))</f>
        <v>0</v>
      </c>
      <c r="AM110" s="18">
        <f>IF(AL110=0,"",SUM($AL$5:AL110))</f>
        <v>0</v>
      </c>
      <c r="AN110" s="18">
        <f>IF(B110="","",COUNTIFS($AZ$5:$AZ$204,"&gt;"&amp;AZ110)+COUNTIFS($AZ$5:AZ110,AZ110))</f>
        <v>0</v>
      </c>
      <c r="AO110" s="18">
        <f>IF(B110="","",COUNTIFS($AE$5:$AE$204,"&gt;"&amp;AE110)+COUNTIFS($AE$5:AE110,AE110))</f>
        <v>0</v>
      </c>
      <c r="AP110" s="18">
        <f>IF(B110="","",COUNTIFS($AF$5:$AF$204,"&gt;"&amp;AF110)+COUNTIFS($AF$5:AF110,AF110))</f>
        <v>0</v>
      </c>
      <c r="AQ110" s="18">
        <f>IF(B110="","",COUNTIFS($AI$5:$AI$204,"&gt;"&amp;AI110)+COUNTIFS($AI$5:AI110,AI110))</f>
        <v>0</v>
      </c>
      <c r="AR110" s="18">
        <f>IF(B110="","",COUNTIFS($AS$5:$AS$204,"&gt;"&amp;AS110)+COUNTIFS($AS$5:AS110,AS110))</f>
        <v>0</v>
      </c>
      <c r="AS110" s="45">
        <f>IF(B110="","",IF(BB110="",99999,BC110))</f>
        <v>0</v>
      </c>
      <c r="AT110" s="45">
        <f>IF(A110="",0,SUMIFS('Meal Plan'!$L$5:$L$504,'Meal Plan'!$G$5:$G$504,A110,'Meal Plan'!$B$5:$B$504,"&gt;="&amp;ShopFrom,'Meal Plan'!$B$5:$B$504,"&lt;="&amp;ShopTo,'Meal Plan'!$M$5:$M$504,"Yes"))</f>
        <v>0</v>
      </c>
      <c r="AU110" s="25">
        <f>IF(OR(A110="",AC110=""),"",AC110*AT110)</f>
        <v>0</v>
      </c>
      <c r="AV110" s="18">
        <f>IF(A110="","",COUNTIFS('Recipe Ingredients'!$B$5:$B$1204,A110,'Recipe Ingredients'!$N$5:$N$1204,""))</f>
        <v>0</v>
      </c>
      <c r="AZ110" s="18">
        <f>IF(A110="","",COUNTIFS('Meal Plan'!$G$5:$G$504,A110))</f>
        <v>0</v>
      </c>
      <c r="BA110" s="18">
        <f>IF(A110="","",COUNTIFS('Meal Plan'!$G$5:$G$504,A110,'Meal Plan'!$N$5:$N$504,"Prepared")+COUNTIFS('Meal Plan'!$G$5:$G$504,A110,'Meal Plan'!$N$5:$N$504,"Eaten"))</f>
        <v>0</v>
      </c>
      <c r="BB110" s="19">
        <f>IF(A110="","",IF(COUNTIFS('Meal Plan'!$G$5:$G$504,A110,'Meal Plan'!$B$5:$B$504,"&lt;="&amp;TODAY())=0,"",SUMPRODUCT(MAX(('Meal Plan'!$G$5:$G$504=A110)*('Meal Plan'!$B$5:$B$504&lt;=TODAY())*'Meal Plan'!$B$5:$B$504))))</f>
        <v>0</v>
      </c>
      <c r="BC110" s="18">
        <f>IF(BB110="","",TODAY()-BB110)</f>
        <v>0</v>
      </c>
      <c r="BF110" s="31">
        <f>IF(B110="","",IF(G110="","Add - how many does it serve?",IF(AB110=0,"Add - no ingredients listed yet",IF(AV110&gt;0,"Check - "&amp;AV110&amp;" ingredient(s) have no price",IF(AND(BC110&lt;&gt;"",BC110&lt;RotationGapDays),"Cooked recently","OK")))))</f>
        <v>0</v>
      </c>
    </row>
    <row r="111" spans="1:58">
      <c r="A111" s="39">
        <f>IF(B111="","",RecipePrefix&amp;TEXT(ROW()-4,"0000"))</f>
        <v>0</v>
      </c>
      <c r="J111" s="18">
        <f>IF(B111="","",IF(AND(H111="",I111=""),"",IF(H111="",0,H111)+IF(I111="",0,I111)))</f>
        <v>0</v>
      </c>
      <c r="K111" s="46">
        <f>IF(J111="","",IF(J111&lt;=30,"Yes","No"))</f>
        <v>0</v>
      </c>
      <c r="AB111" s="18">
        <f>IF(A111="","",COUNTIFS('Recipe Ingredients'!$B$5:$B$1204,A111))</f>
        <v>0</v>
      </c>
      <c r="AC111" s="25">
        <f>IF(A111="","",SUMIFS('Recipe Ingredients'!$N$5:$N$1204,'Recipe Ingredients'!$B$5:$B$1204,A111))</f>
        <v>0</v>
      </c>
      <c r="AD111" s="25">
        <f>IF(OR(AC111="",G111=""),"",IF(G111=0,"",AC111/G111))</f>
        <v>0</v>
      </c>
      <c r="AE111" s="30">
        <f>IF(OR(A111="",G111=""),"",IF(G111=0,"",SUMIFS('Recipe Ingredients'!$Q$5:$Q$1204,'Recipe Ingredients'!$B$5:$B$1204,A111)/G111))</f>
        <v>0</v>
      </c>
      <c r="AF111" s="45">
        <f>IF(OR(A111="",G111=""),"",IF(G111=0,"",SUMIFS('Recipe Ingredients'!$R$5:$R$1204,'Recipe Ingredients'!$B$5:$B$1204,A111)/G111))</f>
        <v>0</v>
      </c>
      <c r="AG111" s="45">
        <f>IF(OR(A111="",G111=""),"",IF(G111=0,"",SUMIFS('Recipe Ingredients'!$S$5:$S$1204,'Recipe Ingredients'!$B$5:$B$1204,A111)/G111))</f>
        <v>0</v>
      </c>
      <c r="AH111" s="45">
        <f>IF(OR(A111="",G111=""),"",IF(G111=0,"",SUMIFS('Recipe Ingredients'!$T$5:$T$1204,'Recipe Ingredients'!$B$5:$B$1204,A111)/G111))</f>
        <v>0</v>
      </c>
      <c r="AI111" s="45">
        <f>IF(OR(A111="",G111=""),"",IF(G111=0,"",SUMIFS('Recipe Ingredients'!$U$5:$U$1204,'Recipe Ingredients'!$B$5:$B$1204,A111)/G111))</f>
        <v>0</v>
      </c>
      <c r="AJ111" s="17">
        <f>IF(A111="","",IF(COUNTIFS('Recipe Ingredients'!$B$5:$B$1204,A111,'Recipe Ingredients'!$V$5:$V$1204,"&lt;&gt;",'Recipe Ingredients'!$V$5:$V$1204,"&lt;&gt;None")=0,"None listed",COUNTIFS('Recipe Ingredients'!$B$5:$B$1204,A111,'Recipe Ingredients'!$V$5:$V$1204,"&lt;&gt;",'Recipe Ingredients'!$V$5:$V$1204,"&lt;&gt;None")&amp;" ingredient(s) flagged"))</f>
        <v>0</v>
      </c>
      <c r="AK111" s="18">
        <f>IF(OR(AD111="",NOT(ISNUMBER(AD111))),"",COUNTIFS($AD$5:$AD$204,"&lt;"&amp;AD111)+COUNTIFS($AD$5:AD111,AD111))</f>
        <v>0</v>
      </c>
      <c r="AL111" s="18">
        <f>IF(B111="",0,IF(AND(OR(FilterDiet="Any",T111=FilterDiet),OR(FilterCategory="Any",C111=FilterCategory),OR(FilterMethod="Any",L111=FilterMethod),OR(FilterTime=0,AND(J111&lt;&gt;"",J111&lt;=FilterTime)),OR(FilterCost=0,AND(AD111&lt;&gt;"",ISNUMBER(AD111),AD111&lt;=FilterCost)),OR(FilterAllergen="Any",COUNTIFS('Recipe Ingredients'!$B$5:$B$1204,A111,'Recipe Ingredients'!$V$5:$V$1204,FilterAllergen)=0)),1,0))</f>
        <v>0</v>
      </c>
      <c r="AM111" s="18">
        <f>IF(AL111=0,"",SUM($AL$5:AL111))</f>
        <v>0</v>
      </c>
      <c r="AN111" s="18">
        <f>IF(B111="","",COUNTIFS($AZ$5:$AZ$204,"&gt;"&amp;AZ111)+COUNTIFS($AZ$5:AZ111,AZ111))</f>
        <v>0</v>
      </c>
      <c r="AO111" s="18">
        <f>IF(B111="","",COUNTIFS($AE$5:$AE$204,"&gt;"&amp;AE111)+COUNTIFS($AE$5:AE111,AE111))</f>
        <v>0</v>
      </c>
      <c r="AP111" s="18">
        <f>IF(B111="","",COUNTIFS($AF$5:$AF$204,"&gt;"&amp;AF111)+COUNTIFS($AF$5:AF111,AF111))</f>
        <v>0</v>
      </c>
      <c r="AQ111" s="18">
        <f>IF(B111="","",COUNTIFS($AI$5:$AI$204,"&gt;"&amp;AI111)+COUNTIFS($AI$5:AI111,AI111))</f>
        <v>0</v>
      </c>
      <c r="AR111" s="18">
        <f>IF(B111="","",COUNTIFS($AS$5:$AS$204,"&gt;"&amp;AS111)+COUNTIFS($AS$5:AS111,AS111))</f>
        <v>0</v>
      </c>
      <c r="AS111" s="45">
        <f>IF(B111="","",IF(BB111="",99999,BC111))</f>
        <v>0</v>
      </c>
      <c r="AT111" s="45">
        <f>IF(A111="",0,SUMIFS('Meal Plan'!$L$5:$L$504,'Meal Plan'!$G$5:$G$504,A111,'Meal Plan'!$B$5:$B$504,"&gt;="&amp;ShopFrom,'Meal Plan'!$B$5:$B$504,"&lt;="&amp;ShopTo,'Meal Plan'!$M$5:$M$504,"Yes"))</f>
        <v>0</v>
      </c>
      <c r="AU111" s="25">
        <f>IF(OR(A111="",AC111=""),"",AC111*AT111)</f>
        <v>0</v>
      </c>
      <c r="AV111" s="18">
        <f>IF(A111="","",COUNTIFS('Recipe Ingredients'!$B$5:$B$1204,A111,'Recipe Ingredients'!$N$5:$N$1204,""))</f>
        <v>0</v>
      </c>
      <c r="AZ111" s="18">
        <f>IF(A111="","",COUNTIFS('Meal Plan'!$G$5:$G$504,A111))</f>
        <v>0</v>
      </c>
      <c r="BA111" s="18">
        <f>IF(A111="","",COUNTIFS('Meal Plan'!$G$5:$G$504,A111,'Meal Plan'!$N$5:$N$504,"Prepared")+COUNTIFS('Meal Plan'!$G$5:$G$504,A111,'Meal Plan'!$N$5:$N$504,"Eaten"))</f>
        <v>0</v>
      </c>
      <c r="BB111" s="19">
        <f>IF(A111="","",IF(COUNTIFS('Meal Plan'!$G$5:$G$504,A111,'Meal Plan'!$B$5:$B$504,"&lt;="&amp;TODAY())=0,"",SUMPRODUCT(MAX(('Meal Plan'!$G$5:$G$504=A111)*('Meal Plan'!$B$5:$B$504&lt;=TODAY())*'Meal Plan'!$B$5:$B$504))))</f>
        <v>0</v>
      </c>
      <c r="BC111" s="18">
        <f>IF(BB111="","",TODAY()-BB111)</f>
        <v>0</v>
      </c>
      <c r="BF111" s="31">
        <f>IF(B111="","",IF(G111="","Add - how many does it serve?",IF(AB111=0,"Add - no ingredients listed yet",IF(AV111&gt;0,"Check - "&amp;AV111&amp;" ingredient(s) have no price",IF(AND(BC111&lt;&gt;"",BC111&lt;RotationGapDays),"Cooked recently","OK")))))</f>
        <v>0</v>
      </c>
    </row>
    <row r="112" spans="1:58">
      <c r="A112" s="39">
        <f>IF(B112="","",RecipePrefix&amp;TEXT(ROW()-4,"0000"))</f>
        <v>0</v>
      </c>
      <c r="J112" s="18">
        <f>IF(B112="","",IF(AND(H112="",I112=""),"",IF(H112="",0,H112)+IF(I112="",0,I112)))</f>
        <v>0</v>
      </c>
      <c r="K112" s="46">
        <f>IF(J112="","",IF(J112&lt;=30,"Yes","No"))</f>
        <v>0</v>
      </c>
      <c r="AB112" s="18">
        <f>IF(A112="","",COUNTIFS('Recipe Ingredients'!$B$5:$B$1204,A112))</f>
        <v>0</v>
      </c>
      <c r="AC112" s="25">
        <f>IF(A112="","",SUMIFS('Recipe Ingredients'!$N$5:$N$1204,'Recipe Ingredients'!$B$5:$B$1204,A112))</f>
        <v>0</v>
      </c>
      <c r="AD112" s="25">
        <f>IF(OR(AC112="",G112=""),"",IF(G112=0,"",AC112/G112))</f>
        <v>0</v>
      </c>
      <c r="AE112" s="30">
        <f>IF(OR(A112="",G112=""),"",IF(G112=0,"",SUMIFS('Recipe Ingredients'!$Q$5:$Q$1204,'Recipe Ingredients'!$B$5:$B$1204,A112)/G112))</f>
        <v>0</v>
      </c>
      <c r="AF112" s="45">
        <f>IF(OR(A112="",G112=""),"",IF(G112=0,"",SUMIFS('Recipe Ingredients'!$R$5:$R$1204,'Recipe Ingredients'!$B$5:$B$1204,A112)/G112))</f>
        <v>0</v>
      </c>
      <c r="AG112" s="45">
        <f>IF(OR(A112="",G112=""),"",IF(G112=0,"",SUMIFS('Recipe Ingredients'!$S$5:$S$1204,'Recipe Ingredients'!$B$5:$B$1204,A112)/G112))</f>
        <v>0</v>
      </c>
      <c r="AH112" s="45">
        <f>IF(OR(A112="",G112=""),"",IF(G112=0,"",SUMIFS('Recipe Ingredients'!$T$5:$T$1204,'Recipe Ingredients'!$B$5:$B$1204,A112)/G112))</f>
        <v>0</v>
      </c>
      <c r="AI112" s="45">
        <f>IF(OR(A112="",G112=""),"",IF(G112=0,"",SUMIFS('Recipe Ingredients'!$U$5:$U$1204,'Recipe Ingredients'!$B$5:$B$1204,A112)/G112))</f>
        <v>0</v>
      </c>
      <c r="AJ112" s="17">
        <f>IF(A112="","",IF(COUNTIFS('Recipe Ingredients'!$B$5:$B$1204,A112,'Recipe Ingredients'!$V$5:$V$1204,"&lt;&gt;",'Recipe Ingredients'!$V$5:$V$1204,"&lt;&gt;None")=0,"None listed",COUNTIFS('Recipe Ingredients'!$B$5:$B$1204,A112,'Recipe Ingredients'!$V$5:$V$1204,"&lt;&gt;",'Recipe Ingredients'!$V$5:$V$1204,"&lt;&gt;None")&amp;" ingredient(s) flagged"))</f>
        <v>0</v>
      </c>
      <c r="AK112" s="18">
        <f>IF(OR(AD112="",NOT(ISNUMBER(AD112))),"",COUNTIFS($AD$5:$AD$204,"&lt;"&amp;AD112)+COUNTIFS($AD$5:AD112,AD112))</f>
        <v>0</v>
      </c>
      <c r="AL112" s="18">
        <f>IF(B112="",0,IF(AND(OR(FilterDiet="Any",T112=FilterDiet),OR(FilterCategory="Any",C112=FilterCategory),OR(FilterMethod="Any",L112=FilterMethod),OR(FilterTime=0,AND(J112&lt;&gt;"",J112&lt;=FilterTime)),OR(FilterCost=0,AND(AD112&lt;&gt;"",ISNUMBER(AD112),AD112&lt;=FilterCost)),OR(FilterAllergen="Any",COUNTIFS('Recipe Ingredients'!$B$5:$B$1204,A112,'Recipe Ingredients'!$V$5:$V$1204,FilterAllergen)=0)),1,0))</f>
        <v>0</v>
      </c>
      <c r="AM112" s="18">
        <f>IF(AL112=0,"",SUM($AL$5:AL112))</f>
        <v>0</v>
      </c>
      <c r="AN112" s="18">
        <f>IF(B112="","",COUNTIFS($AZ$5:$AZ$204,"&gt;"&amp;AZ112)+COUNTIFS($AZ$5:AZ112,AZ112))</f>
        <v>0</v>
      </c>
      <c r="AO112" s="18">
        <f>IF(B112="","",COUNTIFS($AE$5:$AE$204,"&gt;"&amp;AE112)+COUNTIFS($AE$5:AE112,AE112))</f>
        <v>0</v>
      </c>
      <c r="AP112" s="18">
        <f>IF(B112="","",COUNTIFS($AF$5:$AF$204,"&gt;"&amp;AF112)+COUNTIFS($AF$5:AF112,AF112))</f>
        <v>0</v>
      </c>
      <c r="AQ112" s="18">
        <f>IF(B112="","",COUNTIFS($AI$5:$AI$204,"&gt;"&amp;AI112)+COUNTIFS($AI$5:AI112,AI112))</f>
        <v>0</v>
      </c>
      <c r="AR112" s="18">
        <f>IF(B112="","",COUNTIFS($AS$5:$AS$204,"&gt;"&amp;AS112)+COUNTIFS($AS$5:AS112,AS112))</f>
        <v>0</v>
      </c>
      <c r="AS112" s="45">
        <f>IF(B112="","",IF(BB112="",99999,BC112))</f>
        <v>0</v>
      </c>
      <c r="AT112" s="45">
        <f>IF(A112="",0,SUMIFS('Meal Plan'!$L$5:$L$504,'Meal Plan'!$G$5:$G$504,A112,'Meal Plan'!$B$5:$B$504,"&gt;="&amp;ShopFrom,'Meal Plan'!$B$5:$B$504,"&lt;="&amp;ShopTo,'Meal Plan'!$M$5:$M$504,"Yes"))</f>
        <v>0</v>
      </c>
      <c r="AU112" s="25">
        <f>IF(OR(A112="",AC112=""),"",AC112*AT112)</f>
        <v>0</v>
      </c>
      <c r="AV112" s="18">
        <f>IF(A112="","",COUNTIFS('Recipe Ingredients'!$B$5:$B$1204,A112,'Recipe Ingredients'!$N$5:$N$1204,""))</f>
        <v>0</v>
      </c>
      <c r="AZ112" s="18">
        <f>IF(A112="","",COUNTIFS('Meal Plan'!$G$5:$G$504,A112))</f>
        <v>0</v>
      </c>
      <c r="BA112" s="18">
        <f>IF(A112="","",COUNTIFS('Meal Plan'!$G$5:$G$504,A112,'Meal Plan'!$N$5:$N$504,"Prepared")+COUNTIFS('Meal Plan'!$G$5:$G$504,A112,'Meal Plan'!$N$5:$N$504,"Eaten"))</f>
        <v>0</v>
      </c>
      <c r="BB112" s="19">
        <f>IF(A112="","",IF(COUNTIFS('Meal Plan'!$G$5:$G$504,A112,'Meal Plan'!$B$5:$B$504,"&lt;="&amp;TODAY())=0,"",SUMPRODUCT(MAX(('Meal Plan'!$G$5:$G$504=A112)*('Meal Plan'!$B$5:$B$504&lt;=TODAY())*'Meal Plan'!$B$5:$B$504))))</f>
        <v>0</v>
      </c>
      <c r="BC112" s="18">
        <f>IF(BB112="","",TODAY()-BB112)</f>
        <v>0</v>
      </c>
      <c r="BF112" s="31">
        <f>IF(B112="","",IF(G112="","Add - how many does it serve?",IF(AB112=0,"Add - no ingredients listed yet",IF(AV112&gt;0,"Check - "&amp;AV112&amp;" ingredient(s) have no price",IF(AND(BC112&lt;&gt;"",BC112&lt;RotationGapDays),"Cooked recently","OK")))))</f>
        <v>0</v>
      </c>
    </row>
    <row r="113" spans="1:58">
      <c r="A113" s="39">
        <f>IF(B113="","",RecipePrefix&amp;TEXT(ROW()-4,"0000"))</f>
        <v>0</v>
      </c>
      <c r="J113" s="18">
        <f>IF(B113="","",IF(AND(H113="",I113=""),"",IF(H113="",0,H113)+IF(I113="",0,I113)))</f>
        <v>0</v>
      </c>
      <c r="K113" s="46">
        <f>IF(J113="","",IF(J113&lt;=30,"Yes","No"))</f>
        <v>0</v>
      </c>
      <c r="AB113" s="18">
        <f>IF(A113="","",COUNTIFS('Recipe Ingredients'!$B$5:$B$1204,A113))</f>
        <v>0</v>
      </c>
      <c r="AC113" s="25">
        <f>IF(A113="","",SUMIFS('Recipe Ingredients'!$N$5:$N$1204,'Recipe Ingredients'!$B$5:$B$1204,A113))</f>
        <v>0</v>
      </c>
      <c r="AD113" s="25">
        <f>IF(OR(AC113="",G113=""),"",IF(G113=0,"",AC113/G113))</f>
        <v>0</v>
      </c>
      <c r="AE113" s="30">
        <f>IF(OR(A113="",G113=""),"",IF(G113=0,"",SUMIFS('Recipe Ingredients'!$Q$5:$Q$1204,'Recipe Ingredients'!$B$5:$B$1204,A113)/G113))</f>
        <v>0</v>
      </c>
      <c r="AF113" s="45">
        <f>IF(OR(A113="",G113=""),"",IF(G113=0,"",SUMIFS('Recipe Ingredients'!$R$5:$R$1204,'Recipe Ingredients'!$B$5:$B$1204,A113)/G113))</f>
        <v>0</v>
      </c>
      <c r="AG113" s="45">
        <f>IF(OR(A113="",G113=""),"",IF(G113=0,"",SUMIFS('Recipe Ingredients'!$S$5:$S$1204,'Recipe Ingredients'!$B$5:$B$1204,A113)/G113))</f>
        <v>0</v>
      </c>
      <c r="AH113" s="45">
        <f>IF(OR(A113="",G113=""),"",IF(G113=0,"",SUMIFS('Recipe Ingredients'!$T$5:$T$1204,'Recipe Ingredients'!$B$5:$B$1204,A113)/G113))</f>
        <v>0</v>
      </c>
      <c r="AI113" s="45">
        <f>IF(OR(A113="",G113=""),"",IF(G113=0,"",SUMIFS('Recipe Ingredients'!$U$5:$U$1204,'Recipe Ingredients'!$B$5:$B$1204,A113)/G113))</f>
        <v>0</v>
      </c>
      <c r="AJ113" s="17">
        <f>IF(A113="","",IF(COUNTIFS('Recipe Ingredients'!$B$5:$B$1204,A113,'Recipe Ingredients'!$V$5:$V$1204,"&lt;&gt;",'Recipe Ingredients'!$V$5:$V$1204,"&lt;&gt;None")=0,"None listed",COUNTIFS('Recipe Ingredients'!$B$5:$B$1204,A113,'Recipe Ingredients'!$V$5:$V$1204,"&lt;&gt;",'Recipe Ingredients'!$V$5:$V$1204,"&lt;&gt;None")&amp;" ingredient(s) flagged"))</f>
        <v>0</v>
      </c>
      <c r="AK113" s="18">
        <f>IF(OR(AD113="",NOT(ISNUMBER(AD113))),"",COUNTIFS($AD$5:$AD$204,"&lt;"&amp;AD113)+COUNTIFS($AD$5:AD113,AD113))</f>
        <v>0</v>
      </c>
      <c r="AL113" s="18">
        <f>IF(B113="",0,IF(AND(OR(FilterDiet="Any",T113=FilterDiet),OR(FilterCategory="Any",C113=FilterCategory),OR(FilterMethod="Any",L113=FilterMethod),OR(FilterTime=0,AND(J113&lt;&gt;"",J113&lt;=FilterTime)),OR(FilterCost=0,AND(AD113&lt;&gt;"",ISNUMBER(AD113),AD113&lt;=FilterCost)),OR(FilterAllergen="Any",COUNTIFS('Recipe Ingredients'!$B$5:$B$1204,A113,'Recipe Ingredients'!$V$5:$V$1204,FilterAllergen)=0)),1,0))</f>
        <v>0</v>
      </c>
      <c r="AM113" s="18">
        <f>IF(AL113=0,"",SUM($AL$5:AL113))</f>
        <v>0</v>
      </c>
      <c r="AN113" s="18">
        <f>IF(B113="","",COUNTIFS($AZ$5:$AZ$204,"&gt;"&amp;AZ113)+COUNTIFS($AZ$5:AZ113,AZ113))</f>
        <v>0</v>
      </c>
      <c r="AO113" s="18">
        <f>IF(B113="","",COUNTIFS($AE$5:$AE$204,"&gt;"&amp;AE113)+COUNTIFS($AE$5:AE113,AE113))</f>
        <v>0</v>
      </c>
      <c r="AP113" s="18">
        <f>IF(B113="","",COUNTIFS($AF$5:$AF$204,"&gt;"&amp;AF113)+COUNTIFS($AF$5:AF113,AF113))</f>
        <v>0</v>
      </c>
      <c r="AQ113" s="18">
        <f>IF(B113="","",COUNTIFS($AI$5:$AI$204,"&gt;"&amp;AI113)+COUNTIFS($AI$5:AI113,AI113))</f>
        <v>0</v>
      </c>
      <c r="AR113" s="18">
        <f>IF(B113="","",COUNTIFS($AS$5:$AS$204,"&gt;"&amp;AS113)+COUNTIFS($AS$5:AS113,AS113))</f>
        <v>0</v>
      </c>
      <c r="AS113" s="45">
        <f>IF(B113="","",IF(BB113="",99999,BC113))</f>
        <v>0</v>
      </c>
      <c r="AT113" s="45">
        <f>IF(A113="",0,SUMIFS('Meal Plan'!$L$5:$L$504,'Meal Plan'!$G$5:$G$504,A113,'Meal Plan'!$B$5:$B$504,"&gt;="&amp;ShopFrom,'Meal Plan'!$B$5:$B$504,"&lt;="&amp;ShopTo,'Meal Plan'!$M$5:$M$504,"Yes"))</f>
        <v>0</v>
      </c>
      <c r="AU113" s="25">
        <f>IF(OR(A113="",AC113=""),"",AC113*AT113)</f>
        <v>0</v>
      </c>
      <c r="AV113" s="18">
        <f>IF(A113="","",COUNTIFS('Recipe Ingredients'!$B$5:$B$1204,A113,'Recipe Ingredients'!$N$5:$N$1204,""))</f>
        <v>0</v>
      </c>
      <c r="AZ113" s="18">
        <f>IF(A113="","",COUNTIFS('Meal Plan'!$G$5:$G$504,A113))</f>
        <v>0</v>
      </c>
      <c r="BA113" s="18">
        <f>IF(A113="","",COUNTIFS('Meal Plan'!$G$5:$G$504,A113,'Meal Plan'!$N$5:$N$504,"Prepared")+COUNTIFS('Meal Plan'!$G$5:$G$504,A113,'Meal Plan'!$N$5:$N$504,"Eaten"))</f>
        <v>0</v>
      </c>
      <c r="BB113" s="19">
        <f>IF(A113="","",IF(COUNTIFS('Meal Plan'!$G$5:$G$504,A113,'Meal Plan'!$B$5:$B$504,"&lt;="&amp;TODAY())=0,"",SUMPRODUCT(MAX(('Meal Plan'!$G$5:$G$504=A113)*('Meal Plan'!$B$5:$B$504&lt;=TODAY())*'Meal Plan'!$B$5:$B$504))))</f>
        <v>0</v>
      </c>
      <c r="BC113" s="18">
        <f>IF(BB113="","",TODAY()-BB113)</f>
        <v>0</v>
      </c>
      <c r="BF113" s="31">
        <f>IF(B113="","",IF(G113="","Add - how many does it serve?",IF(AB113=0,"Add - no ingredients listed yet",IF(AV113&gt;0,"Check - "&amp;AV113&amp;" ingredient(s) have no price",IF(AND(BC113&lt;&gt;"",BC113&lt;RotationGapDays),"Cooked recently","OK")))))</f>
        <v>0</v>
      </c>
    </row>
    <row r="114" spans="1:58">
      <c r="A114" s="39">
        <f>IF(B114="","",RecipePrefix&amp;TEXT(ROW()-4,"0000"))</f>
        <v>0</v>
      </c>
      <c r="J114" s="18">
        <f>IF(B114="","",IF(AND(H114="",I114=""),"",IF(H114="",0,H114)+IF(I114="",0,I114)))</f>
        <v>0</v>
      </c>
      <c r="K114" s="46">
        <f>IF(J114="","",IF(J114&lt;=30,"Yes","No"))</f>
        <v>0</v>
      </c>
      <c r="AB114" s="18">
        <f>IF(A114="","",COUNTIFS('Recipe Ingredients'!$B$5:$B$1204,A114))</f>
        <v>0</v>
      </c>
      <c r="AC114" s="25">
        <f>IF(A114="","",SUMIFS('Recipe Ingredients'!$N$5:$N$1204,'Recipe Ingredients'!$B$5:$B$1204,A114))</f>
        <v>0</v>
      </c>
      <c r="AD114" s="25">
        <f>IF(OR(AC114="",G114=""),"",IF(G114=0,"",AC114/G114))</f>
        <v>0</v>
      </c>
      <c r="AE114" s="30">
        <f>IF(OR(A114="",G114=""),"",IF(G114=0,"",SUMIFS('Recipe Ingredients'!$Q$5:$Q$1204,'Recipe Ingredients'!$B$5:$B$1204,A114)/G114))</f>
        <v>0</v>
      </c>
      <c r="AF114" s="45">
        <f>IF(OR(A114="",G114=""),"",IF(G114=0,"",SUMIFS('Recipe Ingredients'!$R$5:$R$1204,'Recipe Ingredients'!$B$5:$B$1204,A114)/G114))</f>
        <v>0</v>
      </c>
      <c r="AG114" s="45">
        <f>IF(OR(A114="",G114=""),"",IF(G114=0,"",SUMIFS('Recipe Ingredients'!$S$5:$S$1204,'Recipe Ingredients'!$B$5:$B$1204,A114)/G114))</f>
        <v>0</v>
      </c>
      <c r="AH114" s="45">
        <f>IF(OR(A114="",G114=""),"",IF(G114=0,"",SUMIFS('Recipe Ingredients'!$T$5:$T$1204,'Recipe Ingredients'!$B$5:$B$1204,A114)/G114))</f>
        <v>0</v>
      </c>
      <c r="AI114" s="45">
        <f>IF(OR(A114="",G114=""),"",IF(G114=0,"",SUMIFS('Recipe Ingredients'!$U$5:$U$1204,'Recipe Ingredients'!$B$5:$B$1204,A114)/G114))</f>
        <v>0</v>
      </c>
      <c r="AJ114" s="17">
        <f>IF(A114="","",IF(COUNTIFS('Recipe Ingredients'!$B$5:$B$1204,A114,'Recipe Ingredients'!$V$5:$V$1204,"&lt;&gt;",'Recipe Ingredients'!$V$5:$V$1204,"&lt;&gt;None")=0,"None listed",COUNTIFS('Recipe Ingredients'!$B$5:$B$1204,A114,'Recipe Ingredients'!$V$5:$V$1204,"&lt;&gt;",'Recipe Ingredients'!$V$5:$V$1204,"&lt;&gt;None")&amp;" ingredient(s) flagged"))</f>
        <v>0</v>
      </c>
      <c r="AK114" s="18">
        <f>IF(OR(AD114="",NOT(ISNUMBER(AD114))),"",COUNTIFS($AD$5:$AD$204,"&lt;"&amp;AD114)+COUNTIFS($AD$5:AD114,AD114))</f>
        <v>0</v>
      </c>
      <c r="AL114" s="18">
        <f>IF(B114="",0,IF(AND(OR(FilterDiet="Any",T114=FilterDiet),OR(FilterCategory="Any",C114=FilterCategory),OR(FilterMethod="Any",L114=FilterMethod),OR(FilterTime=0,AND(J114&lt;&gt;"",J114&lt;=FilterTime)),OR(FilterCost=0,AND(AD114&lt;&gt;"",ISNUMBER(AD114),AD114&lt;=FilterCost)),OR(FilterAllergen="Any",COUNTIFS('Recipe Ingredients'!$B$5:$B$1204,A114,'Recipe Ingredients'!$V$5:$V$1204,FilterAllergen)=0)),1,0))</f>
        <v>0</v>
      </c>
      <c r="AM114" s="18">
        <f>IF(AL114=0,"",SUM($AL$5:AL114))</f>
        <v>0</v>
      </c>
      <c r="AN114" s="18">
        <f>IF(B114="","",COUNTIFS($AZ$5:$AZ$204,"&gt;"&amp;AZ114)+COUNTIFS($AZ$5:AZ114,AZ114))</f>
        <v>0</v>
      </c>
      <c r="AO114" s="18">
        <f>IF(B114="","",COUNTIFS($AE$5:$AE$204,"&gt;"&amp;AE114)+COUNTIFS($AE$5:AE114,AE114))</f>
        <v>0</v>
      </c>
      <c r="AP114" s="18">
        <f>IF(B114="","",COUNTIFS($AF$5:$AF$204,"&gt;"&amp;AF114)+COUNTIFS($AF$5:AF114,AF114))</f>
        <v>0</v>
      </c>
      <c r="AQ114" s="18">
        <f>IF(B114="","",COUNTIFS($AI$5:$AI$204,"&gt;"&amp;AI114)+COUNTIFS($AI$5:AI114,AI114))</f>
        <v>0</v>
      </c>
      <c r="AR114" s="18">
        <f>IF(B114="","",COUNTIFS($AS$5:$AS$204,"&gt;"&amp;AS114)+COUNTIFS($AS$5:AS114,AS114))</f>
        <v>0</v>
      </c>
      <c r="AS114" s="45">
        <f>IF(B114="","",IF(BB114="",99999,BC114))</f>
        <v>0</v>
      </c>
      <c r="AT114" s="45">
        <f>IF(A114="",0,SUMIFS('Meal Plan'!$L$5:$L$504,'Meal Plan'!$G$5:$G$504,A114,'Meal Plan'!$B$5:$B$504,"&gt;="&amp;ShopFrom,'Meal Plan'!$B$5:$B$504,"&lt;="&amp;ShopTo,'Meal Plan'!$M$5:$M$504,"Yes"))</f>
        <v>0</v>
      </c>
      <c r="AU114" s="25">
        <f>IF(OR(A114="",AC114=""),"",AC114*AT114)</f>
        <v>0</v>
      </c>
      <c r="AV114" s="18">
        <f>IF(A114="","",COUNTIFS('Recipe Ingredients'!$B$5:$B$1204,A114,'Recipe Ingredients'!$N$5:$N$1204,""))</f>
        <v>0</v>
      </c>
      <c r="AZ114" s="18">
        <f>IF(A114="","",COUNTIFS('Meal Plan'!$G$5:$G$504,A114))</f>
        <v>0</v>
      </c>
      <c r="BA114" s="18">
        <f>IF(A114="","",COUNTIFS('Meal Plan'!$G$5:$G$504,A114,'Meal Plan'!$N$5:$N$504,"Prepared")+COUNTIFS('Meal Plan'!$G$5:$G$504,A114,'Meal Plan'!$N$5:$N$504,"Eaten"))</f>
        <v>0</v>
      </c>
      <c r="BB114" s="19">
        <f>IF(A114="","",IF(COUNTIFS('Meal Plan'!$G$5:$G$504,A114,'Meal Plan'!$B$5:$B$504,"&lt;="&amp;TODAY())=0,"",SUMPRODUCT(MAX(('Meal Plan'!$G$5:$G$504=A114)*('Meal Plan'!$B$5:$B$504&lt;=TODAY())*'Meal Plan'!$B$5:$B$504))))</f>
        <v>0</v>
      </c>
      <c r="BC114" s="18">
        <f>IF(BB114="","",TODAY()-BB114)</f>
        <v>0</v>
      </c>
      <c r="BF114" s="31">
        <f>IF(B114="","",IF(G114="","Add - how many does it serve?",IF(AB114=0,"Add - no ingredients listed yet",IF(AV114&gt;0,"Check - "&amp;AV114&amp;" ingredient(s) have no price",IF(AND(BC114&lt;&gt;"",BC114&lt;RotationGapDays),"Cooked recently","OK")))))</f>
        <v>0</v>
      </c>
    </row>
    <row r="115" spans="1:58">
      <c r="A115" s="39">
        <f>IF(B115="","",RecipePrefix&amp;TEXT(ROW()-4,"0000"))</f>
        <v>0</v>
      </c>
      <c r="J115" s="18">
        <f>IF(B115="","",IF(AND(H115="",I115=""),"",IF(H115="",0,H115)+IF(I115="",0,I115)))</f>
        <v>0</v>
      </c>
      <c r="K115" s="46">
        <f>IF(J115="","",IF(J115&lt;=30,"Yes","No"))</f>
        <v>0</v>
      </c>
      <c r="AB115" s="18">
        <f>IF(A115="","",COUNTIFS('Recipe Ingredients'!$B$5:$B$1204,A115))</f>
        <v>0</v>
      </c>
      <c r="AC115" s="25">
        <f>IF(A115="","",SUMIFS('Recipe Ingredients'!$N$5:$N$1204,'Recipe Ingredients'!$B$5:$B$1204,A115))</f>
        <v>0</v>
      </c>
      <c r="AD115" s="25">
        <f>IF(OR(AC115="",G115=""),"",IF(G115=0,"",AC115/G115))</f>
        <v>0</v>
      </c>
      <c r="AE115" s="30">
        <f>IF(OR(A115="",G115=""),"",IF(G115=0,"",SUMIFS('Recipe Ingredients'!$Q$5:$Q$1204,'Recipe Ingredients'!$B$5:$B$1204,A115)/G115))</f>
        <v>0</v>
      </c>
      <c r="AF115" s="45">
        <f>IF(OR(A115="",G115=""),"",IF(G115=0,"",SUMIFS('Recipe Ingredients'!$R$5:$R$1204,'Recipe Ingredients'!$B$5:$B$1204,A115)/G115))</f>
        <v>0</v>
      </c>
      <c r="AG115" s="45">
        <f>IF(OR(A115="",G115=""),"",IF(G115=0,"",SUMIFS('Recipe Ingredients'!$S$5:$S$1204,'Recipe Ingredients'!$B$5:$B$1204,A115)/G115))</f>
        <v>0</v>
      </c>
      <c r="AH115" s="45">
        <f>IF(OR(A115="",G115=""),"",IF(G115=0,"",SUMIFS('Recipe Ingredients'!$T$5:$T$1204,'Recipe Ingredients'!$B$5:$B$1204,A115)/G115))</f>
        <v>0</v>
      </c>
      <c r="AI115" s="45">
        <f>IF(OR(A115="",G115=""),"",IF(G115=0,"",SUMIFS('Recipe Ingredients'!$U$5:$U$1204,'Recipe Ingredients'!$B$5:$B$1204,A115)/G115))</f>
        <v>0</v>
      </c>
      <c r="AJ115" s="17">
        <f>IF(A115="","",IF(COUNTIFS('Recipe Ingredients'!$B$5:$B$1204,A115,'Recipe Ingredients'!$V$5:$V$1204,"&lt;&gt;",'Recipe Ingredients'!$V$5:$V$1204,"&lt;&gt;None")=0,"None listed",COUNTIFS('Recipe Ingredients'!$B$5:$B$1204,A115,'Recipe Ingredients'!$V$5:$V$1204,"&lt;&gt;",'Recipe Ingredients'!$V$5:$V$1204,"&lt;&gt;None")&amp;" ingredient(s) flagged"))</f>
        <v>0</v>
      </c>
      <c r="AK115" s="18">
        <f>IF(OR(AD115="",NOT(ISNUMBER(AD115))),"",COUNTIFS($AD$5:$AD$204,"&lt;"&amp;AD115)+COUNTIFS($AD$5:AD115,AD115))</f>
        <v>0</v>
      </c>
      <c r="AL115" s="18">
        <f>IF(B115="",0,IF(AND(OR(FilterDiet="Any",T115=FilterDiet),OR(FilterCategory="Any",C115=FilterCategory),OR(FilterMethod="Any",L115=FilterMethod),OR(FilterTime=0,AND(J115&lt;&gt;"",J115&lt;=FilterTime)),OR(FilterCost=0,AND(AD115&lt;&gt;"",ISNUMBER(AD115),AD115&lt;=FilterCost)),OR(FilterAllergen="Any",COUNTIFS('Recipe Ingredients'!$B$5:$B$1204,A115,'Recipe Ingredients'!$V$5:$V$1204,FilterAllergen)=0)),1,0))</f>
        <v>0</v>
      </c>
      <c r="AM115" s="18">
        <f>IF(AL115=0,"",SUM($AL$5:AL115))</f>
        <v>0</v>
      </c>
      <c r="AN115" s="18">
        <f>IF(B115="","",COUNTIFS($AZ$5:$AZ$204,"&gt;"&amp;AZ115)+COUNTIFS($AZ$5:AZ115,AZ115))</f>
        <v>0</v>
      </c>
      <c r="AO115" s="18">
        <f>IF(B115="","",COUNTIFS($AE$5:$AE$204,"&gt;"&amp;AE115)+COUNTIFS($AE$5:AE115,AE115))</f>
        <v>0</v>
      </c>
      <c r="AP115" s="18">
        <f>IF(B115="","",COUNTIFS($AF$5:$AF$204,"&gt;"&amp;AF115)+COUNTIFS($AF$5:AF115,AF115))</f>
        <v>0</v>
      </c>
      <c r="AQ115" s="18">
        <f>IF(B115="","",COUNTIFS($AI$5:$AI$204,"&gt;"&amp;AI115)+COUNTIFS($AI$5:AI115,AI115))</f>
        <v>0</v>
      </c>
      <c r="AR115" s="18">
        <f>IF(B115="","",COUNTIFS($AS$5:$AS$204,"&gt;"&amp;AS115)+COUNTIFS($AS$5:AS115,AS115))</f>
        <v>0</v>
      </c>
      <c r="AS115" s="45">
        <f>IF(B115="","",IF(BB115="",99999,BC115))</f>
        <v>0</v>
      </c>
      <c r="AT115" s="45">
        <f>IF(A115="",0,SUMIFS('Meal Plan'!$L$5:$L$504,'Meal Plan'!$G$5:$G$504,A115,'Meal Plan'!$B$5:$B$504,"&gt;="&amp;ShopFrom,'Meal Plan'!$B$5:$B$504,"&lt;="&amp;ShopTo,'Meal Plan'!$M$5:$M$504,"Yes"))</f>
        <v>0</v>
      </c>
      <c r="AU115" s="25">
        <f>IF(OR(A115="",AC115=""),"",AC115*AT115)</f>
        <v>0</v>
      </c>
      <c r="AV115" s="18">
        <f>IF(A115="","",COUNTIFS('Recipe Ingredients'!$B$5:$B$1204,A115,'Recipe Ingredients'!$N$5:$N$1204,""))</f>
        <v>0</v>
      </c>
      <c r="AZ115" s="18">
        <f>IF(A115="","",COUNTIFS('Meal Plan'!$G$5:$G$504,A115))</f>
        <v>0</v>
      </c>
      <c r="BA115" s="18">
        <f>IF(A115="","",COUNTIFS('Meal Plan'!$G$5:$G$504,A115,'Meal Plan'!$N$5:$N$504,"Prepared")+COUNTIFS('Meal Plan'!$G$5:$G$504,A115,'Meal Plan'!$N$5:$N$504,"Eaten"))</f>
        <v>0</v>
      </c>
      <c r="BB115" s="19">
        <f>IF(A115="","",IF(COUNTIFS('Meal Plan'!$G$5:$G$504,A115,'Meal Plan'!$B$5:$B$504,"&lt;="&amp;TODAY())=0,"",SUMPRODUCT(MAX(('Meal Plan'!$G$5:$G$504=A115)*('Meal Plan'!$B$5:$B$504&lt;=TODAY())*'Meal Plan'!$B$5:$B$504))))</f>
        <v>0</v>
      </c>
      <c r="BC115" s="18">
        <f>IF(BB115="","",TODAY()-BB115)</f>
        <v>0</v>
      </c>
      <c r="BF115" s="31">
        <f>IF(B115="","",IF(G115="","Add - how many does it serve?",IF(AB115=0,"Add - no ingredients listed yet",IF(AV115&gt;0,"Check - "&amp;AV115&amp;" ingredient(s) have no price",IF(AND(BC115&lt;&gt;"",BC115&lt;RotationGapDays),"Cooked recently","OK")))))</f>
        <v>0</v>
      </c>
    </row>
    <row r="116" spans="1:58">
      <c r="A116" s="39">
        <f>IF(B116="","",RecipePrefix&amp;TEXT(ROW()-4,"0000"))</f>
        <v>0</v>
      </c>
      <c r="J116" s="18">
        <f>IF(B116="","",IF(AND(H116="",I116=""),"",IF(H116="",0,H116)+IF(I116="",0,I116)))</f>
        <v>0</v>
      </c>
      <c r="K116" s="46">
        <f>IF(J116="","",IF(J116&lt;=30,"Yes","No"))</f>
        <v>0</v>
      </c>
      <c r="AB116" s="18">
        <f>IF(A116="","",COUNTIFS('Recipe Ingredients'!$B$5:$B$1204,A116))</f>
        <v>0</v>
      </c>
      <c r="AC116" s="25">
        <f>IF(A116="","",SUMIFS('Recipe Ingredients'!$N$5:$N$1204,'Recipe Ingredients'!$B$5:$B$1204,A116))</f>
        <v>0</v>
      </c>
      <c r="AD116" s="25">
        <f>IF(OR(AC116="",G116=""),"",IF(G116=0,"",AC116/G116))</f>
        <v>0</v>
      </c>
      <c r="AE116" s="30">
        <f>IF(OR(A116="",G116=""),"",IF(G116=0,"",SUMIFS('Recipe Ingredients'!$Q$5:$Q$1204,'Recipe Ingredients'!$B$5:$B$1204,A116)/G116))</f>
        <v>0</v>
      </c>
      <c r="AF116" s="45">
        <f>IF(OR(A116="",G116=""),"",IF(G116=0,"",SUMIFS('Recipe Ingredients'!$R$5:$R$1204,'Recipe Ingredients'!$B$5:$B$1204,A116)/G116))</f>
        <v>0</v>
      </c>
      <c r="AG116" s="45">
        <f>IF(OR(A116="",G116=""),"",IF(G116=0,"",SUMIFS('Recipe Ingredients'!$S$5:$S$1204,'Recipe Ingredients'!$B$5:$B$1204,A116)/G116))</f>
        <v>0</v>
      </c>
      <c r="AH116" s="45">
        <f>IF(OR(A116="",G116=""),"",IF(G116=0,"",SUMIFS('Recipe Ingredients'!$T$5:$T$1204,'Recipe Ingredients'!$B$5:$B$1204,A116)/G116))</f>
        <v>0</v>
      </c>
      <c r="AI116" s="45">
        <f>IF(OR(A116="",G116=""),"",IF(G116=0,"",SUMIFS('Recipe Ingredients'!$U$5:$U$1204,'Recipe Ingredients'!$B$5:$B$1204,A116)/G116))</f>
        <v>0</v>
      </c>
      <c r="AJ116" s="17">
        <f>IF(A116="","",IF(COUNTIFS('Recipe Ingredients'!$B$5:$B$1204,A116,'Recipe Ingredients'!$V$5:$V$1204,"&lt;&gt;",'Recipe Ingredients'!$V$5:$V$1204,"&lt;&gt;None")=0,"None listed",COUNTIFS('Recipe Ingredients'!$B$5:$B$1204,A116,'Recipe Ingredients'!$V$5:$V$1204,"&lt;&gt;",'Recipe Ingredients'!$V$5:$V$1204,"&lt;&gt;None")&amp;" ingredient(s) flagged"))</f>
        <v>0</v>
      </c>
      <c r="AK116" s="18">
        <f>IF(OR(AD116="",NOT(ISNUMBER(AD116))),"",COUNTIFS($AD$5:$AD$204,"&lt;"&amp;AD116)+COUNTIFS($AD$5:AD116,AD116))</f>
        <v>0</v>
      </c>
      <c r="AL116" s="18">
        <f>IF(B116="",0,IF(AND(OR(FilterDiet="Any",T116=FilterDiet),OR(FilterCategory="Any",C116=FilterCategory),OR(FilterMethod="Any",L116=FilterMethod),OR(FilterTime=0,AND(J116&lt;&gt;"",J116&lt;=FilterTime)),OR(FilterCost=0,AND(AD116&lt;&gt;"",ISNUMBER(AD116),AD116&lt;=FilterCost)),OR(FilterAllergen="Any",COUNTIFS('Recipe Ingredients'!$B$5:$B$1204,A116,'Recipe Ingredients'!$V$5:$V$1204,FilterAllergen)=0)),1,0))</f>
        <v>0</v>
      </c>
      <c r="AM116" s="18">
        <f>IF(AL116=0,"",SUM($AL$5:AL116))</f>
        <v>0</v>
      </c>
      <c r="AN116" s="18">
        <f>IF(B116="","",COUNTIFS($AZ$5:$AZ$204,"&gt;"&amp;AZ116)+COUNTIFS($AZ$5:AZ116,AZ116))</f>
        <v>0</v>
      </c>
      <c r="AO116" s="18">
        <f>IF(B116="","",COUNTIFS($AE$5:$AE$204,"&gt;"&amp;AE116)+COUNTIFS($AE$5:AE116,AE116))</f>
        <v>0</v>
      </c>
      <c r="AP116" s="18">
        <f>IF(B116="","",COUNTIFS($AF$5:$AF$204,"&gt;"&amp;AF116)+COUNTIFS($AF$5:AF116,AF116))</f>
        <v>0</v>
      </c>
      <c r="AQ116" s="18">
        <f>IF(B116="","",COUNTIFS($AI$5:$AI$204,"&gt;"&amp;AI116)+COUNTIFS($AI$5:AI116,AI116))</f>
        <v>0</v>
      </c>
      <c r="AR116" s="18">
        <f>IF(B116="","",COUNTIFS($AS$5:$AS$204,"&gt;"&amp;AS116)+COUNTIFS($AS$5:AS116,AS116))</f>
        <v>0</v>
      </c>
      <c r="AS116" s="45">
        <f>IF(B116="","",IF(BB116="",99999,BC116))</f>
        <v>0</v>
      </c>
      <c r="AT116" s="45">
        <f>IF(A116="",0,SUMIFS('Meal Plan'!$L$5:$L$504,'Meal Plan'!$G$5:$G$504,A116,'Meal Plan'!$B$5:$B$504,"&gt;="&amp;ShopFrom,'Meal Plan'!$B$5:$B$504,"&lt;="&amp;ShopTo,'Meal Plan'!$M$5:$M$504,"Yes"))</f>
        <v>0</v>
      </c>
      <c r="AU116" s="25">
        <f>IF(OR(A116="",AC116=""),"",AC116*AT116)</f>
        <v>0</v>
      </c>
      <c r="AV116" s="18">
        <f>IF(A116="","",COUNTIFS('Recipe Ingredients'!$B$5:$B$1204,A116,'Recipe Ingredients'!$N$5:$N$1204,""))</f>
        <v>0</v>
      </c>
      <c r="AZ116" s="18">
        <f>IF(A116="","",COUNTIFS('Meal Plan'!$G$5:$G$504,A116))</f>
        <v>0</v>
      </c>
      <c r="BA116" s="18">
        <f>IF(A116="","",COUNTIFS('Meal Plan'!$G$5:$G$504,A116,'Meal Plan'!$N$5:$N$504,"Prepared")+COUNTIFS('Meal Plan'!$G$5:$G$504,A116,'Meal Plan'!$N$5:$N$504,"Eaten"))</f>
        <v>0</v>
      </c>
      <c r="BB116" s="19">
        <f>IF(A116="","",IF(COUNTIFS('Meal Plan'!$G$5:$G$504,A116,'Meal Plan'!$B$5:$B$504,"&lt;="&amp;TODAY())=0,"",SUMPRODUCT(MAX(('Meal Plan'!$G$5:$G$504=A116)*('Meal Plan'!$B$5:$B$504&lt;=TODAY())*'Meal Plan'!$B$5:$B$504))))</f>
        <v>0</v>
      </c>
      <c r="BC116" s="18">
        <f>IF(BB116="","",TODAY()-BB116)</f>
        <v>0</v>
      </c>
      <c r="BF116" s="31">
        <f>IF(B116="","",IF(G116="","Add - how many does it serve?",IF(AB116=0,"Add - no ingredients listed yet",IF(AV116&gt;0,"Check - "&amp;AV116&amp;" ingredient(s) have no price",IF(AND(BC116&lt;&gt;"",BC116&lt;RotationGapDays),"Cooked recently","OK")))))</f>
        <v>0</v>
      </c>
    </row>
    <row r="117" spans="1:58">
      <c r="A117" s="39">
        <f>IF(B117="","",RecipePrefix&amp;TEXT(ROW()-4,"0000"))</f>
        <v>0</v>
      </c>
      <c r="J117" s="18">
        <f>IF(B117="","",IF(AND(H117="",I117=""),"",IF(H117="",0,H117)+IF(I117="",0,I117)))</f>
        <v>0</v>
      </c>
      <c r="K117" s="46">
        <f>IF(J117="","",IF(J117&lt;=30,"Yes","No"))</f>
        <v>0</v>
      </c>
      <c r="AB117" s="18">
        <f>IF(A117="","",COUNTIFS('Recipe Ingredients'!$B$5:$B$1204,A117))</f>
        <v>0</v>
      </c>
      <c r="AC117" s="25">
        <f>IF(A117="","",SUMIFS('Recipe Ingredients'!$N$5:$N$1204,'Recipe Ingredients'!$B$5:$B$1204,A117))</f>
        <v>0</v>
      </c>
      <c r="AD117" s="25">
        <f>IF(OR(AC117="",G117=""),"",IF(G117=0,"",AC117/G117))</f>
        <v>0</v>
      </c>
      <c r="AE117" s="30">
        <f>IF(OR(A117="",G117=""),"",IF(G117=0,"",SUMIFS('Recipe Ingredients'!$Q$5:$Q$1204,'Recipe Ingredients'!$B$5:$B$1204,A117)/G117))</f>
        <v>0</v>
      </c>
      <c r="AF117" s="45">
        <f>IF(OR(A117="",G117=""),"",IF(G117=0,"",SUMIFS('Recipe Ingredients'!$R$5:$R$1204,'Recipe Ingredients'!$B$5:$B$1204,A117)/G117))</f>
        <v>0</v>
      </c>
      <c r="AG117" s="45">
        <f>IF(OR(A117="",G117=""),"",IF(G117=0,"",SUMIFS('Recipe Ingredients'!$S$5:$S$1204,'Recipe Ingredients'!$B$5:$B$1204,A117)/G117))</f>
        <v>0</v>
      </c>
      <c r="AH117" s="45">
        <f>IF(OR(A117="",G117=""),"",IF(G117=0,"",SUMIFS('Recipe Ingredients'!$T$5:$T$1204,'Recipe Ingredients'!$B$5:$B$1204,A117)/G117))</f>
        <v>0</v>
      </c>
      <c r="AI117" s="45">
        <f>IF(OR(A117="",G117=""),"",IF(G117=0,"",SUMIFS('Recipe Ingredients'!$U$5:$U$1204,'Recipe Ingredients'!$B$5:$B$1204,A117)/G117))</f>
        <v>0</v>
      </c>
      <c r="AJ117" s="17">
        <f>IF(A117="","",IF(COUNTIFS('Recipe Ingredients'!$B$5:$B$1204,A117,'Recipe Ingredients'!$V$5:$V$1204,"&lt;&gt;",'Recipe Ingredients'!$V$5:$V$1204,"&lt;&gt;None")=0,"None listed",COUNTIFS('Recipe Ingredients'!$B$5:$B$1204,A117,'Recipe Ingredients'!$V$5:$V$1204,"&lt;&gt;",'Recipe Ingredients'!$V$5:$V$1204,"&lt;&gt;None")&amp;" ingredient(s) flagged"))</f>
        <v>0</v>
      </c>
      <c r="AK117" s="18">
        <f>IF(OR(AD117="",NOT(ISNUMBER(AD117))),"",COUNTIFS($AD$5:$AD$204,"&lt;"&amp;AD117)+COUNTIFS($AD$5:AD117,AD117))</f>
        <v>0</v>
      </c>
      <c r="AL117" s="18">
        <f>IF(B117="",0,IF(AND(OR(FilterDiet="Any",T117=FilterDiet),OR(FilterCategory="Any",C117=FilterCategory),OR(FilterMethod="Any",L117=FilterMethod),OR(FilterTime=0,AND(J117&lt;&gt;"",J117&lt;=FilterTime)),OR(FilterCost=0,AND(AD117&lt;&gt;"",ISNUMBER(AD117),AD117&lt;=FilterCost)),OR(FilterAllergen="Any",COUNTIFS('Recipe Ingredients'!$B$5:$B$1204,A117,'Recipe Ingredients'!$V$5:$V$1204,FilterAllergen)=0)),1,0))</f>
        <v>0</v>
      </c>
      <c r="AM117" s="18">
        <f>IF(AL117=0,"",SUM($AL$5:AL117))</f>
        <v>0</v>
      </c>
      <c r="AN117" s="18">
        <f>IF(B117="","",COUNTIFS($AZ$5:$AZ$204,"&gt;"&amp;AZ117)+COUNTIFS($AZ$5:AZ117,AZ117))</f>
        <v>0</v>
      </c>
      <c r="AO117" s="18">
        <f>IF(B117="","",COUNTIFS($AE$5:$AE$204,"&gt;"&amp;AE117)+COUNTIFS($AE$5:AE117,AE117))</f>
        <v>0</v>
      </c>
      <c r="AP117" s="18">
        <f>IF(B117="","",COUNTIFS($AF$5:$AF$204,"&gt;"&amp;AF117)+COUNTIFS($AF$5:AF117,AF117))</f>
        <v>0</v>
      </c>
      <c r="AQ117" s="18">
        <f>IF(B117="","",COUNTIFS($AI$5:$AI$204,"&gt;"&amp;AI117)+COUNTIFS($AI$5:AI117,AI117))</f>
        <v>0</v>
      </c>
      <c r="AR117" s="18">
        <f>IF(B117="","",COUNTIFS($AS$5:$AS$204,"&gt;"&amp;AS117)+COUNTIFS($AS$5:AS117,AS117))</f>
        <v>0</v>
      </c>
      <c r="AS117" s="45">
        <f>IF(B117="","",IF(BB117="",99999,BC117))</f>
        <v>0</v>
      </c>
      <c r="AT117" s="45">
        <f>IF(A117="",0,SUMIFS('Meal Plan'!$L$5:$L$504,'Meal Plan'!$G$5:$G$504,A117,'Meal Plan'!$B$5:$B$504,"&gt;="&amp;ShopFrom,'Meal Plan'!$B$5:$B$504,"&lt;="&amp;ShopTo,'Meal Plan'!$M$5:$M$504,"Yes"))</f>
        <v>0</v>
      </c>
      <c r="AU117" s="25">
        <f>IF(OR(A117="",AC117=""),"",AC117*AT117)</f>
        <v>0</v>
      </c>
      <c r="AV117" s="18">
        <f>IF(A117="","",COUNTIFS('Recipe Ingredients'!$B$5:$B$1204,A117,'Recipe Ingredients'!$N$5:$N$1204,""))</f>
        <v>0</v>
      </c>
      <c r="AZ117" s="18">
        <f>IF(A117="","",COUNTIFS('Meal Plan'!$G$5:$G$504,A117))</f>
        <v>0</v>
      </c>
      <c r="BA117" s="18">
        <f>IF(A117="","",COUNTIFS('Meal Plan'!$G$5:$G$504,A117,'Meal Plan'!$N$5:$N$504,"Prepared")+COUNTIFS('Meal Plan'!$G$5:$G$504,A117,'Meal Plan'!$N$5:$N$504,"Eaten"))</f>
        <v>0</v>
      </c>
      <c r="BB117" s="19">
        <f>IF(A117="","",IF(COUNTIFS('Meal Plan'!$G$5:$G$504,A117,'Meal Plan'!$B$5:$B$504,"&lt;="&amp;TODAY())=0,"",SUMPRODUCT(MAX(('Meal Plan'!$G$5:$G$504=A117)*('Meal Plan'!$B$5:$B$504&lt;=TODAY())*'Meal Plan'!$B$5:$B$504))))</f>
        <v>0</v>
      </c>
      <c r="BC117" s="18">
        <f>IF(BB117="","",TODAY()-BB117)</f>
        <v>0</v>
      </c>
      <c r="BF117" s="31">
        <f>IF(B117="","",IF(G117="","Add - how many does it serve?",IF(AB117=0,"Add - no ingredients listed yet",IF(AV117&gt;0,"Check - "&amp;AV117&amp;" ingredient(s) have no price",IF(AND(BC117&lt;&gt;"",BC117&lt;RotationGapDays),"Cooked recently","OK")))))</f>
        <v>0</v>
      </c>
    </row>
    <row r="118" spans="1:58">
      <c r="A118" s="39">
        <f>IF(B118="","",RecipePrefix&amp;TEXT(ROW()-4,"0000"))</f>
        <v>0</v>
      </c>
      <c r="J118" s="18">
        <f>IF(B118="","",IF(AND(H118="",I118=""),"",IF(H118="",0,H118)+IF(I118="",0,I118)))</f>
        <v>0</v>
      </c>
      <c r="K118" s="46">
        <f>IF(J118="","",IF(J118&lt;=30,"Yes","No"))</f>
        <v>0</v>
      </c>
      <c r="AB118" s="18">
        <f>IF(A118="","",COUNTIFS('Recipe Ingredients'!$B$5:$B$1204,A118))</f>
        <v>0</v>
      </c>
      <c r="AC118" s="25">
        <f>IF(A118="","",SUMIFS('Recipe Ingredients'!$N$5:$N$1204,'Recipe Ingredients'!$B$5:$B$1204,A118))</f>
        <v>0</v>
      </c>
      <c r="AD118" s="25">
        <f>IF(OR(AC118="",G118=""),"",IF(G118=0,"",AC118/G118))</f>
        <v>0</v>
      </c>
      <c r="AE118" s="30">
        <f>IF(OR(A118="",G118=""),"",IF(G118=0,"",SUMIFS('Recipe Ingredients'!$Q$5:$Q$1204,'Recipe Ingredients'!$B$5:$B$1204,A118)/G118))</f>
        <v>0</v>
      </c>
      <c r="AF118" s="45">
        <f>IF(OR(A118="",G118=""),"",IF(G118=0,"",SUMIFS('Recipe Ingredients'!$R$5:$R$1204,'Recipe Ingredients'!$B$5:$B$1204,A118)/G118))</f>
        <v>0</v>
      </c>
      <c r="AG118" s="45">
        <f>IF(OR(A118="",G118=""),"",IF(G118=0,"",SUMIFS('Recipe Ingredients'!$S$5:$S$1204,'Recipe Ingredients'!$B$5:$B$1204,A118)/G118))</f>
        <v>0</v>
      </c>
      <c r="AH118" s="45">
        <f>IF(OR(A118="",G118=""),"",IF(G118=0,"",SUMIFS('Recipe Ingredients'!$T$5:$T$1204,'Recipe Ingredients'!$B$5:$B$1204,A118)/G118))</f>
        <v>0</v>
      </c>
      <c r="AI118" s="45">
        <f>IF(OR(A118="",G118=""),"",IF(G118=0,"",SUMIFS('Recipe Ingredients'!$U$5:$U$1204,'Recipe Ingredients'!$B$5:$B$1204,A118)/G118))</f>
        <v>0</v>
      </c>
      <c r="AJ118" s="17">
        <f>IF(A118="","",IF(COUNTIFS('Recipe Ingredients'!$B$5:$B$1204,A118,'Recipe Ingredients'!$V$5:$V$1204,"&lt;&gt;",'Recipe Ingredients'!$V$5:$V$1204,"&lt;&gt;None")=0,"None listed",COUNTIFS('Recipe Ingredients'!$B$5:$B$1204,A118,'Recipe Ingredients'!$V$5:$V$1204,"&lt;&gt;",'Recipe Ingredients'!$V$5:$V$1204,"&lt;&gt;None")&amp;" ingredient(s) flagged"))</f>
        <v>0</v>
      </c>
      <c r="AK118" s="18">
        <f>IF(OR(AD118="",NOT(ISNUMBER(AD118))),"",COUNTIFS($AD$5:$AD$204,"&lt;"&amp;AD118)+COUNTIFS($AD$5:AD118,AD118))</f>
        <v>0</v>
      </c>
      <c r="AL118" s="18">
        <f>IF(B118="",0,IF(AND(OR(FilterDiet="Any",T118=FilterDiet),OR(FilterCategory="Any",C118=FilterCategory),OR(FilterMethod="Any",L118=FilterMethod),OR(FilterTime=0,AND(J118&lt;&gt;"",J118&lt;=FilterTime)),OR(FilterCost=0,AND(AD118&lt;&gt;"",ISNUMBER(AD118),AD118&lt;=FilterCost)),OR(FilterAllergen="Any",COUNTIFS('Recipe Ingredients'!$B$5:$B$1204,A118,'Recipe Ingredients'!$V$5:$V$1204,FilterAllergen)=0)),1,0))</f>
        <v>0</v>
      </c>
      <c r="AM118" s="18">
        <f>IF(AL118=0,"",SUM($AL$5:AL118))</f>
        <v>0</v>
      </c>
      <c r="AN118" s="18">
        <f>IF(B118="","",COUNTIFS($AZ$5:$AZ$204,"&gt;"&amp;AZ118)+COUNTIFS($AZ$5:AZ118,AZ118))</f>
        <v>0</v>
      </c>
      <c r="AO118" s="18">
        <f>IF(B118="","",COUNTIFS($AE$5:$AE$204,"&gt;"&amp;AE118)+COUNTIFS($AE$5:AE118,AE118))</f>
        <v>0</v>
      </c>
      <c r="AP118" s="18">
        <f>IF(B118="","",COUNTIFS($AF$5:$AF$204,"&gt;"&amp;AF118)+COUNTIFS($AF$5:AF118,AF118))</f>
        <v>0</v>
      </c>
      <c r="AQ118" s="18">
        <f>IF(B118="","",COUNTIFS($AI$5:$AI$204,"&gt;"&amp;AI118)+COUNTIFS($AI$5:AI118,AI118))</f>
        <v>0</v>
      </c>
      <c r="AR118" s="18">
        <f>IF(B118="","",COUNTIFS($AS$5:$AS$204,"&gt;"&amp;AS118)+COUNTIFS($AS$5:AS118,AS118))</f>
        <v>0</v>
      </c>
      <c r="AS118" s="45">
        <f>IF(B118="","",IF(BB118="",99999,BC118))</f>
        <v>0</v>
      </c>
      <c r="AT118" s="45">
        <f>IF(A118="",0,SUMIFS('Meal Plan'!$L$5:$L$504,'Meal Plan'!$G$5:$G$504,A118,'Meal Plan'!$B$5:$B$504,"&gt;="&amp;ShopFrom,'Meal Plan'!$B$5:$B$504,"&lt;="&amp;ShopTo,'Meal Plan'!$M$5:$M$504,"Yes"))</f>
        <v>0</v>
      </c>
      <c r="AU118" s="25">
        <f>IF(OR(A118="",AC118=""),"",AC118*AT118)</f>
        <v>0</v>
      </c>
      <c r="AV118" s="18">
        <f>IF(A118="","",COUNTIFS('Recipe Ingredients'!$B$5:$B$1204,A118,'Recipe Ingredients'!$N$5:$N$1204,""))</f>
        <v>0</v>
      </c>
      <c r="AZ118" s="18">
        <f>IF(A118="","",COUNTIFS('Meal Plan'!$G$5:$G$504,A118))</f>
        <v>0</v>
      </c>
      <c r="BA118" s="18">
        <f>IF(A118="","",COUNTIFS('Meal Plan'!$G$5:$G$504,A118,'Meal Plan'!$N$5:$N$504,"Prepared")+COUNTIFS('Meal Plan'!$G$5:$G$504,A118,'Meal Plan'!$N$5:$N$504,"Eaten"))</f>
        <v>0</v>
      </c>
      <c r="BB118" s="19">
        <f>IF(A118="","",IF(COUNTIFS('Meal Plan'!$G$5:$G$504,A118,'Meal Plan'!$B$5:$B$504,"&lt;="&amp;TODAY())=0,"",SUMPRODUCT(MAX(('Meal Plan'!$G$5:$G$504=A118)*('Meal Plan'!$B$5:$B$504&lt;=TODAY())*'Meal Plan'!$B$5:$B$504))))</f>
        <v>0</v>
      </c>
      <c r="BC118" s="18">
        <f>IF(BB118="","",TODAY()-BB118)</f>
        <v>0</v>
      </c>
      <c r="BF118" s="31">
        <f>IF(B118="","",IF(G118="","Add - how many does it serve?",IF(AB118=0,"Add - no ingredients listed yet",IF(AV118&gt;0,"Check - "&amp;AV118&amp;" ingredient(s) have no price",IF(AND(BC118&lt;&gt;"",BC118&lt;RotationGapDays),"Cooked recently","OK")))))</f>
        <v>0</v>
      </c>
    </row>
    <row r="119" spans="1:58">
      <c r="A119" s="39">
        <f>IF(B119="","",RecipePrefix&amp;TEXT(ROW()-4,"0000"))</f>
        <v>0</v>
      </c>
      <c r="J119" s="18">
        <f>IF(B119="","",IF(AND(H119="",I119=""),"",IF(H119="",0,H119)+IF(I119="",0,I119)))</f>
        <v>0</v>
      </c>
      <c r="K119" s="46">
        <f>IF(J119="","",IF(J119&lt;=30,"Yes","No"))</f>
        <v>0</v>
      </c>
      <c r="AB119" s="18">
        <f>IF(A119="","",COUNTIFS('Recipe Ingredients'!$B$5:$B$1204,A119))</f>
        <v>0</v>
      </c>
      <c r="AC119" s="25">
        <f>IF(A119="","",SUMIFS('Recipe Ingredients'!$N$5:$N$1204,'Recipe Ingredients'!$B$5:$B$1204,A119))</f>
        <v>0</v>
      </c>
      <c r="AD119" s="25">
        <f>IF(OR(AC119="",G119=""),"",IF(G119=0,"",AC119/G119))</f>
        <v>0</v>
      </c>
      <c r="AE119" s="30">
        <f>IF(OR(A119="",G119=""),"",IF(G119=0,"",SUMIFS('Recipe Ingredients'!$Q$5:$Q$1204,'Recipe Ingredients'!$B$5:$B$1204,A119)/G119))</f>
        <v>0</v>
      </c>
      <c r="AF119" s="45">
        <f>IF(OR(A119="",G119=""),"",IF(G119=0,"",SUMIFS('Recipe Ingredients'!$R$5:$R$1204,'Recipe Ingredients'!$B$5:$B$1204,A119)/G119))</f>
        <v>0</v>
      </c>
      <c r="AG119" s="45">
        <f>IF(OR(A119="",G119=""),"",IF(G119=0,"",SUMIFS('Recipe Ingredients'!$S$5:$S$1204,'Recipe Ingredients'!$B$5:$B$1204,A119)/G119))</f>
        <v>0</v>
      </c>
      <c r="AH119" s="45">
        <f>IF(OR(A119="",G119=""),"",IF(G119=0,"",SUMIFS('Recipe Ingredients'!$T$5:$T$1204,'Recipe Ingredients'!$B$5:$B$1204,A119)/G119))</f>
        <v>0</v>
      </c>
      <c r="AI119" s="45">
        <f>IF(OR(A119="",G119=""),"",IF(G119=0,"",SUMIFS('Recipe Ingredients'!$U$5:$U$1204,'Recipe Ingredients'!$B$5:$B$1204,A119)/G119))</f>
        <v>0</v>
      </c>
      <c r="AJ119" s="17">
        <f>IF(A119="","",IF(COUNTIFS('Recipe Ingredients'!$B$5:$B$1204,A119,'Recipe Ingredients'!$V$5:$V$1204,"&lt;&gt;",'Recipe Ingredients'!$V$5:$V$1204,"&lt;&gt;None")=0,"None listed",COUNTIFS('Recipe Ingredients'!$B$5:$B$1204,A119,'Recipe Ingredients'!$V$5:$V$1204,"&lt;&gt;",'Recipe Ingredients'!$V$5:$V$1204,"&lt;&gt;None")&amp;" ingredient(s) flagged"))</f>
        <v>0</v>
      </c>
      <c r="AK119" s="18">
        <f>IF(OR(AD119="",NOT(ISNUMBER(AD119))),"",COUNTIFS($AD$5:$AD$204,"&lt;"&amp;AD119)+COUNTIFS($AD$5:AD119,AD119))</f>
        <v>0</v>
      </c>
      <c r="AL119" s="18">
        <f>IF(B119="",0,IF(AND(OR(FilterDiet="Any",T119=FilterDiet),OR(FilterCategory="Any",C119=FilterCategory),OR(FilterMethod="Any",L119=FilterMethod),OR(FilterTime=0,AND(J119&lt;&gt;"",J119&lt;=FilterTime)),OR(FilterCost=0,AND(AD119&lt;&gt;"",ISNUMBER(AD119),AD119&lt;=FilterCost)),OR(FilterAllergen="Any",COUNTIFS('Recipe Ingredients'!$B$5:$B$1204,A119,'Recipe Ingredients'!$V$5:$V$1204,FilterAllergen)=0)),1,0))</f>
        <v>0</v>
      </c>
      <c r="AM119" s="18">
        <f>IF(AL119=0,"",SUM($AL$5:AL119))</f>
        <v>0</v>
      </c>
      <c r="AN119" s="18">
        <f>IF(B119="","",COUNTIFS($AZ$5:$AZ$204,"&gt;"&amp;AZ119)+COUNTIFS($AZ$5:AZ119,AZ119))</f>
        <v>0</v>
      </c>
      <c r="AO119" s="18">
        <f>IF(B119="","",COUNTIFS($AE$5:$AE$204,"&gt;"&amp;AE119)+COUNTIFS($AE$5:AE119,AE119))</f>
        <v>0</v>
      </c>
      <c r="AP119" s="18">
        <f>IF(B119="","",COUNTIFS($AF$5:$AF$204,"&gt;"&amp;AF119)+COUNTIFS($AF$5:AF119,AF119))</f>
        <v>0</v>
      </c>
      <c r="AQ119" s="18">
        <f>IF(B119="","",COUNTIFS($AI$5:$AI$204,"&gt;"&amp;AI119)+COUNTIFS($AI$5:AI119,AI119))</f>
        <v>0</v>
      </c>
      <c r="AR119" s="18">
        <f>IF(B119="","",COUNTIFS($AS$5:$AS$204,"&gt;"&amp;AS119)+COUNTIFS($AS$5:AS119,AS119))</f>
        <v>0</v>
      </c>
      <c r="AS119" s="45">
        <f>IF(B119="","",IF(BB119="",99999,BC119))</f>
        <v>0</v>
      </c>
      <c r="AT119" s="45">
        <f>IF(A119="",0,SUMIFS('Meal Plan'!$L$5:$L$504,'Meal Plan'!$G$5:$G$504,A119,'Meal Plan'!$B$5:$B$504,"&gt;="&amp;ShopFrom,'Meal Plan'!$B$5:$B$504,"&lt;="&amp;ShopTo,'Meal Plan'!$M$5:$M$504,"Yes"))</f>
        <v>0</v>
      </c>
      <c r="AU119" s="25">
        <f>IF(OR(A119="",AC119=""),"",AC119*AT119)</f>
        <v>0</v>
      </c>
      <c r="AV119" s="18">
        <f>IF(A119="","",COUNTIFS('Recipe Ingredients'!$B$5:$B$1204,A119,'Recipe Ingredients'!$N$5:$N$1204,""))</f>
        <v>0</v>
      </c>
      <c r="AZ119" s="18">
        <f>IF(A119="","",COUNTIFS('Meal Plan'!$G$5:$G$504,A119))</f>
        <v>0</v>
      </c>
      <c r="BA119" s="18">
        <f>IF(A119="","",COUNTIFS('Meal Plan'!$G$5:$G$504,A119,'Meal Plan'!$N$5:$N$504,"Prepared")+COUNTIFS('Meal Plan'!$G$5:$G$504,A119,'Meal Plan'!$N$5:$N$504,"Eaten"))</f>
        <v>0</v>
      </c>
      <c r="BB119" s="19">
        <f>IF(A119="","",IF(COUNTIFS('Meal Plan'!$G$5:$G$504,A119,'Meal Plan'!$B$5:$B$504,"&lt;="&amp;TODAY())=0,"",SUMPRODUCT(MAX(('Meal Plan'!$G$5:$G$504=A119)*('Meal Plan'!$B$5:$B$504&lt;=TODAY())*'Meal Plan'!$B$5:$B$504))))</f>
        <v>0</v>
      </c>
      <c r="BC119" s="18">
        <f>IF(BB119="","",TODAY()-BB119)</f>
        <v>0</v>
      </c>
      <c r="BF119" s="31">
        <f>IF(B119="","",IF(G119="","Add - how many does it serve?",IF(AB119=0,"Add - no ingredients listed yet",IF(AV119&gt;0,"Check - "&amp;AV119&amp;" ingredient(s) have no price",IF(AND(BC119&lt;&gt;"",BC119&lt;RotationGapDays),"Cooked recently","OK")))))</f>
        <v>0</v>
      </c>
    </row>
    <row r="120" spans="1:58">
      <c r="A120" s="39">
        <f>IF(B120="","",RecipePrefix&amp;TEXT(ROW()-4,"0000"))</f>
        <v>0</v>
      </c>
      <c r="J120" s="18">
        <f>IF(B120="","",IF(AND(H120="",I120=""),"",IF(H120="",0,H120)+IF(I120="",0,I120)))</f>
        <v>0</v>
      </c>
      <c r="K120" s="46">
        <f>IF(J120="","",IF(J120&lt;=30,"Yes","No"))</f>
        <v>0</v>
      </c>
      <c r="AB120" s="18">
        <f>IF(A120="","",COUNTIFS('Recipe Ingredients'!$B$5:$B$1204,A120))</f>
        <v>0</v>
      </c>
      <c r="AC120" s="25">
        <f>IF(A120="","",SUMIFS('Recipe Ingredients'!$N$5:$N$1204,'Recipe Ingredients'!$B$5:$B$1204,A120))</f>
        <v>0</v>
      </c>
      <c r="AD120" s="25">
        <f>IF(OR(AC120="",G120=""),"",IF(G120=0,"",AC120/G120))</f>
        <v>0</v>
      </c>
      <c r="AE120" s="30">
        <f>IF(OR(A120="",G120=""),"",IF(G120=0,"",SUMIFS('Recipe Ingredients'!$Q$5:$Q$1204,'Recipe Ingredients'!$B$5:$B$1204,A120)/G120))</f>
        <v>0</v>
      </c>
      <c r="AF120" s="45">
        <f>IF(OR(A120="",G120=""),"",IF(G120=0,"",SUMIFS('Recipe Ingredients'!$R$5:$R$1204,'Recipe Ingredients'!$B$5:$B$1204,A120)/G120))</f>
        <v>0</v>
      </c>
      <c r="AG120" s="45">
        <f>IF(OR(A120="",G120=""),"",IF(G120=0,"",SUMIFS('Recipe Ingredients'!$S$5:$S$1204,'Recipe Ingredients'!$B$5:$B$1204,A120)/G120))</f>
        <v>0</v>
      </c>
      <c r="AH120" s="45">
        <f>IF(OR(A120="",G120=""),"",IF(G120=0,"",SUMIFS('Recipe Ingredients'!$T$5:$T$1204,'Recipe Ingredients'!$B$5:$B$1204,A120)/G120))</f>
        <v>0</v>
      </c>
      <c r="AI120" s="45">
        <f>IF(OR(A120="",G120=""),"",IF(G120=0,"",SUMIFS('Recipe Ingredients'!$U$5:$U$1204,'Recipe Ingredients'!$B$5:$B$1204,A120)/G120))</f>
        <v>0</v>
      </c>
      <c r="AJ120" s="17">
        <f>IF(A120="","",IF(COUNTIFS('Recipe Ingredients'!$B$5:$B$1204,A120,'Recipe Ingredients'!$V$5:$V$1204,"&lt;&gt;",'Recipe Ingredients'!$V$5:$V$1204,"&lt;&gt;None")=0,"None listed",COUNTIFS('Recipe Ingredients'!$B$5:$B$1204,A120,'Recipe Ingredients'!$V$5:$V$1204,"&lt;&gt;",'Recipe Ingredients'!$V$5:$V$1204,"&lt;&gt;None")&amp;" ingredient(s) flagged"))</f>
        <v>0</v>
      </c>
      <c r="AK120" s="18">
        <f>IF(OR(AD120="",NOT(ISNUMBER(AD120))),"",COUNTIFS($AD$5:$AD$204,"&lt;"&amp;AD120)+COUNTIFS($AD$5:AD120,AD120))</f>
        <v>0</v>
      </c>
      <c r="AL120" s="18">
        <f>IF(B120="",0,IF(AND(OR(FilterDiet="Any",T120=FilterDiet),OR(FilterCategory="Any",C120=FilterCategory),OR(FilterMethod="Any",L120=FilterMethod),OR(FilterTime=0,AND(J120&lt;&gt;"",J120&lt;=FilterTime)),OR(FilterCost=0,AND(AD120&lt;&gt;"",ISNUMBER(AD120),AD120&lt;=FilterCost)),OR(FilterAllergen="Any",COUNTIFS('Recipe Ingredients'!$B$5:$B$1204,A120,'Recipe Ingredients'!$V$5:$V$1204,FilterAllergen)=0)),1,0))</f>
        <v>0</v>
      </c>
      <c r="AM120" s="18">
        <f>IF(AL120=0,"",SUM($AL$5:AL120))</f>
        <v>0</v>
      </c>
      <c r="AN120" s="18">
        <f>IF(B120="","",COUNTIFS($AZ$5:$AZ$204,"&gt;"&amp;AZ120)+COUNTIFS($AZ$5:AZ120,AZ120))</f>
        <v>0</v>
      </c>
      <c r="AO120" s="18">
        <f>IF(B120="","",COUNTIFS($AE$5:$AE$204,"&gt;"&amp;AE120)+COUNTIFS($AE$5:AE120,AE120))</f>
        <v>0</v>
      </c>
      <c r="AP120" s="18">
        <f>IF(B120="","",COUNTIFS($AF$5:$AF$204,"&gt;"&amp;AF120)+COUNTIFS($AF$5:AF120,AF120))</f>
        <v>0</v>
      </c>
      <c r="AQ120" s="18">
        <f>IF(B120="","",COUNTIFS($AI$5:$AI$204,"&gt;"&amp;AI120)+COUNTIFS($AI$5:AI120,AI120))</f>
        <v>0</v>
      </c>
      <c r="AR120" s="18">
        <f>IF(B120="","",COUNTIFS($AS$5:$AS$204,"&gt;"&amp;AS120)+COUNTIFS($AS$5:AS120,AS120))</f>
        <v>0</v>
      </c>
      <c r="AS120" s="45">
        <f>IF(B120="","",IF(BB120="",99999,BC120))</f>
        <v>0</v>
      </c>
      <c r="AT120" s="45">
        <f>IF(A120="",0,SUMIFS('Meal Plan'!$L$5:$L$504,'Meal Plan'!$G$5:$G$504,A120,'Meal Plan'!$B$5:$B$504,"&gt;="&amp;ShopFrom,'Meal Plan'!$B$5:$B$504,"&lt;="&amp;ShopTo,'Meal Plan'!$M$5:$M$504,"Yes"))</f>
        <v>0</v>
      </c>
      <c r="AU120" s="25">
        <f>IF(OR(A120="",AC120=""),"",AC120*AT120)</f>
        <v>0</v>
      </c>
      <c r="AV120" s="18">
        <f>IF(A120="","",COUNTIFS('Recipe Ingredients'!$B$5:$B$1204,A120,'Recipe Ingredients'!$N$5:$N$1204,""))</f>
        <v>0</v>
      </c>
      <c r="AZ120" s="18">
        <f>IF(A120="","",COUNTIFS('Meal Plan'!$G$5:$G$504,A120))</f>
        <v>0</v>
      </c>
      <c r="BA120" s="18">
        <f>IF(A120="","",COUNTIFS('Meal Plan'!$G$5:$G$504,A120,'Meal Plan'!$N$5:$N$504,"Prepared")+COUNTIFS('Meal Plan'!$G$5:$G$504,A120,'Meal Plan'!$N$5:$N$504,"Eaten"))</f>
        <v>0</v>
      </c>
      <c r="BB120" s="19">
        <f>IF(A120="","",IF(COUNTIFS('Meal Plan'!$G$5:$G$504,A120,'Meal Plan'!$B$5:$B$504,"&lt;="&amp;TODAY())=0,"",SUMPRODUCT(MAX(('Meal Plan'!$G$5:$G$504=A120)*('Meal Plan'!$B$5:$B$504&lt;=TODAY())*'Meal Plan'!$B$5:$B$504))))</f>
        <v>0</v>
      </c>
      <c r="BC120" s="18">
        <f>IF(BB120="","",TODAY()-BB120)</f>
        <v>0</v>
      </c>
      <c r="BF120" s="31">
        <f>IF(B120="","",IF(G120="","Add - how many does it serve?",IF(AB120=0,"Add - no ingredients listed yet",IF(AV120&gt;0,"Check - "&amp;AV120&amp;" ingredient(s) have no price",IF(AND(BC120&lt;&gt;"",BC120&lt;RotationGapDays),"Cooked recently","OK")))))</f>
        <v>0</v>
      </c>
    </row>
    <row r="121" spans="1:58">
      <c r="A121" s="39">
        <f>IF(B121="","",RecipePrefix&amp;TEXT(ROW()-4,"0000"))</f>
        <v>0</v>
      </c>
      <c r="J121" s="18">
        <f>IF(B121="","",IF(AND(H121="",I121=""),"",IF(H121="",0,H121)+IF(I121="",0,I121)))</f>
        <v>0</v>
      </c>
      <c r="K121" s="46">
        <f>IF(J121="","",IF(J121&lt;=30,"Yes","No"))</f>
        <v>0</v>
      </c>
      <c r="AB121" s="18">
        <f>IF(A121="","",COUNTIFS('Recipe Ingredients'!$B$5:$B$1204,A121))</f>
        <v>0</v>
      </c>
      <c r="AC121" s="25">
        <f>IF(A121="","",SUMIFS('Recipe Ingredients'!$N$5:$N$1204,'Recipe Ingredients'!$B$5:$B$1204,A121))</f>
        <v>0</v>
      </c>
      <c r="AD121" s="25">
        <f>IF(OR(AC121="",G121=""),"",IF(G121=0,"",AC121/G121))</f>
        <v>0</v>
      </c>
      <c r="AE121" s="30">
        <f>IF(OR(A121="",G121=""),"",IF(G121=0,"",SUMIFS('Recipe Ingredients'!$Q$5:$Q$1204,'Recipe Ingredients'!$B$5:$B$1204,A121)/G121))</f>
        <v>0</v>
      </c>
      <c r="AF121" s="45">
        <f>IF(OR(A121="",G121=""),"",IF(G121=0,"",SUMIFS('Recipe Ingredients'!$R$5:$R$1204,'Recipe Ingredients'!$B$5:$B$1204,A121)/G121))</f>
        <v>0</v>
      </c>
      <c r="AG121" s="45">
        <f>IF(OR(A121="",G121=""),"",IF(G121=0,"",SUMIFS('Recipe Ingredients'!$S$5:$S$1204,'Recipe Ingredients'!$B$5:$B$1204,A121)/G121))</f>
        <v>0</v>
      </c>
      <c r="AH121" s="45">
        <f>IF(OR(A121="",G121=""),"",IF(G121=0,"",SUMIFS('Recipe Ingredients'!$T$5:$T$1204,'Recipe Ingredients'!$B$5:$B$1204,A121)/G121))</f>
        <v>0</v>
      </c>
      <c r="AI121" s="45">
        <f>IF(OR(A121="",G121=""),"",IF(G121=0,"",SUMIFS('Recipe Ingredients'!$U$5:$U$1204,'Recipe Ingredients'!$B$5:$B$1204,A121)/G121))</f>
        <v>0</v>
      </c>
      <c r="AJ121" s="17">
        <f>IF(A121="","",IF(COUNTIFS('Recipe Ingredients'!$B$5:$B$1204,A121,'Recipe Ingredients'!$V$5:$V$1204,"&lt;&gt;",'Recipe Ingredients'!$V$5:$V$1204,"&lt;&gt;None")=0,"None listed",COUNTIFS('Recipe Ingredients'!$B$5:$B$1204,A121,'Recipe Ingredients'!$V$5:$V$1204,"&lt;&gt;",'Recipe Ingredients'!$V$5:$V$1204,"&lt;&gt;None")&amp;" ingredient(s) flagged"))</f>
        <v>0</v>
      </c>
      <c r="AK121" s="18">
        <f>IF(OR(AD121="",NOT(ISNUMBER(AD121))),"",COUNTIFS($AD$5:$AD$204,"&lt;"&amp;AD121)+COUNTIFS($AD$5:AD121,AD121))</f>
        <v>0</v>
      </c>
      <c r="AL121" s="18">
        <f>IF(B121="",0,IF(AND(OR(FilterDiet="Any",T121=FilterDiet),OR(FilterCategory="Any",C121=FilterCategory),OR(FilterMethod="Any",L121=FilterMethod),OR(FilterTime=0,AND(J121&lt;&gt;"",J121&lt;=FilterTime)),OR(FilterCost=0,AND(AD121&lt;&gt;"",ISNUMBER(AD121),AD121&lt;=FilterCost)),OR(FilterAllergen="Any",COUNTIFS('Recipe Ingredients'!$B$5:$B$1204,A121,'Recipe Ingredients'!$V$5:$V$1204,FilterAllergen)=0)),1,0))</f>
        <v>0</v>
      </c>
      <c r="AM121" s="18">
        <f>IF(AL121=0,"",SUM($AL$5:AL121))</f>
        <v>0</v>
      </c>
      <c r="AN121" s="18">
        <f>IF(B121="","",COUNTIFS($AZ$5:$AZ$204,"&gt;"&amp;AZ121)+COUNTIFS($AZ$5:AZ121,AZ121))</f>
        <v>0</v>
      </c>
      <c r="AO121" s="18">
        <f>IF(B121="","",COUNTIFS($AE$5:$AE$204,"&gt;"&amp;AE121)+COUNTIFS($AE$5:AE121,AE121))</f>
        <v>0</v>
      </c>
      <c r="AP121" s="18">
        <f>IF(B121="","",COUNTIFS($AF$5:$AF$204,"&gt;"&amp;AF121)+COUNTIFS($AF$5:AF121,AF121))</f>
        <v>0</v>
      </c>
      <c r="AQ121" s="18">
        <f>IF(B121="","",COUNTIFS($AI$5:$AI$204,"&gt;"&amp;AI121)+COUNTIFS($AI$5:AI121,AI121))</f>
        <v>0</v>
      </c>
      <c r="AR121" s="18">
        <f>IF(B121="","",COUNTIFS($AS$5:$AS$204,"&gt;"&amp;AS121)+COUNTIFS($AS$5:AS121,AS121))</f>
        <v>0</v>
      </c>
      <c r="AS121" s="45">
        <f>IF(B121="","",IF(BB121="",99999,BC121))</f>
        <v>0</v>
      </c>
      <c r="AT121" s="45">
        <f>IF(A121="",0,SUMIFS('Meal Plan'!$L$5:$L$504,'Meal Plan'!$G$5:$G$504,A121,'Meal Plan'!$B$5:$B$504,"&gt;="&amp;ShopFrom,'Meal Plan'!$B$5:$B$504,"&lt;="&amp;ShopTo,'Meal Plan'!$M$5:$M$504,"Yes"))</f>
        <v>0</v>
      </c>
      <c r="AU121" s="25">
        <f>IF(OR(A121="",AC121=""),"",AC121*AT121)</f>
        <v>0</v>
      </c>
      <c r="AV121" s="18">
        <f>IF(A121="","",COUNTIFS('Recipe Ingredients'!$B$5:$B$1204,A121,'Recipe Ingredients'!$N$5:$N$1204,""))</f>
        <v>0</v>
      </c>
      <c r="AZ121" s="18">
        <f>IF(A121="","",COUNTIFS('Meal Plan'!$G$5:$G$504,A121))</f>
        <v>0</v>
      </c>
      <c r="BA121" s="18">
        <f>IF(A121="","",COUNTIFS('Meal Plan'!$G$5:$G$504,A121,'Meal Plan'!$N$5:$N$504,"Prepared")+COUNTIFS('Meal Plan'!$G$5:$G$504,A121,'Meal Plan'!$N$5:$N$504,"Eaten"))</f>
        <v>0</v>
      </c>
      <c r="BB121" s="19">
        <f>IF(A121="","",IF(COUNTIFS('Meal Plan'!$G$5:$G$504,A121,'Meal Plan'!$B$5:$B$504,"&lt;="&amp;TODAY())=0,"",SUMPRODUCT(MAX(('Meal Plan'!$G$5:$G$504=A121)*('Meal Plan'!$B$5:$B$504&lt;=TODAY())*'Meal Plan'!$B$5:$B$504))))</f>
        <v>0</v>
      </c>
      <c r="BC121" s="18">
        <f>IF(BB121="","",TODAY()-BB121)</f>
        <v>0</v>
      </c>
      <c r="BF121" s="31">
        <f>IF(B121="","",IF(G121="","Add - how many does it serve?",IF(AB121=0,"Add - no ingredients listed yet",IF(AV121&gt;0,"Check - "&amp;AV121&amp;" ingredient(s) have no price",IF(AND(BC121&lt;&gt;"",BC121&lt;RotationGapDays),"Cooked recently","OK")))))</f>
        <v>0</v>
      </c>
    </row>
    <row r="122" spans="1:58">
      <c r="A122" s="39">
        <f>IF(B122="","",RecipePrefix&amp;TEXT(ROW()-4,"0000"))</f>
        <v>0</v>
      </c>
      <c r="J122" s="18">
        <f>IF(B122="","",IF(AND(H122="",I122=""),"",IF(H122="",0,H122)+IF(I122="",0,I122)))</f>
        <v>0</v>
      </c>
      <c r="K122" s="46">
        <f>IF(J122="","",IF(J122&lt;=30,"Yes","No"))</f>
        <v>0</v>
      </c>
      <c r="AB122" s="18">
        <f>IF(A122="","",COUNTIFS('Recipe Ingredients'!$B$5:$B$1204,A122))</f>
        <v>0</v>
      </c>
      <c r="AC122" s="25">
        <f>IF(A122="","",SUMIFS('Recipe Ingredients'!$N$5:$N$1204,'Recipe Ingredients'!$B$5:$B$1204,A122))</f>
        <v>0</v>
      </c>
      <c r="AD122" s="25">
        <f>IF(OR(AC122="",G122=""),"",IF(G122=0,"",AC122/G122))</f>
        <v>0</v>
      </c>
      <c r="AE122" s="30">
        <f>IF(OR(A122="",G122=""),"",IF(G122=0,"",SUMIFS('Recipe Ingredients'!$Q$5:$Q$1204,'Recipe Ingredients'!$B$5:$B$1204,A122)/G122))</f>
        <v>0</v>
      </c>
      <c r="AF122" s="45">
        <f>IF(OR(A122="",G122=""),"",IF(G122=0,"",SUMIFS('Recipe Ingredients'!$R$5:$R$1204,'Recipe Ingredients'!$B$5:$B$1204,A122)/G122))</f>
        <v>0</v>
      </c>
      <c r="AG122" s="45">
        <f>IF(OR(A122="",G122=""),"",IF(G122=0,"",SUMIFS('Recipe Ingredients'!$S$5:$S$1204,'Recipe Ingredients'!$B$5:$B$1204,A122)/G122))</f>
        <v>0</v>
      </c>
      <c r="AH122" s="45">
        <f>IF(OR(A122="",G122=""),"",IF(G122=0,"",SUMIFS('Recipe Ingredients'!$T$5:$T$1204,'Recipe Ingredients'!$B$5:$B$1204,A122)/G122))</f>
        <v>0</v>
      </c>
      <c r="AI122" s="45">
        <f>IF(OR(A122="",G122=""),"",IF(G122=0,"",SUMIFS('Recipe Ingredients'!$U$5:$U$1204,'Recipe Ingredients'!$B$5:$B$1204,A122)/G122))</f>
        <v>0</v>
      </c>
      <c r="AJ122" s="17">
        <f>IF(A122="","",IF(COUNTIFS('Recipe Ingredients'!$B$5:$B$1204,A122,'Recipe Ingredients'!$V$5:$V$1204,"&lt;&gt;",'Recipe Ingredients'!$V$5:$V$1204,"&lt;&gt;None")=0,"None listed",COUNTIFS('Recipe Ingredients'!$B$5:$B$1204,A122,'Recipe Ingredients'!$V$5:$V$1204,"&lt;&gt;",'Recipe Ingredients'!$V$5:$V$1204,"&lt;&gt;None")&amp;" ingredient(s) flagged"))</f>
        <v>0</v>
      </c>
      <c r="AK122" s="18">
        <f>IF(OR(AD122="",NOT(ISNUMBER(AD122))),"",COUNTIFS($AD$5:$AD$204,"&lt;"&amp;AD122)+COUNTIFS($AD$5:AD122,AD122))</f>
        <v>0</v>
      </c>
      <c r="AL122" s="18">
        <f>IF(B122="",0,IF(AND(OR(FilterDiet="Any",T122=FilterDiet),OR(FilterCategory="Any",C122=FilterCategory),OR(FilterMethod="Any",L122=FilterMethod),OR(FilterTime=0,AND(J122&lt;&gt;"",J122&lt;=FilterTime)),OR(FilterCost=0,AND(AD122&lt;&gt;"",ISNUMBER(AD122),AD122&lt;=FilterCost)),OR(FilterAllergen="Any",COUNTIFS('Recipe Ingredients'!$B$5:$B$1204,A122,'Recipe Ingredients'!$V$5:$V$1204,FilterAllergen)=0)),1,0))</f>
        <v>0</v>
      </c>
      <c r="AM122" s="18">
        <f>IF(AL122=0,"",SUM($AL$5:AL122))</f>
        <v>0</v>
      </c>
      <c r="AN122" s="18">
        <f>IF(B122="","",COUNTIFS($AZ$5:$AZ$204,"&gt;"&amp;AZ122)+COUNTIFS($AZ$5:AZ122,AZ122))</f>
        <v>0</v>
      </c>
      <c r="AO122" s="18">
        <f>IF(B122="","",COUNTIFS($AE$5:$AE$204,"&gt;"&amp;AE122)+COUNTIFS($AE$5:AE122,AE122))</f>
        <v>0</v>
      </c>
      <c r="AP122" s="18">
        <f>IF(B122="","",COUNTIFS($AF$5:$AF$204,"&gt;"&amp;AF122)+COUNTIFS($AF$5:AF122,AF122))</f>
        <v>0</v>
      </c>
      <c r="AQ122" s="18">
        <f>IF(B122="","",COUNTIFS($AI$5:$AI$204,"&gt;"&amp;AI122)+COUNTIFS($AI$5:AI122,AI122))</f>
        <v>0</v>
      </c>
      <c r="AR122" s="18">
        <f>IF(B122="","",COUNTIFS($AS$5:$AS$204,"&gt;"&amp;AS122)+COUNTIFS($AS$5:AS122,AS122))</f>
        <v>0</v>
      </c>
      <c r="AS122" s="45">
        <f>IF(B122="","",IF(BB122="",99999,BC122))</f>
        <v>0</v>
      </c>
      <c r="AT122" s="45">
        <f>IF(A122="",0,SUMIFS('Meal Plan'!$L$5:$L$504,'Meal Plan'!$G$5:$G$504,A122,'Meal Plan'!$B$5:$B$504,"&gt;="&amp;ShopFrom,'Meal Plan'!$B$5:$B$504,"&lt;="&amp;ShopTo,'Meal Plan'!$M$5:$M$504,"Yes"))</f>
        <v>0</v>
      </c>
      <c r="AU122" s="25">
        <f>IF(OR(A122="",AC122=""),"",AC122*AT122)</f>
        <v>0</v>
      </c>
      <c r="AV122" s="18">
        <f>IF(A122="","",COUNTIFS('Recipe Ingredients'!$B$5:$B$1204,A122,'Recipe Ingredients'!$N$5:$N$1204,""))</f>
        <v>0</v>
      </c>
      <c r="AZ122" s="18">
        <f>IF(A122="","",COUNTIFS('Meal Plan'!$G$5:$G$504,A122))</f>
        <v>0</v>
      </c>
      <c r="BA122" s="18">
        <f>IF(A122="","",COUNTIFS('Meal Plan'!$G$5:$G$504,A122,'Meal Plan'!$N$5:$N$504,"Prepared")+COUNTIFS('Meal Plan'!$G$5:$G$504,A122,'Meal Plan'!$N$5:$N$504,"Eaten"))</f>
        <v>0</v>
      </c>
      <c r="BB122" s="19">
        <f>IF(A122="","",IF(COUNTIFS('Meal Plan'!$G$5:$G$504,A122,'Meal Plan'!$B$5:$B$504,"&lt;="&amp;TODAY())=0,"",SUMPRODUCT(MAX(('Meal Plan'!$G$5:$G$504=A122)*('Meal Plan'!$B$5:$B$504&lt;=TODAY())*'Meal Plan'!$B$5:$B$504))))</f>
        <v>0</v>
      </c>
      <c r="BC122" s="18">
        <f>IF(BB122="","",TODAY()-BB122)</f>
        <v>0</v>
      </c>
      <c r="BF122" s="31">
        <f>IF(B122="","",IF(G122="","Add - how many does it serve?",IF(AB122=0,"Add - no ingredients listed yet",IF(AV122&gt;0,"Check - "&amp;AV122&amp;" ingredient(s) have no price",IF(AND(BC122&lt;&gt;"",BC122&lt;RotationGapDays),"Cooked recently","OK")))))</f>
        <v>0</v>
      </c>
    </row>
    <row r="123" spans="1:58">
      <c r="A123" s="39">
        <f>IF(B123="","",RecipePrefix&amp;TEXT(ROW()-4,"0000"))</f>
        <v>0</v>
      </c>
      <c r="J123" s="18">
        <f>IF(B123="","",IF(AND(H123="",I123=""),"",IF(H123="",0,H123)+IF(I123="",0,I123)))</f>
        <v>0</v>
      </c>
      <c r="K123" s="46">
        <f>IF(J123="","",IF(J123&lt;=30,"Yes","No"))</f>
        <v>0</v>
      </c>
      <c r="AB123" s="18">
        <f>IF(A123="","",COUNTIFS('Recipe Ingredients'!$B$5:$B$1204,A123))</f>
        <v>0</v>
      </c>
      <c r="AC123" s="25">
        <f>IF(A123="","",SUMIFS('Recipe Ingredients'!$N$5:$N$1204,'Recipe Ingredients'!$B$5:$B$1204,A123))</f>
        <v>0</v>
      </c>
      <c r="AD123" s="25">
        <f>IF(OR(AC123="",G123=""),"",IF(G123=0,"",AC123/G123))</f>
        <v>0</v>
      </c>
      <c r="AE123" s="30">
        <f>IF(OR(A123="",G123=""),"",IF(G123=0,"",SUMIFS('Recipe Ingredients'!$Q$5:$Q$1204,'Recipe Ingredients'!$B$5:$B$1204,A123)/G123))</f>
        <v>0</v>
      </c>
      <c r="AF123" s="45">
        <f>IF(OR(A123="",G123=""),"",IF(G123=0,"",SUMIFS('Recipe Ingredients'!$R$5:$R$1204,'Recipe Ingredients'!$B$5:$B$1204,A123)/G123))</f>
        <v>0</v>
      </c>
      <c r="AG123" s="45">
        <f>IF(OR(A123="",G123=""),"",IF(G123=0,"",SUMIFS('Recipe Ingredients'!$S$5:$S$1204,'Recipe Ingredients'!$B$5:$B$1204,A123)/G123))</f>
        <v>0</v>
      </c>
      <c r="AH123" s="45">
        <f>IF(OR(A123="",G123=""),"",IF(G123=0,"",SUMIFS('Recipe Ingredients'!$T$5:$T$1204,'Recipe Ingredients'!$B$5:$B$1204,A123)/G123))</f>
        <v>0</v>
      </c>
      <c r="AI123" s="45">
        <f>IF(OR(A123="",G123=""),"",IF(G123=0,"",SUMIFS('Recipe Ingredients'!$U$5:$U$1204,'Recipe Ingredients'!$B$5:$B$1204,A123)/G123))</f>
        <v>0</v>
      </c>
      <c r="AJ123" s="17">
        <f>IF(A123="","",IF(COUNTIFS('Recipe Ingredients'!$B$5:$B$1204,A123,'Recipe Ingredients'!$V$5:$V$1204,"&lt;&gt;",'Recipe Ingredients'!$V$5:$V$1204,"&lt;&gt;None")=0,"None listed",COUNTIFS('Recipe Ingredients'!$B$5:$B$1204,A123,'Recipe Ingredients'!$V$5:$V$1204,"&lt;&gt;",'Recipe Ingredients'!$V$5:$V$1204,"&lt;&gt;None")&amp;" ingredient(s) flagged"))</f>
        <v>0</v>
      </c>
      <c r="AK123" s="18">
        <f>IF(OR(AD123="",NOT(ISNUMBER(AD123))),"",COUNTIFS($AD$5:$AD$204,"&lt;"&amp;AD123)+COUNTIFS($AD$5:AD123,AD123))</f>
        <v>0</v>
      </c>
      <c r="AL123" s="18">
        <f>IF(B123="",0,IF(AND(OR(FilterDiet="Any",T123=FilterDiet),OR(FilterCategory="Any",C123=FilterCategory),OR(FilterMethod="Any",L123=FilterMethod),OR(FilterTime=0,AND(J123&lt;&gt;"",J123&lt;=FilterTime)),OR(FilterCost=0,AND(AD123&lt;&gt;"",ISNUMBER(AD123),AD123&lt;=FilterCost)),OR(FilterAllergen="Any",COUNTIFS('Recipe Ingredients'!$B$5:$B$1204,A123,'Recipe Ingredients'!$V$5:$V$1204,FilterAllergen)=0)),1,0))</f>
        <v>0</v>
      </c>
      <c r="AM123" s="18">
        <f>IF(AL123=0,"",SUM($AL$5:AL123))</f>
        <v>0</v>
      </c>
      <c r="AN123" s="18">
        <f>IF(B123="","",COUNTIFS($AZ$5:$AZ$204,"&gt;"&amp;AZ123)+COUNTIFS($AZ$5:AZ123,AZ123))</f>
        <v>0</v>
      </c>
      <c r="AO123" s="18">
        <f>IF(B123="","",COUNTIFS($AE$5:$AE$204,"&gt;"&amp;AE123)+COUNTIFS($AE$5:AE123,AE123))</f>
        <v>0</v>
      </c>
      <c r="AP123" s="18">
        <f>IF(B123="","",COUNTIFS($AF$5:$AF$204,"&gt;"&amp;AF123)+COUNTIFS($AF$5:AF123,AF123))</f>
        <v>0</v>
      </c>
      <c r="AQ123" s="18">
        <f>IF(B123="","",COUNTIFS($AI$5:$AI$204,"&gt;"&amp;AI123)+COUNTIFS($AI$5:AI123,AI123))</f>
        <v>0</v>
      </c>
      <c r="AR123" s="18">
        <f>IF(B123="","",COUNTIFS($AS$5:$AS$204,"&gt;"&amp;AS123)+COUNTIFS($AS$5:AS123,AS123))</f>
        <v>0</v>
      </c>
      <c r="AS123" s="45">
        <f>IF(B123="","",IF(BB123="",99999,BC123))</f>
        <v>0</v>
      </c>
      <c r="AT123" s="45">
        <f>IF(A123="",0,SUMIFS('Meal Plan'!$L$5:$L$504,'Meal Plan'!$G$5:$G$504,A123,'Meal Plan'!$B$5:$B$504,"&gt;="&amp;ShopFrom,'Meal Plan'!$B$5:$B$504,"&lt;="&amp;ShopTo,'Meal Plan'!$M$5:$M$504,"Yes"))</f>
        <v>0</v>
      </c>
      <c r="AU123" s="25">
        <f>IF(OR(A123="",AC123=""),"",AC123*AT123)</f>
        <v>0</v>
      </c>
      <c r="AV123" s="18">
        <f>IF(A123="","",COUNTIFS('Recipe Ingredients'!$B$5:$B$1204,A123,'Recipe Ingredients'!$N$5:$N$1204,""))</f>
        <v>0</v>
      </c>
      <c r="AZ123" s="18">
        <f>IF(A123="","",COUNTIFS('Meal Plan'!$G$5:$G$504,A123))</f>
        <v>0</v>
      </c>
      <c r="BA123" s="18">
        <f>IF(A123="","",COUNTIFS('Meal Plan'!$G$5:$G$504,A123,'Meal Plan'!$N$5:$N$504,"Prepared")+COUNTIFS('Meal Plan'!$G$5:$G$504,A123,'Meal Plan'!$N$5:$N$504,"Eaten"))</f>
        <v>0</v>
      </c>
      <c r="BB123" s="19">
        <f>IF(A123="","",IF(COUNTIFS('Meal Plan'!$G$5:$G$504,A123,'Meal Plan'!$B$5:$B$504,"&lt;="&amp;TODAY())=0,"",SUMPRODUCT(MAX(('Meal Plan'!$G$5:$G$504=A123)*('Meal Plan'!$B$5:$B$504&lt;=TODAY())*'Meal Plan'!$B$5:$B$504))))</f>
        <v>0</v>
      </c>
      <c r="BC123" s="18">
        <f>IF(BB123="","",TODAY()-BB123)</f>
        <v>0</v>
      </c>
      <c r="BF123" s="31">
        <f>IF(B123="","",IF(G123="","Add - how many does it serve?",IF(AB123=0,"Add - no ingredients listed yet",IF(AV123&gt;0,"Check - "&amp;AV123&amp;" ingredient(s) have no price",IF(AND(BC123&lt;&gt;"",BC123&lt;RotationGapDays),"Cooked recently","OK")))))</f>
        <v>0</v>
      </c>
    </row>
    <row r="124" spans="1:58">
      <c r="A124" s="39">
        <f>IF(B124="","",RecipePrefix&amp;TEXT(ROW()-4,"0000"))</f>
        <v>0</v>
      </c>
      <c r="J124" s="18">
        <f>IF(B124="","",IF(AND(H124="",I124=""),"",IF(H124="",0,H124)+IF(I124="",0,I124)))</f>
        <v>0</v>
      </c>
      <c r="K124" s="46">
        <f>IF(J124="","",IF(J124&lt;=30,"Yes","No"))</f>
        <v>0</v>
      </c>
      <c r="AB124" s="18">
        <f>IF(A124="","",COUNTIFS('Recipe Ingredients'!$B$5:$B$1204,A124))</f>
        <v>0</v>
      </c>
      <c r="AC124" s="25">
        <f>IF(A124="","",SUMIFS('Recipe Ingredients'!$N$5:$N$1204,'Recipe Ingredients'!$B$5:$B$1204,A124))</f>
        <v>0</v>
      </c>
      <c r="AD124" s="25">
        <f>IF(OR(AC124="",G124=""),"",IF(G124=0,"",AC124/G124))</f>
        <v>0</v>
      </c>
      <c r="AE124" s="30">
        <f>IF(OR(A124="",G124=""),"",IF(G124=0,"",SUMIFS('Recipe Ingredients'!$Q$5:$Q$1204,'Recipe Ingredients'!$B$5:$B$1204,A124)/G124))</f>
        <v>0</v>
      </c>
      <c r="AF124" s="45">
        <f>IF(OR(A124="",G124=""),"",IF(G124=0,"",SUMIFS('Recipe Ingredients'!$R$5:$R$1204,'Recipe Ingredients'!$B$5:$B$1204,A124)/G124))</f>
        <v>0</v>
      </c>
      <c r="AG124" s="45">
        <f>IF(OR(A124="",G124=""),"",IF(G124=0,"",SUMIFS('Recipe Ingredients'!$S$5:$S$1204,'Recipe Ingredients'!$B$5:$B$1204,A124)/G124))</f>
        <v>0</v>
      </c>
      <c r="AH124" s="45">
        <f>IF(OR(A124="",G124=""),"",IF(G124=0,"",SUMIFS('Recipe Ingredients'!$T$5:$T$1204,'Recipe Ingredients'!$B$5:$B$1204,A124)/G124))</f>
        <v>0</v>
      </c>
      <c r="AI124" s="45">
        <f>IF(OR(A124="",G124=""),"",IF(G124=0,"",SUMIFS('Recipe Ingredients'!$U$5:$U$1204,'Recipe Ingredients'!$B$5:$B$1204,A124)/G124))</f>
        <v>0</v>
      </c>
      <c r="AJ124" s="17">
        <f>IF(A124="","",IF(COUNTIFS('Recipe Ingredients'!$B$5:$B$1204,A124,'Recipe Ingredients'!$V$5:$V$1204,"&lt;&gt;",'Recipe Ingredients'!$V$5:$V$1204,"&lt;&gt;None")=0,"None listed",COUNTIFS('Recipe Ingredients'!$B$5:$B$1204,A124,'Recipe Ingredients'!$V$5:$V$1204,"&lt;&gt;",'Recipe Ingredients'!$V$5:$V$1204,"&lt;&gt;None")&amp;" ingredient(s) flagged"))</f>
        <v>0</v>
      </c>
      <c r="AK124" s="18">
        <f>IF(OR(AD124="",NOT(ISNUMBER(AD124))),"",COUNTIFS($AD$5:$AD$204,"&lt;"&amp;AD124)+COUNTIFS($AD$5:AD124,AD124))</f>
        <v>0</v>
      </c>
      <c r="AL124" s="18">
        <f>IF(B124="",0,IF(AND(OR(FilterDiet="Any",T124=FilterDiet),OR(FilterCategory="Any",C124=FilterCategory),OR(FilterMethod="Any",L124=FilterMethod),OR(FilterTime=0,AND(J124&lt;&gt;"",J124&lt;=FilterTime)),OR(FilterCost=0,AND(AD124&lt;&gt;"",ISNUMBER(AD124),AD124&lt;=FilterCost)),OR(FilterAllergen="Any",COUNTIFS('Recipe Ingredients'!$B$5:$B$1204,A124,'Recipe Ingredients'!$V$5:$V$1204,FilterAllergen)=0)),1,0))</f>
        <v>0</v>
      </c>
      <c r="AM124" s="18">
        <f>IF(AL124=0,"",SUM($AL$5:AL124))</f>
        <v>0</v>
      </c>
      <c r="AN124" s="18">
        <f>IF(B124="","",COUNTIFS($AZ$5:$AZ$204,"&gt;"&amp;AZ124)+COUNTIFS($AZ$5:AZ124,AZ124))</f>
        <v>0</v>
      </c>
      <c r="AO124" s="18">
        <f>IF(B124="","",COUNTIFS($AE$5:$AE$204,"&gt;"&amp;AE124)+COUNTIFS($AE$5:AE124,AE124))</f>
        <v>0</v>
      </c>
      <c r="AP124" s="18">
        <f>IF(B124="","",COUNTIFS($AF$5:$AF$204,"&gt;"&amp;AF124)+COUNTIFS($AF$5:AF124,AF124))</f>
        <v>0</v>
      </c>
      <c r="AQ124" s="18">
        <f>IF(B124="","",COUNTIFS($AI$5:$AI$204,"&gt;"&amp;AI124)+COUNTIFS($AI$5:AI124,AI124))</f>
        <v>0</v>
      </c>
      <c r="AR124" s="18">
        <f>IF(B124="","",COUNTIFS($AS$5:$AS$204,"&gt;"&amp;AS124)+COUNTIFS($AS$5:AS124,AS124))</f>
        <v>0</v>
      </c>
      <c r="AS124" s="45">
        <f>IF(B124="","",IF(BB124="",99999,BC124))</f>
        <v>0</v>
      </c>
      <c r="AT124" s="45">
        <f>IF(A124="",0,SUMIFS('Meal Plan'!$L$5:$L$504,'Meal Plan'!$G$5:$G$504,A124,'Meal Plan'!$B$5:$B$504,"&gt;="&amp;ShopFrom,'Meal Plan'!$B$5:$B$504,"&lt;="&amp;ShopTo,'Meal Plan'!$M$5:$M$504,"Yes"))</f>
        <v>0</v>
      </c>
      <c r="AU124" s="25">
        <f>IF(OR(A124="",AC124=""),"",AC124*AT124)</f>
        <v>0</v>
      </c>
      <c r="AV124" s="18">
        <f>IF(A124="","",COUNTIFS('Recipe Ingredients'!$B$5:$B$1204,A124,'Recipe Ingredients'!$N$5:$N$1204,""))</f>
        <v>0</v>
      </c>
      <c r="AZ124" s="18">
        <f>IF(A124="","",COUNTIFS('Meal Plan'!$G$5:$G$504,A124))</f>
        <v>0</v>
      </c>
      <c r="BA124" s="18">
        <f>IF(A124="","",COUNTIFS('Meal Plan'!$G$5:$G$504,A124,'Meal Plan'!$N$5:$N$504,"Prepared")+COUNTIFS('Meal Plan'!$G$5:$G$504,A124,'Meal Plan'!$N$5:$N$504,"Eaten"))</f>
        <v>0</v>
      </c>
      <c r="BB124" s="19">
        <f>IF(A124="","",IF(COUNTIFS('Meal Plan'!$G$5:$G$504,A124,'Meal Plan'!$B$5:$B$504,"&lt;="&amp;TODAY())=0,"",SUMPRODUCT(MAX(('Meal Plan'!$G$5:$G$504=A124)*('Meal Plan'!$B$5:$B$504&lt;=TODAY())*'Meal Plan'!$B$5:$B$504))))</f>
        <v>0</v>
      </c>
      <c r="BC124" s="18">
        <f>IF(BB124="","",TODAY()-BB124)</f>
        <v>0</v>
      </c>
      <c r="BF124" s="31">
        <f>IF(B124="","",IF(G124="","Add - how many does it serve?",IF(AB124=0,"Add - no ingredients listed yet",IF(AV124&gt;0,"Check - "&amp;AV124&amp;" ingredient(s) have no price",IF(AND(BC124&lt;&gt;"",BC124&lt;RotationGapDays),"Cooked recently","OK")))))</f>
        <v>0</v>
      </c>
    </row>
    <row r="125" spans="1:58">
      <c r="A125" s="39">
        <f>IF(B125="","",RecipePrefix&amp;TEXT(ROW()-4,"0000"))</f>
        <v>0</v>
      </c>
      <c r="J125" s="18">
        <f>IF(B125="","",IF(AND(H125="",I125=""),"",IF(H125="",0,H125)+IF(I125="",0,I125)))</f>
        <v>0</v>
      </c>
      <c r="K125" s="46">
        <f>IF(J125="","",IF(J125&lt;=30,"Yes","No"))</f>
        <v>0</v>
      </c>
      <c r="AB125" s="18">
        <f>IF(A125="","",COUNTIFS('Recipe Ingredients'!$B$5:$B$1204,A125))</f>
        <v>0</v>
      </c>
      <c r="AC125" s="25">
        <f>IF(A125="","",SUMIFS('Recipe Ingredients'!$N$5:$N$1204,'Recipe Ingredients'!$B$5:$B$1204,A125))</f>
        <v>0</v>
      </c>
      <c r="AD125" s="25">
        <f>IF(OR(AC125="",G125=""),"",IF(G125=0,"",AC125/G125))</f>
        <v>0</v>
      </c>
      <c r="AE125" s="30">
        <f>IF(OR(A125="",G125=""),"",IF(G125=0,"",SUMIFS('Recipe Ingredients'!$Q$5:$Q$1204,'Recipe Ingredients'!$B$5:$B$1204,A125)/G125))</f>
        <v>0</v>
      </c>
      <c r="AF125" s="45">
        <f>IF(OR(A125="",G125=""),"",IF(G125=0,"",SUMIFS('Recipe Ingredients'!$R$5:$R$1204,'Recipe Ingredients'!$B$5:$B$1204,A125)/G125))</f>
        <v>0</v>
      </c>
      <c r="AG125" s="45">
        <f>IF(OR(A125="",G125=""),"",IF(G125=0,"",SUMIFS('Recipe Ingredients'!$S$5:$S$1204,'Recipe Ingredients'!$B$5:$B$1204,A125)/G125))</f>
        <v>0</v>
      </c>
      <c r="AH125" s="45">
        <f>IF(OR(A125="",G125=""),"",IF(G125=0,"",SUMIFS('Recipe Ingredients'!$T$5:$T$1204,'Recipe Ingredients'!$B$5:$B$1204,A125)/G125))</f>
        <v>0</v>
      </c>
      <c r="AI125" s="45">
        <f>IF(OR(A125="",G125=""),"",IF(G125=0,"",SUMIFS('Recipe Ingredients'!$U$5:$U$1204,'Recipe Ingredients'!$B$5:$B$1204,A125)/G125))</f>
        <v>0</v>
      </c>
      <c r="AJ125" s="17">
        <f>IF(A125="","",IF(COUNTIFS('Recipe Ingredients'!$B$5:$B$1204,A125,'Recipe Ingredients'!$V$5:$V$1204,"&lt;&gt;",'Recipe Ingredients'!$V$5:$V$1204,"&lt;&gt;None")=0,"None listed",COUNTIFS('Recipe Ingredients'!$B$5:$B$1204,A125,'Recipe Ingredients'!$V$5:$V$1204,"&lt;&gt;",'Recipe Ingredients'!$V$5:$V$1204,"&lt;&gt;None")&amp;" ingredient(s) flagged"))</f>
        <v>0</v>
      </c>
      <c r="AK125" s="18">
        <f>IF(OR(AD125="",NOT(ISNUMBER(AD125))),"",COUNTIFS($AD$5:$AD$204,"&lt;"&amp;AD125)+COUNTIFS($AD$5:AD125,AD125))</f>
        <v>0</v>
      </c>
      <c r="AL125" s="18">
        <f>IF(B125="",0,IF(AND(OR(FilterDiet="Any",T125=FilterDiet),OR(FilterCategory="Any",C125=FilterCategory),OR(FilterMethod="Any",L125=FilterMethod),OR(FilterTime=0,AND(J125&lt;&gt;"",J125&lt;=FilterTime)),OR(FilterCost=0,AND(AD125&lt;&gt;"",ISNUMBER(AD125),AD125&lt;=FilterCost)),OR(FilterAllergen="Any",COUNTIFS('Recipe Ingredients'!$B$5:$B$1204,A125,'Recipe Ingredients'!$V$5:$V$1204,FilterAllergen)=0)),1,0))</f>
        <v>0</v>
      </c>
      <c r="AM125" s="18">
        <f>IF(AL125=0,"",SUM($AL$5:AL125))</f>
        <v>0</v>
      </c>
      <c r="AN125" s="18">
        <f>IF(B125="","",COUNTIFS($AZ$5:$AZ$204,"&gt;"&amp;AZ125)+COUNTIFS($AZ$5:AZ125,AZ125))</f>
        <v>0</v>
      </c>
      <c r="AO125" s="18">
        <f>IF(B125="","",COUNTIFS($AE$5:$AE$204,"&gt;"&amp;AE125)+COUNTIFS($AE$5:AE125,AE125))</f>
        <v>0</v>
      </c>
      <c r="AP125" s="18">
        <f>IF(B125="","",COUNTIFS($AF$5:$AF$204,"&gt;"&amp;AF125)+COUNTIFS($AF$5:AF125,AF125))</f>
        <v>0</v>
      </c>
      <c r="AQ125" s="18">
        <f>IF(B125="","",COUNTIFS($AI$5:$AI$204,"&gt;"&amp;AI125)+COUNTIFS($AI$5:AI125,AI125))</f>
        <v>0</v>
      </c>
      <c r="AR125" s="18">
        <f>IF(B125="","",COUNTIFS($AS$5:$AS$204,"&gt;"&amp;AS125)+COUNTIFS($AS$5:AS125,AS125))</f>
        <v>0</v>
      </c>
      <c r="AS125" s="45">
        <f>IF(B125="","",IF(BB125="",99999,BC125))</f>
        <v>0</v>
      </c>
      <c r="AT125" s="45">
        <f>IF(A125="",0,SUMIFS('Meal Plan'!$L$5:$L$504,'Meal Plan'!$G$5:$G$504,A125,'Meal Plan'!$B$5:$B$504,"&gt;="&amp;ShopFrom,'Meal Plan'!$B$5:$B$504,"&lt;="&amp;ShopTo,'Meal Plan'!$M$5:$M$504,"Yes"))</f>
        <v>0</v>
      </c>
      <c r="AU125" s="25">
        <f>IF(OR(A125="",AC125=""),"",AC125*AT125)</f>
        <v>0</v>
      </c>
      <c r="AV125" s="18">
        <f>IF(A125="","",COUNTIFS('Recipe Ingredients'!$B$5:$B$1204,A125,'Recipe Ingredients'!$N$5:$N$1204,""))</f>
        <v>0</v>
      </c>
      <c r="AZ125" s="18">
        <f>IF(A125="","",COUNTIFS('Meal Plan'!$G$5:$G$504,A125))</f>
        <v>0</v>
      </c>
      <c r="BA125" s="18">
        <f>IF(A125="","",COUNTIFS('Meal Plan'!$G$5:$G$504,A125,'Meal Plan'!$N$5:$N$504,"Prepared")+COUNTIFS('Meal Plan'!$G$5:$G$504,A125,'Meal Plan'!$N$5:$N$504,"Eaten"))</f>
        <v>0</v>
      </c>
      <c r="BB125" s="19">
        <f>IF(A125="","",IF(COUNTIFS('Meal Plan'!$G$5:$G$504,A125,'Meal Plan'!$B$5:$B$504,"&lt;="&amp;TODAY())=0,"",SUMPRODUCT(MAX(('Meal Plan'!$G$5:$G$504=A125)*('Meal Plan'!$B$5:$B$504&lt;=TODAY())*'Meal Plan'!$B$5:$B$504))))</f>
        <v>0</v>
      </c>
      <c r="BC125" s="18">
        <f>IF(BB125="","",TODAY()-BB125)</f>
        <v>0</v>
      </c>
      <c r="BF125" s="31">
        <f>IF(B125="","",IF(G125="","Add - how many does it serve?",IF(AB125=0,"Add - no ingredients listed yet",IF(AV125&gt;0,"Check - "&amp;AV125&amp;" ingredient(s) have no price",IF(AND(BC125&lt;&gt;"",BC125&lt;RotationGapDays),"Cooked recently","OK")))))</f>
        <v>0</v>
      </c>
    </row>
    <row r="126" spans="1:58">
      <c r="A126" s="39">
        <f>IF(B126="","",RecipePrefix&amp;TEXT(ROW()-4,"0000"))</f>
        <v>0</v>
      </c>
      <c r="J126" s="18">
        <f>IF(B126="","",IF(AND(H126="",I126=""),"",IF(H126="",0,H126)+IF(I126="",0,I126)))</f>
        <v>0</v>
      </c>
      <c r="K126" s="46">
        <f>IF(J126="","",IF(J126&lt;=30,"Yes","No"))</f>
        <v>0</v>
      </c>
      <c r="AB126" s="18">
        <f>IF(A126="","",COUNTIFS('Recipe Ingredients'!$B$5:$B$1204,A126))</f>
        <v>0</v>
      </c>
      <c r="AC126" s="25">
        <f>IF(A126="","",SUMIFS('Recipe Ingredients'!$N$5:$N$1204,'Recipe Ingredients'!$B$5:$B$1204,A126))</f>
        <v>0</v>
      </c>
      <c r="AD126" s="25">
        <f>IF(OR(AC126="",G126=""),"",IF(G126=0,"",AC126/G126))</f>
        <v>0</v>
      </c>
      <c r="AE126" s="30">
        <f>IF(OR(A126="",G126=""),"",IF(G126=0,"",SUMIFS('Recipe Ingredients'!$Q$5:$Q$1204,'Recipe Ingredients'!$B$5:$B$1204,A126)/G126))</f>
        <v>0</v>
      </c>
      <c r="AF126" s="45">
        <f>IF(OR(A126="",G126=""),"",IF(G126=0,"",SUMIFS('Recipe Ingredients'!$R$5:$R$1204,'Recipe Ingredients'!$B$5:$B$1204,A126)/G126))</f>
        <v>0</v>
      </c>
      <c r="AG126" s="45">
        <f>IF(OR(A126="",G126=""),"",IF(G126=0,"",SUMIFS('Recipe Ingredients'!$S$5:$S$1204,'Recipe Ingredients'!$B$5:$B$1204,A126)/G126))</f>
        <v>0</v>
      </c>
      <c r="AH126" s="45">
        <f>IF(OR(A126="",G126=""),"",IF(G126=0,"",SUMIFS('Recipe Ingredients'!$T$5:$T$1204,'Recipe Ingredients'!$B$5:$B$1204,A126)/G126))</f>
        <v>0</v>
      </c>
      <c r="AI126" s="45">
        <f>IF(OR(A126="",G126=""),"",IF(G126=0,"",SUMIFS('Recipe Ingredients'!$U$5:$U$1204,'Recipe Ingredients'!$B$5:$B$1204,A126)/G126))</f>
        <v>0</v>
      </c>
      <c r="AJ126" s="17">
        <f>IF(A126="","",IF(COUNTIFS('Recipe Ingredients'!$B$5:$B$1204,A126,'Recipe Ingredients'!$V$5:$V$1204,"&lt;&gt;",'Recipe Ingredients'!$V$5:$V$1204,"&lt;&gt;None")=0,"None listed",COUNTIFS('Recipe Ingredients'!$B$5:$B$1204,A126,'Recipe Ingredients'!$V$5:$V$1204,"&lt;&gt;",'Recipe Ingredients'!$V$5:$V$1204,"&lt;&gt;None")&amp;" ingredient(s) flagged"))</f>
        <v>0</v>
      </c>
      <c r="AK126" s="18">
        <f>IF(OR(AD126="",NOT(ISNUMBER(AD126))),"",COUNTIFS($AD$5:$AD$204,"&lt;"&amp;AD126)+COUNTIFS($AD$5:AD126,AD126))</f>
        <v>0</v>
      </c>
      <c r="AL126" s="18">
        <f>IF(B126="",0,IF(AND(OR(FilterDiet="Any",T126=FilterDiet),OR(FilterCategory="Any",C126=FilterCategory),OR(FilterMethod="Any",L126=FilterMethod),OR(FilterTime=0,AND(J126&lt;&gt;"",J126&lt;=FilterTime)),OR(FilterCost=0,AND(AD126&lt;&gt;"",ISNUMBER(AD126),AD126&lt;=FilterCost)),OR(FilterAllergen="Any",COUNTIFS('Recipe Ingredients'!$B$5:$B$1204,A126,'Recipe Ingredients'!$V$5:$V$1204,FilterAllergen)=0)),1,0))</f>
        <v>0</v>
      </c>
      <c r="AM126" s="18">
        <f>IF(AL126=0,"",SUM($AL$5:AL126))</f>
        <v>0</v>
      </c>
      <c r="AN126" s="18">
        <f>IF(B126="","",COUNTIFS($AZ$5:$AZ$204,"&gt;"&amp;AZ126)+COUNTIFS($AZ$5:AZ126,AZ126))</f>
        <v>0</v>
      </c>
      <c r="AO126" s="18">
        <f>IF(B126="","",COUNTIFS($AE$5:$AE$204,"&gt;"&amp;AE126)+COUNTIFS($AE$5:AE126,AE126))</f>
        <v>0</v>
      </c>
      <c r="AP126" s="18">
        <f>IF(B126="","",COUNTIFS($AF$5:$AF$204,"&gt;"&amp;AF126)+COUNTIFS($AF$5:AF126,AF126))</f>
        <v>0</v>
      </c>
      <c r="AQ126" s="18">
        <f>IF(B126="","",COUNTIFS($AI$5:$AI$204,"&gt;"&amp;AI126)+COUNTIFS($AI$5:AI126,AI126))</f>
        <v>0</v>
      </c>
      <c r="AR126" s="18">
        <f>IF(B126="","",COUNTIFS($AS$5:$AS$204,"&gt;"&amp;AS126)+COUNTIFS($AS$5:AS126,AS126))</f>
        <v>0</v>
      </c>
      <c r="AS126" s="45">
        <f>IF(B126="","",IF(BB126="",99999,BC126))</f>
        <v>0</v>
      </c>
      <c r="AT126" s="45">
        <f>IF(A126="",0,SUMIFS('Meal Plan'!$L$5:$L$504,'Meal Plan'!$G$5:$G$504,A126,'Meal Plan'!$B$5:$B$504,"&gt;="&amp;ShopFrom,'Meal Plan'!$B$5:$B$504,"&lt;="&amp;ShopTo,'Meal Plan'!$M$5:$M$504,"Yes"))</f>
        <v>0</v>
      </c>
      <c r="AU126" s="25">
        <f>IF(OR(A126="",AC126=""),"",AC126*AT126)</f>
        <v>0</v>
      </c>
      <c r="AV126" s="18">
        <f>IF(A126="","",COUNTIFS('Recipe Ingredients'!$B$5:$B$1204,A126,'Recipe Ingredients'!$N$5:$N$1204,""))</f>
        <v>0</v>
      </c>
      <c r="AZ126" s="18">
        <f>IF(A126="","",COUNTIFS('Meal Plan'!$G$5:$G$504,A126))</f>
        <v>0</v>
      </c>
      <c r="BA126" s="18">
        <f>IF(A126="","",COUNTIFS('Meal Plan'!$G$5:$G$504,A126,'Meal Plan'!$N$5:$N$504,"Prepared")+COUNTIFS('Meal Plan'!$G$5:$G$504,A126,'Meal Plan'!$N$5:$N$504,"Eaten"))</f>
        <v>0</v>
      </c>
      <c r="BB126" s="19">
        <f>IF(A126="","",IF(COUNTIFS('Meal Plan'!$G$5:$G$504,A126,'Meal Plan'!$B$5:$B$504,"&lt;="&amp;TODAY())=0,"",SUMPRODUCT(MAX(('Meal Plan'!$G$5:$G$504=A126)*('Meal Plan'!$B$5:$B$504&lt;=TODAY())*'Meal Plan'!$B$5:$B$504))))</f>
        <v>0</v>
      </c>
      <c r="BC126" s="18">
        <f>IF(BB126="","",TODAY()-BB126)</f>
        <v>0</v>
      </c>
      <c r="BF126" s="31">
        <f>IF(B126="","",IF(G126="","Add - how many does it serve?",IF(AB126=0,"Add - no ingredients listed yet",IF(AV126&gt;0,"Check - "&amp;AV126&amp;" ingredient(s) have no price",IF(AND(BC126&lt;&gt;"",BC126&lt;RotationGapDays),"Cooked recently","OK")))))</f>
        <v>0</v>
      </c>
    </row>
    <row r="127" spans="1:58">
      <c r="A127" s="39">
        <f>IF(B127="","",RecipePrefix&amp;TEXT(ROW()-4,"0000"))</f>
        <v>0</v>
      </c>
      <c r="J127" s="18">
        <f>IF(B127="","",IF(AND(H127="",I127=""),"",IF(H127="",0,H127)+IF(I127="",0,I127)))</f>
        <v>0</v>
      </c>
      <c r="K127" s="46">
        <f>IF(J127="","",IF(J127&lt;=30,"Yes","No"))</f>
        <v>0</v>
      </c>
      <c r="AB127" s="18">
        <f>IF(A127="","",COUNTIFS('Recipe Ingredients'!$B$5:$B$1204,A127))</f>
        <v>0</v>
      </c>
      <c r="AC127" s="25">
        <f>IF(A127="","",SUMIFS('Recipe Ingredients'!$N$5:$N$1204,'Recipe Ingredients'!$B$5:$B$1204,A127))</f>
        <v>0</v>
      </c>
      <c r="AD127" s="25">
        <f>IF(OR(AC127="",G127=""),"",IF(G127=0,"",AC127/G127))</f>
        <v>0</v>
      </c>
      <c r="AE127" s="30">
        <f>IF(OR(A127="",G127=""),"",IF(G127=0,"",SUMIFS('Recipe Ingredients'!$Q$5:$Q$1204,'Recipe Ingredients'!$B$5:$B$1204,A127)/G127))</f>
        <v>0</v>
      </c>
      <c r="AF127" s="45">
        <f>IF(OR(A127="",G127=""),"",IF(G127=0,"",SUMIFS('Recipe Ingredients'!$R$5:$R$1204,'Recipe Ingredients'!$B$5:$B$1204,A127)/G127))</f>
        <v>0</v>
      </c>
      <c r="AG127" s="45">
        <f>IF(OR(A127="",G127=""),"",IF(G127=0,"",SUMIFS('Recipe Ingredients'!$S$5:$S$1204,'Recipe Ingredients'!$B$5:$B$1204,A127)/G127))</f>
        <v>0</v>
      </c>
      <c r="AH127" s="45">
        <f>IF(OR(A127="",G127=""),"",IF(G127=0,"",SUMIFS('Recipe Ingredients'!$T$5:$T$1204,'Recipe Ingredients'!$B$5:$B$1204,A127)/G127))</f>
        <v>0</v>
      </c>
      <c r="AI127" s="45">
        <f>IF(OR(A127="",G127=""),"",IF(G127=0,"",SUMIFS('Recipe Ingredients'!$U$5:$U$1204,'Recipe Ingredients'!$B$5:$B$1204,A127)/G127))</f>
        <v>0</v>
      </c>
      <c r="AJ127" s="17">
        <f>IF(A127="","",IF(COUNTIFS('Recipe Ingredients'!$B$5:$B$1204,A127,'Recipe Ingredients'!$V$5:$V$1204,"&lt;&gt;",'Recipe Ingredients'!$V$5:$V$1204,"&lt;&gt;None")=0,"None listed",COUNTIFS('Recipe Ingredients'!$B$5:$B$1204,A127,'Recipe Ingredients'!$V$5:$V$1204,"&lt;&gt;",'Recipe Ingredients'!$V$5:$V$1204,"&lt;&gt;None")&amp;" ingredient(s) flagged"))</f>
        <v>0</v>
      </c>
      <c r="AK127" s="18">
        <f>IF(OR(AD127="",NOT(ISNUMBER(AD127))),"",COUNTIFS($AD$5:$AD$204,"&lt;"&amp;AD127)+COUNTIFS($AD$5:AD127,AD127))</f>
        <v>0</v>
      </c>
      <c r="AL127" s="18">
        <f>IF(B127="",0,IF(AND(OR(FilterDiet="Any",T127=FilterDiet),OR(FilterCategory="Any",C127=FilterCategory),OR(FilterMethod="Any",L127=FilterMethod),OR(FilterTime=0,AND(J127&lt;&gt;"",J127&lt;=FilterTime)),OR(FilterCost=0,AND(AD127&lt;&gt;"",ISNUMBER(AD127),AD127&lt;=FilterCost)),OR(FilterAllergen="Any",COUNTIFS('Recipe Ingredients'!$B$5:$B$1204,A127,'Recipe Ingredients'!$V$5:$V$1204,FilterAllergen)=0)),1,0))</f>
        <v>0</v>
      </c>
      <c r="AM127" s="18">
        <f>IF(AL127=0,"",SUM($AL$5:AL127))</f>
        <v>0</v>
      </c>
      <c r="AN127" s="18">
        <f>IF(B127="","",COUNTIFS($AZ$5:$AZ$204,"&gt;"&amp;AZ127)+COUNTIFS($AZ$5:AZ127,AZ127))</f>
        <v>0</v>
      </c>
      <c r="AO127" s="18">
        <f>IF(B127="","",COUNTIFS($AE$5:$AE$204,"&gt;"&amp;AE127)+COUNTIFS($AE$5:AE127,AE127))</f>
        <v>0</v>
      </c>
      <c r="AP127" s="18">
        <f>IF(B127="","",COUNTIFS($AF$5:$AF$204,"&gt;"&amp;AF127)+COUNTIFS($AF$5:AF127,AF127))</f>
        <v>0</v>
      </c>
      <c r="AQ127" s="18">
        <f>IF(B127="","",COUNTIFS($AI$5:$AI$204,"&gt;"&amp;AI127)+COUNTIFS($AI$5:AI127,AI127))</f>
        <v>0</v>
      </c>
      <c r="AR127" s="18">
        <f>IF(B127="","",COUNTIFS($AS$5:$AS$204,"&gt;"&amp;AS127)+COUNTIFS($AS$5:AS127,AS127))</f>
        <v>0</v>
      </c>
      <c r="AS127" s="45">
        <f>IF(B127="","",IF(BB127="",99999,BC127))</f>
        <v>0</v>
      </c>
      <c r="AT127" s="45">
        <f>IF(A127="",0,SUMIFS('Meal Plan'!$L$5:$L$504,'Meal Plan'!$G$5:$G$504,A127,'Meal Plan'!$B$5:$B$504,"&gt;="&amp;ShopFrom,'Meal Plan'!$B$5:$B$504,"&lt;="&amp;ShopTo,'Meal Plan'!$M$5:$M$504,"Yes"))</f>
        <v>0</v>
      </c>
      <c r="AU127" s="25">
        <f>IF(OR(A127="",AC127=""),"",AC127*AT127)</f>
        <v>0</v>
      </c>
      <c r="AV127" s="18">
        <f>IF(A127="","",COUNTIFS('Recipe Ingredients'!$B$5:$B$1204,A127,'Recipe Ingredients'!$N$5:$N$1204,""))</f>
        <v>0</v>
      </c>
      <c r="AZ127" s="18">
        <f>IF(A127="","",COUNTIFS('Meal Plan'!$G$5:$G$504,A127))</f>
        <v>0</v>
      </c>
      <c r="BA127" s="18">
        <f>IF(A127="","",COUNTIFS('Meal Plan'!$G$5:$G$504,A127,'Meal Plan'!$N$5:$N$504,"Prepared")+COUNTIFS('Meal Plan'!$G$5:$G$504,A127,'Meal Plan'!$N$5:$N$504,"Eaten"))</f>
        <v>0</v>
      </c>
      <c r="BB127" s="19">
        <f>IF(A127="","",IF(COUNTIFS('Meal Plan'!$G$5:$G$504,A127,'Meal Plan'!$B$5:$B$504,"&lt;="&amp;TODAY())=0,"",SUMPRODUCT(MAX(('Meal Plan'!$G$5:$G$504=A127)*('Meal Plan'!$B$5:$B$504&lt;=TODAY())*'Meal Plan'!$B$5:$B$504))))</f>
        <v>0</v>
      </c>
      <c r="BC127" s="18">
        <f>IF(BB127="","",TODAY()-BB127)</f>
        <v>0</v>
      </c>
      <c r="BF127" s="31">
        <f>IF(B127="","",IF(G127="","Add - how many does it serve?",IF(AB127=0,"Add - no ingredients listed yet",IF(AV127&gt;0,"Check - "&amp;AV127&amp;" ingredient(s) have no price",IF(AND(BC127&lt;&gt;"",BC127&lt;RotationGapDays),"Cooked recently","OK")))))</f>
        <v>0</v>
      </c>
    </row>
    <row r="128" spans="1:58">
      <c r="A128" s="39">
        <f>IF(B128="","",RecipePrefix&amp;TEXT(ROW()-4,"0000"))</f>
        <v>0</v>
      </c>
      <c r="J128" s="18">
        <f>IF(B128="","",IF(AND(H128="",I128=""),"",IF(H128="",0,H128)+IF(I128="",0,I128)))</f>
        <v>0</v>
      </c>
      <c r="K128" s="46">
        <f>IF(J128="","",IF(J128&lt;=30,"Yes","No"))</f>
        <v>0</v>
      </c>
      <c r="AB128" s="18">
        <f>IF(A128="","",COUNTIFS('Recipe Ingredients'!$B$5:$B$1204,A128))</f>
        <v>0</v>
      </c>
      <c r="AC128" s="25">
        <f>IF(A128="","",SUMIFS('Recipe Ingredients'!$N$5:$N$1204,'Recipe Ingredients'!$B$5:$B$1204,A128))</f>
        <v>0</v>
      </c>
      <c r="AD128" s="25">
        <f>IF(OR(AC128="",G128=""),"",IF(G128=0,"",AC128/G128))</f>
        <v>0</v>
      </c>
      <c r="AE128" s="30">
        <f>IF(OR(A128="",G128=""),"",IF(G128=0,"",SUMIFS('Recipe Ingredients'!$Q$5:$Q$1204,'Recipe Ingredients'!$B$5:$B$1204,A128)/G128))</f>
        <v>0</v>
      </c>
      <c r="AF128" s="45">
        <f>IF(OR(A128="",G128=""),"",IF(G128=0,"",SUMIFS('Recipe Ingredients'!$R$5:$R$1204,'Recipe Ingredients'!$B$5:$B$1204,A128)/G128))</f>
        <v>0</v>
      </c>
      <c r="AG128" s="45">
        <f>IF(OR(A128="",G128=""),"",IF(G128=0,"",SUMIFS('Recipe Ingredients'!$S$5:$S$1204,'Recipe Ingredients'!$B$5:$B$1204,A128)/G128))</f>
        <v>0</v>
      </c>
      <c r="AH128" s="45">
        <f>IF(OR(A128="",G128=""),"",IF(G128=0,"",SUMIFS('Recipe Ingredients'!$T$5:$T$1204,'Recipe Ingredients'!$B$5:$B$1204,A128)/G128))</f>
        <v>0</v>
      </c>
      <c r="AI128" s="45">
        <f>IF(OR(A128="",G128=""),"",IF(G128=0,"",SUMIFS('Recipe Ingredients'!$U$5:$U$1204,'Recipe Ingredients'!$B$5:$B$1204,A128)/G128))</f>
        <v>0</v>
      </c>
      <c r="AJ128" s="17">
        <f>IF(A128="","",IF(COUNTIFS('Recipe Ingredients'!$B$5:$B$1204,A128,'Recipe Ingredients'!$V$5:$V$1204,"&lt;&gt;",'Recipe Ingredients'!$V$5:$V$1204,"&lt;&gt;None")=0,"None listed",COUNTIFS('Recipe Ingredients'!$B$5:$B$1204,A128,'Recipe Ingredients'!$V$5:$V$1204,"&lt;&gt;",'Recipe Ingredients'!$V$5:$V$1204,"&lt;&gt;None")&amp;" ingredient(s) flagged"))</f>
        <v>0</v>
      </c>
      <c r="AK128" s="18">
        <f>IF(OR(AD128="",NOT(ISNUMBER(AD128))),"",COUNTIFS($AD$5:$AD$204,"&lt;"&amp;AD128)+COUNTIFS($AD$5:AD128,AD128))</f>
        <v>0</v>
      </c>
      <c r="AL128" s="18">
        <f>IF(B128="",0,IF(AND(OR(FilterDiet="Any",T128=FilterDiet),OR(FilterCategory="Any",C128=FilterCategory),OR(FilterMethod="Any",L128=FilterMethod),OR(FilterTime=0,AND(J128&lt;&gt;"",J128&lt;=FilterTime)),OR(FilterCost=0,AND(AD128&lt;&gt;"",ISNUMBER(AD128),AD128&lt;=FilterCost)),OR(FilterAllergen="Any",COUNTIFS('Recipe Ingredients'!$B$5:$B$1204,A128,'Recipe Ingredients'!$V$5:$V$1204,FilterAllergen)=0)),1,0))</f>
        <v>0</v>
      </c>
      <c r="AM128" s="18">
        <f>IF(AL128=0,"",SUM($AL$5:AL128))</f>
        <v>0</v>
      </c>
      <c r="AN128" s="18">
        <f>IF(B128="","",COUNTIFS($AZ$5:$AZ$204,"&gt;"&amp;AZ128)+COUNTIFS($AZ$5:AZ128,AZ128))</f>
        <v>0</v>
      </c>
      <c r="AO128" s="18">
        <f>IF(B128="","",COUNTIFS($AE$5:$AE$204,"&gt;"&amp;AE128)+COUNTIFS($AE$5:AE128,AE128))</f>
        <v>0</v>
      </c>
      <c r="AP128" s="18">
        <f>IF(B128="","",COUNTIFS($AF$5:$AF$204,"&gt;"&amp;AF128)+COUNTIFS($AF$5:AF128,AF128))</f>
        <v>0</v>
      </c>
      <c r="AQ128" s="18">
        <f>IF(B128="","",COUNTIFS($AI$5:$AI$204,"&gt;"&amp;AI128)+COUNTIFS($AI$5:AI128,AI128))</f>
        <v>0</v>
      </c>
      <c r="AR128" s="18">
        <f>IF(B128="","",COUNTIFS($AS$5:$AS$204,"&gt;"&amp;AS128)+COUNTIFS($AS$5:AS128,AS128))</f>
        <v>0</v>
      </c>
      <c r="AS128" s="45">
        <f>IF(B128="","",IF(BB128="",99999,BC128))</f>
        <v>0</v>
      </c>
      <c r="AT128" s="45">
        <f>IF(A128="",0,SUMIFS('Meal Plan'!$L$5:$L$504,'Meal Plan'!$G$5:$G$504,A128,'Meal Plan'!$B$5:$B$504,"&gt;="&amp;ShopFrom,'Meal Plan'!$B$5:$B$504,"&lt;="&amp;ShopTo,'Meal Plan'!$M$5:$M$504,"Yes"))</f>
        <v>0</v>
      </c>
      <c r="AU128" s="25">
        <f>IF(OR(A128="",AC128=""),"",AC128*AT128)</f>
        <v>0</v>
      </c>
      <c r="AV128" s="18">
        <f>IF(A128="","",COUNTIFS('Recipe Ingredients'!$B$5:$B$1204,A128,'Recipe Ingredients'!$N$5:$N$1204,""))</f>
        <v>0</v>
      </c>
      <c r="AZ128" s="18">
        <f>IF(A128="","",COUNTIFS('Meal Plan'!$G$5:$G$504,A128))</f>
        <v>0</v>
      </c>
      <c r="BA128" s="18">
        <f>IF(A128="","",COUNTIFS('Meal Plan'!$G$5:$G$504,A128,'Meal Plan'!$N$5:$N$504,"Prepared")+COUNTIFS('Meal Plan'!$G$5:$G$504,A128,'Meal Plan'!$N$5:$N$504,"Eaten"))</f>
        <v>0</v>
      </c>
      <c r="BB128" s="19">
        <f>IF(A128="","",IF(COUNTIFS('Meal Plan'!$G$5:$G$504,A128,'Meal Plan'!$B$5:$B$504,"&lt;="&amp;TODAY())=0,"",SUMPRODUCT(MAX(('Meal Plan'!$G$5:$G$504=A128)*('Meal Plan'!$B$5:$B$504&lt;=TODAY())*'Meal Plan'!$B$5:$B$504))))</f>
        <v>0</v>
      </c>
      <c r="BC128" s="18">
        <f>IF(BB128="","",TODAY()-BB128)</f>
        <v>0</v>
      </c>
      <c r="BF128" s="31">
        <f>IF(B128="","",IF(G128="","Add - how many does it serve?",IF(AB128=0,"Add - no ingredients listed yet",IF(AV128&gt;0,"Check - "&amp;AV128&amp;" ingredient(s) have no price",IF(AND(BC128&lt;&gt;"",BC128&lt;RotationGapDays),"Cooked recently","OK")))))</f>
        <v>0</v>
      </c>
    </row>
    <row r="129" spans="1:58">
      <c r="A129" s="39">
        <f>IF(B129="","",RecipePrefix&amp;TEXT(ROW()-4,"0000"))</f>
        <v>0</v>
      </c>
      <c r="J129" s="18">
        <f>IF(B129="","",IF(AND(H129="",I129=""),"",IF(H129="",0,H129)+IF(I129="",0,I129)))</f>
        <v>0</v>
      </c>
      <c r="K129" s="46">
        <f>IF(J129="","",IF(J129&lt;=30,"Yes","No"))</f>
        <v>0</v>
      </c>
      <c r="AB129" s="18">
        <f>IF(A129="","",COUNTIFS('Recipe Ingredients'!$B$5:$B$1204,A129))</f>
        <v>0</v>
      </c>
      <c r="AC129" s="25">
        <f>IF(A129="","",SUMIFS('Recipe Ingredients'!$N$5:$N$1204,'Recipe Ingredients'!$B$5:$B$1204,A129))</f>
        <v>0</v>
      </c>
      <c r="AD129" s="25">
        <f>IF(OR(AC129="",G129=""),"",IF(G129=0,"",AC129/G129))</f>
        <v>0</v>
      </c>
      <c r="AE129" s="30">
        <f>IF(OR(A129="",G129=""),"",IF(G129=0,"",SUMIFS('Recipe Ingredients'!$Q$5:$Q$1204,'Recipe Ingredients'!$B$5:$B$1204,A129)/G129))</f>
        <v>0</v>
      </c>
      <c r="AF129" s="45">
        <f>IF(OR(A129="",G129=""),"",IF(G129=0,"",SUMIFS('Recipe Ingredients'!$R$5:$R$1204,'Recipe Ingredients'!$B$5:$B$1204,A129)/G129))</f>
        <v>0</v>
      </c>
      <c r="AG129" s="45">
        <f>IF(OR(A129="",G129=""),"",IF(G129=0,"",SUMIFS('Recipe Ingredients'!$S$5:$S$1204,'Recipe Ingredients'!$B$5:$B$1204,A129)/G129))</f>
        <v>0</v>
      </c>
      <c r="AH129" s="45">
        <f>IF(OR(A129="",G129=""),"",IF(G129=0,"",SUMIFS('Recipe Ingredients'!$T$5:$T$1204,'Recipe Ingredients'!$B$5:$B$1204,A129)/G129))</f>
        <v>0</v>
      </c>
      <c r="AI129" s="45">
        <f>IF(OR(A129="",G129=""),"",IF(G129=0,"",SUMIFS('Recipe Ingredients'!$U$5:$U$1204,'Recipe Ingredients'!$B$5:$B$1204,A129)/G129))</f>
        <v>0</v>
      </c>
      <c r="AJ129" s="17">
        <f>IF(A129="","",IF(COUNTIFS('Recipe Ingredients'!$B$5:$B$1204,A129,'Recipe Ingredients'!$V$5:$V$1204,"&lt;&gt;",'Recipe Ingredients'!$V$5:$V$1204,"&lt;&gt;None")=0,"None listed",COUNTIFS('Recipe Ingredients'!$B$5:$B$1204,A129,'Recipe Ingredients'!$V$5:$V$1204,"&lt;&gt;",'Recipe Ingredients'!$V$5:$V$1204,"&lt;&gt;None")&amp;" ingredient(s) flagged"))</f>
        <v>0</v>
      </c>
      <c r="AK129" s="18">
        <f>IF(OR(AD129="",NOT(ISNUMBER(AD129))),"",COUNTIFS($AD$5:$AD$204,"&lt;"&amp;AD129)+COUNTIFS($AD$5:AD129,AD129))</f>
        <v>0</v>
      </c>
      <c r="AL129" s="18">
        <f>IF(B129="",0,IF(AND(OR(FilterDiet="Any",T129=FilterDiet),OR(FilterCategory="Any",C129=FilterCategory),OR(FilterMethod="Any",L129=FilterMethod),OR(FilterTime=0,AND(J129&lt;&gt;"",J129&lt;=FilterTime)),OR(FilterCost=0,AND(AD129&lt;&gt;"",ISNUMBER(AD129),AD129&lt;=FilterCost)),OR(FilterAllergen="Any",COUNTIFS('Recipe Ingredients'!$B$5:$B$1204,A129,'Recipe Ingredients'!$V$5:$V$1204,FilterAllergen)=0)),1,0))</f>
        <v>0</v>
      </c>
      <c r="AM129" s="18">
        <f>IF(AL129=0,"",SUM($AL$5:AL129))</f>
        <v>0</v>
      </c>
      <c r="AN129" s="18">
        <f>IF(B129="","",COUNTIFS($AZ$5:$AZ$204,"&gt;"&amp;AZ129)+COUNTIFS($AZ$5:AZ129,AZ129))</f>
        <v>0</v>
      </c>
      <c r="AO129" s="18">
        <f>IF(B129="","",COUNTIFS($AE$5:$AE$204,"&gt;"&amp;AE129)+COUNTIFS($AE$5:AE129,AE129))</f>
        <v>0</v>
      </c>
      <c r="AP129" s="18">
        <f>IF(B129="","",COUNTIFS($AF$5:$AF$204,"&gt;"&amp;AF129)+COUNTIFS($AF$5:AF129,AF129))</f>
        <v>0</v>
      </c>
      <c r="AQ129" s="18">
        <f>IF(B129="","",COUNTIFS($AI$5:$AI$204,"&gt;"&amp;AI129)+COUNTIFS($AI$5:AI129,AI129))</f>
        <v>0</v>
      </c>
      <c r="AR129" s="18">
        <f>IF(B129="","",COUNTIFS($AS$5:$AS$204,"&gt;"&amp;AS129)+COUNTIFS($AS$5:AS129,AS129))</f>
        <v>0</v>
      </c>
      <c r="AS129" s="45">
        <f>IF(B129="","",IF(BB129="",99999,BC129))</f>
        <v>0</v>
      </c>
      <c r="AT129" s="45">
        <f>IF(A129="",0,SUMIFS('Meal Plan'!$L$5:$L$504,'Meal Plan'!$G$5:$G$504,A129,'Meal Plan'!$B$5:$B$504,"&gt;="&amp;ShopFrom,'Meal Plan'!$B$5:$B$504,"&lt;="&amp;ShopTo,'Meal Plan'!$M$5:$M$504,"Yes"))</f>
        <v>0</v>
      </c>
      <c r="AU129" s="25">
        <f>IF(OR(A129="",AC129=""),"",AC129*AT129)</f>
        <v>0</v>
      </c>
      <c r="AV129" s="18">
        <f>IF(A129="","",COUNTIFS('Recipe Ingredients'!$B$5:$B$1204,A129,'Recipe Ingredients'!$N$5:$N$1204,""))</f>
        <v>0</v>
      </c>
      <c r="AZ129" s="18">
        <f>IF(A129="","",COUNTIFS('Meal Plan'!$G$5:$G$504,A129))</f>
        <v>0</v>
      </c>
      <c r="BA129" s="18">
        <f>IF(A129="","",COUNTIFS('Meal Plan'!$G$5:$G$504,A129,'Meal Plan'!$N$5:$N$504,"Prepared")+COUNTIFS('Meal Plan'!$G$5:$G$504,A129,'Meal Plan'!$N$5:$N$504,"Eaten"))</f>
        <v>0</v>
      </c>
      <c r="BB129" s="19">
        <f>IF(A129="","",IF(COUNTIFS('Meal Plan'!$G$5:$G$504,A129,'Meal Plan'!$B$5:$B$504,"&lt;="&amp;TODAY())=0,"",SUMPRODUCT(MAX(('Meal Plan'!$G$5:$G$504=A129)*('Meal Plan'!$B$5:$B$504&lt;=TODAY())*'Meal Plan'!$B$5:$B$504))))</f>
        <v>0</v>
      </c>
      <c r="BC129" s="18">
        <f>IF(BB129="","",TODAY()-BB129)</f>
        <v>0</v>
      </c>
      <c r="BF129" s="31">
        <f>IF(B129="","",IF(G129="","Add - how many does it serve?",IF(AB129=0,"Add - no ingredients listed yet",IF(AV129&gt;0,"Check - "&amp;AV129&amp;" ingredient(s) have no price",IF(AND(BC129&lt;&gt;"",BC129&lt;RotationGapDays),"Cooked recently","OK")))))</f>
        <v>0</v>
      </c>
    </row>
    <row r="130" spans="1:58">
      <c r="A130" s="39">
        <f>IF(B130="","",RecipePrefix&amp;TEXT(ROW()-4,"0000"))</f>
        <v>0</v>
      </c>
      <c r="J130" s="18">
        <f>IF(B130="","",IF(AND(H130="",I130=""),"",IF(H130="",0,H130)+IF(I130="",0,I130)))</f>
        <v>0</v>
      </c>
      <c r="K130" s="46">
        <f>IF(J130="","",IF(J130&lt;=30,"Yes","No"))</f>
        <v>0</v>
      </c>
      <c r="AB130" s="18">
        <f>IF(A130="","",COUNTIFS('Recipe Ingredients'!$B$5:$B$1204,A130))</f>
        <v>0</v>
      </c>
      <c r="AC130" s="25">
        <f>IF(A130="","",SUMIFS('Recipe Ingredients'!$N$5:$N$1204,'Recipe Ingredients'!$B$5:$B$1204,A130))</f>
        <v>0</v>
      </c>
      <c r="AD130" s="25">
        <f>IF(OR(AC130="",G130=""),"",IF(G130=0,"",AC130/G130))</f>
        <v>0</v>
      </c>
      <c r="AE130" s="30">
        <f>IF(OR(A130="",G130=""),"",IF(G130=0,"",SUMIFS('Recipe Ingredients'!$Q$5:$Q$1204,'Recipe Ingredients'!$B$5:$B$1204,A130)/G130))</f>
        <v>0</v>
      </c>
      <c r="AF130" s="45">
        <f>IF(OR(A130="",G130=""),"",IF(G130=0,"",SUMIFS('Recipe Ingredients'!$R$5:$R$1204,'Recipe Ingredients'!$B$5:$B$1204,A130)/G130))</f>
        <v>0</v>
      </c>
      <c r="AG130" s="45">
        <f>IF(OR(A130="",G130=""),"",IF(G130=0,"",SUMIFS('Recipe Ingredients'!$S$5:$S$1204,'Recipe Ingredients'!$B$5:$B$1204,A130)/G130))</f>
        <v>0</v>
      </c>
      <c r="AH130" s="45">
        <f>IF(OR(A130="",G130=""),"",IF(G130=0,"",SUMIFS('Recipe Ingredients'!$T$5:$T$1204,'Recipe Ingredients'!$B$5:$B$1204,A130)/G130))</f>
        <v>0</v>
      </c>
      <c r="AI130" s="45">
        <f>IF(OR(A130="",G130=""),"",IF(G130=0,"",SUMIFS('Recipe Ingredients'!$U$5:$U$1204,'Recipe Ingredients'!$B$5:$B$1204,A130)/G130))</f>
        <v>0</v>
      </c>
      <c r="AJ130" s="17">
        <f>IF(A130="","",IF(COUNTIFS('Recipe Ingredients'!$B$5:$B$1204,A130,'Recipe Ingredients'!$V$5:$V$1204,"&lt;&gt;",'Recipe Ingredients'!$V$5:$V$1204,"&lt;&gt;None")=0,"None listed",COUNTIFS('Recipe Ingredients'!$B$5:$B$1204,A130,'Recipe Ingredients'!$V$5:$V$1204,"&lt;&gt;",'Recipe Ingredients'!$V$5:$V$1204,"&lt;&gt;None")&amp;" ingredient(s) flagged"))</f>
        <v>0</v>
      </c>
      <c r="AK130" s="18">
        <f>IF(OR(AD130="",NOT(ISNUMBER(AD130))),"",COUNTIFS($AD$5:$AD$204,"&lt;"&amp;AD130)+COUNTIFS($AD$5:AD130,AD130))</f>
        <v>0</v>
      </c>
      <c r="AL130" s="18">
        <f>IF(B130="",0,IF(AND(OR(FilterDiet="Any",T130=FilterDiet),OR(FilterCategory="Any",C130=FilterCategory),OR(FilterMethod="Any",L130=FilterMethod),OR(FilterTime=0,AND(J130&lt;&gt;"",J130&lt;=FilterTime)),OR(FilterCost=0,AND(AD130&lt;&gt;"",ISNUMBER(AD130),AD130&lt;=FilterCost)),OR(FilterAllergen="Any",COUNTIFS('Recipe Ingredients'!$B$5:$B$1204,A130,'Recipe Ingredients'!$V$5:$V$1204,FilterAllergen)=0)),1,0))</f>
        <v>0</v>
      </c>
      <c r="AM130" s="18">
        <f>IF(AL130=0,"",SUM($AL$5:AL130))</f>
        <v>0</v>
      </c>
      <c r="AN130" s="18">
        <f>IF(B130="","",COUNTIFS($AZ$5:$AZ$204,"&gt;"&amp;AZ130)+COUNTIFS($AZ$5:AZ130,AZ130))</f>
        <v>0</v>
      </c>
      <c r="AO130" s="18">
        <f>IF(B130="","",COUNTIFS($AE$5:$AE$204,"&gt;"&amp;AE130)+COUNTIFS($AE$5:AE130,AE130))</f>
        <v>0</v>
      </c>
      <c r="AP130" s="18">
        <f>IF(B130="","",COUNTIFS($AF$5:$AF$204,"&gt;"&amp;AF130)+COUNTIFS($AF$5:AF130,AF130))</f>
        <v>0</v>
      </c>
      <c r="AQ130" s="18">
        <f>IF(B130="","",COUNTIFS($AI$5:$AI$204,"&gt;"&amp;AI130)+COUNTIFS($AI$5:AI130,AI130))</f>
        <v>0</v>
      </c>
      <c r="AR130" s="18">
        <f>IF(B130="","",COUNTIFS($AS$5:$AS$204,"&gt;"&amp;AS130)+COUNTIFS($AS$5:AS130,AS130))</f>
        <v>0</v>
      </c>
      <c r="AS130" s="45">
        <f>IF(B130="","",IF(BB130="",99999,BC130))</f>
        <v>0</v>
      </c>
      <c r="AT130" s="45">
        <f>IF(A130="",0,SUMIFS('Meal Plan'!$L$5:$L$504,'Meal Plan'!$G$5:$G$504,A130,'Meal Plan'!$B$5:$B$504,"&gt;="&amp;ShopFrom,'Meal Plan'!$B$5:$B$504,"&lt;="&amp;ShopTo,'Meal Plan'!$M$5:$M$504,"Yes"))</f>
        <v>0</v>
      </c>
      <c r="AU130" s="25">
        <f>IF(OR(A130="",AC130=""),"",AC130*AT130)</f>
        <v>0</v>
      </c>
      <c r="AV130" s="18">
        <f>IF(A130="","",COUNTIFS('Recipe Ingredients'!$B$5:$B$1204,A130,'Recipe Ingredients'!$N$5:$N$1204,""))</f>
        <v>0</v>
      </c>
      <c r="AZ130" s="18">
        <f>IF(A130="","",COUNTIFS('Meal Plan'!$G$5:$G$504,A130))</f>
        <v>0</v>
      </c>
      <c r="BA130" s="18">
        <f>IF(A130="","",COUNTIFS('Meal Plan'!$G$5:$G$504,A130,'Meal Plan'!$N$5:$N$504,"Prepared")+COUNTIFS('Meal Plan'!$G$5:$G$504,A130,'Meal Plan'!$N$5:$N$504,"Eaten"))</f>
        <v>0</v>
      </c>
      <c r="BB130" s="19">
        <f>IF(A130="","",IF(COUNTIFS('Meal Plan'!$G$5:$G$504,A130,'Meal Plan'!$B$5:$B$504,"&lt;="&amp;TODAY())=0,"",SUMPRODUCT(MAX(('Meal Plan'!$G$5:$G$504=A130)*('Meal Plan'!$B$5:$B$504&lt;=TODAY())*'Meal Plan'!$B$5:$B$504))))</f>
        <v>0</v>
      </c>
      <c r="BC130" s="18">
        <f>IF(BB130="","",TODAY()-BB130)</f>
        <v>0</v>
      </c>
      <c r="BF130" s="31">
        <f>IF(B130="","",IF(G130="","Add - how many does it serve?",IF(AB130=0,"Add - no ingredients listed yet",IF(AV130&gt;0,"Check - "&amp;AV130&amp;" ingredient(s) have no price",IF(AND(BC130&lt;&gt;"",BC130&lt;RotationGapDays),"Cooked recently","OK")))))</f>
        <v>0</v>
      </c>
    </row>
    <row r="131" spans="1:58">
      <c r="A131" s="39">
        <f>IF(B131="","",RecipePrefix&amp;TEXT(ROW()-4,"0000"))</f>
        <v>0</v>
      </c>
      <c r="J131" s="18">
        <f>IF(B131="","",IF(AND(H131="",I131=""),"",IF(H131="",0,H131)+IF(I131="",0,I131)))</f>
        <v>0</v>
      </c>
      <c r="K131" s="46">
        <f>IF(J131="","",IF(J131&lt;=30,"Yes","No"))</f>
        <v>0</v>
      </c>
      <c r="AB131" s="18">
        <f>IF(A131="","",COUNTIFS('Recipe Ingredients'!$B$5:$B$1204,A131))</f>
        <v>0</v>
      </c>
      <c r="AC131" s="25">
        <f>IF(A131="","",SUMIFS('Recipe Ingredients'!$N$5:$N$1204,'Recipe Ingredients'!$B$5:$B$1204,A131))</f>
        <v>0</v>
      </c>
      <c r="AD131" s="25">
        <f>IF(OR(AC131="",G131=""),"",IF(G131=0,"",AC131/G131))</f>
        <v>0</v>
      </c>
      <c r="AE131" s="30">
        <f>IF(OR(A131="",G131=""),"",IF(G131=0,"",SUMIFS('Recipe Ingredients'!$Q$5:$Q$1204,'Recipe Ingredients'!$B$5:$B$1204,A131)/G131))</f>
        <v>0</v>
      </c>
      <c r="AF131" s="45">
        <f>IF(OR(A131="",G131=""),"",IF(G131=0,"",SUMIFS('Recipe Ingredients'!$R$5:$R$1204,'Recipe Ingredients'!$B$5:$B$1204,A131)/G131))</f>
        <v>0</v>
      </c>
      <c r="AG131" s="45">
        <f>IF(OR(A131="",G131=""),"",IF(G131=0,"",SUMIFS('Recipe Ingredients'!$S$5:$S$1204,'Recipe Ingredients'!$B$5:$B$1204,A131)/G131))</f>
        <v>0</v>
      </c>
      <c r="AH131" s="45">
        <f>IF(OR(A131="",G131=""),"",IF(G131=0,"",SUMIFS('Recipe Ingredients'!$T$5:$T$1204,'Recipe Ingredients'!$B$5:$B$1204,A131)/G131))</f>
        <v>0</v>
      </c>
      <c r="AI131" s="45">
        <f>IF(OR(A131="",G131=""),"",IF(G131=0,"",SUMIFS('Recipe Ingredients'!$U$5:$U$1204,'Recipe Ingredients'!$B$5:$B$1204,A131)/G131))</f>
        <v>0</v>
      </c>
      <c r="AJ131" s="17">
        <f>IF(A131="","",IF(COUNTIFS('Recipe Ingredients'!$B$5:$B$1204,A131,'Recipe Ingredients'!$V$5:$V$1204,"&lt;&gt;",'Recipe Ingredients'!$V$5:$V$1204,"&lt;&gt;None")=0,"None listed",COUNTIFS('Recipe Ingredients'!$B$5:$B$1204,A131,'Recipe Ingredients'!$V$5:$V$1204,"&lt;&gt;",'Recipe Ingredients'!$V$5:$V$1204,"&lt;&gt;None")&amp;" ingredient(s) flagged"))</f>
        <v>0</v>
      </c>
      <c r="AK131" s="18">
        <f>IF(OR(AD131="",NOT(ISNUMBER(AD131))),"",COUNTIFS($AD$5:$AD$204,"&lt;"&amp;AD131)+COUNTIFS($AD$5:AD131,AD131))</f>
        <v>0</v>
      </c>
      <c r="AL131" s="18">
        <f>IF(B131="",0,IF(AND(OR(FilterDiet="Any",T131=FilterDiet),OR(FilterCategory="Any",C131=FilterCategory),OR(FilterMethod="Any",L131=FilterMethod),OR(FilterTime=0,AND(J131&lt;&gt;"",J131&lt;=FilterTime)),OR(FilterCost=0,AND(AD131&lt;&gt;"",ISNUMBER(AD131),AD131&lt;=FilterCost)),OR(FilterAllergen="Any",COUNTIFS('Recipe Ingredients'!$B$5:$B$1204,A131,'Recipe Ingredients'!$V$5:$V$1204,FilterAllergen)=0)),1,0))</f>
        <v>0</v>
      </c>
      <c r="AM131" s="18">
        <f>IF(AL131=0,"",SUM($AL$5:AL131))</f>
        <v>0</v>
      </c>
      <c r="AN131" s="18">
        <f>IF(B131="","",COUNTIFS($AZ$5:$AZ$204,"&gt;"&amp;AZ131)+COUNTIFS($AZ$5:AZ131,AZ131))</f>
        <v>0</v>
      </c>
      <c r="AO131" s="18">
        <f>IF(B131="","",COUNTIFS($AE$5:$AE$204,"&gt;"&amp;AE131)+COUNTIFS($AE$5:AE131,AE131))</f>
        <v>0</v>
      </c>
      <c r="AP131" s="18">
        <f>IF(B131="","",COUNTIFS($AF$5:$AF$204,"&gt;"&amp;AF131)+COUNTIFS($AF$5:AF131,AF131))</f>
        <v>0</v>
      </c>
      <c r="AQ131" s="18">
        <f>IF(B131="","",COUNTIFS($AI$5:$AI$204,"&gt;"&amp;AI131)+COUNTIFS($AI$5:AI131,AI131))</f>
        <v>0</v>
      </c>
      <c r="AR131" s="18">
        <f>IF(B131="","",COUNTIFS($AS$5:$AS$204,"&gt;"&amp;AS131)+COUNTIFS($AS$5:AS131,AS131))</f>
        <v>0</v>
      </c>
      <c r="AS131" s="45">
        <f>IF(B131="","",IF(BB131="",99999,BC131))</f>
        <v>0</v>
      </c>
      <c r="AT131" s="45">
        <f>IF(A131="",0,SUMIFS('Meal Plan'!$L$5:$L$504,'Meal Plan'!$G$5:$G$504,A131,'Meal Plan'!$B$5:$B$504,"&gt;="&amp;ShopFrom,'Meal Plan'!$B$5:$B$504,"&lt;="&amp;ShopTo,'Meal Plan'!$M$5:$M$504,"Yes"))</f>
        <v>0</v>
      </c>
      <c r="AU131" s="25">
        <f>IF(OR(A131="",AC131=""),"",AC131*AT131)</f>
        <v>0</v>
      </c>
      <c r="AV131" s="18">
        <f>IF(A131="","",COUNTIFS('Recipe Ingredients'!$B$5:$B$1204,A131,'Recipe Ingredients'!$N$5:$N$1204,""))</f>
        <v>0</v>
      </c>
      <c r="AZ131" s="18">
        <f>IF(A131="","",COUNTIFS('Meal Plan'!$G$5:$G$504,A131))</f>
        <v>0</v>
      </c>
      <c r="BA131" s="18">
        <f>IF(A131="","",COUNTIFS('Meal Plan'!$G$5:$G$504,A131,'Meal Plan'!$N$5:$N$504,"Prepared")+COUNTIFS('Meal Plan'!$G$5:$G$504,A131,'Meal Plan'!$N$5:$N$504,"Eaten"))</f>
        <v>0</v>
      </c>
      <c r="BB131" s="19">
        <f>IF(A131="","",IF(COUNTIFS('Meal Plan'!$G$5:$G$504,A131,'Meal Plan'!$B$5:$B$504,"&lt;="&amp;TODAY())=0,"",SUMPRODUCT(MAX(('Meal Plan'!$G$5:$G$504=A131)*('Meal Plan'!$B$5:$B$504&lt;=TODAY())*'Meal Plan'!$B$5:$B$504))))</f>
        <v>0</v>
      </c>
      <c r="BC131" s="18">
        <f>IF(BB131="","",TODAY()-BB131)</f>
        <v>0</v>
      </c>
      <c r="BF131" s="31">
        <f>IF(B131="","",IF(G131="","Add - how many does it serve?",IF(AB131=0,"Add - no ingredients listed yet",IF(AV131&gt;0,"Check - "&amp;AV131&amp;" ingredient(s) have no price",IF(AND(BC131&lt;&gt;"",BC131&lt;RotationGapDays),"Cooked recently","OK")))))</f>
        <v>0</v>
      </c>
    </row>
    <row r="132" spans="1:58">
      <c r="A132" s="39">
        <f>IF(B132="","",RecipePrefix&amp;TEXT(ROW()-4,"0000"))</f>
        <v>0</v>
      </c>
      <c r="J132" s="18">
        <f>IF(B132="","",IF(AND(H132="",I132=""),"",IF(H132="",0,H132)+IF(I132="",0,I132)))</f>
        <v>0</v>
      </c>
      <c r="K132" s="46">
        <f>IF(J132="","",IF(J132&lt;=30,"Yes","No"))</f>
        <v>0</v>
      </c>
      <c r="AB132" s="18">
        <f>IF(A132="","",COUNTIFS('Recipe Ingredients'!$B$5:$B$1204,A132))</f>
        <v>0</v>
      </c>
      <c r="AC132" s="25">
        <f>IF(A132="","",SUMIFS('Recipe Ingredients'!$N$5:$N$1204,'Recipe Ingredients'!$B$5:$B$1204,A132))</f>
        <v>0</v>
      </c>
      <c r="AD132" s="25">
        <f>IF(OR(AC132="",G132=""),"",IF(G132=0,"",AC132/G132))</f>
        <v>0</v>
      </c>
      <c r="AE132" s="30">
        <f>IF(OR(A132="",G132=""),"",IF(G132=0,"",SUMIFS('Recipe Ingredients'!$Q$5:$Q$1204,'Recipe Ingredients'!$B$5:$B$1204,A132)/G132))</f>
        <v>0</v>
      </c>
      <c r="AF132" s="45">
        <f>IF(OR(A132="",G132=""),"",IF(G132=0,"",SUMIFS('Recipe Ingredients'!$R$5:$R$1204,'Recipe Ingredients'!$B$5:$B$1204,A132)/G132))</f>
        <v>0</v>
      </c>
      <c r="AG132" s="45">
        <f>IF(OR(A132="",G132=""),"",IF(G132=0,"",SUMIFS('Recipe Ingredients'!$S$5:$S$1204,'Recipe Ingredients'!$B$5:$B$1204,A132)/G132))</f>
        <v>0</v>
      </c>
      <c r="AH132" s="45">
        <f>IF(OR(A132="",G132=""),"",IF(G132=0,"",SUMIFS('Recipe Ingredients'!$T$5:$T$1204,'Recipe Ingredients'!$B$5:$B$1204,A132)/G132))</f>
        <v>0</v>
      </c>
      <c r="AI132" s="45">
        <f>IF(OR(A132="",G132=""),"",IF(G132=0,"",SUMIFS('Recipe Ingredients'!$U$5:$U$1204,'Recipe Ingredients'!$B$5:$B$1204,A132)/G132))</f>
        <v>0</v>
      </c>
      <c r="AJ132" s="17">
        <f>IF(A132="","",IF(COUNTIFS('Recipe Ingredients'!$B$5:$B$1204,A132,'Recipe Ingredients'!$V$5:$V$1204,"&lt;&gt;",'Recipe Ingredients'!$V$5:$V$1204,"&lt;&gt;None")=0,"None listed",COUNTIFS('Recipe Ingredients'!$B$5:$B$1204,A132,'Recipe Ingredients'!$V$5:$V$1204,"&lt;&gt;",'Recipe Ingredients'!$V$5:$V$1204,"&lt;&gt;None")&amp;" ingredient(s) flagged"))</f>
        <v>0</v>
      </c>
      <c r="AK132" s="18">
        <f>IF(OR(AD132="",NOT(ISNUMBER(AD132))),"",COUNTIFS($AD$5:$AD$204,"&lt;"&amp;AD132)+COUNTIFS($AD$5:AD132,AD132))</f>
        <v>0</v>
      </c>
      <c r="AL132" s="18">
        <f>IF(B132="",0,IF(AND(OR(FilterDiet="Any",T132=FilterDiet),OR(FilterCategory="Any",C132=FilterCategory),OR(FilterMethod="Any",L132=FilterMethod),OR(FilterTime=0,AND(J132&lt;&gt;"",J132&lt;=FilterTime)),OR(FilterCost=0,AND(AD132&lt;&gt;"",ISNUMBER(AD132),AD132&lt;=FilterCost)),OR(FilterAllergen="Any",COUNTIFS('Recipe Ingredients'!$B$5:$B$1204,A132,'Recipe Ingredients'!$V$5:$V$1204,FilterAllergen)=0)),1,0))</f>
        <v>0</v>
      </c>
      <c r="AM132" s="18">
        <f>IF(AL132=0,"",SUM($AL$5:AL132))</f>
        <v>0</v>
      </c>
      <c r="AN132" s="18">
        <f>IF(B132="","",COUNTIFS($AZ$5:$AZ$204,"&gt;"&amp;AZ132)+COUNTIFS($AZ$5:AZ132,AZ132))</f>
        <v>0</v>
      </c>
      <c r="AO132" s="18">
        <f>IF(B132="","",COUNTIFS($AE$5:$AE$204,"&gt;"&amp;AE132)+COUNTIFS($AE$5:AE132,AE132))</f>
        <v>0</v>
      </c>
      <c r="AP132" s="18">
        <f>IF(B132="","",COUNTIFS($AF$5:$AF$204,"&gt;"&amp;AF132)+COUNTIFS($AF$5:AF132,AF132))</f>
        <v>0</v>
      </c>
      <c r="AQ132" s="18">
        <f>IF(B132="","",COUNTIFS($AI$5:$AI$204,"&gt;"&amp;AI132)+COUNTIFS($AI$5:AI132,AI132))</f>
        <v>0</v>
      </c>
      <c r="AR132" s="18">
        <f>IF(B132="","",COUNTIFS($AS$5:$AS$204,"&gt;"&amp;AS132)+COUNTIFS($AS$5:AS132,AS132))</f>
        <v>0</v>
      </c>
      <c r="AS132" s="45">
        <f>IF(B132="","",IF(BB132="",99999,BC132))</f>
        <v>0</v>
      </c>
      <c r="AT132" s="45">
        <f>IF(A132="",0,SUMIFS('Meal Plan'!$L$5:$L$504,'Meal Plan'!$G$5:$G$504,A132,'Meal Plan'!$B$5:$B$504,"&gt;="&amp;ShopFrom,'Meal Plan'!$B$5:$B$504,"&lt;="&amp;ShopTo,'Meal Plan'!$M$5:$M$504,"Yes"))</f>
        <v>0</v>
      </c>
      <c r="AU132" s="25">
        <f>IF(OR(A132="",AC132=""),"",AC132*AT132)</f>
        <v>0</v>
      </c>
      <c r="AV132" s="18">
        <f>IF(A132="","",COUNTIFS('Recipe Ingredients'!$B$5:$B$1204,A132,'Recipe Ingredients'!$N$5:$N$1204,""))</f>
        <v>0</v>
      </c>
      <c r="AZ132" s="18">
        <f>IF(A132="","",COUNTIFS('Meal Plan'!$G$5:$G$504,A132))</f>
        <v>0</v>
      </c>
      <c r="BA132" s="18">
        <f>IF(A132="","",COUNTIFS('Meal Plan'!$G$5:$G$504,A132,'Meal Plan'!$N$5:$N$504,"Prepared")+COUNTIFS('Meal Plan'!$G$5:$G$504,A132,'Meal Plan'!$N$5:$N$504,"Eaten"))</f>
        <v>0</v>
      </c>
      <c r="BB132" s="19">
        <f>IF(A132="","",IF(COUNTIFS('Meal Plan'!$G$5:$G$504,A132,'Meal Plan'!$B$5:$B$504,"&lt;="&amp;TODAY())=0,"",SUMPRODUCT(MAX(('Meal Plan'!$G$5:$G$504=A132)*('Meal Plan'!$B$5:$B$504&lt;=TODAY())*'Meal Plan'!$B$5:$B$504))))</f>
        <v>0</v>
      </c>
      <c r="BC132" s="18">
        <f>IF(BB132="","",TODAY()-BB132)</f>
        <v>0</v>
      </c>
      <c r="BF132" s="31">
        <f>IF(B132="","",IF(G132="","Add - how many does it serve?",IF(AB132=0,"Add - no ingredients listed yet",IF(AV132&gt;0,"Check - "&amp;AV132&amp;" ingredient(s) have no price",IF(AND(BC132&lt;&gt;"",BC132&lt;RotationGapDays),"Cooked recently","OK")))))</f>
        <v>0</v>
      </c>
    </row>
    <row r="133" spans="1:58">
      <c r="A133" s="39">
        <f>IF(B133="","",RecipePrefix&amp;TEXT(ROW()-4,"0000"))</f>
        <v>0</v>
      </c>
      <c r="J133" s="18">
        <f>IF(B133="","",IF(AND(H133="",I133=""),"",IF(H133="",0,H133)+IF(I133="",0,I133)))</f>
        <v>0</v>
      </c>
      <c r="K133" s="46">
        <f>IF(J133="","",IF(J133&lt;=30,"Yes","No"))</f>
        <v>0</v>
      </c>
      <c r="AB133" s="18">
        <f>IF(A133="","",COUNTIFS('Recipe Ingredients'!$B$5:$B$1204,A133))</f>
        <v>0</v>
      </c>
      <c r="AC133" s="25">
        <f>IF(A133="","",SUMIFS('Recipe Ingredients'!$N$5:$N$1204,'Recipe Ingredients'!$B$5:$B$1204,A133))</f>
        <v>0</v>
      </c>
      <c r="AD133" s="25">
        <f>IF(OR(AC133="",G133=""),"",IF(G133=0,"",AC133/G133))</f>
        <v>0</v>
      </c>
      <c r="AE133" s="30">
        <f>IF(OR(A133="",G133=""),"",IF(G133=0,"",SUMIFS('Recipe Ingredients'!$Q$5:$Q$1204,'Recipe Ingredients'!$B$5:$B$1204,A133)/G133))</f>
        <v>0</v>
      </c>
      <c r="AF133" s="45">
        <f>IF(OR(A133="",G133=""),"",IF(G133=0,"",SUMIFS('Recipe Ingredients'!$R$5:$R$1204,'Recipe Ingredients'!$B$5:$B$1204,A133)/G133))</f>
        <v>0</v>
      </c>
      <c r="AG133" s="45">
        <f>IF(OR(A133="",G133=""),"",IF(G133=0,"",SUMIFS('Recipe Ingredients'!$S$5:$S$1204,'Recipe Ingredients'!$B$5:$B$1204,A133)/G133))</f>
        <v>0</v>
      </c>
      <c r="AH133" s="45">
        <f>IF(OR(A133="",G133=""),"",IF(G133=0,"",SUMIFS('Recipe Ingredients'!$T$5:$T$1204,'Recipe Ingredients'!$B$5:$B$1204,A133)/G133))</f>
        <v>0</v>
      </c>
      <c r="AI133" s="45">
        <f>IF(OR(A133="",G133=""),"",IF(G133=0,"",SUMIFS('Recipe Ingredients'!$U$5:$U$1204,'Recipe Ingredients'!$B$5:$B$1204,A133)/G133))</f>
        <v>0</v>
      </c>
      <c r="AJ133" s="17">
        <f>IF(A133="","",IF(COUNTIFS('Recipe Ingredients'!$B$5:$B$1204,A133,'Recipe Ingredients'!$V$5:$V$1204,"&lt;&gt;",'Recipe Ingredients'!$V$5:$V$1204,"&lt;&gt;None")=0,"None listed",COUNTIFS('Recipe Ingredients'!$B$5:$B$1204,A133,'Recipe Ingredients'!$V$5:$V$1204,"&lt;&gt;",'Recipe Ingredients'!$V$5:$V$1204,"&lt;&gt;None")&amp;" ingredient(s) flagged"))</f>
        <v>0</v>
      </c>
      <c r="AK133" s="18">
        <f>IF(OR(AD133="",NOT(ISNUMBER(AD133))),"",COUNTIFS($AD$5:$AD$204,"&lt;"&amp;AD133)+COUNTIFS($AD$5:AD133,AD133))</f>
        <v>0</v>
      </c>
      <c r="AL133" s="18">
        <f>IF(B133="",0,IF(AND(OR(FilterDiet="Any",T133=FilterDiet),OR(FilterCategory="Any",C133=FilterCategory),OR(FilterMethod="Any",L133=FilterMethod),OR(FilterTime=0,AND(J133&lt;&gt;"",J133&lt;=FilterTime)),OR(FilterCost=0,AND(AD133&lt;&gt;"",ISNUMBER(AD133),AD133&lt;=FilterCost)),OR(FilterAllergen="Any",COUNTIFS('Recipe Ingredients'!$B$5:$B$1204,A133,'Recipe Ingredients'!$V$5:$V$1204,FilterAllergen)=0)),1,0))</f>
        <v>0</v>
      </c>
      <c r="AM133" s="18">
        <f>IF(AL133=0,"",SUM($AL$5:AL133))</f>
        <v>0</v>
      </c>
      <c r="AN133" s="18">
        <f>IF(B133="","",COUNTIFS($AZ$5:$AZ$204,"&gt;"&amp;AZ133)+COUNTIFS($AZ$5:AZ133,AZ133))</f>
        <v>0</v>
      </c>
      <c r="AO133" s="18">
        <f>IF(B133="","",COUNTIFS($AE$5:$AE$204,"&gt;"&amp;AE133)+COUNTIFS($AE$5:AE133,AE133))</f>
        <v>0</v>
      </c>
      <c r="AP133" s="18">
        <f>IF(B133="","",COUNTIFS($AF$5:$AF$204,"&gt;"&amp;AF133)+COUNTIFS($AF$5:AF133,AF133))</f>
        <v>0</v>
      </c>
      <c r="AQ133" s="18">
        <f>IF(B133="","",COUNTIFS($AI$5:$AI$204,"&gt;"&amp;AI133)+COUNTIFS($AI$5:AI133,AI133))</f>
        <v>0</v>
      </c>
      <c r="AR133" s="18">
        <f>IF(B133="","",COUNTIFS($AS$5:$AS$204,"&gt;"&amp;AS133)+COUNTIFS($AS$5:AS133,AS133))</f>
        <v>0</v>
      </c>
      <c r="AS133" s="45">
        <f>IF(B133="","",IF(BB133="",99999,BC133))</f>
        <v>0</v>
      </c>
      <c r="AT133" s="45">
        <f>IF(A133="",0,SUMIFS('Meal Plan'!$L$5:$L$504,'Meal Plan'!$G$5:$G$504,A133,'Meal Plan'!$B$5:$B$504,"&gt;="&amp;ShopFrom,'Meal Plan'!$B$5:$B$504,"&lt;="&amp;ShopTo,'Meal Plan'!$M$5:$M$504,"Yes"))</f>
        <v>0</v>
      </c>
      <c r="AU133" s="25">
        <f>IF(OR(A133="",AC133=""),"",AC133*AT133)</f>
        <v>0</v>
      </c>
      <c r="AV133" s="18">
        <f>IF(A133="","",COUNTIFS('Recipe Ingredients'!$B$5:$B$1204,A133,'Recipe Ingredients'!$N$5:$N$1204,""))</f>
        <v>0</v>
      </c>
      <c r="AZ133" s="18">
        <f>IF(A133="","",COUNTIFS('Meal Plan'!$G$5:$G$504,A133))</f>
        <v>0</v>
      </c>
      <c r="BA133" s="18">
        <f>IF(A133="","",COUNTIFS('Meal Plan'!$G$5:$G$504,A133,'Meal Plan'!$N$5:$N$504,"Prepared")+COUNTIFS('Meal Plan'!$G$5:$G$504,A133,'Meal Plan'!$N$5:$N$504,"Eaten"))</f>
        <v>0</v>
      </c>
      <c r="BB133" s="19">
        <f>IF(A133="","",IF(COUNTIFS('Meal Plan'!$G$5:$G$504,A133,'Meal Plan'!$B$5:$B$504,"&lt;="&amp;TODAY())=0,"",SUMPRODUCT(MAX(('Meal Plan'!$G$5:$G$504=A133)*('Meal Plan'!$B$5:$B$504&lt;=TODAY())*'Meal Plan'!$B$5:$B$504))))</f>
        <v>0</v>
      </c>
      <c r="BC133" s="18">
        <f>IF(BB133="","",TODAY()-BB133)</f>
        <v>0</v>
      </c>
      <c r="BF133" s="31">
        <f>IF(B133="","",IF(G133="","Add - how many does it serve?",IF(AB133=0,"Add - no ingredients listed yet",IF(AV133&gt;0,"Check - "&amp;AV133&amp;" ingredient(s) have no price",IF(AND(BC133&lt;&gt;"",BC133&lt;RotationGapDays),"Cooked recently","OK")))))</f>
        <v>0</v>
      </c>
    </row>
    <row r="134" spans="1:58">
      <c r="A134" s="39">
        <f>IF(B134="","",RecipePrefix&amp;TEXT(ROW()-4,"0000"))</f>
        <v>0</v>
      </c>
      <c r="J134" s="18">
        <f>IF(B134="","",IF(AND(H134="",I134=""),"",IF(H134="",0,H134)+IF(I134="",0,I134)))</f>
        <v>0</v>
      </c>
      <c r="K134" s="46">
        <f>IF(J134="","",IF(J134&lt;=30,"Yes","No"))</f>
        <v>0</v>
      </c>
      <c r="AB134" s="18">
        <f>IF(A134="","",COUNTIFS('Recipe Ingredients'!$B$5:$B$1204,A134))</f>
        <v>0</v>
      </c>
      <c r="AC134" s="25">
        <f>IF(A134="","",SUMIFS('Recipe Ingredients'!$N$5:$N$1204,'Recipe Ingredients'!$B$5:$B$1204,A134))</f>
        <v>0</v>
      </c>
      <c r="AD134" s="25">
        <f>IF(OR(AC134="",G134=""),"",IF(G134=0,"",AC134/G134))</f>
        <v>0</v>
      </c>
      <c r="AE134" s="30">
        <f>IF(OR(A134="",G134=""),"",IF(G134=0,"",SUMIFS('Recipe Ingredients'!$Q$5:$Q$1204,'Recipe Ingredients'!$B$5:$B$1204,A134)/G134))</f>
        <v>0</v>
      </c>
      <c r="AF134" s="45">
        <f>IF(OR(A134="",G134=""),"",IF(G134=0,"",SUMIFS('Recipe Ingredients'!$R$5:$R$1204,'Recipe Ingredients'!$B$5:$B$1204,A134)/G134))</f>
        <v>0</v>
      </c>
      <c r="AG134" s="45">
        <f>IF(OR(A134="",G134=""),"",IF(G134=0,"",SUMIFS('Recipe Ingredients'!$S$5:$S$1204,'Recipe Ingredients'!$B$5:$B$1204,A134)/G134))</f>
        <v>0</v>
      </c>
      <c r="AH134" s="45">
        <f>IF(OR(A134="",G134=""),"",IF(G134=0,"",SUMIFS('Recipe Ingredients'!$T$5:$T$1204,'Recipe Ingredients'!$B$5:$B$1204,A134)/G134))</f>
        <v>0</v>
      </c>
      <c r="AI134" s="45">
        <f>IF(OR(A134="",G134=""),"",IF(G134=0,"",SUMIFS('Recipe Ingredients'!$U$5:$U$1204,'Recipe Ingredients'!$B$5:$B$1204,A134)/G134))</f>
        <v>0</v>
      </c>
      <c r="AJ134" s="17">
        <f>IF(A134="","",IF(COUNTIFS('Recipe Ingredients'!$B$5:$B$1204,A134,'Recipe Ingredients'!$V$5:$V$1204,"&lt;&gt;",'Recipe Ingredients'!$V$5:$V$1204,"&lt;&gt;None")=0,"None listed",COUNTIFS('Recipe Ingredients'!$B$5:$B$1204,A134,'Recipe Ingredients'!$V$5:$V$1204,"&lt;&gt;",'Recipe Ingredients'!$V$5:$V$1204,"&lt;&gt;None")&amp;" ingredient(s) flagged"))</f>
        <v>0</v>
      </c>
      <c r="AK134" s="18">
        <f>IF(OR(AD134="",NOT(ISNUMBER(AD134))),"",COUNTIFS($AD$5:$AD$204,"&lt;"&amp;AD134)+COUNTIFS($AD$5:AD134,AD134))</f>
        <v>0</v>
      </c>
      <c r="AL134" s="18">
        <f>IF(B134="",0,IF(AND(OR(FilterDiet="Any",T134=FilterDiet),OR(FilterCategory="Any",C134=FilterCategory),OR(FilterMethod="Any",L134=FilterMethod),OR(FilterTime=0,AND(J134&lt;&gt;"",J134&lt;=FilterTime)),OR(FilterCost=0,AND(AD134&lt;&gt;"",ISNUMBER(AD134),AD134&lt;=FilterCost)),OR(FilterAllergen="Any",COUNTIFS('Recipe Ingredients'!$B$5:$B$1204,A134,'Recipe Ingredients'!$V$5:$V$1204,FilterAllergen)=0)),1,0))</f>
        <v>0</v>
      </c>
      <c r="AM134" s="18">
        <f>IF(AL134=0,"",SUM($AL$5:AL134))</f>
        <v>0</v>
      </c>
      <c r="AN134" s="18">
        <f>IF(B134="","",COUNTIFS($AZ$5:$AZ$204,"&gt;"&amp;AZ134)+COUNTIFS($AZ$5:AZ134,AZ134))</f>
        <v>0</v>
      </c>
      <c r="AO134" s="18">
        <f>IF(B134="","",COUNTIFS($AE$5:$AE$204,"&gt;"&amp;AE134)+COUNTIFS($AE$5:AE134,AE134))</f>
        <v>0</v>
      </c>
      <c r="AP134" s="18">
        <f>IF(B134="","",COUNTIFS($AF$5:$AF$204,"&gt;"&amp;AF134)+COUNTIFS($AF$5:AF134,AF134))</f>
        <v>0</v>
      </c>
      <c r="AQ134" s="18">
        <f>IF(B134="","",COUNTIFS($AI$5:$AI$204,"&gt;"&amp;AI134)+COUNTIFS($AI$5:AI134,AI134))</f>
        <v>0</v>
      </c>
      <c r="AR134" s="18">
        <f>IF(B134="","",COUNTIFS($AS$5:$AS$204,"&gt;"&amp;AS134)+COUNTIFS($AS$5:AS134,AS134))</f>
        <v>0</v>
      </c>
      <c r="AS134" s="45">
        <f>IF(B134="","",IF(BB134="",99999,BC134))</f>
        <v>0</v>
      </c>
      <c r="AT134" s="45">
        <f>IF(A134="",0,SUMIFS('Meal Plan'!$L$5:$L$504,'Meal Plan'!$G$5:$G$504,A134,'Meal Plan'!$B$5:$B$504,"&gt;="&amp;ShopFrom,'Meal Plan'!$B$5:$B$504,"&lt;="&amp;ShopTo,'Meal Plan'!$M$5:$M$504,"Yes"))</f>
        <v>0</v>
      </c>
      <c r="AU134" s="25">
        <f>IF(OR(A134="",AC134=""),"",AC134*AT134)</f>
        <v>0</v>
      </c>
      <c r="AV134" s="18">
        <f>IF(A134="","",COUNTIFS('Recipe Ingredients'!$B$5:$B$1204,A134,'Recipe Ingredients'!$N$5:$N$1204,""))</f>
        <v>0</v>
      </c>
      <c r="AZ134" s="18">
        <f>IF(A134="","",COUNTIFS('Meal Plan'!$G$5:$G$504,A134))</f>
        <v>0</v>
      </c>
      <c r="BA134" s="18">
        <f>IF(A134="","",COUNTIFS('Meal Plan'!$G$5:$G$504,A134,'Meal Plan'!$N$5:$N$504,"Prepared")+COUNTIFS('Meal Plan'!$G$5:$G$504,A134,'Meal Plan'!$N$5:$N$504,"Eaten"))</f>
        <v>0</v>
      </c>
      <c r="BB134" s="19">
        <f>IF(A134="","",IF(COUNTIFS('Meal Plan'!$G$5:$G$504,A134,'Meal Plan'!$B$5:$B$504,"&lt;="&amp;TODAY())=0,"",SUMPRODUCT(MAX(('Meal Plan'!$G$5:$G$504=A134)*('Meal Plan'!$B$5:$B$504&lt;=TODAY())*'Meal Plan'!$B$5:$B$504))))</f>
        <v>0</v>
      </c>
      <c r="BC134" s="18">
        <f>IF(BB134="","",TODAY()-BB134)</f>
        <v>0</v>
      </c>
      <c r="BF134" s="31">
        <f>IF(B134="","",IF(G134="","Add - how many does it serve?",IF(AB134=0,"Add - no ingredients listed yet",IF(AV134&gt;0,"Check - "&amp;AV134&amp;" ingredient(s) have no price",IF(AND(BC134&lt;&gt;"",BC134&lt;RotationGapDays),"Cooked recently","OK")))))</f>
        <v>0</v>
      </c>
    </row>
    <row r="135" spans="1:58">
      <c r="A135" s="39">
        <f>IF(B135="","",RecipePrefix&amp;TEXT(ROW()-4,"0000"))</f>
        <v>0</v>
      </c>
      <c r="J135" s="18">
        <f>IF(B135="","",IF(AND(H135="",I135=""),"",IF(H135="",0,H135)+IF(I135="",0,I135)))</f>
        <v>0</v>
      </c>
      <c r="K135" s="46">
        <f>IF(J135="","",IF(J135&lt;=30,"Yes","No"))</f>
        <v>0</v>
      </c>
      <c r="AB135" s="18">
        <f>IF(A135="","",COUNTIFS('Recipe Ingredients'!$B$5:$B$1204,A135))</f>
        <v>0</v>
      </c>
      <c r="AC135" s="25">
        <f>IF(A135="","",SUMIFS('Recipe Ingredients'!$N$5:$N$1204,'Recipe Ingredients'!$B$5:$B$1204,A135))</f>
        <v>0</v>
      </c>
      <c r="AD135" s="25">
        <f>IF(OR(AC135="",G135=""),"",IF(G135=0,"",AC135/G135))</f>
        <v>0</v>
      </c>
      <c r="AE135" s="30">
        <f>IF(OR(A135="",G135=""),"",IF(G135=0,"",SUMIFS('Recipe Ingredients'!$Q$5:$Q$1204,'Recipe Ingredients'!$B$5:$B$1204,A135)/G135))</f>
        <v>0</v>
      </c>
      <c r="AF135" s="45">
        <f>IF(OR(A135="",G135=""),"",IF(G135=0,"",SUMIFS('Recipe Ingredients'!$R$5:$R$1204,'Recipe Ingredients'!$B$5:$B$1204,A135)/G135))</f>
        <v>0</v>
      </c>
      <c r="AG135" s="45">
        <f>IF(OR(A135="",G135=""),"",IF(G135=0,"",SUMIFS('Recipe Ingredients'!$S$5:$S$1204,'Recipe Ingredients'!$B$5:$B$1204,A135)/G135))</f>
        <v>0</v>
      </c>
      <c r="AH135" s="45">
        <f>IF(OR(A135="",G135=""),"",IF(G135=0,"",SUMIFS('Recipe Ingredients'!$T$5:$T$1204,'Recipe Ingredients'!$B$5:$B$1204,A135)/G135))</f>
        <v>0</v>
      </c>
      <c r="AI135" s="45">
        <f>IF(OR(A135="",G135=""),"",IF(G135=0,"",SUMIFS('Recipe Ingredients'!$U$5:$U$1204,'Recipe Ingredients'!$B$5:$B$1204,A135)/G135))</f>
        <v>0</v>
      </c>
      <c r="AJ135" s="17">
        <f>IF(A135="","",IF(COUNTIFS('Recipe Ingredients'!$B$5:$B$1204,A135,'Recipe Ingredients'!$V$5:$V$1204,"&lt;&gt;",'Recipe Ingredients'!$V$5:$V$1204,"&lt;&gt;None")=0,"None listed",COUNTIFS('Recipe Ingredients'!$B$5:$B$1204,A135,'Recipe Ingredients'!$V$5:$V$1204,"&lt;&gt;",'Recipe Ingredients'!$V$5:$V$1204,"&lt;&gt;None")&amp;" ingredient(s) flagged"))</f>
        <v>0</v>
      </c>
      <c r="AK135" s="18">
        <f>IF(OR(AD135="",NOT(ISNUMBER(AD135))),"",COUNTIFS($AD$5:$AD$204,"&lt;"&amp;AD135)+COUNTIFS($AD$5:AD135,AD135))</f>
        <v>0</v>
      </c>
      <c r="AL135" s="18">
        <f>IF(B135="",0,IF(AND(OR(FilterDiet="Any",T135=FilterDiet),OR(FilterCategory="Any",C135=FilterCategory),OR(FilterMethod="Any",L135=FilterMethod),OR(FilterTime=0,AND(J135&lt;&gt;"",J135&lt;=FilterTime)),OR(FilterCost=0,AND(AD135&lt;&gt;"",ISNUMBER(AD135),AD135&lt;=FilterCost)),OR(FilterAllergen="Any",COUNTIFS('Recipe Ingredients'!$B$5:$B$1204,A135,'Recipe Ingredients'!$V$5:$V$1204,FilterAllergen)=0)),1,0))</f>
        <v>0</v>
      </c>
      <c r="AM135" s="18">
        <f>IF(AL135=0,"",SUM($AL$5:AL135))</f>
        <v>0</v>
      </c>
      <c r="AN135" s="18">
        <f>IF(B135="","",COUNTIFS($AZ$5:$AZ$204,"&gt;"&amp;AZ135)+COUNTIFS($AZ$5:AZ135,AZ135))</f>
        <v>0</v>
      </c>
      <c r="AO135" s="18">
        <f>IF(B135="","",COUNTIFS($AE$5:$AE$204,"&gt;"&amp;AE135)+COUNTIFS($AE$5:AE135,AE135))</f>
        <v>0</v>
      </c>
      <c r="AP135" s="18">
        <f>IF(B135="","",COUNTIFS($AF$5:$AF$204,"&gt;"&amp;AF135)+COUNTIFS($AF$5:AF135,AF135))</f>
        <v>0</v>
      </c>
      <c r="AQ135" s="18">
        <f>IF(B135="","",COUNTIFS($AI$5:$AI$204,"&gt;"&amp;AI135)+COUNTIFS($AI$5:AI135,AI135))</f>
        <v>0</v>
      </c>
      <c r="AR135" s="18">
        <f>IF(B135="","",COUNTIFS($AS$5:$AS$204,"&gt;"&amp;AS135)+COUNTIFS($AS$5:AS135,AS135))</f>
        <v>0</v>
      </c>
      <c r="AS135" s="45">
        <f>IF(B135="","",IF(BB135="",99999,BC135))</f>
        <v>0</v>
      </c>
      <c r="AT135" s="45">
        <f>IF(A135="",0,SUMIFS('Meal Plan'!$L$5:$L$504,'Meal Plan'!$G$5:$G$504,A135,'Meal Plan'!$B$5:$B$504,"&gt;="&amp;ShopFrom,'Meal Plan'!$B$5:$B$504,"&lt;="&amp;ShopTo,'Meal Plan'!$M$5:$M$504,"Yes"))</f>
        <v>0</v>
      </c>
      <c r="AU135" s="25">
        <f>IF(OR(A135="",AC135=""),"",AC135*AT135)</f>
        <v>0</v>
      </c>
      <c r="AV135" s="18">
        <f>IF(A135="","",COUNTIFS('Recipe Ingredients'!$B$5:$B$1204,A135,'Recipe Ingredients'!$N$5:$N$1204,""))</f>
        <v>0</v>
      </c>
      <c r="AZ135" s="18">
        <f>IF(A135="","",COUNTIFS('Meal Plan'!$G$5:$G$504,A135))</f>
        <v>0</v>
      </c>
      <c r="BA135" s="18">
        <f>IF(A135="","",COUNTIFS('Meal Plan'!$G$5:$G$504,A135,'Meal Plan'!$N$5:$N$504,"Prepared")+COUNTIFS('Meal Plan'!$G$5:$G$504,A135,'Meal Plan'!$N$5:$N$504,"Eaten"))</f>
        <v>0</v>
      </c>
      <c r="BB135" s="19">
        <f>IF(A135="","",IF(COUNTIFS('Meal Plan'!$G$5:$G$504,A135,'Meal Plan'!$B$5:$B$504,"&lt;="&amp;TODAY())=0,"",SUMPRODUCT(MAX(('Meal Plan'!$G$5:$G$504=A135)*('Meal Plan'!$B$5:$B$504&lt;=TODAY())*'Meal Plan'!$B$5:$B$504))))</f>
        <v>0</v>
      </c>
      <c r="BC135" s="18">
        <f>IF(BB135="","",TODAY()-BB135)</f>
        <v>0</v>
      </c>
      <c r="BF135" s="31">
        <f>IF(B135="","",IF(G135="","Add - how many does it serve?",IF(AB135=0,"Add - no ingredients listed yet",IF(AV135&gt;0,"Check - "&amp;AV135&amp;" ingredient(s) have no price",IF(AND(BC135&lt;&gt;"",BC135&lt;RotationGapDays),"Cooked recently","OK")))))</f>
        <v>0</v>
      </c>
    </row>
    <row r="136" spans="1:58">
      <c r="A136" s="39">
        <f>IF(B136="","",RecipePrefix&amp;TEXT(ROW()-4,"0000"))</f>
        <v>0</v>
      </c>
      <c r="J136" s="18">
        <f>IF(B136="","",IF(AND(H136="",I136=""),"",IF(H136="",0,H136)+IF(I136="",0,I136)))</f>
        <v>0</v>
      </c>
      <c r="K136" s="46">
        <f>IF(J136="","",IF(J136&lt;=30,"Yes","No"))</f>
        <v>0</v>
      </c>
      <c r="AB136" s="18">
        <f>IF(A136="","",COUNTIFS('Recipe Ingredients'!$B$5:$B$1204,A136))</f>
        <v>0</v>
      </c>
      <c r="AC136" s="25">
        <f>IF(A136="","",SUMIFS('Recipe Ingredients'!$N$5:$N$1204,'Recipe Ingredients'!$B$5:$B$1204,A136))</f>
        <v>0</v>
      </c>
      <c r="AD136" s="25">
        <f>IF(OR(AC136="",G136=""),"",IF(G136=0,"",AC136/G136))</f>
        <v>0</v>
      </c>
      <c r="AE136" s="30">
        <f>IF(OR(A136="",G136=""),"",IF(G136=0,"",SUMIFS('Recipe Ingredients'!$Q$5:$Q$1204,'Recipe Ingredients'!$B$5:$B$1204,A136)/G136))</f>
        <v>0</v>
      </c>
      <c r="AF136" s="45">
        <f>IF(OR(A136="",G136=""),"",IF(G136=0,"",SUMIFS('Recipe Ingredients'!$R$5:$R$1204,'Recipe Ingredients'!$B$5:$B$1204,A136)/G136))</f>
        <v>0</v>
      </c>
      <c r="AG136" s="45">
        <f>IF(OR(A136="",G136=""),"",IF(G136=0,"",SUMIFS('Recipe Ingredients'!$S$5:$S$1204,'Recipe Ingredients'!$B$5:$B$1204,A136)/G136))</f>
        <v>0</v>
      </c>
      <c r="AH136" s="45">
        <f>IF(OR(A136="",G136=""),"",IF(G136=0,"",SUMIFS('Recipe Ingredients'!$T$5:$T$1204,'Recipe Ingredients'!$B$5:$B$1204,A136)/G136))</f>
        <v>0</v>
      </c>
      <c r="AI136" s="45">
        <f>IF(OR(A136="",G136=""),"",IF(G136=0,"",SUMIFS('Recipe Ingredients'!$U$5:$U$1204,'Recipe Ingredients'!$B$5:$B$1204,A136)/G136))</f>
        <v>0</v>
      </c>
      <c r="AJ136" s="17">
        <f>IF(A136="","",IF(COUNTIFS('Recipe Ingredients'!$B$5:$B$1204,A136,'Recipe Ingredients'!$V$5:$V$1204,"&lt;&gt;",'Recipe Ingredients'!$V$5:$V$1204,"&lt;&gt;None")=0,"None listed",COUNTIFS('Recipe Ingredients'!$B$5:$B$1204,A136,'Recipe Ingredients'!$V$5:$V$1204,"&lt;&gt;",'Recipe Ingredients'!$V$5:$V$1204,"&lt;&gt;None")&amp;" ingredient(s) flagged"))</f>
        <v>0</v>
      </c>
      <c r="AK136" s="18">
        <f>IF(OR(AD136="",NOT(ISNUMBER(AD136))),"",COUNTIFS($AD$5:$AD$204,"&lt;"&amp;AD136)+COUNTIFS($AD$5:AD136,AD136))</f>
        <v>0</v>
      </c>
      <c r="AL136" s="18">
        <f>IF(B136="",0,IF(AND(OR(FilterDiet="Any",T136=FilterDiet),OR(FilterCategory="Any",C136=FilterCategory),OR(FilterMethod="Any",L136=FilterMethod),OR(FilterTime=0,AND(J136&lt;&gt;"",J136&lt;=FilterTime)),OR(FilterCost=0,AND(AD136&lt;&gt;"",ISNUMBER(AD136),AD136&lt;=FilterCost)),OR(FilterAllergen="Any",COUNTIFS('Recipe Ingredients'!$B$5:$B$1204,A136,'Recipe Ingredients'!$V$5:$V$1204,FilterAllergen)=0)),1,0))</f>
        <v>0</v>
      </c>
      <c r="AM136" s="18">
        <f>IF(AL136=0,"",SUM($AL$5:AL136))</f>
        <v>0</v>
      </c>
      <c r="AN136" s="18">
        <f>IF(B136="","",COUNTIFS($AZ$5:$AZ$204,"&gt;"&amp;AZ136)+COUNTIFS($AZ$5:AZ136,AZ136))</f>
        <v>0</v>
      </c>
      <c r="AO136" s="18">
        <f>IF(B136="","",COUNTIFS($AE$5:$AE$204,"&gt;"&amp;AE136)+COUNTIFS($AE$5:AE136,AE136))</f>
        <v>0</v>
      </c>
      <c r="AP136" s="18">
        <f>IF(B136="","",COUNTIFS($AF$5:$AF$204,"&gt;"&amp;AF136)+COUNTIFS($AF$5:AF136,AF136))</f>
        <v>0</v>
      </c>
      <c r="AQ136" s="18">
        <f>IF(B136="","",COUNTIFS($AI$5:$AI$204,"&gt;"&amp;AI136)+COUNTIFS($AI$5:AI136,AI136))</f>
        <v>0</v>
      </c>
      <c r="AR136" s="18">
        <f>IF(B136="","",COUNTIFS($AS$5:$AS$204,"&gt;"&amp;AS136)+COUNTIFS($AS$5:AS136,AS136))</f>
        <v>0</v>
      </c>
      <c r="AS136" s="45">
        <f>IF(B136="","",IF(BB136="",99999,BC136))</f>
        <v>0</v>
      </c>
      <c r="AT136" s="45">
        <f>IF(A136="",0,SUMIFS('Meal Plan'!$L$5:$L$504,'Meal Plan'!$G$5:$G$504,A136,'Meal Plan'!$B$5:$B$504,"&gt;="&amp;ShopFrom,'Meal Plan'!$B$5:$B$504,"&lt;="&amp;ShopTo,'Meal Plan'!$M$5:$M$504,"Yes"))</f>
        <v>0</v>
      </c>
      <c r="AU136" s="25">
        <f>IF(OR(A136="",AC136=""),"",AC136*AT136)</f>
        <v>0</v>
      </c>
      <c r="AV136" s="18">
        <f>IF(A136="","",COUNTIFS('Recipe Ingredients'!$B$5:$B$1204,A136,'Recipe Ingredients'!$N$5:$N$1204,""))</f>
        <v>0</v>
      </c>
      <c r="AZ136" s="18">
        <f>IF(A136="","",COUNTIFS('Meal Plan'!$G$5:$G$504,A136))</f>
        <v>0</v>
      </c>
      <c r="BA136" s="18">
        <f>IF(A136="","",COUNTIFS('Meal Plan'!$G$5:$G$504,A136,'Meal Plan'!$N$5:$N$504,"Prepared")+COUNTIFS('Meal Plan'!$G$5:$G$504,A136,'Meal Plan'!$N$5:$N$504,"Eaten"))</f>
        <v>0</v>
      </c>
      <c r="BB136" s="19">
        <f>IF(A136="","",IF(COUNTIFS('Meal Plan'!$G$5:$G$504,A136,'Meal Plan'!$B$5:$B$504,"&lt;="&amp;TODAY())=0,"",SUMPRODUCT(MAX(('Meal Plan'!$G$5:$G$504=A136)*('Meal Plan'!$B$5:$B$504&lt;=TODAY())*'Meal Plan'!$B$5:$B$504))))</f>
        <v>0</v>
      </c>
      <c r="BC136" s="18">
        <f>IF(BB136="","",TODAY()-BB136)</f>
        <v>0</v>
      </c>
      <c r="BF136" s="31">
        <f>IF(B136="","",IF(G136="","Add - how many does it serve?",IF(AB136=0,"Add - no ingredients listed yet",IF(AV136&gt;0,"Check - "&amp;AV136&amp;" ingredient(s) have no price",IF(AND(BC136&lt;&gt;"",BC136&lt;RotationGapDays),"Cooked recently","OK")))))</f>
        <v>0</v>
      </c>
    </row>
    <row r="137" spans="1:58">
      <c r="A137" s="39">
        <f>IF(B137="","",RecipePrefix&amp;TEXT(ROW()-4,"0000"))</f>
        <v>0</v>
      </c>
      <c r="J137" s="18">
        <f>IF(B137="","",IF(AND(H137="",I137=""),"",IF(H137="",0,H137)+IF(I137="",0,I137)))</f>
        <v>0</v>
      </c>
      <c r="K137" s="46">
        <f>IF(J137="","",IF(J137&lt;=30,"Yes","No"))</f>
        <v>0</v>
      </c>
      <c r="AB137" s="18">
        <f>IF(A137="","",COUNTIFS('Recipe Ingredients'!$B$5:$B$1204,A137))</f>
        <v>0</v>
      </c>
      <c r="AC137" s="25">
        <f>IF(A137="","",SUMIFS('Recipe Ingredients'!$N$5:$N$1204,'Recipe Ingredients'!$B$5:$B$1204,A137))</f>
        <v>0</v>
      </c>
      <c r="AD137" s="25">
        <f>IF(OR(AC137="",G137=""),"",IF(G137=0,"",AC137/G137))</f>
        <v>0</v>
      </c>
      <c r="AE137" s="30">
        <f>IF(OR(A137="",G137=""),"",IF(G137=0,"",SUMIFS('Recipe Ingredients'!$Q$5:$Q$1204,'Recipe Ingredients'!$B$5:$B$1204,A137)/G137))</f>
        <v>0</v>
      </c>
      <c r="AF137" s="45">
        <f>IF(OR(A137="",G137=""),"",IF(G137=0,"",SUMIFS('Recipe Ingredients'!$R$5:$R$1204,'Recipe Ingredients'!$B$5:$B$1204,A137)/G137))</f>
        <v>0</v>
      </c>
      <c r="AG137" s="45">
        <f>IF(OR(A137="",G137=""),"",IF(G137=0,"",SUMIFS('Recipe Ingredients'!$S$5:$S$1204,'Recipe Ingredients'!$B$5:$B$1204,A137)/G137))</f>
        <v>0</v>
      </c>
      <c r="AH137" s="45">
        <f>IF(OR(A137="",G137=""),"",IF(G137=0,"",SUMIFS('Recipe Ingredients'!$T$5:$T$1204,'Recipe Ingredients'!$B$5:$B$1204,A137)/G137))</f>
        <v>0</v>
      </c>
      <c r="AI137" s="45">
        <f>IF(OR(A137="",G137=""),"",IF(G137=0,"",SUMIFS('Recipe Ingredients'!$U$5:$U$1204,'Recipe Ingredients'!$B$5:$B$1204,A137)/G137))</f>
        <v>0</v>
      </c>
      <c r="AJ137" s="17">
        <f>IF(A137="","",IF(COUNTIFS('Recipe Ingredients'!$B$5:$B$1204,A137,'Recipe Ingredients'!$V$5:$V$1204,"&lt;&gt;",'Recipe Ingredients'!$V$5:$V$1204,"&lt;&gt;None")=0,"None listed",COUNTIFS('Recipe Ingredients'!$B$5:$B$1204,A137,'Recipe Ingredients'!$V$5:$V$1204,"&lt;&gt;",'Recipe Ingredients'!$V$5:$V$1204,"&lt;&gt;None")&amp;" ingredient(s) flagged"))</f>
        <v>0</v>
      </c>
      <c r="AK137" s="18">
        <f>IF(OR(AD137="",NOT(ISNUMBER(AD137))),"",COUNTIFS($AD$5:$AD$204,"&lt;"&amp;AD137)+COUNTIFS($AD$5:AD137,AD137))</f>
        <v>0</v>
      </c>
      <c r="AL137" s="18">
        <f>IF(B137="",0,IF(AND(OR(FilterDiet="Any",T137=FilterDiet),OR(FilterCategory="Any",C137=FilterCategory),OR(FilterMethod="Any",L137=FilterMethod),OR(FilterTime=0,AND(J137&lt;&gt;"",J137&lt;=FilterTime)),OR(FilterCost=0,AND(AD137&lt;&gt;"",ISNUMBER(AD137),AD137&lt;=FilterCost)),OR(FilterAllergen="Any",COUNTIFS('Recipe Ingredients'!$B$5:$B$1204,A137,'Recipe Ingredients'!$V$5:$V$1204,FilterAllergen)=0)),1,0))</f>
        <v>0</v>
      </c>
      <c r="AM137" s="18">
        <f>IF(AL137=0,"",SUM($AL$5:AL137))</f>
        <v>0</v>
      </c>
      <c r="AN137" s="18">
        <f>IF(B137="","",COUNTIFS($AZ$5:$AZ$204,"&gt;"&amp;AZ137)+COUNTIFS($AZ$5:AZ137,AZ137))</f>
        <v>0</v>
      </c>
      <c r="AO137" s="18">
        <f>IF(B137="","",COUNTIFS($AE$5:$AE$204,"&gt;"&amp;AE137)+COUNTIFS($AE$5:AE137,AE137))</f>
        <v>0</v>
      </c>
      <c r="AP137" s="18">
        <f>IF(B137="","",COUNTIFS($AF$5:$AF$204,"&gt;"&amp;AF137)+COUNTIFS($AF$5:AF137,AF137))</f>
        <v>0</v>
      </c>
      <c r="AQ137" s="18">
        <f>IF(B137="","",COUNTIFS($AI$5:$AI$204,"&gt;"&amp;AI137)+COUNTIFS($AI$5:AI137,AI137))</f>
        <v>0</v>
      </c>
      <c r="AR137" s="18">
        <f>IF(B137="","",COUNTIFS($AS$5:$AS$204,"&gt;"&amp;AS137)+COUNTIFS($AS$5:AS137,AS137))</f>
        <v>0</v>
      </c>
      <c r="AS137" s="45">
        <f>IF(B137="","",IF(BB137="",99999,BC137))</f>
        <v>0</v>
      </c>
      <c r="AT137" s="45">
        <f>IF(A137="",0,SUMIFS('Meal Plan'!$L$5:$L$504,'Meal Plan'!$G$5:$G$504,A137,'Meal Plan'!$B$5:$B$504,"&gt;="&amp;ShopFrom,'Meal Plan'!$B$5:$B$504,"&lt;="&amp;ShopTo,'Meal Plan'!$M$5:$M$504,"Yes"))</f>
        <v>0</v>
      </c>
      <c r="AU137" s="25">
        <f>IF(OR(A137="",AC137=""),"",AC137*AT137)</f>
        <v>0</v>
      </c>
      <c r="AV137" s="18">
        <f>IF(A137="","",COUNTIFS('Recipe Ingredients'!$B$5:$B$1204,A137,'Recipe Ingredients'!$N$5:$N$1204,""))</f>
        <v>0</v>
      </c>
      <c r="AZ137" s="18">
        <f>IF(A137="","",COUNTIFS('Meal Plan'!$G$5:$G$504,A137))</f>
        <v>0</v>
      </c>
      <c r="BA137" s="18">
        <f>IF(A137="","",COUNTIFS('Meal Plan'!$G$5:$G$504,A137,'Meal Plan'!$N$5:$N$504,"Prepared")+COUNTIFS('Meal Plan'!$G$5:$G$504,A137,'Meal Plan'!$N$5:$N$504,"Eaten"))</f>
        <v>0</v>
      </c>
      <c r="BB137" s="19">
        <f>IF(A137="","",IF(COUNTIFS('Meal Plan'!$G$5:$G$504,A137,'Meal Plan'!$B$5:$B$504,"&lt;="&amp;TODAY())=0,"",SUMPRODUCT(MAX(('Meal Plan'!$G$5:$G$504=A137)*('Meal Plan'!$B$5:$B$504&lt;=TODAY())*'Meal Plan'!$B$5:$B$504))))</f>
        <v>0</v>
      </c>
      <c r="BC137" s="18">
        <f>IF(BB137="","",TODAY()-BB137)</f>
        <v>0</v>
      </c>
      <c r="BF137" s="31">
        <f>IF(B137="","",IF(G137="","Add - how many does it serve?",IF(AB137=0,"Add - no ingredients listed yet",IF(AV137&gt;0,"Check - "&amp;AV137&amp;" ingredient(s) have no price",IF(AND(BC137&lt;&gt;"",BC137&lt;RotationGapDays),"Cooked recently","OK")))))</f>
        <v>0</v>
      </c>
    </row>
    <row r="138" spans="1:58">
      <c r="A138" s="39">
        <f>IF(B138="","",RecipePrefix&amp;TEXT(ROW()-4,"0000"))</f>
        <v>0</v>
      </c>
      <c r="J138" s="18">
        <f>IF(B138="","",IF(AND(H138="",I138=""),"",IF(H138="",0,H138)+IF(I138="",0,I138)))</f>
        <v>0</v>
      </c>
      <c r="K138" s="46">
        <f>IF(J138="","",IF(J138&lt;=30,"Yes","No"))</f>
        <v>0</v>
      </c>
      <c r="AB138" s="18">
        <f>IF(A138="","",COUNTIFS('Recipe Ingredients'!$B$5:$B$1204,A138))</f>
        <v>0</v>
      </c>
      <c r="AC138" s="25">
        <f>IF(A138="","",SUMIFS('Recipe Ingredients'!$N$5:$N$1204,'Recipe Ingredients'!$B$5:$B$1204,A138))</f>
        <v>0</v>
      </c>
      <c r="AD138" s="25">
        <f>IF(OR(AC138="",G138=""),"",IF(G138=0,"",AC138/G138))</f>
        <v>0</v>
      </c>
      <c r="AE138" s="30">
        <f>IF(OR(A138="",G138=""),"",IF(G138=0,"",SUMIFS('Recipe Ingredients'!$Q$5:$Q$1204,'Recipe Ingredients'!$B$5:$B$1204,A138)/G138))</f>
        <v>0</v>
      </c>
      <c r="AF138" s="45">
        <f>IF(OR(A138="",G138=""),"",IF(G138=0,"",SUMIFS('Recipe Ingredients'!$R$5:$R$1204,'Recipe Ingredients'!$B$5:$B$1204,A138)/G138))</f>
        <v>0</v>
      </c>
      <c r="AG138" s="45">
        <f>IF(OR(A138="",G138=""),"",IF(G138=0,"",SUMIFS('Recipe Ingredients'!$S$5:$S$1204,'Recipe Ingredients'!$B$5:$B$1204,A138)/G138))</f>
        <v>0</v>
      </c>
      <c r="AH138" s="45">
        <f>IF(OR(A138="",G138=""),"",IF(G138=0,"",SUMIFS('Recipe Ingredients'!$T$5:$T$1204,'Recipe Ingredients'!$B$5:$B$1204,A138)/G138))</f>
        <v>0</v>
      </c>
      <c r="AI138" s="45">
        <f>IF(OR(A138="",G138=""),"",IF(G138=0,"",SUMIFS('Recipe Ingredients'!$U$5:$U$1204,'Recipe Ingredients'!$B$5:$B$1204,A138)/G138))</f>
        <v>0</v>
      </c>
      <c r="AJ138" s="17">
        <f>IF(A138="","",IF(COUNTIFS('Recipe Ingredients'!$B$5:$B$1204,A138,'Recipe Ingredients'!$V$5:$V$1204,"&lt;&gt;",'Recipe Ingredients'!$V$5:$V$1204,"&lt;&gt;None")=0,"None listed",COUNTIFS('Recipe Ingredients'!$B$5:$B$1204,A138,'Recipe Ingredients'!$V$5:$V$1204,"&lt;&gt;",'Recipe Ingredients'!$V$5:$V$1204,"&lt;&gt;None")&amp;" ingredient(s) flagged"))</f>
        <v>0</v>
      </c>
      <c r="AK138" s="18">
        <f>IF(OR(AD138="",NOT(ISNUMBER(AD138))),"",COUNTIFS($AD$5:$AD$204,"&lt;"&amp;AD138)+COUNTIFS($AD$5:AD138,AD138))</f>
        <v>0</v>
      </c>
      <c r="AL138" s="18">
        <f>IF(B138="",0,IF(AND(OR(FilterDiet="Any",T138=FilterDiet),OR(FilterCategory="Any",C138=FilterCategory),OR(FilterMethod="Any",L138=FilterMethod),OR(FilterTime=0,AND(J138&lt;&gt;"",J138&lt;=FilterTime)),OR(FilterCost=0,AND(AD138&lt;&gt;"",ISNUMBER(AD138),AD138&lt;=FilterCost)),OR(FilterAllergen="Any",COUNTIFS('Recipe Ingredients'!$B$5:$B$1204,A138,'Recipe Ingredients'!$V$5:$V$1204,FilterAllergen)=0)),1,0))</f>
        <v>0</v>
      </c>
      <c r="AM138" s="18">
        <f>IF(AL138=0,"",SUM($AL$5:AL138))</f>
        <v>0</v>
      </c>
      <c r="AN138" s="18">
        <f>IF(B138="","",COUNTIFS($AZ$5:$AZ$204,"&gt;"&amp;AZ138)+COUNTIFS($AZ$5:AZ138,AZ138))</f>
        <v>0</v>
      </c>
      <c r="AO138" s="18">
        <f>IF(B138="","",COUNTIFS($AE$5:$AE$204,"&gt;"&amp;AE138)+COUNTIFS($AE$5:AE138,AE138))</f>
        <v>0</v>
      </c>
      <c r="AP138" s="18">
        <f>IF(B138="","",COUNTIFS($AF$5:$AF$204,"&gt;"&amp;AF138)+COUNTIFS($AF$5:AF138,AF138))</f>
        <v>0</v>
      </c>
      <c r="AQ138" s="18">
        <f>IF(B138="","",COUNTIFS($AI$5:$AI$204,"&gt;"&amp;AI138)+COUNTIFS($AI$5:AI138,AI138))</f>
        <v>0</v>
      </c>
      <c r="AR138" s="18">
        <f>IF(B138="","",COUNTIFS($AS$5:$AS$204,"&gt;"&amp;AS138)+COUNTIFS($AS$5:AS138,AS138))</f>
        <v>0</v>
      </c>
      <c r="AS138" s="45">
        <f>IF(B138="","",IF(BB138="",99999,BC138))</f>
        <v>0</v>
      </c>
      <c r="AT138" s="45">
        <f>IF(A138="",0,SUMIFS('Meal Plan'!$L$5:$L$504,'Meal Plan'!$G$5:$G$504,A138,'Meal Plan'!$B$5:$B$504,"&gt;="&amp;ShopFrom,'Meal Plan'!$B$5:$B$504,"&lt;="&amp;ShopTo,'Meal Plan'!$M$5:$M$504,"Yes"))</f>
        <v>0</v>
      </c>
      <c r="AU138" s="25">
        <f>IF(OR(A138="",AC138=""),"",AC138*AT138)</f>
        <v>0</v>
      </c>
      <c r="AV138" s="18">
        <f>IF(A138="","",COUNTIFS('Recipe Ingredients'!$B$5:$B$1204,A138,'Recipe Ingredients'!$N$5:$N$1204,""))</f>
        <v>0</v>
      </c>
      <c r="AZ138" s="18">
        <f>IF(A138="","",COUNTIFS('Meal Plan'!$G$5:$G$504,A138))</f>
        <v>0</v>
      </c>
      <c r="BA138" s="18">
        <f>IF(A138="","",COUNTIFS('Meal Plan'!$G$5:$G$504,A138,'Meal Plan'!$N$5:$N$504,"Prepared")+COUNTIFS('Meal Plan'!$G$5:$G$504,A138,'Meal Plan'!$N$5:$N$504,"Eaten"))</f>
        <v>0</v>
      </c>
      <c r="BB138" s="19">
        <f>IF(A138="","",IF(COUNTIFS('Meal Plan'!$G$5:$G$504,A138,'Meal Plan'!$B$5:$B$504,"&lt;="&amp;TODAY())=0,"",SUMPRODUCT(MAX(('Meal Plan'!$G$5:$G$504=A138)*('Meal Plan'!$B$5:$B$504&lt;=TODAY())*'Meal Plan'!$B$5:$B$504))))</f>
        <v>0</v>
      </c>
      <c r="BC138" s="18">
        <f>IF(BB138="","",TODAY()-BB138)</f>
        <v>0</v>
      </c>
      <c r="BF138" s="31">
        <f>IF(B138="","",IF(G138="","Add - how many does it serve?",IF(AB138=0,"Add - no ingredients listed yet",IF(AV138&gt;0,"Check - "&amp;AV138&amp;" ingredient(s) have no price",IF(AND(BC138&lt;&gt;"",BC138&lt;RotationGapDays),"Cooked recently","OK")))))</f>
        <v>0</v>
      </c>
    </row>
    <row r="139" spans="1:58">
      <c r="A139" s="39">
        <f>IF(B139="","",RecipePrefix&amp;TEXT(ROW()-4,"0000"))</f>
        <v>0</v>
      </c>
      <c r="J139" s="18">
        <f>IF(B139="","",IF(AND(H139="",I139=""),"",IF(H139="",0,H139)+IF(I139="",0,I139)))</f>
        <v>0</v>
      </c>
      <c r="K139" s="46">
        <f>IF(J139="","",IF(J139&lt;=30,"Yes","No"))</f>
        <v>0</v>
      </c>
      <c r="AB139" s="18">
        <f>IF(A139="","",COUNTIFS('Recipe Ingredients'!$B$5:$B$1204,A139))</f>
        <v>0</v>
      </c>
      <c r="AC139" s="25">
        <f>IF(A139="","",SUMIFS('Recipe Ingredients'!$N$5:$N$1204,'Recipe Ingredients'!$B$5:$B$1204,A139))</f>
        <v>0</v>
      </c>
      <c r="AD139" s="25">
        <f>IF(OR(AC139="",G139=""),"",IF(G139=0,"",AC139/G139))</f>
        <v>0</v>
      </c>
      <c r="AE139" s="30">
        <f>IF(OR(A139="",G139=""),"",IF(G139=0,"",SUMIFS('Recipe Ingredients'!$Q$5:$Q$1204,'Recipe Ingredients'!$B$5:$B$1204,A139)/G139))</f>
        <v>0</v>
      </c>
      <c r="AF139" s="45">
        <f>IF(OR(A139="",G139=""),"",IF(G139=0,"",SUMIFS('Recipe Ingredients'!$R$5:$R$1204,'Recipe Ingredients'!$B$5:$B$1204,A139)/G139))</f>
        <v>0</v>
      </c>
      <c r="AG139" s="45">
        <f>IF(OR(A139="",G139=""),"",IF(G139=0,"",SUMIFS('Recipe Ingredients'!$S$5:$S$1204,'Recipe Ingredients'!$B$5:$B$1204,A139)/G139))</f>
        <v>0</v>
      </c>
      <c r="AH139" s="45">
        <f>IF(OR(A139="",G139=""),"",IF(G139=0,"",SUMIFS('Recipe Ingredients'!$T$5:$T$1204,'Recipe Ingredients'!$B$5:$B$1204,A139)/G139))</f>
        <v>0</v>
      </c>
      <c r="AI139" s="45">
        <f>IF(OR(A139="",G139=""),"",IF(G139=0,"",SUMIFS('Recipe Ingredients'!$U$5:$U$1204,'Recipe Ingredients'!$B$5:$B$1204,A139)/G139))</f>
        <v>0</v>
      </c>
      <c r="AJ139" s="17">
        <f>IF(A139="","",IF(COUNTIFS('Recipe Ingredients'!$B$5:$B$1204,A139,'Recipe Ingredients'!$V$5:$V$1204,"&lt;&gt;",'Recipe Ingredients'!$V$5:$V$1204,"&lt;&gt;None")=0,"None listed",COUNTIFS('Recipe Ingredients'!$B$5:$B$1204,A139,'Recipe Ingredients'!$V$5:$V$1204,"&lt;&gt;",'Recipe Ingredients'!$V$5:$V$1204,"&lt;&gt;None")&amp;" ingredient(s) flagged"))</f>
        <v>0</v>
      </c>
      <c r="AK139" s="18">
        <f>IF(OR(AD139="",NOT(ISNUMBER(AD139))),"",COUNTIFS($AD$5:$AD$204,"&lt;"&amp;AD139)+COUNTIFS($AD$5:AD139,AD139))</f>
        <v>0</v>
      </c>
      <c r="AL139" s="18">
        <f>IF(B139="",0,IF(AND(OR(FilterDiet="Any",T139=FilterDiet),OR(FilterCategory="Any",C139=FilterCategory),OR(FilterMethod="Any",L139=FilterMethod),OR(FilterTime=0,AND(J139&lt;&gt;"",J139&lt;=FilterTime)),OR(FilterCost=0,AND(AD139&lt;&gt;"",ISNUMBER(AD139),AD139&lt;=FilterCost)),OR(FilterAllergen="Any",COUNTIFS('Recipe Ingredients'!$B$5:$B$1204,A139,'Recipe Ingredients'!$V$5:$V$1204,FilterAllergen)=0)),1,0))</f>
        <v>0</v>
      </c>
      <c r="AM139" s="18">
        <f>IF(AL139=0,"",SUM($AL$5:AL139))</f>
        <v>0</v>
      </c>
      <c r="AN139" s="18">
        <f>IF(B139="","",COUNTIFS($AZ$5:$AZ$204,"&gt;"&amp;AZ139)+COUNTIFS($AZ$5:AZ139,AZ139))</f>
        <v>0</v>
      </c>
      <c r="AO139" s="18">
        <f>IF(B139="","",COUNTIFS($AE$5:$AE$204,"&gt;"&amp;AE139)+COUNTIFS($AE$5:AE139,AE139))</f>
        <v>0</v>
      </c>
      <c r="AP139" s="18">
        <f>IF(B139="","",COUNTIFS($AF$5:$AF$204,"&gt;"&amp;AF139)+COUNTIFS($AF$5:AF139,AF139))</f>
        <v>0</v>
      </c>
      <c r="AQ139" s="18">
        <f>IF(B139="","",COUNTIFS($AI$5:$AI$204,"&gt;"&amp;AI139)+COUNTIFS($AI$5:AI139,AI139))</f>
        <v>0</v>
      </c>
      <c r="AR139" s="18">
        <f>IF(B139="","",COUNTIFS($AS$5:$AS$204,"&gt;"&amp;AS139)+COUNTIFS($AS$5:AS139,AS139))</f>
        <v>0</v>
      </c>
      <c r="AS139" s="45">
        <f>IF(B139="","",IF(BB139="",99999,BC139))</f>
        <v>0</v>
      </c>
      <c r="AT139" s="45">
        <f>IF(A139="",0,SUMIFS('Meal Plan'!$L$5:$L$504,'Meal Plan'!$G$5:$G$504,A139,'Meal Plan'!$B$5:$B$504,"&gt;="&amp;ShopFrom,'Meal Plan'!$B$5:$B$504,"&lt;="&amp;ShopTo,'Meal Plan'!$M$5:$M$504,"Yes"))</f>
        <v>0</v>
      </c>
      <c r="AU139" s="25">
        <f>IF(OR(A139="",AC139=""),"",AC139*AT139)</f>
        <v>0</v>
      </c>
      <c r="AV139" s="18">
        <f>IF(A139="","",COUNTIFS('Recipe Ingredients'!$B$5:$B$1204,A139,'Recipe Ingredients'!$N$5:$N$1204,""))</f>
        <v>0</v>
      </c>
      <c r="AZ139" s="18">
        <f>IF(A139="","",COUNTIFS('Meal Plan'!$G$5:$G$504,A139))</f>
        <v>0</v>
      </c>
      <c r="BA139" s="18">
        <f>IF(A139="","",COUNTIFS('Meal Plan'!$G$5:$G$504,A139,'Meal Plan'!$N$5:$N$504,"Prepared")+COUNTIFS('Meal Plan'!$G$5:$G$504,A139,'Meal Plan'!$N$5:$N$504,"Eaten"))</f>
        <v>0</v>
      </c>
      <c r="BB139" s="19">
        <f>IF(A139="","",IF(COUNTIFS('Meal Plan'!$G$5:$G$504,A139,'Meal Plan'!$B$5:$B$504,"&lt;="&amp;TODAY())=0,"",SUMPRODUCT(MAX(('Meal Plan'!$G$5:$G$504=A139)*('Meal Plan'!$B$5:$B$504&lt;=TODAY())*'Meal Plan'!$B$5:$B$504))))</f>
        <v>0</v>
      </c>
      <c r="BC139" s="18">
        <f>IF(BB139="","",TODAY()-BB139)</f>
        <v>0</v>
      </c>
      <c r="BF139" s="31">
        <f>IF(B139="","",IF(G139="","Add - how many does it serve?",IF(AB139=0,"Add - no ingredients listed yet",IF(AV139&gt;0,"Check - "&amp;AV139&amp;" ingredient(s) have no price",IF(AND(BC139&lt;&gt;"",BC139&lt;RotationGapDays),"Cooked recently","OK")))))</f>
        <v>0</v>
      </c>
    </row>
    <row r="140" spans="1:58">
      <c r="A140" s="39">
        <f>IF(B140="","",RecipePrefix&amp;TEXT(ROW()-4,"0000"))</f>
        <v>0</v>
      </c>
      <c r="J140" s="18">
        <f>IF(B140="","",IF(AND(H140="",I140=""),"",IF(H140="",0,H140)+IF(I140="",0,I140)))</f>
        <v>0</v>
      </c>
      <c r="K140" s="46">
        <f>IF(J140="","",IF(J140&lt;=30,"Yes","No"))</f>
        <v>0</v>
      </c>
      <c r="AB140" s="18">
        <f>IF(A140="","",COUNTIFS('Recipe Ingredients'!$B$5:$B$1204,A140))</f>
        <v>0</v>
      </c>
      <c r="AC140" s="25">
        <f>IF(A140="","",SUMIFS('Recipe Ingredients'!$N$5:$N$1204,'Recipe Ingredients'!$B$5:$B$1204,A140))</f>
        <v>0</v>
      </c>
      <c r="AD140" s="25">
        <f>IF(OR(AC140="",G140=""),"",IF(G140=0,"",AC140/G140))</f>
        <v>0</v>
      </c>
      <c r="AE140" s="30">
        <f>IF(OR(A140="",G140=""),"",IF(G140=0,"",SUMIFS('Recipe Ingredients'!$Q$5:$Q$1204,'Recipe Ingredients'!$B$5:$B$1204,A140)/G140))</f>
        <v>0</v>
      </c>
      <c r="AF140" s="45">
        <f>IF(OR(A140="",G140=""),"",IF(G140=0,"",SUMIFS('Recipe Ingredients'!$R$5:$R$1204,'Recipe Ingredients'!$B$5:$B$1204,A140)/G140))</f>
        <v>0</v>
      </c>
      <c r="AG140" s="45">
        <f>IF(OR(A140="",G140=""),"",IF(G140=0,"",SUMIFS('Recipe Ingredients'!$S$5:$S$1204,'Recipe Ingredients'!$B$5:$B$1204,A140)/G140))</f>
        <v>0</v>
      </c>
      <c r="AH140" s="45">
        <f>IF(OR(A140="",G140=""),"",IF(G140=0,"",SUMIFS('Recipe Ingredients'!$T$5:$T$1204,'Recipe Ingredients'!$B$5:$B$1204,A140)/G140))</f>
        <v>0</v>
      </c>
      <c r="AI140" s="45">
        <f>IF(OR(A140="",G140=""),"",IF(G140=0,"",SUMIFS('Recipe Ingredients'!$U$5:$U$1204,'Recipe Ingredients'!$B$5:$B$1204,A140)/G140))</f>
        <v>0</v>
      </c>
      <c r="AJ140" s="17">
        <f>IF(A140="","",IF(COUNTIFS('Recipe Ingredients'!$B$5:$B$1204,A140,'Recipe Ingredients'!$V$5:$V$1204,"&lt;&gt;",'Recipe Ingredients'!$V$5:$V$1204,"&lt;&gt;None")=0,"None listed",COUNTIFS('Recipe Ingredients'!$B$5:$B$1204,A140,'Recipe Ingredients'!$V$5:$V$1204,"&lt;&gt;",'Recipe Ingredients'!$V$5:$V$1204,"&lt;&gt;None")&amp;" ingredient(s) flagged"))</f>
        <v>0</v>
      </c>
      <c r="AK140" s="18">
        <f>IF(OR(AD140="",NOT(ISNUMBER(AD140))),"",COUNTIFS($AD$5:$AD$204,"&lt;"&amp;AD140)+COUNTIFS($AD$5:AD140,AD140))</f>
        <v>0</v>
      </c>
      <c r="AL140" s="18">
        <f>IF(B140="",0,IF(AND(OR(FilterDiet="Any",T140=FilterDiet),OR(FilterCategory="Any",C140=FilterCategory),OR(FilterMethod="Any",L140=FilterMethod),OR(FilterTime=0,AND(J140&lt;&gt;"",J140&lt;=FilterTime)),OR(FilterCost=0,AND(AD140&lt;&gt;"",ISNUMBER(AD140),AD140&lt;=FilterCost)),OR(FilterAllergen="Any",COUNTIFS('Recipe Ingredients'!$B$5:$B$1204,A140,'Recipe Ingredients'!$V$5:$V$1204,FilterAllergen)=0)),1,0))</f>
        <v>0</v>
      </c>
      <c r="AM140" s="18">
        <f>IF(AL140=0,"",SUM($AL$5:AL140))</f>
        <v>0</v>
      </c>
      <c r="AN140" s="18">
        <f>IF(B140="","",COUNTIFS($AZ$5:$AZ$204,"&gt;"&amp;AZ140)+COUNTIFS($AZ$5:AZ140,AZ140))</f>
        <v>0</v>
      </c>
      <c r="AO140" s="18">
        <f>IF(B140="","",COUNTIFS($AE$5:$AE$204,"&gt;"&amp;AE140)+COUNTIFS($AE$5:AE140,AE140))</f>
        <v>0</v>
      </c>
      <c r="AP140" s="18">
        <f>IF(B140="","",COUNTIFS($AF$5:$AF$204,"&gt;"&amp;AF140)+COUNTIFS($AF$5:AF140,AF140))</f>
        <v>0</v>
      </c>
      <c r="AQ140" s="18">
        <f>IF(B140="","",COUNTIFS($AI$5:$AI$204,"&gt;"&amp;AI140)+COUNTIFS($AI$5:AI140,AI140))</f>
        <v>0</v>
      </c>
      <c r="AR140" s="18">
        <f>IF(B140="","",COUNTIFS($AS$5:$AS$204,"&gt;"&amp;AS140)+COUNTIFS($AS$5:AS140,AS140))</f>
        <v>0</v>
      </c>
      <c r="AS140" s="45">
        <f>IF(B140="","",IF(BB140="",99999,BC140))</f>
        <v>0</v>
      </c>
      <c r="AT140" s="45">
        <f>IF(A140="",0,SUMIFS('Meal Plan'!$L$5:$L$504,'Meal Plan'!$G$5:$G$504,A140,'Meal Plan'!$B$5:$B$504,"&gt;="&amp;ShopFrom,'Meal Plan'!$B$5:$B$504,"&lt;="&amp;ShopTo,'Meal Plan'!$M$5:$M$504,"Yes"))</f>
        <v>0</v>
      </c>
      <c r="AU140" s="25">
        <f>IF(OR(A140="",AC140=""),"",AC140*AT140)</f>
        <v>0</v>
      </c>
      <c r="AV140" s="18">
        <f>IF(A140="","",COUNTIFS('Recipe Ingredients'!$B$5:$B$1204,A140,'Recipe Ingredients'!$N$5:$N$1204,""))</f>
        <v>0</v>
      </c>
      <c r="AZ140" s="18">
        <f>IF(A140="","",COUNTIFS('Meal Plan'!$G$5:$G$504,A140))</f>
        <v>0</v>
      </c>
      <c r="BA140" s="18">
        <f>IF(A140="","",COUNTIFS('Meal Plan'!$G$5:$G$504,A140,'Meal Plan'!$N$5:$N$504,"Prepared")+COUNTIFS('Meal Plan'!$G$5:$G$504,A140,'Meal Plan'!$N$5:$N$504,"Eaten"))</f>
        <v>0</v>
      </c>
      <c r="BB140" s="19">
        <f>IF(A140="","",IF(COUNTIFS('Meal Plan'!$G$5:$G$504,A140,'Meal Plan'!$B$5:$B$504,"&lt;="&amp;TODAY())=0,"",SUMPRODUCT(MAX(('Meal Plan'!$G$5:$G$504=A140)*('Meal Plan'!$B$5:$B$504&lt;=TODAY())*'Meal Plan'!$B$5:$B$504))))</f>
        <v>0</v>
      </c>
      <c r="BC140" s="18">
        <f>IF(BB140="","",TODAY()-BB140)</f>
        <v>0</v>
      </c>
      <c r="BF140" s="31">
        <f>IF(B140="","",IF(G140="","Add - how many does it serve?",IF(AB140=0,"Add - no ingredients listed yet",IF(AV140&gt;0,"Check - "&amp;AV140&amp;" ingredient(s) have no price",IF(AND(BC140&lt;&gt;"",BC140&lt;RotationGapDays),"Cooked recently","OK")))))</f>
        <v>0</v>
      </c>
    </row>
    <row r="141" spans="1:58">
      <c r="A141" s="39">
        <f>IF(B141="","",RecipePrefix&amp;TEXT(ROW()-4,"0000"))</f>
        <v>0</v>
      </c>
      <c r="J141" s="18">
        <f>IF(B141="","",IF(AND(H141="",I141=""),"",IF(H141="",0,H141)+IF(I141="",0,I141)))</f>
        <v>0</v>
      </c>
      <c r="K141" s="46">
        <f>IF(J141="","",IF(J141&lt;=30,"Yes","No"))</f>
        <v>0</v>
      </c>
      <c r="AB141" s="18">
        <f>IF(A141="","",COUNTIFS('Recipe Ingredients'!$B$5:$B$1204,A141))</f>
        <v>0</v>
      </c>
      <c r="AC141" s="25">
        <f>IF(A141="","",SUMIFS('Recipe Ingredients'!$N$5:$N$1204,'Recipe Ingredients'!$B$5:$B$1204,A141))</f>
        <v>0</v>
      </c>
      <c r="AD141" s="25">
        <f>IF(OR(AC141="",G141=""),"",IF(G141=0,"",AC141/G141))</f>
        <v>0</v>
      </c>
      <c r="AE141" s="30">
        <f>IF(OR(A141="",G141=""),"",IF(G141=0,"",SUMIFS('Recipe Ingredients'!$Q$5:$Q$1204,'Recipe Ingredients'!$B$5:$B$1204,A141)/G141))</f>
        <v>0</v>
      </c>
      <c r="AF141" s="45">
        <f>IF(OR(A141="",G141=""),"",IF(G141=0,"",SUMIFS('Recipe Ingredients'!$R$5:$R$1204,'Recipe Ingredients'!$B$5:$B$1204,A141)/G141))</f>
        <v>0</v>
      </c>
      <c r="AG141" s="45">
        <f>IF(OR(A141="",G141=""),"",IF(G141=0,"",SUMIFS('Recipe Ingredients'!$S$5:$S$1204,'Recipe Ingredients'!$B$5:$B$1204,A141)/G141))</f>
        <v>0</v>
      </c>
      <c r="AH141" s="45">
        <f>IF(OR(A141="",G141=""),"",IF(G141=0,"",SUMIFS('Recipe Ingredients'!$T$5:$T$1204,'Recipe Ingredients'!$B$5:$B$1204,A141)/G141))</f>
        <v>0</v>
      </c>
      <c r="AI141" s="45">
        <f>IF(OR(A141="",G141=""),"",IF(G141=0,"",SUMIFS('Recipe Ingredients'!$U$5:$U$1204,'Recipe Ingredients'!$B$5:$B$1204,A141)/G141))</f>
        <v>0</v>
      </c>
      <c r="AJ141" s="17">
        <f>IF(A141="","",IF(COUNTIFS('Recipe Ingredients'!$B$5:$B$1204,A141,'Recipe Ingredients'!$V$5:$V$1204,"&lt;&gt;",'Recipe Ingredients'!$V$5:$V$1204,"&lt;&gt;None")=0,"None listed",COUNTIFS('Recipe Ingredients'!$B$5:$B$1204,A141,'Recipe Ingredients'!$V$5:$V$1204,"&lt;&gt;",'Recipe Ingredients'!$V$5:$V$1204,"&lt;&gt;None")&amp;" ingredient(s) flagged"))</f>
        <v>0</v>
      </c>
      <c r="AK141" s="18">
        <f>IF(OR(AD141="",NOT(ISNUMBER(AD141))),"",COUNTIFS($AD$5:$AD$204,"&lt;"&amp;AD141)+COUNTIFS($AD$5:AD141,AD141))</f>
        <v>0</v>
      </c>
      <c r="AL141" s="18">
        <f>IF(B141="",0,IF(AND(OR(FilterDiet="Any",T141=FilterDiet),OR(FilterCategory="Any",C141=FilterCategory),OR(FilterMethod="Any",L141=FilterMethod),OR(FilterTime=0,AND(J141&lt;&gt;"",J141&lt;=FilterTime)),OR(FilterCost=0,AND(AD141&lt;&gt;"",ISNUMBER(AD141),AD141&lt;=FilterCost)),OR(FilterAllergen="Any",COUNTIFS('Recipe Ingredients'!$B$5:$B$1204,A141,'Recipe Ingredients'!$V$5:$V$1204,FilterAllergen)=0)),1,0))</f>
        <v>0</v>
      </c>
      <c r="AM141" s="18">
        <f>IF(AL141=0,"",SUM($AL$5:AL141))</f>
        <v>0</v>
      </c>
      <c r="AN141" s="18">
        <f>IF(B141="","",COUNTIFS($AZ$5:$AZ$204,"&gt;"&amp;AZ141)+COUNTIFS($AZ$5:AZ141,AZ141))</f>
        <v>0</v>
      </c>
      <c r="AO141" s="18">
        <f>IF(B141="","",COUNTIFS($AE$5:$AE$204,"&gt;"&amp;AE141)+COUNTIFS($AE$5:AE141,AE141))</f>
        <v>0</v>
      </c>
      <c r="AP141" s="18">
        <f>IF(B141="","",COUNTIFS($AF$5:$AF$204,"&gt;"&amp;AF141)+COUNTIFS($AF$5:AF141,AF141))</f>
        <v>0</v>
      </c>
      <c r="AQ141" s="18">
        <f>IF(B141="","",COUNTIFS($AI$5:$AI$204,"&gt;"&amp;AI141)+COUNTIFS($AI$5:AI141,AI141))</f>
        <v>0</v>
      </c>
      <c r="AR141" s="18">
        <f>IF(B141="","",COUNTIFS($AS$5:$AS$204,"&gt;"&amp;AS141)+COUNTIFS($AS$5:AS141,AS141))</f>
        <v>0</v>
      </c>
      <c r="AS141" s="45">
        <f>IF(B141="","",IF(BB141="",99999,BC141))</f>
        <v>0</v>
      </c>
      <c r="AT141" s="45">
        <f>IF(A141="",0,SUMIFS('Meal Plan'!$L$5:$L$504,'Meal Plan'!$G$5:$G$504,A141,'Meal Plan'!$B$5:$B$504,"&gt;="&amp;ShopFrom,'Meal Plan'!$B$5:$B$504,"&lt;="&amp;ShopTo,'Meal Plan'!$M$5:$M$504,"Yes"))</f>
        <v>0</v>
      </c>
      <c r="AU141" s="25">
        <f>IF(OR(A141="",AC141=""),"",AC141*AT141)</f>
        <v>0</v>
      </c>
      <c r="AV141" s="18">
        <f>IF(A141="","",COUNTIFS('Recipe Ingredients'!$B$5:$B$1204,A141,'Recipe Ingredients'!$N$5:$N$1204,""))</f>
        <v>0</v>
      </c>
      <c r="AZ141" s="18">
        <f>IF(A141="","",COUNTIFS('Meal Plan'!$G$5:$G$504,A141))</f>
        <v>0</v>
      </c>
      <c r="BA141" s="18">
        <f>IF(A141="","",COUNTIFS('Meal Plan'!$G$5:$G$504,A141,'Meal Plan'!$N$5:$N$504,"Prepared")+COUNTIFS('Meal Plan'!$G$5:$G$504,A141,'Meal Plan'!$N$5:$N$504,"Eaten"))</f>
        <v>0</v>
      </c>
      <c r="BB141" s="19">
        <f>IF(A141="","",IF(COUNTIFS('Meal Plan'!$G$5:$G$504,A141,'Meal Plan'!$B$5:$B$504,"&lt;="&amp;TODAY())=0,"",SUMPRODUCT(MAX(('Meal Plan'!$G$5:$G$504=A141)*('Meal Plan'!$B$5:$B$504&lt;=TODAY())*'Meal Plan'!$B$5:$B$504))))</f>
        <v>0</v>
      </c>
      <c r="BC141" s="18">
        <f>IF(BB141="","",TODAY()-BB141)</f>
        <v>0</v>
      </c>
      <c r="BF141" s="31">
        <f>IF(B141="","",IF(G141="","Add - how many does it serve?",IF(AB141=0,"Add - no ingredients listed yet",IF(AV141&gt;0,"Check - "&amp;AV141&amp;" ingredient(s) have no price",IF(AND(BC141&lt;&gt;"",BC141&lt;RotationGapDays),"Cooked recently","OK")))))</f>
        <v>0</v>
      </c>
    </row>
    <row r="142" spans="1:58">
      <c r="A142" s="39">
        <f>IF(B142="","",RecipePrefix&amp;TEXT(ROW()-4,"0000"))</f>
        <v>0</v>
      </c>
      <c r="J142" s="18">
        <f>IF(B142="","",IF(AND(H142="",I142=""),"",IF(H142="",0,H142)+IF(I142="",0,I142)))</f>
        <v>0</v>
      </c>
      <c r="K142" s="46">
        <f>IF(J142="","",IF(J142&lt;=30,"Yes","No"))</f>
        <v>0</v>
      </c>
      <c r="AB142" s="18">
        <f>IF(A142="","",COUNTIFS('Recipe Ingredients'!$B$5:$B$1204,A142))</f>
        <v>0</v>
      </c>
      <c r="AC142" s="25">
        <f>IF(A142="","",SUMIFS('Recipe Ingredients'!$N$5:$N$1204,'Recipe Ingredients'!$B$5:$B$1204,A142))</f>
        <v>0</v>
      </c>
      <c r="AD142" s="25">
        <f>IF(OR(AC142="",G142=""),"",IF(G142=0,"",AC142/G142))</f>
        <v>0</v>
      </c>
      <c r="AE142" s="30">
        <f>IF(OR(A142="",G142=""),"",IF(G142=0,"",SUMIFS('Recipe Ingredients'!$Q$5:$Q$1204,'Recipe Ingredients'!$B$5:$B$1204,A142)/G142))</f>
        <v>0</v>
      </c>
      <c r="AF142" s="45">
        <f>IF(OR(A142="",G142=""),"",IF(G142=0,"",SUMIFS('Recipe Ingredients'!$R$5:$R$1204,'Recipe Ingredients'!$B$5:$B$1204,A142)/G142))</f>
        <v>0</v>
      </c>
      <c r="AG142" s="45">
        <f>IF(OR(A142="",G142=""),"",IF(G142=0,"",SUMIFS('Recipe Ingredients'!$S$5:$S$1204,'Recipe Ingredients'!$B$5:$B$1204,A142)/G142))</f>
        <v>0</v>
      </c>
      <c r="AH142" s="45">
        <f>IF(OR(A142="",G142=""),"",IF(G142=0,"",SUMIFS('Recipe Ingredients'!$T$5:$T$1204,'Recipe Ingredients'!$B$5:$B$1204,A142)/G142))</f>
        <v>0</v>
      </c>
      <c r="AI142" s="45">
        <f>IF(OR(A142="",G142=""),"",IF(G142=0,"",SUMIFS('Recipe Ingredients'!$U$5:$U$1204,'Recipe Ingredients'!$B$5:$B$1204,A142)/G142))</f>
        <v>0</v>
      </c>
      <c r="AJ142" s="17">
        <f>IF(A142="","",IF(COUNTIFS('Recipe Ingredients'!$B$5:$B$1204,A142,'Recipe Ingredients'!$V$5:$V$1204,"&lt;&gt;",'Recipe Ingredients'!$V$5:$V$1204,"&lt;&gt;None")=0,"None listed",COUNTIFS('Recipe Ingredients'!$B$5:$B$1204,A142,'Recipe Ingredients'!$V$5:$V$1204,"&lt;&gt;",'Recipe Ingredients'!$V$5:$V$1204,"&lt;&gt;None")&amp;" ingredient(s) flagged"))</f>
        <v>0</v>
      </c>
      <c r="AK142" s="18">
        <f>IF(OR(AD142="",NOT(ISNUMBER(AD142))),"",COUNTIFS($AD$5:$AD$204,"&lt;"&amp;AD142)+COUNTIFS($AD$5:AD142,AD142))</f>
        <v>0</v>
      </c>
      <c r="AL142" s="18">
        <f>IF(B142="",0,IF(AND(OR(FilterDiet="Any",T142=FilterDiet),OR(FilterCategory="Any",C142=FilterCategory),OR(FilterMethod="Any",L142=FilterMethod),OR(FilterTime=0,AND(J142&lt;&gt;"",J142&lt;=FilterTime)),OR(FilterCost=0,AND(AD142&lt;&gt;"",ISNUMBER(AD142),AD142&lt;=FilterCost)),OR(FilterAllergen="Any",COUNTIFS('Recipe Ingredients'!$B$5:$B$1204,A142,'Recipe Ingredients'!$V$5:$V$1204,FilterAllergen)=0)),1,0))</f>
        <v>0</v>
      </c>
      <c r="AM142" s="18">
        <f>IF(AL142=0,"",SUM($AL$5:AL142))</f>
        <v>0</v>
      </c>
      <c r="AN142" s="18">
        <f>IF(B142="","",COUNTIFS($AZ$5:$AZ$204,"&gt;"&amp;AZ142)+COUNTIFS($AZ$5:AZ142,AZ142))</f>
        <v>0</v>
      </c>
      <c r="AO142" s="18">
        <f>IF(B142="","",COUNTIFS($AE$5:$AE$204,"&gt;"&amp;AE142)+COUNTIFS($AE$5:AE142,AE142))</f>
        <v>0</v>
      </c>
      <c r="AP142" s="18">
        <f>IF(B142="","",COUNTIFS($AF$5:$AF$204,"&gt;"&amp;AF142)+COUNTIFS($AF$5:AF142,AF142))</f>
        <v>0</v>
      </c>
      <c r="AQ142" s="18">
        <f>IF(B142="","",COUNTIFS($AI$5:$AI$204,"&gt;"&amp;AI142)+COUNTIFS($AI$5:AI142,AI142))</f>
        <v>0</v>
      </c>
      <c r="AR142" s="18">
        <f>IF(B142="","",COUNTIFS($AS$5:$AS$204,"&gt;"&amp;AS142)+COUNTIFS($AS$5:AS142,AS142))</f>
        <v>0</v>
      </c>
      <c r="AS142" s="45">
        <f>IF(B142="","",IF(BB142="",99999,BC142))</f>
        <v>0</v>
      </c>
      <c r="AT142" s="45">
        <f>IF(A142="",0,SUMIFS('Meal Plan'!$L$5:$L$504,'Meal Plan'!$G$5:$G$504,A142,'Meal Plan'!$B$5:$B$504,"&gt;="&amp;ShopFrom,'Meal Plan'!$B$5:$B$504,"&lt;="&amp;ShopTo,'Meal Plan'!$M$5:$M$504,"Yes"))</f>
        <v>0</v>
      </c>
      <c r="AU142" s="25">
        <f>IF(OR(A142="",AC142=""),"",AC142*AT142)</f>
        <v>0</v>
      </c>
      <c r="AV142" s="18">
        <f>IF(A142="","",COUNTIFS('Recipe Ingredients'!$B$5:$B$1204,A142,'Recipe Ingredients'!$N$5:$N$1204,""))</f>
        <v>0</v>
      </c>
      <c r="AZ142" s="18">
        <f>IF(A142="","",COUNTIFS('Meal Plan'!$G$5:$G$504,A142))</f>
        <v>0</v>
      </c>
      <c r="BA142" s="18">
        <f>IF(A142="","",COUNTIFS('Meal Plan'!$G$5:$G$504,A142,'Meal Plan'!$N$5:$N$504,"Prepared")+COUNTIFS('Meal Plan'!$G$5:$G$504,A142,'Meal Plan'!$N$5:$N$504,"Eaten"))</f>
        <v>0</v>
      </c>
      <c r="BB142" s="19">
        <f>IF(A142="","",IF(COUNTIFS('Meal Plan'!$G$5:$G$504,A142,'Meal Plan'!$B$5:$B$504,"&lt;="&amp;TODAY())=0,"",SUMPRODUCT(MAX(('Meal Plan'!$G$5:$G$504=A142)*('Meal Plan'!$B$5:$B$504&lt;=TODAY())*'Meal Plan'!$B$5:$B$504))))</f>
        <v>0</v>
      </c>
      <c r="BC142" s="18">
        <f>IF(BB142="","",TODAY()-BB142)</f>
        <v>0</v>
      </c>
      <c r="BF142" s="31">
        <f>IF(B142="","",IF(G142="","Add - how many does it serve?",IF(AB142=0,"Add - no ingredients listed yet",IF(AV142&gt;0,"Check - "&amp;AV142&amp;" ingredient(s) have no price",IF(AND(BC142&lt;&gt;"",BC142&lt;RotationGapDays),"Cooked recently","OK")))))</f>
        <v>0</v>
      </c>
    </row>
    <row r="143" spans="1:58">
      <c r="A143" s="39">
        <f>IF(B143="","",RecipePrefix&amp;TEXT(ROW()-4,"0000"))</f>
        <v>0</v>
      </c>
      <c r="J143" s="18">
        <f>IF(B143="","",IF(AND(H143="",I143=""),"",IF(H143="",0,H143)+IF(I143="",0,I143)))</f>
        <v>0</v>
      </c>
      <c r="K143" s="46">
        <f>IF(J143="","",IF(J143&lt;=30,"Yes","No"))</f>
        <v>0</v>
      </c>
      <c r="AB143" s="18">
        <f>IF(A143="","",COUNTIFS('Recipe Ingredients'!$B$5:$B$1204,A143))</f>
        <v>0</v>
      </c>
      <c r="AC143" s="25">
        <f>IF(A143="","",SUMIFS('Recipe Ingredients'!$N$5:$N$1204,'Recipe Ingredients'!$B$5:$B$1204,A143))</f>
        <v>0</v>
      </c>
      <c r="AD143" s="25">
        <f>IF(OR(AC143="",G143=""),"",IF(G143=0,"",AC143/G143))</f>
        <v>0</v>
      </c>
      <c r="AE143" s="30">
        <f>IF(OR(A143="",G143=""),"",IF(G143=0,"",SUMIFS('Recipe Ingredients'!$Q$5:$Q$1204,'Recipe Ingredients'!$B$5:$B$1204,A143)/G143))</f>
        <v>0</v>
      </c>
      <c r="AF143" s="45">
        <f>IF(OR(A143="",G143=""),"",IF(G143=0,"",SUMIFS('Recipe Ingredients'!$R$5:$R$1204,'Recipe Ingredients'!$B$5:$B$1204,A143)/G143))</f>
        <v>0</v>
      </c>
      <c r="AG143" s="45">
        <f>IF(OR(A143="",G143=""),"",IF(G143=0,"",SUMIFS('Recipe Ingredients'!$S$5:$S$1204,'Recipe Ingredients'!$B$5:$B$1204,A143)/G143))</f>
        <v>0</v>
      </c>
      <c r="AH143" s="45">
        <f>IF(OR(A143="",G143=""),"",IF(G143=0,"",SUMIFS('Recipe Ingredients'!$T$5:$T$1204,'Recipe Ingredients'!$B$5:$B$1204,A143)/G143))</f>
        <v>0</v>
      </c>
      <c r="AI143" s="45">
        <f>IF(OR(A143="",G143=""),"",IF(G143=0,"",SUMIFS('Recipe Ingredients'!$U$5:$U$1204,'Recipe Ingredients'!$B$5:$B$1204,A143)/G143))</f>
        <v>0</v>
      </c>
      <c r="AJ143" s="17">
        <f>IF(A143="","",IF(COUNTIFS('Recipe Ingredients'!$B$5:$B$1204,A143,'Recipe Ingredients'!$V$5:$V$1204,"&lt;&gt;",'Recipe Ingredients'!$V$5:$V$1204,"&lt;&gt;None")=0,"None listed",COUNTIFS('Recipe Ingredients'!$B$5:$B$1204,A143,'Recipe Ingredients'!$V$5:$V$1204,"&lt;&gt;",'Recipe Ingredients'!$V$5:$V$1204,"&lt;&gt;None")&amp;" ingredient(s) flagged"))</f>
        <v>0</v>
      </c>
      <c r="AK143" s="18">
        <f>IF(OR(AD143="",NOT(ISNUMBER(AD143))),"",COUNTIFS($AD$5:$AD$204,"&lt;"&amp;AD143)+COUNTIFS($AD$5:AD143,AD143))</f>
        <v>0</v>
      </c>
      <c r="AL143" s="18">
        <f>IF(B143="",0,IF(AND(OR(FilterDiet="Any",T143=FilterDiet),OR(FilterCategory="Any",C143=FilterCategory),OR(FilterMethod="Any",L143=FilterMethod),OR(FilterTime=0,AND(J143&lt;&gt;"",J143&lt;=FilterTime)),OR(FilterCost=0,AND(AD143&lt;&gt;"",ISNUMBER(AD143),AD143&lt;=FilterCost)),OR(FilterAllergen="Any",COUNTIFS('Recipe Ingredients'!$B$5:$B$1204,A143,'Recipe Ingredients'!$V$5:$V$1204,FilterAllergen)=0)),1,0))</f>
        <v>0</v>
      </c>
      <c r="AM143" s="18">
        <f>IF(AL143=0,"",SUM($AL$5:AL143))</f>
        <v>0</v>
      </c>
      <c r="AN143" s="18">
        <f>IF(B143="","",COUNTIFS($AZ$5:$AZ$204,"&gt;"&amp;AZ143)+COUNTIFS($AZ$5:AZ143,AZ143))</f>
        <v>0</v>
      </c>
      <c r="AO143" s="18">
        <f>IF(B143="","",COUNTIFS($AE$5:$AE$204,"&gt;"&amp;AE143)+COUNTIFS($AE$5:AE143,AE143))</f>
        <v>0</v>
      </c>
      <c r="AP143" s="18">
        <f>IF(B143="","",COUNTIFS($AF$5:$AF$204,"&gt;"&amp;AF143)+COUNTIFS($AF$5:AF143,AF143))</f>
        <v>0</v>
      </c>
      <c r="AQ143" s="18">
        <f>IF(B143="","",COUNTIFS($AI$5:$AI$204,"&gt;"&amp;AI143)+COUNTIFS($AI$5:AI143,AI143))</f>
        <v>0</v>
      </c>
      <c r="AR143" s="18">
        <f>IF(B143="","",COUNTIFS($AS$5:$AS$204,"&gt;"&amp;AS143)+COUNTIFS($AS$5:AS143,AS143))</f>
        <v>0</v>
      </c>
      <c r="AS143" s="45">
        <f>IF(B143="","",IF(BB143="",99999,BC143))</f>
        <v>0</v>
      </c>
      <c r="AT143" s="45">
        <f>IF(A143="",0,SUMIFS('Meal Plan'!$L$5:$L$504,'Meal Plan'!$G$5:$G$504,A143,'Meal Plan'!$B$5:$B$504,"&gt;="&amp;ShopFrom,'Meal Plan'!$B$5:$B$504,"&lt;="&amp;ShopTo,'Meal Plan'!$M$5:$M$504,"Yes"))</f>
        <v>0</v>
      </c>
      <c r="AU143" s="25">
        <f>IF(OR(A143="",AC143=""),"",AC143*AT143)</f>
        <v>0</v>
      </c>
      <c r="AV143" s="18">
        <f>IF(A143="","",COUNTIFS('Recipe Ingredients'!$B$5:$B$1204,A143,'Recipe Ingredients'!$N$5:$N$1204,""))</f>
        <v>0</v>
      </c>
      <c r="AZ143" s="18">
        <f>IF(A143="","",COUNTIFS('Meal Plan'!$G$5:$G$504,A143))</f>
        <v>0</v>
      </c>
      <c r="BA143" s="18">
        <f>IF(A143="","",COUNTIFS('Meal Plan'!$G$5:$G$504,A143,'Meal Plan'!$N$5:$N$504,"Prepared")+COUNTIFS('Meal Plan'!$G$5:$G$504,A143,'Meal Plan'!$N$5:$N$504,"Eaten"))</f>
        <v>0</v>
      </c>
      <c r="BB143" s="19">
        <f>IF(A143="","",IF(COUNTIFS('Meal Plan'!$G$5:$G$504,A143,'Meal Plan'!$B$5:$B$504,"&lt;="&amp;TODAY())=0,"",SUMPRODUCT(MAX(('Meal Plan'!$G$5:$G$504=A143)*('Meal Plan'!$B$5:$B$504&lt;=TODAY())*'Meal Plan'!$B$5:$B$504))))</f>
        <v>0</v>
      </c>
      <c r="BC143" s="18">
        <f>IF(BB143="","",TODAY()-BB143)</f>
        <v>0</v>
      </c>
      <c r="BF143" s="31">
        <f>IF(B143="","",IF(G143="","Add - how many does it serve?",IF(AB143=0,"Add - no ingredients listed yet",IF(AV143&gt;0,"Check - "&amp;AV143&amp;" ingredient(s) have no price",IF(AND(BC143&lt;&gt;"",BC143&lt;RotationGapDays),"Cooked recently","OK")))))</f>
        <v>0</v>
      </c>
    </row>
    <row r="144" spans="1:58">
      <c r="A144" s="39">
        <f>IF(B144="","",RecipePrefix&amp;TEXT(ROW()-4,"0000"))</f>
        <v>0</v>
      </c>
      <c r="J144" s="18">
        <f>IF(B144="","",IF(AND(H144="",I144=""),"",IF(H144="",0,H144)+IF(I144="",0,I144)))</f>
        <v>0</v>
      </c>
      <c r="K144" s="46">
        <f>IF(J144="","",IF(J144&lt;=30,"Yes","No"))</f>
        <v>0</v>
      </c>
      <c r="AB144" s="18">
        <f>IF(A144="","",COUNTIFS('Recipe Ingredients'!$B$5:$B$1204,A144))</f>
        <v>0</v>
      </c>
      <c r="AC144" s="25">
        <f>IF(A144="","",SUMIFS('Recipe Ingredients'!$N$5:$N$1204,'Recipe Ingredients'!$B$5:$B$1204,A144))</f>
        <v>0</v>
      </c>
      <c r="AD144" s="25">
        <f>IF(OR(AC144="",G144=""),"",IF(G144=0,"",AC144/G144))</f>
        <v>0</v>
      </c>
      <c r="AE144" s="30">
        <f>IF(OR(A144="",G144=""),"",IF(G144=0,"",SUMIFS('Recipe Ingredients'!$Q$5:$Q$1204,'Recipe Ingredients'!$B$5:$B$1204,A144)/G144))</f>
        <v>0</v>
      </c>
      <c r="AF144" s="45">
        <f>IF(OR(A144="",G144=""),"",IF(G144=0,"",SUMIFS('Recipe Ingredients'!$R$5:$R$1204,'Recipe Ingredients'!$B$5:$B$1204,A144)/G144))</f>
        <v>0</v>
      </c>
      <c r="AG144" s="45">
        <f>IF(OR(A144="",G144=""),"",IF(G144=0,"",SUMIFS('Recipe Ingredients'!$S$5:$S$1204,'Recipe Ingredients'!$B$5:$B$1204,A144)/G144))</f>
        <v>0</v>
      </c>
      <c r="AH144" s="45">
        <f>IF(OR(A144="",G144=""),"",IF(G144=0,"",SUMIFS('Recipe Ingredients'!$T$5:$T$1204,'Recipe Ingredients'!$B$5:$B$1204,A144)/G144))</f>
        <v>0</v>
      </c>
      <c r="AI144" s="45">
        <f>IF(OR(A144="",G144=""),"",IF(G144=0,"",SUMIFS('Recipe Ingredients'!$U$5:$U$1204,'Recipe Ingredients'!$B$5:$B$1204,A144)/G144))</f>
        <v>0</v>
      </c>
      <c r="AJ144" s="17">
        <f>IF(A144="","",IF(COUNTIFS('Recipe Ingredients'!$B$5:$B$1204,A144,'Recipe Ingredients'!$V$5:$V$1204,"&lt;&gt;",'Recipe Ingredients'!$V$5:$V$1204,"&lt;&gt;None")=0,"None listed",COUNTIFS('Recipe Ingredients'!$B$5:$B$1204,A144,'Recipe Ingredients'!$V$5:$V$1204,"&lt;&gt;",'Recipe Ingredients'!$V$5:$V$1204,"&lt;&gt;None")&amp;" ingredient(s) flagged"))</f>
        <v>0</v>
      </c>
      <c r="AK144" s="18">
        <f>IF(OR(AD144="",NOT(ISNUMBER(AD144))),"",COUNTIFS($AD$5:$AD$204,"&lt;"&amp;AD144)+COUNTIFS($AD$5:AD144,AD144))</f>
        <v>0</v>
      </c>
      <c r="AL144" s="18">
        <f>IF(B144="",0,IF(AND(OR(FilterDiet="Any",T144=FilterDiet),OR(FilterCategory="Any",C144=FilterCategory),OR(FilterMethod="Any",L144=FilterMethod),OR(FilterTime=0,AND(J144&lt;&gt;"",J144&lt;=FilterTime)),OR(FilterCost=0,AND(AD144&lt;&gt;"",ISNUMBER(AD144),AD144&lt;=FilterCost)),OR(FilterAllergen="Any",COUNTIFS('Recipe Ingredients'!$B$5:$B$1204,A144,'Recipe Ingredients'!$V$5:$V$1204,FilterAllergen)=0)),1,0))</f>
        <v>0</v>
      </c>
      <c r="AM144" s="18">
        <f>IF(AL144=0,"",SUM($AL$5:AL144))</f>
        <v>0</v>
      </c>
      <c r="AN144" s="18">
        <f>IF(B144="","",COUNTIFS($AZ$5:$AZ$204,"&gt;"&amp;AZ144)+COUNTIFS($AZ$5:AZ144,AZ144))</f>
        <v>0</v>
      </c>
      <c r="AO144" s="18">
        <f>IF(B144="","",COUNTIFS($AE$5:$AE$204,"&gt;"&amp;AE144)+COUNTIFS($AE$5:AE144,AE144))</f>
        <v>0</v>
      </c>
      <c r="AP144" s="18">
        <f>IF(B144="","",COUNTIFS($AF$5:$AF$204,"&gt;"&amp;AF144)+COUNTIFS($AF$5:AF144,AF144))</f>
        <v>0</v>
      </c>
      <c r="AQ144" s="18">
        <f>IF(B144="","",COUNTIFS($AI$5:$AI$204,"&gt;"&amp;AI144)+COUNTIFS($AI$5:AI144,AI144))</f>
        <v>0</v>
      </c>
      <c r="AR144" s="18">
        <f>IF(B144="","",COUNTIFS($AS$5:$AS$204,"&gt;"&amp;AS144)+COUNTIFS($AS$5:AS144,AS144))</f>
        <v>0</v>
      </c>
      <c r="AS144" s="45">
        <f>IF(B144="","",IF(BB144="",99999,BC144))</f>
        <v>0</v>
      </c>
      <c r="AT144" s="45">
        <f>IF(A144="",0,SUMIFS('Meal Plan'!$L$5:$L$504,'Meal Plan'!$G$5:$G$504,A144,'Meal Plan'!$B$5:$B$504,"&gt;="&amp;ShopFrom,'Meal Plan'!$B$5:$B$504,"&lt;="&amp;ShopTo,'Meal Plan'!$M$5:$M$504,"Yes"))</f>
        <v>0</v>
      </c>
      <c r="AU144" s="25">
        <f>IF(OR(A144="",AC144=""),"",AC144*AT144)</f>
        <v>0</v>
      </c>
      <c r="AV144" s="18">
        <f>IF(A144="","",COUNTIFS('Recipe Ingredients'!$B$5:$B$1204,A144,'Recipe Ingredients'!$N$5:$N$1204,""))</f>
        <v>0</v>
      </c>
      <c r="AZ144" s="18">
        <f>IF(A144="","",COUNTIFS('Meal Plan'!$G$5:$G$504,A144))</f>
        <v>0</v>
      </c>
      <c r="BA144" s="18">
        <f>IF(A144="","",COUNTIFS('Meal Plan'!$G$5:$G$504,A144,'Meal Plan'!$N$5:$N$504,"Prepared")+COUNTIFS('Meal Plan'!$G$5:$G$504,A144,'Meal Plan'!$N$5:$N$504,"Eaten"))</f>
        <v>0</v>
      </c>
      <c r="BB144" s="19">
        <f>IF(A144="","",IF(COUNTIFS('Meal Plan'!$G$5:$G$504,A144,'Meal Plan'!$B$5:$B$504,"&lt;="&amp;TODAY())=0,"",SUMPRODUCT(MAX(('Meal Plan'!$G$5:$G$504=A144)*('Meal Plan'!$B$5:$B$504&lt;=TODAY())*'Meal Plan'!$B$5:$B$504))))</f>
        <v>0</v>
      </c>
      <c r="BC144" s="18">
        <f>IF(BB144="","",TODAY()-BB144)</f>
        <v>0</v>
      </c>
      <c r="BF144" s="31">
        <f>IF(B144="","",IF(G144="","Add - how many does it serve?",IF(AB144=0,"Add - no ingredients listed yet",IF(AV144&gt;0,"Check - "&amp;AV144&amp;" ingredient(s) have no price",IF(AND(BC144&lt;&gt;"",BC144&lt;RotationGapDays),"Cooked recently","OK")))))</f>
        <v>0</v>
      </c>
    </row>
    <row r="145" spans="1:58">
      <c r="A145" s="39">
        <f>IF(B145="","",RecipePrefix&amp;TEXT(ROW()-4,"0000"))</f>
        <v>0</v>
      </c>
      <c r="J145" s="18">
        <f>IF(B145="","",IF(AND(H145="",I145=""),"",IF(H145="",0,H145)+IF(I145="",0,I145)))</f>
        <v>0</v>
      </c>
      <c r="K145" s="46">
        <f>IF(J145="","",IF(J145&lt;=30,"Yes","No"))</f>
        <v>0</v>
      </c>
      <c r="AB145" s="18">
        <f>IF(A145="","",COUNTIFS('Recipe Ingredients'!$B$5:$B$1204,A145))</f>
        <v>0</v>
      </c>
      <c r="AC145" s="25">
        <f>IF(A145="","",SUMIFS('Recipe Ingredients'!$N$5:$N$1204,'Recipe Ingredients'!$B$5:$B$1204,A145))</f>
        <v>0</v>
      </c>
      <c r="AD145" s="25">
        <f>IF(OR(AC145="",G145=""),"",IF(G145=0,"",AC145/G145))</f>
        <v>0</v>
      </c>
      <c r="AE145" s="30">
        <f>IF(OR(A145="",G145=""),"",IF(G145=0,"",SUMIFS('Recipe Ingredients'!$Q$5:$Q$1204,'Recipe Ingredients'!$B$5:$B$1204,A145)/G145))</f>
        <v>0</v>
      </c>
      <c r="AF145" s="45">
        <f>IF(OR(A145="",G145=""),"",IF(G145=0,"",SUMIFS('Recipe Ingredients'!$R$5:$R$1204,'Recipe Ingredients'!$B$5:$B$1204,A145)/G145))</f>
        <v>0</v>
      </c>
      <c r="AG145" s="45">
        <f>IF(OR(A145="",G145=""),"",IF(G145=0,"",SUMIFS('Recipe Ingredients'!$S$5:$S$1204,'Recipe Ingredients'!$B$5:$B$1204,A145)/G145))</f>
        <v>0</v>
      </c>
      <c r="AH145" s="45">
        <f>IF(OR(A145="",G145=""),"",IF(G145=0,"",SUMIFS('Recipe Ingredients'!$T$5:$T$1204,'Recipe Ingredients'!$B$5:$B$1204,A145)/G145))</f>
        <v>0</v>
      </c>
      <c r="AI145" s="45">
        <f>IF(OR(A145="",G145=""),"",IF(G145=0,"",SUMIFS('Recipe Ingredients'!$U$5:$U$1204,'Recipe Ingredients'!$B$5:$B$1204,A145)/G145))</f>
        <v>0</v>
      </c>
      <c r="AJ145" s="17">
        <f>IF(A145="","",IF(COUNTIFS('Recipe Ingredients'!$B$5:$B$1204,A145,'Recipe Ingredients'!$V$5:$V$1204,"&lt;&gt;",'Recipe Ingredients'!$V$5:$V$1204,"&lt;&gt;None")=0,"None listed",COUNTIFS('Recipe Ingredients'!$B$5:$B$1204,A145,'Recipe Ingredients'!$V$5:$V$1204,"&lt;&gt;",'Recipe Ingredients'!$V$5:$V$1204,"&lt;&gt;None")&amp;" ingredient(s) flagged"))</f>
        <v>0</v>
      </c>
      <c r="AK145" s="18">
        <f>IF(OR(AD145="",NOT(ISNUMBER(AD145))),"",COUNTIFS($AD$5:$AD$204,"&lt;"&amp;AD145)+COUNTIFS($AD$5:AD145,AD145))</f>
        <v>0</v>
      </c>
      <c r="AL145" s="18">
        <f>IF(B145="",0,IF(AND(OR(FilterDiet="Any",T145=FilterDiet),OR(FilterCategory="Any",C145=FilterCategory),OR(FilterMethod="Any",L145=FilterMethod),OR(FilterTime=0,AND(J145&lt;&gt;"",J145&lt;=FilterTime)),OR(FilterCost=0,AND(AD145&lt;&gt;"",ISNUMBER(AD145),AD145&lt;=FilterCost)),OR(FilterAllergen="Any",COUNTIFS('Recipe Ingredients'!$B$5:$B$1204,A145,'Recipe Ingredients'!$V$5:$V$1204,FilterAllergen)=0)),1,0))</f>
        <v>0</v>
      </c>
      <c r="AM145" s="18">
        <f>IF(AL145=0,"",SUM($AL$5:AL145))</f>
        <v>0</v>
      </c>
      <c r="AN145" s="18">
        <f>IF(B145="","",COUNTIFS($AZ$5:$AZ$204,"&gt;"&amp;AZ145)+COUNTIFS($AZ$5:AZ145,AZ145))</f>
        <v>0</v>
      </c>
      <c r="AO145" s="18">
        <f>IF(B145="","",COUNTIFS($AE$5:$AE$204,"&gt;"&amp;AE145)+COUNTIFS($AE$5:AE145,AE145))</f>
        <v>0</v>
      </c>
      <c r="AP145" s="18">
        <f>IF(B145="","",COUNTIFS($AF$5:$AF$204,"&gt;"&amp;AF145)+COUNTIFS($AF$5:AF145,AF145))</f>
        <v>0</v>
      </c>
      <c r="AQ145" s="18">
        <f>IF(B145="","",COUNTIFS($AI$5:$AI$204,"&gt;"&amp;AI145)+COUNTIFS($AI$5:AI145,AI145))</f>
        <v>0</v>
      </c>
      <c r="AR145" s="18">
        <f>IF(B145="","",COUNTIFS($AS$5:$AS$204,"&gt;"&amp;AS145)+COUNTIFS($AS$5:AS145,AS145))</f>
        <v>0</v>
      </c>
      <c r="AS145" s="45">
        <f>IF(B145="","",IF(BB145="",99999,BC145))</f>
        <v>0</v>
      </c>
      <c r="AT145" s="45">
        <f>IF(A145="",0,SUMIFS('Meal Plan'!$L$5:$L$504,'Meal Plan'!$G$5:$G$504,A145,'Meal Plan'!$B$5:$B$504,"&gt;="&amp;ShopFrom,'Meal Plan'!$B$5:$B$504,"&lt;="&amp;ShopTo,'Meal Plan'!$M$5:$M$504,"Yes"))</f>
        <v>0</v>
      </c>
      <c r="AU145" s="25">
        <f>IF(OR(A145="",AC145=""),"",AC145*AT145)</f>
        <v>0</v>
      </c>
      <c r="AV145" s="18">
        <f>IF(A145="","",COUNTIFS('Recipe Ingredients'!$B$5:$B$1204,A145,'Recipe Ingredients'!$N$5:$N$1204,""))</f>
        <v>0</v>
      </c>
      <c r="AZ145" s="18">
        <f>IF(A145="","",COUNTIFS('Meal Plan'!$G$5:$G$504,A145))</f>
        <v>0</v>
      </c>
      <c r="BA145" s="18">
        <f>IF(A145="","",COUNTIFS('Meal Plan'!$G$5:$G$504,A145,'Meal Plan'!$N$5:$N$504,"Prepared")+COUNTIFS('Meal Plan'!$G$5:$G$504,A145,'Meal Plan'!$N$5:$N$504,"Eaten"))</f>
        <v>0</v>
      </c>
      <c r="BB145" s="19">
        <f>IF(A145="","",IF(COUNTIFS('Meal Plan'!$G$5:$G$504,A145,'Meal Plan'!$B$5:$B$504,"&lt;="&amp;TODAY())=0,"",SUMPRODUCT(MAX(('Meal Plan'!$G$5:$G$504=A145)*('Meal Plan'!$B$5:$B$504&lt;=TODAY())*'Meal Plan'!$B$5:$B$504))))</f>
        <v>0</v>
      </c>
      <c r="BC145" s="18">
        <f>IF(BB145="","",TODAY()-BB145)</f>
        <v>0</v>
      </c>
      <c r="BF145" s="31">
        <f>IF(B145="","",IF(G145="","Add - how many does it serve?",IF(AB145=0,"Add - no ingredients listed yet",IF(AV145&gt;0,"Check - "&amp;AV145&amp;" ingredient(s) have no price",IF(AND(BC145&lt;&gt;"",BC145&lt;RotationGapDays),"Cooked recently","OK")))))</f>
        <v>0</v>
      </c>
    </row>
    <row r="146" spans="1:58">
      <c r="A146" s="39">
        <f>IF(B146="","",RecipePrefix&amp;TEXT(ROW()-4,"0000"))</f>
        <v>0</v>
      </c>
      <c r="J146" s="18">
        <f>IF(B146="","",IF(AND(H146="",I146=""),"",IF(H146="",0,H146)+IF(I146="",0,I146)))</f>
        <v>0</v>
      </c>
      <c r="K146" s="46">
        <f>IF(J146="","",IF(J146&lt;=30,"Yes","No"))</f>
        <v>0</v>
      </c>
      <c r="AB146" s="18">
        <f>IF(A146="","",COUNTIFS('Recipe Ingredients'!$B$5:$B$1204,A146))</f>
        <v>0</v>
      </c>
      <c r="AC146" s="25">
        <f>IF(A146="","",SUMIFS('Recipe Ingredients'!$N$5:$N$1204,'Recipe Ingredients'!$B$5:$B$1204,A146))</f>
        <v>0</v>
      </c>
      <c r="AD146" s="25">
        <f>IF(OR(AC146="",G146=""),"",IF(G146=0,"",AC146/G146))</f>
        <v>0</v>
      </c>
      <c r="AE146" s="30">
        <f>IF(OR(A146="",G146=""),"",IF(G146=0,"",SUMIFS('Recipe Ingredients'!$Q$5:$Q$1204,'Recipe Ingredients'!$B$5:$B$1204,A146)/G146))</f>
        <v>0</v>
      </c>
      <c r="AF146" s="45">
        <f>IF(OR(A146="",G146=""),"",IF(G146=0,"",SUMIFS('Recipe Ingredients'!$R$5:$R$1204,'Recipe Ingredients'!$B$5:$B$1204,A146)/G146))</f>
        <v>0</v>
      </c>
      <c r="AG146" s="45">
        <f>IF(OR(A146="",G146=""),"",IF(G146=0,"",SUMIFS('Recipe Ingredients'!$S$5:$S$1204,'Recipe Ingredients'!$B$5:$B$1204,A146)/G146))</f>
        <v>0</v>
      </c>
      <c r="AH146" s="45">
        <f>IF(OR(A146="",G146=""),"",IF(G146=0,"",SUMIFS('Recipe Ingredients'!$T$5:$T$1204,'Recipe Ingredients'!$B$5:$B$1204,A146)/G146))</f>
        <v>0</v>
      </c>
      <c r="AI146" s="45">
        <f>IF(OR(A146="",G146=""),"",IF(G146=0,"",SUMIFS('Recipe Ingredients'!$U$5:$U$1204,'Recipe Ingredients'!$B$5:$B$1204,A146)/G146))</f>
        <v>0</v>
      </c>
      <c r="AJ146" s="17">
        <f>IF(A146="","",IF(COUNTIFS('Recipe Ingredients'!$B$5:$B$1204,A146,'Recipe Ingredients'!$V$5:$V$1204,"&lt;&gt;",'Recipe Ingredients'!$V$5:$V$1204,"&lt;&gt;None")=0,"None listed",COUNTIFS('Recipe Ingredients'!$B$5:$B$1204,A146,'Recipe Ingredients'!$V$5:$V$1204,"&lt;&gt;",'Recipe Ingredients'!$V$5:$V$1204,"&lt;&gt;None")&amp;" ingredient(s) flagged"))</f>
        <v>0</v>
      </c>
      <c r="AK146" s="18">
        <f>IF(OR(AD146="",NOT(ISNUMBER(AD146))),"",COUNTIFS($AD$5:$AD$204,"&lt;"&amp;AD146)+COUNTIFS($AD$5:AD146,AD146))</f>
        <v>0</v>
      </c>
      <c r="AL146" s="18">
        <f>IF(B146="",0,IF(AND(OR(FilterDiet="Any",T146=FilterDiet),OR(FilterCategory="Any",C146=FilterCategory),OR(FilterMethod="Any",L146=FilterMethod),OR(FilterTime=0,AND(J146&lt;&gt;"",J146&lt;=FilterTime)),OR(FilterCost=0,AND(AD146&lt;&gt;"",ISNUMBER(AD146),AD146&lt;=FilterCost)),OR(FilterAllergen="Any",COUNTIFS('Recipe Ingredients'!$B$5:$B$1204,A146,'Recipe Ingredients'!$V$5:$V$1204,FilterAllergen)=0)),1,0))</f>
        <v>0</v>
      </c>
      <c r="AM146" s="18">
        <f>IF(AL146=0,"",SUM($AL$5:AL146))</f>
        <v>0</v>
      </c>
      <c r="AN146" s="18">
        <f>IF(B146="","",COUNTIFS($AZ$5:$AZ$204,"&gt;"&amp;AZ146)+COUNTIFS($AZ$5:AZ146,AZ146))</f>
        <v>0</v>
      </c>
      <c r="AO146" s="18">
        <f>IF(B146="","",COUNTIFS($AE$5:$AE$204,"&gt;"&amp;AE146)+COUNTIFS($AE$5:AE146,AE146))</f>
        <v>0</v>
      </c>
      <c r="AP146" s="18">
        <f>IF(B146="","",COUNTIFS($AF$5:$AF$204,"&gt;"&amp;AF146)+COUNTIFS($AF$5:AF146,AF146))</f>
        <v>0</v>
      </c>
      <c r="AQ146" s="18">
        <f>IF(B146="","",COUNTIFS($AI$5:$AI$204,"&gt;"&amp;AI146)+COUNTIFS($AI$5:AI146,AI146))</f>
        <v>0</v>
      </c>
      <c r="AR146" s="18">
        <f>IF(B146="","",COUNTIFS($AS$5:$AS$204,"&gt;"&amp;AS146)+COUNTIFS($AS$5:AS146,AS146))</f>
        <v>0</v>
      </c>
      <c r="AS146" s="45">
        <f>IF(B146="","",IF(BB146="",99999,BC146))</f>
        <v>0</v>
      </c>
      <c r="AT146" s="45">
        <f>IF(A146="",0,SUMIFS('Meal Plan'!$L$5:$L$504,'Meal Plan'!$G$5:$G$504,A146,'Meal Plan'!$B$5:$B$504,"&gt;="&amp;ShopFrom,'Meal Plan'!$B$5:$B$504,"&lt;="&amp;ShopTo,'Meal Plan'!$M$5:$M$504,"Yes"))</f>
        <v>0</v>
      </c>
      <c r="AU146" s="25">
        <f>IF(OR(A146="",AC146=""),"",AC146*AT146)</f>
        <v>0</v>
      </c>
      <c r="AV146" s="18">
        <f>IF(A146="","",COUNTIFS('Recipe Ingredients'!$B$5:$B$1204,A146,'Recipe Ingredients'!$N$5:$N$1204,""))</f>
        <v>0</v>
      </c>
      <c r="AZ146" s="18">
        <f>IF(A146="","",COUNTIFS('Meal Plan'!$G$5:$G$504,A146))</f>
        <v>0</v>
      </c>
      <c r="BA146" s="18">
        <f>IF(A146="","",COUNTIFS('Meal Plan'!$G$5:$G$504,A146,'Meal Plan'!$N$5:$N$504,"Prepared")+COUNTIFS('Meal Plan'!$G$5:$G$504,A146,'Meal Plan'!$N$5:$N$504,"Eaten"))</f>
        <v>0</v>
      </c>
      <c r="BB146" s="19">
        <f>IF(A146="","",IF(COUNTIFS('Meal Plan'!$G$5:$G$504,A146,'Meal Plan'!$B$5:$B$504,"&lt;="&amp;TODAY())=0,"",SUMPRODUCT(MAX(('Meal Plan'!$G$5:$G$504=A146)*('Meal Plan'!$B$5:$B$504&lt;=TODAY())*'Meal Plan'!$B$5:$B$504))))</f>
        <v>0</v>
      </c>
      <c r="BC146" s="18">
        <f>IF(BB146="","",TODAY()-BB146)</f>
        <v>0</v>
      </c>
      <c r="BF146" s="31">
        <f>IF(B146="","",IF(G146="","Add - how many does it serve?",IF(AB146=0,"Add - no ingredients listed yet",IF(AV146&gt;0,"Check - "&amp;AV146&amp;" ingredient(s) have no price",IF(AND(BC146&lt;&gt;"",BC146&lt;RotationGapDays),"Cooked recently","OK")))))</f>
        <v>0</v>
      </c>
    </row>
    <row r="147" spans="1:58">
      <c r="A147" s="39">
        <f>IF(B147="","",RecipePrefix&amp;TEXT(ROW()-4,"0000"))</f>
        <v>0</v>
      </c>
      <c r="J147" s="18">
        <f>IF(B147="","",IF(AND(H147="",I147=""),"",IF(H147="",0,H147)+IF(I147="",0,I147)))</f>
        <v>0</v>
      </c>
      <c r="K147" s="46">
        <f>IF(J147="","",IF(J147&lt;=30,"Yes","No"))</f>
        <v>0</v>
      </c>
      <c r="AB147" s="18">
        <f>IF(A147="","",COUNTIFS('Recipe Ingredients'!$B$5:$B$1204,A147))</f>
        <v>0</v>
      </c>
      <c r="AC147" s="25">
        <f>IF(A147="","",SUMIFS('Recipe Ingredients'!$N$5:$N$1204,'Recipe Ingredients'!$B$5:$B$1204,A147))</f>
        <v>0</v>
      </c>
      <c r="AD147" s="25">
        <f>IF(OR(AC147="",G147=""),"",IF(G147=0,"",AC147/G147))</f>
        <v>0</v>
      </c>
      <c r="AE147" s="30">
        <f>IF(OR(A147="",G147=""),"",IF(G147=0,"",SUMIFS('Recipe Ingredients'!$Q$5:$Q$1204,'Recipe Ingredients'!$B$5:$B$1204,A147)/G147))</f>
        <v>0</v>
      </c>
      <c r="AF147" s="45">
        <f>IF(OR(A147="",G147=""),"",IF(G147=0,"",SUMIFS('Recipe Ingredients'!$R$5:$R$1204,'Recipe Ingredients'!$B$5:$B$1204,A147)/G147))</f>
        <v>0</v>
      </c>
      <c r="AG147" s="45">
        <f>IF(OR(A147="",G147=""),"",IF(G147=0,"",SUMIFS('Recipe Ingredients'!$S$5:$S$1204,'Recipe Ingredients'!$B$5:$B$1204,A147)/G147))</f>
        <v>0</v>
      </c>
      <c r="AH147" s="45">
        <f>IF(OR(A147="",G147=""),"",IF(G147=0,"",SUMIFS('Recipe Ingredients'!$T$5:$T$1204,'Recipe Ingredients'!$B$5:$B$1204,A147)/G147))</f>
        <v>0</v>
      </c>
      <c r="AI147" s="45">
        <f>IF(OR(A147="",G147=""),"",IF(G147=0,"",SUMIFS('Recipe Ingredients'!$U$5:$U$1204,'Recipe Ingredients'!$B$5:$B$1204,A147)/G147))</f>
        <v>0</v>
      </c>
      <c r="AJ147" s="17">
        <f>IF(A147="","",IF(COUNTIFS('Recipe Ingredients'!$B$5:$B$1204,A147,'Recipe Ingredients'!$V$5:$V$1204,"&lt;&gt;",'Recipe Ingredients'!$V$5:$V$1204,"&lt;&gt;None")=0,"None listed",COUNTIFS('Recipe Ingredients'!$B$5:$B$1204,A147,'Recipe Ingredients'!$V$5:$V$1204,"&lt;&gt;",'Recipe Ingredients'!$V$5:$V$1204,"&lt;&gt;None")&amp;" ingredient(s) flagged"))</f>
        <v>0</v>
      </c>
      <c r="AK147" s="18">
        <f>IF(OR(AD147="",NOT(ISNUMBER(AD147))),"",COUNTIFS($AD$5:$AD$204,"&lt;"&amp;AD147)+COUNTIFS($AD$5:AD147,AD147))</f>
        <v>0</v>
      </c>
      <c r="AL147" s="18">
        <f>IF(B147="",0,IF(AND(OR(FilterDiet="Any",T147=FilterDiet),OR(FilterCategory="Any",C147=FilterCategory),OR(FilterMethod="Any",L147=FilterMethod),OR(FilterTime=0,AND(J147&lt;&gt;"",J147&lt;=FilterTime)),OR(FilterCost=0,AND(AD147&lt;&gt;"",ISNUMBER(AD147),AD147&lt;=FilterCost)),OR(FilterAllergen="Any",COUNTIFS('Recipe Ingredients'!$B$5:$B$1204,A147,'Recipe Ingredients'!$V$5:$V$1204,FilterAllergen)=0)),1,0))</f>
        <v>0</v>
      </c>
      <c r="AM147" s="18">
        <f>IF(AL147=0,"",SUM($AL$5:AL147))</f>
        <v>0</v>
      </c>
      <c r="AN147" s="18">
        <f>IF(B147="","",COUNTIFS($AZ$5:$AZ$204,"&gt;"&amp;AZ147)+COUNTIFS($AZ$5:AZ147,AZ147))</f>
        <v>0</v>
      </c>
      <c r="AO147" s="18">
        <f>IF(B147="","",COUNTIFS($AE$5:$AE$204,"&gt;"&amp;AE147)+COUNTIFS($AE$5:AE147,AE147))</f>
        <v>0</v>
      </c>
      <c r="AP147" s="18">
        <f>IF(B147="","",COUNTIFS($AF$5:$AF$204,"&gt;"&amp;AF147)+COUNTIFS($AF$5:AF147,AF147))</f>
        <v>0</v>
      </c>
      <c r="AQ147" s="18">
        <f>IF(B147="","",COUNTIFS($AI$5:$AI$204,"&gt;"&amp;AI147)+COUNTIFS($AI$5:AI147,AI147))</f>
        <v>0</v>
      </c>
      <c r="AR147" s="18">
        <f>IF(B147="","",COUNTIFS($AS$5:$AS$204,"&gt;"&amp;AS147)+COUNTIFS($AS$5:AS147,AS147))</f>
        <v>0</v>
      </c>
      <c r="AS147" s="45">
        <f>IF(B147="","",IF(BB147="",99999,BC147))</f>
        <v>0</v>
      </c>
      <c r="AT147" s="45">
        <f>IF(A147="",0,SUMIFS('Meal Plan'!$L$5:$L$504,'Meal Plan'!$G$5:$G$504,A147,'Meal Plan'!$B$5:$B$504,"&gt;="&amp;ShopFrom,'Meal Plan'!$B$5:$B$504,"&lt;="&amp;ShopTo,'Meal Plan'!$M$5:$M$504,"Yes"))</f>
        <v>0</v>
      </c>
      <c r="AU147" s="25">
        <f>IF(OR(A147="",AC147=""),"",AC147*AT147)</f>
        <v>0</v>
      </c>
      <c r="AV147" s="18">
        <f>IF(A147="","",COUNTIFS('Recipe Ingredients'!$B$5:$B$1204,A147,'Recipe Ingredients'!$N$5:$N$1204,""))</f>
        <v>0</v>
      </c>
      <c r="AZ147" s="18">
        <f>IF(A147="","",COUNTIFS('Meal Plan'!$G$5:$G$504,A147))</f>
        <v>0</v>
      </c>
      <c r="BA147" s="18">
        <f>IF(A147="","",COUNTIFS('Meal Plan'!$G$5:$G$504,A147,'Meal Plan'!$N$5:$N$504,"Prepared")+COUNTIFS('Meal Plan'!$G$5:$G$504,A147,'Meal Plan'!$N$5:$N$504,"Eaten"))</f>
        <v>0</v>
      </c>
      <c r="BB147" s="19">
        <f>IF(A147="","",IF(COUNTIFS('Meal Plan'!$G$5:$G$504,A147,'Meal Plan'!$B$5:$B$504,"&lt;="&amp;TODAY())=0,"",SUMPRODUCT(MAX(('Meal Plan'!$G$5:$G$504=A147)*('Meal Plan'!$B$5:$B$504&lt;=TODAY())*'Meal Plan'!$B$5:$B$504))))</f>
        <v>0</v>
      </c>
      <c r="BC147" s="18">
        <f>IF(BB147="","",TODAY()-BB147)</f>
        <v>0</v>
      </c>
      <c r="BF147" s="31">
        <f>IF(B147="","",IF(G147="","Add - how many does it serve?",IF(AB147=0,"Add - no ingredients listed yet",IF(AV147&gt;0,"Check - "&amp;AV147&amp;" ingredient(s) have no price",IF(AND(BC147&lt;&gt;"",BC147&lt;RotationGapDays),"Cooked recently","OK")))))</f>
        <v>0</v>
      </c>
    </row>
    <row r="148" spans="1:58">
      <c r="A148" s="39">
        <f>IF(B148="","",RecipePrefix&amp;TEXT(ROW()-4,"0000"))</f>
        <v>0</v>
      </c>
      <c r="J148" s="18">
        <f>IF(B148="","",IF(AND(H148="",I148=""),"",IF(H148="",0,H148)+IF(I148="",0,I148)))</f>
        <v>0</v>
      </c>
      <c r="K148" s="46">
        <f>IF(J148="","",IF(J148&lt;=30,"Yes","No"))</f>
        <v>0</v>
      </c>
      <c r="AB148" s="18">
        <f>IF(A148="","",COUNTIFS('Recipe Ingredients'!$B$5:$B$1204,A148))</f>
        <v>0</v>
      </c>
      <c r="AC148" s="25">
        <f>IF(A148="","",SUMIFS('Recipe Ingredients'!$N$5:$N$1204,'Recipe Ingredients'!$B$5:$B$1204,A148))</f>
        <v>0</v>
      </c>
      <c r="AD148" s="25">
        <f>IF(OR(AC148="",G148=""),"",IF(G148=0,"",AC148/G148))</f>
        <v>0</v>
      </c>
      <c r="AE148" s="30">
        <f>IF(OR(A148="",G148=""),"",IF(G148=0,"",SUMIFS('Recipe Ingredients'!$Q$5:$Q$1204,'Recipe Ingredients'!$B$5:$B$1204,A148)/G148))</f>
        <v>0</v>
      </c>
      <c r="AF148" s="45">
        <f>IF(OR(A148="",G148=""),"",IF(G148=0,"",SUMIFS('Recipe Ingredients'!$R$5:$R$1204,'Recipe Ingredients'!$B$5:$B$1204,A148)/G148))</f>
        <v>0</v>
      </c>
      <c r="AG148" s="45">
        <f>IF(OR(A148="",G148=""),"",IF(G148=0,"",SUMIFS('Recipe Ingredients'!$S$5:$S$1204,'Recipe Ingredients'!$B$5:$B$1204,A148)/G148))</f>
        <v>0</v>
      </c>
      <c r="AH148" s="45">
        <f>IF(OR(A148="",G148=""),"",IF(G148=0,"",SUMIFS('Recipe Ingredients'!$T$5:$T$1204,'Recipe Ingredients'!$B$5:$B$1204,A148)/G148))</f>
        <v>0</v>
      </c>
      <c r="AI148" s="45">
        <f>IF(OR(A148="",G148=""),"",IF(G148=0,"",SUMIFS('Recipe Ingredients'!$U$5:$U$1204,'Recipe Ingredients'!$B$5:$B$1204,A148)/G148))</f>
        <v>0</v>
      </c>
      <c r="AJ148" s="17">
        <f>IF(A148="","",IF(COUNTIFS('Recipe Ingredients'!$B$5:$B$1204,A148,'Recipe Ingredients'!$V$5:$V$1204,"&lt;&gt;",'Recipe Ingredients'!$V$5:$V$1204,"&lt;&gt;None")=0,"None listed",COUNTIFS('Recipe Ingredients'!$B$5:$B$1204,A148,'Recipe Ingredients'!$V$5:$V$1204,"&lt;&gt;",'Recipe Ingredients'!$V$5:$V$1204,"&lt;&gt;None")&amp;" ingredient(s) flagged"))</f>
        <v>0</v>
      </c>
      <c r="AK148" s="18">
        <f>IF(OR(AD148="",NOT(ISNUMBER(AD148))),"",COUNTIFS($AD$5:$AD$204,"&lt;"&amp;AD148)+COUNTIFS($AD$5:AD148,AD148))</f>
        <v>0</v>
      </c>
      <c r="AL148" s="18">
        <f>IF(B148="",0,IF(AND(OR(FilterDiet="Any",T148=FilterDiet),OR(FilterCategory="Any",C148=FilterCategory),OR(FilterMethod="Any",L148=FilterMethod),OR(FilterTime=0,AND(J148&lt;&gt;"",J148&lt;=FilterTime)),OR(FilterCost=0,AND(AD148&lt;&gt;"",ISNUMBER(AD148),AD148&lt;=FilterCost)),OR(FilterAllergen="Any",COUNTIFS('Recipe Ingredients'!$B$5:$B$1204,A148,'Recipe Ingredients'!$V$5:$V$1204,FilterAllergen)=0)),1,0))</f>
        <v>0</v>
      </c>
      <c r="AM148" s="18">
        <f>IF(AL148=0,"",SUM($AL$5:AL148))</f>
        <v>0</v>
      </c>
      <c r="AN148" s="18">
        <f>IF(B148="","",COUNTIFS($AZ$5:$AZ$204,"&gt;"&amp;AZ148)+COUNTIFS($AZ$5:AZ148,AZ148))</f>
        <v>0</v>
      </c>
      <c r="AO148" s="18">
        <f>IF(B148="","",COUNTIFS($AE$5:$AE$204,"&gt;"&amp;AE148)+COUNTIFS($AE$5:AE148,AE148))</f>
        <v>0</v>
      </c>
      <c r="AP148" s="18">
        <f>IF(B148="","",COUNTIFS($AF$5:$AF$204,"&gt;"&amp;AF148)+COUNTIFS($AF$5:AF148,AF148))</f>
        <v>0</v>
      </c>
      <c r="AQ148" s="18">
        <f>IF(B148="","",COUNTIFS($AI$5:$AI$204,"&gt;"&amp;AI148)+COUNTIFS($AI$5:AI148,AI148))</f>
        <v>0</v>
      </c>
      <c r="AR148" s="18">
        <f>IF(B148="","",COUNTIFS($AS$5:$AS$204,"&gt;"&amp;AS148)+COUNTIFS($AS$5:AS148,AS148))</f>
        <v>0</v>
      </c>
      <c r="AS148" s="45">
        <f>IF(B148="","",IF(BB148="",99999,BC148))</f>
        <v>0</v>
      </c>
      <c r="AT148" s="45">
        <f>IF(A148="",0,SUMIFS('Meal Plan'!$L$5:$L$504,'Meal Plan'!$G$5:$G$504,A148,'Meal Plan'!$B$5:$B$504,"&gt;="&amp;ShopFrom,'Meal Plan'!$B$5:$B$504,"&lt;="&amp;ShopTo,'Meal Plan'!$M$5:$M$504,"Yes"))</f>
        <v>0</v>
      </c>
      <c r="AU148" s="25">
        <f>IF(OR(A148="",AC148=""),"",AC148*AT148)</f>
        <v>0</v>
      </c>
      <c r="AV148" s="18">
        <f>IF(A148="","",COUNTIFS('Recipe Ingredients'!$B$5:$B$1204,A148,'Recipe Ingredients'!$N$5:$N$1204,""))</f>
        <v>0</v>
      </c>
      <c r="AZ148" s="18">
        <f>IF(A148="","",COUNTIFS('Meal Plan'!$G$5:$G$504,A148))</f>
        <v>0</v>
      </c>
      <c r="BA148" s="18">
        <f>IF(A148="","",COUNTIFS('Meal Plan'!$G$5:$G$504,A148,'Meal Plan'!$N$5:$N$504,"Prepared")+COUNTIFS('Meal Plan'!$G$5:$G$504,A148,'Meal Plan'!$N$5:$N$504,"Eaten"))</f>
        <v>0</v>
      </c>
      <c r="BB148" s="19">
        <f>IF(A148="","",IF(COUNTIFS('Meal Plan'!$G$5:$G$504,A148,'Meal Plan'!$B$5:$B$504,"&lt;="&amp;TODAY())=0,"",SUMPRODUCT(MAX(('Meal Plan'!$G$5:$G$504=A148)*('Meal Plan'!$B$5:$B$504&lt;=TODAY())*'Meal Plan'!$B$5:$B$504))))</f>
        <v>0</v>
      </c>
      <c r="BC148" s="18">
        <f>IF(BB148="","",TODAY()-BB148)</f>
        <v>0</v>
      </c>
      <c r="BF148" s="31">
        <f>IF(B148="","",IF(G148="","Add - how many does it serve?",IF(AB148=0,"Add - no ingredients listed yet",IF(AV148&gt;0,"Check - "&amp;AV148&amp;" ingredient(s) have no price",IF(AND(BC148&lt;&gt;"",BC148&lt;RotationGapDays),"Cooked recently","OK")))))</f>
        <v>0</v>
      </c>
    </row>
    <row r="149" spans="1:58">
      <c r="A149" s="39">
        <f>IF(B149="","",RecipePrefix&amp;TEXT(ROW()-4,"0000"))</f>
        <v>0</v>
      </c>
      <c r="J149" s="18">
        <f>IF(B149="","",IF(AND(H149="",I149=""),"",IF(H149="",0,H149)+IF(I149="",0,I149)))</f>
        <v>0</v>
      </c>
      <c r="K149" s="46">
        <f>IF(J149="","",IF(J149&lt;=30,"Yes","No"))</f>
        <v>0</v>
      </c>
      <c r="AB149" s="18">
        <f>IF(A149="","",COUNTIFS('Recipe Ingredients'!$B$5:$B$1204,A149))</f>
        <v>0</v>
      </c>
      <c r="AC149" s="25">
        <f>IF(A149="","",SUMIFS('Recipe Ingredients'!$N$5:$N$1204,'Recipe Ingredients'!$B$5:$B$1204,A149))</f>
        <v>0</v>
      </c>
      <c r="AD149" s="25">
        <f>IF(OR(AC149="",G149=""),"",IF(G149=0,"",AC149/G149))</f>
        <v>0</v>
      </c>
      <c r="AE149" s="30">
        <f>IF(OR(A149="",G149=""),"",IF(G149=0,"",SUMIFS('Recipe Ingredients'!$Q$5:$Q$1204,'Recipe Ingredients'!$B$5:$B$1204,A149)/G149))</f>
        <v>0</v>
      </c>
      <c r="AF149" s="45">
        <f>IF(OR(A149="",G149=""),"",IF(G149=0,"",SUMIFS('Recipe Ingredients'!$R$5:$R$1204,'Recipe Ingredients'!$B$5:$B$1204,A149)/G149))</f>
        <v>0</v>
      </c>
      <c r="AG149" s="45">
        <f>IF(OR(A149="",G149=""),"",IF(G149=0,"",SUMIFS('Recipe Ingredients'!$S$5:$S$1204,'Recipe Ingredients'!$B$5:$B$1204,A149)/G149))</f>
        <v>0</v>
      </c>
      <c r="AH149" s="45">
        <f>IF(OR(A149="",G149=""),"",IF(G149=0,"",SUMIFS('Recipe Ingredients'!$T$5:$T$1204,'Recipe Ingredients'!$B$5:$B$1204,A149)/G149))</f>
        <v>0</v>
      </c>
      <c r="AI149" s="45">
        <f>IF(OR(A149="",G149=""),"",IF(G149=0,"",SUMIFS('Recipe Ingredients'!$U$5:$U$1204,'Recipe Ingredients'!$B$5:$B$1204,A149)/G149))</f>
        <v>0</v>
      </c>
      <c r="AJ149" s="17">
        <f>IF(A149="","",IF(COUNTIFS('Recipe Ingredients'!$B$5:$B$1204,A149,'Recipe Ingredients'!$V$5:$V$1204,"&lt;&gt;",'Recipe Ingredients'!$V$5:$V$1204,"&lt;&gt;None")=0,"None listed",COUNTIFS('Recipe Ingredients'!$B$5:$B$1204,A149,'Recipe Ingredients'!$V$5:$V$1204,"&lt;&gt;",'Recipe Ingredients'!$V$5:$V$1204,"&lt;&gt;None")&amp;" ingredient(s) flagged"))</f>
        <v>0</v>
      </c>
      <c r="AK149" s="18">
        <f>IF(OR(AD149="",NOT(ISNUMBER(AD149))),"",COUNTIFS($AD$5:$AD$204,"&lt;"&amp;AD149)+COUNTIFS($AD$5:AD149,AD149))</f>
        <v>0</v>
      </c>
      <c r="AL149" s="18">
        <f>IF(B149="",0,IF(AND(OR(FilterDiet="Any",T149=FilterDiet),OR(FilterCategory="Any",C149=FilterCategory),OR(FilterMethod="Any",L149=FilterMethod),OR(FilterTime=0,AND(J149&lt;&gt;"",J149&lt;=FilterTime)),OR(FilterCost=0,AND(AD149&lt;&gt;"",ISNUMBER(AD149),AD149&lt;=FilterCost)),OR(FilterAllergen="Any",COUNTIFS('Recipe Ingredients'!$B$5:$B$1204,A149,'Recipe Ingredients'!$V$5:$V$1204,FilterAllergen)=0)),1,0))</f>
        <v>0</v>
      </c>
      <c r="AM149" s="18">
        <f>IF(AL149=0,"",SUM($AL$5:AL149))</f>
        <v>0</v>
      </c>
      <c r="AN149" s="18">
        <f>IF(B149="","",COUNTIFS($AZ$5:$AZ$204,"&gt;"&amp;AZ149)+COUNTIFS($AZ$5:AZ149,AZ149))</f>
        <v>0</v>
      </c>
      <c r="AO149" s="18">
        <f>IF(B149="","",COUNTIFS($AE$5:$AE$204,"&gt;"&amp;AE149)+COUNTIFS($AE$5:AE149,AE149))</f>
        <v>0</v>
      </c>
      <c r="AP149" s="18">
        <f>IF(B149="","",COUNTIFS($AF$5:$AF$204,"&gt;"&amp;AF149)+COUNTIFS($AF$5:AF149,AF149))</f>
        <v>0</v>
      </c>
      <c r="AQ149" s="18">
        <f>IF(B149="","",COUNTIFS($AI$5:$AI$204,"&gt;"&amp;AI149)+COUNTIFS($AI$5:AI149,AI149))</f>
        <v>0</v>
      </c>
      <c r="AR149" s="18">
        <f>IF(B149="","",COUNTIFS($AS$5:$AS$204,"&gt;"&amp;AS149)+COUNTIFS($AS$5:AS149,AS149))</f>
        <v>0</v>
      </c>
      <c r="AS149" s="45">
        <f>IF(B149="","",IF(BB149="",99999,BC149))</f>
        <v>0</v>
      </c>
      <c r="AT149" s="45">
        <f>IF(A149="",0,SUMIFS('Meal Plan'!$L$5:$L$504,'Meal Plan'!$G$5:$G$504,A149,'Meal Plan'!$B$5:$B$504,"&gt;="&amp;ShopFrom,'Meal Plan'!$B$5:$B$504,"&lt;="&amp;ShopTo,'Meal Plan'!$M$5:$M$504,"Yes"))</f>
        <v>0</v>
      </c>
      <c r="AU149" s="25">
        <f>IF(OR(A149="",AC149=""),"",AC149*AT149)</f>
        <v>0</v>
      </c>
      <c r="AV149" s="18">
        <f>IF(A149="","",COUNTIFS('Recipe Ingredients'!$B$5:$B$1204,A149,'Recipe Ingredients'!$N$5:$N$1204,""))</f>
        <v>0</v>
      </c>
      <c r="AZ149" s="18">
        <f>IF(A149="","",COUNTIFS('Meal Plan'!$G$5:$G$504,A149))</f>
        <v>0</v>
      </c>
      <c r="BA149" s="18">
        <f>IF(A149="","",COUNTIFS('Meal Plan'!$G$5:$G$504,A149,'Meal Plan'!$N$5:$N$504,"Prepared")+COUNTIFS('Meal Plan'!$G$5:$G$504,A149,'Meal Plan'!$N$5:$N$504,"Eaten"))</f>
        <v>0</v>
      </c>
      <c r="BB149" s="19">
        <f>IF(A149="","",IF(COUNTIFS('Meal Plan'!$G$5:$G$504,A149,'Meal Plan'!$B$5:$B$504,"&lt;="&amp;TODAY())=0,"",SUMPRODUCT(MAX(('Meal Plan'!$G$5:$G$504=A149)*('Meal Plan'!$B$5:$B$504&lt;=TODAY())*'Meal Plan'!$B$5:$B$504))))</f>
        <v>0</v>
      </c>
      <c r="BC149" s="18">
        <f>IF(BB149="","",TODAY()-BB149)</f>
        <v>0</v>
      </c>
      <c r="BF149" s="31">
        <f>IF(B149="","",IF(G149="","Add - how many does it serve?",IF(AB149=0,"Add - no ingredients listed yet",IF(AV149&gt;0,"Check - "&amp;AV149&amp;" ingredient(s) have no price",IF(AND(BC149&lt;&gt;"",BC149&lt;RotationGapDays),"Cooked recently","OK")))))</f>
        <v>0</v>
      </c>
    </row>
    <row r="150" spans="1:58">
      <c r="A150" s="39">
        <f>IF(B150="","",RecipePrefix&amp;TEXT(ROW()-4,"0000"))</f>
        <v>0</v>
      </c>
      <c r="J150" s="18">
        <f>IF(B150="","",IF(AND(H150="",I150=""),"",IF(H150="",0,H150)+IF(I150="",0,I150)))</f>
        <v>0</v>
      </c>
      <c r="K150" s="46">
        <f>IF(J150="","",IF(J150&lt;=30,"Yes","No"))</f>
        <v>0</v>
      </c>
      <c r="AB150" s="18">
        <f>IF(A150="","",COUNTIFS('Recipe Ingredients'!$B$5:$B$1204,A150))</f>
        <v>0</v>
      </c>
      <c r="AC150" s="25">
        <f>IF(A150="","",SUMIFS('Recipe Ingredients'!$N$5:$N$1204,'Recipe Ingredients'!$B$5:$B$1204,A150))</f>
        <v>0</v>
      </c>
      <c r="AD150" s="25">
        <f>IF(OR(AC150="",G150=""),"",IF(G150=0,"",AC150/G150))</f>
        <v>0</v>
      </c>
      <c r="AE150" s="30">
        <f>IF(OR(A150="",G150=""),"",IF(G150=0,"",SUMIFS('Recipe Ingredients'!$Q$5:$Q$1204,'Recipe Ingredients'!$B$5:$B$1204,A150)/G150))</f>
        <v>0</v>
      </c>
      <c r="AF150" s="45">
        <f>IF(OR(A150="",G150=""),"",IF(G150=0,"",SUMIFS('Recipe Ingredients'!$R$5:$R$1204,'Recipe Ingredients'!$B$5:$B$1204,A150)/G150))</f>
        <v>0</v>
      </c>
      <c r="AG150" s="45">
        <f>IF(OR(A150="",G150=""),"",IF(G150=0,"",SUMIFS('Recipe Ingredients'!$S$5:$S$1204,'Recipe Ingredients'!$B$5:$B$1204,A150)/G150))</f>
        <v>0</v>
      </c>
      <c r="AH150" s="45">
        <f>IF(OR(A150="",G150=""),"",IF(G150=0,"",SUMIFS('Recipe Ingredients'!$T$5:$T$1204,'Recipe Ingredients'!$B$5:$B$1204,A150)/G150))</f>
        <v>0</v>
      </c>
      <c r="AI150" s="45">
        <f>IF(OR(A150="",G150=""),"",IF(G150=0,"",SUMIFS('Recipe Ingredients'!$U$5:$U$1204,'Recipe Ingredients'!$B$5:$B$1204,A150)/G150))</f>
        <v>0</v>
      </c>
      <c r="AJ150" s="17">
        <f>IF(A150="","",IF(COUNTIFS('Recipe Ingredients'!$B$5:$B$1204,A150,'Recipe Ingredients'!$V$5:$V$1204,"&lt;&gt;",'Recipe Ingredients'!$V$5:$V$1204,"&lt;&gt;None")=0,"None listed",COUNTIFS('Recipe Ingredients'!$B$5:$B$1204,A150,'Recipe Ingredients'!$V$5:$V$1204,"&lt;&gt;",'Recipe Ingredients'!$V$5:$V$1204,"&lt;&gt;None")&amp;" ingredient(s) flagged"))</f>
        <v>0</v>
      </c>
      <c r="AK150" s="18">
        <f>IF(OR(AD150="",NOT(ISNUMBER(AD150))),"",COUNTIFS($AD$5:$AD$204,"&lt;"&amp;AD150)+COUNTIFS($AD$5:AD150,AD150))</f>
        <v>0</v>
      </c>
      <c r="AL150" s="18">
        <f>IF(B150="",0,IF(AND(OR(FilterDiet="Any",T150=FilterDiet),OR(FilterCategory="Any",C150=FilterCategory),OR(FilterMethod="Any",L150=FilterMethod),OR(FilterTime=0,AND(J150&lt;&gt;"",J150&lt;=FilterTime)),OR(FilterCost=0,AND(AD150&lt;&gt;"",ISNUMBER(AD150),AD150&lt;=FilterCost)),OR(FilterAllergen="Any",COUNTIFS('Recipe Ingredients'!$B$5:$B$1204,A150,'Recipe Ingredients'!$V$5:$V$1204,FilterAllergen)=0)),1,0))</f>
        <v>0</v>
      </c>
      <c r="AM150" s="18">
        <f>IF(AL150=0,"",SUM($AL$5:AL150))</f>
        <v>0</v>
      </c>
      <c r="AN150" s="18">
        <f>IF(B150="","",COUNTIFS($AZ$5:$AZ$204,"&gt;"&amp;AZ150)+COUNTIFS($AZ$5:AZ150,AZ150))</f>
        <v>0</v>
      </c>
      <c r="AO150" s="18">
        <f>IF(B150="","",COUNTIFS($AE$5:$AE$204,"&gt;"&amp;AE150)+COUNTIFS($AE$5:AE150,AE150))</f>
        <v>0</v>
      </c>
      <c r="AP150" s="18">
        <f>IF(B150="","",COUNTIFS($AF$5:$AF$204,"&gt;"&amp;AF150)+COUNTIFS($AF$5:AF150,AF150))</f>
        <v>0</v>
      </c>
      <c r="AQ150" s="18">
        <f>IF(B150="","",COUNTIFS($AI$5:$AI$204,"&gt;"&amp;AI150)+COUNTIFS($AI$5:AI150,AI150))</f>
        <v>0</v>
      </c>
      <c r="AR150" s="18">
        <f>IF(B150="","",COUNTIFS($AS$5:$AS$204,"&gt;"&amp;AS150)+COUNTIFS($AS$5:AS150,AS150))</f>
        <v>0</v>
      </c>
      <c r="AS150" s="45">
        <f>IF(B150="","",IF(BB150="",99999,BC150))</f>
        <v>0</v>
      </c>
      <c r="AT150" s="45">
        <f>IF(A150="",0,SUMIFS('Meal Plan'!$L$5:$L$504,'Meal Plan'!$G$5:$G$504,A150,'Meal Plan'!$B$5:$B$504,"&gt;="&amp;ShopFrom,'Meal Plan'!$B$5:$B$504,"&lt;="&amp;ShopTo,'Meal Plan'!$M$5:$M$504,"Yes"))</f>
        <v>0</v>
      </c>
      <c r="AU150" s="25">
        <f>IF(OR(A150="",AC150=""),"",AC150*AT150)</f>
        <v>0</v>
      </c>
      <c r="AV150" s="18">
        <f>IF(A150="","",COUNTIFS('Recipe Ingredients'!$B$5:$B$1204,A150,'Recipe Ingredients'!$N$5:$N$1204,""))</f>
        <v>0</v>
      </c>
      <c r="AZ150" s="18">
        <f>IF(A150="","",COUNTIFS('Meal Plan'!$G$5:$G$504,A150))</f>
        <v>0</v>
      </c>
      <c r="BA150" s="18">
        <f>IF(A150="","",COUNTIFS('Meal Plan'!$G$5:$G$504,A150,'Meal Plan'!$N$5:$N$504,"Prepared")+COUNTIFS('Meal Plan'!$G$5:$G$504,A150,'Meal Plan'!$N$5:$N$504,"Eaten"))</f>
        <v>0</v>
      </c>
      <c r="BB150" s="19">
        <f>IF(A150="","",IF(COUNTIFS('Meal Plan'!$G$5:$G$504,A150,'Meal Plan'!$B$5:$B$504,"&lt;="&amp;TODAY())=0,"",SUMPRODUCT(MAX(('Meal Plan'!$G$5:$G$504=A150)*('Meal Plan'!$B$5:$B$504&lt;=TODAY())*'Meal Plan'!$B$5:$B$504))))</f>
        <v>0</v>
      </c>
      <c r="BC150" s="18">
        <f>IF(BB150="","",TODAY()-BB150)</f>
        <v>0</v>
      </c>
      <c r="BF150" s="31">
        <f>IF(B150="","",IF(G150="","Add - how many does it serve?",IF(AB150=0,"Add - no ingredients listed yet",IF(AV150&gt;0,"Check - "&amp;AV150&amp;" ingredient(s) have no price",IF(AND(BC150&lt;&gt;"",BC150&lt;RotationGapDays),"Cooked recently","OK")))))</f>
        <v>0</v>
      </c>
    </row>
    <row r="151" spans="1:58">
      <c r="A151" s="39">
        <f>IF(B151="","",RecipePrefix&amp;TEXT(ROW()-4,"0000"))</f>
        <v>0</v>
      </c>
      <c r="J151" s="18">
        <f>IF(B151="","",IF(AND(H151="",I151=""),"",IF(H151="",0,H151)+IF(I151="",0,I151)))</f>
        <v>0</v>
      </c>
      <c r="K151" s="46">
        <f>IF(J151="","",IF(J151&lt;=30,"Yes","No"))</f>
        <v>0</v>
      </c>
      <c r="AB151" s="18">
        <f>IF(A151="","",COUNTIFS('Recipe Ingredients'!$B$5:$B$1204,A151))</f>
        <v>0</v>
      </c>
      <c r="AC151" s="25">
        <f>IF(A151="","",SUMIFS('Recipe Ingredients'!$N$5:$N$1204,'Recipe Ingredients'!$B$5:$B$1204,A151))</f>
        <v>0</v>
      </c>
      <c r="AD151" s="25">
        <f>IF(OR(AC151="",G151=""),"",IF(G151=0,"",AC151/G151))</f>
        <v>0</v>
      </c>
      <c r="AE151" s="30">
        <f>IF(OR(A151="",G151=""),"",IF(G151=0,"",SUMIFS('Recipe Ingredients'!$Q$5:$Q$1204,'Recipe Ingredients'!$B$5:$B$1204,A151)/G151))</f>
        <v>0</v>
      </c>
      <c r="AF151" s="45">
        <f>IF(OR(A151="",G151=""),"",IF(G151=0,"",SUMIFS('Recipe Ingredients'!$R$5:$R$1204,'Recipe Ingredients'!$B$5:$B$1204,A151)/G151))</f>
        <v>0</v>
      </c>
      <c r="AG151" s="45">
        <f>IF(OR(A151="",G151=""),"",IF(G151=0,"",SUMIFS('Recipe Ingredients'!$S$5:$S$1204,'Recipe Ingredients'!$B$5:$B$1204,A151)/G151))</f>
        <v>0</v>
      </c>
      <c r="AH151" s="45">
        <f>IF(OR(A151="",G151=""),"",IF(G151=0,"",SUMIFS('Recipe Ingredients'!$T$5:$T$1204,'Recipe Ingredients'!$B$5:$B$1204,A151)/G151))</f>
        <v>0</v>
      </c>
      <c r="AI151" s="45">
        <f>IF(OR(A151="",G151=""),"",IF(G151=0,"",SUMIFS('Recipe Ingredients'!$U$5:$U$1204,'Recipe Ingredients'!$B$5:$B$1204,A151)/G151))</f>
        <v>0</v>
      </c>
      <c r="AJ151" s="17">
        <f>IF(A151="","",IF(COUNTIFS('Recipe Ingredients'!$B$5:$B$1204,A151,'Recipe Ingredients'!$V$5:$V$1204,"&lt;&gt;",'Recipe Ingredients'!$V$5:$V$1204,"&lt;&gt;None")=0,"None listed",COUNTIFS('Recipe Ingredients'!$B$5:$B$1204,A151,'Recipe Ingredients'!$V$5:$V$1204,"&lt;&gt;",'Recipe Ingredients'!$V$5:$V$1204,"&lt;&gt;None")&amp;" ingredient(s) flagged"))</f>
        <v>0</v>
      </c>
      <c r="AK151" s="18">
        <f>IF(OR(AD151="",NOT(ISNUMBER(AD151))),"",COUNTIFS($AD$5:$AD$204,"&lt;"&amp;AD151)+COUNTIFS($AD$5:AD151,AD151))</f>
        <v>0</v>
      </c>
      <c r="AL151" s="18">
        <f>IF(B151="",0,IF(AND(OR(FilterDiet="Any",T151=FilterDiet),OR(FilterCategory="Any",C151=FilterCategory),OR(FilterMethod="Any",L151=FilterMethod),OR(FilterTime=0,AND(J151&lt;&gt;"",J151&lt;=FilterTime)),OR(FilterCost=0,AND(AD151&lt;&gt;"",ISNUMBER(AD151),AD151&lt;=FilterCost)),OR(FilterAllergen="Any",COUNTIFS('Recipe Ingredients'!$B$5:$B$1204,A151,'Recipe Ingredients'!$V$5:$V$1204,FilterAllergen)=0)),1,0))</f>
        <v>0</v>
      </c>
      <c r="AM151" s="18">
        <f>IF(AL151=0,"",SUM($AL$5:AL151))</f>
        <v>0</v>
      </c>
      <c r="AN151" s="18">
        <f>IF(B151="","",COUNTIFS($AZ$5:$AZ$204,"&gt;"&amp;AZ151)+COUNTIFS($AZ$5:AZ151,AZ151))</f>
        <v>0</v>
      </c>
      <c r="AO151" s="18">
        <f>IF(B151="","",COUNTIFS($AE$5:$AE$204,"&gt;"&amp;AE151)+COUNTIFS($AE$5:AE151,AE151))</f>
        <v>0</v>
      </c>
      <c r="AP151" s="18">
        <f>IF(B151="","",COUNTIFS($AF$5:$AF$204,"&gt;"&amp;AF151)+COUNTIFS($AF$5:AF151,AF151))</f>
        <v>0</v>
      </c>
      <c r="AQ151" s="18">
        <f>IF(B151="","",COUNTIFS($AI$5:$AI$204,"&gt;"&amp;AI151)+COUNTIFS($AI$5:AI151,AI151))</f>
        <v>0</v>
      </c>
      <c r="AR151" s="18">
        <f>IF(B151="","",COUNTIFS($AS$5:$AS$204,"&gt;"&amp;AS151)+COUNTIFS($AS$5:AS151,AS151))</f>
        <v>0</v>
      </c>
      <c r="AS151" s="45">
        <f>IF(B151="","",IF(BB151="",99999,BC151))</f>
        <v>0</v>
      </c>
      <c r="AT151" s="45">
        <f>IF(A151="",0,SUMIFS('Meal Plan'!$L$5:$L$504,'Meal Plan'!$G$5:$G$504,A151,'Meal Plan'!$B$5:$B$504,"&gt;="&amp;ShopFrom,'Meal Plan'!$B$5:$B$504,"&lt;="&amp;ShopTo,'Meal Plan'!$M$5:$M$504,"Yes"))</f>
        <v>0</v>
      </c>
      <c r="AU151" s="25">
        <f>IF(OR(A151="",AC151=""),"",AC151*AT151)</f>
        <v>0</v>
      </c>
      <c r="AV151" s="18">
        <f>IF(A151="","",COUNTIFS('Recipe Ingredients'!$B$5:$B$1204,A151,'Recipe Ingredients'!$N$5:$N$1204,""))</f>
        <v>0</v>
      </c>
      <c r="AZ151" s="18">
        <f>IF(A151="","",COUNTIFS('Meal Plan'!$G$5:$G$504,A151))</f>
        <v>0</v>
      </c>
      <c r="BA151" s="18">
        <f>IF(A151="","",COUNTIFS('Meal Plan'!$G$5:$G$504,A151,'Meal Plan'!$N$5:$N$504,"Prepared")+COUNTIFS('Meal Plan'!$G$5:$G$504,A151,'Meal Plan'!$N$5:$N$504,"Eaten"))</f>
        <v>0</v>
      </c>
      <c r="BB151" s="19">
        <f>IF(A151="","",IF(COUNTIFS('Meal Plan'!$G$5:$G$504,A151,'Meal Plan'!$B$5:$B$504,"&lt;="&amp;TODAY())=0,"",SUMPRODUCT(MAX(('Meal Plan'!$G$5:$G$504=A151)*('Meal Plan'!$B$5:$B$504&lt;=TODAY())*'Meal Plan'!$B$5:$B$504))))</f>
        <v>0</v>
      </c>
      <c r="BC151" s="18">
        <f>IF(BB151="","",TODAY()-BB151)</f>
        <v>0</v>
      </c>
      <c r="BF151" s="31">
        <f>IF(B151="","",IF(G151="","Add - how many does it serve?",IF(AB151=0,"Add - no ingredients listed yet",IF(AV151&gt;0,"Check - "&amp;AV151&amp;" ingredient(s) have no price",IF(AND(BC151&lt;&gt;"",BC151&lt;RotationGapDays),"Cooked recently","OK")))))</f>
        <v>0</v>
      </c>
    </row>
    <row r="152" spans="1:58">
      <c r="A152" s="39">
        <f>IF(B152="","",RecipePrefix&amp;TEXT(ROW()-4,"0000"))</f>
        <v>0</v>
      </c>
      <c r="J152" s="18">
        <f>IF(B152="","",IF(AND(H152="",I152=""),"",IF(H152="",0,H152)+IF(I152="",0,I152)))</f>
        <v>0</v>
      </c>
      <c r="K152" s="46">
        <f>IF(J152="","",IF(J152&lt;=30,"Yes","No"))</f>
        <v>0</v>
      </c>
      <c r="AB152" s="18">
        <f>IF(A152="","",COUNTIFS('Recipe Ingredients'!$B$5:$B$1204,A152))</f>
        <v>0</v>
      </c>
      <c r="AC152" s="25">
        <f>IF(A152="","",SUMIFS('Recipe Ingredients'!$N$5:$N$1204,'Recipe Ingredients'!$B$5:$B$1204,A152))</f>
        <v>0</v>
      </c>
      <c r="AD152" s="25">
        <f>IF(OR(AC152="",G152=""),"",IF(G152=0,"",AC152/G152))</f>
        <v>0</v>
      </c>
      <c r="AE152" s="30">
        <f>IF(OR(A152="",G152=""),"",IF(G152=0,"",SUMIFS('Recipe Ingredients'!$Q$5:$Q$1204,'Recipe Ingredients'!$B$5:$B$1204,A152)/G152))</f>
        <v>0</v>
      </c>
      <c r="AF152" s="45">
        <f>IF(OR(A152="",G152=""),"",IF(G152=0,"",SUMIFS('Recipe Ingredients'!$R$5:$R$1204,'Recipe Ingredients'!$B$5:$B$1204,A152)/G152))</f>
        <v>0</v>
      </c>
      <c r="AG152" s="45">
        <f>IF(OR(A152="",G152=""),"",IF(G152=0,"",SUMIFS('Recipe Ingredients'!$S$5:$S$1204,'Recipe Ingredients'!$B$5:$B$1204,A152)/G152))</f>
        <v>0</v>
      </c>
      <c r="AH152" s="45">
        <f>IF(OR(A152="",G152=""),"",IF(G152=0,"",SUMIFS('Recipe Ingredients'!$T$5:$T$1204,'Recipe Ingredients'!$B$5:$B$1204,A152)/G152))</f>
        <v>0</v>
      </c>
      <c r="AI152" s="45">
        <f>IF(OR(A152="",G152=""),"",IF(G152=0,"",SUMIFS('Recipe Ingredients'!$U$5:$U$1204,'Recipe Ingredients'!$B$5:$B$1204,A152)/G152))</f>
        <v>0</v>
      </c>
      <c r="AJ152" s="17">
        <f>IF(A152="","",IF(COUNTIFS('Recipe Ingredients'!$B$5:$B$1204,A152,'Recipe Ingredients'!$V$5:$V$1204,"&lt;&gt;",'Recipe Ingredients'!$V$5:$V$1204,"&lt;&gt;None")=0,"None listed",COUNTIFS('Recipe Ingredients'!$B$5:$B$1204,A152,'Recipe Ingredients'!$V$5:$V$1204,"&lt;&gt;",'Recipe Ingredients'!$V$5:$V$1204,"&lt;&gt;None")&amp;" ingredient(s) flagged"))</f>
        <v>0</v>
      </c>
      <c r="AK152" s="18">
        <f>IF(OR(AD152="",NOT(ISNUMBER(AD152))),"",COUNTIFS($AD$5:$AD$204,"&lt;"&amp;AD152)+COUNTIFS($AD$5:AD152,AD152))</f>
        <v>0</v>
      </c>
      <c r="AL152" s="18">
        <f>IF(B152="",0,IF(AND(OR(FilterDiet="Any",T152=FilterDiet),OR(FilterCategory="Any",C152=FilterCategory),OR(FilterMethod="Any",L152=FilterMethod),OR(FilterTime=0,AND(J152&lt;&gt;"",J152&lt;=FilterTime)),OR(FilterCost=0,AND(AD152&lt;&gt;"",ISNUMBER(AD152),AD152&lt;=FilterCost)),OR(FilterAllergen="Any",COUNTIFS('Recipe Ingredients'!$B$5:$B$1204,A152,'Recipe Ingredients'!$V$5:$V$1204,FilterAllergen)=0)),1,0))</f>
        <v>0</v>
      </c>
      <c r="AM152" s="18">
        <f>IF(AL152=0,"",SUM($AL$5:AL152))</f>
        <v>0</v>
      </c>
      <c r="AN152" s="18">
        <f>IF(B152="","",COUNTIFS($AZ$5:$AZ$204,"&gt;"&amp;AZ152)+COUNTIFS($AZ$5:AZ152,AZ152))</f>
        <v>0</v>
      </c>
      <c r="AO152" s="18">
        <f>IF(B152="","",COUNTIFS($AE$5:$AE$204,"&gt;"&amp;AE152)+COUNTIFS($AE$5:AE152,AE152))</f>
        <v>0</v>
      </c>
      <c r="AP152" s="18">
        <f>IF(B152="","",COUNTIFS($AF$5:$AF$204,"&gt;"&amp;AF152)+COUNTIFS($AF$5:AF152,AF152))</f>
        <v>0</v>
      </c>
      <c r="AQ152" s="18">
        <f>IF(B152="","",COUNTIFS($AI$5:$AI$204,"&gt;"&amp;AI152)+COUNTIFS($AI$5:AI152,AI152))</f>
        <v>0</v>
      </c>
      <c r="AR152" s="18">
        <f>IF(B152="","",COUNTIFS($AS$5:$AS$204,"&gt;"&amp;AS152)+COUNTIFS($AS$5:AS152,AS152))</f>
        <v>0</v>
      </c>
      <c r="AS152" s="45">
        <f>IF(B152="","",IF(BB152="",99999,BC152))</f>
        <v>0</v>
      </c>
      <c r="AT152" s="45">
        <f>IF(A152="",0,SUMIFS('Meal Plan'!$L$5:$L$504,'Meal Plan'!$G$5:$G$504,A152,'Meal Plan'!$B$5:$B$504,"&gt;="&amp;ShopFrom,'Meal Plan'!$B$5:$B$504,"&lt;="&amp;ShopTo,'Meal Plan'!$M$5:$M$504,"Yes"))</f>
        <v>0</v>
      </c>
      <c r="AU152" s="25">
        <f>IF(OR(A152="",AC152=""),"",AC152*AT152)</f>
        <v>0</v>
      </c>
      <c r="AV152" s="18">
        <f>IF(A152="","",COUNTIFS('Recipe Ingredients'!$B$5:$B$1204,A152,'Recipe Ingredients'!$N$5:$N$1204,""))</f>
        <v>0</v>
      </c>
      <c r="AZ152" s="18">
        <f>IF(A152="","",COUNTIFS('Meal Plan'!$G$5:$G$504,A152))</f>
        <v>0</v>
      </c>
      <c r="BA152" s="18">
        <f>IF(A152="","",COUNTIFS('Meal Plan'!$G$5:$G$504,A152,'Meal Plan'!$N$5:$N$504,"Prepared")+COUNTIFS('Meal Plan'!$G$5:$G$504,A152,'Meal Plan'!$N$5:$N$504,"Eaten"))</f>
        <v>0</v>
      </c>
      <c r="BB152" s="19">
        <f>IF(A152="","",IF(COUNTIFS('Meal Plan'!$G$5:$G$504,A152,'Meal Plan'!$B$5:$B$504,"&lt;="&amp;TODAY())=0,"",SUMPRODUCT(MAX(('Meal Plan'!$G$5:$G$504=A152)*('Meal Plan'!$B$5:$B$504&lt;=TODAY())*'Meal Plan'!$B$5:$B$504))))</f>
        <v>0</v>
      </c>
      <c r="BC152" s="18">
        <f>IF(BB152="","",TODAY()-BB152)</f>
        <v>0</v>
      </c>
      <c r="BF152" s="31">
        <f>IF(B152="","",IF(G152="","Add - how many does it serve?",IF(AB152=0,"Add - no ingredients listed yet",IF(AV152&gt;0,"Check - "&amp;AV152&amp;" ingredient(s) have no price",IF(AND(BC152&lt;&gt;"",BC152&lt;RotationGapDays),"Cooked recently","OK")))))</f>
        <v>0</v>
      </c>
    </row>
    <row r="153" spans="1:58">
      <c r="A153" s="39">
        <f>IF(B153="","",RecipePrefix&amp;TEXT(ROW()-4,"0000"))</f>
        <v>0</v>
      </c>
      <c r="J153" s="18">
        <f>IF(B153="","",IF(AND(H153="",I153=""),"",IF(H153="",0,H153)+IF(I153="",0,I153)))</f>
        <v>0</v>
      </c>
      <c r="K153" s="46">
        <f>IF(J153="","",IF(J153&lt;=30,"Yes","No"))</f>
        <v>0</v>
      </c>
      <c r="AB153" s="18">
        <f>IF(A153="","",COUNTIFS('Recipe Ingredients'!$B$5:$B$1204,A153))</f>
        <v>0</v>
      </c>
      <c r="AC153" s="25">
        <f>IF(A153="","",SUMIFS('Recipe Ingredients'!$N$5:$N$1204,'Recipe Ingredients'!$B$5:$B$1204,A153))</f>
        <v>0</v>
      </c>
      <c r="AD153" s="25">
        <f>IF(OR(AC153="",G153=""),"",IF(G153=0,"",AC153/G153))</f>
        <v>0</v>
      </c>
      <c r="AE153" s="30">
        <f>IF(OR(A153="",G153=""),"",IF(G153=0,"",SUMIFS('Recipe Ingredients'!$Q$5:$Q$1204,'Recipe Ingredients'!$B$5:$B$1204,A153)/G153))</f>
        <v>0</v>
      </c>
      <c r="AF153" s="45">
        <f>IF(OR(A153="",G153=""),"",IF(G153=0,"",SUMIFS('Recipe Ingredients'!$R$5:$R$1204,'Recipe Ingredients'!$B$5:$B$1204,A153)/G153))</f>
        <v>0</v>
      </c>
      <c r="AG153" s="45">
        <f>IF(OR(A153="",G153=""),"",IF(G153=0,"",SUMIFS('Recipe Ingredients'!$S$5:$S$1204,'Recipe Ingredients'!$B$5:$B$1204,A153)/G153))</f>
        <v>0</v>
      </c>
      <c r="AH153" s="45">
        <f>IF(OR(A153="",G153=""),"",IF(G153=0,"",SUMIFS('Recipe Ingredients'!$T$5:$T$1204,'Recipe Ingredients'!$B$5:$B$1204,A153)/G153))</f>
        <v>0</v>
      </c>
      <c r="AI153" s="45">
        <f>IF(OR(A153="",G153=""),"",IF(G153=0,"",SUMIFS('Recipe Ingredients'!$U$5:$U$1204,'Recipe Ingredients'!$B$5:$B$1204,A153)/G153))</f>
        <v>0</v>
      </c>
      <c r="AJ153" s="17">
        <f>IF(A153="","",IF(COUNTIFS('Recipe Ingredients'!$B$5:$B$1204,A153,'Recipe Ingredients'!$V$5:$V$1204,"&lt;&gt;",'Recipe Ingredients'!$V$5:$V$1204,"&lt;&gt;None")=0,"None listed",COUNTIFS('Recipe Ingredients'!$B$5:$B$1204,A153,'Recipe Ingredients'!$V$5:$V$1204,"&lt;&gt;",'Recipe Ingredients'!$V$5:$V$1204,"&lt;&gt;None")&amp;" ingredient(s) flagged"))</f>
        <v>0</v>
      </c>
      <c r="AK153" s="18">
        <f>IF(OR(AD153="",NOT(ISNUMBER(AD153))),"",COUNTIFS($AD$5:$AD$204,"&lt;"&amp;AD153)+COUNTIFS($AD$5:AD153,AD153))</f>
        <v>0</v>
      </c>
      <c r="AL153" s="18">
        <f>IF(B153="",0,IF(AND(OR(FilterDiet="Any",T153=FilterDiet),OR(FilterCategory="Any",C153=FilterCategory),OR(FilterMethod="Any",L153=FilterMethod),OR(FilterTime=0,AND(J153&lt;&gt;"",J153&lt;=FilterTime)),OR(FilterCost=0,AND(AD153&lt;&gt;"",ISNUMBER(AD153),AD153&lt;=FilterCost)),OR(FilterAllergen="Any",COUNTIFS('Recipe Ingredients'!$B$5:$B$1204,A153,'Recipe Ingredients'!$V$5:$V$1204,FilterAllergen)=0)),1,0))</f>
        <v>0</v>
      </c>
      <c r="AM153" s="18">
        <f>IF(AL153=0,"",SUM($AL$5:AL153))</f>
        <v>0</v>
      </c>
      <c r="AN153" s="18">
        <f>IF(B153="","",COUNTIFS($AZ$5:$AZ$204,"&gt;"&amp;AZ153)+COUNTIFS($AZ$5:AZ153,AZ153))</f>
        <v>0</v>
      </c>
      <c r="AO153" s="18">
        <f>IF(B153="","",COUNTIFS($AE$5:$AE$204,"&gt;"&amp;AE153)+COUNTIFS($AE$5:AE153,AE153))</f>
        <v>0</v>
      </c>
      <c r="AP153" s="18">
        <f>IF(B153="","",COUNTIFS($AF$5:$AF$204,"&gt;"&amp;AF153)+COUNTIFS($AF$5:AF153,AF153))</f>
        <v>0</v>
      </c>
      <c r="AQ153" s="18">
        <f>IF(B153="","",COUNTIFS($AI$5:$AI$204,"&gt;"&amp;AI153)+COUNTIFS($AI$5:AI153,AI153))</f>
        <v>0</v>
      </c>
      <c r="AR153" s="18">
        <f>IF(B153="","",COUNTIFS($AS$5:$AS$204,"&gt;"&amp;AS153)+COUNTIFS($AS$5:AS153,AS153))</f>
        <v>0</v>
      </c>
      <c r="AS153" s="45">
        <f>IF(B153="","",IF(BB153="",99999,BC153))</f>
        <v>0</v>
      </c>
      <c r="AT153" s="45">
        <f>IF(A153="",0,SUMIFS('Meal Plan'!$L$5:$L$504,'Meal Plan'!$G$5:$G$504,A153,'Meal Plan'!$B$5:$B$504,"&gt;="&amp;ShopFrom,'Meal Plan'!$B$5:$B$504,"&lt;="&amp;ShopTo,'Meal Plan'!$M$5:$M$504,"Yes"))</f>
        <v>0</v>
      </c>
      <c r="AU153" s="25">
        <f>IF(OR(A153="",AC153=""),"",AC153*AT153)</f>
        <v>0</v>
      </c>
      <c r="AV153" s="18">
        <f>IF(A153="","",COUNTIFS('Recipe Ingredients'!$B$5:$B$1204,A153,'Recipe Ingredients'!$N$5:$N$1204,""))</f>
        <v>0</v>
      </c>
      <c r="AZ153" s="18">
        <f>IF(A153="","",COUNTIFS('Meal Plan'!$G$5:$G$504,A153))</f>
        <v>0</v>
      </c>
      <c r="BA153" s="18">
        <f>IF(A153="","",COUNTIFS('Meal Plan'!$G$5:$G$504,A153,'Meal Plan'!$N$5:$N$504,"Prepared")+COUNTIFS('Meal Plan'!$G$5:$G$504,A153,'Meal Plan'!$N$5:$N$504,"Eaten"))</f>
        <v>0</v>
      </c>
      <c r="BB153" s="19">
        <f>IF(A153="","",IF(COUNTIFS('Meal Plan'!$G$5:$G$504,A153,'Meal Plan'!$B$5:$B$504,"&lt;="&amp;TODAY())=0,"",SUMPRODUCT(MAX(('Meal Plan'!$G$5:$G$504=A153)*('Meal Plan'!$B$5:$B$504&lt;=TODAY())*'Meal Plan'!$B$5:$B$504))))</f>
        <v>0</v>
      </c>
      <c r="BC153" s="18">
        <f>IF(BB153="","",TODAY()-BB153)</f>
        <v>0</v>
      </c>
      <c r="BF153" s="31">
        <f>IF(B153="","",IF(G153="","Add - how many does it serve?",IF(AB153=0,"Add - no ingredients listed yet",IF(AV153&gt;0,"Check - "&amp;AV153&amp;" ingredient(s) have no price",IF(AND(BC153&lt;&gt;"",BC153&lt;RotationGapDays),"Cooked recently","OK")))))</f>
        <v>0</v>
      </c>
    </row>
    <row r="154" spans="1:58">
      <c r="A154" s="39">
        <f>IF(B154="","",RecipePrefix&amp;TEXT(ROW()-4,"0000"))</f>
        <v>0</v>
      </c>
      <c r="J154" s="18">
        <f>IF(B154="","",IF(AND(H154="",I154=""),"",IF(H154="",0,H154)+IF(I154="",0,I154)))</f>
        <v>0</v>
      </c>
      <c r="K154" s="46">
        <f>IF(J154="","",IF(J154&lt;=30,"Yes","No"))</f>
        <v>0</v>
      </c>
      <c r="AB154" s="18">
        <f>IF(A154="","",COUNTIFS('Recipe Ingredients'!$B$5:$B$1204,A154))</f>
        <v>0</v>
      </c>
      <c r="AC154" s="25">
        <f>IF(A154="","",SUMIFS('Recipe Ingredients'!$N$5:$N$1204,'Recipe Ingredients'!$B$5:$B$1204,A154))</f>
        <v>0</v>
      </c>
      <c r="AD154" s="25">
        <f>IF(OR(AC154="",G154=""),"",IF(G154=0,"",AC154/G154))</f>
        <v>0</v>
      </c>
      <c r="AE154" s="30">
        <f>IF(OR(A154="",G154=""),"",IF(G154=0,"",SUMIFS('Recipe Ingredients'!$Q$5:$Q$1204,'Recipe Ingredients'!$B$5:$B$1204,A154)/G154))</f>
        <v>0</v>
      </c>
      <c r="AF154" s="45">
        <f>IF(OR(A154="",G154=""),"",IF(G154=0,"",SUMIFS('Recipe Ingredients'!$R$5:$R$1204,'Recipe Ingredients'!$B$5:$B$1204,A154)/G154))</f>
        <v>0</v>
      </c>
      <c r="AG154" s="45">
        <f>IF(OR(A154="",G154=""),"",IF(G154=0,"",SUMIFS('Recipe Ingredients'!$S$5:$S$1204,'Recipe Ingredients'!$B$5:$B$1204,A154)/G154))</f>
        <v>0</v>
      </c>
      <c r="AH154" s="45">
        <f>IF(OR(A154="",G154=""),"",IF(G154=0,"",SUMIFS('Recipe Ingredients'!$T$5:$T$1204,'Recipe Ingredients'!$B$5:$B$1204,A154)/G154))</f>
        <v>0</v>
      </c>
      <c r="AI154" s="45">
        <f>IF(OR(A154="",G154=""),"",IF(G154=0,"",SUMIFS('Recipe Ingredients'!$U$5:$U$1204,'Recipe Ingredients'!$B$5:$B$1204,A154)/G154))</f>
        <v>0</v>
      </c>
      <c r="AJ154" s="17">
        <f>IF(A154="","",IF(COUNTIFS('Recipe Ingredients'!$B$5:$B$1204,A154,'Recipe Ingredients'!$V$5:$V$1204,"&lt;&gt;",'Recipe Ingredients'!$V$5:$V$1204,"&lt;&gt;None")=0,"None listed",COUNTIFS('Recipe Ingredients'!$B$5:$B$1204,A154,'Recipe Ingredients'!$V$5:$V$1204,"&lt;&gt;",'Recipe Ingredients'!$V$5:$V$1204,"&lt;&gt;None")&amp;" ingredient(s) flagged"))</f>
        <v>0</v>
      </c>
      <c r="AK154" s="18">
        <f>IF(OR(AD154="",NOT(ISNUMBER(AD154))),"",COUNTIFS($AD$5:$AD$204,"&lt;"&amp;AD154)+COUNTIFS($AD$5:AD154,AD154))</f>
        <v>0</v>
      </c>
      <c r="AL154" s="18">
        <f>IF(B154="",0,IF(AND(OR(FilterDiet="Any",T154=FilterDiet),OR(FilterCategory="Any",C154=FilterCategory),OR(FilterMethod="Any",L154=FilterMethod),OR(FilterTime=0,AND(J154&lt;&gt;"",J154&lt;=FilterTime)),OR(FilterCost=0,AND(AD154&lt;&gt;"",ISNUMBER(AD154),AD154&lt;=FilterCost)),OR(FilterAllergen="Any",COUNTIFS('Recipe Ingredients'!$B$5:$B$1204,A154,'Recipe Ingredients'!$V$5:$V$1204,FilterAllergen)=0)),1,0))</f>
        <v>0</v>
      </c>
      <c r="AM154" s="18">
        <f>IF(AL154=0,"",SUM($AL$5:AL154))</f>
        <v>0</v>
      </c>
      <c r="AN154" s="18">
        <f>IF(B154="","",COUNTIFS($AZ$5:$AZ$204,"&gt;"&amp;AZ154)+COUNTIFS($AZ$5:AZ154,AZ154))</f>
        <v>0</v>
      </c>
      <c r="AO154" s="18">
        <f>IF(B154="","",COUNTIFS($AE$5:$AE$204,"&gt;"&amp;AE154)+COUNTIFS($AE$5:AE154,AE154))</f>
        <v>0</v>
      </c>
      <c r="AP154" s="18">
        <f>IF(B154="","",COUNTIFS($AF$5:$AF$204,"&gt;"&amp;AF154)+COUNTIFS($AF$5:AF154,AF154))</f>
        <v>0</v>
      </c>
      <c r="AQ154" s="18">
        <f>IF(B154="","",COUNTIFS($AI$5:$AI$204,"&gt;"&amp;AI154)+COUNTIFS($AI$5:AI154,AI154))</f>
        <v>0</v>
      </c>
      <c r="AR154" s="18">
        <f>IF(B154="","",COUNTIFS($AS$5:$AS$204,"&gt;"&amp;AS154)+COUNTIFS($AS$5:AS154,AS154))</f>
        <v>0</v>
      </c>
      <c r="AS154" s="45">
        <f>IF(B154="","",IF(BB154="",99999,BC154))</f>
        <v>0</v>
      </c>
      <c r="AT154" s="45">
        <f>IF(A154="",0,SUMIFS('Meal Plan'!$L$5:$L$504,'Meal Plan'!$G$5:$G$504,A154,'Meal Plan'!$B$5:$B$504,"&gt;="&amp;ShopFrom,'Meal Plan'!$B$5:$B$504,"&lt;="&amp;ShopTo,'Meal Plan'!$M$5:$M$504,"Yes"))</f>
        <v>0</v>
      </c>
      <c r="AU154" s="25">
        <f>IF(OR(A154="",AC154=""),"",AC154*AT154)</f>
        <v>0</v>
      </c>
      <c r="AV154" s="18">
        <f>IF(A154="","",COUNTIFS('Recipe Ingredients'!$B$5:$B$1204,A154,'Recipe Ingredients'!$N$5:$N$1204,""))</f>
        <v>0</v>
      </c>
      <c r="AZ154" s="18">
        <f>IF(A154="","",COUNTIFS('Meal Plan'!$G$5:$G$504,A154))</f>
        <v>0</v>
      </c>
      <c r="BA154" s="18">
        <f>IF(A154="","",COUNTIFS('Meal Plan'!$G$5:$G$504,A154,'Meal Plan'!$N$5:$N$504,"Prepared")+COUNTIFS('Meal Plan'!$G$5:$G$504,A154,'Meal Plan'!$N$5:$N$504,"Eaten"))</f>
        <v>0</v>
      </c>
      <c r="BB154" s="19">
        <f>IF(A154="","",IF(COUNTIFS('Meal Plan'!$G$5:$G$504,A154,'Meal Plan'!$B$5:$B$504,"&lt;="&amp;TODAY())=0,"",SUMPRODUCT(MAX(('Meal Plan'!$G$5:$G$504=A154)*('Meal Plan'!$B$5:$B$504&lt;=TODAY())*'Meal Plan'!$B$5:$B$504))))</f>
        <v>0</v>
      </c>
      <c r="BC154" s="18">
        <f>IF(BB154="","",TODAY()-BB154)</f>
        <v>0</v>
      </c>
      <c r="BF154" s="31">
        <f>IF(B154="","",IF(G154="","Add - how many does it serve?",IF(AB154=0,"Add - no ingredients listed yet",IF(AV154&gt;0,"Check - "&amp;AV154&amp;" ingredient(s) have no price",IF(AND(BC154&lt;&gt;"",BC154&lt;RotationGapDays),"Cooked recently","OK")))))</f>
        <v>0</v>
      </c>
    </row>
    <row r="155" spans="1:58">
      <c r="A155" s="39">
        <f>IF(B155="","",RecipePrefix&amp;TEXT(ROW()-4,"0000"))</f>
        <v>0</v>
      </c>
      <c r="J155" s="18">
        <f>IF(B155="","",IF(AND(H155="",I155=""),"",IF(H155="",0,H155)+IF(I155="",0,I155)))</f>
        <v>0</v>
      </c>
      <c r="K155" s="46">
        <f>IF(J155="","",IF(J155&lt;=30,"Yes","No"))</f>
        <v>0</v>
      </c>
      <c r="AB155" s="18">
        <f>IF(A155="","",COUNTIFS('Recipe Ingredients'!$B$5:$B$1204,A155))</f>
        <v>0</v>
      </c>
      <c r="AC155" s="25">
        <f>IF(A155="","",SUMIFS('Recipe Ingredients'!$N$5:$N$1204,'Recipe Ingredients'!$B$5:$B$1204,A155))</f>
        <v>0</v>
      </c>
      <c r="AD155" s="25">
        <f>IF(OR(AC155="",G155=""),"",IF(G155=0,"",AC155/G155))</f>
        <v>0</v>
      </c>
      <c r="AE155" s="30">
        <f>IF(OR(A155="",G155=""),"",IF(G155=0,"",SUMIFS('Recipe Ingredients'!$Q$5:$Q$1204,'Recipe Ingredients'!$B$5:$B$1204,A155)/G155))</f>
        <v>0</v>
      </c>
      <c r="AF155" s="45">
        <f>IF(OR(A155="",G155=""),"",IF(G155=0,"",SUMIFS('Recipe Ingredients'!$R$5:$R$1204,'Recipe Ingredients'!$B$5:$B$1204,A155)/G155))</f>
        <v>0</v>
      </c>
      <c r="AG155" s="45">
        <f>IF(OR(A155="",G155=""),"",IF(G155=0,"",SUMIFS('Recipe Ingredients'!$S$5:$S$1204,'Recipe Ingredients'!$B$5:$B$1204,A155)/G155))</f>
        <v>0</v>
      </c>
      <c r="AH155" s="45">
        <f>IF(OR(A155="",G155=""),"",IF(G155=0,"",SUMIFS('Recipe Ingredients'!$T$5:$T$1204,'Recipe Ingredients'!$B$5:$B$1204,A155)/G155))</f>
        <v>0</v>
      </c>
      <c r="AI155" s="45">
        <f>IF(OR(A155="",G155=""),"",IF(G155=0,"",SUMIFS('Recipe Ingredients'!$U$5:$U$1204,'Recipe Ingredients'!$B$5:$B$1204,A155)/G155))</f>
        <v>0</v>
      </c>
      <c r="AJ155" s="17">
        <f>IF(A155="","",IF(COUNTIFS('Recipe Ingredients'!$B$5:$B$1204,A155,'Recipe Ingredients'!$V$5:$V$1204,"&lt;&gt;",'Recipe Ingredients'!$V$5:$V$1204,"&lt;&gt;None")=0,"None listed",COUNTIFS('Recipe Ingredients'!$B$5:$B$1204,A155,'Recipe Ingredients'!$V$5:$V$1204,"&lt;&gt;",'Recipe Ingredients'!$V$5:$V$1204,"&lt;&gt;None")&amp;" ingredient(s) flagged"))</f>
        <v>0</v>
      </c>
      <c r="AK155" s="18">
        <f>IF(OR(AD155="",NOT(ISNUMBER(AD155))),"",COUNTIFS($AD$5:$AD$204,"&lt;"&amp;AD155)+COUNTIFS($AD$5:AD155,AD155))</f>
        <v>0</v>
      </c>
      <c r="AL155" s="18">
        <f>IF(B155="",0,IF(AND(OR(FilterDiet="Any",T155=FilterDiet),OR(FilterCategory="Any",C155=FilterCategory),OR(FilterMethod="Any",L155=FilterMethod),OR(FilterTime=0,AND(J155&lt;&gt;"",J155&lt;=FilterTime)),OR(FilterCost=0,AND(AD155&lt;&gt;"",ISNUMBER(AD155),AD155&lt;=FilterCost)),OR(FilterAllergen="Any",COUNTIFS('Recipe Ingredients'!$B$5:$B$1204,A155,'Recipe Ingredients'!$V$5:$V$1204,FilterAllergen)=0)),1,0))</f>
        <v>0</v>
      </c>
      <c r="AM155" s="18">
        <f>IF(AL155=0,"",SUM($AL$5:AL155))</f>
        <v>0</v>
      </c>
      <c r="AN155" s="18">
        <f>IF(B155="","",COUNTIFS($AZ$5:$AZ$204,"&gt;"&amp;AZ155)+COUNTIFS($AZ$5:AZ155,AZ155))</f>
        <v>0</v>
      </c>
      <c r="AO155" s="18">
        <f>IF(B155="","",COUNTIFS($AE$5:$AE$204,"&gt;"&amp;AE155)+COUNTIFS($AE$5:AE155,AE155))</f>
        <v>0</v>
      </c>
      <c r="AP155" s="18">
        <f>IF(B155="","",COUNTIFS($AF$5:$AF$204,"&gt;"&amp;AF155)+COUNTIFS($AF$5:AF155,AF155))</f>
        <v>0</v>
      </c>
      <c r="AQ155" s="18">
        <f>IF(B155="","",COUNTIFS($AI$5:$AI$204,"&gt;"&amp;AI155)+COUNTIFS($AI$5:AI155,AI155))</f>
        <v>0</v>
      </c>
      <c r="AR155" s="18">
        <f>IF(B155="","",COUNTIFS($AS$5:$AS$204,"&gt;"&amp;AS155)+COUNTIFS($AS$5:AS155,AS155))</f>
        <v>0</v>
      </c>
      <c r="AS155" s="45">
        <f>IF(B155="","",IF(BB155="",99999,BC155))</f>
        <v>0</v>
      </c>
      <c r="AT155" s="45">
        <f>IF(A155="",0,SUMIFS('Meal Plan'!$L$5:$L$504,'Meal Plan'!$G$5:$G$504,A155,'Meal Plan'!$B$5:$B$504,"&gt;="&amp;ShopFrom,'Meal Plan'!$B$5:$B$504,"&lt;="&amp;ShopTo,'Meal Plan'!$M$5:$M$504,"Yes"))</f>
        <v>0</v>
      </c>
      <c r="AU155" s="25">
        <f>IF(OR(A155="",AC155=""),"",AC155*AT155)</f>
        <v>0</v>
      </c>
      <c r="AV155" s="18">
        <f>IF(A155="","",COUNTIFS('Recipe Ingredients'!$B$5:$B$1204,A155,'Recipe Ingredients'!$N$5:$N$1204,""))</f>
        <v>0</v>
      </c>
      <c r="AZ155" s="18">
        <f>IF(A155="","",COUNTIFS('Meal Plan'!$G$5:$G$504,A155))</f>
        <v>0</v>
      </c>
      <c r="BA155" s="18">
        <f>IF(A155="","",COUNTIFS('Meal Plan'!$G$5:$G$504,A155,'Meal Plan'!$N$5:$N$504,"Prepared")+COUNTIFS('Meal Plan'!$G$5:$G$504,A155,'Meal Plan'!$N$5:$N$504,"Eaten"))</f>
        <v>0</v>
      </c>
      <c r="BB155" s="19">
        <f>IF(A155="","",IF(COUNTIFS('Meal Plan'!$G$5:$G$504,A155,'Meal Plan'!$B$5:$B$504,"&lt;="&amp;TODAY())=0,"",SUMPRODUCT(MAX(('Meal Plan'!$G$5:$G$504=A155)*('Meal Plan'!$B$5:$B$504&lt;=TODAY())*'Meal Plan'!$B$5:$B$504))))</f>
        <v>0</v>
      </c>
      <c r="BC155" s="18">
        <f>IF(BB155="","",TODAY()-BB155)</f>
        <v>0</v>
      </c>
      <c r="BF155" s="31">
        <f>IF(B155="","",IF(G155="","Add - how many does it serve?",IF(AB155=0,"Add - no ingredients listed yet",IF(AV155&gt;0,"Check - "&amp;AV155&amp;" ingredient(s) have no price",IF(AND(BC155&lt;&gt;"",BC155&lt;RotationGapDays),"Cooked recently","OK")))))</f>
        <v>0</v>
      </c>
    </row>
    <row r="156" spans="1:58">
      <c r="A156" s="39">
        <f>IF(B156="","",RecipePrefix&amp;TEXT(ROW()-4,"0000"))</f>
        <v>0</v>
      </c>
      <c r="J156" s="18">
        <f>IF(B156="","",IF(AND(H156="",I156=""),"",IF(H156="",0,H156)+IF(I156="",0,I156)))</f>
        <v>0</v>
      </c>
      <c r="K156" s="46">
        <f>IF(J156="","",IF(J156&lt;=30,"Yes","No"))</f>
        <v>0</v>
      </c>
      <c r="AB156" s="18">
        <f>IF(A156="","",COUNTIFS('Recipe Ingredients'!$B$5:$B$1204,A156))</f>
        <v>0</v>
      </c>
      <c r="AC156" s="25">
        <f>IF(A156="","",SUMIFS('Recipe Ingredients'!$N$5:$N$1204,'Recipe Ingredients'!$B$5:$B$1204,A156))</f>
        <v>0</v>
      </c>
      <c r="AD156" s="25">
        <f>IF(OR(AC156="",G156=""),"",IF(G156=0,"",AC156/G156))</f>
        <v>0</v>
      </c>
      <c r="AE156" s="30">
        <f>IF(OR(A156="",G156=""),"",IF(G156=0,"",SUMIFS('Recipe Ingredients'!$Q$5:$Q$1204,'Recipe Ingredients'!$B$5:$B$1204,A156)/G156))</f>
        <v>0</v>
      </c>
      <c r="AF156" s="45">
        <f>IF(OR(A156="",G156=""),"",IF(G156=0,"",SUMIFS('Recipe Ingredients'!$R$5:$R$1204,'Recipe Ingredients'!$B$5:$B$1204,A156)/G156))</f>
        <v>0</v>
      </c>
      <c r="AG156" s="45">
        <f>IF(OR(A156="",G156=""),"",IF(G156=0,"",SUMIFS('Recipe Ingredients'!$S$5:$S$1204,'Recipe Ingredients'!$B$5:$B$1204,A156)/G156))</f>
        <v>0</v>
      </c>
      <c r="AH156" s="45">
        <f>IF(OR(A156="",G156=""),"",IF(G156=0,"",SUMIFS('Recipe Ingredients'!$T$5:$T$1204,'Recipe Ingredients'!$B$5:$B$1204,A156)/G156))</f>
        <v>0</v>
      </c>
      <c r="AI156" s="45">
        <f>IF(OR(A156="",G156=""),"",IF(G156=0,"",SUMIFS('Recipe Ingredients'!$U$5:$U$1204,'Recipe Ingredients'!$B$5:$B$1204,A156)/G156))</f>
        <v>0</v>
      </c>
      <c r="AJ156" s="17">
        <f>IF(A156="","",IF(COUNTIFS('Recipe Ingredients'!$B$5:$B$1204,A156,'Recipe Ingredients'!$V$5:$V$1204,"&lt;&gt;",'Recipe Ingredients'!$V$5:$V$1204,"&lt;&gt;None")=0,"None listed",COUNTIFS('Recipe Ingredients'!$B$5:$B$1204,A156,'Recipe Ingredients'!$V$5:$V$1204,"&lt;&gt;",'Recipe Ingredients'!$V$5:$V$1204,"&lt;&gt;None")&amp;" ingredient(s) flagged"))</f>
        <v>0</v>
      </c>
      <c r="AK156" s="18">
        <f>IF(OR(AD156="",NOT(ISNUMBER(AD156))),"",COUNTIFS($AD$5:$AD$204,"&lt;"&amp;AD156)+COUNTIFS($AD$5:AD156,AD156))</f>
        <v>0</v>
      </c>
      <c r="AL156" s="18">
        <f>IF(B156="",0,IF(AND(OR(FilterDiet="Any",T156=FilterDiet),OR(FilterCategory="Any",C156=FilterCategory),OR(FilterMethod="Any",L156=FilterMethod),OR(FilterTime=0,AND(J156&lt;&gt;"",J156&lt;=FilterTime)),OR(FilterCost=0,AND(AD156&lt;&gt;"",ISNUMBER(AD156),AD156&lt;=FilterCost)),OR(FilterAllergen="Any",COUNTIFS('Recipe Ingredients'!$B$5:$B$1204,A156,'Recipe Ingredients'!$V$5:$V$1204,FilterAllergen)=0)),1,0))</f>
        <v>0</v>
      </c>
      <c r="AM156" s="18">
        <f>IF(AL156=0,"",SUM($AL$5:AL156))</f>
        <v>0</v>
      </c>
      <c r="AN156" s="18">
        <f>IF(B156="","",COUNTIFS($AZ$5:$AZ$204,"&gt;"&amp;AZ156)+COUNTIFS($AZ$5:AZ156,AZ156))</f>
        <v>0</v>
      </c>
      <c r="AO156" s="18">
        <f>IF(B156="","",COUNTIFS($AE$5:$AE$204,"&gt;"&amp;AE156)+COUNTIFS($AE$5:AE156,AE156))</f>
        <v>0</v>
      </c>
      <c r="AP156" s="18">
        <f>IF(B156="","",COUNTIFS($AF$5:$AF$204,"&gt;"&amp;AF156)+COUNTIFS($AF$5:AF156,AF156))</f>
        <v>0</v>
      </c>
      <c r="AQ156" s="18">
        <f>IF(B156="","",COUNTIFS($AI$5:$AI$204,"&gt;"&amp;AI156)+COUNTIFS($AI$5:AI156,AI156))</f>
        <v>0</v>
      </c>
      <c r="AR156" s="18">
        <f>IF(B156="","",COUNTIFS($AS$5:$AS$204,"&gt;"&amp;AS156)+COUNTIFS($AS$5:AS156,AS156))</f>
        <v>0</v>
      </c>
      <c r="AS156" s="45">
        <f>IF(B156="","",IF(BB156="",99999,BC156))</f>
        <v>0</v>
      </c>
      <c r="AT156" s="45">
        <f>IF(A156="",0,SUMIFS('Meal Plan'!$L$5:$L$504,'Meal Plan'!$G$5:$G$504,A156,'Meal Plan'!$B$5:$B$504,"&gt;="&amp;ShopFrom,'Meal Plan'!$B$5:$B$504,"&lt;="&amp;ShopTo,'Meal Plan'!$M$5:$M$504,"Yes"))</f>
        <v>0</v>
      </c>
      <c r="AU156" s="25">
        <f>IF(OR(A156="",AC156=""),"",AC156*AT156)</f>
        <v>0</v>
      </c>
      <c r="AV156" s="18">
        <f>IF(A156="","",COUNTIFS('Recipe Ingredients'!$B$5:$B$1204,A156,'Recipe Ingredients'!$N$5:$N$1204,""))</f>
        <v>0</v>
      </c>
      <c r="AZ156" s="18">
        <f>IF(A156="","",COUNTIFS('Meal Plan'!$G$5:$G$504,A156))</f>
        <v>0</v>
      </c>
      <c r="BA156" s="18">
        <f>IF(A156="","",COUNTIFS('Meal Plan'!$G$5:$G$504,A156,'Meal Plan'!$N$5:$N$504,"Prepared")+COUNTIFS('Meal Plan'!$G$5:$G$504,A156,'Meal Plan'!$N$5:$N$504,"Eaten"))</f>
        <v>0</v>
      </c>
      <c r="BB156" s="19">
        <f>IF(A156="","",IF(COUNTIFS('Meal Plan'!$G$5:$G$504,A156,'Meal Plan'!$B$5:$B$504,"&lt;="&amp;TODAY())=0,"",SUMPRODUCT(MAX(('Meal Plan'!$G$5:$G$504=A156)*('Meal Plan'!$B$5:$B$504&lt;=TODAY())*'Meal Plan'!$B$5:$B$504))))</f>
        <v>0</v>
      </c>
      <c r="BC156" s="18">
        <f>IF(BB156="","",TODAY()-BB156)</f>
        <v>0</v>
      </c>
      <c r="BF156" s="31">
        <f>IF(B156="","",IF(G156="","Add - how many does it serve?",IF(AB156=0,"Add - no ingredients listed yet",IF(AV156&gt;0,"Check - "&amp;AV156&amp;" ingredient(s) have no price",IF(AND(BC156&lt;&gt;"",BC156&lt;RotationGapDays),"Cooked recently","OK")))))</f>
        <v>0</v>
      </c>
    </row>
    <row r="157" spans="1:58">
      <c r="A157" s="39">
        <f>IF(B157="","",RecipePrefix&amp;TEXT(ROW()-4,"0000"))</f>
        <v>0</v>
      </c>
      <c r="J157" s="18">
        <f>IF(B157="","",IF(AND(H157="",I157=""),"",IF(H157="",0,H157)+IF(I157="",0,I157)))</f>
        <v>0</v>
      </c>
      <c r="K157" s="46">
        <f>IF(J157="","",IF(J157&lt;=30,"Yes","No"))</f>
        <v>0</v>
      </c>
      <c r="AB157" s="18">
        <f>IF(A157="","",COUNTIFS('Recipe Ingredients'!$B$5:$B$1204,A157))</f>
        <v>0</v>
      </c>
      <c r="AC157" s="25">
        <f>IF(A157="","",SUMIFS('Recipe Ingredients'!$N$5:$N$1204,'Recipe Ingredients'!$B$5:$B$1204,A157))</f>
        <v>0</v>
      </c>
      <c r="AD157" s="25">
        <f>IF(OR(AC157="",G157=""),"",IF(G157=0,"",AC157/G157))</f>
        <v>0</v>
      </c>
      <c r="AE157" s="30">
        <f>IF(OR(A157="",G157=""),"",IF(G157=0,"",SUMIFS('Recipe Ingredients'!$Q$5:$Q$1204,'Recipe Ingredients'!$B$5:$B$1204,A157)/G157))</f>
        <v>0</v>
      </c>
      <c r="AF157" s="45">
        <f>IF(OR(A157="",G157=""),"",IF(G157=0,"",SUMIFS('Recipe Ingredients'!$R$5:$R$1204,'Recipe Ingredients'!$B$5:$B$1204,A157)/G157))</f>
        <v>0</v>
      </c>
      <c r="AG157" s="45">
        <f>IF(OR(A157="",G157=""),"",IF(G157=0,"",SUMIFS('Recipe Ingredients'!$S$5:$S$1204,'Recipe Ingredients'!$B$5:$B$1204,A157)/G157))</f>
        <v>0</v>
      </c>
      <c r="AH157" s="45">
        <f>IF(OR(A157="",G157=""),"",IF(G157=0,"",SUMIFS('Recipe Ingredients'!$T$5:$T$1204,'Recipe Ingredients'!$B$5:$B$1204,A157)/G157))</f>
        <v>0</v>
      </c>
      <c r="AI157" s="45">
        <f>IF(OR(A157="",G157=""),"",IF(G157=0,"",SUMIFS('Recipe Ingredients'!$U$5:$U$1204,'Recipe Ingredients'!$B$5:$B$1204,A157)/G157))</f>
        <v>0</v>
      </c>
      <c r="AJ157" s="17">
        <f>IF(A157="","",IF(COUNTIFS('Recipe Ingredients'!$B$5:$B$1204,A157,'Recipe Ingredients'!$V$5:$V$1204,"&lt;&gt;",'Recipe Ingredients'!$V$5:$V$1204,"&lt;&gt;None")=0,"None listed",COUNTIFS('Recipe Ingredients'!$B$5:$B$1204,A157,'Recipe Ingredients'!$V$5:$V$1204,"&lt;&gt;",'Recipe Ingredients'!$V$5:$V$1204,"&lt;&gt;None")&amp;" ingredient(s) flagged"))</f>
        <v>0</v>
      </c>
      <c r="AK157" s="18">
        <f>IF(OR(AD157="",NOT(ISNUMBER(AD157))),"",COUNTIFS($AD$5:$AD$204,"&lt;"&amp;AD157)+COUNTIFS($AD$5:AD157,AD157))</f>
        <v>0</v>
      </c>
      <c r="AL157" s="18">
        <f>IF(B157="",0,IF(AND(OR(FilterDiet="Any",T157=FilterDiet),OR(FilterCategory="Any",C157=FilterCategory),OR(FilterMethod="Any",L157=FilterMethod),OR(FilterTime=0,AND(J157&lt;&gt;"",J157&lt;=FilterTime)),OR(FilterCost=0,AND(AD157&lt;&gt;"",ISNUMBER(AD157),AD157&lt;=FilterCost)),OR(FilterAllergen="Any",COUNTIFS('Recipe Ingredients'!$B$5:$B$1204,A157,'Recipe Ingredients'!$V$5:$V$1204,FilterAllergen)=0)),1,0))</f>
        <v>0</v>
      </c>
      <c r="AM157" s="18">
        <f>IF(AL157=0,"",SUM($AL$5:AL157))</f>
        <v>0</v>
      </c>
      <c r="AN157" s="18">
        <f>IF(B157="","",COUNTIFS($AZ$5:$AZ$204,"&gt;"&amp;AZ157)+COUNTIFS($AZ$5:AZ157,AZ157))</f>
        <v>0</v>
      </c>
      <c r="AO157" s="18">
        <f>IF(B157="","",COUNTIFS($AE$5:$AE$204,"&gt;"&amp;AE157)+COUNTIFS($AE$5:AE157,AE157))</f>
        <v>0</v>
      </c>
      <c r="AP157" s="18">
        <f>IF(B157="","",COUNTIFS($AF$5:$AF$204,"&gt;"&amp;AF157)+COUNTIFS($AF$5:AF157,AF157))</f>
        <v>0</v>
      </c>
      <c r="AQ157" s="18">
        <f>IF(B157="","",COUNTIFS($AI$5:$AI$204,"&gt;"&amp;AI157)+COUNTIFS($AI$5:AI157,AI157))</f>
        <v>0</v>
      </c>
      <c r="AR157" s="18">
        <f>IF(B157="","",COUNTIFS($AS$5:$AS$204,"&gt;"&amp;AS157)+COUNTIFS($AS$5:AS157,AS157))</f>
        <v>0</v>
      </c>
      <c r="AS157" s="45">
        <f>IF(B157="","",IF(BB157="",99999,BC157))</f>
        <v>0</v>
      </c>
      <c r="AT157" s="45">
        <f>IF(A157="",0,SUMIFS('Meal Plan'!$L$5:$L$504,'Meal Plan'!$G$5:$G$504,A157,'Meal Plan'!$B$5:$B$504,"&gt;="&amp;ShopFrom,'Meal Plan'!$B$5:$B$504,"&lt;="&amp;ShopTo,'Meal Plan'!$M$5:$M$504,"Yes"))</f>
        <v>0</v>
      </c>
      <c r="AU157" s="25">
        <f>IF(OR(A157="",AC157=""),"",AC157*AT157)</f>
        <v>0</v>
      </c>
      <c r="AV157" s="18">
        <f>IF(A157="","",COUNTIFS('Recipe Ingredients'!$B$5:$B$1204,A157,'Recipe Ingredients'!$N$5:$N$1204,""))</f>
        <v>0</v>
      </c>
      <c r="AZ157" s="18">
        <f>IF(A157="","",COUNTIFS('Meal Plan'!$G$5:$G$504,A157))</f>
        <v>0</v>
      </c>
      <c r="BA157" s="18">
        <f>IF(A157="","",COUNTIFS('Meal Plan'!$G$5:$G$504,A157,'Meal Plan'!$N$5:$N$504,"Prepared")+COUNTIFS('Meal Plan'!$G$5:$G$504,A157,'Meal Plan'!$N$5:$N$504,"Eaten"))</f>
        <v>0</v>
      </c>
      <c r="BB157" s="19">
        <f>IF(A157="","",IF(COUNTIFS('Meal Plan'!$G$5:$G$504,A157,'Meal Plan'!$B$5:$B$504,"&lt;="&amp;TODAY())=0,"",SUMPRODUCT(MAX(('Meal Plan'!$G$5:$G$504=A157)*('Meal Plan'!$B$5:$B$504&lt;=TODAY())*'Meal Plan'!$B$5:$B$504))))</f>
        <v>0</v>
      </c>
      <c r="BC157" s="18">
        <f>IF(BB157="","",TODAY()-BB157)</f>
        <v>0</v>
      </c>
      <c r="BF157" s="31">
        <f>IF(B157="","",IF(G157="","Add - how many does it serve?",IF(AB157=0,"Add - no ingredients listed yet",IF(AV157&gt;0,"Check - "&amp;AV157&amp;" ingredient(s) have no price",IF(AND(BC157&lt;&gt;"",BC157&lt;RotationGapDays),"Cooked recently","OK")))))</f>
        <v>0</v>
      </c>
    </row>
    <row r="158" spans="1:58">
      <c r="A158" s="39">
        <f>IF(B158="","",RecipePrefix&amp;TEXT(ROW()-4,"0000"))</f>
        <v>0</v>
      </c>
      <c r="J158" s="18">
        <f>IF(B158="","",IF(AND(H158="",I158=""),"",IF(H158="",0,H158)+IF(I158="",0,I158)))</f>
        <v>0</v>
      </c>
      <c r="K158" s="46">
        <f>IF(J158="","",IF(J158&lt;=30,"Yes","No"))</f>
        <v>0</v>
      </c>
      <c r="AB158" s="18">
        <f>IF(A158="","",COUNTIFS('Recipe Ingredients'!$B$5:$B$1204,A158))</f>
        <v>0</v>
      </c>
      <c r="AC158" s="25">
        <f>IF(A158="","",SUMIFS('Recipe Ingredients'!$N$5:$N$1204,'Recipe Ingredients'!$B$5:$B$1204,A158))</f>
        <v>0</v>
      </c>
      <c r="AD158" s="25">
        <f>IF(OR(AC158="",G158=""),"",IF(G158=0,"",AC158/G158))</f>
        <v>0</v>
      </c>
      <c r="AE158" s="30">
        <f>IF(OR(A158="",G158=""),"",IF(G158=0,"",SUMIFS('Recipe Ingredients'!$Q$5:$Q$1204,'Recipe Ingredients'!$B$5:$B$1204,A158)/G158))</f>
        <v>0</v>
      </c>
      <c r="AF158" s="45">
        <f>IF(OR(A158="",G158=""),"",IF(G158=0,"",SUMIFS('Recipe Ingredients'!$R$5:$R$1204,'Recipe Ingredients'!$B$5:$B$1204,A158)/G158))</f>
        <v>0</v>
      </c>
      <c r="AG158" s="45">
        <f>IF(OR(A158="",G158=""),"",IF(G158=0,"",SUMIFS('Recipe Ingredients'!$S$5:$S$1204,'Recipe Ingredients'!$B$5:$B$1204,A158)/G158))</f>
        <v>0</v>
      </c>
      <c r="AH158" s="45">
        <f>IF(OR(A158="",G158=""),"",IF(G158=0,"",SUMIFS('Recipe Ingredients'!$T$5:$T$1204,'Recipe Ingredients'!$B$5:$B$1204,A158)/G158))</f>
        <v>0</v>
      </c>
      <c r="AI158" s="45">
        <f>IF(OR(A158="",G158=""),"",IF(G158=0,"",SUMIFS('Recipe Ingredients'!$U$5:$U$1204,'Recipe Ingredients'!$B$5:$B$1204,A158)/G158))</f>
        <v>0</v>
      </c>
      <c r="AJ158" s="17">
        <f>IF(A158="","",IF(COUNTIFS('Recipe Ingredients'!$B$5:$B$1204,A158,'Recipe Ingredients'!$V$5:$V$1204,"&lt;&gt;",'Recipe Ingredients'!$V$5:$V$1204,"&lt;&gt;None")=0,"None listed",COUNTIFS('Recipe Ingredients'!$B$5:$B$1204,A158,'Recipe Ingredients'!$V$5:$V$1204,"&lt;&gt;",'Recipe Ingredients'!$V$5:$V$1204,"&lt;&gt;None")&amp;" ingredient(s) flagged"))</f>
        <v>0</v>
      </c>
      <c r="AK158" s="18">
        <f>IF(OR(AD158="",NOT(ISNUMBER(AD158))),"",COUNTIFS($AD$5:$AD$204,"&lt;"&amp;AD158)+COUNTIFS($AD$5:AD158,AD158))</f>
        <v>0</v>
      </c>
      <c r="AL158" s="18">
        <f>IF(B158="",0,IF(AND(OR(FilterDiet="Any",T158=FilterDiet),OR(FilterCategory="Any",C158=FilterCategory),OR(FilterMethod="Any",L158=FilterMethod),OR(FilterTime=0,AND(J158&lt;&gt;"",J158&lt;=FilterTime)),OR(FilterCost=0,AND(AD158&lt;&gt;"",ISNUMBER(AD158),AD158&lt;=FilterCost)),OR(FilterAllergen="Any",COUNTIFS('Recipe Ingredients'!$B$5:$B$1204,A158,'Recipe Ingredients'!$V$5:$V$1204,FilterAllergen)=0)),1,0))</f>
        <v>0</v>
      </c>
      <c r="AM158" s="18">
        <f>IF(AL158=0,"",SUM($AL$5:AL158))</f>
        <v>0</v>
      </c>
      <c r="AN158" s="18">
        <f>IF(B158="","",COUNTIFS($AZ$5:$AZ$204,"&gt;"&amp;AZ158)+COUNTIFS($AZ$5:AZ158,AZ158))</f>
        <v>0</v>
      </c>
      <c r="AO158" s="18">
        <f>IF(B158="","",COUNTIFS($AE$5:$AE$204,"&gt;"&amp;AE158)+COUNTIFS($AE$5:AE158,AE158))</f>
        <v>0</v>
      </c>
      <c r="AP158" s="18">
        <f>IF(B158="","",COUNTIFS($AF$5:$AF$204,"&gt;"&amp;AF158)+COUNTIFS($AF$5:AF158,AF158))</f>
        <v>0</v>
      </c>
      <c r="AQ158" s="18">
        <f>IF(B158="","",COUNTIFS($AI$5:$AI$204,"&gt;"&amp;AI158)+COUNTIFS($AI$5:AI158,AI158))</f>
        <v>0</v>
      </c>
      <c r="AR158" s="18">
        <f>IF(B158="","",COUNTIFS($AS$5:$AS$204,"&gt;"&amp;AS158)+COUNTIFS($AS$5:AS158,AS158))</f>
        <v>0</v>
      </c>
      <c r="AS158" s="45">
        <f>IF(B158="","",IF(BB158="",99999,BC158))</f>
        <v>0</v>
      </c>
      <c r="AT158" s="45">
        <f>IF(A158="",0,SUMIFS('Meal Plan'!$L$5:$L$504,'Meal Plan'!$G$5:$G$504,A158,'Meal Plan'!$B$5:$B$504,"&gt;="&amp;ShopFrom,'Meal Plan'!$B$5:$B$504,"&lt;="&amp;ShopTo,'Meal Plan'!$M$5:$M$504,"Yes"))</f>
        <v>0</v>
      </c>
      <c r="AU158" s="25">
        <f>IF(OR(A158="",AC158=""),"",AC158*AT158)</f>
        <v>0</v>
      </c>
      <c r="AV158" s="18">
        <f>IF(A158="","",COUNTIFS('Recipe Ingredients'!$B$5:$B$1204,A158,'Recipe Ingredients'!$N$5:$N$1204,""))</f>
        <v>0</v>
      </c>
      <c r="AZ158" s="18">
        <f>IF(A158="","",COUNTIFS('Meal Plan'!$G$5:$G$504,A158))</f>
        <v>0</v>
      </c>
      <c r="BA158" s="18">
        <f>IF(A158="","",COUNTIFS('Meal Plan'!$G$5:$G$504,A158,'Meal Plan'!$N$5:$N$504,"Prepared")+COUNTIFS('Meal Plan'!$G$5:$G$504,A158,'Meal Plan'!$N$5:$N$504,"Eaten"))</f>
        <v>0</v>
      </c>
      <c r="BB158" s="19">
        <f>IF(A158="","",IF(COUNTIFS('Meal Plan'!$G$5:$G$504,A158,'Meal Plan'!$B$5:$B$504,"&lt;="&amp;TODAY())=0,"",SUMPRODUCT(MAX(('Meal Plan'!$G$5:$G$504=A158)*('Meal Plan'!$B$5:$B$504&lt;=TODAY())*'Meal Plan'!$B$5:$B$504))))</f>
        <v>0</v>
      </c>
      <c r="BC158" s="18">
        <f>IF(BB158="","",TODAY()-BB158)</f>
        <v>0</v>
      </c>
      <c r="BF158" s="31">
        <f>IF(B158="","",IF(G158="","Add - how many does it serve?",IF(AB158=0,"Add - no ingredients listed yet",IF(AV158&gt;0,"Check - "&amp;AV158&amp;" ingredient(s) have no price",IF(AND(BC158&lt;&gt;"",BC158&lt;RotationGapDays),"Cooked recently","OK")))))</f>
        <v>0</v>
      </c>
    </row>
    <row r="159" spans="1:58">
      <c r="A159" s="39">
        <f>IF(B159="","",RecipePrefix&amp;TEXT(ROW()-4,"0000"))</f>
        <v>0</v>
      </c>
      <c r="J159" s="18">
        <f>IF(B159="","",IF(AND(H159="",I159=""),"",IF(H159="",0,H159)+IF(I159="",0,I159)))</f>
        <v>0</v>
      </c>
      <c r="K159" s="46">
        <f>IF(J159="","",IF(J159&lt;=30,"Yes","No"))</f>
        <v>0</v>
      </c>
      <c r="AB159" s="18">
        <f>IF(A159="","",COUNTIFS('Recipe Ingredients'!$B$5:$B$1204,A159))</f>
        <v>0</v>
      </c>
      <c r="AC159" s="25">
        <f>IF(A159="","",SUMIFS('Recipe Ingredients'!$N$5:$N$1204,'Recipe Ingredients'!$B$5:$B$1204,A159))</f>
        <v>0</v>
      </c>
      <c r="AD159" s="25">
        <f>IF(OR(AC159="",G159=""),"",IF(G159=0,"",AC159/G159))</f>
        <v>0</v>
      </c>
      <c r="AE159" s="30">
        <f>IF(OR(A159="",G159=""),"",IF(G159=0,"",SUMIFS('Recipe Ingredients'!$Q$5:$Q$1204,'Recipe Ingredients'!$B$5:$B$1204,A159)/G159))</f>
        <v>0</v>
      </c>
      <c r="AF159" s="45">
        <f>IF(OR(A159="",G159=""),"",IF(G159=0,"",SUMIFS('Recipe Ingredients'!$R$5:$R$1204,'Recipe Ingredients'!$B$5:$B$1204,A159)/G159))</f>
        <v>0</v>
      </c>
      <c r="AG159" s="45">
        <f>IF(OR(A159="",G159=""),"",IF(G159=0,"",SUMIFS('Recipe Ingredients'!$S$5:$S$1204,'Recipe Ingredients'!$B$5:$B$1204,A159)/G159))</f>
        <v>0</v>
      </c>
      <c r="AH159" s="45">
        <f>IF(OR(A159="",G159=""),"",IF(G159=0,"",SUMIFS('Recipe Ingredients'!$T$5:$T$1204,'Recipe Ingredients'!$B$5:$B$1204,A159)/G159))</f>
        <v>0</v>
      </c>
      <c r="AI159" s="45">
        <f>IF(OR(A159="",G159=""),"",IF(G159=0,"",SUMIFS('Recipe Ingredients'!$U$5:$U$1204,'Recipe Ingredients'!$B$5:$B$1204,A159)/G159))</f>
        <v>0</v>
      </c>
      <c r="AJ159" s="17">
        <f>IF(A159="","",IF(COUNTIFS('Recipe Ingredients'!$B$5:$B$1204,A159,'Recipe Ingredients'!$V$5:$V$1204,"&lt;&gt;",'Recipe Ingredients'!$V$5:$V$1204,"&lt;&gt;None")=0,"None listed",COUNTIFS('Recipe Ingredients'!$B$5:$B$1204,A159,'Recipe Ingredients'!$V$5:$V$1204,"&lt;&gt;",'Recipe Ingredients'!$V$5:$V$1204,"&lt;&gt;None")&amp;" ingredient(s) flagged"))</f>
        <v>0</v>
      </c>
      <c r="AK159" s="18">
        <f>IF(OR(AD159="",NOT(ISNUMBER(AD159))),"",COUNTIFS($AD$5:$AD$204,"&lt;"&amp;AD159)+COUNTIFS($AD$5:AD159,AD159))</f>
        <v>0</v>
      </c>
      <c r="AL159" s="18">
        <f>IF(B159="",0,IF(AND(OR(FilterDiet="Any",T159=FilterDiet),OR(FilterCategory="Any",C159=FilterCategory),OR(FilterMethod="Any",L159=FilterMethod),OR(FilterTime=0,AND(J159&lt;&gt;"",J159&lt;=FilterTime)),OR(FilterCost=0,AND(AD159&lt;&gt;"",ISNUMBER(AD159),AD159&lt;=FilterCost)),OR(FilterAllergen="Any",COUNTIFS('Recipe Ingredients'!$B$5:$B$1204,A159,'Recipe Ingredients'!$V$5:$V$1204,FilterAllergen)=0)),1,0))</f>
        <v>0</v>
      </c>
      <c r="AM159" s="18">
        <f>IF(AL159=0,"",SUM($AL$5:AL159))</f>
        <v>0</v>
      </c>
      <c r="AN159" s="18">
        <f>IF(B159="","",COUNTIFS($AZ$5:$AZ$204,"&gt;"&amp;AZ159)+COUNTIFS($AZ$5:AZ159,AZ159))</f>
        <v>0</v>
      </c>
      <c r="AO159" s="18">
        <f>IF(B159="","",COUNTIFS($AE$5:$AE$204,"&gt;"&amp;AE159)+COUNTIFS($AE$5:AE159,AE159))</f>
        <v>0</v>
      </c>
      <c r="AP159" s="18">
        <f>IF(B159="","",COUNTIFS($AF$5:$AF$204,"&gt;"&amp;AF159)+COUNTIFS($AF$5:AF159,AF159))</f>
        <v>0</v>
      </c>
      <c r="AQ159" s="18">
        <f>IF(B159="","",COUNTIFS($AI$5:$AI$204,"&gt;"&amp;AI159)+COUNTIFS($AI$5:AI159,AI159))</f>
        <v>0</v>
      </c>
      <c r="AR159" s="18">
        <f>IF(B159="","",COUNTIFS($AS$5:$AS$204,"&gt;"&amp;AS159)+COUNTIFS($AS$5:AS159,AS159))</f>
        <v>0</v>
      </c>
      <c r="AS159" s="45">
        <f>IF(B159="","",IF(BB159="",99999,BC159))</f>
        <v>0</v>
      </c>
      <c r="AT159" s="45">
        <f>IF(A159="",0,SUMIFS('Meal Plan'!$L$5:$L$504,'Meal Plan'!$G$5:$G$504,A159,'Meal Plan'!$B$5:$B$504,"&gt;="&amp;ShopFrom,'Meal Plan'!$B$5:$B$504,"&lt;="&amp;ShopTo,'Meal Plan'!$M$5:$M$504,"Yes"))</f>
        <v>0</v>
      </c>
      <c r="AU159" s="25">
        <f>IF(OR(A159="",AC159=""),"",AC159*AT159)</f>
        <v>0</v>
      </c>
      <c r="AV159" s="18">
        <f>IF(A159="","",COUNTIFS('Recipe Ingredients'!$B$5:$B$1204,A159,'Recipe Ingredients'!$N$5:$N$1204,""))</f>
        <v>0</v>
      </c>
      <c r="AZ159" s="18">
        <f>IF(A159="","",COUNTIFS('Meal Plan'!$G$5:$G$504,A159))</f>
        <v>0</v>
      </c>
      <c r="BA159" s="18">
        <f>IF(A159="","",COUNTIFS('Meal Plan'!$G$5:$G$504,A159,'Meal Plan'!$N$5:$N$504,"Prepared")+COUNTIFS('Meal Plan'!$G$5:$G$504,A159,'Meal Plan'!$N$5:$N$504,"Eaten"))</f>
        <v>0</v>
      </c>
      <c r="BB159" s="19">
        <f>IF(A159="","",IF(COUNTIFS('Meal Plan'!$G$5:$G$504,A159,'Meal Plan'!$B$5:$B$504,"&lt;="&amp;TODAY())=0,"",SUMPRODUCT(MAX(('Meal Plan'!$G$5:$G$504=A159)*('Meal Plan'!$B$5:$B$504&lt;=TODAY())*'Meal Plan'!$B$5:$B$504))))</f>
        <v>0</v>
      </c>
      <c r="BC159" s="18">
        <f>IF(BB159="","",TODAY()-BB159)</f>
        <v>0</v>
      </c>
      <c r="BF159" s="31">
        <f>IF(B159="","",IF(G159="","Add - how many does it serve?",IF(AB159=0,"Add - no ingredients listed yet",IF(AV159&gt;0,"Check - "&amp;AV159&amp;" ingredient(s) have no price",IF(AND(BC159&lt;&gt;"",BC159&lt;RotationGapDays),"Cooked recently","OK")))))</f>
        <v>0</v>
      </c>
    </row>
    <row r="160" spans="1:58">
      <c r="A160" s="39">
        <f>IF(B160="","",RecipePrefix&amp;TEXT(ROW()-4,"0000"))</f>
        <v>0</v>
      </c>
      <c r="J160" s="18">
        <f>IF(B160="","",IF(AND(H160="",I160=""),"",IF(H160="",0,H160)+IF(I160="",0,I160)))</f>
        <v>0</v>
      </c>
      <c r="K160" s="46">
        <f>IF(J160="","",IF(J160&lt;=30,"Yes","No"))</f>
        <v>0</v>
      </c>
      <c r="AB160" s="18">
        <f>IF(A160="","",COUNTIFS('Recipe Ingredients'!$B$5:$B$1204,A160))</f>
        <v>0</v>
      </c>
      <c r="AC160" s="25">
        <f>IF(A160="","",SUMIFS('Recipe Ingredients'!$N$5:$N$1204,'Recipe Ingredients'!$B$5:$B$1204,A160))</f>
        <v>0</v>
      </c>
      <c r="AD160" s="25">
        <f>IF(OR(AC160="",G160=""),"",IF(G160=0,"",AC160/G160))</f>
        <v>0</v>
      </c>
      <c r="AE160" s="30">
        <f>IF(OR(A160="",G160=""),"",IF(G160=0,"",SUMIFS('Recipe Ingredients'!$Q$5:$Q$1204,'Recipe Ingredients'!$B$5:$B$1204,A160)/G160))</f>
        <v>0</v>
      </c>
      <c r="AF160" s="45">
        <f>IF(OR(A160="",G160=""),"",IF(G160=0,"",SUMIFS('Recipe Ingredients'!$R$5:$R$1204,'Recipe Ingredients'!$B$5:$B$1204,A160)/G160))</f>
        <v>0</v>
      </c>
      <c r="AG160" s="45">
        <f>IF(OR(A160="",G160=""),"",IF(G160=0,"",SUMIFS('Recipe Ingredients'!$S$5:$S$1204,'Recipe Ingredients'!$B$5:$B$1204,A160)/G160))</f>
        <v>0</v>
      </c>
      <c r="AH160" s="45">
        <f>IF(OR(A160="",G160=""),"",IF(G160=0,"",SUMIFS('Recipe Ingredients'!$T$5:$T$1204,'Recipe Ingredients'!$B$5:$B$1204,A160)/G160))</f>
        <v>0</v>
      </c>
      <c r="AI160" s="45">
        <f>IF(OR(A160="",G160=""),"",IF(G160=0,"",SUMIFS('Recipe Ingredients'!$U$5:$U$1204,'Recipe Ingredients'!$B$5:$B$1204,A160)/G160))</f>
        <v>0</v>
      </c>
      <c r="AJ160" s="17">
        <f>IF(A160="","",IF(COUNTIFS('Recipe Ingredients'!$B$5:$B$1204,A160,'Recipe Ingredients'!$V$5:$V$1204,"&lt;&gt;",'Recipe Ingredients'!$V$5:$V$1204,"&lt;&gt;None")=0,"None listed",COUNTIFS('Recipe Ingredients'!$B$5:$B$1204,A160,'Recipe Ingredients'!$V$5:$V$1204,"&lt;&gt;",'Recipe Ingredients'!$V$5:$V$1204,"&lt;&gt;None")&amp;" ingredient(s) flagged"))</f>
        <v>0</v>
      </c>
      <c r="AK160" s="18">
        <f>IF(OR(AD160="",NOT(ISNUMBER(AD160))),"",COUNTIFS($AD$5:$AD$204,"&lt;"&amp;AD160)+COUNTIFS($AD$5:AD160,AD160))</f>
        <v>0</v>
      </c>
      <c r="AL160" s="18">
        <f>IF(B160="",0,IF(AND(OR(FilterDiet="Any",T160=FilterDiet),OR(FilterCategory="Any",C160=FilterCategory),OR(FilterMethod="Any",L160=FilterMethod),OR(FilterTime=0,AND(J160&lt;&gt;"",J160&lt;=FilterTime)),OR(FilterCost=0,AND(AD160&lt;&gt;"",ISNUMBER(AD160),AD160&lt;=FilterCost)),OR(FilterAllergen="Any",COUNTIFS('Recipe Ingredients'!$B$5:$B$1204,A160,'Recipe Ingredients'!$V$5:$V$1204,FilterAllergen)=0)),1,0))</f>
        <v>0</v>
      </c>
      <c r="AM160" s="18">
        <f>IF(AL160=0,"",SUM($AL$5:AL160))</f>
        <v>0</v>
      </c>
      <c r="AN160" s="18">
        <f>IF(B160="","",COUNTIFS($AZ$5:$AZ$204,"&gt;"&amp;AZ160)+COUNTIFS($AZ$5:AZ160,AZ160))</f>
        <v>0</v>
      </c>
      <c r="AO160" s="18">
        <f>IF(B160="","",COUNTIFS($AE$5:$AE$204,"&gt;"&amp;AE160)+COUNTIFS($AE$5:AE160,AE160))</f>
        <v>0</v>
      </c>
      <c r="AP160" s="18">
        <f>IF(B160="","",COUNTIFS($AF$5:$AF$204,"&gt;"&amp;AF160)+COUNTIFS($AF$5:AF160,AF160))</f>
        <v>0</v>
      </c>
      <c r="AQ160" s="18">
        <f>IF(B160="","",COUNTIFS($AI$5:$AI$204,"&gt;"&amp;AI160)+COUNTIFS($AI$5:AI160,AI160))</f>
        <v>0</v>
      </c>
      <c r="AR160" s="18">
        <f>IF(B160="","",COUNTIFS($AS$5:$AS$204,"&gt;"&amp;AS160)+COUNTIFS($AS$5:AS160,AS160))</f>
        <v>0</v>
      </c>
      <c r="AS160" s="45">
        <f>IF(B160="","",IF(BB160="",99999,BC160))</f>
        <v>0</v>
      </c>
      <c r="AT160" s="45">
        <f>IF(A160="",0,SUMIFS('Meal Plan'!$L$5:$L$504,'Meal Plan'!$G$5:$G$504,A160,'Meal Plan'!$B$5:$B$504,"&gt;="&amp;ShopFrom,'Meal Plan'!$B$5:$B$504,"&lt;="&amp;ShopTo,'Meal Plan'!$M$5:$M$504,"Yes"))</f>
        <v>0</v>
      </c>
      <c r="AU160" s="25">
        <f>IF(OR(A160="",AC160=""),"",AC160*AT160)</f>
        <v>0</v>
      </c>
      <c r="AV160" s="18">
        <f>IF(A160="","",COUNTIFS('Recipe Ingredients'!$B$5:$B$1204,A160,'Recipe Ingredients'!$N$5:$N$1204,""))</f>
        <v>0</v>
      </c>
      <c r="AZ160" s="18">
        <f>IF(A160="","",COUNTIFS('Meal Plan'!$G$5:$G$504,A160))</f>
        <v>0</v>
      </c>
      <c r="BA160" s="18">
        <f>IF(A160="","",COUNTIFS('Meal Plan'!$G$5:$G$504,A160,'Meal Plan'!$N$5:$N$504,"Prepared")+COUNTIFS('Meal Plan'!$G$5:$G$504,A160,'Meal Plan'!$N$5:$N$504,"Eaten"))</f>
        <v>0</v>
      </c>
      <c r="BB160" s="19">
        <f>IF(A160="","",IF(COUNTIFS('Meal Plan'!$G$5:$G$504,A160,'Meal Plan'!$B$5:$B$504,"&lt;="&amp;TODAY())=0,"",SUMPRODUCT(MAX(('Meal Plan'!$G$5:$G$504=A160)*('Meal Plan'!$B$5:$B$504&lt;=TODAY())*'Meal Plan'!$B$5:$B$504))))</f>
        <v>0</v>
      </c>
      <c r="BC160" s="18">
        <f>IF(BB160="","",TODAY()-BB160)</f>
        <v>0</v>
      </c>
      <c r="BF160" s="31">
        <f>IF(B160="","",IF(G160="","Add - how many does it serve?",IF(AB160=0,"Add - no ingredients listed yet",IF(AV160&gt;0,"Check - "&amp;AV160&amp;" ingredient(s) have no price",IF(AND(BC160&lt;&gt;"",BC160&lt;RotationGapDays),"Cooked recently","OK")))))</f>
        <v>0</v>
      </c>
    </row>
    <row r="161" spans="1:58">
      <c r="A161" s="39">
        <f>IF(B161="","",RecipePrefix&amp;TEXT(ROW()-4,"0000"))</f>
        <v>0</v>
      </c>
      <c r="J161" s="18">
        <f>IF(B161="","",IF(AND(H161="",I161=""),"",IF(H161="",0,H161)+IF(I161="",0,I161)))</f>
        <v>0</v>
      </c>
      <c r="K161" s="46">
        <f>IF(J161="","",IF(J161&lt;=30,"Yes","No"))</f>
        <v>0</v>
      </c>
      <c r="AB161" s="18">
        <f>IF(A161="","",COUNTIFS('Recipe Ingredients'!$B$5:$B$1204,A161))</f>
        <v>0</v>
      </c>
      <c r="AC161" s="25">
        <f>IF(A161="","",SUMIFS('Recipe Ingredients'!$N$5:$N$1204,'Recipe Ingredients'!$B$5:$B$1204,A161))</f>
        <v>0</v>
      </c>
      <c r="AD161" s="25">
        <f>IF(OR(AC161="",G161=""),"",IF(G161=0,"",AC161/G161))</f>
        <v>0</v>
      </c>
      <c r="AE161" s="30">
        <f>IF(OR(A161="",G161=""),"",IF(G161=0,"",SUMIFS('Recipe Ingredients'!$Q$5:$Q$1204,'Recipe Ingredients'!$B$5:$B$1204,A161)/G161))</f>
        <v>0</v>
      </c>
      <c r="AF161" s="45">
        <f>IF(OR(A161="",G161=""),"",IF(G161=0,"",SUMIFS('Recipe Ingredients'!$R$5:$R$1204,'Recipe Ingredients'!$B$5:$B$1204,A161)/G161))</f>
        <v>0</v>
      </c>
      <c r="AG161" s="45">
        <f>IF(OR(A161="",G161=""),"",IF(G161=0,"",SUMIFS('Recipe Ingredients'!$S$5:$S$1204,'Recipe Ingredients'!$B$5:$B$1204,A161)/G161))</f>
        <v>0</v>
      </c>
      <c r="AH161" s="45">
        <f>IF(OR(A161="",G161=""),"",IF(G161=0,"",SUMIFS('Recipe Ingredients'!$T$5:$T$1204,'Recipe Ingredients'!$B$5:$B$1204,A161)/G161))</f>
        <v>0</v>
      </c>
      <c r="AI161" s="45">
        <f>IF(OR(A161="",G161=""),"",IF(G161=0,"",SUMIFS('Recipe Ingredients'!$U$5:$U$1204,'Recipe Ingredients'!$B$5:$B$1204,A161)/G161))</f>
        <v>0</v>
      </c>
      <c r="AJ161" s="17">
        <f>IF(A161="","",IF(COUNTIFS('Recipe Ingredients'!$B$5:$B$1204,A161,'Recipe Ingredients'!$V$5:$V$1204,"&lt;&gt;",'Recipe Ingredients'!$V$5:$V$1204,"&lt;&gt;None")=0,"None listed",COUNTIFS('Recipe Ingredients'!$B$5:$B$1204,A161,'Recipe Ingredients'!$V$5:$V$1204,"&lt;&gt;",'Recipe Ingredients'!$V$5:$V$1204,"&lt;&gt;None")&amp;" ingredient(s) flagged"))</f>
        <v>0</v>
      </c>
      <c r="AK161" s="18">
        <f>IF(OR(AD161="",NOT(ISNUMBER(AD161))),"",COUNTIFS($AD$5:$AD$204,"&lt;"&amp;AD161)+COUNTIFS($AD$5:AD161,AD161))</f>
        <v>0</v>
      </c>
      <c r="AL161" s="18">
        <f>IF(B161="",0,IF(AND(OR(FilterDiet="Any",T161=FilterDiet),OR(FilterCategory="Any",C161=FilterCategory),OR(FilterMethod="Any",L161=FilterMethod),OR(FilterTime=0,AND(J161&lt;&gt;"",J161&lt;=FilterTime)),OR(FilterCost=0,AND(AD161&lt;&gt;"",ISNUMBER(AD161),AD161&lt;=FilterCost)),OR(FilterAllergen="Any",COUNTIFS('Recipe Ingredients'!$B$5:$B$1204,A161,'Recipe Ingredients'!$V$5:$V$1204,FilterAllergen)=0)),1,0))</f>
        <v>0</v>
      </c>
      <c r="AM161" s="18">
        <f>IF(AL161=0,"",SUM($AL$5:AL161))</f>
        <v>0</v>
      </c>
      <c r="AN161" s="18">
        <f>IF(B161="","",COUNTIFS($AZ$5:$AZ$204,"&gt;"&amp;AZ161)+COUNTIFS($AZ$5:AZ161,AZ161))</f>
        <v>0</v>
      </c>
      <c r="AO161" s="18">
        <f>IF(B161="","",COUNTIFS($AE$5:$AE$204,"&gt;"&amp;AE161)+COUNTIFS($AE$5:AE161,AE161))</f>
        <v>0</v>
      </c>
      <c r="AP161" s="18">
        <f>IF(B161="","",COUNTIFS($AF$5:$AF$204,"&gt;"&amp;AF161)+COUNTIFS($AF$5:AF161,AF161))</f>
        <v>0</v>
      </c>
      <c r="AQ161" s="18">
        <f>IF(B161="","",COUNTIFS($AI$5:$AI$204,"&gt;"&amp;AI161)+COUNTIFS($AI$5:AI161,AI161))</f>
        <v>0</v>
      </c>
      <c r="AR161" s="18">
        <f>IF(B161="","",COUNTIFS($AS$5:$AS$204,"&gt;"&amp;AS161)+COUNTIFS($AS$5:AS161,AS161))</f>
        <v>0</v>
      </c>
      <c r="AS161" s="45">
        <f>IF(B161="","",IF(BB161="",99999,BC161))</f>
        <v>0</v>
      </c>
      <c r="AT161" s="45">
        <f>IF(A161="",0,SUMIFS('Meal Plan'!$L$5:$L$504,'Meal Plan'!$G$5:$G$504,A161,'Meal Plan'!$B$5:$B$504,"&gt;="&amp;ShopFrom,'Meal Plan'!$B$5:$B$504,"&lt;="&amp;ShopTo,'Meal Plan'!$M$5:$M$504,"Yes"))</f>
        <v>0</v>
      </c>
      <c r="AU161" s="25">
        <f>IF(OR(A161="",AC161=""),"",AC161*AT161)</f>
        <v>0</v>
      </c>
      <c r="AV161" s="18">
        <f>IF(A161="","",COUNTIFS('Recipe Ingredients'!$B$5:$B$1204,A161,'Recipe Ingredients'!$N$5:$N$1204,""))</f>
        <v>0</v>
      </c>
      <c r="AZ161" s="18">
        <f>IF(A161="","",COUNTIFS('Meal Plan'!$G$5:$G$504,A161))</f>
        <v>0</v>
      </c>
      <c r="BA161" s="18">
        <f>IF(A161="","",COUNTIFS('Meal Plan'!$G$5:$G$504,A161,'Meal Plan'!$N$5:$N$504,"Prepared")+COUNTIFS('Meal Plan'!$G$5:$G$504,A161,'Meal Plan'!$N$5:$N$504,"Eaten"))</f>
        <v>0</v>
      </c>
      <c r="BB161" s="19">
        <f>IF(A161="","",IF(COUNTIFS('Meal Plan'!$G$5:$G$504,A161,'Meal Plan'!$B$5:$B$504,"&lt;="&amp;TODAY())=0,"",SUMPRODUCT(MAX(('Meal Plan'!$G$5:$G$504=A161)*('Meal Plan'!$B$5:$B$504&lt;=TODAY())*'Meal Plan'!$B$5:$B$504))))</f>
        <v>0</v>
      </c>
      <c r="BC161" s="18">
        <f>IF(BB161="","",TODAY()-BB161)</f>
        <v>0</v>
      </c>
      <c r="BF161" s="31">
        <f>IF(B161="","",IF(G161="","Add - how many does it serve?",IF(AB161=0,"Add - no ingredients listed yet",IF(AV161&gt;0,"Check - "&amp;AV161&amp;" ingredient(s) have no price",IF(AND(BC161&lt;&gt;"",BC161&lt;RotationGapDays),"Cooked recently","OK")))))</f>
        <v>0</v>
      </c>
    </row>
    <row r="162" spans="1:58">
      <c r="A162" s="39">
        <f>IF(B162="","",RecipePrefix&amp;TEXT(ROW()-4,"0000"))</f>
        <v>0</v>
      </c>
      <c r="J162" s="18">
        <f>IF(B162="","",IF(AND(H162="",I162=""),"",IF(H162="",0,H162)+IF(I162="",0,I162)))</f>
        <v>0</v>
      </c>
      <c r="K162" s="46">
        <f>IF(J162="","",IF(J162&lt;=30,"Yes","No"))</f>
        <v>0</v>
      </c>
      <c r="AB162" s="18">
        <f>IF(A162="","",COUNTIFS('Recipe Ingredients'!$B$5:$B$1204,A162))</f>
        <v>0</v>
      </c>
      <c r="AC162" s="25">
        <f>IF(A162="","",SUMIFS('Recipe Ingredients'!$N$5:$N$1204,'Recipe Ingredients'!$B$5:$B$1204,A162))</f>
        <v>0</v>
      </c>
      <c r="AD162" s="25">
        <f>IF(OR(AC162="",G162=""),"",IF(G162=0,"",AC162/G162))</f>
        <v>0</v>
      </c>
      <c r="AE162" s="30">
        <f>IF(OR(A162="",G162=""),"",IF(G162=0,"",SUMIFS('Recipe Ingredients'!$Q$5:$Q$1204,'Recipe Ingredients'!$B$5:$B$1204,A162)/G162))</f>
        <v>0</v>
      </c>
      <c r="AF162" s="45">
        <f>IF(OR(A162="",G162=""),"",IF(G162=0,"",SUMIFS('Recipe Ingredients'!$R$5:$R$1204,'Recipe Ingredients'!$B$5:$B$1204,A162)/G162))</f>
        <v>0</v>
      </c>
      <c r="AG162" s="45">
        <f>IF(OR(A162="",G162=""),"",IF(G162=0,"",SUMIFS('Recipe Ingredients'!$S$5:$S$1204,'Recipe Ingredients'!$B$5:$B$1204,A162)/G162))</f>
        <v>0</v>
      </c>
      <c r="AH162" s="45">
        <f>IF(OR(A162="",G162=""),"",IF(G162=0,"",SUMIFS('Recipe Ingredients'!$T$5:$T$1204,'Recipe Ingredients'!$B$5:$B$1204,A162)/G162))</f>
        <v>0</v>
      </c>
      <c r="AI162" s="45">
        <f>IF(OR(A162="",G162=""),"",IF(G162=0,"",SUMIFS('Recipe Ingredients'!$U$5:$U$1204,'Recipe Ingredients'!$B$5:$B$1204,A162)/G162))</f>
        <v>0</v>
      </c>
      <c r="AJ162" s="17">
        <f>IF(A162="","",IF(COUNTIFS('Recipe Ingredients'!$B$5:$B$1204,A162,'Recipe Ingredients'!$V$5:$V$1204,"&lt;&gt;",'Recipe Ingredients'!$V$5:$V$1204,"&lt;&gt;None")=0,"None listed",COUNTIFS('Recipe Ingredients'!$B$5:$B$1204,A162,'Recipe Ingredients'!$V$5:$V$1204,"&lt;&gt;",'Recipe Ingredients'!$V$5:$V$1204,"&lt;&gt;None")&amp;" ingredient(s) flagged"))</f>
        <v>0</v>
      </c>
      <c r="AK162" s="18">
        <f>IF(OR(AD162="",NOT(ISNUMBER(AD162))),"",COUNTIFS($AD$5:$AD$204,"&lt;"&amp;AD162)+COUNTIFS($AD$5:AD162,AD162))</f>
        <v>0</v>
      </c>
      <c r="AL162" s="18">
        <f>IF(B162="",0,IF(AND(OR(FilterDiet="Any",T162=FilterDiet),OR(FilterCategory="Any",C162=FilterCategory),OR(FilterMethod="Any",L162=FilterMethod),OR(FilterTime=0,AND(J162&lt;&gt;"",J162&lt;=FilterTime)),OR(FilterCost=0,AND(AD162&lt;&gt;"",ISNUMBER(AD162),AD162&lt;=FilterCost)),OR(FilterAllergen="Any",COUNTIFS('Recipe Ingredients'!$B$5:$B$1204,A162,'Recipe Ingredients'!$V$5:$V$1204,FilterAllergen)=0)),1,0))</f>
        <v>0</v>
      </c>
      <c r="AM162" s="18">
        <f>IF(AL162=0,"",SUM($AL$5:AL162))</f>
        <v>0</v>
      </c>
      <c r="AN162" s="18">
        <f>IF(B162="","",COUNTIFS($AZ$5:$AZ$204,"&gt;"&amp;AZ162)+COUNTIFS($AZ$5:AZ162,AZ162))</f>
        <v>0</v>
      </c>
      <c r="AO162" s="18">
        <f>IF(B162="","",COUNTIFS($AE$5:$AE$204,"&gt;"&amp;AE162)+COUNTIFS($AE$5:AE162,AE162))</f>
        <v>0</v>
      </c>
      <c r="AP162" s="18">
        <f>IF(B162="","",COUNTIFS($AF$5:$AF$204,"&gt;"&amp;AF162)+COUNTIFS($AF$5:AF162,AF162))</f>
        <v>0</v>
      </c>
      <c r="AQ162" s="18">
        <f>IF(B162="","",COUNTIFS($AI$5:$AI$204,"&gt;"&amp;AI162)+COUNTIFS($AI$5:AI162,AI162))</f>
        <v>0</v>
      </c>
      <c r="AR162" s="18">
        <f>IF(B162="","",COUNTIFS($AS$5:$AS$204,"&gt;"&amp;AS162)+COUNTIFS($AS$5:AS162,AS162))</f>
        <v>0</v>
      </c>
      <c r="AS162" s="45">
        <f>IF(B162="","",IF(BB162="",99999,BC162))</f>
        <v>0</v>
      </c>
      <c r="AT162" s="45">
        <f>IF(A162="",0,SUMIFS('Meal Plan'!$L$5:$L$504,'Meal Plan'!$G$5:$G$504,A162,'Meal Plan'!$B$5:$B$504,"&gt;="&amp;ShopFrom,'Meal Plan'!$B$5:$B$504,"&lt;="&amp;ShopTo,'Meal Plan'!$M$5:$M$504,"Yes"))</f>
        <v>0</v>
      </c>
      <c r="AU162" s="25">
        <f>IF(OR(A162="",AC162=""),"",AC162*AT162)</f>
        <v>0</v>
      </c>
      <c r="AV162" s="18">
        <f>IF(A162="","",COUNTIFS('Recipe Ingredients'!$B$5:$B$1204,A162,'Recipe Ingredients'!$N$5:$N$1204,""))</f>
        <v>0</v>
      </c>
      <c r="AZ162" s="18">
        <f>IF(A162="","",COUNTIFS('Meal Plan'!$G$5:$G$504,A162))</f>
        <v>0</v>
      </c>
      <c r="BA162" s="18">
        <f>IF(A162="","",COUNTIFS('Meal Plan'!$G$5:$G$504,A162,'Meal Plan'!$N$5:$N$504,"Prepared")+COUNTIFS('Meal Plan'!$G$5:$G$504,A162,'Meal Plan'!$N$5:$N$504,"Eaten"))</f>
        <v>0</v>
      </c>
      <c r="BB162" s="19">
        <f>IF(A162="","",IF(COUNTIFS('Meal Plan'!$G$5:$G$504,A162,'Meal Plan'!$B$5:$B$504,"&lt;="&amp;TODAY())=0,"",SUMPRODUCT(MAX(('Meal Plan'!$G$5:$G$504=A162)*('Meal Plan'!$B$5:$B$504&lt;=TODAY())*'Meal Plan'!$B$5:$B$504))))</f>
        <v>0</v>
      </c>
      <c r="BC162" s="18">
        <f>IF(BB162="","",TODAY()-BB162)</f>
        <v>0</v>
      </c>
      <c r="BF162" s="31">
        <f>IF(B162="","",IF(G162="","Add - how many does it serve?",IF(AB162=0,"Add - no ingredients listed yet",IF(AV162&gt;0,"Check - "&amp;AV162&amp;" ingredient(s) have no price",IF(AND(BC162&lt;&gt;"",BC162&lt;RotationGapDays),"Cooked recently","OK")))))</f>
        <v>0</v>
      </c>
    </row>
    <row r="163" spans="1:58">
      <c r="A163" s="39">
        <f>IF(B163="","",RecipePrefix&amp;TEXT(ROW()-4,"0000"))</f>
        <v>0</v>
      </c>
      <c r="J163" s="18">
        <f>IF(B163="","",IF(AND(H163="",I163=""),"",IF(H163="",0,H163)+IF(I163="",0,I163)))</f>
        <v>0</v>
      </c>
      <c r="K163" s="46">
        <f>IF(J163="","",IF(J163&lt;=30,"Yes","No"))</f>
        <v>0</v>
      </c>
      <c r="AB163" s="18">
        <f>IF(A163="","",COUNTIFS('Recipe Ingredients'!$B$5:$B$1204,A163))</f>
        <v>0</v>
      </c>
      <c r="AC163" s="25">
        <f>IF(A163="","",SUMIFS('Recipe Ingredients'!$N$5:$N$1204,'Recipe Ingredients'!$B$5:$B$1204,A163))</f>
        <v>0</v>
      </c>
      <c r="AD163" s="25">
        <f>IF(OR(AC163="",G163=""),"",IF(G163=0,"",AC163/G163))</f>
        <v>0</v>
      </c>
      <c r="AE163" s="30">
        <f>IF(OR(A163="",G163=""),"",IF(G163=0,"",SUMIFS('Recipe Ingredients'!$Q$5:$Q$1204,'Recipe Ingredients'!$B$5:$B$1204,A163)/G163))</f>
        <v>0</v>
      </c>
      <c r="AF163" s="45">
        <f>IF(OR(A163="",G163=""),"",IF(G163=0,"",SUMIFS('Recipe Ingredients'!$R$5:$R$1204,'Recipe Ingredients'!$B$5:$B$1204,A163)/G163))</f>
        <v>0</v>
      </c>
      <c r="AG163" s="45">
        <f>IF(OR(A163="",G163=""),"",IF(G163=0,"",SUMIFS('Recipe Ingredients'!$S$5:$S$1204,'Recipe Ingredients'!$B$5:$B$1204,A163)/G163))</f>
        <v>0</v>
      </c>
      <c r="AH163" s="45">
        <f>IF(OR(A163="",G163=""),"",IF(G163=0,"",SUMIFS('Recipe Ingredients'!$T$5:$T$1204,'Recipe Ingredients'!$B$5:$B$1204,A163)/G163))</f>
        <v>0</v>
      </c>
      <c r="AI163" s="45">
        <f>IF(OR(A163="",G163=""),"",IF(G163=0,"",SUMIFS('Recipe Ingredients'!$U$5:$U$1204,'Recipe Ingredients'!$B$5:$B$1204,A163)/G163))</f>
        <v>0</v>
      </c>
      <c r="AJ163" s="17">
        <f>IF(A163="","",IF(COUNTIFS('Recipe Ingredients'!$B$5:$B$1204,A163,'Recipe Ingredients'!$V$5:$V$1204,"&lt;&gt;",'Recipe Ingredients'!$V$5:$V$1204,"&lt;&gt;None")=0,"None listed",COUNTIFS('Recipe Ingredients'!$B$5:$B$1204,A163,'Recipe Ingredients'!$V$5:$V$1204,"&lt;&gt;",'Recipe Ingredients'!$V$5:$V$1204,"&lt;&gt;None")&amp;" ingredient(s) flagged"))</f>
        <v>0</v>
      </c>
      <c r="AK163" s="18">
        <f>IF(OR(AD163="",NOT(ISNUMBER(AD163))),"",COUNTIFS($AD$5:$AD$204,"&lt;"&amp;AD163)+COUNTIFS($AD$5:AD163,AD163))</f>
        <v>0</v>
      </c>
      <c r="AL163" s="18">
        <f>IF(B163="",0,IF(AND(OR(FilterDiet="Any",T163=FilterDiet),OR(FilterCategory="Any",C163=FilterCategory),OR(FilterMethod="Any",L163=FilterMethod),OR(FilterTime=0,AND(J163&lt;&gt;"",J163&lt;=FilterTime)),OR(FilterCost=0,AND(AD163&lt;&gt;"",ISNUMBER(AD163),AD163&lt;=FilterCost)),OR(FilterAllergen="Any",COUNTIFS('Recipe Ingredients'!$B$5:$B$1204,A163,'Recipe Ingredients'!$V$5:$V$1204,FilterAllergen)=0)),1,0))</f>
        <v>0</v>
      </c>
      <c r="AM163" s="18">
        <f>IF(AL163=0,"",SUM($AL$5:AL163))</f>
        <v>0</v>
      </c>
      <c r="AN163" s="18">
        <f>IF(B163="","",COUNTIFS($AZ$5:$AZ$204,"&gt;"&amp;AZ163)+COUNTIFS($AZ$5:AZ163,AZ163))</f>
        <v>0</v>
      </c>
      <c r="AO163" s="18">
        <f>IF(B163="","",COUNTIFS($AE$5:$AE$204,"&gt;"&amp;AE163)+COUNTIFS($AE$5:AE163,AE163))</f>
        <v>0</v>
      </c>
      <c r="AP163" s="18">
        <f>IF(B163="","",COUNTIFS($AF$5:$AF$204,"&gt;"&amp;AF163)+COUNTIFS($AF$5:AF163,AF163))</f>
        <v>0</v>
      </c>
      <c r="AQ163" s="18">
        <f>IF(B163="","",COUNTIFS($AI$5:$AI$204,"&gt;"&amp;AI163)+COUNTIFS($AI$5:AI163,AI163))</f>
        <v>0</v>
      </c>
      <c r="AR163" s="18">
        <f>IF(B163="","",COUNTIFS($AS$5:$AS$204,"&gt;"&amp;AS163)+COUNTIFS($AS$5:AS163,AS163))</f>
        <v>0</v>
      </c>
      <c r="AS163" s="45">
        <f>IF(B163="","",IF(BB163="",99999,BC163))</f>
        <v>0</v>
      </c>
      <c r="AT163" s="45">
        <f>IF(A163="",0,SUMIFS('Meal Plan'!$L$5:$L$504,'Meal Plan'!$G$5:$G$504,A163,'Meal Plan'!$B$5:$B$504,"&gt;="&amp;ShopFrom,'Meal Plan'!$B$5:$B$504,"&lt;="&amp;ShopTo,'Meal Plan'!$M$5:$M$504,"Yes"))</f>
        <v>0</v>
      </c>
      <c r="AU163" s="25">
        <f>IF(OR(A163="",AC163=""),"",AC163*AT163)</f>
        <v>0</v>
      </c>
      <c r="AV163" s="18">
        <f>IF(A163="","",COUNTIFS('Recipe Ingredients'!$B$5:$B$1204,A163,'Recipe Ingredients'!$N$5:$N$1204,""))</f>
        <v>0</v>
      </c>
      <c r="AZ163" s="18">
        <f>IF(A163="","",COUNTIFS('Meal Plan'!$G$5:$G$504,A163))</f>
        <v>0</v>
      </c>
      <c r="BA163" s="18">
        <f>IF(A163="","",COUNTIFS('Meal Plan'!$G$5:$G$504,A163,'Meal Plan'!$N$5:$N$504,"Prepared")+COUNTIFS('Meal Plan'!$G$5:$G$504,A163,'Meal Plan'!$N$5:$N$504,"Eaten"))</f>
        <v>0</v>
      </c>
      <c r="BB163" s="19">
        <f>IF(A163="","",IF(COUNTIFS('Meal Plan'!$G$5:$G$504,A163,'Meal Plan'!$B$5:$B$504,"&lt;="&amp;TODAY())=0,"",SUMPRODUCT(MAX(('Meal Plan'!$G$5:$G$504=A163)*('Meal Plan'!$B$5:$B$504&lt;=TODAY())*'Meal Plan'!$B$5:$B$504))))</f>
        <v>0</v>
      </c>
      <c r="BC163" s="18">
        <f>IF(BB163="","",TODAY()-BB163)</f>
        <v>0</v>
      </c>
      <c r="BF163" s="31">
        <f>IF(B163="","",IF(G163="","Add - how many does it serve?",IF(AB163=0,"Add - no ingredients listed yet",IF(AV163&gt;0,"Check - "&amp;AV163&amp;" ingredient(s) have no price",IF(AND(BC163&lt;&gt;"",BC163&lt;RotationGapDays),"Cooked recently","OK")))))</f>
        <v>0</v>
      </c>
    </row>
    <row r="164" spans="1:58">
      <c r="A164" s="39">
        <f>IF(B164="","",RecipePrefix&amp;TEXT(ROW()-4,"0000"))</f>
        <v>0</v>
      </c>
      <c r="J164" s="18">
        <f>IF(B164="","",IF(AND(H164="",I164=""),"",IF(H164="",0,H164)+IF(I164="",0,I164)))</f>
        <v>0</v>
      </c>
      <c r="K164" s="46">
        <f>IF(J164="","",IF(J164&lt;=30,"Yes","No"))</f>
        <v>0</v>
      </c>
      <c r="AB164" s="18">
        <f>IF(A164="","",COUNTIFS('Recipe Ingredients'!$B$5:$B$1204,A164))</f>
        <v>0</v>
      </c>
      <c r="AC164" s="25">
        <f>IF(A164="","",SUMIFS('Recipe Ingredients'!$N$5:$N$1204,'Recipe Ingredients'!$B$5:$B$1204,A164))</f>
        <v>0</v>
      </c>
      <c r="AD164" s="25">
        <f>IF(OR(AC164="",G164=""),"",IF(G164=0,"",AC164/G164))</f>
        <v>0</v>
      </c>
      <c r="AE164" s="30">
        <f>IF(OR(A164="",G164=""),"",IF(G164=0,"",SUMIFS('Recipe Ingredients'!$Q$5:$Q$1204,'Recipe Ingredients'!$B$5:$B$1204,A164)/G164))</f>
        <v>0</v>
      </c>
      <c r="AF164" s="45">
        <f>IF(OR(A164="",G164=""),"",IF(G164=0,"",SUMIFS('Recipe Ingredients'!$R$5:$R$1204,'Recipe Ingredients'!$B$5:$B$1204,A164)/G164))</f>
        <v>0</v>
      </c>
      <c r="AG164" s="45">
        <f>IF(OR(A164="",G164=""),"",IF(G164=0,"",SUMIFS('Recipe Ingredients'!$S$5:$S$1204,'Recipe Ingredients'!$B$5:$B$1204,A164)/G164))</f>
        <v>0</v>
      </c>
      <c r="AH164" s="45">
        <f>IF(OR(A164="",G164=""),"",IF(G164=0,"",SUMIFS('Recipe Ingredients'!$T$5:$T$1204,'Recipe Ingredients'!$B$5:$B$1204,A164)/G164))</f>
        <v>0</v>
      </c>
      <c r="AI164" s="45">
        <f>IF(OR(A164="",G164=""),"",IF(G164=0,"",SUMIFS('Recipe Ingredients'!$U$5:$U$1204,'Recipe Ingredients'!$B$5:$B$1204,A164)/G164))</f>
        <v>0</v>
      </c>
      <c r="AJ164" s="17">
        <f>IF(A164="","",IF(COUNTIFS('Recipe Ingredients'!$B$5:$B$1204,A164,'Recipe Ingredients'!$V$5:$V$1204,"&lt;&gt;",'Recipe Ingredients'!$V$5:$V$1204,"&lt;&gt;None")=0,"None listed",COUNTIFS('Recipe Ingredients'!$B$5:$B$1204,A164,'Recipe Ingredients'!$V$5:$V$1204,"&lt;&gt;",'Recipe Ingredients'!$V$5:$V$1204,"&lt;&gt;None")&amp;" ingredient(s) flagged"))</f>
        <v>0</v>
      </c>
      <c r="AK164" s="18">
        <f>IF(OR(AD164="",NOT(ISNUMBER(AD164))),"",COUNTIFS($AD$5:$AD$204,"&lt;"&amp;AD164)+COUNTIFS($AD$5:AD164,AD164))</f>
        <v>0</v>
      </c>
      <c r="AL164" s="18">
        <f>IF(B164="",0,IF(AND(OR(FilterDiet="Any",T164=FilterDiet),OR(FilterCategory="Any",C164=FilterCategory),OR(FilterMethod="Any",L164=FilterMethod),OR(FilterTime=0,AND(J164&lt;&gt;"",J164&lt;=FilterTime)),OR(FilterCost=0,AND(AD164&lt;&gt;"",ISNUMBER(AD164),AD164&lt;=FilterCost)),OR(FilterAllergen="Any",COUNTIFS('Recipe Ingredients'!$B$5:$B$1204,A164,'Recipe Ingredients'!$V$5:$V$1204,FilterAllergen)=0)),1,0))</f>
        <v>0</v>
      </c>
      <c r="AM164" s="18">
        <f>IF(AL164=0,"",SUM($AL$5:AL164))</f>
        <v>0</v>
      </c>
      <c r="AN164" s="18">
        <f>IF(B164="","",COUNTIFS($AZ$5:$AZ$204,"&gt;"&amp;AZ164)+COUNTIFS($AZ$5:AZ164,AZ164))</f>
        <v>0</v>
      </c>
      <c r="AO164" s="18">
        <f>IF(B164="","",COUNTIFS($AE$5:$AE$204,"&gt;"&amp;AE164)+COUNTIFS($AE$5:AE164,AE164))</f>
        <v>0</v>
      </c>
      <c r="AP164" s="18">
        <f>IF(B164="","",COUNTIFS($AF$5:$AF$204,"&gt;"&amp;AF164)+COUNTIFS($AF$5:AF164,AF164))</f>
        <v>0</v>
      </c>
      <c r="AQ164" s="18">
        <f>IF(B164="","",COUNTIFS($AI$5:$AI$204,"&gt;"&amp;AI164)+COUNTIFS($AI$5:AI164,AI164))</f>
        <v>0</v>
      </c>
      <c r="AR164" s="18">
        <f>IF(B164="","",COUNTIFS($AS$5:$AS$204,"&gt;"&amp;AS164)+COUNTIFS($AS$5:AS164,AS164))</f>
        <v>0</v>
      </c>
      <c r="AS164" s="45">
        <f>IF(B164="","",IF(BB164="",99999,BC164))</f>
        <v>0</v>
      </c>
      <c r="AT164" s="45">
        <f>IF(A164="",0,SUMIFS('Meal Plan'!$L$5:$L$504,'Meal Plan'!$G$5:$G$504,A164,'Meal Plan'!$B$5:$B$504,"&gt;="&amp;ShopFrom,'Meal Plan'!$B$5:$B$504,"&lt;="&amp;ShopTo,'Meal Plan'!$M$5:$M$504,"Yes"))</f>
        <v>0</v>
      </c>
      <c r="AU164" s="25">
        <f>IF(OR(A164="",AC164=""),"",AC164*AT164)</f>
        <v>0</v>
      </c>
      <c r="AV164" s="18">
        <f>IF(A164="","",COUNTIFS('Recipe Ingredients'!$B$5:$B$1204,A164,'Recipe Ingredients'!$N$5:$N$1204,""))</f>
        <v>0</v>
      </c>
      <c r="AZ164" s="18">
        <f>IF(A164="","",COUNTIFS('Meal Plan'!$G$5:$G$504,A164))</f>
        <v>0</v>
      </c>
      <c r="BA164" s="18">
        <f>IF(A164="","",COUNTIFS('Meal Plan'!$G$5:$G$504,A164,'Meal Plan'!$N$5:$N$504,"Prepared")+COUNTIFS('Meal Plan'!$G$5:$G$504,A164,'Meal Plan'!$N$5:$N$504,"Eaten"))</f>
        <v>0</v>
      </c>
      <c r="BB164" s="19">
        <f>IF(A164="","",IF(COUNTIFS('Meal Plan'!$G$5:$G$504,A164,'Meal Plan'!$B$5:$B$504,"&lt;="&amp;TODAY())=0,"",SUMPRODUCT(MAX(('Meal Plan'!$G$5:$G$504=A164)*('Meal Plan'!$B$5:$B$504&lt;=TODAY())*'Meal Plan'!$B$5:$B$504))))</f>
        <v>0</v>
      </c>
      <c r="BC164" s="18">
        <f>IF(BB164="","",TODAY()-BB164)</f>
        <v>0</v>
      </c>
      <c r="BF164" s="31">
        <f>IF(B164="","",IF(G164="","Add - how many does it serve?",IF(AB164=0,"Add - no ingredients listed yet",IF(AV164&gt;0,"Check - "&amp;AV164&amp;" ingredient(s) have no price",IF(AND(BC164&lt;&gt;"",BC164&lt;RotationGapDays),"Cooked recently","OK")))))</f>
        <v>0</v>
      </c>
    </row>
    <row r="165" spans="1:58">
      <c r="A165" s="39">
        <f>IF(B165="","",RecipePrefix&amp;TEXT(ROW()-4,"0000"))</f>
        <v>0</v>
      </c>
      <c r="J165" s="18">
        <f>IF(B165="","",IF(AND(H165="",I165=""),"",IF(H165="",0,H165)+IF(I165="",0,I165)))</f>
        <v>0</v>
      </c>
      <c r="K165" s="46">
        <f>IF(J165="","",IF(J165&lt;=30,"Yes","No"))</f>
        <v>0</v>
      </c>
      <c r="AB165" s="18">
        <f>IF(A165="","",COUNTIFS('Recipe Ingredients'!$B$5:$B$1204,A165))</f>
        <v>0</v>
      </c>
      <c r="AC165" s="25">
        <f>IF(A165="","",SUMIFS('Recipe Ingredients'!$N$5:$N$1204,'Recipe Ingredients'!$B$5:$B$1204,A165))</f>
        <v>0</v>
      </c>
      <c r="AD165" s="25">
        <f>IF(OR(AC165="",G165=""),"",IF(G165=0,"",AC165/G165))</f>
        <v>0</v>
      </c>
      <c r="AE165" s="30">
        <f>IF(OR(A165="",G165=""),"",IF(G165=0,"",SUMIFS('Recipe Ingredients'!$Q$5:$Q$1204,'Recipe Ingredients'!$B$5:$B$1204,A165)/G165))</f>
        <v>0</v>
      </c>
      <c r="AF165" s="45">
        <f>IF(OR(A165="",G165=""),"",IF(G165=0,"",SUMIFS('Recipe Ingredients'!$R$5:$R$1204,'Recipe Ingredients'!$B$5:$B$1204,A165)/G165))</f>
        <v>0</v>
      </c>
      <c r="AG165" s="45">
        <f>IF(OR(A165="",G165=""),"",IF(G165=0,"",SUMIFS('Recipe Ingredients'!$S$5:$S$1204,'Recipe Ingredients'!$B$5:$B$1204,A165)/G165))</f>
        <v>0</v>
      </c>
      <c r="AH165" s="45">
        <f>IF(OR(A165="",G165=""),"",IF(G165=0,"",SUMIFS('Recipe Ingredients'!$T$5:$T$1204,'Recipe Ingredients'!$B$5:$B$1204,A165)/G165))</f>
        <v>0</v>
      </c>
      <c r="AI165" s="45">
        <f>IF(OR(A165="",G165=""),"",IF(G165=0,"",SUMIFS('Recipe Ingredients'!$U$5:$U$1204,'Recipe Ingredients'!$B$5:$B$1204,A165)/G165))</f>
        <v>0</v>
      </c>
      <c r="AJ165" s="17">
        <f>IF(A165="","",IF(COUNTIFS('Recipe Ingredients'!$B$5:$B$1204,A165,'Recipe Ingredients'!$V$5:$V$1204,"&lt;&gt;",'Recipe Ingredients'!$V$5:$V$1204,"&lt;&gt;None")=0,"None listed",COUNTIFS('Recipe Ingredients'!$B$5:$B$1204,A165,'Recipe Ingredients'!$V$5:$V$1204,"&lt;&gt;",'Recipe Ingredients'!$V$5:$V$1204,"&lt;&gt;None")&amp;" ingredient(s) flagged"))</f>
        <v>0</v>
      </c>
      <c r="AK165" s="18">
        <f>IF(OR(AD165="",NOT(ISNUMBER(AD165))),"",COUNTIFS($AD$5:$AD$204,"&lt;"&amp;AD165)+COUNTIFS($AD$5:AD165,AD165))</f>
        <v>0</v>
      </c>
      <c r="AL165" s="18">
        <f>IF(B165="",0,IF(AND(OR(FilterDiet="Any",T165=FilterDiet),OR(FilterCategory="Any",C165=FilterCategory),OR(FilterMethod="Any",L165=FilterMethod),OR(FilterTime=0,AND(J165&lt;&gt;"",J165&lt;=FilterTime)),OR(FilterCost=0,AND(AD165&lt;&gt;"",ISNUMBER(AD165),AD165&lt;=FilterCost)),OR(FilterAllergen="Any",COUNTIFS('Recipe Ingredients'!$B$5:$B$1204,A165,'Recipe Ingredients'!$V$5:$V$1204,FilterAllergen)=0)),1,0))</f>
        <v>0</v>
      </c>
      <c r="AM165" s="18">
        <f>IF(AL165=0,"",SUM($AL$5:AL165))</f>
        <v>0</v>
      </c>
      <c r="AN165" s="18">
        <f>IF(B165="","",COUNTIFS($AZ$5:$AZ$204,"&gt;"&amp;AZ165)+COUNTIFS($AZ$5:AZ165,AZ165))</f>
        <v>0</v>
      </c>
      <c r="AO165" s="18">
        <f>IF(B165="","",COUNTIFS($AE$5:$AE$204,"&gt;"&amp;AE165)+COUNTIFS($AE$5:AE165,AE165))</f>
        <v>0</v>
      </c>
      <c r="AP165" s="18">
        <f>IF(B165="","",COUNTIFS($AF$5:$AF$204,"&gt;"&amp;AF165)+COUNTIFS($AF$5:AF165,AF165))</f>
        <v>0</v>
      </c>
      <c r="AQ165" s="18">
        <f>IF(B165="","",COUNTIFS($AI$5:$AI$204,"&gt;"&amp;AI165)+COUNTIFS($AI$5:AI165,AI165))</f>
        <v>0</v>
      </c>
      <c r="AR165" s="18">
        <f>IF(B165="","",COUNTIFS($AS$5:$AS$204,"&gt;"&amp;AS165)+COUNTIFS($AS$5:AS165,AS165))</f>
        <v>0</v>
      </c>
      <c r="AS165" s="45">
        <f>IF(B165="","",IF(BB165="",99999,BC165))</f>
        <v>0</v>
      </c>
      <c r="AT165" s="45">
        <f>IF(A165="",0,SUMIFS('Meal Plan'!$L$5:$L$504,'Meal Plan'!$G$5:$G$504,A165,'Meal Plan'!$B$5:$B$504,"&gt;="&amp;ShopFrom,'Meal Plan'!$B$5:$B$504,"&lt;="&amp;ShopTo,'Meal Plan'!$M$5:$M$504,"Yes"))</f>
        <v>0</v>
      </c>
      <c r="AU165" s="25">
        <f>IF(OR(A165="",AC165=""),"",AC165*AT165)</f>
        <v>0</v>
      </c>
      <c r="AV165" s="18">
        <f>IF(A165="","",COUNTIFS('Recipe Ingredients'!$B$5:$B$1204,A165,'Recipe Ingredients'!$N$5:$N$1204,""))</f>
        <v>0</v>
      </c>
      <c r="AZ165" s="18">
        <f>IF(A165="","",COUNTIFS('Meal Plan'!$G$5:$G$504,A165))</f>
        <v>0</v>
      </c>
      <c r="BA165" s="18">
        <f>IF(A165="","",COUNTIFS('Meal Plan'!$G$5:$G$504,A165,'Meal Plan'!$N$5:$N$504,"Prepared")+COUNTIFS('Meal Plan'!$G$5:$G$504,A165,'Meal Plan'!$N$5:$N$504,"Eaten"))</f>
        <v>0</v>
      </c>
      <c r="BB165" s="19">
        <f>IF(A165="","",IF(COUNTIFS('Meal Plan'!$G$5:$G$504,A165,'Meal Plan'!$B$5:$B$504,"&lt;="&amp;TODAY())=0,"",SUMPRODUCT(MAX(('Meal Plan'!$G$5:$G$504=A165)*('Meal Plan'!$B$5:$B$504&lt;=TODAY())*'Meal Plan'!$B$5:$B$504))))</f>
        <v>0</v>
      </c>
      <c r="BC165" s="18">
        <f>IF(BB165="","",TODAY()-BB165)</f>
        <v>0</v>
      </c>
      <c r="BF165" s="31">
        <f>IF(B165="","",IF(G165="","Add - how many does it serve?",IF(AB165=0,"Add - no ingredients listed yet",IF(AV165&gt;0,"Check - "&amp;AV165&amp;" ingredient(s) have no price",IF(AND(BC165&lt;&gt;"",BC165&lt;RotationGapDays),"Cooked recently","OK")))))</f>
        <v>0</v>
      </c>
    </row>
    <row r="166" spans="1:58">
      <c r="A166" s="39">
        <f>IF(B166="","",RecipePrefix&amp;TEXT(ROW()-4,"0000"))</f>
        <v>0</v>
      </c>
      <c r="J166" s="18">
        <f>IF(B166="","",IF(AND(H166="",I166=""),"",IF(H166="",0,H166)+IF(I166="",0,I166)))</f>
        <v>0</v>
      </c>
      <c r="K166" s="46">
        <f>IF(J166="","",IF(J166&lt;=30,"Yes","No"))</f>
        <v>0</v>
      </c>
      <c r="AB166" s="18">
        <f>IF(A166="","",COUNTIFS('Recipe Ingredients'!$B$5:$B$1204,A166))</f>
        <v>0</v>
      </c>
      <c r="AC166" s="25">
        <f>IF(A166="","",SUMIFS('Recipe Ingredients'!$N$5:$N$1204,'Recipe Ingredients'!$B$5:$B$1204,A166))</f>
        <v>0</v>
      </c>
      <c r="AD166" s="25">
        <f>IF(OR(AC166="",G166=""),"",IF(G166=0,"",AC166/G166))</f>
        <v>0</v>
      </c>
      <c r="AE166" s="30">
        <f>IF(OR(A166="",G166=""),"",IF(G166=0,"",SUMIFS('Recipe Ingredients'!$Q$5:$Q$1204,'Recipe Ingredients'!$B$5:$B$1204,A166)/G166))</f>
        <v>0</v>
      </c>
      <c r="AF166" s="45">
        <f>IF(OR(A166="",G166=""),"",IF(G166=0,"",SUMIFS('Recipe Ingredients'!$R$5:$R$1204,'Recipe Ingredients'!$B$5:$B$1204,A166)/G166))</f>
        <v>0</v>
      </c>
      <c r="AG166" s="45">
        <f>IF(OR(A166="",G166=""),"",IF(G166=0,"",SUMIFS('Recipe Ingredients'!$S$5:$S$1204,'Recipe Ingredients'!$B$5:$B$1204,A166)/G166))</f>
        <v>0</v>
      </c>
      <c r="AH166" s="45">
        <f>IF(OR(A166="",G166=""),"",IF(G166=0,"",SUMIFS('Recipe Ingredients'!$T$5:$T$1204,'Recipe Ingredients'!$B$5:$B$1204,A166)/G166))</f>
        <v>0</v>
      </c>
      <c r="AI166" s="45">
        <f>IF(OR(A166="",G166=""),"",IF(G166=0,"",SUMIFS('Recipe Ingredients'!$U$5:$U$1204,'Recipe Ingredients'!$B$5:$B$1204,A166)/G166))</f>
        <v>0</v>
      </c>
      <c r="AJ166" s="17">
        <f>IF(A166="","",IF(COUNTIFS('Recipe Ingredients'!$B$5:$B$1204,A166,'Recipe Ingredients'!$V$5:$V$1204,"&lt;&gt;",'Recipe Ingredients'!$V$5:$V$1204,"&lt;&gt;None")=0,"None listed",COUNTIFS('Recipe Ingredients'!$B$5:$B$1204,A166,'Recipe Ingredients'!$V$5:$V$1204,"&lt;&gt;",'Recipe Ingredients'!$V$5:$V$1204,"&lt;&gt;None")&amp;" ingredient(s) flagged"))</f>
        <v>0</v>
      </c>
      <c r="AK166" s="18">
        <f>IF(OR(AD166="",NOT(ISNUMBER(AD166))),"",COUNTIFS($AD$5:$AD$204,"&lt;"&amp;AD166)+COUNTIFS($AD$5:AD166,AD166))</f>
        <v>0</v>
      </c>
      <c r="AL166" s="18">
        <f>IF(B166="",0,IF(AND(OR(FilterDiet="Any",T166=FilterDiet),OR(FilterCategory="Any",C166=FilterCategory),OR(FilterMethod="Any",L166=FilterMethod),OR(FilterTime=0,AND(J166&lt;&gt;"",J166&lt;=FilterTime)),OR(FilterCost=0,AND(AD166&lt;&gt;"",ISNUMBER(AD166),AD166&lt;=FilterCost)),OR(FilterAllergen="Any",COUNTIFS('Recipe Ingredients'!$B$5:$B$1204,A166,'Recipe Ingredients'!$V$5:$V$1204,FilterAllergen)=0)),1,0))</f>
        <v>0</v>
      </c>
      <c r="AM166" s="18">
        <f>IF(AL166=0,"",SUM($AL$5:AL166))</f>
        <v>0</v>
      </c>
      <c r="AN166" s="18">
        <f>IF(B166="","",COUNTIFS($AZ$5:$AZ$204,"&gt;"&amp;AZ166)+COUNTIFS($AZ$5:AZ166,AZ166))</f>
        <v>0</v>
      </c>
      <c r="AO166" s="18">
        <f>IF(B166="","",COUNTIFS($AE$5:$AE$204,"&gt;"&amp;AE166)+COUNTIFS($AE$5:AE166,AE166))</f>
        <v>0</v>
      </c>
      <c r="AP166" s="18">
        <f>IF(B166="","",COUNTIFS($AF$5:$AF$204,"&gt;"&amp;AF166)+COUNTIFS($AF$5:AF166,AF166))</f>
        <v>0</v>
      </c>
      <c r="AQ166" s="18">
        <f>IF(B166="","",COUNTIFS($AI$5:$AI$204,"&gt;"&amp;AI166)+COUNTIFS($AI$5:AI166,AI166))</f>
        <v>0</v>
      </c>
      <c r="AR166" s="18">
        <f>IF(B166="","",COUNTIFS($AS$5:$AS$204,"&gt;"&amp;AS166)+COUNTIFS($AS$5:AS166,AS166))</f>
        <v>0</v>
      </c>
      <c r="AS166" s="45">
        <f>IF(B166="","",IF(BB166="",99999,BC166))</f>
        <v>0</v>
      </c>
      <c r="AT166" s="45">
        <f>IF(A166="",0,SUMIFS('Meal Plan'!$L$5:$L$504,'Meal Plan'!$G$5:$G$504,A166,'Meal Plan'!$B$5:$B$504,"&gt;="&amp;ShopFrom,'Meal Plan'!$B$5:$B$504,"&lt;="&amp;ShopTo,'Meal Plan'!$M$5:$M$504,"Yes"))</f>
        <v>0</v>
      </c>
      <c r="AU166" s="25">
        <f>IF(OR(A166="",AC166=""),"",AC166*AT166)</f>
        <v>0</v>
      </c>
      <c r="AV166" s="18">
        <f>IF(A166="","",COUNTIFS('Recipe Ingredients'!$B$5:$B$1204,A166,'Recipe Ingredients'!$N$5:$N$1204,""))</f>
        <v>0</v>
      </c>
      <c r="AZ166" s="18">
        <f>IF(A166="","",COUNTIFS('Meal Plan'!$G$5:$G$504,A166))</f>
        <v>0</v>
      </c>
      <c r="BA166" s="18">
        <f>IF(A166="","",COUNTIFS('Meal Plan'!$G$5:$G$504,A166,'Meal Plan'!$N$5:$N$504,"Prepared")+COUNTIFS('Meal Plan'!$G$5:$G$504,A166,'Meal Plan'!$N$5:$N$504,"Eaten"))</f>
        <v>0</v>
      </c>
      <c r="BB166" s="19">
        <f>IF(A166="","",IF(COUNTIFS('Meal Plan'!$G$5:$G$504,A166,'Meal Plan'!$B$5:$B$504,"&lt;="&amp;TODAY())=0,"",SUMPRODUCT(MAX(('Meal Plan'!$G$5:$G$504=A166)*('Meal Plan'!$B$5:$B$504&lt;=TODAY())*'Meal Plan'!$B$5:$B$504))))</f>
        <v>0</v>
      </c>
      <c r="BC166" s="18">
        <f>IF(BB166="","",TODAY()-BB166)</f>
        <v>0</v>
      </c>
      <c r="BF166" s="31">
        <f>IF(B166="","",IF(G166="","Add - how many does it serve?",IF(AB166=0,"Add - no ingredients listed yet",IF(AV166&gt;0,"Check - "&amp;AV166&amp;" ingredient(s) have no price",IF(AND(BC166&lt;&gt;"",BC166&lt;RotationGapDays),"Cooked recently","OK")))))</f>
        <v>0</v>
      </c>
    </row>
    <row r="167" spans="1:58">
      <c r="A167" s="39">
        <f>IF(B167="","",RecipePrefix&amp;TEXT(ROW()-4,"0000"))</f>
        <v>0</v>
      </c>
      <c r="J167" s="18">
        <f>IF(B167="","",IF(AND(H167="",I167=""),"",IF(H167="",0,H167)+IF(I167="",0,I167)))</f>
        <v>0</v>
      </c>
      <c r="K167" s="46">
        <f>IF(J167="","",IF(J167&lt;=30,"Yes","No"))</f>
        <v>0</v>
      </c>
      <c r="AB167" s="18">
        <f>IF(A167="","",COUNTIFS('Recipe Ingredients'!$B$5:$B$1204,A167))</f>
        <v>0</v>
      </c>
      <c r="AC167" s="25">
        <f>IF(A167="","",SUMIFS('Recipe Ingredients'!$N$5:$N$1204,'Recipe Ingredients'!$B$5:$B$1204,A167))</f>
        <v>0</v>
      </c>
      <c r="AD167" s="25">
        <f>IF(OR(AC167="",G167=""),"",IF(G167=0,"",AC167/G167))</f>
        <v>0</v>
      </c>
      <c r="AE167" s="30">
        <f>IF(OR(A167="",G167=""),"",IF(G167=0,"",SUMIFS('Recipe Ingredients'!$Q$5:$Q$1204,'Recipe Ingredients'!$B$5:$B$1204,A167)/G167))</f>
        <v>0</v>
      </c>
      <c r="AF167" s="45">
        <f>IF(OR(A167="",G167=""),"",IF(G167=0,"",SUMIFS('Recipe Ingredients'!$R$5:$R$1204,'Recipe Ingredients'!$B$5:$B$1204,A167)/G167))</f>
        <v>0</v>
      </c>
      <c r="AG167" s="45">
        <f>IF(OR(A167="",G167=""),"",IF(G167=0,"",SUMIFS('Recipe Ingredients'!$S$5:$S$1204,'Recipe Ingredients'!$B$5:$B$1204,A167)/G167))</f>
        <v>0</v>
      </c>
      <c r="AH167" s="45">
        <f>IF(OR(A167="",G167=""),"",IF(G167=0,"",SUMIFS('Recipe Ingredients'!$T$5:$T$1204,'Recipe Ingredients'!$B$5:$B$1204,A167)/G167))</f>
        <v>0</v>
      </c>
      <c r="AI167" s="45">
        <f>IF(OR(A167="",G167=""),"",IF(G167=0,"",SUMIFS('Recipe Ingredients'!$U$5:$U$1204,'Recipe Ingredients'!$B$5:$B$1204,A167)/G167))</f>
        <v>0</v>
      </c>
      <c r="AJ167" s="17">
        <f>IF(A167="","",IF(COUNTIFS('Recipe Ingredients'!$B$5:$B$1204,A167,'Recipe Ingredients'!$V$5:$V$1204,"&lt;&gt;",'Recipe Ingredients'!$V$5:$V$1204,"&lt;&gt;None")=0,"None listed",COUNTIFS('Recipe Ingredients'!$B$5:$B$1204,A167,'Recipe Ingredients'!$V$5:$V$1204,"&lt;&gt;",'Recipe Ingredients'!$V$5:$V$1204,"&lt;&gt;None")&amp;" ingredient(s) flagged"))</f>
        <v>0</v>
      </c>
      <c r="AK167" s="18">
        <f>IF(OR(AD167="",NOT(ISNUMBER(AD167))),"",COUNTIFS($AD$5:$AD$204,"&lt;"&amp;AD167)+COUNTIFS($AD$5:AD167,AD167))</f>
        <v>0</v>
      </c>
      <c r="AL167" s="18">
        <f>IF(B167="",0,IF(AND(OR(FilterDiet="Any",T167=FilterDiet),OR(FilterCategory="Any",C167=FilterCategory),OR(FilterMethod="Any",L167=FilterMethod),OR(FilterTime=0,AND(J167&lt;&gt;"",J167&lt;=FilterTime)),OR(FilterCost=0,AND(AD167&lt;&gt;"",ISNUMBER(AD167),AD167&lt;=FilterCost)),OR(FilterAllergen="Any",COUNTIFS('Recipe Ingredients'!$B$5:$B$1204,A167,'Recipe Ingredients'!$V$5:$V$1204,FilterAllergen)=0)),1,0))</f>
        <v>0</v>
      </c>
      <c r="AM167" s="18">
        <f>IF(AL167=0,"",SUM($AL$5:AL167))</f>
        <v>0</v>
      </c>
      <c r="AN167" s="18">
        <f>IF(B167="","",COUNTIFS($AZ$5:$AZ$204,"&gt;"&amp;AZ167)+COUNTIFS($AZ$5:AZ167,AZ167))</f>
        <v>0</v>
      </c>
      <c r="AO167" s="18">
        <f>IF(B167="","",COUNTIFS($AE$5:$AE$204,"&gt;"&amp;AE167)+COUNTIFS($AE$5:AE167,AE167))</f>
        <v>0</v>
      </c>
      <c r="AP167" s="18">
        <f>IF(B167="","",COUNTIFS($AF$5:$AF$204,"&gt;"&amp;AF167)+COUNTIFS($AF$5:AF167,AF167))</f>
        <v>0</v>
      </c>
      <c r="AQ167" s="18">
        <f>IF(B167="","",COUNTIFS($AI$5:$AI$204,"&gt;"&amp;AI167)+COUNTIFS($AI$5:AI167,AI167))</f>
        <v>0</v>
      </c>
      <c r="AR167" s="18">
        <f>IF(B167="","",COUNTIFS($AS$5:$AS$204,"&gt;"&amp;AS167)+COUNTIFS($AS$5:AS167,AS167))</f>
        <v>0</v>
      </c>
      <c r="AS167" s="45">
        <f>IF(B167="","",IF(BB167="",99999,BC167))</f>
        <v>0</v>
      </c>
      <c r="AT167" s="45">
        <f>IF(A167="",0,SUMIFS('Meal Plan'!$L$5:$L$504,'Meal Plan'!$G$5:$G$504,A167,'Meal Plan'!$B$5:$B$504,"&gt;="&amp;ShopFrom,'Meal Plan'!$B$5:$B$504,"&lt;="&amp;ShopTo,'Meal Plan'!$M$5:$M$504,"Yes"))</f>
        <v>0</v>
      </c>
      <c r="AU167" s="25">
        <f>IF(OR(A167="",AC167=""),"",AC167*AT167)</f>
        <v>0</v>
      </c>
      <c r="AV167" s="18">
        <f>IF(A167="","",COUNTIFS('Recipe Ingredients'!$B$5:$B$1204,A167,'Recipe Ingredients'!$N$5:$N$1204,""))</f>
        <v>0</v>
      </c>
      <c r="AZ167" s="18">
        <f>IF(A167="","",COUNTIFS('Meal Plan'!$G$5:$G$504,A167))</f>
        <v>0</v>
      </c>
      <c r="BA167" s="18">
        <f>IF(A167="","",COUNTIFS('Meal Plan'!$G$5:$G$504,A167,'Meal Plan'!$N$5:$N$504,"Prepared")+COUNTIFS('Meal Plan'!$G$5:$G$504,A167,'Meal Plan'!$N$5:$N$504,"Eaten"))</f>
        <v>0</v>
      </c>
      <c r="BB167" s="19">
        <f>IF(A167="","",IF(COUNTIFS('Meal Plan'!$G$5:$G$504,A167,'Meal Plan'!$B$5:$B$504,"&lt;="&amp;TODAY())=0,"",SUMPRODUCT(MAX(('Meal Plan'!$G$5:$G$504=A167)*('Meal Plan'!$B$5:$B$504&lt;=TODAY())*'Meal Plan'!$B$5:$B$504))))</f>
        <v>0</v>
      </c>
      <c r="BC167" s="18">
        <f>IF(BB167="","",TODAY()-BB167)</f>
        <v>0</v>
      </c>
      <c r="BF167" s="31">
        <f>IF(B167="","",IF(G167="","Add - how many does it serve?",IF(AB167=0,"Add - no ingredients listed yet",IF(AV167&gt;0,"Check - "&amp;AV167&amp;" ingredient(s) have no price",IF(AND(BC167&lt;&gt;"",BC167&lt;RotationGapDays),"Cooked recently","OK")))))</f>
        <v>0</v>
      </c>
    </row>
    <row r="168" spans="1:58">
      <c r="A168" s="39">
        <f>IF(B168="","",RecipePrefix&amp;TEXT(ROW()-4,"0000"))</f>
        <v>0</v>
      </c>
      <c r="J168" s="18">
        <f>IF(B168="","",IF(AND(H168="",I168=""),"",IF(H168="",0,H168)+IF(I168="",0,I168)))</f>
        <v>0</v>
      </c>
      <c r="K168" s="46">
        <f>IF(J168="","",IF(J168&lt;=30,"Yes","No"))</f>
        <v>0</v>
      </c>
      <c r="AB168" s="18">
        <f>IF(A168="","",COUNTIFS('Recipe Ingredients'!$B$5:$B$1204,A168))</f>
        <v>0</v>
      </c>
      <c r="AC168" s="25">
        <f>IF(A168="","",SUMIFS('Recipe Ingredients'!$N$5:$N$1204,'Recipe Ingredients'!$B$5:$B$1204,A168))</f>
        <v>0</v>
      </c>
      <c r="AD168" s="25">
        <f>IF(OR(AC168="",G168=""),"",IF(G168=0,"",AC168/G168))</f>
        <v>0</v>
      </c>
      <c r="AE168" s="30">
        <f>IF(OR(A168="",G168=""),"",IF(G168=0,"",SUMIFS('Recipe Ingredients'!$Q$5:$Q$1204,'Recipe Ingredients'!$B$5:$B$1204,A168)/G168))</f>
        <v>0</v>
      </c>
      <c r="AF168" s="45">
        <f>IF(OR(A168="",G168=""),"",IF(G168=0,"",SUMIFS('Recipe Ingredients'!$R$5:$R$1204,'Recipe Ingredients'!$B$5:$B$1204,A168)/G168))</f>
        <v>0</v>
      </c>
      <c r="AG168" s="45">
        <f>IF(OR(A168="",G168=""),"",IF(G168=0,"",SUMIFS('Recipe Ingredients'!$S$5:$S$1204,'Recipe Ingredients'!$B$5:$B$1204,A168)/G168))</f>
        <v>0</v>
      </c>
      <c r="AH168" s="45">
        <f>IF(OR(A168="",G168=""),"",IF(G168=0,"",SUMIFS('Recipe Ingredients'!$T$5:$T$1204,'Recipe Ingredients'!$B$5:$B$1204,A168)/G168))</f>
        <v>0</v>
      </c>
      <c r="AI168" s="45">
        <f>IF(OR(A168="",G168=""),"",IF(G168=0,"",SUMIFS('Recipe Ingredients'!$U$5:$U$1204,'Recipe Ingredients'!$B$5:$B$1204,A168)/G168))</f>
        <v>0</v>
      </c>
      <c r="AJ168" s="17">
        <f>IF(A168="","",IF(COUNTIFS('Recipe Ingredients'!$B$5:$B$1204,A168,'Recipe Ingredients'!$V$5:$V$1204,"&lt;&gt;",'Recipe Ingredients'!$V$5:$V$1204,"&lt;&gt;None")=0,"None listed",COUNTIFS('Recipe Ingredients'!$B$5:$B$1204,A168,'Recipe Ingredients'!$V$5:$V$1204,"&lt;&gt;",'Recipe Ingredients'!$V$5:$V$1204,"&lt;&gt;None")&amp;" ingredient(s) flagged"))</f>
        <v>0</v>
      </c>
      <c r="AK168" s="18">
        <f>IF(OR(AD168="",NOT(ISNUMBER(AD168))),"",COUNTIFS($AD$5:$AD$204,"&lt;"&amp;AD168)+COUNTIFS($AD$5:AD168,AD168))</f>
        <v>0</v>
      </c>
      <c r="AL168" s="18">
        <f>IF(B168="",0,IF(AND(OR(FilterDiet="Any",T168=FilterDiet),OR(FilterCategory="Any",C168=FilterCategory),OR(FilterMethod="Any",L168=FilterMethod),OR(FilterTime=0,AND(J168&lt;&gt;"",J168&lt;=FilterTime)),OR(FilterCost=0,AND(AD168&lt;&gt;"",ISNUMBER(AD168),AD168&lt;=FilterCost)),OR(FilterAllergen="Any",COUNTIFS('Recipe Ingredients'!$B$5:$B$1204,A168,'Recipe Ingredients'!$V$5:$V$1204,FilterAllergen)=0)),1,0))</f>
        <v>0</v>
      </c>
      <c r="AM168" s="18">
        <f>IF(AL168=0,"",SUM($AL$5:AL168))</f>
        <v>0</v>
      </c>
      <c r="AN168" s="18">
        <f>IF(B168="","",COUNTIFS($AZ$5:$AZ$204,"&gt;"&amp;AZ168)+COUNTIFS($AZ$5:AZ168,AZ168))</f>
        <v>0</v>
      </c>
      <c r="AO168" s="18">
        <f>IF(B168="","",COUNTIFS($AE$5:$AE$204,"&gt;"&amp;AE168)+COUNTIFS($AE$5:AE168,AE168))</f>
        <v>0</v>
      </c>
      <c r="AP168" s="18">
        <f>IF(B168="","",COUNTIFS($AF$5:$AF$204,"&gt;"&amp;AF168)+COUNTIFS($AF$5:AF168,AF168))</f>
        <v>0</v>
      </c>
      <c r="AQ168" s="18">
        <f>IF(B168="","",COUNTIFS($AI$5:$AI$204,"&gt;"&amp;AI168)+COUNTIFS($AI$5:AI168,AI168))</f>
        <v>0</v>
      </c>
      <c r="AR168" s="18">
        <f>IF(B168="","",COUNTIFS($AS$5:$AS$204,"&gt;"&amp;AS168)+COUNTIFS($AS$5:AS168,AS168))</f>
        <v>0</v>
      </c>
      <c r="AS168" s="45">
        <f>IF(B168="","",IF(BB168="",99999,BC168))</f>
        <v>0</v>
      </c>
      <c r="AT168" s="45">
        <f>IF(A168="",0,SUMIFS('Meal Plan'!$L$5:$L$504,'Meal Plan'!$G$5:$G$504,A168,'Meal Plan'!$B$5:$B$504,"&gt;="&amp;ShopFrom,'Meal Plan'!$B$5:$B$504,"&lt;="&amp;ShopTo,'Meal Plan'!$M$5:$M$504,"Yes"))</f>
        <v>0</v>
      </c>
      <c r="AU168" s="25">
        <f>IF(OR(A168="",AC168=""),"",AC168*AT168)</f>
        <v>0</v>
      </c>
      <c r="AV168" s="18">
        <f>IF(A168="","",COUNTIFS('Recipe Ingredients'!$B$5:$B$1204,A168,'Recipe Ingredients'!$N$5:$N$1204,""))</f>
        <v>0</v>
      </c>
      <c r="AZ168" s="18">
        <f>IF(A168="","",COUNTIFS('Meal Plan'!$G$5:$G$504,A168))</f>
        <v>0</v>
      </c>
      <c r="BA168" s="18">
        <f>IF(A168="","",COUNTIFS('Meal Plan'!$G$5:$G$504,A168,'Meal Plan'!$N$5:$N$504,"Prepared")+COUNTIFS('Meal Plan'!$G$5:$G$504,A168,'Meal Plan'!$N$5:$N$504,"Eaten"))</f>
        <v>0</v>
      </c>
      <c r="BB168" s="19">
        <f>IF(A168="","",IF(COUNTIFS('Meal Plan'!$G$5:$G$504,A168,'Meal Plan'!$B$5:$B$504,"&lt;="&amp;TODAY())=0,"",SUMPRODUCT(MAX(('Meal Plan'!$G$5:$G$504=A168)*('Meal Plan'!$B$5:$B$504&lt;=TODAY())*'Meal Plan'!$B$5:$B$504))))</f>
        <v>0</v>
      </c>
      <c r="BC168" s="18">
        <f>IF(BB168="","",TODAY()-BB168)</f>
        <v>0</v>
      </c>
      <c r="BF168" s="31">
        <f>IF(B168="","",IF(G168="","Add - how many does it serve?",IF(AB168=0,"Add - no ingredients listed yet",IF(AV168&gt;0,"Check - "&amp;AV168&amp;" ingredient(s) have no price",IF(AND(BC168&lt;&gt;"",BC168&lt;RotationGapDays),"Cooked recently","OK")))))</f>
        <v>0</v>
      </c>
    </row>
    <row r="169" spans="1:58">
      <c r="A169" s="39">
        <f>IF(B169="","",RecipePrefix&amp;TEXT(ROW()-4,"0000"))</f>
        <v>0</v>
      </c>
      <c r="J169" s="18">
        <f>IF(B169="","",IF(AND(H169="",I169=""),"",IF(H169="",0,H169)+IF(I169="",0,I169)))</f>
        <v>0</v>
      </c>
      <c r="K169" s="46">
        <f>IF(J169="","",IF(J169&lt;=30,"Yes","No"))</f>
        <v>0</v>
      </c>
      <c r="AB169" s="18">
        <f>IF(A169="","",COUNTIFS('Recipe Ingredients'!$B$5:$B$1204,A169))</f>
        <v>0</v>
      </c>
      <c r="AC169" s="25">
        <f>IF(A169="","",SUMIFS('Recipe Ingredients'!$N$5:$N$1204,'Recipe Ingredients'!$B$5:$B$1204,A169))</f>
        <v>0</v>
      </c>
      <c r="AD169" s="25">
        <f>IF(OR(AC169="",G169=""),"",IF(G169=0,"",AC169/G169))</f>
        <v>0</v>
      </c>
      <c r="AE169" s="30">
        <f>IF(OR(A169="",G169=""),"",IF(G169=0,"",SUMIFS('Recipe Ingredients'!$Q$5:$Q$1204,'Recipe Ingredients'!$B$5:$B$1204,A169)/G169))</f>
        <v>0</v>
      </c>
      <c r="AF169" s="45">
        <f>IF(OR(A169="",G169=""),"",IF(G169=0,"",SUMIFS('Recipe Ingredients'!$R$5:$R$1204,'Recipe Ingredients'!$B$5:$B$1204,A169)/G169))</f>
        <v>0</v>
      </c>
      <c r="AG169" s="45">
        <f>IF(OR(A169="",G169=""),"",IF(G169=0,"",SUMIFS('Recipe Ingredients'!$S$5:$S$1204,'Recipe Ingredients'!$B$5:$B$1204,A169)/G169))</f>
        <v>0</v>
      </c>
      <c r="AH169" s="45">
        <f>IF(OR(A169="",G169=""),"",IF(G169=0,"",SUMIFS('Recipe Ingredients'!$T$5:$T$1204,'Recipe Ingredients'!$B$5:$B$1204,A169)/G169))</f>
        <v>0</v>
      </c>
      <c r="AI169" s="45">
        <f>IF(OR(A169="",G169=""),"",IF(G169=0,"",SUMIFS('Recipe Ingredients'!$U$5:$U$1204,'Recipe Ingredients'!$B$5:$B$1204,A169)/G169))</f>
        <v>0</v>
      </c>
      <c r="AJ169" s="17">
        <f>IF(A169="","",IF(COUNTIFS('Recipe Ingredients'!$B$5:$B$1204,A169,'Recipe Ingredients'!$V$5:$V$1204,"&lt;&gt;",'Recipe Ingredients'!$V$5:$V$1204,"&lt;&gt;None")=0,"None listed",COUNTIFS('Recipe Ingredients'!$B$5:$B$1204,A169,'Recipe Ingredients'!$V$5:$V$1204,"&lt;&gt;",'Recipe Ingredients'!$V$5:$V$1204,"&lt;&gt;None")&amp;" ingredient(s) flagged"))</f>
        <v>0</v>
      </c>
      <c r="AK169" s="18">
        <f>IF(OR(AD169="",NOT(ISNUMBER(AD169))),"",COUNTIFS($AD$5:$AD$204,"&lt;"&amp;AD169)+COUNTIFS($AD$5:AD169,AD169))</f>
        <v>0</v>
      </c>
      <c r="AL169" s="18">
        <f>IF(B169="",0,IF(AND(OR(FilterDiet="Any",T169=FilterDiet),OR(FilterCategory="Any",C169=FilterCategory),OR(FilterMethod="Any",L169=FilterMethod),OR(FilterTime=0,AND(J169&lt;&gt;"",J169&lt;=FilterTime)),OR(FilterCost=0,AND(AD169&lt;&gt;"",ISNUMBER(AD169),AD169&lt;=FilterCost)),OR(FilterAllergen="Any",COUNTIFS('Recipe Ingredients'!$B$5:$B$1204,A169,'Recipe Ingredients'!$V$5:$V$1204,FilterAllergen)=0)),1,0))</f>
        <v>0</v>
      </c>
      <c r="AM169" s="18">
        <f>IF(AL169=0,"",SUM($AL$5:AL169))</f>
        <v>0</v>
      </c>
      <c r="AN169" s="18">
        <f>IF(B169="","",COUNTIFS($AZ$5:$AZ$204,"&gt;"&amp;AZ169)+COUNTIFS($AZ$5:AZ169,AZ169))</f>
        <v>0</v>
      </c>
      <c r="AO169" s="18">
        <f>IF(B169="","",COUNTIFS($AE$5:$AE$204,"&gt;"&amp;AE169)+COUNTIFS($AE$5:AE169,AE169))</f>
        <v>0</v>
      </c>
      <c r="AP169" s="18">
        <f>IF(B169="","",COUNTIFS($AF$5:$AF$204,"&gt;"&amp;AF169)+COUNTIFS($AF$5:AF169,AF169))</f>
        <v>0</v>
      </c>
      <c r="AQ169" s="18">
        <f>IF(B169="","",COUNTIFS($AI$5:$AI$204,"&gt;"&amp;AI169)+COUNTIFS($AI$5:AI169,AI169))</f>
        <v>0</v>
      </c>
      <c r="AR169" s="18">
        <f>IF(B169="","",COUNTIFS($AS$5:$AS$204,"&gt;"&amp;AS169)+COUNTIFS($AS$5:AS169,AS169))</f>
        <v>0</v>
      </c>
      <c r="AS169" s="45">
        <f>IF(B169="","",IF(BB169="",99999,BC169))</f>
        <v>0</v>
      </c>
      <c r="AT169" s="45">
        <f>IF(A169="",0,SUMIFS('Meal Plan'!$L$5:$L$504,'Meal Plan'!$G$5:$G$504,A169,'Meal Plan'!$B$5:$B$504,"&gt;="&amp;ShopFrom,'Meal Plan'!$B$5:$B$504,"&lt;="&amp;ShopTo,'Meal Plan'!$M$5:$M$504,"Yes"))</f>
        <v>0</v>
      </c>
      <c r="AU169" s="25">
        <f>IF(OR(A169="",AC169=""),"",AC169*AT169)</f>
        <v>0</v>
      </c>
      <c r="AV169" s="18">
        <f>IF(A169="","",COUNTIFS('Recipe Ingredients'!$B$5:$B$1204,A169,'Recipe Ingredients'!$N$5:$N$1204,""))</f>
        <v>0</v>
      </c>
      <c r="AZ169" s="18">
        <f>IF(A169="","",COUNTIFS('Meal Plan'!$G$5:$G$504,A169))</f>
        <v>0</v>
      </c>
      <c r="BA169" s="18">
        <f>IF(A169="","",COUNTIFS('Meal Plan'!$G$5:$G$504,A169,'Meal Plan'!$N$5:$N$504,"Prepared")+COUNTIFS('Meal Plan'!$G$5:$G$504,A169,'Meal Plan'!$N$5:$N$504,"Eaten"))</f>
        <v>0</v>
      </c>
      <c r="BB169" s="19">
        <f>IF(A169="","",IF(COUNTIFS('Meal Plan'!$G$5:$G$504,A169,'Meal Plan'!$B$5:$B$504,"&lt;="&amp;TODAY())=0,"",SUMPRODUCT(MAX(('Meal Plan'!$G$5:$G$504=A169)*('Meal Plan'!$B$5:$B$504&lt;=TODAY())*'Meal Plan'!$B$5:$B$504))))</f>
        <v>0</v>
      </c>
      <c r="BC169" s="18">
        <f>IF(BB169="","",TODAY()-BB169)</f>
        <v>0</v>
      </c>
      <c r="BF169" s="31">
        <f>IF(B169="","",IF(G169="","Add - how many does it serve?",IF(AB169=0,"Add - no ingredients listed yet",IF(AV169&gt;0,"Check - "&amp;AV169&amp;" ingredient(s) have no price",IF(AND(BC169&lt;&gt;"",BC169&lt;RotationGapDays),"Cooked recently","OK")))))</f>
        <v>0</v>
      </c>
    </row>
    <row r="170" spans="1:58">
      <c r="A170" s="39">
        <f>IF(B170="","",RecipePrefix&amp;TEXT(ROW()-4,"0000"))</f>
        <v>0</v>
      </c>
      <c r="J170" s="18">
        <f>IF(B170="","",IF(AND(H170="",I170=""),"",IF(H170="",0,H170)+IF(I170="",0,I170)))</f>
        <v>0</v>
      </c>
      <c r="K170" s="46">
        <f>IF(J170="","",IF(J170&lt;=30,"Yes","No"))</f>
        <v>0</v>
      </c>
      <c r="AB170" s="18">
        <f>IF(A170="","",COUNTIFS('Recipe Ingredients'!$B$5:$B$1204,A170))</f>
        <v>0</v>
      </c>
      <c r="AC170" s="25">
        <f>IF(A170="","",SUMIFS('Recipe Ingredients'!$N$5:$N$1204,'Recipe Ingredients'!$B$5:$B$1204,A170))</f>
        <v>0</v>
      </c>
      <c r="AD170" s="25">
        <f>IF(OR(AC170="",G170=""),"",IF(G170=0,"",AC170/G170))</f>
        <v>0</v>
      </c>
      <c r="AE170" s="30">
        <f>IF(OR(A170="",G170=""),"",IF(G170=0,"",SUMIFS('Recipe Ingredients'!$Q$5:$Q$1204,'Recipe Ingredients'!$B$5:$B$1204,A170)/G170))</f>
        <v>0</v>
      </c>
      <c r="AF170" s="45">
        <f>IF(OR(A170="",G170=""),"",IF(G170=0,"",SUMIFS('Recipe Ingredients'!$R$5:$R$1204,'Recipe Ingredients'!$B$5:$B$1204,A170)/G170))</f>
        <v>0</v>
      </c>
      <c r="AG170" s="45">
        <f>IF(OR(A170="",G170=""),"",IF(G170=0,"",SUMIFS('Recipe Ingredients'!$S$5:$S$1204,'Recipe Ingredients'!$B$5:$B$1204,A170)/G170))</f>
        <v>0</v>
      </c>
      <c r="AH170" s="45">
        <f>IF(OR(A170="",G170=""),"",IF(G170=0,"",SUMIFS('Recipe Ingredients'!$T$5:$T$1204,'Recipe Ingredients'!$B$5:$B$1204,A170)/G170))</f>
        <v>0</v>
      </c>
      <c r="AI170" s="45">
        <f>IF(OR(A170="",G170=""),"",IF(G170=0,"",SUMIFS('Recipe Ingredients'!$U$5:$U$1204,'Recipe Ingredients'!$B$5:$B$1204,A170)/G170))</f>
        <v>0</v>
      </c>
      <c r="AJ170" s="17">
        <f>IF(A170="","",IF(COUNTIFS('Recipe Ingredients'!$B$5:$B$1204,A170,'Recipe Ingredients'!$V$5:$V$1204,"&lt;&gt;",'Recipe Ingredients'!$V$5:$V$1204,"&lt;&gt;None")=0,"None listed",COUNTIFS('Recipe Ingredients'!$B$5:$B$1204,A170,'Recipe Ingredients'!$V$5:$V$1204,"&lt;&gt;",'Recipe Ingredients'!$V$5:$V$1204,"&lt;&gt;None")&amp;" ingredient(s) flagged"))</f>
        <v>0</v>
      </c>
      <c r="AK170" s="18">
        <f>IF(OR(AD170="",NOT(ISNUMBER(AD170))),"",COUNTIFS($AD$5:$AD$204,"&lt;"&amp;AD170)+COUNTIFS($AD$5:AD170,AD170))</f>
        <v>0</v>
      </c>
      <c r="AL170" s="18">
        <f>IF(B170="",0,IF(AND(OR(FilterDiet="Any",T170=FilterDiet),OR(FilterCategory="Any",C170=FilterCategory),OR(FilterMethod="Any",L170=FilterMethod),OR(FilterTime=0,AND(J170&lt;&gt;"",J170&lt;=FilterTime)),OR(FilterCost=0,AND(AD170&lt;&gt;"",ISNUMBER(AD170),AD170&lt;=FilterCost)),OR(FilterAllergen="Any",COUNTIFS('Recipe Ingredients'!$B$5:$B$1204,A170,'Recipe Ingredients'!$V$5:$V$1204,FilterAllergen)=0)),1,0))</f>
        <v>0</v>
      </c>
      <c r="AM170" s="18">
        <f>IF(AL170=0,"",SUM($AL$5:AL170))</f>
        <v>0</v>
      </c>
      <c r="AN170" s="18">
        <f>IF(B170="","",COUNTIFS($AZ$5:$AZ$204,"&gt;"&amp;AZ170)+COUNTIFS($AZ$5:AZ170,AZ170))</f>
        <v>0</v>
      </c>
      <c r="AO170" s="18">
        <f>IF(B170="","",COUNTIFS($AE$5:$AE$204,"&gt;"&amp;AE170)+COUNTIFS($AE$5:AE170,AE170))</f>
        <v>0</v>
      </c>
      <c r="AP170" s="18">
        <f>IF(B170="","",COUNTIFS($AF$5:$AF$204,"&gt;"&amp;AF170)+COUNTIFS($AF$5:AF170,AF170))</f>
        <v>0</v>
      </c>
      <c r="AQ170" s="18">
        <f>IF(B170="","",COUNTIFS($AI$5:$AI$204,"&gt;"&amp;AI170)+COUNTIFS($AI$5:AI170,AI170))</f>
        <v>0</v>
      </c>
      <c r="AR170" s="18">
        <f>IF(B170="","",COUNTIFS($AS$5:$AS$204,"&gt;"&amp;AS170)+COUNTIFS($AS$5:AS170,AS170))</f>
        <v>0</v>
      </c>
      <c r="AS170" s="45">
        <f>IF(B170="","",IF(BB170="",99999,BC170))</f>
        <v>0</v>
      </c>
      <c r="AT170" s="45">
        <f>IF(A170="",0,SUMIFS('Meal Plan'!$L$5:$L$504,'Meal Plan'!$G$5:$G$504,A170,'Meal Plan'!$B$5:$B$504,"&gt;="&amp;ShopFrom,'Meal Plan'!$B$5:$B$504,"&lt;="&amp;ShopTo,'Meal Plan'!$M$5:$M$504,"Yes"))</f>
        <v>0</v>
      </c>
      <c r="AU170" s="25">
        <f>IF(OR(A170="",AC170=""),"",AC170*AT170)</f>
        <v>0</v>
      </c>
      <c r="AV170" s="18">
        <f>IF(A170="","",COUNTIFS('Recipe Ingredients'!$B$5:$B$1204,A170,'Recipe Ingredients'!$N$5:$N$1204,""))</f>
        <v>0</v>
      </c>
      <c r="AZ170" s="18">
        <f>IF(A170="","",COUNTIFS('Meal Plan'!$G$5:$G$504,A170))</f>
        <v>0</v>
      </c>
      <c r="BA170" s="18">
        <f>IF(A170="","",COUNTIFS('Meal Plan'!$G$5:$G$504,A170,'Meal Plan'!$N$5:$N$504,"Prepared")+COUNTIFS('Meal Plan'!$G$5:$G$504,A170,'Meal Plan'!$N$5:$N$504,"Eaten"))</f>
        <v>0</v>
      </c>
      <c r="BB170" s="19">
        <f>IF(A170="","",IF(COUNTIFS('Meal Plan'!$G$5:$G$504,A170,'Meal Plan'!$B$5:$B$504,"&lt;="&amp;TODAY())=0,"",SUMPRODUCT(MAX(('Meal Plan'!$G$5:$G$504=A170)*('Meal Plan'!$B$5:$B$504&lt;=TODAY())*'Meal Plan'!$B$5:$B$504))))</f>
        <v>0</v>
      </c>
      <c r="BC170" s="18">
        <f>IF(BB170="","",TODAY()-BB170)</f>
        <v>0</v>
      </c>
      <c r="BF170" s="31">
        <f>IF(B170="","",IF(G170="","Add - how many does it serve?",IF(AB170=0,"Add - no ingredients listed yet",IF(AV170&gt;0,"Check - "&amp;AV170&amp;" ingredient(s) have no price",IF(AND(BC170&lt;&gt;"",BC170&lt;RotationGapDays),"Cooked recently","OK")))))</f>
        <v>0</v>
      </c>
    </row>
    <row r="171" spans="1:58">
      <c r="A171" s="39">
        <f>IF(B171="","",RecipePrefix&amp;TEXT(ROW()-4,"0000"))</f>
        <v>0</v>
      </c>
      <c r="J171" s="18">
        <f>IF(B171="","",IF(AND(H171="",I171=""),"",IF(H171="",0,H171)+IF(I171="",0,I171)))</f>
        <v>0</v>
      </c>
      <c r="K171" s="46">
        <f>IF(J171="","",IF(J171&lt;=30,"Yes","No"))</f>
        <v>0</v>
      </c>
      <c r="AB171" s="18">
        <f>IF(A171="","",COUNTIFS('Recipe Ingredients'!$B$5:$B$1204,A171))</f>
        <v>0</v>
      </c>
      <c r="AC171" s="25">
        <f>IF(A171="","",SUMIFS('Recipe Ingredients'!$N$5:$N$1204,'Recipe Ingredients'!$B$5:$B$1204,A171))</f>
        <v>0</v>
      </c>
      <c r="AD171" s="25">
        <f>IF(OR(AC171="",G171=""),"",IF(G171=0,"",AC171/G171))</f>
        <v>0</v>
      </c>
      <c r="AE171" s="30">
        <f>IF(OR(A171="",G171=""),"",IF(G171=0,"",SUMIFS('Recipe Ingredients'!$Q$5:$Q$1204,'Recipe Ingredients'!$B$5:$B$1204,A171)/G171))</f>
        <v>0</v>
      </c>
      <c r="AF171" s="45">
        <f>IF(OR(A171="",G171=""),"",IF(G171=0,"",SUMIFS('Recipe Ingredients'!$R$5:$R$1204,'Recipe Ingredients'!$B$5:$B$1204,A171)/G171))</f>
        <v>0</v>
      </c>
      <c r="AG171" s="45">
        <f>IF(OR(A171="",G171=""),"",IF(G171=0,"",SUMIFS('Recipe Ingredients'!$S$5:$S$1204,'Recipe Ingredients'!$B$5:$B$1204,A171)/G171))</f>
        <v>0</v>
      </c>
      <c r="AH171" s="45">
        <f>IF(OR(A171="",G171=""),"",IF(G171=0,"",SUMIFS('Recipe Ingredients'!$T$5:$T$1204,'Recipe Ingredients'!$B$5:$B$1204,A171)/G171))</f>
        <v>0</v>
      </c>
      <c r="AI171" s="45">
        <f>IF(OR(A171="",G171=""),"",IF(G171=0,"",SUMIFS('Recipe Ingredients'!$U$5:$U$1204,'Recipe Ingredients'!$B$5:$B$1204,A171)/G171))</f>
        <v>0</v>
      </c>
      <c r="AJ171" s="17">
        <f>IF(A171="","",IF(COUNTIFS('Recipe Ingredients'!$B$5:$B$1204,A171,'Recipe Ingredients'!$V$5:$V$1204,"&lt;&gt;",'Recipe Ingredients'!$V$5:$V$1204,"&lt;&gt;None")=0,"None listed",COUNTIFS('Recipe Ingredients'!$B$5:$B$1204,A171,'Recipe Ingredients'!$V$5:$V$1204,"&lt;&gt;",'Recipe Ingredients'!$V$5:$V$1204,"&lt;&gt;None")&amp;" ingredient(s) flagged"))</f>
        <v>0</v>
      </c>
      <c r="AK171" s="18">
        <f>IF(OR(AD171="",NOT(ISNUMBER(AD171))),"",COUNTIFS($AD$5:$AD$204,"&lt;"&amp;AD171)+COUNTIFS($AD$5:AD171,AD171))</f>
        <v>0</v>
      </c>
      <c r="AL171" s="18">
        <f>IF(B171="",0,IF(AND(OR(FilterDiet="Any",T171=FilterDiet),OR(FilterCategory="Any",C171=FilterCategory),OR(FilterMethod="Any",L171=FilterMethod),OR(FilterTime=0,AND(J171&lt;&gt;"",J171&lt;=FilterTime)),OR(FilterCost=0,AND(AD171&lt;&gt;"",ISNUMBER(AD171),AD171&lt;=FilterCost)),OR(FilterAllergen="Any",COUNTIFS('Recipe Ingredients'!$B$5:$B$1204,A171,'Recipe Ingredients'!$V$5:$V$1204,FilterAllergen)=0)),1,0))</f>
        <v>0</v>
      </c>
      <c r="AM171" s="18">
        <f>IF(AL171=0,"",SUM($AL$5:AL171))</f>
        <v>0</v>
      </c>
      <c r="AN171" s="18">
        <f>IF(B171="","",COUNTIFS($AZ$5:$AZ$204,"&gt;"&amp;AZ171)+COUNTIFS($AZ$5:AZ171,AZ171))</f>
        <v>0</v>
      </c>
      <c r="AO171" s="18">
        <f>IF(B171="","",COUNTIFS($AE$5:$AE$204,"&gt;"&amp;AE171)+COUNTIFS($AE$5:AE171,AE171))</f>
        <v>0</v>
      </c>
      <c r="AP171" s="18">
        <f>IF(B171="","",COUNTIFS($AF$5:$AF$204,"&gt;"&amp;AF171)+COUNTIFS($AF$5:AF171,AF171))</f>
        <v>0</v>
      </c>
      <c r="AQ171" s="18">
        <f>IF(B171="","",COUNTIFS($AI$5:$AI$204,"&gt;"&amp;AI171)+COUNTIFS($AI$5:AI171,AI171))</f>
        <v>0</v>
      </c>
      <c r="AR171" s="18">
        <f>IF(B171="","",COUNTIFS($AS$5:$AS$204,"&gt;"&amp;AS171)+COUNTIFS($AS$5:AS171,AS171))</f>
        <v>0</v>
      </c>
      <c r="AS171" s="45">
        <f>IF(B171="","",IF(BB171="",99999,BC171))</f>
        <v>0</v>
      </c>
      <c r="AT171" s="45">
        <f>IF(A171="",0,SUMIFS('Meal Plan'!$L$5:$L$504,'Meal Plan'!$G$5:$G$504,A171,'Meal Plan'!$B$5:$B$504,"&gt;="&amp;ShopFrom,'Meal Plan'!$B$5:$B$504,"&lt;="&amp;ShopTo,'Meal Plan'!$M$5:$M$504,"Yes"))</f>
        <v>0</v>
      </c>
      <c r="AU171" s="25">
        <f>IF(OR(A171="",AC171=""),"",AC171*AT171)</f>
        <v>0</v>
      </c>
      <c r="AV171" s="18">
        <f>IF(A171="","",COUNTIFS('Recipe Ingredients'!$B$5:$B$1204,A171,'Recipe Ingredients'!$N$5:$N$1204,""))</f>
        <v>0</v>
      </c>
      <c r="AZ171" s="18">
        <f>IF(A171="","",COUNTIFS('Meal Plan'!$G$5:$G$504,A171))</f>
        <v>0</v>
      </c>
      <c r="BA171" s="18">
        <f>IF(A171="","",COUNTIFS('Meal Plan'!$G$5:$G$504,A171,'Meal Plan'!$N$5:$N$504,"Prepared")+COUNTIFS('Meal Plan'!$G$5:$G$504,A171,'Meal Plan'!$N$5:$N$504,"Eaten"))</f>
        <v>0</v>
      </c>
      <c r="BB171" s="19">
        <f>IF(A171="","",IF(COUNTIFS('Meal Plan'!$G$5:$G$504,A171,'Meal Plan'!$B$5:$B$504,"&lt;="&amp;TODAY())=0,"",SUMPRODUCT(MAX(('Meal Plan'!$G$5:$G$504=A171)*('Meal Plan'!$B$5:$B$504&lt;=TODAY())*'Meal Plan'!$B$5:$B$504))))</f>
        <v>0</v>
      </c>
      <c r="BC171" s="18">
        <f>IF(BB171="","",TODAY()-BB171)</f>
        <v>0</v>
      </c>
      <c r="BF171" s="31">
        <f>IF(B171="","",IF(G171="","Add - how many does it serve?",IF(AB171=0,"Add - no ingredients listed yet",IF(AV171&gt;0,"Check - "&amp;AV171&amp;" ingredient(s) have no price",IF(AND(BC171&lt;&gt;"",BC171&lt;RotationGapDays),"Cooked recently","OK")))))</f>
        <v>0</v>
      </c>
    </row>
    <row r="172" spans="1:58">
      <c r="A172" s="39">
        <f>IF(B172="","",RecipePrefix&amp;TEXT(ROW()-4,"0000"))</f>
        <v>0</v>
      </c>
      <c r="J172" s="18">
        <f>IF(B172="","",IF(AND(H172="",I172=""),"",IF(H172="",0,H172)+IF(I172="",0,I172)))</f>
        <v>0</v>
      </c>
      <c r="K172" s="46">
        <f>IF(J172="","",IF(J172&lt;=30,"Yes","No"))</f>
        <v>0</v>
      </c>
      <c r="AB172" s="18">
        <f>IF(A172="","",COUNTIFS('Recipe Ingredients'!$B$5:$B$1204,A172))</f>
        <v>0</v>
      </c>
      <c r="AC172" s="25">
        <f>IF(A172="","",SUMIFS('Recipe Ingredients'!$N$5:$N$1204,'Recipe Ingredients'!$B$5:$B$1204,A172))</f>
        <v>0</v>
      </c>
      <c r="AD172" s="25">
        <f>IF(OR(AC172="",G172=""),"",IF(G172=0,"",AC172/G172))</f>
        <v>0</v>
      </c>
      <c r="AE172" s="30">
        <f>IF(OR(A172="",G172=""),"",IF(G172=0,"",SUMIFS('Recipe Ingredients'!$Q$5:$Q$1204,'Recipe Ingredients'!$B$5:$B$1204,A172)/G172))</f>
        <v>0</v>
      </c>
      <c r="AF172" s="45">
        <f>IF(OR(A172="",G172=""),"",IF(G172=0,"",SUMIFS('Recipe Ingredients'!$R$5:$R$1204,'Recipe Ingredients'!$B$5:$B$1204,A172)/G172))</f>
        <v>0</v>
      </c>
      <c r="AG172" s="45">
        <f>IF(OR(A172="",G172=""),"",IF(G172=0,"",SUMIFS('Recipe Ingredients'!$S$5:$S$1204,'Recipe Ingredients'!$B$5:$B$1204,A172)/G172))</f>
        <v>0</v>
      </c>
      <c r="AH172" s="45">
        <f>IF(OR(A172="",G172=""),"",IF(G172=0,"",SUMIFS('Recipe Ingredients'!$T$5:$T$1204,'Recipe Ingredients'!$B$5:$B$1204,A172)/G172))</f>
        <v>0</v>
      </c>
      <c r="AI172" s="45">
        <f>IF(OR(A172="",G172=""),"",IF(G172=0,"",SUMIFS('Recipe Ingredients'!$U$5:$U$1204,'Recipe Ingredients'!$B$5:$B$1204,A172)/G172))</f>
        <v>0</v>
      </c>
      <c r="AJ172" s="17">
        <f>IF(A172="","",IF(COUNTIFS('Recipe Ingredients'!$B$5:$B$1204,A172,'Recipe Ingredients'!$V$5:$V$1204,"&lt;&gt;",'Recipe Ingredients'!$V$5:$V$1204,"&lt;&gt;None")=0,"None listed",COUNTIFS('Recipe Ingredients'!$B$5:$B$1204,A172,'Recipe Ingredients'!$V$5:$V$1204,"&lt;&gt;",'Recipe Ingredients'!$V$5:$V$1204,"&lt;&gt;None")&amp;" ingredient(s) flagged"))</f>
        <v>0</v>
      </c>
      <c r="AK172" s="18">
        <f>IF(OR(AD172="",NOT(ISNUMBER(AD172))),"",COUNTIFS($AD$5:$AD$204,"&lt;"&amp;AD172)+COUNTIFS($AD$5:AD172,AD172))</f>
        <v>0</v>
      </c>
      <c r="AL172" s="18">
        <f>IF(B172="",0,IF(AND(OR(FilterDiet="Any",T172=FilterDiet),OR(FilterCategory="Any",C172=FilterCategory),OR(FilterMethod="Any",L172=FilterMethod),OR(FilterTime=0,AND(J172&lt;&gt;"",J172&lt;=FilterTime)),OR(FilterCost=0,AND(AD172&lt;&gt;"",ISNUMBER(AD172),AD172&lt;=FilterCost)),OR(FilterAllergen="Any",COUNTIFS('Recipe Ingredients'!$B$5:$B$1204,A172,'Recipe Ingredients'!$V$5:$V$1204,FilterAllergen)=0)),1,0))</f>
        <v>0</v>
      </c>
      <c r="AM172" s="18">
        <f>IF(AL172=0,"",SUM($AL$5:AL172))</f>
        <v>0</v>
      </c>
      <c r="AN172" s="18">
        <f>IF(B172="","",COUNTIFS($AZ$5:$AZ$204,"&gt;"&amp;AZ172)+COUNTIFS($AZ$5:AZ172,AZ172))</f>
        <v>0</v>
      </c>
      <c r="AO172" s="18">
        <f>IF(B172="","",COUNTIFS($AE$5:$AE$204,"&gt;"&amp;AE172)+COUNTIFS($AE$5:AE172,AE172))</f>
        <v>0</v>
      </c>
      <c r="AP172" s="18">
        <f>IF(B172="","",COUNTIFS($AF$5:$AF$204,"&gt;"&amp;AF172)+COUNTIFS($AF$5:AF172,AF172))</f>
        <v>0</v>
      </c>
      <c r="AQ172" s="18">
        <f>IF(B172="","",COUNTIFS($AI$5:$AI$204,"&gt;"&amp;AI172)+COUNTIFS($AI$5:AI172,AI172))</f>
        <v>0</v>
      </c>
      <c r="AR172" s="18">
        <f>IF(B172="","",COUNTIFS($AS$5:$AS$204,"&gt;"&amp;AS172)+COUNTIFS($AS$5:AS172,AS172))</f>
        <v>0</v>
      </c>
      <c r="AS172" s="45">
        <f>IF(B172="","",IF(BB172="",99999,BC172))</f>
        <v>0</v>
      </c>
      <c r="AT172" s="45">
        <f>IF(A172="",0,SUMIFS('Meal Plan'!$L$5:$L$504,'Meal Plan'!$G$5:$G$504,A172,'Meal Plan'!$B$5:$B$504,"&gt;="&amp;ShopFrom,'Meal Plan'!$B$5:$B$504,"&lt;="&amp;ShopTo,'Meal Plan'!$M$5:$M$504,"Yes"))</f>
        <v>0</v>
      </c>
      <c r="AU172" s="25">
        <f>IF(OR(A172="",AC172=""),"",AC172*AT172)</f>
        <v>0</v>
      </c>
      <c r="AV172" s="18">
        <f>IF(A172="","",COUNTIFS('Recipe Ingredients'!$B$5:$B$1204,A172,'Recipe Ingredients'!$N$5:$N$1204,""))</f>
        <v>0</v>
      </c>
      <c r="AZ172" s="18">
        <f>IF(A172="","",COUNTIFS('Meal Plan'!$G$5:$G$504,A172))</f>
        <v>0</v>
      </c>
      <c r="BA172" s="18">
        <f>IF(A172="","",COUNTIFS('Meal Plan'!$G$5:$G$504,A172,'Meal Plan'!$N$5:$N$504,"Prepared")+COUNTIFS('Meal Plan'!$G$5:$G$504,A172,'Meal Plan'!$N$5:$N$504,"Eaten"))</f>
        <v>0</v>
      </c>
      <c r="BB172" s="19">
        <f>IF(A172="","",IF(COUNTIFS('Meal Plan'!$G$5:$G$504,A172,'Meal Plan'!$B$5:$B$504,"&lt;="&amp;TODAY())=0,"",SUMPRODUCT(MAX(('Meal Plan'!$G$5:$G$504=A172)*('Meal Plan'!$B$5:$B$504&lt;=TODAY())*'Meal Plan'!$B$5:$B$504))))</f>
        <v>0</v>
      </c>
      <c r="BC172" s="18">
        <f>IF(BB172="","",TODAY()-BB172)</f>
        <v>0</v>
      </c>
      <c r="BF172" s="31">
        <f>IF(B172="","",IF(G172="","Add - how many does it serve?",IF(AB172=0,"Add - no ingredients listed yet",IF(AV172&gt;0,"Check - "&amp;AV172&amp;" ingredient(s) have no price",IF(AND(BC172&lt;&gt;"",BC172&lt;RotationGapDays),"Cooked recently","OK")))))</f>
        <v>0</v>
      </c>
    </row>
    <row r="173" spans="1:58">
      <c r="A173" s="39">
        <f>IF(B173="","",RecipePrefix&amp;TEXT(ROW()-4,"0000"))</f>
        <v>0</v>
      </c>
      <c r="J173" s="18">
        <f>IF(B173="","",IF(AND(H173="",I173=""),"",IF(H173="",0,H173)+IF(I173="",0,I173)))</f>
        <v>0</v>
      </c>
      <c r="K173" s="46">
        <f>IF(J173="","",IF(J173&lt;=30,"Yes","No"))</f>
        <v>0</v>
      </c>
      <c r="AB173" s="18">
        <f>IF(A173="","",COUNTIFS('Recipe Ingredients'!$B$5:$B$1204,A173))</f>
        <v>0</v>
      </c>
      <c r="AC173" s="25">
        <f>IF(A173="","",SUMIFS('Recipe Ingredients'!$N$5:$N$1204,'Recipe Ingredients'!$B$5:$B$1204,A173))</f>
        <v>0</v>
      </c>
      <c r="AD173" s="25">
        <f>IF(OR(AC173="",G173=""),"",IF(G173=0,"",AC173/G173))</f>
        <v>0</v>
      </c>
      <c r="AE173" s="30">
        <f>IF(OR(A173="",G173=""),"",IF(G173=0,"",SUMIFS('Recipe Ingredients'!$Q$5:$Q$1204,'Recipe Ingredients'!$B$5:$B$1204,A173)/G173))</f>
        <v>0</v>
      </c>
      <c r="AF173" s="45">
        <f>IF(OR(A173="",G173=""),"",IF(G173=0,"",SUMIFS('Recipe Ingredients'!$R$5:$R$1204,'Recipe Ingredients'!$B$5:$B$1204,A173)/G173))</f>
        <v>0</v>
      </c>
      <c r="AG173" s="45">
        <f>IF(OR(A173="",G173=""),"",IF(G173=0,"",SUMIFS('Recipe Ingredients'!$S$5:$S$1204,'Recipe Ingredients'!$B$5:$B$1204,A173)/G173))</f>
        <v>0</v>
      </c>
      <c r="AH173" s="45">
        <f>IF(OR(A173="",G173=""),"",IF(G173=0,"",SUMIFS('Recipe Ingredients'!$T$5:$T$1204,'Recipe Ingredients'!$B$5:$B$1204,A173)/G173))</f>
        <v>0</v>
      </c>
      <c r="AI173" s="45">
        <f>IF(OR(A173="",G173=""),"",IF(G173=0,"",SUMIFS('Recipe Ingredients'!$U$5:$U$1204,'Recipe Ingredients'!$B$5:$B$1204,A173)/G173))</f>
        <v>0</v>
      </c>
      <c r="AJ173" s="17">
        <f>IF(A173="","",IF(COUNTIFS('Recipe Ingredients'!$B$5:$B$1204,A173,'Recipe Ingredients'!$V$5:$V$1204,"&lt;&gt;",'Recipe Ingredients'!$V$5:$V$1204,"&lt;&gt;None")=0,"None listed",COUNTIFS('Recipe Ingredients'!$B$5:$B$1204,A173,'Recipe Ingredients'!$V$5:$V$1204,"&lt;&gt;",'Recipe Ingredients'!$V$5:$V$1204,"&lt;&gt;None")&amp;" ingredient(s) flagged"))</f>
        <v>0</v>
      </c>
      <c r="AK173" s="18">
        <f>IF(OR(AD173="",NOT(ISNUMBER(AD173))),"",COUNTIFS($AD$5:$AD$204,"&lt;"&amp;AD173)+COUNTIFS($AD$5:AD173,AD173))</f>
        <v>0</v>
      </c>
      <c r="AL173" s="18">
        <f>IF(B173="",0,IF(AND(OR(FilterDiet="Any",T173=FilterDiet),OR(FilterCategory="Any",C173=FilterCategory),OR(FilterMethod="Any",L173=FilterMethod),OR(FilterTime=0,AND(J173&lt;&gt;"",J173&lt;=FilterTime)),OR(FilterCost=0,AND(AD173&lt;&gt;"",ISNUMBER(AD173),AD173&lt;=FilterCost)),OR(FilterAllergen="Any",COUNTIFS('Recipe Ingredients'!$B$5:$B$1204,A173,'Recipe Ingredients'!$V$5:$V$1204,FilterAllergen)=0)),1,0))</f>
        <v>0</v>
      </c>
      <c r="AM173" s="18">
        <f>IF(AL173=0,"",SUM($AL$5:AL173))</f>
        <v>0</v>
      </c>
      <c r="AN173" s="18">
        <f>IF(B173="","",COUNTIFS($AZ$5:$AZ$204,"&gt;"&amp;AZ173)+COUNTIFS($AZ$5:AZ173,AZ173))</f>
        <v>0</v>
      </c>
      <c r="AO173" s="18">
        <f>IF(B173="","",COUNTIFS($AE$5:$AE$204,"&gt;"&amp;AE173)+COUNTIFS($AE$5:AE173,AE173))</f>
        <v>0</v>
      </c>
      <c r="AP173" s="18">
        <f>IF(B173="","",COUNTIFS($AF$5:$AF$204,"&gt;"&amp;AF173)+COUNTIFS($AF$5:AF173,AF173))</f>
        <v>0</v>
      </c>
      <c r="AQ173" s="18">
        <f>IF(B173="","",COUNTIFS($AI$5:$AI$204,"&gt;"&amp;AI173)+COUNTIFS($AI$5:AI173,AI173))</f>
        <v>0</v>
      </c>
      <c r="AR173" s="18">
        <f>IF(B173="","",COUNTIFS($AS$5:$AS$204,"&gt;"&amp;AS173)+COUNTIFS($AS$5:AS173,AS173))</f>
        <v>0</v>
      </c>
      <c r="AS173" s="45">
        <f>IF(B173="","",IF(BB173="",99999,BC173))</f>
        <v>0</v>
      </c>
      <c r="AT173" s="45">
        <f>IF(A173="",0,SUMIFS('Meal Plan'!$L$5:$L$504,'Meal Plan'!$G$5:$G$504,A173,'Meal Plan'!$B$5:$B$504,"&gt;="&amp;ShopFrom,'Meal Plan'!$B$5:$B$504,"&lt;="&amp;ShopTo,'Meal Plan'!$M$5:$M$504,"Yes"))</f>
        <v>0</v>
      </c>
      <c r="AU173" s="25">
        <f>IF(OR(A173="",AC173=""),"",AC173*AT173)</f>
        <v>0</v>
      </c>
      <c r="AV173" s="18">
        <f>IF(A173="","",COUNTIFS('Recipe Ingredients'!$B$5:$B$1204,A173,'Recipe Ingredients'!$N$5:$N$1204,""))</f>
        <v>0</v>
      </c>
      <c r="AZ173" s="18">
        <f>IF(A173="","",COUNTIFS('Meal Plan'!$G$5:$G$504,A173))</f>
        <v>0</v>
      </c>
      <c r="BA173" s="18">
        <f>IF(A173="","",COUNTIFS('Meal Plan'!$G$5:$G$504,A173,'Meal Plan'!$N$5:$N$504,"Prepared")+COUNTIFS('Meal Plan'!$G$5:$G$504,A173,'Meal Plan'!$N$5:$N$504,"Eaten"))</f>
        <v>0</v>
      </c>
      <c r="BB173" s="19">
        <f>IF(A173="","",IF(COUNTIFS('Meal Plan'!$G$5:$G$504,A173,'Meal Plan'!$B$5:$B$504,"&lt;="&amp;TODAY())=0,"",SUMPRODUCT(MAX(('Meal Plan'!$G$5:$G$504=A173)*('Meal Plan'!$B$5:$B$504&lt;=TODAY())*'Meal Plan'!$B$5:$B$504))))</f>
        <v>0</v>
      </c>
      <c r="BC173" s="18">
        <f>IF(BB173="","",TODAY()-BB173)</f>
        <v>0</v>
      </c>
      <c r="BF173" s="31">
        <f>IF(B173="","",IF(G173="","Add - how many does it serve?",IF(AB173=0,"Add - no ingredients listed yet",IF(AV173&gt;0,"Check - "&amp;AV173&amp;" ingredient(s) have no price",IF(AND(BC173&lt;&gt;"",BC173&lt;RotationGapDays),"Cooked recently","OK")))))</f>
        <v>0</v>
      </c>
    </row>
    <row r="174" spans="1:58">
      <c r="A174" s="39">
        <f>IF(B174="","",RecipePrefix&amp;TEXT(ROW()-4,"0000"))</f>
        <v>0</v>
      </c>
      <c r="J174" s="18">
        <f>IF(B174="","",IF(AND(H174="",I174=""),"",IF(H174="",0,H174)+IF(I174="",0,I174)))</f>
        <v>0</v>
      </c>
      <c r="K174" s="46">
        <f>IF(J174="","",IF(J174&lt;=30,"Yes","No"))</f>
        <v>0</v>
      </c>
      <c r="AB174" s="18">
        <f>IF(A174="","",COUNTIFS('Recipe Ingredients'!$B$5:$B$1204,A174))</f>
        <v>0</v>
      </c>
      <c r="AC174" s="25">
        <f>IF(A174="","",SUMIFS('Recipe Ingredients'!$N$5:$N$1204,'Recipe Ingredients'!$B$5:$B$1204,A174))</f>
        <v>0</v>
      </c>
      <c r="AD174" s="25">
        <f>IF(OR(AC174="",G174=""),"",IF(G174=0,"",AC174/G174))</f>
        <v>0</v>
      </c>
      <c r="AE174" s="30">
        <f>IF(OR(A174="",G174=""),"",IF(G174=0,"",SUMIFS('Recipe Ingredients'!$Q$5:$Q$1204,'Recipe Ingredients'!$B$5:$B$1204,A174)/G174))</f>
        <v>0</v>
      </c>
      <c r="AF174" s="45">
        <f>IF(OR(A174="",G174=""),"",IF(G174=0,"",SUMIFS('Recipe Ingredients'!$R$5:$R$1204,'Recipe Ingredients'!$B$5:$B$1204,A174)/G174))</f>
        <v>0</v>
      </c>
      <c r="AG174" s="45">
        <f>IF(OR(A174="",G174=""),"",IF(G174=0,"",SUMIFS('Recipe Ingredients'!$S$5:$S$1204,'Recipe Ingredients'!$B$5:$B$1204,A174)/G174))</f>
        <v>0</v>
      </c>
      <c r="AH174" s="45">
        <f>IF(OR(A174="",G174=""),"",IF(G174=0,"",SUMIFS('Recipe Ingredients'!$T$5:$T$1204,'Recipe Ingredients'!$B$5:$B$1204,A174)/G174))</f>
        <v>0</v>
      </c>
      <c r="AI174" s="45">
        <f>IF(OR(A174="",G174=""),"",IF(G174=0,"",SUMIFS('Recipe Ingredients'!$U$5:$U$1204,'Recipe Ingredients'!$B$5:$B$1204,A174)/G174))</f>
        <v>0</v>
      </c>
      <c r="AJ174" s="17">
        <f>IF(A174="","",IF(COUNTIFS('Recipe Ingredients'!$B$5:$B$1204,A174,'Recipe Ingredients'!$V$5:$V$1204,"&lt;&gt;",'Recipe Ingredients'!$V$5:$V$1204,"&lt;&gt;None")=0,"None listed",COUNTIFS('Recipe Ingredients'!$B$5:$B$1204,A174,'Recipe Ingredients'!$V$5:$V$1204,"&lt;&gt;",'Recipe Ingredients'!$V$5:$V$1204,"&lt;&gt;None")&amp;" ingredient(s) flagged"))</f>
        <v>0</v>
      </c>
      <c r="AK174" s="18">
        <f>IF(OR(AD174="",NOT(ISNUMBER(AD174))),"",COUNTIFS($AD$5:$AD$204,"&lt;"&amp;AD174)+COUNTIFS($AD$5:AD174,AD174))</f>
        <v>0</v>
      </c>
      <c r="AL174" s="18">
        <f>IF(B174="",0,IF(AND(OR(FilterDiet="Any",T174=FilterDiet),OR(FilterCategory="Any",C174=FilterCategory),OR(FilterMethod="Any",L174=FilterMethod),OR(FilterTime=0,AND(J174&lt;&gt;"",J174&lt;=FilterTime)),OR(FilterCost=0,AND(AD174&lt;&gt;"",ISNUMBER(AD174),AD174&lt;=FilterCost)),OR(FilterAllergen="Any",COUNTIFS('Recipe Ingredients'!$B$5:$B$1204,A174,'Recipe Ingredients'!$V$5:$V$1204,FilterAllergen)=0)),1,0))</f>
        <v>0</v>
      </c>
      <c r="AM174" s="18">
        <f>IF(AL174=0,"",SUM($AL$5:AL174))</f>
        <v>0</v>
      </c>
      <c r="AN174" s="18">
        <f>IF(B174="","",COUNTIFS($AZ$5:$AZ$204,"&gt;"&amp;AZ174)+COUNTIFS($AZ$5:AZ174,AZ174))</f>
        <v>0</v>
      </c>
      <c r="AO174" s="18">
        <f>IF(B174="","",COUNTIFS($AE$5:$AE$204,"&gt;"&amp;AE174)+COUNTIFS($AE$5:AE174,AE174))</f>
        <v>0</v>
      </c>
      <c r="AP174" s="18">
        <f>IF(B174="","",COUNTIFS($AF$5:$AF$204,"&gt;"&amp;AF174)+COUNTIFS($AF$5:AF174,AF174))</f>
        <v>0</v>
      </c>
      <c r="AQ174" s="18">
        <f>IF(B174="","",COUNTIFS($AI$5:$AI$204,"&gt;"&amp;AI174)+COUNTIFS($AI$5:AI174,AI174))</f>
        <v>0</v>
      </c>
      <c r="AR174" s="18">
        <f>IF(B174="","",COUNTIFS($AS$5:$AS$204,"&gt;"&amp;AS174)+COUNTIFS($AS$5:AS174,AS174))</f>
        <v>0</v>
      </c>
      <c r="AS174" s="45">
        <f>IF(B174="","",IF(BB174="",99999,BC174))</f>
        <v>0</v>
      </c>
      <c r="AT174" s="45">
        <f>IF(A174="",0,SUMIFS('Meal Plan'!$L$5:$L$504,'Meal Plan'!$G$5:$G$504,A174,'Meal Plan'!$B$5:$B$504,"&gt;="&amp;ShopFrom,'Meal Plan'!$B$5:$B$504,"&lt;="&amp;ShopTo,'Meal Plan'!$M$5:$M$504,"Yes"))</f>
        <v>0</v>
      </c>
      <c r="AU174" s="25">
        <f>IF(OR(A174="",AC174=""),"",AC174*AT174)</f>
        <v>0</v>
      </c>
      <c r="AV174" s="18">
        <f>IF(A174="","",COUNTIFS('Recipe Ingredients'!$B$5:$B$1204,A174,'Recipe Ingredients'!$N$5:$N$1204,""))</f>
        <v>0</v>
      </c>
      <c r="AZ174" s="18">
        <f>IF(A174="","",COUNTIFS('Meal Plan'!$G$5:$G$504,A174))</f>
        <v>0</v>
      </c>
      <c r="BA174" s="18">
        <f>IF(A174="","",COUNTIFS('Meal Plan'!$G$5:$G$504,A174,'Meal Plan'!$N$5:$N$504,"Prepared")+COUNTIFS('Meal Plan'!$G$5:$G$504,A174,'Meal Plan'!$N$5:$N$504,"Eaten"))</f>
        <v>0</v>
      </c>
      <c r="BB174" s="19">
        <f>IF(A174="","",IF(COUNTIFS('Meal Plan'!$G$5:$G$504,A174,'Meal Plan'!$B$5:$B$504,"&lt;="&amp;TODAY())=0,"",SUMPRODUCT(MAX(('Meal Plan'!$G$5:$G$504=A174)*('Meal Plan'!$B$5:$B$504&lt;=TODAY())*'Meal Plan'!$B$5:$B$504))))</f>
        <v>0</v>
      </c>
      <c r="BC174" s="18">
        <f>IF(BB174="","",TODAY()-BB174)</f>
        <v>0</v>
      </c>
      <c r="BF174" s="31">
        <f>IF(B174="","",IF(G174="","Add - how many does it serve?",IF(AB174=0,"Add - no ingredients listed yet",IF(AV174&gt;0,"Check - "&amp;AV174&amp;" ingredient(s) have no price",IF(AND(BC174&lt;&gt;"",BC174&lt;RotationGapDays),"Cooked recently","OK")))))</f>
        <v>0</v>
      </c>
    </row>
    <row r="175" spans="1:58">
      <c r="A175" s="39">
        <f>IF(B175="","",RecipePrefix&amp;TEXT(ROW()-4,"0000"))</f>
        <v>0</v>
      </c>
      <c r="J175" s="18">
        <f>IF(B175="","",IF(AND(H175="",I175=""),"",IF(H175="",0,H175)+IF(I175="",0,I175)))</f>
        <v>0</v>
      </c>
      <c r="K175" s="46">
        <f>IF(J175="","",IF(J175&lt;=30,"Yes","No"))</f>
        <v>0</v>
      </c>
      <c r="AB175" s="18">
        <f>IF(A175="","",COUNTIFS('Recipe Ingredients'!$B$5:$B$1204,A175))</f>
        <v>0</v>
      </c>
      <c r="AC175" s="25">
        <f>IF(A175="","",SUMIFS('Recipe Ingredients'!$N$5:$N$1204,'Recipe Ingredients'!$B$5:$B$1204,A175))</f>
        <v>0</v>
      </c>
      <c r="AD175" s="25">
        <f>IF(OR(AC175="",G175=""),"",IF(G175=0,"",AC175/G175))</f>
        <v>0</v>
      </c>
      <c r="AE175" s="30">
        <f>IF(OR(A175="",G175=""),"",IF(G175=0,"",SUMIFS('Recipe Ingredients'!$Q$5:$Q$1204,'Recipe Ingredients'!$B$5:$B$1204,A175)/G175))</f>
        <v>0</v>
      </c>
      <c r="AF175" s="45">
        <f>IF(OR(A175="",G175=""),"",IF(G175=0,"",SUMIFS('Recipe Ingredients'!$R$5:$R$1204,'Recipe Ingredients'!$B$5:$B$1204,A175)/G175))</f>
        <v>0</v>
      </c>
      <c r="AG175" s="45">
        <f>IF(OR(A175="",G175=""),"",IF(G175=0,"",SUMIFS('Recipe Ingredients'!$S$5:$S$1204,'Recipe Ingredients'!$B$5:$B$1204,A175)/G175))</f>
        <v>0</v>
      </c>
      <c r="AH175" s="45">
        <f>IF(OR(A175="",G175=""),"",IF(G175=0,"",SUMIFS('Recipe Ingredients'!$T$5:$T$1204,'Recipe Ingredients'!$B$5:$B$1204,A175)/G175))</f>
        <v>0</v>
      </c>
      <c r="AI175" s="45">
        <f>IF(OR(A175="",G175=""),"",IF(G175=0,"",SUMIFS('Recipe Ingredients'!$U$5:$U$1204,'Recipe Ingredients'!$B$5:$B$1204,A175)/G175))</f>
        <v>0</v>
      </c>
      <c r="AJ175" s="17">
        <f>IF(A175="","",IF(COUNTIFS('Recipe Ingredients'!$B$5:$B$1204,A175,'Recipe Ingredients'!$V$5:$V$1204,"&lt;&gt;",'Recipe Ingredients'!$V$5:$V$1204,"&lt;&gt;None")=0,"None listed",COUNTIFS('Recipe Ingredients'!$B$5:$B$1204,A175,'Recipe Ingredients'!$V$5:$V$1204,"&lt;&gt;",'Recipe Ingredients'!$V$5:$V$1204,"&lt;&gt;None")&amp;" ingredient(s) flagged"))</f>
        <v>0</v>
      </c>
      <c r="AK175" s="18">
        <f>IF(OR(AD175="",NOT(ISNUMBER(AD175))),"",COUNTIFS($AD$5:$AD$204,"&lt;"&amp;AD175)+COUNTIFS($AD$5:AD175,AD175))</f>
        <v>0</v>
      </c>
      <c r="AL175" s="18">
        <f>IF(B175="",0,IF(AND(OR(FilterDiet="Any",T175=FilterDiet),OR(FilterCategory="Any",C175=FilterCategory),OR(FilterMethod="Any",L175=FilterMethod),OR(FilterTime=0,AND(J175&lt;&gt;"",J175&lt;=FilterTime)),OR(FilterCost=0,AND(AD175&lt;&gt;"",ISNUMBER(AD175),AD175&lt;=FilterCost)),OR(FilterAllergen="Any",COUNTIFS('Recipe Ingredients'!$B$5:$B$1204,A175,'Recipe Ingredients'!$V$5:$V$1204,FilterAllergen)=0)),1,0))</f>
        <v>0</v>
      </c>
      <c r="AM175" s="18">
        <f>IF(AL175=0,"",SUM($AL$5:AL175))</f>
        <v>0</v>
      </c>
      <c r="AN175" s="18">
        <f>IF(B175="","",COUNTIFS($AZ$5:$AZ$204,"&gt;"&amp;AZ175)+COUNTIFS($AZ$5:AZ175,AZ175))</f>
        <v>0</v>
      </c>
      <c r="AO175" s="18">
        <f>IF(B175="","",COUNTIFS($AE$5:$AE$204,"&gt;"&amp;AE175)+COUNTIFS($AE$5:AE175,AE175))</f>
        <v>0</v>
      </c>
      <c r="AP175" s="18">
        <f>IF(B175="","",COUNTIFS($AF$5:$AF$204,"&gt;"&amp;AF175)+COUNTIFS($AF$5:AF175,AF175))</f>
        <v>0</v>
      </c>
      <c r="AQ175" s="18">
        <f>IF(B175="","",COUNTIFS($AI$5:$AI$204,"&gt;"&amp;AI175)+COUNTIFS($AI$5:AI175,AI175))</f>
        <v>0</v>
      </c>
      <c r="AR175" s="18">
        <f>IF(B175="","",COUNTIFS($AS$5:$AS$204,"&gt;"&amp;AS175)+COUNTIFS($AS$5:AS175,AS175))</f>
        <v>0</v>
      </c>
      <c r="AS175" s="45">
        <f>IF(B175="","",IF(BB175="",99999,BC175))</f>
        <v>0</v>
      </c>
      <c r="AT175" s="45">
        <f>IF(A175="",0,SUMIFS('Meal Plan'!$L$5:$L$504,'Meal Plan'!$G$5:$G$504,A175,'Meal Plan'!$B$5:$B$504,"&gt;="&amp;ShopFrom,'Meal Plan'!$B$5:$B$504,"&lt;="&amp;ShopTo,'Meal Plan'!$M$5:$M$504,"Yes"))</f>
        <v>0</v>
      </c>
      <c r="AU175" s="25">
        <f>IF(OR(A175="",AC175=""),"",AC175*AT175)</f>
        <v>0</v>
      </c>
      <c r="AV175" s="18">
        <f>IF(A175="","",COUNTIFS('Recipe Ingredients'!$B$5:$B$1204,A175,'Recipe Ingredients'!$N$5:$N$1204,""))</f>
        <v>0</v>
      </c>
      <c r="AZ175" s="18">
        <f>IF(A175="","",COUNTIFS('Meal Plan'!$G$5:$G$504,A175))</f>
        <v>0</v>
      </c>
      <c r="BA175" s="18">
        <f>IF(A175="","",COUNTIFS('Meal Plan'!$G$5:$G$504,A175,'Meal Plan'!$N$5:$N$504,"Prepared")+COUNTIFS('Meal Plan'!$G$5:$G$504,A175,'Meal Plan'!$N$5:$N$504,"Eaten"))</f>
        <v>0</v>
      </c>
      <c r="BB175" s="19">
        <f>IF(A175="","",IF(COUNTIFS('Meal Plan'!$G$5:$G$504,A175,'Meal Plan'!$B$5:$B$504,"&lt;="&amp;TODAY())=0,"",SUMPRODUCT(MAX(('Meal Plan'!$G$5:$G$504=A175)*('Meal Plan'!$B$5:$B$504&lt;=TODAY())*'Meal Plan'!$B$5:$B$504))))</f>
        <v>0</v>
      </c>
      <c r="BC175" s="18">
        <f>IF(BB175="","",TODAY()-BB175)</f>
        <v>0</v>
      </c>
      <c r="BF175" s="31">
        <f>IF(B175="","",IF(G175="","Add - how many does it serve?",IF(AB175=0,"Add - no ingredients listed yet",IF(AV175&gt;0,"Check - "&amp;AV175&amp;" ingredient(s) have no price",IF(AND(BC175&lt;&gt;"",BC175&lt;RotationGapDays),"Cooked recently","OK")))))</f>
        <v>0</v>
      </c>
    </row>
    <row r="176" spans="1:58">
      <c r="A176" s="39">
        <f>IF(B176="","",RecipePrefix&amp;TEXT(ROW()-4,"0000"))</f>
        <v>0</v>
      </c>
      <c r="J176" s="18">
        <f>IF(B176="","",IF(AND(H176="",I176=""),"",IF(H176="",0,H176)+IF(I176="",0,I176)))</f>
        <v>0</v>
      </c>
      <c r="K176" s="46">
        <f>IF(J176="","",IF(J176&lt;=30,"Yes","No"))</f>
        <v>0</v>
      </c>
      <c r="AB176" s="18">
        <f>IF(A176="","",COUNTIFS('Recipe Ingredients'!$B$5:$B$1204,A176))</f>
        <v>0</v>
      </c>
      <c r="AC176" s="25">
        <f>IF(A176="","",SUMIFS('Recipe Ingredients'!$N$5:$N$1204,'Recipe Ingredients'!$B$5:$B$1204,A176))</f>
        <v>0</v>
      </c>
      <c r="AD176" s="25">
        <f>IF(OR(AC176="",G176=""),"",IF(G176=0,"",AC176/G176))</f>
        <v>0</v>
      </c>
      <c r="AE176" s="30">
        <f>IF(OR(A176="",G176=""),"",IF(G176=0,"",SUMIFS('Recipe Ingredients'!$Q$5:$Q$1204,'Recipe Ingredients'!$B$5:$B$1204,A176)/G176))</f>
        <v>0</v>
      </c>
      <c r="AF176" s="45">
        <f>IF(OR(A176="",G176=""),"",IF(G176=0,"",SUMIFS('Recipe Ingredients'!$R$5:$R$1204,'Recipe Ingredients'!$B$5:$B$1204,A176)/G176))</f>
        <v>0</v>
      </c>
      <c r="AG176" s="45">
        <f>IF(OR(A176="",G176=""),"",IF(G176=0,"",SUMIFS('Recipe Ingredients'!$S$5:$S$1204,'Recipe Ingredients'!$B$5:$B$1204,A176)/G176))</f>
        <v>0</v>
      </c>
      <c r="AH176" s="45">
        <f>IF(OR(A176="",G176=""),"",IF(G176=0,"",SUMIFS('Recipe Ingredients'!$T$5:$T$1204,'Recipe Ingredients'!$B$5:$B$1204,A176)/G176))</f>
        <v>0</v>
      </c>
      <c r="AI176" s="45">
        <f>IF(OR(A176="",G176=""),"",IF(G176=0,"",SUMIFS('Recipe Ingredients'!$U$5:$U$1204,'Recipe Ingredients'!$B$5:$B$1204,A176)/G176))</f>
        <v>0</v>
      </c>
      <c r="AJ176" s="17">
        <f>IF(A176="","",IF(COUNTIFS('Recipe Ingredients'!$B$5:$B$1204,A176,'Recipe Ingredients'!$V$5:$V$1204,"&lt;&gt;",'Recipe Ingredients'!$V$5:$V$1204,"&lt;&gt;None")=0,"None listed",COUNTIFS('Recipe Ingredients'!$B$5:$B$1204,A176,'Recipe Ingredients'!$V$5:$V$1204,"&lt;&gt;",'Recipe Ingredients'!$V$5:$V$1204,"&lt;&gt;None")&amp;" ingredient(s) flagged"))</f>
        <v>0</v>
      </c>
      <c r="AK176" s="18">
        <f>IF(OR(AD176="",NOT(ISNUMBER(AD176))),"",COUNTIFS($AD$5:$AD$204,"&lt;"&amp;AD176)+COUNTIFS($AD$5:AD176,AD176))</f>
        <v>0</v>
      </c>
      <c r="AL176" s="18">
        <f>IF(B176="",0,IF(AND(OR(FilterDiet="Any",T176=FilterDiet),OR(FilterCategory="Any",C176=FilterCategory),OR(FilterMethod="Any",L176=FilterMethod),OR(FilterTime=0,AND(J176&lt;&gt;"",J176&lt;=FilterTime)),OR(FilterCost=0,AND(AD176&lt;&gt;"",ISNUMBER(AD176),AD176&lt;=FilterCost)),OR(FilterAllergen="Any",COUNTIFS('Recipe Ingredients'!$B$5:$B$1204,A176,'Recipe Ingredients'!$V$5:$V$1204,FilterAllergen)=0)),1,0))</f>
        <v>0</v>
      </c>
      <c r="AM176" s="18">
        <f>IF(AL176=0,"",SUM($AL$5:AL176))</f>
        <v>0</v>
      </c>
      <c r="AN176" s="18">
        <f>IF(B176="","",COUNTIFS($AZ$5:$AZ$204,"&gt;"&amp;AZ176)+COUNTIFS($AZ$5:AZ176,AZ176))</f>
        <v>0</v>
      </c>
      <c r="AO176" s="18">
        <f>IF(B176="","",COUNTIFS($AE$5:$AE$204,"&gt;"&amp;AE176)+COUNTIFS($AE$5:AE176,AE176))</f>
        <v>0</v>
      </c>
      <c r="AP176" s="18">
        <f>IF(B176="","",COUNTIFS($AF$5:$AF$204,"&gt;"&amp;AF176)+COUNTIFS($AF$5:AF176,AF176))</f>
        <v>0</v>
      </c>
      <c r="AQ176" s="18">
        <f>IF(B176="","",COUNTIFS($AI$5:$AI$204,"&gt;"&amp;AI176)+COUNTIFS($AI$5:AI176,AI176))</f>
        <v>0</v>
      </c>
      <c r="AR176" s="18">
        <f>IF(B176="","",COUNTIFS($AS$5:$AS$204,"&gt;"&amp;AS176)+COUNTIFS($AS$5:AS176,AS176))</f>
        <v>0</v>
      </c>
      <c r="AS176" s="45">
        <f>IF(B176="","",IF(BB176="",99999,BC176))</f>
        <v>0</v>
      </c>
      <c r="AT176" s="45">
        <f>IF(A176="",0,SUMIFS('Meal Plan'!$L$5:$L$504,'Meal Plan'!$G$5:$G$504,A176,'Meal Plan'!$B$5:$B$504,"&gt;="&amp;ShopFrom,'Meal Plan'!$B$5:$B$504,"&lt;="&amp;ShopTo,'Meal Plan'!$M$5:$M$504,"Yes"))</f>
        <v>0</v>
      </c>
      <c r="AU176" s="25">
        <f>IF(OR(A176="",AC176=""),"",AC176*AT176)</f>
        <v>0</v>
      </c>
      <c r="AV176" s="18">
        <f>IF(A176="","",COUNTIFS('Recipe Ingredients'!$B$5:$B$1204,A176,'Recipe Ingredients'!$N$5:$N$1204,""))</f>
        <v>0</v>
      </c>
      <c r="AZ176" s="18">
        <f>IF(A176="","",COUNTIFS('Meal Plan'!$G$5:$G$504,A176))</f>
        <v>0</v>
      </c>
      <c r="BA176" s="18">
        <f>IF(A176="","",COUNTIFS('Meal Plan'!$G$5:$G$504,A176,'Meal Plan'!$N$5:$N$504,"Prepared")+COUNTIFS('Meal Plan'!$G$5:$G$504,A176,'Meal Plan'!$N$5:$N$504,"Eaten"))</f>
        <v>0</v>
      </c>
      <c r="BB176" s="19">
        <f>IF(A176="","",IF(COUNTIFS('Meal Plan'!$G$5:$G$504,A176,'Meal Plan'!$B$5:$B$504,"&lt;="&amp;TODAY())=0,"",SUMPRODUCT(MAX(('Meal Plan'!$G$5:$G$504=A176)*('Meal Plan'!$B$5:$B$504&lt;=TODAY())*'Meal Plan'!$B$5:$B$504))))</f>
        <v>0</v>
      </c>
      <c r="BC176" s="18">
        <f>IF(BB176="","",TODAY()-BB176)</f>
        <v>0</v>
      </c>
      <c r="BF176" s="31">
        <f>IF(B176="","",IF(G176="","Add - how many does it serve?",IF(AB176=0,"Add - no ingredients listed yet",IF(AV176&gt;0,"Check - "&amp;AV176&amp;" ingredient(s) have no price",IF(AND(BC176&lt;&gt;"",BC176&lt;RotationGapDays),"Cooked recently","OK")))))</f>
        <v>0</v>
      </c>
    </row>
    <row r="177" spans="1:58">
      <c r="A177" s="39">
        <f>IF(B177="","",RecipePrefix&amp;TEXT(ROW()-4,"0000"))</f>
        <v>0</v>
      </c>
      <c r="J177" s="18">
        <f>IF(B177="","",IF(AND(H177="",I177=""),"",IF(H177="",0,H177)+IF(I177="",0,I177)))</f>
        <v>0</v>
      </c>
      <c r="K177" s="46">
        <f>IF(J177="","",IF(J177&lt;=30,"Yes","No"))</f>
        <v>0</v>
      </c>
      <c r="AB177" s="18">
        <f>IF(A177="","",COUNTIFS('Recipe Ingredients'!$B$5:$B$1204,A177))</f>
        <v>0</v>
      </c>
      <c r="AC177" s="25">
        <f>IF(A177="","",SUMIFS('Recipe Ingredients'!$N$5:$N$1204,'Recipe Ingredients'!$B$5:$B$1204,A177))</f>
        <v>0</v>
      </c>
      <c r="AD177" s="25">
        <f>IF(OR(AC177="",G177=""),"",IF(G177=0,"",AC177/G177))</f>
        <v>0</v>
      </c>
      <c r="AE177" s="30">
        <f>IF(OR(A177="",G177=""),"",IF(G177=0,"",SUMIFS('Recipe Ingredients'!$Q$5:$Q$1204,'Recipe Ingredients'!$B$5:$B$1204,A177)/G177))</f>
        <v>0</v>
      </c>
      <c r="AF177" s="45">
        <f>IF(OR(A177="",G177=""),"",IF(G177=0,"",SUMIFS('Recipe Ingredients'!$R$5:$R$1204,'Recipe Ingredients'!$B$5:$B$1204,A177)/G177))</f>
        <v>0</v>
      </c>
      <c r="AG177" s="45">
        <f>IF(OR(A177="",G177=""),"",IF(G177=0,"",SUMIFS('Recipe Ingredients'!$S$5:$S$1204,'Recipe Ingredients'!$B$5:$B$1204,A177)/G177))</f>
        <v>0</v>
      </c>
      <c r="AH177" s="45">
        <f>IF(OR(A177="",G177=""),"",IF(G177=0,"",SUMIFS('Recipe Ingredients'!$T$5:$T$1204,'Recipe Ingredients'!$B$5:$B$1204,A177)/G177))</f>
        <v>0</v>
      </c>
      <c r="AI177" s="45">
        <f>IF(OR(A177="",G177=""),"",IF(G177=0,"",SUMIFS('Recipe Ingredients'!$U$5:$U$1204,'Recipe Ingredients'!$B$5:$B$1204,A177)/G177))</f>
        <v>0</v>
      </c>
      <c r="AJ177" s="17">
        <f>IF(A177="","",IF(COUNTIFS('Recipe Ingredients'!$B$5:$B$1204,A177,'Recipe Ingredients'!$V$5:$V$1204,"&lt;&gt;",'Recipe Ingredients'!$V$5:$V$1204,"&lt;&gt;None")=0,"None listed",COUNTIFS('Recipe Ingredients'!$B$5:$B$1204,A177,'Recipe Ingredients'!$V$5:$V$1204,"&lt;&gt;",'Recipe Ingredients'!$V$5:$V$1204,"&lt;&gt;None")&amp;" ingredient(s) flagged"))</f>
        <v>0</v>
      </c>
      <c r="AK177" s="18">
        <f>IF(OR(AD177="",NOT(ISNUMBER(AD177))),"",COUNTIFS($AD$5:$AD$204,"&lt;"&amp;AD177)+COUNTIFS($AD$5:AD177,AD177))</f>
        <v>0</v>
      </c>
      <c r="AL177" s="18">
        <f>IF(B177="",0,IF(AND(OR(FilterDiet="Any",T177=FilterDiet),OR(FilterCategory="Any",C177=FilterCategory),OR(FilterMethod="Any",L177=FilterMethod),OR(FilterTime=0,AND(J177&lt;&gt;"",J177&lt;=FilterTime)),OR(FilterCost=0,AND(AD177&lt;&gt;"",ISNUMBER(AD177),AD177&lt;=FilterCost)),OR(FilterAllergen="Any",COUNTIFS('Recipe Ingredients'!$B$5:$B$1204,A177,'Recipe Ingredients'!$V$5:$V$1204,FilterAllergen)=0)),1,0))</f>
        <v>0</v>
      </c>
      <c r="AM177" s="18">
        <f>IF(AL177=0,"",SUM($AL$5:AL177))</f>
        <v>0</v>
      </c>
      <c r="AN177" s="18">
        <f>IF(B177="","",COUNTIFS($AZ$5:$AZ$204,"&gt;"&amp;AZ177)+COUNTIFS($AZ$5:AZ177,AZ177))</f>
        <v>0</v>
      </c>
      <c r="AO177" s="18">
        <f>IF(B177="","",COUNTIFS($AE$5:$AE$204,"&gt;"&amp;AE177)+COUNTIFS($AE$5:AE177,AE177))</f>
        <v>0</v>
      </c>
      <c r="AP177" s="18">
        <f>IF(B177="","",COUNTIFS($AF$5:$AF$204,"&gt;"&amp;AF177)+COUNTIFS($AF$5:AF177,AF177))</f>
        <v>0</v>
      </c>
      <c r="AQ177" s="18">
        <f>IF(B177="","",COUNTIFS($AI$5:$AI$204,"&gt;"&amp;AI177)+COUNTIFS($AI$5:AI177,AI177))</f>
        <v>0</v>
      </c>
      <c r="AR177" s="18">
        <f>IF(B177="","",COUNTIFS($AS$5:$AS$204,"&gt;"&amp;AS177)+COUNTIFS($AS$5:AS177,AS177))</f>
        <v>0</v>
      </c>
      <c r="AS177" s="45">
        <f>IF(B177="","",IF(BB177="",99999,BC177))</f>
        <v>0</v>
      </c>
      <c r="AT177" s="45">
        <f>IF(A177="",0,SUMIFS('Meal Plan'!$L$5:$L$504,'Meal Plan'!$G$5:$G$504,A177,'Meal Plan'!$B$5:$B$504,"&gt;="&amp;ShopFrom,'Meal Plan'!$B$5:$B$504,"&lt;="&amp;ShopTo,'Meal Plan'!$M$5:$M$504,"Yes"))</f>
        <v>0</v>
      </c>
      <c r="AU177" s="25">
        <f>IF(OR(A177="",AC177=""),"",AC177*AT177)</f>
        <v>0</v>
      </c>
      <c r="AV177" s="18">
        <f>IF(A177="","",COUNTIFS('Recipe Ingredients'!$B$5:$B$1204,A177,'Recipe Ingredients'!$N$5:$N$1204,""))</f>
        <v>0</v>
      </c>
      <c r="AZ177" s="18">
        <f>IF(A177="","",COUNTIFS('Meal Plan'!$G$5:$G$504,A177))</f>
        <v>0</v>
      </c>
      <c r="BA177" s="18">
        <f>IF(A177="","",COUNTIFS('Meal Plan'!$G$5:$G$504,A177,'Meal Plan'!$N$5:$N$504,"Prepared")+COUNTIFS('Meal Plan'!$G$5:$G$504,A177,'Meal Plan'!$N$5:$N$504,"Eaten"))</f>
        <v>0</v>
      </c>
      <c r="BB177" s="19">
        <f>IF(A177="","",IF(COUNTIFS('Meal Plan'!$G$5:$G$504,A177,'Meal Plan'!$B$5:$B$504,"&lt;="&amp;TODAY())=0,"",SUMPRODUCT(MAX(('Meal Plan'!$G$5:$G$504=A177)*('Meal Plan'!$B$5:$B$504&lt;=TODAY())*'Meal Plan'!$B$5:$B$504))))</f>
        <v>0</v>
      </c>
      <c r="BC177" s="18">
        <f>IF(BB177="","",TODAY()-BB177)</f>
        <v>0</v>
      </c>
      <c r="BF177" s="31">
        <f>IF(B177="","",IF(G177="","Add - how many does it serve?",IF(AB177=0,"Add - no ingredients listed yet",IF(AV177&gt;0,"Check - "&amp;AV177&amp;" ingredient(s) have no price",IF(AND(BC177&lt;&gt;"",BC177&lt;RotationGapDays),"Cooked recently","OK")))))</f>
        <v>0</v>
      </c>
    </row>
    <row r="178" spans="1:58">
      <c r="A178" s="39">
        <f>IF(B178="","",RecipePrefix&amp;TEXT(ROW()-4,"0000"))</f>
        <v>0</v>
      </c>
      <c r="J178" s="18">
        <f>IF(B178="","",IF(AND(H178="",I178=""),"",IF(H178="",0,H178)+IF(I178="",0,I178)))</f>
        <v>0</v>
      </c>
      <c r="K178" s="46">
        <f>IF(J178="","",IF(J178&lt;=30,"Yes","No"))</f>
        <v>0</v>
      </c>
      <c r="AB178" s="18">
        <f>IF(A178="","",COUNTIFS('Recipe Ingredients'!$B$5:$B$1204,A178))</f>
        <v>0</v>
      </c>
      <c r="AC178" s="25">
        <f>IF(A178="","",SUMIFS('Recipe Ingredients'!$N$5:$N$1204,'Recipe Ingredients'!$B$5:$B$1204,A178))</f>
        <v>0</v>
      </c>
      <c r="AD178" s="25">
        <f>IF(OR(AC178="",G178=""),"",IF(G178=0,"",AC178/G178))</f>
        <v>0</v>
      </c>
      <c r="AE178" s="30">
        <f>IF(OR(A178="",G178=""),"",IF(G178=0,"",SUMIFS('Recipe Ingredients'!$Q$5:$Q$1204,'Recipe Ingredients'!$B$5:$B$1204,A178)/G178))</f>
        <v>0</v>
      </c>
      <c r="AF178" s="45">
        <f>IF(OR(A178="",G178=""),"",IF(G178=0,"",SUMIFS('Recipe Ingredients'!$R$5:$R$1204,'Recipe Ingredients'!$B$5:$B$1204,A178)/G178))</f>
        <v>0</v>
      </c>
      <c r="AG178" s="45">
        <f>IF(OR(A178="",G178=""),"",IF(G178=0,"",SUMIFS('Recipe Ingredients'!$S$5:$S$1204,'Recipe Ingredients'!$B$5:$B$1204,A178)/G178))</f>
        <v>0</v>
      </c>
      <c r="AH178" s="45">
        <f>IF(OR(A178="",G178=""),"",IF(G178=0,"",SUMIFS('Recipe Ingredients'!$T$5:$T$1204,'Recipe Ingredients'!$B$5:$B$1204,A178)/G178))</f>
        <v>0</v>
      </c>
      <c r="AI178" s="45">
        <f>IF(OR(A178="",G178=""),"",IF(G178=0,"",SUMIFS('Recipe Ingredients'!$U$5:$U$1204,'Recipe Ingredients'!$B$5:$B$1204,A178)/G178))</f>
        <v>0</v>
      </c>
      <c r="AJ178" s="17">
        <f>IF(A178="","",IF(COUNTIFS('Recipe Ingredients'!$B$5:$B$1204,A178,'Recipe Ingredients'!$V$5:$V$1204,"&lt;&gt;",'Recipe Ingredients'!$V$5:$V$1204,"&lt;&gt;None")=0,"None listed",COUNTIFS('Recipe Ingredients'!$B$5:$B$1204,A178,'Recipe Ingredients'!$V$5:$V$1204,"&lt;&gt;",'Recipe Ingredients'!$V$5:$V$1204,"&lt;&gt;None")&amp;" ingredient(s) flagged"))</f>
        <v>0</v>
      </c>
      <c r="AK178" s="18">
        <f>IF(OR(AD178="",NOT(ISNUMBER(AD178))),"",COUNTIFS($AD$5:$AD$204,"&lt;"&amp;AD178)+COUNTIFS($AD$5:AD178,AD178))</f>
        <v>0</v>
      </c>
      <c r="AL178" s="18">
        <f>IF(B178="",0,IF(AND(OR(FilterDiet="Any",T178=FilterDiet),OR(FilterCategory="Any",C178=FilterCategory),OR(FilterMethod="Any",L178=FilterMethod),OR(FilterTime=0,AND(J178&lt;&gt;"",J178&lt;=FilterTime)),OR(FilterCost=0,AND(AD178&lt;&gt;"",ISNUMBER(AD178),AD178&lt;=FilterCost)),OR(FilterAllergen="Any",COUNTIFS('Recipe Ingredients'!$B$5:$B$1204,A178,'Recipe Ingredients'!$V$5:$V$1204,FilterAllergen)=0)),1,0))</f>
        <v>0</v>
      </c>
      <c r="AM178" s="18">
        <f>IF(AL178=0,"",SUM($AL$5:AL178))</f>
        <v>0</v>
      </c>
      <c r="AN178" s="18">
        <f>IF(B178="","",COUNTIFS($AZ$5:$AZ$204,"&gt;"&amp;AZ178)+COUNTIFS($AZ$5:AZ178,AZ178))</f>
        <v>0</v>
      </c>
      <c r="AO178" s="18">
        <f>IF(B178="","",COUNTIFS($AE$5:$AE$204,"&gt;"&amp;AE178)+COUNTIFS($AE$5:AE178,AE178))</f>
        <v>0</v>
      </c>
      <c r="AP178" s="18">
        <f>IF(B178="","",COUNTIFS($AF$5:$AF$204,"&gt;"&amp;AF178)+COUNTIFS($AF$5:AF178,AF178))</f>
        <v>0</v>
      </c>
      <c r="AQ178" s="18">
        <f>IF(B178="","",COUNTIFS($AI$5:$AI$204,"&gt;"&amp;AI178)+COUNTIFS($AI$5:AI178,AI178))</f>
        <v>0</v>
      </c>
      <c r="AR178" s="18">
        <f>IF(B178="","",COUNTIFS($AS$5:$AS$204,"&gt;"&amp;AS178)+COUNTIFS($AS$5:AS178,AS178))</f>
        <v>0</v>
      </c>
      <c r="AS178" s="45">
        <f>IF(B178="","",IF(BB178="",99999,BC178))</f>
        <v>0</v>
      </c>
      <c r="AT178" s="45">
        <f>IF(A178="",0,SUMIFS('Meal Plan'!$L$5:$L$504,'Meal Plan'!$G$5:$G$504,A178,'Meal Plan'!$B$5:$B$504,"&gt;="&amp;ShopFrom,'Meal Plan'!$B$5:$B$504,"&lt;="&amp;ShopTo,'Meal Plan'!$M$5:$M$504,"Yes"))</f>
        <v>0</v>
      </c>
      <c r="AU178" s="25">
        <f>IF(OR(A178="",AC178=""),"",AC178*AT178)</f>
        <v>0</v>
      </c>
      <c r="AV178" s="18">
        <f>IF(A178="","",COUNTIFS('Recipe Ingredients'!$B$5:$B$1204,A178,'Recipe Ingredients'!$N$5:$N$1204,""))</f>
        <v>0</v>
      </c>
      <c r="AZ178" s="18">
        <f>IF(A178="","",COUNTIFS('Meal Plan'!$G$5:$G$504,A178))</f>
        <v>0</v>
      </c>
      <c r="BA178" s="18">
        <f>IF(A178="","",COUNTIFS('Meal Plan'!$G$5:$G$504,A178,'Meal Plan'!$N$5:$N$504,"Prepared")+COUNTIFS('Meal Plan'!$G$5:$G$504,A178,'Meal Plan'!$N$5:$N$504,"Eaten"))</f>
        <v>0</v>
      </c>
      <c r="BB178" s="19">
        <f>IF(A178="","",IF(COUNTIFS('Meal Plan'!$G$5:$G$504,A178,'Meal Plan'!$B$5:$B$504,"&lt;="&amp;TODAY())=0,"",SUMPRODUCT(MAX(('Meal Plan'!$G$5:$G$504=A178)*('Meal Plan'!$B$5:$B$504&lt;=TODAY())*'Meal Plan'!$B$5:$B$504))))</f>
        <v>0</v>
      </c>
      <c r="BC178" s="18">
        <f>IF(BB178="","",TODAY()-BB178)</f>
        <v>0</v>
      </c>
      <c r="BF178" s="31">
        <f>IF(B178="","",IF(G178="","Add - how many does it serve?",IF(AB178=0,"Add - no ingredients listed yet",IF(AV178&gt;0,"Check - "&amp;AV178&amp;" ingredient(s) have no price",IF(AND(BC178&lt;&gt;"",BC178&lt;RotationGapDays),"Cooked recently","OK")))))</f>
        <v>0</v>
      </c>
    </row>
    <row r="179" spans="1:58">
      <c r="A179" s="39">
        <f>IF(B179="","",RecipePrefix&amp;TEXT(ROW()-4,"0000"))</f>
        <v>0</v>
      </c>
      <c r="J179" s="18">
        <f>IF(B179="","",IF(AND(H179="",I179=""),"",IF(H179="",0,H179)+IF(I179="",0,I179)))</f>
        <v>0</v>
      </c>
      <c r="K179" s="46">
        <f>IF(J179="","",IF(J179&lt;=30,"Yes","No"))</f>
        <v>0</v>
      </c>
      <c r="AB179" s="18">
        <f>IF(A179="","",COUNTIFS('Recipe Ingredients'!$B$5:$B$1204,A179))</f>
        <v>0</v>
      </c>
      <c r="AC179" s="25">
        <f>IF(A179="","",SUMIFS('Recipe Ingredients'!$N$5:$N$1204,'Recipe Ingredients'!$B$5:$B$1204,A179))</f>
        <v>0</v>
      </c>
      <c r="AD179" s="25">
        <f>IF(OR(AC179="",G179=""),"",IF(G179=0,"",AC179/G179))</f>
        <v>0</v>
      </c>
      <c r="AE179" s="30">
        <f>IF(OR(A179="",G179=""),"",IF(G179=0,"",SUMIFS('Recipe Ingredients'!$Q$5:$Q$1204,'Recipe Ingredients'!$B$5:$B$1204,A179)/G179))</f>
        <v>0</v>
      </c>
      <c r="AF179" s="45">
        <f>IF(OR(A179="",G179=""),"",IF(G179=0,"",SUMIFS('Recipe Ingredients'!$R$5:$R$1204,'Recipe Ingredients'!$B$5:$B$1204,A179)/G179))</f>
        <v>0</v>
      </c>
      <c r="AG179" s="45">
        <f>IF(OR(A179="",G179=""),"",IF(G179=0,"",SUMIFS('Recipe Ingredients'!$S$5:$S$1204,'Recipe Ingredients'!$B$5:$B$1204,A179)/G179))</f>
        <v>0</v>
      </c>
      <c r="AH179" s="45">
        <f>IF(OR(A179="",G179=""),"",IF(G179=0,"",SUMIFS('Recipe Ingredients'!$T$5:$T$1204,'Recipe Ingredients'!$B$5:$B$1204,A179)/G179))</f>
        <v>0</v>
      </c>
      <c r="AI179" s="45">
        <f>IF(OR(A179="",G179=""),"",IF(G179=0,"",SUMIFS('Recipe Ingredients'!$U$5:$U$1204,'Recipe Ingredients'!$B$5:$B$1204,A179)/G179))</f>
        <v>0</v>
      </c>
      <c r="AJ179" s="17">
        <f>IF(A179="","",IF(COUNTIFS('Recipe Ingredients'!$B$5:$B$1204,A179,'Recipe Ingredients'!$V$5:$V$1204,"&lt;&gt;",'Recipe Ingredients'!$V$5:$V$1204,"&lt;&gt;None")=0,"None listed",COUNTIFS('Recipe Ingredients'!$B$5:$B$1204,A179,'Recipe Ingredients'!$V$5:$V$1204,"&lt;&gt;",'Recipe Ingredients'!$V$5:$V$1204,"&lt;&gt;None")&amp;" ingredient(s) flagged"))</f>
        <v>0</v>
      </c>
      <c r="AK179" s="18">
        <f>IF(OR(AD179="",NOT(ISNUMBER(AD179))),"",COUNTIFS($AD$5:$AD$204,"&lt;"&amp;AD179)+COUNTIFS($AD$5:AD179,AD179))</f>
        <v>0</v>
      </c>
      <c r="AL179" s="18">
        <f>IF(B179="",0,IF(AND(OR(FilterDiet="Any",T179=FilterDiet),OR(FilterCategory="Any",C179=FilterCategory),OR(FilterMethod="Any",L179=FilterMethod),OR(FilterTime=0,AND(J179&lt;&gt;"",J179&lt;=FilterTime)),OR(FilterCost=0,AND(AD179&lt;&gt;"",ISNUMBER(AD179),AD179&lt;=FilterCost)),OR(FilterAllergen="Any",COUNTIFS('Recipe Ingredients'!$B$5:$B$1204,A179,'Recipe Ingredients'!$V$5:$V$1204,FilterAllergen)=0)),1,0))</f>
        <v>0</v>
      </c>
      <c r="AM179" s="18">
        <f>IF(AL179=0,"",SUM($AL$5:AL179))</f>
        <v>0</v>
      </c>
      <c r="AN179" s="18">
        <f>IF(B179="","",COUNTIFS($AZ$5:$AZ$204,"&gt;"&amp;AZ179)+COUNTIFS($AZ$5:AZ179,AZ179))</f>
        <v>0</v>
      </c>
      <c r="AO179" s="18">
        <f>IF(B179="","",COUNTIFS($AE$5:$AE$204,"&gt;"&amp;AE179)+COUNTIFS($AE$5:AE179,AE179))</f>
        <v>0</v>
      </c>
      <c r="AP179" s="18">
        <f>IF(B179="","",COUNTIFS($AF$5:$AF$204,"&gt;"&amp;AF179)+COUNTIFS($AF$5:AF179,AF179))</f>
        <v>0</v>
      </c>
      <c r="AQ179" s="18">
        <f>IF(B179="","",COUNTIFS($AI$5:$AI$204,"&gt;"&amp;AI179)+COUNTIFS($AI$5:AI179,AI179))</f>
        <v>0</v>
      </c>
      <c r="AR179" s="18">
        <f>IF(B179="","",COUNTIFS($AS$5:$AS$204,"&gt;"&amp;AS179)+COUNTIFS($AS$5:AS179,AS179))</f>
        <v>0</v>
      </c>
      <c r="AS179" s="45">
        <f>IF(B179="","",IF(BB179="",99999,BC179))</f>
        <v>0</v>
      </c>
      <c r="AT179" s="45">
        <f>IF(A179="",0,SUMIFS('Meal Plan'!$L$5:$L$504,'Meal Plan'!$G$5:$G$504,A179,'Meal Plan'!$B$5:$B$504,"&gt;="&amp;ShopFrom,'Meal Plan'!$B$5:$B$504,"&lt;="&amp;ShopTo,'Meal Plan'!$M$5:$M$504,"Yes"))</f>
        <v>0</v>
      </c>
      <c r="AU179" s="25">
        <f>IF(OR(A179="",AC179=""),"",AC179*AT179)</f>
        <v>0</v>
      </c>
      <c r="AV179" s="18">
        <f>IF(A179="","",COUNTIFS('Recipe Ingredients'!$B$5:$B$1204,A179,'Recipe Ingredients'!$N$5:$N$1204,""))</f>
        <v>0</v>
      </c>
      <c r="AZ179" s="18">
        <f>IF(A179="","",COUNTIFS('Meal Plan'!$G$5:$G$504,A179))</f>
        <v>0</v>
      </c>
      <c r="BA179" s="18">
        <f>IF(A179="","",COUNTIFS('Meal Plan'!$G$5:$G$504,A179,'Meal Plan'!$N$5:$N$504,"Prepared")+COUNTIFS('Meal Plan'!$G$5:$G$504,A179,'Meal Plan'!$N$5:$N$504,"Eaten"))</f>
        <v>0</v>
      </c>
      <c r="BB179" s="19">
        <f>IF(A179="","",IF(COUNTIFS('Meal Plan'!$G$5:$G$504,A179,'Meal Plan'!$B$5:$B$504,"&lt;="&amp;TODAY())=0,"",SUMPRODUCT(MAX(('Meal Plan'!$G$5:$G$504=A179)*('Meal Plan'!$B$5:$B$504&lt;=TODAY())*'Meal Plan'!$B$5:$B$504))))</f>
        <v>0</v>
      </c>
      <c r="BC179" s="18">
        <f>IF(BB179="","",TODAY()-BB179)</f>
        <v>0</v>
      </c>
      <c r="BF179" s="31">
        <f>IF(B179="","",IF(G179="","Add - how many does it serve?",IF(AB179=0,"Add - no ingredients listed yet",IF(AV179&gt;0,"Check - "&amp;AV179&amp;" ingredient(s) have no price",IF(AND(BC179&lt;&gt;"",BC179&lt;RotationGapDays),"Cooked recently","OK")))))</f>
        <v>0</v>
      </c>
    </row>
    <row r="180" spans="1:58">
      <c r="A180" s="39">
        <f>IF(B180="","",RecipePrefix&amp;TEXT(ROW()-4,"0000"))</f>
        <v>0</v>
      </c>
      <c r="J180" s="18">
        <f>IF(B180="","",IF(AND(H180="",I180=""),"",IF(H180="",0,H180)+IF(I180="",0,I180)))</f>
        <v>0</v>
      </c>
      <c r="K180" s="46">
        <f>IF(J180="","",IF(J180&lt;=30,"Yes","No"))</f>
        <v>0</v>
      </c>
      <c r="AB180" s="18">
        <f>IF(A180="","",COUNTIFS('Recipe Ingredients'!$B$5:$B$1204,A180))</f>
        <v>0</v>
      </c>
      <c r="AC180" s="25">
        <f>IF(A180="","",SUMIFS('Recipe Ingredients'!$N$5:$N$1204,'Recipe Ingredients'!$B$5:$B$1204,A180))</f>
        <v>0</v>
      </c>
      <c r="AD180" s="25">
        <f>IF(OR(AC180="",G180=""),"",IF(G180=0,"",AC180/G180))</f>
        <v>0</v>
      </c>
      <c r="AE180" s="30">
        <f>IF(OR(A180="",G180=""),"",IF(G180=0,"",SUMIFS('Recipe Ingredients'!$Q$5:$Q$1204,'Recipe Ingredients'!$B$5:$B$1204,A180)/G180))</f>
        <v>0</v>
      </c>
      <c r="AF180" s="45">
        <f>IF(OR(A180="",G180=""),"",IF(G180=0,"",SUMIFS('Recipe Ingredients'!$R$5:$R$1204,'Recipe Ingredients'!$B$5:$B$1204,A180)/G180))</f>
        <v>0</v>
      </c>
      <c r="AG180" s="45">
        <f>IF(OR(A180="",G180=""),"",IF(G180=0,"",SUMIFS('Recipe Ingredients'!$S$5:$S$1204,'Recipe Ingredients'!$B$5:$B$1204,A180)/G180))</f>
        <v>0</v>
      </c>
      <c r="AH180" s="45">
        <f>IF(OR(A180="",G180=""),"",IF(G180=0,"",SUMIFS('Recipe Ingredients'!$T$5:$T$1204,'Recipe Ingredients'!$B$5:$B$1204,A180)/G180))</f>
        <v>0</v>
      </c>
      <c r="AI180" s="45">
        <f>IF(OR(A180="",G180=""),"",IF(G180=0,"",SUMIFS('Recipe Ingredients'!$U$5:$U$1204,'Recipe Ingredients'!$B$5:$B$1204,A180)/G180))</f>
        <v>0</v>
      </c>
      <c r="AJ180" s="17">
        <f>IF(A180="","",IF(COUNTIFS('Recipe Ingredients'!$B$5:$B$1204,A180,'Recipe Ingredients'!$V$5:$V$1204,"&lt;&gt;",'Recipe Ingredients'!$V$5:$V$1204,"&lt;&gt;None")=0,"None listed",COUNTIFS('Recipe Ingredients'!$B$5:$B$1204,A180,'Recipe Ingredients'!$V$5:$V$1204,"&lt;&gt;",'Recipe Ingredients'!$V$5:$V$1204,"&lt;&gt;None")&amp;" ingredient(s) flagged"))</f>
        <v>0</v>
      </c>
      <c r="AK180" s="18">
        <f>IF(OR(AD180="",NOT(ISNUMBER(AD180))),"",COUNTIFS($AD$5:$AD$204,"&lt;"&amp;AD180)+COUNTIFS($AD$5:AD180,AD180))</f>
        <v>0</v>
      </c>
      <c r="AL180" s="18">
        <f>IF(B180="",0,IF(AND(OR(FilterDiet="Any",T180=FilterDiet),OR(FilterCategory="Any",C180=FilterCategory),OR(FilterMethod="Any",L180=FilterMethod),OR(FilterTime=0,AND(J180&lt;&gt;"",J180&lt;=FilterTime)),OR(FilterCost=0,AND(AD180&lt;&gt;"",ISNUMBER(AD180),AD180&lt;=FilterCost)),OR(FilterAllergen="Any",COUNTIFS('Recipe Ingredients'!$B$5:$B$1204,A180,'Recipe Ingredients'!$V$5:$V$1204,FilterAllergen)=0)),1,0))</f>
        <v>0</v>
      </c>
      <c r="AM180" s="18">
        <f>IF(AL180=0,"",SUM($AL$5:AL180))</f>
        <v>0</v>
      </c>
      <c r="AN180" s="18">
        <f>IF(B180="","",COUNTIFS($AZ$5:$AZ$204,"&gt;"&amp;AZ180)+COUNTIFS($AZ$5:AZ180,AZ180))</f>
        <v>0</v>
      </c>
      <c r="AO180" s="18">
        <f>IF(B180="","",COUNTIFS($AE$5:$AE$204,"&gt;"&amp;AE180)+COUNTIFS($AE$5:AE180,AE180))</f>
        <v>0</v>
      </c>
      <c r="AP180" s="18">
        <f>IF(B180="","",COUNTIFS($AF$5:$AF$204,"&gt;"&amp;AF180)+COUNTIFS($AF$5:AF180,AF180))</f>
        <v>0</v>
      </c>
      <c r="AQ180" s="18">
        <f>IF(B180="","",COUNTIFS($AI$5:$AI$204,"&gt;"&amp;AI180)+COUNTIFS($AI$5:AI180,AI180))</f>
        <v>0</v>
      </c>
      <c r="AR180" s="18">
        <f>IF(B180="","",COUNTIFS($AS$5:$AS$204,"&gt;"&amp;AS180)+COUNTIFS($AS$5:AS180,AS180))</f>
        <v>0</v>
      </c>
      <c r="AS180" s="45">
        <f>IF(B180="","",IF(BB180="",99999,BC180))</f>
        <v>0</v>
      </c>
      <c r="AT180" s="45">
        <f>IF(A180="",0,SUMIFS('Meal Plan'!$L$5:$L$504,'Meal Plan'!$G$5:$G$504,A180,'Meal Plan'!$B$5:$B$504,"&gt;="&amp;ShopFrom,'Meal Plan'!$B$5:$B$504,"&lt;="&amp;ShopTo,'Meal Plan'!$M$5:$M$504,"Yes"))</f>
        <v>0</v>
      </c>
      <c r="AU180" s="25">
        <f>IF(OR(A180="",AC180=""),"",AC180*AT180)</f>
        <v>0</v>
      </c>
      <c r="AV180" s="18">
        <f>IF(A180="","",COUNTIFS('Recipe Ingredients'!$B$5:$B$1204,A180,'Recipe Ingredients'!$N$5:$N$1204,""))</f>
        <v>0</v>
      </c>
      <c r="AZ180" s="18">
        <f>IF(A180="","",COUNTIFS('Meal Plan'!$G$5:$G$504,A180))</f>
        <v>0</v>
      </c>
      <c r="BA180" s="18">
        <f>IF(A180="","",COUNTIFS('Meal Plan'!$G$5:$G$504,A180,'Meal Plan'!$N$5:$N$504,"Prepared")+COUNTIFS('Meal Plan'!$G$5:$G$504,A180,'Meal Plan'!$N$5:$N$504,"Eaten"))</f>
        <v>0</v>
      </c>
      <c r="BB180" s="19">
        <f>IF(A180="","",IF(COUNTIFS('Meal Plan'!$G$5:$G$504,A180,'Meal Plan'!$B$5:$B$504,"&lt;="&amp;TODAY())=0,"",SUMPRODUCT(MAX(('Meal Plan'!$G$5:$G$504=A180)*('Meal Plan'!$B$5:$B$504&lt;=TODAY())*'Meal Plan'!$B$5:$B$504))))</f>
        <v>0</v>
      </c>
      <c r="BC180" s="18">
        <f>IF(BB180="","",TODAY()-BB180)</f>
        <v>0</v>
      </c>
      <c r="BF180" s="31">
        <f>IF(B180="","",IF(G180="","Add - how many does it serve?",IF(AB180=0,"Add - no ingredients listed yet",IF(AV180&gt;0,"Check - "&amp;AV180&amp;" ingredient(s) have no price",IF(AND(BC180&lt;&gt;"",BC180&lt;RotationGapDays),"Cooked recently","OK")))))</f>
        <v>0</v>
      </c>
    </row>
    <row r="181" spans="1:58">
      <c r="A181" s="39">
        <f>IF(B181="","",RecipePrefix&amp;TEXT(ROW()-4,"0000"))</f>
        <v>0</v>
      </c>
      <c r="J181" s="18">
        <f>IF(B181="","",IF(AND(H181="",I181=""),"",IF(H181="",0,H181)+IF(I181="",0,I181)))</f>
        <v>0</v>
      </c>
      <c r="K181" s="46">
        <f>IF(J181="","",IF(J181&lt;=30,"Yes","No"))</f>
        <v>0</v>
      </c>
      <c r="AB181" s="18">
        <f>IF(A181="","",COUNTIFS('Recipe Ingredients'!$B$5:$B$1204,A181))</f>
        <v>0</v>
      </c>
      <c r="AC181" s="25">
        <f>IF(A181="","",SUMIFS('Recipe Ingredients'!$N$5:$N$1204,'Recipe Ingredients'!$B$5:$B$1204,A181))</f>
        <v>0</v>
      </c>
      <c r="AD181" s="25">
        <f>IF(OR(AC181="",G181=""),"",IF(G181=0,"",AC181/G181))</f>
        <v>0</v>
      </c>
      <c r="AE181" s="30">
        <f>IF(OR(A181="",G181=""),"",IF(G181=0,"",SUMIFS('Recipe Ingredients'!$Q$5:$Q$1204,'Recipe Ingredients'!$B$5:$B$1204,A181)/G181))</f>
        <v>0</v>
      </c>
      <c r="AF181" s="45">
        <f>IF(OR(A181="",G181=""),"",IF(G181=0,"",SUMIFS('Recipe Ingredients'!$R$5:$R$1204,'Recipe Ingredients'!$B$5:$B$1204,A181)/G181))</f>
        <v>0</v>
      </c>
      <c r="AG181" s="45">
        <f>IF(OR(A181="",G181=""),"",IF(G181=0,"",SUMIFS('Recipe Ingredients'!$S$5:$S$1204,'Recipe Ingredients'!$B$5:$B$1204,A181)/G181))</f>
        <v>0</v>
      </c>
      <c r="AH181" s="45">
        <f>IF(OR(A181="",G181=""),"",IF(G181=0,"",SUMIFS('Recipe Ingredients'!$T$5:$T$1204,'Recipe Ingredients'!$B$5:$B$1204,A181)/G181))</f>
        <v>0</v>
      </c>
      <c r="AI181" s="45">
        <f>IF(OR(A181="",G181=""),"",IF(G181=0,"",SUMIFS('Recipe Ingredients'!$U$5:$U$1204,'Recipe Ingredients'!$B$5:$B$1204,A181)/G181))</f>
        <v>0</v>
      </c>
      <c r="AJ181" s="17">
        <f>IF(A181="","",IF(COUNTIFS('Recipe Ingredients'!$B$5:$B$1204,A181,'Recipe Ingredients'!$V$5:$V$1204,"&lt;&gt;",'Recipe Ingredients'!$V$5:$V$1204,"&lt;&gt;None")=0,"None listed",COUNTIFS('Recipe Ingredients'!$B$5:$B$1204,A181,'Recipe Ingredients'!$V$5:$V$1204,"&lt;&gt;",'Recipe Ingredients'!$V$5:$V$1204,"&lt;&gt;None")&amp;" ingredient(s) flagged"))</f>
        <v>0</v>
      </c>
      <c r="AK181" s="18">
        <f>IF(OR(AD181="",NOT(ISNUMBER(AD181))),"",COUNTIFS($AD$5:$AD$204,"&lt;"&amp;AD181)+COUNTIFS($AD$5:AD181,AD181))</f>
        <v>0</v>
      </c>
      <c r="AL181" s="18">
        <f>IF(B181="",0,IF(AND(OR(FilterDiet="Any",T181=FilterDiet),OR(FilterCategory="Any",C181=FilterCategory),OR(FilterMethod="Any",L181=FilterMethod),OR(FilterTime=0,AND(J181&lt;&gt;"",J181&lt;=FilterTime)),OR(FilterCost=0,AND(AD181&lt;&gt;"",ISNUMBER(AD181),AD181&lt;=FilterCost)),OR(FilterAllergen="Any",COUNTIFS('Recipe Ingredients'!$B$5:$B$1204,A181,'Recipe Ingredients'!$V$5:$V$1204,FilterAllergen)=0)),1,0))</f>
        <v>0</v>
      </c>
      <c r="AM181" s="18">
        <f>IF(AL181=0,"",SUM($AL$5:AL181))</f>
        <v>0</v>
      </c>
      <c r="AN181" s="18">
        <f>IF(B181="","",COUNTIFS($AZ$5:$AZ$204,"&gt;"&amp;AZ181)+COUNTIFS($AZ$5:AZ181,AZ181))</f>
        <v>0</v>
      </c>
      <c r="AO181" s="18">
        <f>IF(B181="","",COUNTIFS($AE$5:$AE$204,"&gt;"&amp;AE181)+COUNTIFS($AE$5:AE181,AE181))</f>
        <v>0</v>
      </c>
      <c r="AP181" s="18">
        <f>IF(B181="","",COUNTIFS($AF$5:$AF$204,"&gt;"&amp;AF181)+COUNTIFS($AF$5:AF181,AF181))</f>
        <v>0</v>
      </c>
      <c r="AQ181" s="18">
        <f>IF(B181="","",COUNTIFS($AI$5:$AI$204,"&gt;"&amp;AI181)+COUNTIFS($AI$5:AI181,AI181))</f>
        <v>0</v>
      </c>
      <c r="AR181" s="18">
        <f>IF(B181="","",COUNTIFS($AS$5:$AS$204,"&gt;"&amp;AS181)+COUNTIFS($AS$5:AS181,AS181))</f>
        <v>0</v>
      </c>
      <c r="AS181" s="45">
        <f>IF(B181="","",IF(BB181="",99999,BC181))</f>
        <v>0</v>
      </c>
      <c r="AT181" s="45">
        <f>IF(A181="",0,SUMIFS('Meal Plan'!$L$5:$L$504,'Meal Plan'!$G$5:$G$504,A181,'Meal Plan'!$B$5:$B$504,"&gt;="&amp;ShopFrom,'Meal Plan'!$B$5:$B$504,"&lt;="&amp;ShopTo,'Meal Plan'!$M$5:$M$504,"Yes"))</f>
        <v>0</v>
      </c>
      <c r="AU181" s="25">
        <f>IF(OR(A181="",AC181=""),"",AC181*AT181)</f>
        <v>0</v>
      </c>
      <c r="AV181" s="18">
        <f>IF(A181="","",COUNTIFS('Recipe Ingredients'!$B$5:$B$1204,A181,'Recipe Ingredients'!$N$5:$N$1204,""))</f>
        <v>0</v>
      </c>
      <c r="AZ181" s="18">
        <f>IF(A181="","",COUNTIFS('Meal Plan'!$G$5:$G$504,A181))</f>
        <v>0</v>
      </c>
      <c r="BA181" s="18">
        <f>IF(A181="","",COUNTIFS('Meal Plan'!$G$5:$G$504,A181,'Meal Plan'!$N$5:$N$504,"Prepared")+COUNTIFS('Meal Plan'!$G$5:$G$504,A181,'Meal Plan'!$N$5:$N$504,"Eaten"))</f>
        <v>0</v>
      </c>
      <c r="BB181" s="19">
        <f>IF(A181="","",IF(COUNTIFS('Meal Plan'!$G$5:$G$504,A181,'Meal Plan'!$B$5:$B$504,"&lt;="&amp;TODAY())=0,"",SUMPRODUCT(MAX(('Meal Plan'!$G$5:$G$504=A181)*('Meal Plan'!$B$5:$B$504&lt;=TODAY())*'Meal Plan'!$B$5:$B$504))))</f>
        <v>0</v>
      </c>
      <c r="BC181" s="18">
        <f>IF(BB181="","",TODAY()-BB181)</f>
        <v>0</v>
      </c>
      <c r="BF181" s="31">
        <f>IF(B181="","",IF(G181="","Add - how many does it serve?",IF(AB181=0,"Add - no ingredients listed yet",IF(AV181&gt;0,"Check - "&amp;AV181&amp;" ingredient(s) have no price",IF(AND(BC181&lt;&gt;"",BC181&lt;RotationGapDays),"Cooked recently","OK")))))</f>
        <v>0</v>
      </c>
    </row>
    <row r="182" spans="1:58">
      <c r="A182" s="39">
        <f>IF(B182="","",RecipePrefix&amp;TEXT(ROW()-4,"0000"))</f>
        <v>0</v>
      </c>
      <c r="J182" s="18">
        <f>IF(B182="","",IF(AND(H182="",I182=""),"",IF(H182="",0,H182)+IF(I182="",0,I182)))</f>
        <v>0</v>
      </c>
      <c r="K182" s="46">
        <f>IF(J182="","",IF(J182&lt;=30,"Yes","No"))</f>
        <v>0</v>
      </c>
      <c r="AB182" s="18">
        <f>IF(A182="","",COUNTIFS('Recipe Ingredients'!$B$5:$B$1204,A182))</f>
        <v>0</v>
      </c>
      <c r="AC182" s="25">
        <f>IF(A182="","",SUMIFS('Recipe Ingredients'!$N$5:$N$1204,'Recipe Ingredients'!$B$5:$B$1204,A182))</f>
        <v>0</v>
      </c>
      <c r="AD182" s="25">
        <f>IF(OR(AC182="",G182=""),"",IF(G182=0,"",AC182/G182))</f>
        <v>0</v>
      </c>
      <c r="AE182" s="30">
        <f>IF(OR(A182="",G182=""),"",IF(G182=0,"",SUMIFS('Recipe Ingredients'!$Q$5:$Q$1204,'Recipe Ingredients'!$B$5:$B$1204,A182)/G182))</f>
        <v>0</v>
      </c>
      <c r="AF182" s="45">
        <f>IF(OR(A182="",G182=""),"",IF(G182=0,"",SUMIFS('Recipe Ingredients'!$R$5:$R$1204,'Recipe Ingredients'!$B$5:$B$1204,A182)/G182))</f>
        <v>0</v>
      </c>
      <c r="AG182" s="45">
        <f>IF(OR(A182="",G182=""),"",IF(G182=0,"",SUMIFS('Recipe Ingredients'!$S$5:$S$1204,'Recipe Ingredients'!$B$5:$B$1204,A182)/G182))</f>
        <v>0</v>
      </c>
      <c r="AH182" s="45">
        <f>IF(OR(A182="",G182=""),"",IF(G182=0,"",SUMIFS('Recipe Ingredients'!$T$5:$T$1204,'Recipe Ingredients'!$B$5:$B$1204,A182)/G182))</f>
        <v>0</v>
      </c>
      <c r="AI182" s="45">
        <f>IF(OR(A182="",G182=""),"",IF(G182=0,"",SUMIFS('Recipe Ingredients'!$U$5:$U$1204,'Recipe Ingredients'!$B$5:$B$1204,A182)/G182))</f>
        <v>0</v>
      </c>
      <c r="AJ182" s="17">
        <f>IF(A182="","",IF(COUNTIFS('Recipe Ingredients'!$B$5:$B$1204,A182,'Recipe Ingredients'!$V$5:$V$1204,"&lt;&gt;",'Recipe Ingredients'!$V$5:$V$1204,"&lt;&gt;None")=0,"None listed",COUNTIFS('Recipe Ingredients'!$B$5:$B$1204,A182,'Recipe Ingredients'!$V$5:$V$1204,"&lt;&gt;",'Recipe Ingredients'!$V$5:$V$1204,"&lt;&gt;None")&amp;" ingredient(s) flagged"))</f>
        <v>0</v>
      </c>
      <c r="AK182" s="18">
        <f>IF(OR(AD182="",NOT(ISNUMBER(AD182))),"",COUNTIFS($AD$5:$AD$204,"&lt;"&amp;AD182)+COUNTIFS($AD$5:AD182,AD182))</f>
        <v>0</v>
      </c>
      <c r="AL182" s="18">
        <f>IF(B182="",0,IF(AND(OR(FilterDiet="Any",T182=FilterDiet),OR(FilterCategory="Any",C182=FilterCategory),OR(FilterMethod="Any",L182=FilterMethod),OR(FilterTime=0,AND(J182&lt;&gt;"",J182&lt;=FilterTime)),OR(FilterCost=0,AND(AD182&lt;&gt;"",ISNUMBER(AD182),AD182&lt;=FilterCost)),OR(FilterAllergen="Any",COUNTIFS('Recipe Ingredients'!$B$5:$B$1204,A182,'Recipe Ingredients'!$V$5:$V$1204,FilterAllergen)=0)),1,0))</f>
        <v>0</v>
      </c>
      <c r="AM182" s="18">
        <f>IF(AL182=0,"",SUM($AL$5:AL182))</f>
        <v>0</v>
      </c>
      <c r="AN182" s="18">
        <f>IF(B182="","",COUNTIFS($AZ$5:$AZ$204,"&gt;"&amp;AZ182)+COUNTIFS($AZ$5:AZ182,AZ182))</f>
        <v>0</v>
      </c>
      <c r="AO182" s="18">
        <f>IF(B182="","",COUNTIFS($AE$5:$AE$204,"&gt;"&amp;AE182)+COUNTIFS($AE$5:AE182,AE182))</f>
        <v>0</v>
      </c>
      <c r="AP182" s="18">
        <f>IF(B182="","",COUNTIFS($AF$5:$AF$204,"&gt;"&amp;AF182)+COUNTIFS($AF$5:AF182,AF182))</f>
        <v>0</v>
      </c>
      <c r="AQ182" s="18">
        <f>IF(B182="","",COUNTIFS($AI$5:$AI$204,"&gt;"&amp;AI182)+COUNTIFS($AI$5:AI182,AI182))</f>
        <v>0</v>
      </c>
      <c r="AR182" s="18">
        <f>IF(B182="","",COUNTIFS($AS$5:$AS$204,"&gt;"&amp;AS182)+COUNTIFS($AS$5:AS182,AS182))</f>
        <v>0</v>
      </c>
      <c r="AS182" s="45">
        <f>IF(B182="","",IF(BB182="",99999,BC182))</f>
        <v>0</v>
      </c>
      <c r="AT182" s="45">
        <f>IF(A182="",0,SUMIFS('Meal Plan'!$L$5:$L$504,'Meal Plan'!$G$5:$G$504,A182,'Meal Plan'!$B$5:$B$504,"&gt;="&amp;ShopFrom,'Meal Plan'!$B$5:$B$504,"&lt;="&amp;ShopTo,'Meal Plan'!$M$5:$M$504,"Yes"))</f>
        <v>0</v>
      </c>
      <c r="AU182" s="25">
        <f>IF(OR(A182="",AC182=""),"",AC182*AT182)</f>
        <v>0</v>
      </c>
      <c r="AV182" s="18">
        <f>IF(A182="","",COUNTIFS('Recipe Ingredients'!$B$5:$B$1204,A182,'Recipe Ingredients'!$N$5:$N$1204,""))</f>
        <v>0</v>
      </c>
      <c r="AZ182" s="18">
        <f>IF(A182="","",COUNTIFS('Meal Plan'!$G$5:$G$504,A182))</f>
        <v>0</v>
      </c>
      <c r="BA182" s="18">
        <f>IF(A182="","",COUNTIFS('Meal Plan'!$G$5:$G$504,A182,'Meal Plan'!$N$5:$N$504,"Prepared")+COUNTIFS('Meal Plan'!$G$5:$G$504,A182,'Meal Plan'!$N$5:$N$504,"Eaten"))</f>
        <v>0</v>
      </c>
      <c r="BB182" s="19">
        <f>IF(A182="","",IF(COUNTIFS('Meal Plan'!$G$5:$G$504,A182,'Meal Plan'!$B$5:$B$504,"&lt;="&amp;TODAY())=0,"",SUMPRODUCT(MAX(('Meal Plan'!$G$5:$G$504=A182)*('Meal Plan'!$B$5:$B$504&lt;=TODAY())*'Meal Plan'!$B$5:$B$504))))</f>
        <v>0</v>
      </c>
      <c r="BC182" s="18">
        <f>IF(BB182="","",TODAY()-BB182)</f>
        <v>0</v>
      </c>
      <c r="BF182" s="31">
        <f>IF(B182="","",IF(G182="","Add - how many does it serve?",IF(AB182=0,"Add - no ingredients listed yet",IF(AV182&gt;0,"Check - "&amp;AV182&amp;" ingredient(s) have no price",IF(AND(BC182&lt;&gt;"",BC182&lt;RotationGapDays),"Cooked recently","OK")))))</f>
        <v>0</v>
      </c>
    </row>
    <row r="183" spans="1:58">
      <c r="A183" s="39">
        <f>IF(B183="","",RecipePrefix&amp;TEXT(ROW()-4,"0000"))</f>
        <v>0</v>
      </c>
      <c r="J183" s="18">
        <f>IF(B183="","",IF(AND(H183="",I183=""),"",IF(H183="",0,H183)+IF(I183="",0,I183)))</f>
        <v>0</v>
      </c>
      <c r="K183" s="46">
        <f>IF(J183="","",IF(J183&lt;=30,"Yes","No"))</f>
        <v>0</v>
      </c>
      <c r="AB183" s="18">
        <f>IF(A183="","",COUNTIFS('Recipe Ingredients'!$B$5:$B$1204,A183))</f>
        <v>0</v>
      </c>
      <c r="AC183" s="25">
        <f>IF(A183="","",SUMIFS('Recipe Ingredients'!$N$5:$N$1204,'Recipe Ingredients'!$B$5:$B$1204,A183))</f>
        <v>0</v>
      </c>
      <c r="AD183" s="25">
        <f>IF(OR(AC183="",G183=""),"",IF(G183=0,"",AC183/G183))</f>
        <v>0</v>
      </c>
      <c r="AE183" s="30">
        <f>IF(OR(A183="",G183=""),"",IF(G183=0,"",SUMIFS('Recipe Ingredients'!$Q$5:$Q$1204,'Recipe Ingredients'!$B$5:$B$1204,A183)/G183))</f>
        <v>0</v>
      </c>
      <c r="AF183" s="45">
        <f>IF(OR(A183="",G183=""),"",IF(G183=0,"",SUMIFS('Recipe Ingredients'!$R$5:$R$1204,'Recipe Ingredients'!$B$5:$B$1204,A183)/G183))</f>
        <v>0</v>
      </c>
      <c r="AG183" s="45">
        <f>IF(OR(A183="",G183=""),"",IF(G183=0,"",SUMIFS('Recipe Ingredients'!$S$5:$S$1204,'Recipe Ingredients'!$B$5:$B$1204,A183)/G183))</f>
        <v>0</v>
      </c>
      <c r="AH183" s="45">
        <f>IF(OR(A183="",G183=""),"",IF(G183=0,"",SUMIFS('Recipe Ingredients'!$T$5:$T$1204,'Recipe Ingredients'!$B$5:$B$1204,A183)/G183))</f>
        <v>0</v>
      </c>
      <c r="AI183" s="45">
        <f>IF(OR(A183="",G183=""),"",IF(G183=0,"",SUMIFS('Recipe Ingredients'!$U$5:$U$1204,'Recipe Ingredients'!$B$5:$B$1204,A183)/G183))</f>
        <v>0</v>
      </c>
      <c r="AJ183" s="17">
        <f>IF(A183="","",IF(COUNTIFS('Recipe Ingredients'!$B$5:$B$1204,A183,'Recipe Ingredients'!$V$5:$V$1204,"&lt;&gt;",'Recipe Ingredients'!$V$5:$V$1204,"&lt;&gt;None")=0,"None listed",COUNTIFS('Recipe Ingredients'!$B$5:$B$1204,A183,'Recipe Ingredients'!$V$5:$V$1204,"&lt;&gt;",'Recipe Ingredients'!$V$5:$V$1204,"&lt;&gt;None")&amp;" ingredient(s) flagged"))</f>
        <v>0</v>
      </c>
      <c r="AK183" s="18">
        <f>IF(OR(AD183="",NOT(ISNUMBER(AD183))),"",COUNTIFS($AD$5:$AD$204,"&lt;"&amp;AD183)+COUNTIFS($AD$5:AD183,AD183))</f>
        <v>0</v>
      </c>
      <c r="AL183" s="18">
        <f>IF(B183="",0,IF(AND(OR(FilterDiet="Any",T183=FilterDiet),OR(FilterCategory="Any",C183=FilterCategory),OR(FilterMethod="Any",L183=FilterMethod),OR(FilterTime=0,AND(J183&lt;&gt;"",J183&lt;=FilterTime)),OR(FilterCost=0,AND(AD183&lt;&gt;"",ISNUMBER(AD183),AD183&lt;=FilterCost)),OR(FilterAllergen="Any",COUNTIFS('Recipe Ingredients'!$B$5:$B$1204,A183,'Recipe Ingredients'!$V$5:$V$1204,FilterAllergen)=0)),1,0))</f>
        <v>0</v>
      </c>
      <c r="AM183" s="18">
        <f>IF(AL183=0,"",SUM($AL$5:AL183))</f>
        <v>0</v>
      </c>
      <c r="AN183" s="18">
        <f>IF(B183="","",COUNTIFS($AZ$5:$AZ$204,"&gt;"&amp;AZ183)+COUNTIFS($AZ$5:AZ183,AZ183))</f>
        <v>0</v>
      </c>
      <c r="AO183" s="18">
        <f>IF(B183="","",COUNTIFS($AE$5:$AE$204,"&gt;"&amp;AE183)+COUNTIFS($AE$5:AE183,AE183))</f>
        <v>0</v>
      </c>
      <c r="AP183" s="18">
        <f>IF(B183="","",COUNTIFS($AF$5:$AF$204,"&gt;"&amp;AF183)+COUNTIFS($AF$5:AF183,AF183))</f>
        <v>0</v>
      </c>
      <c r="AQ183" s="18">
        <f>IF(B183="","",COUNTIFS($AI$5:$AI$204,"&gt;"&amp;AI183)+COUNTIFS($AI$5:AI183,AI183))</f>
        <v>0</v>
      </c>
      <c r="AR183" s="18">
        <f>IF(B183="","",COUNTIFS($AS$5:$AS$204,"&gt;"&amp;AS183)+COUNTIFS($AS$5:AS183,AS183))</f>
        <v>0</v>
      </c>
      <c r="AS183" s="45">
        <f>IF(B183="","",IF(BB183="",99999,BC183))</f>
        <v>0</v>
      </c>
      <c r="AT183" s="45">
        <f>IF(A183="",0,SUMIFS('Meal Plan'!$L$5:$L$504,'Meal Plan'!$G$5:$G$504,A183,'Meal Plan'!$B$5:$B$504,"&gt;="&amp;ShopFrom,'Meal Plan'!$B$5:$B$504,"&lt;="&amp;ShopTo,'Meal Plan'!$M$5:$M$504,"Yes"))</f>
        <v>0</v>
      </c>
      <c r="AU183" s="25">
        <f>IF(OR(A183="",AC183=""),"",AC183*AT183)</f>
        <v>0</v>
      </c>
      <c r="AV183" s="18">
        <f>IF(A183="","",COUNTIFS('Recipe Ingredients'!$B$5:$B$1204,A183,'Recipe Ingredients'!$N$5:$N$1204,""))</f>
        <v>0</v>
      </c>
      <c r="AZ183" s="18">
        <f>IF(A183="","",COUNTIFS('Meal Plan'!$G$5:$G$504,A183))</f>
        <v>0</v>
      </c>
      <c r="BA183" s="18">
        <f>IF(A183="","",COUNTIFS('Meal Plan'!$G$5:$G$504,A183,'Meal Plan'!$N$5:$N$504,"Prepared")+COUNTIFS('Meal Plan'!$G$5:$G$504,A183,'Meal Plan'!$N$5:$N$504,"Eaten"))</f>
        <v>0</v>
      </c>
      <c r="BB183" s="19">
        <f>IF(A183="","",IF(COUNTIFS('Meal Plan'!$G$5:$G$504,A183,'Meal Plan'!$B$5:$B$504,"&lt;="&amp;TODAY())=0,"",SUMPRODUCT(MAX(('Meal Plan'!$G$5:$G$504=A183)*('Meal Plan'!$B$5:$B$504&lt;=TODAY())*'Meal Plan'!$B$5:$B$504))))</f>
        <v>0</v>
      </c>
      <c r="BC183" s="18">
        <f>IF(BB183="","",TODAY()-BB183)</f>
        <v>0</v>
      </c>
      <c r="BF183" s="31">
        <f>IF(B183="","",IF(G183="","Add - how many does it serve?",IF(AB183=0,"Add - no ingredients listed yet",IF(AV183&gt;0,"Check - "&amp;AV183&amp;" ingredient(s) have no price",IF(AND(BC183&lt;&gt;"",BC183&lt;RotationGapDays),"Cooked recently","OK")))))</f>
        <v>0</v>
      </c>
    </row>
    <row r="184" spans="1:58">
      <c r="A184" s="39">
        <f>IF(B184="","",RecipePrefix&amp;TEXT(ROW()-4,"0000"))</f>
        <v>0</v>
      </c>
      <c r="J184" s="18">
        <f>IF(B184="","",IF(AND(H184="",I184=""),"",IF(H184="",0,H184)+IF(I184="",0,I184)))</f>
        <v>0</v>
      </c>
      <c r="K184" s="46">
        <f>IF(J184="","",IF(J184&lt;=30,"Yes","No"))</f>
        <v>0</v>
      </c>
      <c r="AB184" s="18">
        <f>IF(A184="","",COUNTIFS('Recipe Ingredients'!$B$5:$B$1204,A184))</f>
        <v>0</v>
      </c>
      <c r="AC184" s="25">
        <f>IF(A184="","",SUMIFS('Recipe Ingredients'!$N$5:$N$1204,'Recipe Ingredients'!$B$5:$B$1204,A184))</f>
        <v>0</v>
      </c>
      <c r="AD184" s="25">
        <f>IF(OR(AC184="",G184=""),"",IF(G184=0,"",AC184/G184))</f>
        <v>0</v>
      </c>
      <c r="AE184" s="30">
        <f>IF(OR(A184="",G184=""),"",IF(G184=0,"",SUMIFS('Recipe Ingredients'!$Q$5:$Q$1204,'Recipe Ingredients'!$B$5:$B$1204,A184)/G184))</f>
        <v>0</v>
      </c>
      <c r="AF184" s="45">
        <f>IF(OR(A184="",G184=""),"",IF(G184=0,"",SUMIFS('Recipe Ingredients'!$R$5:$R$1204,'Recipe Ingredients'!$B$5:$B$1204,A184)/G184))</f>
        <v>0</v>
      </c>
      <c r="AG184" s="45">
        <f>IF(OR(A184="",G184=""),"",IF(G184=0,"",SUMIFS('Recipe Ingredients'!$S$5:$S$1204,'Recipe Ingredients'!$B$5:$B$1204,A184)/G184))</f>
        <v>0</v>
      </c>
      <c r="AH184" s="45">
        <f>IF(OR(A184="",G184=""),"",IF(G184=0,"",SUMIFS('Recipe Ingredients'!$T$5:$T$1204,'Recipe Ingredients'!$B$5:$B$1204,A184)/G184))</f>
        <v>0</v>
      </c>
      <c r="AI184" s="45">
        <f>IF(OR(A184="",G184=""),"",IF(G184=0,"",SUMIFS('Recipe Ingredients'!$U$5:$U$1204,'Recipe Ingredients'!$B$5:$B$1204,A184)/G184))</f>
        <v>0</v>
      </c>
      <c r="AJ184" s="17">
        <f>IF(A184="","",IF(COUNTIFS('Recipe Ingredients'!$B$5:$B$1204,A184,'Recipe Ingredients'!$V$5:$V$1204,"&lt;&gt;",'Recipe Ingredients'!$V$5:$V$1204,"&lt;&gt;None")=0,"None listed",COUNTIFS('Recipe Ingredients'!$B$5:$B$1204,A184,'Recipe Ingredients'!$V$5:$V$1204,"&lt;&gt;",'Recipe Ingredients'!$V$5:$V$1204,"&lt;&gt;None")&amp;" ingredient(s) flagged"))</f>
        <v>0</v>
      </c>
      <c r="AK184" s="18">
        <f>IF(OR(AD184="",NOT(ISNUMBER(AD184))),"",COUNTIFS($AD$5:$AD$204,"&lt;"&amp;AD184)+COUNTIFS($AD$5:AD184,AD184))</f>
        <v>0</v>
      </c>
      <c r="AL184" s="18">
        <f>IF(B184="",0,IF(AND(OR(FilterDiet="Any",T184=FilterDiet),OR(FilterCategory="Any",C184=FilterCategory),OR(FilterMethod="Any",L184=FilterMethod),OR(FilterTime=0,AND(J184&lt;&gt;"",J184&lt;=FilterTime)),OR(FilterCost=0,AND(AD184&lt;&gt;"",ISNUMBER(AD184),AD184&lt;=FilterCost)),OR(FilterAllergen="Any",COUNTIFS('Recipe Ingredients'!$B$5:$B$1204,A184,'Recipe Ingredients'!$V$5:$V$1204,FilterAllergen)=0)),1,0))</f>
        <v>0</v>
      </c>
      <c r="AM184" s="18">
        <f>IF(AL184=0,"",SUM($AL$5:AL184))</f>
        <v>0</v>
      </c>
      <c r="AN184" s="18">
        <f>IF(B184="","",COUNTIFS($AZ$5:$AZ$204,"&gt;"&amp;AZ184)+COUNTIFS($AZ$5:AZ184,AZ184))</f>
        <v>0</v>
      </c>
      <c r="AO184" s="18">
        <f>IF(B184="","",COUNTIFS($AE$5:$AE$204,"&gt;"&amp;AE184)+COUNTIFS($AE$5:AE184,AE184))</f>
        <v>0</v>
      </c>
      <c r="AP184" s="18">
        <f>IF(B184="","",COUNTIFS($AF$5:$AF$204,"&gt;"&amp;AF184)+COUNTIFS($AF$5:AF184,AF184))</f>
        <v>0</v>
      </c>
      <c r="AQ184" s="18">
        <f>IF(B184="","",COUNTIFS($AI$5:$AI$204,"&gt;"&amp;AI184)+COUNTIFS($AI$5:AI184,AI184))</f>
        <v>0</v>
      </c>
      <c r="AR184" s="18">
        <f>IF(B184="","",COUNTIFS($AS$5:$AS$204,"&gt;"&amp;AS184)+COUNTIFS($AS$5:AS184,AS184))</f>
        <v>0</v>
      </c>
      <c r="AS184" s="45">
        <f>IF(B184="","",IF(BB184="",99999,BC184))</f>
        <v>0</v>
      </c>
      <c r="AT184" s="45">
        <f>IF(A184="",0,SUMIFS('Meal Plan'!$L$5:$L$504,'Meal Plan'!$G$5:$G$504,A184,'Meal Plan'!$B$5:$B$504,"&gt;="&amp;ShopFrom,'Meal Plan'!$B$5:$B$504,"&lt;="&amp;ShopTo,'Meal Plan'!$M$5:$M$504,"Yes"))</f>
        <v>0</v>
      </c>
      <c r="AU184" s="25">
        <f>IF(OR(A184="",AC184=""),"",AC184*AT184)</f>
        <v>0</v>
      </c>
      <c r="AV184" s="18">
        <f>IF(A184="","",COUNTIFS('Recipe Ingredients'!$B$5:$B$1204,A184,'Recipe Ingredients'!$N$5:$N$1204,""))</f>
        <v>0</v>
      </c>
      <c r="AZ184" s="18">
        <f>IF(A184="","",COUNTIFS('Meal Plan'!$G$5:$G$504,A184))</f>
        <v>0</v>
      </c>
      <c r="BA184" s="18">
        <f>IF(A184="","",COUNTIFS('Meal Plan'!$G$5:$G$504,A184,'Meal Plan'!$N$5:$N$504,"Prepared")+COUNTIFS('Meal Plan'!$G$5:$G$504,A184,'Meal Plan'!$N$5:$N$504,"Eaten"))</f>
        <v>0</v>
      </c>
      <c r="BB184" s="19">
        <f>IF(A184="","",IF(COUNTIFS('Meal Plan'!$G$5:$G$504,A184,'Meal Plan'!$B$5:$B$504,"&lt;="&amp;TODAY())=0,"",SUMPRODUCT(MAX(('Meal Plan'!$G$5:$G$504=A184)*('Meal Plan'!$B$5:$B$504&lt;=TODAY())*'Meal Plan'!$B$5:$B$504))))</f>
        <v>0</v>
      </c>
      <c r="BC184" s="18">
        <f>IF(BB184="","",TODAY()-BB184)</f>
        <v>0</v>
      </c>
      <c r="BF184" s="31">
        <f>IF(B184="","",IF(G184="","Add - how many does it serve?",IF(AB184=0,"Add - no ingredients listed yet",IF(AV184&gt;0,"Check - "&amp;AV184&amp;" ingredient(s) have no price",IF(AND(BC184&lt;&gt;"",BC184&lt;RotationGapDays),"Cooked recently","OK")))))</f>
        <v>0</v>
      </c>
    </row>
    <row r="185" spans="1:58">
      <c r="A185" s="39">
        <f>IF(B185="","",RecipePrefix&amp;TEXT(ROW()-4,"0000"))</f>
        <v>0</v>
      </c>
      <c r="J185" s="18">
        <f>IF(B185="","",IF(AND(H185="",I185=""),"",IF(H185="",0,H185)+IF(I185="",0,I185)))</f>
        <v>0</v>
      </c>
      <c r="K185" s="46">
        <f>IF(J185="","",IF(J185&lt;=30,"Yes","No"))</f>
        <v>0</v>
      </c>
      <c r="AB185" s="18">
        <f>IF(A185="","",COUNTIFS('Recipe Ingredients'!$B$5:$B$1204,A185))</f>
        <v>0</v>
      </c>
      <c r="AC185" s="25">
        <f>IF(A185="","",SUMIFS('Recipe Ingredients'!$N$5:$N$1204,'Recipe Ingredients'!$B$5:$B$1204,A185))</f>
        <v>0</v>
      </c>
      <c r="AD185" s="25">
        <f>IF(OR(AC185="",G185=""),"",IF(G185=0,"",AC185/G185))</f>
        <v>0</v>
      </c>
      <c r="AE185" s="30">
        <f>IF(OR(A185="",G185=""),"",IF(G185=0,"",SUMIFS('Recipe Ingredients'!$Q$5:$Q$1204,'Recipe Ingredients'!$B$5:$B$1204,A185)/G185))</f>
        <v>0</v>
      </c>
      <c r="AF185" s="45">
        <f>IF(OR(A185="",G185=""),"",IF(G185=0,"",SUMIFS('Recipe Ingredients'!$R$5:$R$1204,'Recipe Ingredients'!$B$5:$B$1204,A185)/G185))</f>
        <v>0</v>
      </c>
      <c r="AG185" s="45">
        <f>IF(OR(A185="",G185=""),"",IF(G185=0,"",SUMIFS('Recipe Ingredients'!$S$5:$S$1204,'Recipe Ingredients'!$B$5:$B$1204,A185)/G185))</f>
        <v>0</v>
      </c>
      <c r="AH185" s="45">
        <f>IF(OR(A185="",G185=""),"",IF(G185=0,"",SUMIFS('Recipe Ingredients'!$T$5:$T$1204,'Recipe Ingredients'!$B$5:$B$1204,A185)/G185))</f>
        <v>0</v>
      </c>
      <c r="AI185" s="45">
        <f>IF(OR(A185="",G185=""),"",IF(G185=0,"",SUMIFS('Recipe Ingredients'!$U$5:$U$1204,'Recipe Ingredients'!$B$5:$B$1204,A185)/G185))</f>
        <v>0</v>
      </c>
      <c r="AJ185" s="17">
        <f>IF(A185="","",IF(COUNTIFS('Recipe Ingredients'!$B$5:$B$1204,A185,'Recipe Ingredients'!$V$5:$V$1204,"&lt;&gt;",'Recipe Ingredients'!$V$5:$V$1204,"&lt;&gt;None")=0,"None listed",COUNTIFS('Recipe Ingredients'!$B$5:$B$1204,A185,'Recipe Ingredients'!$V$5:$V$1204,"&lt;&gt;",'Recipe Ingredients'!$V$5:$V$1204,"&lt;&gt;None")&amp;" ingredient(s) flagged"))</f>
        <v>0</v>
      </c>
      <c r="AK185" s="18">
        <f>IF(OR(AD185="",NOT(ISNUMBER(AD185))),"",COUNTIFS($AD$5:$AD$204,"&lt;"&amp;AD185)+COUNTIFS($AD$5:AD185,AD185))</f>
        <v>0</v>
      </c>
      <c r="AL185" s="18">
        <f>IF(B185="",0,IF(AND(OR(FilterDiet="Any",T185=FilterDiet),OR(FilterCategory="Any",C185=FilterCategory),OR(FilterMethod="Any",L185=FilterMethod),OR(FilterTime=0,AND(J185&lt;&gt;"",J185&lt;=FilterTime)),OR(FilterCost=0,AND(AD185&lt;&gt;"",ISNUMBER(AD185),AD185&lt;=FilterCost)),OR(FilterAllergen="Any",COUNTIFS('Recipe Ingredients'!$B$5:$B$1204,A185,'Recipe Ingredients'!$V$5:$V$1204,FilterAllergen)=0)),1,0))</f>
        <v>0</v>
      </c>
      <c r="AM185" s="18">
        <f>IF(AL185=0,"",SUM($AL$5:AL185))</f>
        <v>0</v>
      </c>
      <c r="AN185" s="18">
        <f>IF(B185="","",COUNTIFS($AZ$5:$AZ$204,"&gt;"&amp;AZ185)+COUNTIFS($AZ$5:AZ185,AZ185))</f>
        <v>0</v>
      </c>
      <c r="AO185" s="18">
        <f>IF(B185="","",COUNTIFS($AE$5:$AE$204,"&gt;"&amp;AE185)+COUNTIFS($AE$5:AE185,AE185))</f>
        <v>0</v>
      </c>
      <c r="AP185" s="18">
        <f>IF(B185="","",COUNTIFS($AF$5:$AF$204,"&gt;"&amp;AF185)+COUNTIFS($AF$5:AF185,AF185))</f>
        <v>0</v>
      </c>
      <c r="AQ185" s="18">
        <f>IF(B185="","",COUNTIFS($AI$5:$AI$204,"&gt;"&amp;AI185)+COUNTIFS($AI$5:AI185,AI185))</f>
        <v>0</v>
      </c>
      <c r="AR185" s="18">
        <f>IF(B185="","",COUNTIFS($AS$5:$AS$204,"&gt;"&amp;AS185)+COUNTIFS($AS$5:AS185,AS185))</f>
        <v>0</v>
      </c>
      <c r="AS185" s="45">
        <f>IF(B185="","",IF(BB185="",99999,BC185))</f>
        <v>0</v>
      </c>
      <c r="AT185" s="45">
        <f>IF(A185="",0,SUMIFS('Meal Plan'!$L$5:$L$504,'Meal Plan'!$G$5:$G$504,A185,'Meal Plan'!$B$5:$B$504,"&gt;="&amp;ShopFrom,'Meal Plan'!$B$5:$B$504,"&lt;="&amp;ShopTo,'Meal Plan'!$M$5:$M$504,"Yes"))</f>
        <v>0</v>
      </c>
      <c r="AU185" s="25">
        <f>IF(OR(A185="",AC185=""),"",AC185*AT185)</f>
        <v>0</v>
      </c>
      <c r="AV185" s="18">
        <f>IF(A185="","",COUNTIFS('Recipe Ingredients'!$B$5:$B$1204,A185,'Recipe Ingredients'!$N$5:$N$1204,""))</f>
        <v>0</v>
      </c>
      <c r="AZ185" s="18">
        <f>IF(A185="","",COUNTIFS('Meal Plan'!$G$5:$G$504,A185))</f>
        <v>0</v>
      </c>
      <c r="BA185" s="18">
        <f>IF(A185="","",COUNTIFS('Meal Plan'!$G$5:$G$504,A185,'Meal Plan'!$N$5:$N$504,"Prepared")+COUNTIFS('Meal Plan'!$G$5:$G$504,A185,'Meal Plan'!$N$5:$N$504,"Eaten"))</f>
        <v>0</v>
      </c>
      <c r="BB185" s="19">
        <f>IF(A185="","",IF(COUNTIFS('Meal Plan'!$G$5:$G$504,A185,'Meal Plan'!$B$5:$B$504,"&lt;="&amp;TODAY())=0,"",SUMPRODUCT(MAX(('Meal Plan'!$G$5:$G$504=A185)*('Meal Plan'!$B$5:$B$504&lt;=TODAY())*'Meal Plan'!$B$5:$B$504))))</f>
        <v>0</v>
      </c>
      <c r="BC185" s="18">
        <f>IF(BB185="","",TODAY()-BB185)</f>
        <v>0</v>
      </c>
      <c r="BF185" s="31">
        <f>IF(B185="","",IF(G185="","Add - how many does it serve?",IF(AB185=0,"Add - no ingredients listed yet",IF(AV185&gt;0,"Check - "&amp;AV185&amp;" ingredient(s) have no price",IF(AND(BC185&lt;&gt;"",BC185&lt;RotationGapDays),"Cooked recently","OK")))))</f>
        <v>0</v>
      </c>
    </row>
    <row r="186" spans="1:58">
      <c r="A186" s="39">
        <f>IF(B186="","",RecipePrefix&amp;TEXT(ROW()-4,"0000"))</f>
        <v>0</v>
      </c>
      <c r="J186" s="18">
        <f>IF(B186="","",IF(AND(H186="",I186=""),"",IF(H186="",0,H186)+IF(I186="",0,I186)))</f>
        <v>0</v>
      </c>
      <c r="K186" s="46">
        <f>IF(J186="","",IF(J186&lt;=30,"Yes","No"))</f>
        <v>0</v>
      </c>
      <c r="AB186" s="18">
        <f>IF(A186="","",COUNTIFS('Recipe Ingredients'!$B$5:$B$1204,A186))</f>
        <v>0</v>
      </c>
      <c r="AC186" s="25">
        <f>IF(A186="","",SUMIFS('Recipe Ingredients'!$N$5:$N$1204,'Recipe Ingredients'!$B$5:$B$1204,A186))</f>
        <v>0</v>
      </c>
      <c r="AD186" s="25">
        <f>IF(OR(AC186="",G186=""),"",IF(G186=0,"",AC186/G186))</f>
        <v>0</v>
      </c>
      <c r="AE186" s="30">
        <f>IF(OR(A186="",G186=""),"",IF(G186=0,"",SUMIFS('Recipe Ingredients'!$Q$5:$Q$1204,'Recipe Ingredients'!$B$5:$B$1204,A186)/G186))</f>
        <v>0</v>
      </c>
      <c r="AF186" s="45">
        <f>IF(OR(A186="",G186=""),"",IF(G186=0,"",SUMIFS('Recipe Ingredients'!$R$5:$R$1204,'Recipe Ingredients'!$B$5:$B$1204,A186)/G186))</f>
        <v>0</v>
      </c>
      <c r="AG186" s="45">
        <f>IF(OR(A186="",G186=""),"",IF(G186=0,"",SUMIFS('Recipe Ingredients'!$S$5:$S$1204,'Recipe Ingredients'!$B$5:$B$1204,A186)/G186))</f>
        <v>0</v>
      </c>
      <c r="AH186" s="45">
        <f>IF(OR(A186="",G186=""),"",IF(G186=0,"",SUMIFS('Recipe Ingredients'!$T$5:$T$1204,'Recipe Ingredients'!$B$5:$B$1204,A186)/G186))</f>
        <v>0</v>
      </c>
      <c r="AI186" s="45">
        <f>IF(OR(A186="",G186=""),"",IF(G186=0,"",SUMIFS('Recipe Ingredients'!$U$5:$U$1204,'Recipe Ingredients'!$B$5:$B$1204,A186)/G186))</f>
        <v>0</v>
      </c>
      <c r="AJ186" s="17">
        <f>IF(A186="","",IF(COUNTIFS('Recipe Ingredients'!$B$5:$B$1204,A186,'Recipe Ingredients'!$V$5:$V$1204,"&lt;&gt;",'Recipe Ingredients'!$V$5:$V$1204,"&lt;&gt;None")=0,"None listed",COUNTIFS('Recipe Ingredients'!$B$5:$B$1204,A186,'Recipe Ingredients'!$V$5:$V$1204,"&lt;&gt;",'Recipe Ingredients'!$V$5:$V$1204,"&lt;&gt;None")&amp;" ingredient(s) flagged"))</f>
        <v>0</v>
      </c>
      <c r="AK186" s="18">
        <f>IF(OR(AD186="",NOT(ISNUMBER(AD186))),"",COUNTIFS($AD$5:$AD$204,"&lt;"&amp;AD186)+COUNTIFS($AD$5:AD186,AD186))</f>
        <v>0</v>
      </c>
      <c r="AL186" s="18">
        <f>IF(B186="",0,IF(AND(OR(FilterDiet="Any",T186=FilterDiet),OR(FilterCategory="Any",C186=FilterCategory),OR(FilterMethod="Any",L186=FilterMethod),OR(FilterTime=0,AND(J186&lt;&gt;"",J186&lt;=FilterTime)),OR(FilterCost=0,AND(AD186&lt;&gt;"",ISNUMBER(AD186),AD186&lt;=FilterCost)),OR(FilterAllergen="Any",COUNTIFS('Recipe Ingredients'!$B$5:$B$1204,A186,'Recipe Ingredients'!$V$5:$V$1204,FilterAllergen)=0)),1,0))</f>
        <v>0</v>
      </c>
      <c r="AM186" s="18">
        <f>IF(AL186=0,"",SUM($AL$5:AL186))</f>
        <v>0</v>
      </c>
      <c r="AN186" s="18">
        <f>IF(B186="","",COUNTIFS($AZ$5:$AZ$204,"&gt;"&amp;AZ186)+COUNTIFS($AZ$5:AZ186,AZ186))</f>
        <v>0</v>
      </c>
      <c r="AO186" s="18">
        <f>IF(B186="","",COUNTIFS($AE$5:$AE$204,"&gt;"&amp;AE186)+COUNTIFS($AE$5:AE186,AE186))</f>
        <v>0</v>
      </c>
      <c r="AP186" s="18">
        <f>IF(B186="","",COUNTIFS($AF$5:$AF$204,"&gt;"&amp;AF186)+COUNTIFS($AF$5:AF186,AF186))</f>
        <v>0</v>
      </c>
      <c r="AQ186" s="18">
        <f>IF(B186="","",COUNTIFS($AI$5:$AI$204,"&gt;"&amp;AI186)+COUNTIFS($AI$5:AI186,AI186))</f>
        <v>0</v>
      </c>
      <c r="AR186" s="18">
        <f>IF(B186="","",COUNTIFS($AS$5:$AS$204,"&gt;"&amp;AS186)+COUNTIFS($AS$5:AS186,AS186))</f>
        <v>0</v>
      </c>
      <c r="AS186" s="45">
        <f>IF(B186="","",IF(BB186="",99999,BC186))</f>
        <v>0</v>
      </c>
      <c r="AT186" s="45">
        <f>IF(A186="",0,SUMIFS('Meal Plan'!$L$5:$L$504,'Meal Plan'!$G$5:$G$504,A186,'Meal Plan'!$B$5:$B$504,"&gt;="&amp;ShopFrom,'Meal Plan'!$B$5:$B$504,"&lt;="&amp;ShopTo,'Meal Plan'!$M$5:$M$504,"Yes"))</f>
        <v>0</v>
      </c>
      <c r="AU186" s="25">
        <f>IF(OR(A186="",AC186=""),"",AC186*AT186)</f>
        <v>0</v>
      </c>
      <c r="AV186" s="18">
        <f>IF(A186="","",COUNTIFS('Recipe Ingredients'!$B$5:$B$1204,A186,'Recipe Ingredients'!$N$5:$N$1204,""))</f>
        <v>0</v>
      </c>
      <c r="AZ186" s="18">
        <f>IF(A186="","",COUNTIFS('Meal Plan'!$G$5:$G$504,A186))</f>
        <v>0</v>
      </c>
      <c r="BA186" s="18">
        <f>IF(A186="","",COUNTIFS('Meal Plan'!$G$5:$G$504,A186,'Meal Plan'!$N$5:$N$504,"Prepared")+COUNTIFS('Meal Plan'!$G$5:$G$504,A186,'Meal Plan'!$N$5:$N$504,"Eaten"))</f>
        <v>0</v>
      </c>
      <c r="BB186" s="19">
        <f>IF(A186="","",IF(COUNTIFS('Meal Plan'!$G$5:$G$504,A186,'Meal Plan'!$B$5:$B$504,"&lt;="&amp;TODAY())=0,"",SUMPRODUCT(MAX(('Meal Plan'!$G$5:$G$504=A186)*('Meal Plan'!$B$5:$B$504&lt;=TODAY())*'Meal Plan'!$B$5:$B$504))))</f>
        <v>0</v>
      </c>
      <c r="BC186" s="18">
        <f>IF(BB186="","",TODAY()-BB186)</f>
        <v>0</v>
      </c>
      <c r="BF186" s="31">
        <f>IF(B186="","",IF(G186="","Add - how many does it serve?",IF(AB186=0,"Add - no ingredients listed yet",IF(AV186&gt;0,"Check - "&amp;AV186&amp;" ingredient(s) have no price",IF(AND(BC186&lt;&gt;"",BC186&lt;RotationGapDays),"Cooked recently","OK")))))</f>
        <v>0</v>
      </c>
    </row>
    <row r="187" spans="1:58">
      <c r="A187" s="39">
        <f>IF(B187="","",RecipePrefix&amp;TEXT(ROW()-4,"0000"))</f>
        <v>0</v>
      </c>
      <c r="J187" s="18">
        <f>IF(B187="","",IF(AND(H187="",I187=""),"",IF(H187="",0,H187)+IF(I187="",0,I187)))</f>
        <v>0</v>
      </c>
      <c r="K187" s="46">
        <f>IF(J187="","",IF(J187&lt;=30,"Yes","No"))</f>
        <v>0</v>
      </c>
      <c r="AB187" s="18">
        <f>IF(A187="","",COUNTIFS('Recipe Ingredients'!$B$5:$B$1204,A187))</f>
        <v>0</v>
      </c>
      <c r="AC187" s="25">
        <f>IF(A187="","",SUMIFS('Recipe Ingredients'!$N$5:$N$1204,'Recipe Ingredients'!$B$5:$B$1204,A187))</f>
        <v>0</v>
      </c>
      <c r="AD187" s="25">
        <f>IF(OR(AC187="",G187=""),"",IF(G187=0,"",AC187/G187))</f>
        <v>0</v>
      </c>
      <c r="AE187" s="30">
        <f>IF(OR(A187="",G187=""),"",IF(G187=0,"",SUMIFS('Recipe Ingredients'!$Q$5:$Q$1204,'Recipe Ingredients'!$B$5:$B$1204,A187)/G187))</f>
        <v>0</v>
      </c>
      <c r="AF187" s="45">
        <f>IF(OR(A187="",G187=""),"",IF(G187=0,"",SUMIFS('Recipe Ingredients'!$R$5:$R$1204,'Recipe Ingredients'!$B$5:$B$1204,A187)/G187))</f>
        <v>0</v>
      </c>
      <c r="AG187" s="45">
        <f>IF(OR(A187="",G187=""),"",IF(G187=0,"",SUMIFS('Recipe Ingredients'!$S$5:$S$1204,'Recipe Ingredients'!$B$5:$B$1204,A187)/G187))</f>
        <v>0</v>
      </c>
      <c r="AH187" s="45">
        <f>IF(OR(A187="",G187=""),"",IF(G187=0,"",SUMIFS('Recipe Ingredients'!$T$5:$T$1204,'Recipe Ingredients'!$B$5:$B$1204,A187)/G187))</f>
        <v>0</v>
      </c>
      <c r="AI187" s="45">
        <f>IF(OR(A187="",G187=""),"",IF(G187=0,"",SUMIFS('Recipe Ingredients'!$U$5:$U$1204,'Recipe Ingredients'!$B$5:$B$1204,A187)/G187))</f>
        <v>0</v>
      </c>
      <c r="AJ187" s="17">
        <f>IF(A187="","",IF(COUNTIFS('Recipe Ingredients'!$B$5:$B$1204,A187,'Recipe Ingredients'!$V$5:$V$1204,"&lt;&gt;",'Recipe Ingredients'!$V$5:$V$1204,"&lt;&gt;None")=0,"None listed",COUNTIFS('Recipe Ingredients'!$B$5:$B$1204,A187,'Recipe Ingredients'!$V$5:$V$1204,"&lt;&gt;",'Recipe Ingredients'!$V$5:$V$1204,"&lt;&gt;None")&amp;" ingredient(s) flagged"))</f>
        <v>0</v>
      </c>
      <c r="AK187" s="18">
        <f>IF(OR(AD187="",NOT(ISNUMBER(AD187))),"",COUNTIFS($AD$5:$AD$204,"&lt;"&amp;AD187)+COUNTIFS($AD$5:AD187,AD187))</f>
        <v>0</v>
      </c>
      <c r="AL187" s="18">
        <f>IF(B187="",0,IF(AND(OR(FilterDiet="Any",T187=FilterDiet),OR(FilterCategory="Any",C187=FilterCategory),OR(FilterMethod="Any",L187=FilterMethod),OR(FilterTime=0,AND(J187&lt;&gt;"",J187&lt;=FilterTime)),OR(FilterCost=0,AND(AD187&lt;&gt;"",ISNUMBER(AD187),AD187&lt;=FilterCost)),OR(FilterAllergen="Any",COUNTIFS('Recipe Ingredients'!$B$5:$B$1204,A187,'Recipe Ingredients'!$V$5:$V$1204,FilterAllergen)=0)),1,0))</f>
        <v>0</v>
      </c>
      <c r="AM187" s="18">
        <f>IF(AL187=0,"",SUM($AL$5:AL187))</f>
        <v>0</v>
      </c>
      <c r="AN187" s="18">
        <f>IF(B187="","",COUNTIFS($AZ$5:$AZ$204,"&gt;"&amp;AZ187)+COUNTIFS($AZ$5:AZ187,AZ187))</f>
        <v>0</v>
      </c>
      <c r="AO187" s="18">
        <f>IF(B187="","",COUNTIFS($AE$5:$AE$204,"&gt;"&amp;AE187)+COUNTIFS($AE$5:AE187,AE187))</f>
        <v>0</v>
      </c>
      <c r="AP187" s="18">
        <f>IF(B187="","",COUNTIFS($AF$5:$AF$204,"&gt;"&amp;AF187)+COUNTIFS($AF$5:AF187,AF187))</f>
        <v>0</v>
      </c>
      <c r="AQ187" s="18">
        <f>IF(B187="","",COUNTIFS($AI$5:$AI$204,"&gt;"&amp;AI187)+COUNTIFS($AI$5:AI187,AI187))</f>
        <v>0</v>
      </c>
      <c r="AR187" s="18">
        <f>IF(B187="","",COUNTIFS($AS$5:$AS$204,"&gt;"&amp;AS187)+COUNTIFS($AS$5:AS187,AS187))</f>
        <v>0</v>
      </c>
      <c r="AS187" s="45">
        <f>IF(B187="","",IF(BB187="",99999,BC187))</f>
        <v>0</v>
      </c>
      <c r="AT187" s="45">
        <f>IF(A187="",0,SUMIFS('Meal Plan'!$L$5:$L$504,'Meal Plan'!$G$5:$G$504,A187,'Meal Plan'!$B$5:$B$504,"&gt;="&amp;ShopFrom,'Meal Plan'!$B$5:$B$504,"&lt;="&amp;ShopTo,'Meal Plan'!$M$5:$M$504,"Yes"))</f>
        <v>0</v>
      </c>
      <c r="AU187" s="25">
        <f>IF(OR(A187="",AC187=""),"",AC187*AT187)</f>
        <v>0</v>
      </c>
      <c r="AV187" s="18">
        <f>IF(A187="","",COUNTIFS('Recipe Ingredients'!$B$5:$B$1204,A187,'Recipe Ingredients'!$N$5:$N$1204,""))</f>
        <v>0</v>
      </c>
      <c r="AZ187" s="18">
        <f>IF(A187="","",COUNTIFS('Meal Plan'!$G$5:$G$504,A187))</f>
        <v>0</v>
      </c>
      <c r="BA187" s="18">
        <f>IF(A187="","",COUNTIFS('Meal Plan'!$G$5:$G$504,A187,'Meal Plan'!$N$5:$N$504,"Prepared")+COUNTIFS('Meal Plan'!$G$5:$G$504,A187,'Meal Plan'!$N$5:$N$504,"Eaten"))</f>
        <v>0</v>
      </c>
      <c r="BB187" s="19">
        <f>IF(A187="","",IF(COUNTIFS('Meal Plan'!$G$5:$G$504,A187,'Meal Plan'!$B$5:$B$504,"&lt;="&amp;TODAY())=0,"",SUMPRODUCT(MAX(('Meal Plan'!$G$5:$G$504=A187)*('Meal Plan'!$B$5:$B$504&lt;=TODAY())*'Meal Plan'!$B$5:$B$504))))</f>
        <v>0</v>
      </c>
      <c r="BC187" s="18">
        <f>IF(BB187="","",TODAY()-BB187)</f>
        <v>0</v>
      </c>
      <c r="BF187" s="31">
        <f>IF(B187="","",IF(G187="","Add - how many does it serve?",IF(AB187=0,"Add - no ingredients listed yet",IF(AV187&gt;0,"Check - "&amp;AV187&amp;" ingredient(s) have no price",IF(AND(BC187&lt;&gt;"",BC187&lt;RotationGapDays),"Cooked recently","OK")))))</f>
        <v>0</v>
      </c>
    </row>
    <row r="188" spans="1:58">
      <c r="A188" s="39">
        <f>IF(B188="","",RecipePrefix&amp;TEXT(ROW()-4,"0000"))</f>
        <v>0</v>
      </c>
      <c r="J188" s="18">
        <f>IF(B188="","",IF(AND(H188="",I188=""),"",IF(H188="",0,H188)+IF(I188="",0,I188)))</f>
        <v>0</v>
      </c>
      <c r="K188" s="46">
        <f>IF(J188="","",IF(J188&lt;=30,"Yes","No"))</f>
        <v>0</v>
      </c>
      <c r="AB188" s="18">
        <f>IF(A188="","",COUNTIFS('Recipe Ingredients'!$B$5:$B$1204,A188))</f>
        <v>0</v>
      </c>
      <c r="AC188" s="25">
        <f>IF(A188="","",SUMIFS('Recipe Ingredients'!$N$5:$N$1204,'Recipe Ingredients'!$B$5:$B$1204,A188))</f>
        <v>0</v>
      </c>
      <c r="AD188" s="25">
        <f>IF(OR(AC188="",G188=""),"",IF(G188=0,"",AC188/G188))</f>
        <v>0</v>
      </c>
      <c r="AE188" s="30">
        <f>IF(OR(A188="",G188=""),"",IF(G188=0,"",SUMIFS('Recipe Ingredients'!$Q$5:$Q$1204,'Recipe Ingredients'!$B$5:$B$1204,A188)/G188))</f>
        <v>0</v>
      </c>
      <c r="AF188" s="45">
        <f>IF(OR(A188="",G188=""),"",IF(G188=0,"",SUMIFS('Recipe Ingredients'!$R$5:$R$1204,'Recipe Ingredients'!$B$5:$B$1204,A188)/G188))</f>
        <v>0</v>
      </c>
      <c r="AG188" s="45">
        <f>IF(OR(A188="",G188=""),"",IF(G188=0,"",SUMIFS('Recipe Ingredients'!$S$5:$S$1204,'Recipe Ingredients'!$B$5:$B$1204,A188)/G188))</f>
        <v>0</v>
      </c>
      <c r="AH188" s="45">
        <f>IF(OR(A188="",G188=""),"",IF(G188=0,"",SUMIFS('Recipe Ingredients'!$T$5:$T$1204,'Recipe Ingredients'!$B$5:$B$1204,A188)/G188))</f>
        <v>0</v>
      </c>
      <c r="AI188" s="45">
        <f>IF(OR(A188="",G188=""),"",IF(G188=0,"",SUMIFS('Recipe Ingredients'!$U$5:$U$1204,'Recipe Ingredients'!$B$5:$B$1204,A188)/G188))</f>
        <v>0</v>
      </c>
      <c r="AJ188" s="17">
        <f>IF(A188="","",IF(COUNTIFS('Recipe Ingredients'!$B$5:$B$1204,A188,'Recipe Ingredients'!$V$5:$V$1204,"&lt;&gt;",'Recipe Ingredients'!$V$5:$V$1204,"&lt;&gt;None")=0,"None listed",COUNTIFS('Recipe Ingredients'!$B$5:$B$1204,A188,'Recipe Ingredients'!$V$5:$V$1204,"&lt;&gt;",'Recipe Ingredients'!$V$5:$V$1204,"&lt;&gt;None")&amp;" ingredient(s) flagged"))</f>
        <v>0</v>
      </c>
      <c r="AK188" s="18">
        <f>IF(OR(AD188="",NOT(ISNUMBER(AD188))),"",COUNTIFS($AD$5:$AD$204,"&lt;"&amp;AD188)+COUNTIFS($AD$5:AD188,AD188))</f>
        <v>0</v>
      </c>
      <c r="AL188" s="18">
        <f>IF(B188="",0,IF(AND(OR(FilterDiet="Any",T188=FilterDiet),OR(FilterCategory="Any",C188=FilterCategory),OR(FilterMethod="Any",L188=FilterMethod),OR(FilterTime=0,AND(J188&lt;&gt;"",J188&lt;=FilterTime)),OR(FilterCost=0,AND(AD188&lt;&gt;"",ISNUMBER(AD188),AD188&lt;=FilterCost)),OR(FilterAllergen="Any",COUNTIFS('Recipe Ingredients'!$B$5:$B$1204,A188,'Recipe Ingredients'!$V$5:$V$1204,FilterAllergen)=0)),1,0))</f>
        <v>0</v>
      </c>
      <c r="AM188" s="18">
        <f>IF(AL188=0,"",SUM($AL$5:AL188))</f>
        <v>0</v>
      </c>
      <c r="AN188" s="18">
        <f>IF(B188="","",COUNTIFS($AZ$5:$AZ$204,"&gt;"&amp;AZ188)+COUNTIFS($AZ$5:AZ188,AZ188))</f>
        <v>0</v>
      </c>
      <c r="AO188" s="18">
        <f>IF(B188="","",COUNTIFS($AE$5:$AE$204,"&gt;"&amp;AE188)+COUNTIFS($AE$5:AE188,AE188))</f>
        <v>0</v>
      </c>
      <c r="AP188" s="18">
        <f>IF(B188="","",COUNTIFS($AF$5:$AF$204,"&gt;"&amp;AF188)+COUNTIFS($AF$5:AF188,AF188))</f>
        <v>0</v>
      </c>
      <c r="AQ188" s="18">
        <f>IF(B188="","",COUNTIFS($AI$5:$AI$204,"&gt;"&amp;AI188)+COUNTIFS($AI$5:AI188,AI188))</f>
        <v>0</v>
      </c>
      <c r="AR188" s="18">
        <f>IF(B188="","",COUNTIFS($AS$5:$AS$204,"&gt;"&amp;AS188)+COUNTIFS($AS$5:AS188,AS188))</f>
        <v>0</v>
      </c>
      <c r="AS188" s="45">
        <f>IF(B188="","",IF(BB188="",99999,BC188))</f>
        <v>0</v>
      </c>
      <c r="AT188" s="45">
        <f>IF(A188="",0,SUMIFS('Meal Plan'!$L$5:$L$504,'Meal Plan'!$G$5:$G$504,A188,'Meal Plan'!$B$5:$B$504,"&gt;="&amp;ShopFrom,'Meal Plan'!$B$5:$B$504,"&lt;="&amp;ShopTo,'Meal Plan'!$M$5:$M$504,"Yes"))</f>
        <v>0</v>
      </c>
      <c r="AU188" s="25">
        <f>IF(OR(A188="",AC188=""),"",AC188*AT188)</f>
        <v>0</v>
      </c>
      <c r="AV188" s="18">
        <f>IF(A188="","",COUNTIFS('Recipe Ingredients'!$B$5:$B$1204,A188,'Recipe Ingredients'!$N$5:$N$1204,""))</f>
        <v>0</v>
      </c>
      <c r="AZ188" s="18">
        <f>IF(A188="","",COUNTIFS('Meal Plan'!$G$5:$G$504,A188))</f>
        <v>0</v>
      </c>
      <c r="BA188" s="18">
        <f>IF(A188="","",COUNTIFS('Meal Plan'!$G$5:$G$504,A188,'Meal Plan'!$N$5:$N$504,"Prepared")+COUNTIFS('Meal Plan'!$G$5:$G$504,A188,'Meal Plan'!$N$5:$N$504,"Eaten"))</f>
        <v>0</v>
      </c>
      <c r="BB188" s="19">
        <f>IF(A188="","",IF(COUNTIFS('Meal Plan'!$G$5:$G$504,A188,'Meal Plan'!$B$5:$B$504,"&lt;="&amp;TODAY())=0,"",SUMPRODUCT(MAX(('Meal Plan'!$G$5:$G$504=A188)*('Meal Plan'!$B$5:$B$504&lt;=TODAY())*'Meal Plan'!$B$5:$B$504))))</f>
        <v>0</v>
      </c>
      <c r="BC188" s="18">
        <f>IF(BB188="","",TODAY()-BB188)</f>
        <v>0</v>
      </c>
      <c r="BF188" s="31">
        <f>IF(B188="","",IF(G188="","Add - how many does it serve?",IF(AB188=0,"Add - no ingredients listed yet",IF(AV188&gt;0,"Check - "&amp;AV188&amp;" ingredient(s) have no price",IF(AND(BC188&lt;&gt;"",BC188&lt;RotationGapDays),"Cooked recently","OK")))))</f>
        <v>0</v>
      </c>
    </row>
    <row r="189" spans="1:58">
      <c r="A189" s="39">
        <f>IF(B189="","",RecipePrefix&amp;TEXT(ROW()-4,"0000"))</f>
        <v>0</v>
      </c>
      <c r="J189" s="18">
        <f>IF(B189="","",IF(AND(H189="",I189=""),"",IF(H189="",0,H189)+IF(I189="",0,I189)))</f>
        <v>0</v>
      </c>
      <c r="K189" s="46">
        <f>IF(J189="","",IF(J189&lt;=30,"Yes","No"))</f>
        <v>0</v>
      </c>
      <c r="AB189" s="18">
        <f>IF(A189="","",COUNTIFS('Recipe Ingredients'!$B$5:$B$1204,A189))</f>
        <v>0</v>
      </c>
      <c r="AC189" s="25">
        <f>IF(A189="","",SUMIFS('Recipe Ingredients'!$N$5:$N$1204,'Recipe Ingredients'!$B$5:$B$1204,A189))</f>
        <v>0</v>
      </c>
      <c r="AD189" s="25">
        <f>IF(OR(AC189="",G189=""),"",IF(G189=0,"",AC189/G189))</f>
        <v>0</v>
      </c>
      <c r="AE189" s="30">
        <f>IF(OR(A189="",G189=""),"",IF(G189=0,"",SUMIFS('Recipe Ingredients'!$Q$5:$Q$1204,'Recipe Ingredients'!$B$5:$B$1204,A189)/G189))</f>
        <v>0</v>
      </c>
      <c r="AF189" s="45">
        <f>IF(OR(A189="",G189=""),"",IF(G189=0,"",SUMIFS('Recipe Ingredients'!$R$5:$R$1204,'Recipe Ingredients'!$B$5:$B$1204,A189)/G189))</f>
        <v>0</v>
      </c>
      <c r="AG189" s="45">
        <f>IF(OR(A189="",G189=""),"",IF(G189=0,"",SUMIFS('Recipe Ingredients'!$S$5:$S$1204,'Recipe Ingredients'!$B$5:$B$1204,A189)/G189))</f>
        <v>0</v>
      </c>
      <c r="AH189" s="45">
        <f>IF(OR(A189="",G189=""),"",IF(G189=0,"",SUMIFS('Recipe Ingredients'!$T$5:$T$1204,'Recipe Ingredients'!$B$5:$B$1204,A189)/G189))</f>
        <v>0</v>
      </c>
      <c r="AI189" s="45">
        <f>IF(OR(A189="",G189=""),"",IF(G189=0,"",SUMIFS('Recipe Ingredients'!$U$5:$U$1204,'Recipe Ingredients'!$B$5:$B$1204,A189)/G189))</f>
        <v>0</v>
      </c>
      <c r="AJ189" s="17">
        <f>IF(A189="","",IF(COUNTIFS('Recipe Ingredients'!$B$5:$B$1204,A189,'Recipe Ingredients'!$V$5:$V$1204,"&lt;&gt;",'Recipe Ingredients'!$V$5:$V$1204,"&lt;&gt;None")=0,"None listed",COUNTIFS('Recipe Ingredients'!$B$5:$B$1204,A189,'Recipe Ingredients'!$V$5:$V$1204,"&lt;&gt;",'Recipe Ingredients'!$V$5:$V$1204,"&lt;&gt;None")&amp;" ingredient(s) flagged"))</f>
        <v>0</v>
      </c>
      <c r="AK189" s="18">
        <f>IF(OR(AD189="",NOT(ISNUMBER(AD189))),"",COUNTIFS($AD$5:$AD$204,"&lt;"&amp;AD189)+COUNTIFS($AD$5:AD189,AD189))</f>
        <v>0</v>
      </c>
      <c r="AL189" s="18">
        <f>IF(B189="",0,IF(AND(OR(FilterDiet="Any",T189=FilterDiet),OR(FilterCategory="Any",C189=FilterCategory),OR(FilterMethod="Any",L189=FilterMethod),OR(FilterTime=0,AND(J189&lt;&gt;"",J189&lt;=FilterTime)),OR(FilterCost=0,AND(AD189&lt;&gt;"",ISNUMBER(AD189),AD189&lt;=FilterCost)),OR(FilterAllergen="Any",COUNTIFS('Recipe Ingredients'!$B$5:$B$1204,A189,'Recipe Ingredients'!$V$5:$V$1204,FilterAllergen)=0)),1,0))</f>
        <v>0</v>
      </c>
      <c r="AM189" s="18">
        <f>IF(AL189=0,"",SUM($AL$5:AL189))</f>
        <v>0</v>
      </c>
      <c r="AN189" s="18">
        <f>IF(B189="","",COUNTIFS($AZ$5:$AZ$204,"&gt;"&amp;AZ189)+COUNTIFS($AZ$5:AZ189,AZ189))</f>
        <v>0</v>
      </c>
      <c r="AO189" s="18">
        <f>IF(B189="","",COUNTIFS($AE$5:$AE$204,"&gt;"&amp;AE189)+COUNTIFS($AE$5:AE189,AE189))</f>
        <v>0</v>
      </c>
      <c r="AP189" s="18">
        <f>IF(B189="","",COUNTIFS($AF$5:$AF$204,"&gt;"&amp;AF189)+COUNTIFS($AF$5:AF189,AF189))</f>
        <v>0</v>
      </c>
      <c r="AQ189" s="18">
        <f>IF(B189="","",COUNTIFS($AI$5:$AI$204,"&gt;"&amp;AI189)+COUNTIFS($AI$5:AI189,AI189))</f>
        <v>0</v>
      </c>
      <c r="AR189" s="18">
        <f>IF(B189="","",COUNTIFS($AS$5:$AS$204,"&gt;"&amp;AS189)+COUNTIFS($AS$5:AS189,AS189))</f>
        <v>0</v>
      </c>
      <c r="AS189" s="45">
        <f>IF(B189="","",IF(BB189="",99999,BC189))</f>
        <v>0</v>
      </c>
      <c r="AT189" s="45">
        <f>IF(A189="",0,SUMIFS('Meal Plan'!$L$5:$L$504,'Meal Plan'!$G$5:$G$504,A189,'Meal Plan'!$B$5:$B$504,"&gt;="&amp;ShopFrom,'Meal Plan'!$B$5:$B$504,"&lt;="&amp;ShopTo,'Meal Plan'!$M$5:$M$504,"Yes"))</f>
        <v>0</v>
      </c>
      <c r="AU189" s="25">
        <f>IF(OR(A189="",AC189=""),"",AC189*AT189)</f>
        <v>0</v>
      </c>
      <c r="AV189" s="18">
        <f>IF(A189="","",COUNTIFS('Recipe Ingredients'!$B$5:$B$1204,A189,'Recipe Ingredients'!$N$5:$N$1204,""))</f>
        <v>0</v>
      </c>
      <c r="AZ189" s="18">
        <f>IF(A189="","",COUNTIFS('Meal Plan'!$G$5:$G$504,A189))</f>
        <v>0</v>
      </c>
      <c r="BA189" s="18">
        <f>IF(A189="","",COUNTIFS('Meal Plan'!$G$5:$G$504,A189,'Meal Plan'!$N$5:$N$504,"Prepared")+COUNTIFS('Meal Plan'!$G$5:$G$504,A189,'Meal Plan'!$N$5:$N$504,"Eaten"))</f>
        <v>0</v>
      </c>
      <c r="BB189" s="19">
        <f>IF(A189="","",IF(COUNTIFS('Meal Plan'!$G$5:$G$504,A189,'Meal Plan'!$B$5:$B$504,"&lt;="&amp;TODAY())=0,"",SUMPRODUCT(MAX(('Meal Plan'!$G$5:$G$504=A189)*('Meal Plan'!$B$5:$B$504&lt;=TODAY())*'Meal Plan'!$B$5:$B$504))))</f>
        <v>0</v>
      </c>
      <c r="BC189" s="18">
        <f>IF(BB189="","",TODAY()-BB189)</f>
        <v>0</v>
      </c>
      <c r="BF189" s="31">
        <f>IF(B189="","",IF(G189="","Add - how many does it serve?",IF(AB189=0,"Add - no ingredients listed yet",IF(AV189&gt;0,"Check - "&amp;AV189&amp;" ingredient(s) have no price",IF(AND(BC189&lt;&gt;"",BC189&lt;RotationGapDays),"Cooked recently","OK")))))</f>
        <v>0</v>
      </c>
    </row>
    <row r="190" spans="1:58">
      <c r="A190" s="39">
        <f>IF(B190="","",RecipePrefix&amp;TEXT(ROW()-4,"0000"))</f>
        <v>0</v>
      </c>
      <c r="J190" s="18">
        <f>IF(B190="","",IF(AND(H190="",I190=""),"",IF(H190="",0,H190)+IF(I190="",0,I190)))</f>
        <v>0</v>
      </c>
      <c r="K190" s="46">
        <f>IF(J190="","",IF(J190&lt;=30,"Yes","No"))</f>
        <v>0</v>
      </c>
      <c r="AB190" s="18">
        <f>IF(A190="","",COUNTIFS('Recipe Ingredients'!$B$5:$B$1204,A190))</f>
        <v>0</v>
      </c>
      <c r="AC190" s="25">
        <f>IF(A190="","",SUMIFS('Recipe Ingredients'!$N$5:$N$1204,'Recipe Ingredients'!$B$5:$B$1204,A190))</f>
        <v>0</v>
      </c>
      <c r="AD190" s="25">
        <f>IF(OR(AC190="",G190=""),"",IF(G190=0,"",AC190/G190))</f>
        <v>0</v>
      </c>
      <c r="AE190" s="30">
        <f>IF(OR(A190="",G190=""),"",IF(G190=0,"",SUMIFS('Recipe Ingredients'!$Q$5:$Q$1204,'Recipe Ingredients'!$B$5:$B$1204,A190)/G190))</f>
        <v>0</v>
      </c>
      <c r="AF190" s="45">
        <f>IF(OR(A190="",G190=""),"",IF(G190=0,"",SUMIFS('Recipe Ingredients'!$R$5:$R$1204,'Recipe Ingredients'!$B$5:$B$1204,A190)/G190))</f>
        <v>0</v>
      </c>
      <c r="AG190" s="45">
        <f>IF(OR(A190="",G190=""),"",IF(G190=0,"",SUMIFS('Recipe Ingredients'!$S$5:$S$1204,'Recipe Ingredients'!$B$5:$B$1204,A190)/G190))</f>
        <v>0</v>
      </c>
      <c r="AH190" s="45">
        <f>IF(OR(A190="",G190=""),"",IF(G190=0,"",SUMIFS('Recipe Ingredients'!$T$5:$T$1204,'Recipe Ingredients'!$B$5:$B$1204,A190)/G190))</f>
        <v>0</v>
      </c>
      <c r="AI190" s="45">
        <f>IF(OR(A190="",G190=""),"",IF(G190=0,"",SUMIFS('Recipe Ingredients'!$U$5:$U$1204,'Recipe Ingredients'!$B$5:$B$1204,A190)/G190))</f>
        <v>0</v>
      </c>
      <c r="AJ190" s="17">
        <f>IF(A190="","",IF(COUNTIFS('Recipe Ingredients'!$B$5:$B$1204,A190,'Recipe Ingredients'!$V$5:$V$1204,"&lt;&gt;",'Recipe Ingredients'!$V$5:$V$1204,"&lt;&gt;None")=0,"None listed",COUNTIFS('Recipe Ingredients'!$B$5:$B$1204,A190,'Recipe Ingredients'!$V$5:$V$1204,"&lt;&gt;",'Recipe Ingredients'!$V$5:$V$1204,"&lt;&gt;None")&amp;" ingredient(s) flagged"))</f>
        <v>0</v>
      </c>
      <c r="AK190" s="18">
        <f>IF(OR(AD190="",NOT(ISNUMBER(AD190))),"",COUNTIFS($AD$5:$AD$204,"&lt;"&amp;AD190)+COUNTIFS($AD$5:AD190,AD190))</f>
        <v>0</v>
      </c>
      <c r="AL190" s="18">
        <f>IF(B190="",0,IF(AND(OR(FilterDiet="Any",T190=FilterDiet),OR(FilterCategory="Any",C190=FilterCategory),OR(FilterMethod="Any",L190=FilterMethod),OR(FilterTime=0,AND(J190&lt;&gt;"",J190&lt;=FilterTime)),OR(FilterCost=0,AND(AD190&lt;&gt;"",ISNUMBER(AD190),AD190&lt;=FilterCost)),OR(FilterAllergen="Any",COUNTIFS('Recipe Ingredients'!$B$5:$B$1204,A190,'Recipe Ingredients'!$V$5:$V$1204,FilterAllergen)=0)),1,0))</f>
        <v>0</v>
      </c>
      <c r="AM190" s="18">
        <f>IF(AL190=0,"",SUM($AL$5:AL190))</f>
        <v>0</v>
      </c>
      <c r="AN190" s="18">
        <f>IF(B190="","",COUNTIFS($AZ$5:$AZ$204,"&gt;"&amp;AZ190)+COUNTIFS($AZ$5:AZ190,AZ190))</f>
        <v>0</v>
      </c>
      <c r="AO190" s="18">
        <f>IF(B190="","",COUNTIFS($AE$5:$AE$204,"&gt;"&amp;AE190)+COUNTIFS($AE$5:AE190,AE190))</f>
        <v>0</v>
      </c>
      <c r="AP190" s="18">
        <f>IF(B190="","",COUNTIFS($AF$5:$AF$204,"&gt;"&amp;AF190)+COUNTIFS($AF$5:AF190,AF190))</f>
        <v>0</v>
      </c>
      <c r="AQ190" s="18">
        <f>IF(B190="","",COUNTIFS($AI$5:$AI$204,"&gt;"&amp;AI190)+COUNTIFS($AI$5:AI190,AI190))</f>
        <v>0</v>
      </c>
      <c r="AR190" s="18">
        <f>IF(B190="","",COUNTIFS($AS$5:$AS$204,"&gt;"&amp;AS190)+COUNTIFS($AS$5:AS190,AS190))</f>
        <v>0</v>
      </c>
      <c r="AS190" s="45">
        <f>IF(B190="","",IF(BB190="",99999,BC190))</f>
        <v>0</v>
      </c>
      <c r="AT190" s="45">
        <f>IF(A190="",0,SUMIFS('Meal Plan'!$L$5:$L$504,'Meal Plan'!$G$5:$G$504,A190,'Meal Plan'!$B$5:$B$504,"&gt;="&amp;ShopFrom,'Meal Plan'!$B$5:$B$504,"&lt;="&amp;ShopTo,'Meal Plan'!$M$5:$M$504,"Yes"))</f>
        <v>0</v>
      </c>
      <c r="AU190" s="25">
        <f>IF(OR(A190="",AC190=""),"",AC190*AT190)</f>
        <v>0</v>
      </c>
      <c r="AV190" s="18">
        <f>IF(A190="","",COUNTIFS('Recipe Ingredients'!$B$5:$B$1204,A190,'Recipe Ingredients'!$N$5:$N$1204,""))</f>
        <v>0</v>
      </c>
      <c r="AZ190" s="18">
        <f>IF(A190="","",COUNTIFS('Meal Plan'!$G$5:$G$504,A190))</f>
        <v>0</v>
      </c>
      <c r="BA190" s="18">
        <f>IF(A190="","",COUNTIFS('Meal Plan'!$G$5:$G$504,A190,'Meal Plan'!$N$5:$N$504,"Prepared")+COUNTIFS('Meal Plan'!$G$5:$G$504,A190,'Meal Plan'!$N$5:$N$504,"Eaten"))</f>
        <v>0</v>
      </c>
      <c r="BB190" s="19">
        <f>IF(A190="","",IF(COUNTIFS('Meal Plan'!$G$5:$G$504,A190,'Meal Plan'!$B$5:$B$504,"&lt;="&amp;TODAY())=0,"",SUMPRODUCT(MAX(('Meal Plan'!$G$5:$G$504=A190)*('Meal Plan'!$B$5:$B$504&lt;=TODAY())*'Meal Plan'!$B$5:$B$504))))</f>
        <v>0</v>
      </c>
      <c r="BC190" s="18">
        <f>IF(BB190="","",TODAY()-BB190)</f>
        <v>0</v>
      </c>
      <c r="BF190" s="31">
        <f>IF(B190="","",IF(G190="","Add - how many does it serve?",IF(AB190=0,"Add - no ingredients listed yet",IF(AV190&gt;0,"Check - "&amp;AV190&amp;" ingredient(s) have no price",IF(AND(BC190&lt;&gt;"",BC190&lt;RotationGapDays),"Cooked recently","OK")))))</f>
        <v>0</v>
      </c>
    </row>
    <row r="191" spans="1:58">
      <c r="A191" s="39">
        <f>IF(B191="","",RecipePrefix&amp;TEXT(ROW()-4,"0000"))</f>
        <v>0</v>
      </c>
      <c r="J191" s="18">
        <f>IF(B191="","",IF(AND(H191="",I191=""),"",IF(H191="",0,H191)+IF(I191="",0,I191)))</f>
        <v>0</v>
      </c>
      <c r="K191" s="46">
        <f>IF(J191="","",IF(J191&lt;=30,"Yes","No"))</f>
        <v>0</v>
      </c>
      <c r="AB191" s="18">
        <f>IF(A191="","",COUNTIFS('Recipe Ingredients'!$B$5:$B$1204,A191))</f>
        <v>0</v>
      </c>
      <c r="AC191" s="25">
        <f>IF(A191="","",SUMIFS('Recipe Ingredients'!$N$5:$N$1204,'Recipe Ingredients'!$B$5:$B$1204,A191))</f>
        <v>0</v>
      </c>
      <c r="AD191" s="25">
        <f>IF(OR(AC191="",G191=""),"",IF(G191=0,"",AC191/G191))</f>
        <v>0</v>
      </c>
      <c r="AE191" s="30">
        <f>IF(OR(A191="",G191=""),"",IF(G191=0,"",SUMIFS('Recipe Ingredients'!$Q$5:$Q$1204,'Recipe Ingredients'!$B$5:$B$1204,A191)/G191))</f>
        <v>0</v>
      </c>
      <c r="AF191" s="45">
        <f>IF(OR(A191="",G191=""),"",IF(G191=0,"",SUMIFS('Recipe Ingredients'!$R$5:$R$1204,'Recipe Ingredients'!$B$5:$B$1204,A191)/G191))</f>
        <v>0</v>
      </c>
      <c r="AG191" s="45">
        <f>IF(OR(A191="",G191=""),"",IF(G191=0,"",SUMIFS('Recipe Ingredients'!$S$5:$S$1204,'Recipe Ingredients'!$B$5:$B$1204,A191)/G191))</f>
        <v>0</v>
      </c>
      <c r="AH191" s="45">
        <f>IF(OR(A191="",G191=""),"",IF(G191=0,"",SUMIFS('Recipe Ingredients'!$T$5:$T$1204,'Recipe Ingredients'!$B$5:$B$1204,A191)/G191))</f>
        <v>0</v>
      </c>
      <c r="AI191" s="45">
        <f>IF(OR(A191="",G191=""),"",IF(G191=0,"",SUMIFS('Recipe Ingredients'!$U$5:$U$1204,'Recipe Ingredients'!$B$5:$B$1204,A191)/G191))</f>
        <v>0</v>
      </c>
      <c r="AJ191" s="17">
        <f>IF(A191="","",IF(COUNTIFS('Recipe Ingredients'!$B$5:$B$1204,A191,'Recipe Ingredients'!$V$5:$V$1204,"&lt;&gt;",'Recipe Ingredients'!$V$5:$V$1204,"&lt;&gt;None")=0,"None listed",COUNTIFS('Recipe Ingredients'!$B$5:$B$1204,A191,'Recipe Ingredients'!$V$5:$V$1204,"&lt;&gt;",'Recipe Ingredients'!$V$5:$V$1204,"&lt;&gt;None")&amp;" ingredient(s) flagged"))</f>
        <v>0</v>
      </c>
      <c r="AK191" s="18">
        <f>IF(OR(AD191="",NOT(ISNUMBER(AD191))),"",COUNTIFS($AD$5:$AD$204,"&lt;"&amp;AD191)+COUNTIFS($AD$5:AD191,AD191))</f>
        <v>0</v>
      </c>
      <c r="AL191" s="18">
        <f>IF(B191="",0,IF(AND(OR(FilterDiet="Any",T191=FilterDiet),OR(FilterCategory="Any",C191=FilterCategory),OR(FilterMethod="Any",L191=FilterMethod),OR(FilterTime=0,AND(J191&lt;&gt;"",J191&lt;=FilterTime)),OR(FilterCost=0,AND(AD191&lt;&gt;"",ISNUMBER(AD191),AD191&lt;=FilterCost)),OR(FilterAllergen="Any",COUNTIFS('Recipe Ingredients'!$B$5:$B$1204,A191,'Recipe Ingredients'!$V$5:$V$1204,FilterAllergen)=0)),1,0))</f>
        <v>0</v>
      </c>
      <c r="AM191" s="18">
        <f>IF(AL191=0,"",SUM($AL$5:AL191))</f>
        <v>0</v>
      </c>
      <c r="AN191" s="18">
        <f>IF(B191="","",COUNTIFS($AZ$5:$AZ$204,"&gt;"&amp;AZ191)+COUNTIFS($AZ$5:AZ191,AZ191))</f>
        <v>0</v>
      </c>
      <c r="AO191" s="18">
        <f>IF(B191="","",COUNTIFS($AE$5:$AE$204,"&gt;"&amp;AE191)+COUNTIFS($AE$5:AE191,AE191))</f>
        <v>0</v>
      </c>
      <c r="AP191" s="18">
        <f>IF(B191="","",COUNTIFS($AF$5:$AF$204,"&gt;"&amp;AF191)+COUNTIFS($AF$5:AF191,AF191))</f>
        <v>0</v>
      </c>
      <c r="AQ191" s="18">
        <f>IF(B191="","",COUNTIFS($AI$5:$AI$204,"&gt;"&amp;AI191)+COUNTIFS($AI$5:AI191,AI191))</f>
        <v>0</v>
      </c>
      <c r="AR191" s="18">
        <f>IF(B191="","",COUNTIFS($AS$5:$AS$204,"&gt;"&amp;AS191)+COUNTIFS($AS$5:AS191,AS191))</f>
        <v>0</v>
      </c>
      <c r="AS191" s="45">
        <f>IF(B191="","",IF(BB191="",99999,BC191))</f>
        <v>0</v>
      </c>
      <c r="AT191" s="45">
        <f>IF(A191="",0,SUMIFS('Meal Plan'!$L$5:$L$504,'Meal Plan'!$G$5:$G$504,A191,'Meal Plan'!$B$5:$B$504,"&gt;="&amp;ShopFrom,'Meal Plan'!$B$5:$B$504,"&lt;="&amp;ShopTo,'Meal Plan'!$M$5:$M$504,"Yes"))</f>
        <v>0</v>
      </c>
      <c r="AU191" s="25">
        <f>IF(OR(A191="",AC191=""),"",AC191*AT191)</f>
        <v>0</v>
      </c>
      <c r="AV191" s="18">
        <f>IF(A191="","",COUNTIFS('Recipe Ingredients'!$B$5:$B$1204,A191,'Recipe Ingredients'!$N$5:$N$1204,""))</f>
        <v>0</v>
      </c>
      <c r="AZ191" s="18">
        <f>IF(A191="","",COUNTIFS('Meal Plan'!$G$5:$G$504,A191))</f>
        <v>0</v>
      </c>
      <c r="BA191" s="18">
        <f>IF(A191="","",COUNTIFS('Meal Plan'!$G$5:$G$504,A191,'Meal Plan'!$N$5:$N$504,"Prepared")+COUNTIFS('Meal Plan'!$G$5:$G$504,A191,'Meal Plan'!$N$5:$N$504,"Eaten"))</f>
        <v>0</v>
      </c>
      <c r="BB191" s="19">
        <f>IF(A191="","",IF(COUNTIFS('Meal Plan'!$G$5:$G$504,A191,'Meal Plan'!$B$5:$B$504,"&lt;="&amp;TODAY())=0,"",SUMPRODUCT(MAX(('Meal Plan'!$G$5:$G$504=A191)*('Meal Plan'!$B$5:$B$504&lt;=TODAY())*'Meal Plan'!$B$5:$B$504))))</f>
        <v>0</v>
      </c>
      <c r="BC191" s="18">
        <f>IF(BB191="","",TODAY()-BB191)</f>
        <v>0</v>
      </c>
      <c r="BF191" s="31">
        <f>IF(B191="","",IF(G191="","Add - how many does it serve?",IF(AB191=0,"Add - no ingredients listed yet",IF(AV191&gt;0,"Check - "&amp;AV191&amp;" ingredient(s) have no price",IF(AND(BC191&lt;&gt;"",BC191&lt;RotationGapDays),"Cooked recently","OK")))))</f>
        <v>0</v>
      </c>
    </row>
    <row r="192" spans="1:58">
      <c r="A192" s="39">
        <f>IF(B192="","",RecipePrefix&amp;TEXT(ROW()-4,"0000"))</f>
        <v>0</v>
      </c>
      <c r="J192" s="18">
        <f>IF(B192="","",IF(AND(H192="",I192=""),"",IF(H192="",0,H192)+IF(I192="",0,I192)))</f>
        <v>0</v>
      </c>
      <c r="K192" s="46">
        <f>IF(J192="","",IF(J192&lt;=30,"Yes","No"))</f>
        <v>0</v>
      </c>
      <c r="AB192" s="18">
        <f>IF(A192="","",COUNTIFS('Recipe Ingredients'!$B$5:$B$1204,A192))</f>
        <v>0</v>
      </c>
      <c r="AC192" s="25">
        <f>IF(A192="","",SUMIFS('Recipe Ingredients'!$N$5:$N$1204,'Recipe Ingredients'!$B$5:$B$1204,A192))</f>
        <v>0</v>
      </c>
      <c r="AD192" s="25">
        <f>IF(OR(AC192="",G192=""),"",IF(G192=0,"",AC192/G192))</f>
        <v>0</v>
      </c>
      <c r="AE192" s="30">
        <f>IF(OR(A192="",G192=""),"",IF(G192=0,"",SUMIFS('Recipe Ingredients'!$Q$5:$Q$1204,'Recipe Ingredients'!$B$5:$B$1204,A192)/G192))</f>
        <v>0</v>
      </c>
      <c r="AF192" s="45">
        <f>IF(OR(A192="",G192=""),"",IF(G192=0,"",SUMIFS('Recipe Ingredients'!$R$5:$R$1204,'Recipe Ingredients'!$B$5:$B$1204,A192)/G192))</f>
        <v>0</v>
      </c>
      <c r="AG192" s="45">
        <f>IF(OR(A192="",G192=""),"",IF(G192=0,"",SUMIFS('Recipe Ingredients'!$S$5:$S$1204,'Recipe Ingredients'!$B$5:$B$1204,A192)/G192))</f>
        <v>0</v>
      </c>
      <c r="AH192" s="45">
        <f>IF(OR(A192="",G192=""),"",IF(G192=0,"",SUMIFS('Recipe Ingredients'!$T$5:$T$1204,'Recipe Ingredients'!$B$5:$B$1204,A192)/G192))</f>
        <v>0</v>
      </c>
      <c r="AI192" s="45">
        <f>IF(OR(A192="",G192=""),"",IF(G192=0,"",SUMIFS('Recipe Ingredients'!$U$5:$U$1204,'Recipe Ingredients'!$B$5:$B$1204,A192)/G192))</f>
        <v>0</v>
      </c>
      <c r="AJ192" s="17">
        <f>IF(A192="","",IF(COUNTIFS('Recipe Ingredients'!$B$5:$B$1204,A192,'Recipe Ingredients'!$V$5:$V$1204,"&lt;&gt;",'Recipe Ingredients'!$V$5:$V$1204,"&lt;&gt;None")=0,"None listed",COUNTIFS('Recipe Ingredients'!$B$5:$B$1204,A192,'Recipe Ingredients'!$V$5:$V$1204,"&lt;&gt;",'Recipe Ingredients'!$V$5:$V$1204,"&lt;&gt;None")&amp;" ingredient(s) flagged"))</f>
        <v>0</v>
      </c>
      <c r="AK192" s="18">
        <f>IF(OR(AD192="",NOT(ISNUMBER(AD192))),"",COUNTIFS($AD$5:$AD$204,"&lt;"&amp;AD192)+COUNTIFS($AD$5:AD192,AD192))</f>
        <v>0</v>
      </c>
      <c r="AL192" s="18">
        <f>IF(B192="",0,IF(AND(OR(FilterDiet="Any",T192=FilterDiet),OR(FilterCategory="Any",C192=FilterCategory),OR(FilterMethod="Any",L192=FilterMethod),OR(FilterTime=0,AND(J192&lt;&gt;"",J192&lt;=FilterTime)),OR(FilterCost=0,AND(AD192&lt;&gt;"",ISNUMBER(AD192),AD192&lt;=FilterCost)),OR(FilterAllergen="Any",COUNTIFS('Recipe Ingredients'!$B$5:$B$1204,A192,'Recipe Ingredients'!$V$5:$V$1204,FilterAllergen)=0)),1,0))</f>
        <v>0</v>
      </c>
      <c r="AM192" s="18">
        <f>IF(AL192=0,"",SUM($AL$5:AL192))</f>
        <v>0</v>
      </c>
      <c r="AN192" s="18">
        <f>IF(B192="","",COUNTIFS($AZ$5:$AZ$204,"&gt;"&amp;AZ192)+COUNTIFS($AZ$5:AZ192,AZ192))</f>
        <v>0</v>
      </c>
      <c r="AO192" s="18">
        <f>IF(B192="","",COUNTIFS($AE$5:$AE$204,"&gt;"&amp;AE192)+COUNTIFS($AE$5:AE192,AE192))</f>
        <v>0</v>
      </c>
      <c r="AP192" s="18">
        <f>IF(B192="","",COUNTIFS($AF$5:$AF$204,"&gt;"&amp;AF192)+COUNTIFS($AF$5:AF192,AF192))</f>
        <v>0</v>
      </c>
      <c r="AQ192" s="18">
        <f>IF(B192="","",COUNTIFS($AI$5:$AI$204,"&gt;"&amp;AI192)+COUNTIFS($AI$5:AI192,AI192))</f>
        <v>0</v>
      </c>
      <c r="AR192" s="18">
        <f>IF(B192="","",COUNTIFS($AS$5:$AS$204,"&gt;"&amp;AS192)+COUNTIFS($AS$5:AS192,AS192))</f>
        <v>0</v>
      </c>
      <c r="AS192" s="45">
        <f>IF(B192="","",IF(BB192="",99999,BC192))</f>
        <v>0</v>
      </c>
      <c r="AT192" s="45">
        <f>IF(A192="",0,SUMIFS('Meal Plan'!$L$5:$L$504,'Meal Plan'!$G$5:$G$504,A192,'Meal Plan'!$B$5:$B$504,"&gt;="&amp;ShopFrom,'Meal Plan'!$B$5:$B$504,"&lt;="&amp;ShopTo,'Meal Plan'!$M$5:$M$504,"Yes"))</f>
        <v>0</v>
      </c>
      <c r="AU192" s="25">
        <f>IF(OR(A192="",AC192=""),"",AC192*AT192)</f>
        <v>0</v>
      </c>
      <c r="AV192" s="18">
        <f>IF(A192="","",COUNTIFS('Recipe Ingredients'!$B$5:$B$1204,A192,'Recipe Ingredients'!$N$5:$N$1204,""))</f>
        <v>0</v>
      </c>
      <c r="AZ192" s="18">
        <f>IF(A192="","",COUNTIFS('Meal Plan'!$G$5:$G$504,A192))</f>
        <v>0</v>
      </c>
      <c r="BA192" s="18">
        <f>IF(A192="","",COUNTIFS('Meal Plan'!$G$5:$G$504,A192,'Meal Plan'!$N$5:$N$504,"Prepared")+COUNTIFS('Meal Plan'!$G$5:$G$504,A192,'Meal Plan'!$N$5:$N$504,"Eaten"))</f>
        <v>0</v>
      </c>
      <c r="BB192" s="19">
        <f>IF(A192="","",IF(COUNTIFS('Meal Plan'!$G$5:$G$504,A192,'Meal Plan'!$B$5:$B$504,"&lt;="&amp;TODAY())=0,"",SUMPRODUCT(MAX(('Meal Plan'!$G$5:$G$504=A192)*('Meal Plan'!$B$5:$B$504&lt;=TODAY())*'Meal Plan'!$B$5:$B$504))))</f>
        <v>0</v>
      </c>
      <c r="BC192" s="18">
        <f>IF(BB192="","",TODAY()-BB192)</f>
        <v>0</v>
      </c>
      <c r="BF192" s="31">
        <f>IF(B192="","",IF(G192="","Add - how many does it serve?",IF(AB192=0,"Add - no ingredients listed yet",IF(AV192&gt;0,"Check - "&amp;AV192&amp;" ingredient(s) have no price",IF(AND(BC192&lt;&gt;"",BC192&lt;RotationGapDays),"Cooked recently","OK")))))</f>
        <v>0</v>
      </c>
    </row>
    <row r="193" spans="1:58">
      <c r="A193" s="39">
        <f>IF(B193="","",RecipePrefix&amp;TEXT(ROW()-4,"0000"))</f>
        <v>0</v>
      </c>
      <c r="J193" s="18">
        <f>IF(B193="","",IF(AND(H193="",I193=""),"",IF(H193="",0,H193)+IF(I193="",0,I193)))</f>
        <v>0</v>
      </c>
      <c r="K193" s="46">
        <f>IF(J193="","",IF(J193&lt;=30,"Yes","No"))</f>
        <v>0</v>
      </c>
      <c r="AB193" s="18">
        <f>IF(A193="","",COUNTIFS('Recipe Ingredients'!$B$5:$B$1204,A193))</f>
        <v>0</v>
      </c>
      <c r="AC193" s="25">
        <f>IF(A193="","",SUMIFS('Recipe Ingredients'!$N$5:$N$1204,'Recipe Ingredients'!$B$5:$B$1204,A193))</f>
        <v>0</v>
      </c>
      <c r="AD193" s="25">
        <f>IF(OR(AC193="",G193=""),"",IF(G193=0,"",AC193/G193))</f>
        <v>0</v>
      </c>
      <c r="AE193" s="30">
        <f>IF(OR(A193="",G193=""),"",IF(G193=0,"",SUMIFS('Recipe Ingredients'!$Q$5:$Q$1204,'Recipe Ingredients'!$B$5:$B$1204,A193)/G193))</f>
        <v>0</v>
      </c>
      <c r="AF193" s="45">
        <f>IF(OR(A193="",G193=""),"",IF(G193=0,"",SUMIFS('Recipe Ingredients'!$R$5:$R$1204,'Recipe Ingredients'!$B$5:$B$1204,A193)/G193))</f>
        <v>0</v>
      </c>
      <c r="AG193" s="45">
        <f>IF(OR(A193="",G193=""),"",IF(G193=0,"",SUMIFS('Recipe Ingredients'!$S$5:$S$1204,'Recipe Ingredients'!$B$5:$B$1204,A193)/G193))</f>
        <v>0</v>
      </c>
      <c r="AH193" s="45">
        <f>IF(OR(A193="",G193=""),"",IF(G193=0,"",SUMIFS('Recipe Ingredients'!$T$5:$T$1204,'Recipe Ingredients'!$B$5:$B$1204,A193)/G193))</f>
        <v>0</v>
      </c>
      <c r="AI193" s="45">
        <f>IF(OR(A193="",G193=""),"",IF(G193=0,"",SUMIFS('Recipe Ingredients'!$U$5:$U$1204,'Recipe Ingredients'!$B$5:$B$1204,A193)/G193))</f>
        <v>0</v>
      </c>
      <c r="AJ193" s="17">
        <f>IF(A193="","",IF(COUNTIFS('Recipe Ingredients'!$B$5:$B$1204,A193,'Recipe Ingredients'!$V$5:$V$1204,"&lt;&gt;",'Recipe Ingredients'!$V$5:$V$1204,"&lt;&gt;None")=0,"None listed",COUNTIFS('Recipe Ingredients'!$B$5:$B$1204,A193,'Recipe Ingredients'!$V$5:$V$1204,"&lt;&gt;",'Recipe Ingredients'!$V$5:$V$1204,"&lt;&gt;None")&amp;" ingredient(s) flagged"))</f>
        <v>0</v>
      </c>
      <c r="AK193" s="18">
        <f>IF(OR(AD193="",NOT(ISNUMBER(AD193))),"",COUNTIFS($AD$5:$AD$204,"&lt;"&amp;AD193)+COUNTIFS($AD$5:AD193,AD193))</f>
        <v>0</v>
      </c>
      <c r="AL193" s="18">
        <f>IF(B193="",0,IF(AND(OR(FilterDiet="Any",T193=FilterDiet),OR(FilterCategory="Any",C193=FilterCategory),OR(FilterMethod="Any",L193=FilterMethod),OR(FilterTime=0,AND(J193&lt;&gt;"",J193&lt;=FilterTime)),OR(FilterCost=0,AND(AD193&lt;&gt;"",ISNUMBER(AD193),AD193&lt;=FilterCost)),OR(FilterAllergen="Any",COUNTIFS('Recipe Ingredients'!$B$5:$B$1204,A193,'Recipe Ingredients'!$V$5:$V$1204,FilterAllergen)=0)),1,0))</f>
        <v>0</v>
      </c>
      <c r="AM193" s="18">
        <f>IF(AL193=0,"",SUM($AL$5:AL193))</f>
        <v>0</v>
      </c>
      <c r="AN193" s="18">
        <f>IF(B193="","",COUNTIFS($AZ$5:$AZ$204,"&gt;"&amp;AZ193)+COUNTIFS($AZ$5:AZ193,AZ193))</f>
        <v>0</v>
      </c>
      <c r="AO193" s="18">
        <f>IF(B193="","",COUNTIFS($AE$5:$AE$204,"&gt;"&amp;AE193)+COUNTIFS($AE$5:AE193,AE193))</f>
        <v>0</v>
      </c>
      <c r="AP193" s="18">
        <f>IF(B193="","",COUNTIFS($AF$5:$AF$204,"&gt;"&amp;AF193)+COUNTIFS($AF$5:AF193,AF193))</f>
        <v>0</v>
      </c>
      <c r="AQ193" s="18">
        <f>IF(B193="","",COUNTIFS($AI$5:$AI$204,"&gt;"&amp;AI193)+COUNTIFS($AI$5:AI193,AI193))</f>
        <v>0</v>
      </c>
      <c r="AR193" s="18">
        <f>IF(B193="","",COUNTIFS($AS$5:$AS$204,"&gt;"&amp;AS193)+COUNTIFS($AS$5:AS193,AS193))</f>
        <v>0</v>
      </c>
      <c r="AS193" s="45">
        <f>IF(B193="","",IF(BB193="",99999,BC193))</f>
        <v>0</v>
      </c>
      <c r="AT193" s="45">
        <f>IF(A193="",0,SUMIFS('Meal Plan'!$L$5:$L$504,'Meal Plan'!$G$5:$G$504,A193,'Meal Plan'!$B$5:$B$504,"&gt;="&amp;ShopFrom,'Meal Plan'!$B$5:$B$504,"&lt;="&amp;ShopTo,'Meal Plan'!$M$5:$M$504,"Yes"))</f>
        <v>0</v>
      </c>
      <c r="AU193" s="25">
        <f>IF(OR(A193="",AC193=""),"",AC193*AT193)</f>
        <v>0</v>
      </c>
      <c r="AV193" s="18">
        <f>IF(A193="","",COUNTIFS('Recipe Ingredients'!$B$5:$B$1204,A193,'Recipe Ingredients'!$N$5:$N$1204,""))</f>
        <v>0</v>
      </c>
      <c r="AZ193" s="18">
        <f>IF(A193="","",COUNTIFS('Meal Plan'!$G$5:$G$504,A193))</f>
        <v>0</v>
      </c>
      <c r="BA193" s="18">
        <f>IF(A193="","",COUNTIFS('Meal Plan'!$G$5:$G$504,A193,'Meal Plan'!$N$5:$N$504,"Prepared")+COUNTIFS('Meal Plan'!$G$5:$G$504,A193,'Meal Plan'!$N$5:$N$504,"Eaten"))</f>
        <v>0</v>
      </c>
      <c r="BB193" s="19">
        <f>IF(A193="","",IF(COUNTIFS('Meal Plan'!$G$5:$G$504,A193,'Meal Plan'!$B$5:$B$504,"&lt;="&amp;TODAY())=0,"",SUMPRODUCT(MAX(('Meal Plan'!$G$5:$G$504=A193)*('Meal Plan'!$B$5:$B$504&lt;=TODAY())*'Meal Plan'!$B$5:$B$504))))</f>
        <v>0</v>
      </c>
      <c r="BC193" s="18">
        <f>IF(BB193="","",TODAY()-BB193)</f>
        <v>0</v>
      </c>
      <c r="BF193" s="31">
        <f>IF(B193="","",IF(G193="","Add - how many does it serve?",IF(AB193=0,"Add - no ingredients listed yet",IF(AV193&gt;0,"Check - "&amp;AV193&amp;" ingredient(s) have no price",IF(AND(BC193&lt;&gt;"",BC193&lt;RotationGapDays),"Cooked recently","OK")))))</f>
        <v>0</v>
      </c>
    </row>
    <row r="194" spans="1:58">
      <c r="A194" s="39">
        <f>IF(B194="","",RecipePrefix&amp;TEXT(ROW()-4,"0000"))</f>
        <v>0</v>
      </c>
      <c r="J194" s="18">
        <f>IF(B194="","",IF(AND(H194="",I194=""),"",IF(H194="",0,H194)+IF(I194="",0,I194)))</f>
        <v>0</v>
      </c>
      <c r="K194" s="46">
        <f>IF(J194="","",IF(J194&lt;=30,"Yes","No"))</f>
        <v>0</v>
      </c>
      <c r="AB194" s="18">
        <f>IF(A194="","",COUNTIFS('Recipe Ingredients'!$B$5:$B$1204,A194))</f>
        <v>0</v>
      </c>
      <c r="AC194" s="25">
        <f>IF(A194="","",SUMIFS('Recipe Ingredients'!$N$5:$N$1204,'Recipe Ingredients'!$B$5:$B$1204,A194))</f>
        <v>0</v>
      </c>
      <c r="AD194" s="25">
        <f>IF(OR(AC194="",G194=""),"",IF(G194=0,"",AC194/G194))</f>
        <v>0</v>
      </c>
      <c r="AE194" s="30">
        <f>IF(OR(A194="",G194=""),"",IF(G194=0,"",SUMIFS('Recipe Ingredients'!$Q$5:$Q$1204,'Recipe Ingredients'!$B$5:$B$1204,A194)/G194))</f>
        <v>0</v>
      </c>
      <c r="AF194" s="45">
        <f>IF(OR(A194="",G194=""),"",IF(G194=0,"",SUMIFS('Recipe Ingredients'!$R$5:$R$1204,'Recipe Ingredients'!$B$5:$B$1204,A194)/G194))</f>
        <v>0</v>
      </c>
      <c r="AG194" s="45">
        <f>IF(OR(A194="",G194=""),"",IF(G194=0,"",SUMIFS('Recipe Ingredients'!$S$5:$S$1204,'Recipe Ingredients'!$B$5:$B$1204,A194)/G194))</f>
        <v>0</v>
      </c>
      <c r="AH194" s="45">
        <f>IF(OR(A194="",G194=""),"",IF(G194=0,"",SUMIFS('Recipe Ingredients'!$T$5:$T$1204,'Recipe Ingredients'!$B$5:$B$1204,A194)/G194))</f>
        <v>0</v>
      </c>
      <c r="AI194" s="45">
        <f>IF(OR(A194="",G194=""),"",IF(G194=0,"",SUMIFS('Recipe Ingredients'!$U$5:$U$1204,'Recipe Ingredients'!$B$5:$B$1204,A194)/G194))</f>
        <v>0</v>
      </c>
      <c r="AJ194" s="17">
        <f>IF(A194="","",IF(COUNTIFS('Recipe Ingredients'!$B$5:$B$1204,A194,'Recipe Ingredients'!$V$5:$V$1204,"&lt;&gt;",'Recipe Ingredients'!$V$5:$V$1204,"&lt;&gt;None")=0,"None listed",COUNTIFS('Recipe Ingredients'!$B$5:$B$1204,A194,'Recipe Ingredients'!$V$5:$V$1204,"&lt;&gt;",'Recipe Ingredients'!$V$5:$V$1204,"&lt;&gt;None")&amp;" ingredient(s) flagged"))</f>
        <v>0</v>
      </c>
      <c r="AK194" s="18">
        <f>IF(OR(AD194="",NOT(ISNUMBER(AD194))),"",COUNTIFS($AD$5:$AD$204,"&lt;"&amp;AD194)+COUNTIFS($AD$5:AD194,AD194))</f>
        <v>0</v>
      </c>
      <c r="AL194" s="18">
        <f>IF(B194="",0,IF(AND(OR(FilterDiet="Any",T194=FilterDiet),OR(FilterCategory="Any",C194=FilterCategory),OR(FilterMethod="Any",L194=FilterMethod),OR(FilterTime=0,AND(J194&lt;&gt;"",J194&lt;=FilterTime)),OR(FilterCost=0,AND(AD194&lt;&gt;"",ISNUMBER(AD194),AD194&lt;=FilterCost)),OR(FilterAllergen="Any",COUNTIFS('Recipe Ingredients'!$B$5:$B$1204,A194,'Recipe Ingredients'!$V$5:$V$1204,FilterAllergen)=0)),1,0))</f>
        <v>0</v>
      </c>
      <c r="AM194" s="18">
        <f>IF(AL194=0,"",SUM($AL$5:AL194))</f>
        <v>0</v>
      </c>
      <c r="AN194" s="18">
        <f>IF(B194="","",COUNTIFS($AZ$5:$AZ$204,"&gt;"&amp;AZ194)+COUNTIFS($AZ$5:AZ194,AZ194))</f>
        <v>0</v>
      </c>
      <c r="AO194" s="18">
        <f>IF(B194="","",COUNTIFS($AE$5:$AE$204,"&gt;"&amp;AE194)+COUNTIFS($AE$5:AE194,AE194))</f>
        <v>0</v>
      </c>
      <c r="AP194" s="18">
        <f>IF(B194="","",COUNTIFS($AF$5:$AF$204,"&gt;"&amp;AF194)+COUNTIFS($AF$5:AF194,AF194))</f>
        <v>0</v>
      </c>
      <c r="AQ194" s="18">
        <f>IF(B194="","",COUNTIFS($AI$5:$AI$204,"&gt;"&amp;AI194)+COUNTIFS($AI$5:AI194,AI194))</f>
        <v>0</v>
      </c>
      <c r="AR194" s="18">
        <f>IF(B194="","",COUNTIFS($AS$5:$AS$204,"&gt;"&amp;AS194)+COUNTIFS($AS$5:AS194,AS194))</f>
        <v>0</v>
      </c>
      <c r="AS194" s="45">
        <f>IF(B194="","",IF(BB194="",99999,BC194))</f>
        <v>0</v>
      </c>
      <c r="AT194" s="45">
        <f>IF(A194="",0,SUMIFS('Meal Plan'!$L$5:$L$504,'Meal Plan'!$G$5:$G$504,A194,'Meal Plan'!$B$5:$B$504,"&gt;="&amp;ShopFrom,'Meal Plan'!$B$5:$B$504,"&lt;="&amp;ShopTo,'Meal Plan'!$M$5:$M$504,"Yes"))</f>
        <v>0</v>
      </c>
      <c r="AU194" s="25">
        <f>IF(OR(A194="",AC194=""),"",AC194*AT194)</f>
        <v>0</v>
      </c>
      <c r="AV194" s="18">
        <f>IF(A194="","",COUNTIFS('Recipe Ingredients'!$B$5:$B$1204,A194,'Recipe Ingredients'!$N$5:$N$1204,""))</f>
        <v>0</v>
      </c>
      <c r="AZ194" s="18">
        <f>IF(A194="","",COUNTIFS('Meal Plan'!$G$5:$G$504,A194))</f>
        <v>0</v>
      </c>
      <c r="BA194" s="18">
        <f>IF(A194="","",COUNTIFS('Meal Plan'!$G$5:$G$504,A194,'Meal Plan'!$N$5:$N$504,"Prepared")+COUNTIFS('Meal Plan'!$G$5:$G$504,A194,'Meal Plan'!$N$5:$N$504,"Eaten"))</f>
        <v>0</v>
      </c>
      <c r="BB194" s="19">
        <f>IF(A194="","",IF(COUNTIFS('Meal Plan'!$G$5:$G$504,A194,'Meal Plan'!$B$5:$B$504,"&lt;="&amp;TODAY())=0,"",SUMPRODUCT(MAX(('Meal Plan'!$G$5:$G$504=A194)*('Meal Plan'!$B$5:$B$504&lt;=TODAY())*'Meal Plan'!$B$5:$B$504))))</f>
        <v>0</v>
      </c>
      <c r="BC194" s="18">
        <f>IF(BB194="","",TODAY()-BB194)</f>
        <v>0</v>
      </c>
      <c r="BF194" s="31">
        <f>IF(B194="","",IF(G194="","Add - how many does it serve?",IF(AB194=0,"Add - no ingredients listed yet",IF(AV194&gt;0,"Check - "&amp;AV194&amp;" ingredient(s) have no price",IF(AND(BC194&lt;&gt;"",BC194&lt;RotationGapDays),"Cooked recently","OK")))))</f>
        <v>0</v>
      </c>
    </row>
    <row r="195" spans="1:58">
      <c r="A195" s="39">
        <f>IF(B195="","",RecipePrefix&amp;TEXT(ROW()-4,"0000"))</f>
        <v>0</v>
      </c>
      <c r="J195" s="18">
        <f>IF(B195="","",IF(AND(H195="",I195=""),"",IF(H195="",0,H195)+IF(I195="",0,I195)))</f>
        <v>0</v>
      </c>
      <c r="K195" s="46">
        <f>IF(J195="","",IF(J195&lt;=30,"Yes","No"))</f>
        <v>0</v>
      </c>
      <c r="AB195" s="18">
        <f>IF(A195="","",COUNTIFS('Recipe Ingredients'!$B$5:$B$1204,A195))</f>
        <v>0</v>
      </c>
      <c r="AC195" s="25">
        <f>IF(A195="","",SUMIFS('Recipe Ingredients'!$N$5:$N$1204,'Recipe Ingredients'!$B$5:$B$1204,A195))</f>
        <v>0</v>
      </c>
      <c r="AD195" s="25">
        <f>IF(OR(AC195="",G195=""),"",IF(G195=0,"",AC195/G195))</f>
        <v>0</v>
      </c>
      <c r="AE195" s="30">
        <f>IF(OR(A195="",G195=""),"",IF(G195=0,"",SUMIFS('Recipe Ingredients'!$Q$5:$Q$1204,'Recipe Ingredients'!$B$5:$B$1204,A195)/G195))</f>
        <v>0</v>
      </c>
      <c r="AF195" s="45">
        <f>IF(OR(A195="",G195=""),"",IF(G195=0,"",SUMIFS('Recipe Ingredients'!$R$5:$R$1204,'Recipe Ingredients'!$B$5:$B$1204,A195)/G195))</f>
        <v>0</v>
      </c>
      <c r="AG195" s="45">
        <f>IF(OR(A195="",G195=""),"",IF(G195=0,"",SUMIFS('Recipe Ingredients'!$S$5:$S$1204,'Recipe Ingredients'!$B$5:$B$1204,A195)/G195))</f>
        <v>0</v>
      </c>
      <c r="AH195" s="45">
        <f>IF(OR(A195="",G195=""),"",IF(G195=0,"",SUMIFS('Recipe Ingredients'!$T$5:$T$1204,'Recipe Ingredients'!$B$5:$B$1204,A195)/G195))</f>
        <v>0</v>
      </c>
      <c r="AI195" s="45">
        <f>IF(OR(A195="",G195=""),"",IF(G195=0,"",SUMIFS('Recipe Ingredients'!$U$5:$U$1204,'Recipe Ingredients'!$B$5:$B$1204,A195)/G195))</f>
        <v>0</v>
      </c>
      <c r="AJ195" s="17">
        <f>IF(A195="","",IF(COUNTIFS('Recipe Ingredients'!$B$5:$B$1204,A195,'Recipe Ingredients'!$V$5:$V$1204,"&lt;&gt;",'Recipe Ingredients'!$V$5:$V$1204,"&lt;&gt;None")=0,"None listed",COUNTIFS('Recipe Ingredients'!$B$5:$B$1204,A195,'Recipe Ingredients'!$V$5:$V$1204,"&lt;&gt;",'Recipe Ingredients'!$V$5:$V$1204,"&lt;&gt;None")&amp;" ingredient(s) flagged"))</f>
        <v>0</v>
      </c>
      <c r="AK195" s="18">
        <f>IF(OR(AD195="",NOT(ISNUMBER(AD195))),"",COUNTIFS($AD$5:$AD$204,"&lt;"&amp;AD195)+COUNTIFS($AD$5:AD195,AD195))</f>
        <v>0</v>
      </c>
      <c r="AL195" s="18">
        <f>IF(B195="",0,IF(AND(OR(FilterDiet="Any",T195=FilterDiet),OR(FilterCategory="Any",C195=FilterCategory),OR(FilterMethod="Any",L195=FilterMethod),OR(FilterTime=0,AND(J195&lt;&gt;"",J195&lt;=FilterTime)),OR(FilterCost=0,AND(AD195&lt;&gt;"",ISNUMBER(AD195),AD195&lt;=FilterCost)),OR(FilterAllergen="Any",COUNTIFS('Recipe Ingredients'!$B$5:$B$1204,A195,'Recipe Ingredients'!$V$5:$V$1204,FilterAllergen)=0)),1,0))</f>
        <v>0</v>
      </c>
      <c r="AM195" s="18">
        <f>IF(AL195=0,"",SUM($AL$5:AL195))</f>
        <v>0</v>
      </c>
      <c r="AN195" s="18">
        <f>IF(B195="","",COUNTIFS($AZ$5:$AZ$204,"&gt;"&amp;AZ195)+COUNTIFS($AZ$5:AZ195,AZ195))</f>
        <v>0</v>
      </c>
      <c r="AO195" s="18">
        <f>IF(B195="","",COUNTIFS($AE$5:$AE$204,"&gt;"&amp;AE195)+COUNTIFS($AE$5:AE195,AE195))</f>
        <v>0</v>
      </c>
      <c r="AP195" s="18">
        <f>IF(B195="","",COUNTIFS($AF$5:$AF$204,"&gt;"&amp;AF195)+COUNTIFS($AF$5:AF195,AF195))</f>
        <v>0</v>
      </c>
      <c r="AQ195" s="18">
        <f>IF(B195="","",COUNTIFS($AI$5:$AI$204,"&gt;"&amp;AI195)+COUNTIFS($AI$5:AI195,AI195))</f>
        <v>0</v>
      </c>
      <c r="AR195" s="18">
        <f>IF(B195="","",COUNTIFS($AS$5:$AS$204,"&gt;"&amp;AS195)+COUNTIFS($AS$5:AS195,AS195))</f>
        <v>0</v>
      </c>
      <c r="AS195" s="45">
        <f>IF(B195="","",IF(BB195="",99999,BC195))</f>
        <v>0</v>
      </c>
      <c r="AT195" s="45">
        <f>IF(A195="",0,SUMIFS('Meal Plan'!$L$5:$L$504,'Meal Plan'!$G$5:$G$504,A195,'Meal Plan'!$B$5:$B$504,"&gt;="&amp;ShopFrom,'Meal Plan'!$B$5:$B$504,"&lt;="&amp;ShopTo,'Meal Plan'!$M$5:$M$504,"Yes"))</f>
        <v>0</v>
      </c>
      <c r="AU195" s="25">
        <f>IF(OR(A195="",AC195=""),"",AC195*AT195)</f>
        <v>0</v>
      </c>
      <c r="AV195" s="18">
        <f>IF(A195="","",COUNTIFS('Recipe Ingredients'!$B$5:$B$1204,A195,'Recipe Ingredients'!$N$5:$N$1204,""))</f>
        <v>0</v>
      </c>
      <c r="AZ195" s="18">
        <f>IF(A195="","",COUNTIFS('Meal Plan'!$G$5:$G$504,A195))</f>
        <v>0</v>
      </c>
      <c r="BA195" s="18">
        <f>IF(A195="","",COUNTIFS('Meal Plan'!$G$5:$G$504,A195,'Meal Plan'!$N$5:$N$504,"Prepared")+COUNTIFS('Meal Plan'!$G$5:$G$504,A195,'Meal Plan'!$N$5:$N$504,"Eaten"))</f>
        <v>0</v>
      </c>
      <c r="BB195" s="19">
        <f>IF(A195="","",IF(COUNTIFS('Meal Plan'!$G$5:$G$504,A195,'Meal Plan'!$B$5:$B$504,"&lt;="&amp;TODAY())=0,"",SUMPRODUCT(MAX(('Meal Plan'!$G$5:$G$504=A195)*('Meal Plan'!$B$5:$B$504&lt;=TODAY())*'Meal Plan'!$B$5:$B$504))))</f>
        <v>0</v>
      </c>
      <c r="BC195" s="18">
        <f>IF(BB195="","",TODAY()-BB195)</f>
        <v>0</v>
      </c>
      <c r="BF195" s="31">
        <f>IF(B195="","",IF(G195="","Add - how many does it serve?",IF(AB195=0,"Add - no ingredients listed yet",IF(AV195&gt;0,"Check - "&amp;AV195&amp;" ingredient(s) have no price",IF(AND(BC195&lt;&gt;"",BC195&lt;RotationGapDays),"Cooked recently","OK")))))</f>
        <v>0</v>
      </c>
    </row>
    <row r="196" spans="1:58">
      <c r="A196" s="39">
        <f>IF(B196="","",RecipePrefix&amp;TEXT(ROW()-4,"0000"))</f>
        <v>0</v>
      </c>
      <c r="J196" s="18">
        <f>IF(B196="","",IF(AND(H196="",I196=""),"",IF(H196="",0,H196)+IF(I196="",0,I196)))</f>
        <v>0</v>
      </c>
      <c r="K196" s="46">
        <f>IF(J196="","",IF(J196&lt;=30,"Yes","No"))</f>
        <v>0</v>
      </c>
      <c r="AB196" s="18">
        <f>IF(A196="","",COUNTIFS('Recipe Ingredients'!$B$5:$B$1204,A196))</f>
        <v>0</v>
      </c>
      <c r="AC196" s="25">
        <f>IF(A196="","",SUMIFS('Recipe Ingredients'!$N$5:$N$1204,'Recipe Ingredients'!$B$5:$B$1204,A196))</f>
        <v>0</v>
      </c>
      <c r="AD196" s="25">
        <f>IF(OR(AC196="",G196=""),"",IF(G196=0,"",AC196/G196))</f>
        <v>0</v>
      </c>
      <c r="AE196" s="30">
        <f>IF(OR(A196="",G196=""),"",IF(G196=0,"",SUMIFS('Recipe Ingredients'!$Q$5:$Q$1204,'Recipe Ingredients'!$B$5:$B$1204,A196)/G196))</f>
        <v>0</v>
      </c>
      <c r="AF196" s="45">
        <f>IF(OR(A196="",G196=""),"",IF(G196=0,"",SUMIFS('Recipe Ingredients'!$R$5:$R$1204,'Recipe Ingredients'!$B$5:$B$1204,A196)/G196))</f>
        <v>0</v>
      </c>
      <c r="AG196" s="45">
        <f>IF(OR(A196="",G196=""),"",IF(G196=0,"",SUMIFS('Recipe Ingredients'!$S$5:$S$1204,'Recipe Ingredients'!$B$5:$B$1204,A196)/G196))</f>
        <v>0</v>
      </c>
      <c r="AH196" s="45">
        <f>IF(OR(A196="",G196=""),"",IF(G196=0,"",SUMIFS('Recipe Ingredients'!$T$5:$T$1204,'Recipe Ingredients'!$B$5:$B$1204,A196)/G196))</f>
        <v>0</v>
      </c>
      <c r="AI196" s="45">
        <f>IF(OR(A196="",G196=""),"",IF(G196=0,"",SUMIFS('Recipe Ingredients'!$U$5:$U$1204,'Recipe Ingredients'!$B$5:$B$1204,A196)/G196))</f>
        <v>0</v>
      </c>
      <c r="AJ196" s="17">
        <f>IF(A196="","",IF(COUNTIFS('Recipe Ingredients'!$B$5:$B$1204,A196,'Recipe Ingredients'!$V$5:$V$1204,"&lt;&gt;",'Recipe Ingredients'!$V$5:$V$1204,"&lt;&gt;None")=0,"None listed",COUNTIFS('Recipe Ingredients'!$B$5:$B$1204,A196,'Recipe Ingredients'!$V$5:$V$1204,"&lt;&gt;",'Recipe Ingredients'!$V$5:$V$1204,"&lt;&gt;None")&amp;" ingredient(s) flagged"))</f>
        <v>0</v>
      </c>
      <c r="AK196" s="18">
        <f>IF(OR(AD196="",NOT(ISNUMBER(AD196))),"",COUNTIFS($AD$5:$AD$204,"&lt;"&amp;AD196)+COUNTIFS($AD$5:AD196,AD196))</f>
        <v>0</v>
      </c>
      <c r="AL196" s="18">
        <f>IF(B196="",0,IF(AND(OR(FilterDiet="Any",T196=FilterDiet),OR(FilterCategory="Any",C196=FilterCategory),OR(FilterMethod="Any",L196=FilterMethod),OR(FilterTime=0,AND(J196&lt;&gt;"",J196&lt;=FilterTime)),OR(FilterCost=0,AND(AD196&lt;&gt;"",ISNUMBER(AD196),AD196&lt;=FilterCost)),OR(FilterAllergen="Any",COUNTIFS('Recipe Ingredients'!$B$5:$B$1204,A196,'Recipe Ingredients'!$V$5:$V$1204,FilterAllergen)=0)),1,0))</f>
        <v>0</v>
      </c>
      <c r="AM196" s="18">
        <f>IF(AL196=0,"",SUM($AL$5:AL196))</f>
        <v>0</v>
      </c>
      <c r="AN196" s="18">
        <f>IF(B196="","",COUNTIFS($AZ$5:$AZ$204,"&gt;"&amp;AZ196)+COUNTIFS($AZ$5:AZ196,AZ196))</f>
        <v>0</v>
      </c>
      <c r="AO196" s="18">
        <f>IF(B196="","",COUNTIFS($AE$5:$AE$204,"&gt;"&amp;AE196)+COUNTIFS($AE$5:AE196,AE196))</f>
        <v>0</v>
      </c>
      <c r="AP196" s="18">
        <f>IF(B196="","",COUNTIFS($AF$5:$AF$204,"&gt;"&amp;AF196)+COUNTIFS($AF$5:AF196,AF196))</f>
        <v>0</v>
      </c>
      <c r="AQ196" s="18">
        <f>IF(B196="","",COUNTIFS($AI$5:$AI$204,"&gt;"&amp;AI196)+COUNTIFS($AI$5:AI196,AI196))</f>
        <v>0</v>
      </c>
      <c r="AR196" s="18">
        <f>IF(B196="","",COUNTIFS($AS$5:$AS$204,"&gt;"&amp;AS196)+COUNTIFS($AS$5:AS196,AS196))</f>
        <v>0</v>
      </c>
      <c r="AS196" s="45">
        <f>IF(B196="","",IF(BB196="",99999,BC196))</f>
        <v>0</v>
      </c>
      <c r="AT196" s="45">
        <f>IF(A196="",0,SUMIFS('Meal Plan'!$L$5:$L$504,'Meal Plan'!$G$5:$G$504,A196,'Meal Plan'!$B$5:$B$504,"&gt;="&amp;ShopFrom,'Meal Plan'!$B$5:$B$504,"&lt;="&amp;ShopTo,'Meal Plan'!$M$5:$M$504,"Yes"))</f>
        <v>0</v>
      </c>
      <c r="AU196" s="25">
        <f>IF(OR(A196="",AC196=""),"",AC196*AT196)</f>
        <v>0</v>
      </c>
      <c r="AV196" s="18">
        <f>IF(A196="","",COUNTIFS('Recipe Ingredients'!$B$5:$B$1204,A196,'Recipe Ingredients'!$N$5:$N$1204,""))</f>
        <v>0</v>
      </c>
      <c r="AZ196" s="18">
        <f>IF(A196="","",COUNTIFS('Meal Plan'!$G$5:$G$504,A196))</f>
        <v>0</v>
      </c>
      <c r="BA196" s="18">
        <f>IF(A196="","",COUNTIFS('Meal Plan'!$G$5:$G$504,A196,'Meal Plan'!$N$5:$N$504,"Prepared")+COUNTIFS('Meal Plan'!$G$5:$G$504,A196,'Meal Plan'!$N$5:$N$504,"Eaten"))</f>
        <v>0</v>
      </c>
      <c r="BB196" s="19">
        <f>IF(A196="","",IF(COUNTIFS('Meal Plan'!$G$5:$G$504,A196,'Meal Plan'!$B$5:$B$504,"&lt;="&amp;TODAY())=0,"",SUMPRODUCT(MAX(('Meal Plan'!$G$5:$G$504=A196)*('Meal Plan'!$B$5:$B$504&lt;=TODAY())*'Meal Plan'!$B$5:$B$504))))</f>
        <v>0</v>
      </c>
      <c r="BC196" s="18">
        <f>IF(BB196="","",TODAY()-BB196)</f>
        <v>0</v>
      </c>
      <c r="BF196" s="31">
        <f>IF(B196="","",IF(G196="","Add - how many does it serve?",IF(AB196=0,"Add - no ingredients listed yet",IF(AV196&gt;0,"Check - "&amp;AV196&amp;" ingredient(s) have no price",IF(AND(BC196&lt;&gt;"",BC196&lt;RotationGapDays),"Cooked recently","OK")))))</f>
        <v>0</v>
      </c>
    </row>
    <row r="197" spans="1:58">
      <c r="A197" s="39">
        <f>IF(B197="","",RecipePrefix&amp;TEXT(ROW()-4,"0000"))</f>
        <v>0</v>
      </c>
      <c r="J197" s="18">
        <f>IF(B197="","",IF(AND(H197="",I197=""),"",IF(H197="",0,H197)+IF(I197="",0,I197)))</f>
        <v>0</v>
      </c>
      <c r="K197" s="46">
        <f>IF(J197="","",IF(J197&lt;=30,"Yes","No"))</f>
        <v>0</v>
      </c>
      <c r="AB197" s="18">
        <f>IF(A197="","",COUNTIFS('Recipe Ingredients'!$B$5:$B$1204,A197))</f>
        <v>0</v>
      </c>
      <c r="AC197" s="25">
        <f>IF(A197="","",SUMIFS('Recipe Ingredients'!$N$5:$N$1204,'Recipe Ingredients'!$B$5:$B$1204,A197))</f>
        <v>0</v>
      </c>
      <c r="AD197" s="25">
        <f>IF(OR(AC197="",G197=""),"",IF(G197=0,"",AC197/G197))</f>
        <v>0</v>
      </c>
      <c r="AE197" s="30">
        <f>IF(OR(A197="",G197=""),"",IF(G197=0,"",SUMIFS('Recipe Ingredients'!$Q$5:$Q$1204,'Recipe Ingredients'!$B$5:$B$1204,A197)/G197))</f>
        <v>0</v>
      </c>
      <c r="AF197" s="45">
        <f>IF(OR(A197="",G197=""),"",IF(G197=0,"",SUMIFS('Recipe Ingredients'!$R$5:$R$1204,'Recipe Ingredients'!$B$5:$B$1204,A197)/G197))</f>
        <v>0</v>
      </c>
      <c r="AG197" s="45">
        <f>IF(OR(A197="",G197=""),"",IF(G197=0,"",SUMIFS('Recipe Ingredients'!$S$5:$S$1204,'Recipe Ingredients'!$B$5:$B$1204,A197)/G197))</f>
        <v>0</v>
      </c>
      <c r="AH197" s="45">
        <f>IF(OR(A197="",G197=""),"",IF(G197=0,"",SUMIFS('Recipe Ingredients'!$T$5:$T$1204,'Recipe Ingredients'!$B$5:$B$1204,A197)/G197))</f>
        <v>0</v>
      </c>
      <c r="AI197" s="45">
        <f>IF(OR(A197="",G197=""),"",IF(G197=0,"",SUMIFS('Recipe Ingredients'!$U$5:$U$1204,'Recipe Ingredients'!$B$5:$B$1204,A197)/G197))</f>
        <v>0</v>
      </c>
      <c r="AJ197" s="17">
        <f>IF(A197="","",IF(COUNTIFS('Recipe Ingredients'!$B$5:$B$1204,A197,'Recipe Ingredients'!$V$5:$V$1204,"&lt;&gt;",'Recipe Ingredients'!$V$5:$V$1204,"&lt;&gt;None")=0,"None listed",COUNTIFS('Recipe Ingredients'!$B$5:$B$1204,A197,'Recipe Ingredients'!$V$5:$V$1204,"&lt;&gt;",'Recipe Ingredients'!$V$5:$V$1204,"&lt;&gt;None")&amp;" ingredient(s) flagged"))</f>
        <v>0</v>
      </c>
      <c r="AK197" s="18">
        <f>IF(OR(AD197="",NOT(ISNUMBER(AD197))),"",COUNTIFS($AD$5:$AD$204,"&lt;"&amp;AD197)+COUNTIFS($AD$5:AD197,AD197))</f>
        <v>0</v>
      </c>
      <c r="AL197" s="18">
        <f>IF(B197="",0,IF(AND(OR(FilterDiet="Any",T197=FilterDiet),OR(FilterCategory="Any",C197=FilterCategory),OR(FilterMethod="Any",L197=FilterMethod),OR(FilterTime=0,AND(J197&lt;&gt;"",J197&lt;=FilterTime)),OR(FilterCost=0,AND(AD197&lt;&gt;"",ISNUMBER(AD197),AD197&lt;=FilterCost)),OR(FilterAllergen="Any",COUNTIFS('Recipe Ingredients'!$B$5:$B$1204,A197,'Recipe Ingredients'!$V$5:$V$1204,FilterAllergen)=0)),1,0))</f>
        <v>0</v>
      </c>
      <c r="AM197" s="18">
        <f>IF(AL197=0,"",SUM($AL$5:AL197))</f>
        <v>0</v>
      </c>
      <c r="AN197" s="18">
        <f>IF(B197="","",COUNTIFS($AZ$5:$AZ$204,"&gt;"&amp;AZ197)+COUNTIFS($AZ$5:AZ197,AZ197))</f>
        <v>0</v>
      </c>
      <c r="AO197" s="18">
        <f>IF(B197="","",COUNTIFS($AE$5:$AE$204,"&gt;"&amp;AE197)+COUNTIFS($AE$5:AE197,AE197))</f>
        <v>0</v>
      </c>
      <c r="AP197" s="18">
        <f>IF(B197="","",COUNTIFS($AF$5:$AF$204,"&gt;"&amp;AF197)+COUNTIFS($AF$5:AF197,AF197))</f>
        <v>0</v>
      </c>
      <c r="AQ197" s="18">
        <f>IF(B197="","",COUNTIFS($AI$5:$AI$204,"&gt;"&amp;AI197)+COUNTIFS($AI$5:AI197,AI197))</f>
        <v>0</v>
      </c>
      <c r="AR197" s="18">
        <f>IF(B197="","",COUNTIFS($AS$5:$AS$204,"&gt;"&amp;AS197)+COUNTIFS($AS$5:AS197,AS197))</f>
        <v>0</v>
      </c>
      <c r="AS197" s="45">
        <f>IF(B197="","",IF(BB197="",99999,BC197))</f>
        <v>0</v>
      </c>
      <c r="AT197" s="45">
        <f>IF(A197="",0,SUMIFS('Meal Plan'!$L$5:$L$504,'Meal Plan'!$G$5:$G$504,A197,'Meal Plan'!$B$5:$B$504,"&gt;="&amp;ShopFrom,'Meal Plan'!$B$5:$B$504,"&lt;="&amp;ShopTo,'Meal Plan'!$M$5:$M$504,"Yes"))</f>
        <v>0</v>
      </c>
      <c r="AU197" s="25">
        <f>IF(OR(A197="",AC197=""),"",AC197*AT197)</f>
        <v>0</v>
      </c>
      <c r="AV197" s="18">
        <f>IF(A197="","",COUNTIFS('Recipe Ingredients'!$B$5:$B$1204,A197,'Recipe Ingredients'!$N$5:$N$1204,""))</f>
        <v>0</v>
      </c>
      <c r="AZ197" s="18">
        <f>IF(A197="","",COUNTIFS('Meal Plan'!$G$5:$G$504,A197))</f>
        <v>0</v>
      </c>
      <c r="BA197" s="18">
        <f>IF(A197="","",COUNTIFS('Meal Plan'!$G$5:$G$504,A197,'Meal Plan'!$N$5:$N$504,"Prepared")+COUNTIFS('Meal Plan'!$G$5:$G$504,A197,'Meal Plan'!$N$5:$N$504,"Eaten"))</f>
        <v>0</v>
      </c>
      <c r="BB197" s="19">
        <f>IF(A197="","",IF(COUNTIFS('Meal Plan'!$G$5:$G$504,A197,'Meal Plan'!$B$5:$B$504,"&lt;="&amp;TODAY())=0,"",SUMPRODUCT(MAX(('Meal Plan'!$G$5:$G$504=A197)*('Meal Plan'!$B$5:$B$504&lt;=TODAY())*'Meal Plan'!$B$5:$B$504))))</f>
        <v>0</v>
      </c>
      <c r="BC197" s="18">
        <f>IF(BB197="","",TODAY()-BB197)</f>
        <v>0</v>
      </c>
      <c r="BF197" s="31">
        <f>IF(B197="","",IF(G197="","Add - how many does it serve?",IF(AB197=0,"Add - no ingredients listed yet",IF(AV197&gt;0,"Check - "&amp;AV197&amp;" ingredient(s) have no price",IF(AND(BC197&lt;&gt;"",BC197&lt;RotationGapDays),"Cooked recently","OK")))))</f>
        <v>0</v>
      </c>
    </row>
    <row r="198" spans="1:58">
      <c r="A198" s="39">
        <f>IF(B198="","",RecipePrefix&amp;TEXT(ROW()-4,"0000"))</f>
        <v>0</v>
      </c>
      <c r="J198" s="18">
        <f>IF(B198="","",IF(AND(H198="",I198=""),"",IF(H198="",0,H198)+IF(I198="",0,I198)))</f>
        <v>0</v>
      </c>
      <c r="K198" s="46">
        <f>IF(J198="","",IF(J198&lt;=30,"Yes","No"))</f>
        <v>0</v>
      </c>
      <c r="AB198" s="18">
        <f>IF(A198="","",COUNTIFS('Recipe Ingredients'!$B$5:$B$1204,A198))</f>
        <v>0</v>
      </c>
      <c r="AC198" s="25">
        <f>IF(A198="","",SUMIFS('Recipe Ingredients'!$N$5:$N$1204,'Recipe Ingredients'!$B$5:$B$1204,A198))</f>
        <v>0</v>
      </c>
      <c r="AD198" s="25">
        <f>IF(OR(AC198="",G198=""),"",IF(G198=0,"",AC198/G198))</f>
        <v>0</v>
      </c>
      <c r="AE198" s="30">
        <f>IF(OR(A198="",G198=""),"",IF(G198=0,"",SUMIFS('Recipe Ingredients'!$Q$5:$Q$1204,'Recipe Ingredients'!$B$5:$B$1204,A198)/G198))</f>
        <v>0</v>
      </c>
      <c r="AF198" s="45">
        <f>IF(OR(A198="",G198=""),"",IF(G198=0,"",SUMIFS('Recipe Ingredients'!$R$5:$R$1204,'Recipe Ingredients'!$B$5:$B$1204,A198)/G198))</f>
        <v>0</v>
      </c>
      <c r="AG198" s="45">
        <f>IF(OR(A198="",G198=""),"",IF(G198=0,"",SUMIFS('Recipe Ingredients'!$S$5:$S$1204,'Recipe Ingredients'!$B$5:$B$1204,A198)/G198))</f>
        <v>0</v>
      </c>
      <c r="AH198" s="45">
        <f>IF(OR(A198="",G198=""),"",IF(G198=0,"",SUMIFS('Recipe Ingredients'!$T$5:$T$1204,'Recipe Ingredients'!$B$5:$B$1204,A198)/G198))</f>
        <v>0</v>
      </c>
      <c r="AI198" s="45">
        <f>IF(OR(A198="",G198=""),"",IF(G198=0,"",SUMIFS('Recipe Ingredients'!$U$5:$U$1204,'Recipe Ingredients'!$B$5:$B$1204,A198)/G198))</f>
        <v>0</v>
      </c>
      <c r="AJ198" s="17">
        <f>IF(A198="","",IF(COUNTIFS('Recipe Ingredients'!$B$5:$B$1204,A198,'Recipe Ingredients'!$V$5:$V$1204,"&lt;&gt;",'Recipe Ingredients'!$V$5:$V$1204,"&lt;&gt;None")=0,"None listed",COUNTIFS('Recipe Ingredients'!$B$5:$B$1204,A198,'Recipe Ingredients'!$V$5:$V$1204,"&lt;&gt;",'Recipe Ingredients'!$V$5:$V$1204,"&lt;&gt;None")&amp;" ingredient(s) flagged"))</f>
        <v>0</v>
      </c>
      <c r="AK198" s="18">
        <f>IF(OR(AD198="",NOT(ISNUMBER(AD198))),"",COUNTIFS($AD$5:$AD$204,"&lt;"&amp;AD198)+COUNTIFS($AD$5:AD198,AD198))</f>
        <v>0</v>
      </c>
      <c r="AL198" s="18">
        <f>IF(B198="",0,IF(AND(OR(FilterDiet="Any",T198=FilterDiet),OR(FilterCategory="Any",C198=FilterCategory),OR(FilterMethod="Any",L198=FilterMethod),OR(FilterTime=0,AND(J198&lt;&gt;"",J198&lt;=FilterTime)),OR(FilterCost=0,AND(AD198&lt;&gt;"",ISNUMBER(AD198),AD198&lt;=FilterCost)),OR(FilterAllergen="Any",COUNTIFS('Recipe Ingredients'!$B$5:$B$1204,A198,'Recipe Ingredients'!$V$5:$V$1204,FilterAllergen)=0)),1,0))</f>
        <v>0</v>
      </c>
      <c r="AM198" s="18">
        <f>IF(AL198=0,"",SUM($AL$5:AL198))</f>
        <v>0</v>
      </c>
      <c r="AN198" s="18">
        <f>IF(B198="","",COUNTIFS($AZ$5:$AZ$204,"&gt;"&amp;AZ198)+COUNTIFS($AZ$5:AZ198,AZ198))</f>
        <v>0</v>
      </c>
      <c r="AO198" s="18">
        <f>IF(B198="","",COUNTIFS($AE$5:$AE$204,"&gt;"&amp;AE198)+COUNTIFS($AE$5:AE198,AE198))</f>
        <v>0</v>
      </c>
      <c r="AP198" s="18">
        <f>IF(B198="","",COUNTIFS($AF$5:$AF$204,"&gt;"&amp;AF198)+COUNTIFS($AF$5:AF198,AF198))</f>
        <v>0</v>
      </c>
      <c r="AQ198" s="18">
        <f>IF(B198="","",COUNTIFS($AI$5:$AI$204,"&gt;"&amp;AI198)+COUNTIFS($AI$5:AI198,AI198))</f>
        <v>0</v>
      </c>
      <c r="AR198" s="18">
        <f>IF(B198="","",COUNTIFS($AS$5:$AS$204,"&gt;"&amp;AS198)+COUNTIFS($AS$5:AS198,AS198))</f>
        <v>0</v>
      </c>
      <c r="AS198" s="45">
        <f>IF(B198="","",IF(BB198="",99999,BC198))</f>
        <v>0</v>
      </c>
      <c r="AT198" s="45">
        <f>IF(A198="",0,SUMIFS('Meal Plan'!$L$5:$L$504,'Meal Plan'!$G$5:$G$504,A198,'Meal Plan'!$B$5:$B$504,"&gt;="&amp;ShopFrom,'Meal Plan'!$B$5:$B$504,"&lt;="&amp;ShopTo,'Meal Plan'!$M$5:$M$504,"Yes"))</f>
        <v>0</v>
      </c>
      <c r="AU198" s="25">
        <f>IF(OR(A198="",AC198=""),"",AC198*AT198)</f>
        <v>0</v>
      </c>
      <c r="AV198" s="18">
        <f>IF(A198="","",COUNTIFS('Recipe Ingredients'!$B$5:$B$1204,A198,'Recipe Ingredients'!$N$5:$N$1204,""))</f>
        <v>0</v>
      </c>
      <c r="AZ198" s="18">
        <f>IF(A198="","",COUNTIFS('Meal Plan'!$G$5:$G$504,A198))</f>
        <v>0</v>
      </c>
      <c r="BA198" s="18">
        <f>IF(A198="","",COUNTIFS('Meal Plan'!$G$5:$G$504,A198,'Meal Plan'!$N$5:$N$504,"Prepared")+COUNTIFS('Meal Plan'!$G$5:$G$504,A198,'Meal Plan'!$N$5:$N$504,"Eaten"))</f>
        <v>0</v>
      </c>
      <c r="BB198" s="19">
        <f>IF(A198="","",IF(COUNTIFS('Meal Plan'!$G$5:$G$504,A198,'Meal Plan'!$B$5:$B$504,"&lt;="&amp;TODAY())=0,"",SUMPRODUCT(MAX(('Meal Plan'!$G$5:$G$504=A198)*('Meal Plan'!$B$5:$B$504&lt;=TODAY())*'Meal Plan'!$B$5:$B$504))))</f>
        <v>0</v>
      </c>
      <c r="BC198" s="18">
        <f>IF(BB198="","",TODAY()-BB198)</f>
        <v>0</v>
      </c>
      <c r="BF198" s="31">
        <f>IF(B198="","",IF(G198="","Add - how many does it serve?",IF(AB198=0,"Add - no ingredients listed yet",IF(AV198&gt;0,"Check - "&amp;AV198&amp;" ingredient(s) have no price",IF(AND(BC198&lt;&gt;"",BC198&lt;RotationGapDays),"Cooked recently","OK")))))</f>
        <v>0</v>
      </c>
    </row>
    <row r="199" spans="1:58">
      <c r="A199" s="39">
        <f>IF(B199="","",RecipePrefix&amp;TEXT(ROW()-4,"0000"))</f>
        <v>0</v>
      </c>
      <c r="J199" s="18">
        <f>IF(B199="","",IF(AND(H199="",I199=""),"",IF(H199="",0,H199)+IF(I199="",0,I199)))</f>
        <v>0</v>
      </c>
      <c r="K199" s="46">
        <f>IF(J199="","",IF(J199&lt;=30,"Yes","No"))</f>
        <v>0</v>
      </c>
      <c r="AB199" s="18">
        <f>IF(A199="","",COUNTIFS('Recipe Ingredients'!$B$5:$B$1204,A199))</f>
        <v>0</v>
      </c>
      <c r="AC199" s="25">
        <f>IF(A199="","",SUMIFS('Recipe Ingredients'!$N$5:$N$1204,'Recipe Ingredients'!$B$5:$B$1204,A199))</f>
        <v>0</v>
      </c>
      <c r="AD199" s="25">
        <f>IF(OR(AC199="",G199=""),"",IF(G199=0,"",AC199/G199))</f>
        <v>0</v>
      </c>
      <c r="AE199" s="30">
        <f>IF(OR(A199="",G199=""),"",IF(G199=0,"",SUMIFS('Recipe Ingredients'!$Q$5:$Q$1204,'Recipe Ingredients'!$B$5:$B$1204,A199)/G199))</f>
        <v>0</v>
      </c>
      <c r="AF199" s="45">
        <f>IF(OR(A199="",G199=""),"",IF(G199=0,"",SUMIFS('Recipe Ingredients'!$R$5:$R$1204,'Recipe Ingredients'!$B$5:$B$1204,A199)/G199))</f>
        <v>0</v>
      </c>
      <c r="AG199" s="45">
        <f>IF(OR(A199="",G199=""),"",IF(G199=0,"",SUMIFS('Recipe Ingredients'!$S$5:$S$1204,'Recipe Ingredients'!$B$5:$B$1204,A199)/G199))</f>
        <v>0</v>
      </c>
      <c r="AH199" s="45">
        <f>IF(OR(A199="",G199=""),"",IF(G199=0,"",SUMIFS('Recipe Ingredients'!$T$5:$T$1204,'Recipe Ingredients'!$B$5:$B$1204,A199)/G199))</f>
        <v>0</v>
      </c>
      <c r="AI199" s="45">
        <f>IF(OR(A199="",G199=""),"",IF(G199=0,"",SUMIFS('Recipe Ingredients'!$U$5:$U$1204,'Recipe Ingredients'!$B$5:$B$1204,A199)/G199))</f>
        <v>0</v>
      </c>
      <c r="AJ199" s="17">
        <f>IF(A199="","",IF(COUNTIFS('Recipe Ingredients'!$B$5:$B$1204,A199,'Recipe Ingredients'!$V$5:$V$1204,"&lt;&gt;",'Recipe Ingredients'!$V$5:$V$1204,"&lt;&gt;None")=0,"None listed",COUNTIFS('Recipe Ingredients'!$B$5:$B$1204,A199,'Recipe Ingredients'!$V$5:$V$1204,"&lt;&gt;",'Recipe Ingredients'!$V$5:$V$1204,"&lt;&gt;None")&amp;" ingredient(s) flagged"))</f>
        <v>0</v>
      </c>
      <c r="AK199" s="18">
        <f>IF(OR(AD199="",NOT(ISNUMBER(AD199))),"",COUNTIFS($AD$5:$AD$204,"&lt;"&amp;AD199)+COUNTIFS($AD$5:AD199,AD199))</f>
        <v>0</v>
      </c>
      <c r="AL199" s="18">
        <f>IF(B199="",0,IF(AND(OR(FilterDiet="Any",T199=FilterDiet),OR(FilterCategory="Any",C199=FilterCategory),OR(FilterMethod="Any",L199=FilterMethod),OR(FilterTime=0,AND(J199&lt;&gt;"",J199&lt;=FilterTime)),OR(FilterCost=0,AND(AD199&lt;&gt;"",ISNUMBER(AD199),AD199&lt;=FilterCost)),OR(FilterAllergen="Any",COUNTIFS('Recipe Ingredients'!$B$5:$B$1204,A199,'Recipe Ingredients'!$V$5:$V$1204,FilterAllergen)=0)),1,0))</f>
        <v>0</v>
      </c>
      <c r="AM199" s="18">
        <f>IF(AL199=0,"",SUM($AL$5:AL199))</f>
        <v>0</v>
      </c>
      <c r="AN199" s="18">
        <f>IF(B199="","",COUNTIFS($AZ$5:$AZ$204,"&gt;"&amp;AZ199)+COUNTIFS($AZ$5:AZ199,AZ199))</f>
        <v>0</v>
      </c>
      <c r="AO199" s="18">
        <f>IF(B199="","",COUNTIFS($AE$5:$AE$204,"&gt;"&amp;AE199)+COUNTIFS($AE$5:AE199,AE199))</f>
        <v>0</v>
      </c>
      <c r="AP199" s="18">
        <f>IF(B199="","",COUNTIFS($AF$5:$AF$204,"&gt;"&amp;AF199)+COUNTIFS($AF$5:AF199,AF199))</f>
        <v>0</v>
      </c>
      <c r="AQ199" s="18">
        <f>IF(B199="","",COUNTIFS($AI$5:$AI$204,"&gt;"&amp;AI199)+COUNTIFS($AI$5:AI199,AI199))</f>
        <v>0</v>
      </c>
      <c r="AR199" s="18">
        <f>IF(B199="","",COUNTIFS($AS$5:$AS$204,"&gt;"&amp;AS199)+COUNTIFS($AS$5:AS199,AS199))</f>
        <v>0</v>
      </c>
      <c r="AS199" s="45">
        <f>IF(B199="","",IF(BB199="",99999,BC199))</f>
        <v>0</v>
      </c>
      <c r="AT199" s="45">
        <f>IF(A199="",0,SUMIFS('Meal Plan'!$L$5:$L$504,'Meal Plan'!$G$5:$G$504,A199,'Meal Plan'!$B$5:$B$504,"&gt;="&amp;ShopFrom,'Meal Plan'!$B$5:$B$504,"&lt;="&amp;ShopTo,'Meal Plan'!$M$5:$M$504,"Yes"))</f>
        <v>0</v>
      </c>
      <c r="AU199" s="25">
        <f>IF(OR(A199="",AC199=""),"",AC199*AT199)</f>
        <v>0</v>
      </c>
      <c r="AV199" s="18">
        <f>IF(A199="","",COUNTIFS('Recipe Ingredients'!$B$5:$B$1204,A199,'Recipe Ingredients'!$N$5:$N$1204,""))</f>
        <v>0</v>
      </c>
      <c r="AZ199" s="18">
        <f>IF(A199="","",COUNTIFS('Meal Plan'!$G$5:$G$504,A199))</f>
        <v>0</v>
      </c>
      <c r="BA199" s="18">
        <f>IF(A199="","",COUNTIFS('Meal Plan'!$G$5:$G$504,A199,'Meal Plan'!$N$5:$N$504,"Prepared")+COUNTIFS('Meal Plan'!$G$5:$G$504,A199,'Meal Plan'!$N$5:$N$504,"Eaten"))</f>
        <v>0</v>
      </c>
      <c r="BB199" s="19">
        <f>IF(A199="","",IF(COUNTIFS('Meal Plan'!$G$5:$G$504,A199,'Meal Plan'!$B$5:$B$504,"&lt;="&amp;TODAY())=0,"",SUMPRODUCT(MAX(('Meal Plan'!$G$5:$G$504=A199)*('Meal Plan'!$B$5:$B$504&lt;=TODAY())*'Meal Plan'!$B$5:$B$504))))</f>
        <v>0</v>
      </c>
      <c r="BC199" s="18">
        <f>IF(BB199="","",TODAY()-BB199)</f>
        <v>0</v>
      </c>
      <c r="BF199" s="31">
        <f>IF(B199="","",IF(G199="","Add - how many does it serve?",IF(AB199=0,"Add - no ingredients listed yet",IF(AV199&gt;0,"Check - "&amp;AV199&amp;" ingredient(s) have no price",IF(AND(BC199&lt;&gt;"",BC199&lt;RotationGapDays),"Cooked recently","OK")))))</f>
        <v>0</v>
      </c>
    </row>
    <row r="200" spans="1:58">
      <c r="A200" s="39">
        <f>IF(B200="","",RecipePrefix&amp;TEXT(ROW()-4,"0000"))</f>
        <v>0</v>
      </c>
      <c r="J200" s="18">
        <f>IF(B200="","",IF(AND(H200="",I200=""),"",IF(H200="",0,H200)+IF(I200="",0,I200)))</f>
        <v>0</v>
      </c>
      <c r="K200" s="46">
        <f>IF(J200="","",IF(J200&lt;=30,"Yes","No"))</f>
        <v>0</v>
      </c>
      <c r="AB200" s="18">
        <f>IF(A200="","",COUNTIFS('Recipe Ingredients'!$B$5:$B$1204,A200))</f>
        <v>0</v>
      </c>
      <c r="AC200" s="25">
        <f>IF(A200="","",SUMIFS('Recipe Ingredients'!$N$5:$N$1204,'Recipe Ingredients'!$B$5:$B$1204,A200))</f>
        <v>0</v>
      </c>
      <c r="AD200" s="25">
        <f>IF(OR(AC200="",G200=""),"",IF(G200=0,"",AC200/G200))</f>
        <v>0</v>
      </c>
      <c r="AE200" s="30">
        <f>IF(OR(A200="",G200=""),"",IF(G200=0,"",SUMIFS('Recipe Ingredients'!$Q$5:$Q$1204,'Recipe Ingredients'!$B$5:$B$1204,A200)/G200))</f>
        <v>0</v>
      </c>
      <c r="AF200" s="45">
        <f>IF(OR(A200="",G200=""),"",IF(G200=0,"",SUMIFS('Recipe Ingredients'!$R$5:$R$1204,'Recipe Ingredients'!$B$5:$B$1204,A200)/G200))</f>
        <v>0</v>
      </c>
      <c r="AG200" s="45">
        <f>IF(OR(A200="",G200=""),"",IF(G200=0,"",SUMIFS('Recipe Ingredients'!$S$5:$S$1204,'Recipe Ingredients'!$B$5:$B$1204,A200)/G200))</f>
        <v>0</v>
      </c>
      <c r="AH200" s="45">
        <f>IF(OR(A200="",G200=""),"",IF(G200=0,"",SUMIFS('Recipe Ingredients'!$T$5:$T$1204,'Recipe Ingredients'!$B$5:$B$1204,A200)/G200))</f>
        <v>0</v>
      </c>
      <c r="AI200" s="45">
        <f>IF(OR(A200="",G200=""),"",IF(G200=0,"",SUMIFS('Recipe Ingredients'!$U$5:$U$1204,'Recipe Ingredients'!$B$5:$B$1204,A200)/G200))</f>
        <v>0</v>
      </c>
      <c r="AJ200" s="17">
        <f>IF(A200="","",IF(COUNTIFS('Recipe Ingredients'!$B$5:$B$1204,A200,'Recipe Ingredients'!$V$5:$V$1204,"&lt;&gt;",'Recipe Ingredients'!$V$5:$V$1204,"&lt;&gt;None")=0,"None listed",COUNTIFS('Recipe Ingredients'!$B$5:$B$1204,A200,'Recipe Ingredients'!$V$5:$V$1204,"&lt;&gt;",'Recipe Ingredients'!$V$5:$V$1204,"&lt;&gt;None")&amp;" ingredient(s) flagged"))</f>
        <v>0</v>
      </c>
      <c r="AK200" s="18">
        <f>IF(OR(AD200="",NOT(ISNUMBER(AD200))),"",COUNTIFS($AD$5:$AD$204,"&lt;"&amp;AD200)+COUNTIFS($AD$5:AD200,AD200))</f>
        <v>0</v>
      </c>
      <c r="AL200" s="18">
        <f>IF(B200="",0,IF(AND(OR(FilterDiet="Any",T200=FilterDiet),OR(FilterCategory="Any",C200=FilterCategory),OR(FilterMethod="Any",L200=FilterMethod),OR(FilterTime=0,AND(J200&lt;&gt;"",J200&lt;=FilterTime)),OR(FilterCost=0,AND(AD200&lt;&gt;"",ISNUMBER(AD200),AD200&lt;=FilterCost)),OR(FilterAllergen="Any",COUNTIFS('Recipe Ingredients'!$B$5:$B$1204,A200,'Recipe Ingredients'!$V$5:$V$1204,FilterAllergen)=0)),1,0))</f>
        <v>0</v>
      </c>
      <c r="AM200" s="18">
        <f>IF(AL200=0,"",SUM($AL$5:AL200))</f>
        <v>0</v>
      </c>
      <c r="AN200" s="18">
        <f>IF(B200="","",COUNTIFS($AZ$5:$AZ$204,"&gt;"&amp;AZ200)+COUNTIFS($AZ$5:AZ200,AZ200))</f>
        <v>0</v>
      </c>
      <c r="AO200" s="18">
        <f>IF(B200="","",COUNTIFS($AE$5:$AE$204,"&gt;"&amp;AE200)+COUNTIFS($AE$5:AE200,AE200))</f>
        <v>0</v>
      </c>
      <c r="AP200" s="18">
        <f>IF(B200="","",COUNTIFS($AF$5:$AF$204,"&gt;"&amp;AF200)+COUNTIFS($AF$5:AF200,AF200))</f>
        <v>0</v>
      </c>
      <c r="AQ200" s="18">
        <f>IF(B200="","",COUNTIFS($AI$5:$AI$204,"&gt;"&amp;AI200)+COUNTIFS($AI$5:AI200,AI200))</f>
        <v>0</v>
      </c>
      <c r="AR200" s="18">
        <f>IF(B200="","",COUNTIFS($AS$5:$AS$204,"&gt;"&amp;AS200)+COUNTIFS($AS$5:AS200,AS200))</f>
        <v>0</v>
      </c>
      <c r="AS200" s="45">
        <f>IF(B200="","",IF(BB200="",99999,BC200))</f>
        <v>0</v>
      </c>
      <c r="AT200" s="45">
        <f>IF(A200="",0,SUMIFS('Meal Plan'!$L$5:$L$504,'Meal Plan'!$G$5:$G$504,A200,'Meal Plan'!$B$5:$B$504,"&gt;="&amp;ShopFrom,'Meal Plan'!$B$5:$B$504,"&lt;="&amp;ShopTo,'Meal Plan'!$M$5:$M$504,"Yes"))</f>
        <v>0</v>
      </c>
      <c r="AU200" s="25">
        <f>IF(OR(A200="",AC200=""),"",AC200*AT200)</f>
        <v>0</v>
      </c>
      <c r="AV200" s="18">
        <f>IF(A200="","",COUNTIFS('Recipe Ingredients'!$B$5:$B$1204,A200,'Recipe Ingredients'!$N$5:$N$1204,""))</f>
        <v>0</v>
      </c>
      <c r="AZ200" s="18">
        <f>IF(A200="","",COUNTIFS('Meal Plan'!$G$5:$G$504,A200))</f>
        <v>0</v>
      </c>
      <c r="BA200" s="18">
        <f>IF(A200="","",COUNTIFS('Meal Plan'!$G$5:$G$504,A200,'Meal Plan'!$N$5:$N$504,"Prepared")+COUNTIFS('Meal Plan'!$G$5:$G$504,A200,'Meal Plan'!$N$5:$N$504,"Eaten"))</f>
        <v>0</v>
      </c>
      <c r="BB200" s="19">
        <f>IF(A200="","",IF(COUNTIFS('Meal Plan'!$G$5:$G$504,A200,'Meal Plan'!$B$5:$B$504,"&lt;="&amp;TODAY())=0,"",SUMPRODUCT(MAX(('Meal Plan'!$G$5:$G$504=A200)*('Meal Plan'!$B$5:$B$504&lt;=TODAY())*'Meal Plan'!$B$5:$B$504))))</f>
        <v>0</v>
      </c>
      <c r="BC200" s="18">
        <f>IF(BB200="","",TODAY()-BB200)</f>
        <v>0</v>
      </c>
      <c r="BF200" s="31">
        <f>IF(B200="","",IF(G200="","Add - how many does it serve?",IF(AB200=0,"Add - no ingredients listed yet",IF(AV200&gt;0,"Check - "&amp;AV200&amp;" ingredient(s) have no price",IF(AND(BC200&lt;&gt;"",BC200&lt;RotationGapDays),"Cooked recently","OK")))))</f>
        <v>0</v>
      </c>
    </row>
    <row r="201" spans="1:58">
      <c r="A201" s="39">
        <f>IF(B201="","",RecipePrefix&amp;TEXT(ROW()-4,"0000"))</f>
        <v>0</v>
      </c>
      <c r="J201" s="18">
        <f>IF(B201="","",IF(AND(H201="",I201=""),"",IF(H201="",0,H201)+IF(I201="",0,I201)))</f>
        <v>0</v>
      </c>
      <c r="K201" s="46">
        <f>IF(J201="","",IF(J201&lt;=30,"Yes","No"))</f>
        <v>0</v>
      </c>
      <c r="AB201" s="18">
        <f>IF(A201="","",COUNTIFS('Recipe Ingredients'!$B$5:$B$1204,A201))</f>
        <v>0</v>
      </c>
      <c r="AC201" s="25">
        <f>IF(A201="","",SUMIFS('Recipe Ingredients'!$N$5:$N$1204,'Recipe Ingredients'!$B$5:$B$1204,A201))</f>
        <v>0</v>
      </c>
      <c r="AD201" s="25">
        <f>IF(OR(AC201="",G201=""),"",IF(G201=0,"",AC201/G201))</f>
        <v>0</v>
      </c>
      <c r="AE201" s="30">
        <f>IF(OR(A201="",G201=""),"",IF(G201=0,"",SUMIFS('Recipe Ingredients'!$Q$5:$Q$1204,'Recipe Ingredients'!$B$5:$B$1204,A201)/G201))</f>
        <v>0</v>
      </c>
      <c r="AF201" s="45">
        <f>IF(OR(A201="",G201=""),"",IF(G201=0,"",SUMIFS('Recipe Ingredients'!$R$5:$R$1204,'Recipe Ingredients'!$B$5:$B$1204,A201)/G201))</f>
        <v>0</v>
      </c>
      <c r="AG201" s="45">
        <f>IF(OR(A201="",G201=""),"",IF(G201=0,"",SUMIFS('Recipe Ingredients'!$S$5:$S$1204,'Recipe Ingredients'!$B$5:$B$1204,A201)/G201))</f>
        <v>0</v>
      </c>
      <c r="AH201" s="45">
        <f>IF(OR(A201="",G201=""),"",IF(G201=0,"",SUMIFS('Recipe Ingredients'!$T$5:$T$1204,'Recipe Ingredients'!$B$5:$B$1204,A201)/G201))</f>
        <v>0</v>
      </c>
      <c r="AI201" s="45">
        <f>IF(OR(A201="",G201=""),"",IF(G201=0,"",SUMIFS('Recipe Ingredients'!$U$5:$U$1204,'Recipe Ingredients'!$B$5:$B$1204,A201)/G201))</f>
        <v>0</v>
      </c>
      <c r="AJ201" s="17">
        <f>IF(A201="","",IF(COUNTIFS('Recipe Ingredients'!$B$5:$B$1204,A201,'Recipe Ingredients'!$V$5:$V$1204,"&lt;&gt;",'Recipe Ingredients'!$V$5:$V$1204,"&lt;&gt;None")=0,"None listed",COUNTIFS('Recipe Ingredients'!$B$5:$B$1204,A201,'Recipe Ingredients'!$V$5:$V$1204,"&lt;&gt;",'Recipe Ingredients'!$V$5:$V$1204,"&lt;&gt;None")&amp;" ingredient(s) flagged"))</f>
        <v>0</v>
      </c>
      <c r="AK201" s="18">
        <f>IF(OR(AD201="",NOT(ISNUMBER(AD201))),"",COUNTIFS($AD$5:$AD$204,"&lt;"&amp;AD201)+COUNTIFS($AD$5:AD201,AD201))</f>
        <v>0</v>
      </c>
      <c r="AL201" s="18">
        <f>IF(B201="",0,IF(AND(OR(FilterDiet="Any",T201=FilterDiet),OR(FilterCategory="Any",C201=FilterCategory),OR(FilterMethod="Any",L201=FilterMethod),OR(FilterTime=0,AND(J201&lt;&gt;"",J201&lt;=FilterTime)),OR(FilterCost=0,AND(AD201&lt;&gt;"",ISNUMBER(AD201),AD201&lt;=FilterCost)),OR(FilterAllergen="Any",COUNTIFS('Recipe Ingredients'!$B$5:$B$1204,A201,'Recipe Ingredients'!$V$5:$V$1204,FilterAllergen)=0)),1,0))</f>
        <v>0</v>
      </c>
      <c r="AM201" s="18">
        <f>IF(AL201=0,"",SUM($AL$5:AL201))</f>
        <v>0</v>
      </c>
      <c r="AN201" s="18">
        <f>IF(B201="","",COUNTIFS($AZ$5:$AZ$204,"&gt;"&amp;AZ201)+COUNTIFS($AZ$5:AZ201,AZ201))</f>
        <v>0</v>
      </c>
      <c r="AO201" s="18">
        <f>IF(B201="","",COUNTIFS($AE$5:$AE$204,"&gt;"&amp;AE201)+COUNTIFS($AE$5:AE201,AE201))</f>
        <v>0</v>
      </c>
      <c r="AP201" s="18">
        <f>IF(B201="","",COUNTIFS($AF$5:$AF$204,"&gt;"&amp;AF201)+COUNTIFS($AF$5:AF201,AF201))</f>
        <v>0</v>
      </c>
      <c r="AQ201" s="18">
        <f>IF(B201="","",COUNTIFS($AI$5:$AI$204,"&gt;"&amp;AI201)+COUNTIFS($AI$5:AI201,AI201))</f>
        <v>0</v>
      </c>
      <c r="AR201" s="18">
        <f>IF(B201="","",COUNTIFS($AS$5:$AS$204,"&gt;"&amp;AS201)+COUNTIFS($AS$5:AS201,AS201))</f>
        <v>0</v>
      </c>
      <c r="AS201" s="45">
        <f>IF(B201="","",IF(BB201="",99999,BC201))</f>
        <v>0</v>
      </c>
      <c r="AT201" s="45">
        <f>IF(A201="",0,SUMIFS('Meal Plan'!$L$5:$L$504,'Meal Plan'!$G$5:$G$504,A201,'Meal Plan'!$B$5:$B$504,"&gt;="&amp;ShopFrom,'Meal Plan'!$B$5:$B$504,"&lt;="&amp;ShopTo,'Meal Plan'!$M$5:$M$504,"Yes"))</f>
        <v>0</v>
      </c>
      <c r="AU201" s="25">
        <f>IF(OR(A201="",AC201=""),"",AC201*AT201)</f>
        <v>0</v>
      </c>
      <c r="AV201" s="18">
        <f>IF(A201="","",COUNTIFS('Recipe Ingredients'!$B$5:$B$1204,A201,'Recipe Ingredients'!$N$5:$N$1204,""))</f>
        <v>0</v>
      </c>
      <c r="AZ201" s="18">
        <f>IF(A201="","",COUNTIFS('Meal Plan'!$G$5:$G$504,A201))</f>
        <v>0</v>
      </c>
      <c r="BA201" s="18">
        <f>IF(A201="","",COUNTIFS('Meal Plan'!$G$5:$G$504,A201,'Meal Plan'!$N$5:$N$504,"Prepared")+COUNTIFS('Meal Plan'!$G$5:$G$504,A201,'Meal Plan'!$N$5:$N$504,"Eaten"))</f>
        <v>0</v>
      </c>
      <c r="BB201" s="19">
        <f>IF(A201="","",IF(COUNTIFS('Meal Plan'!$G$5:$G$504,A201,'Meal Plan'!$B$5:$B$504,"&lt;="&amp;TODAY())=0,"",SUMPRODUCT(MAX(('Meal Plan'!$G$5:$G$504=A201)*('Meal Plan'!$B$5:$B$504&lt;=TODAY())*'Meal Plan'!$B$5:$B$504))))</f>
        <v>0</v>
      </c>
      <c r="BC201" s="18">
        <f>IF(BB201="","",TODAY()-BB201)</f>
        <v>0</v>
      </c>
      <c r="BF201" s="31">
        <f>IF(B201="","",IF(G201="","Add - how many does it serve?",IF(AB201=0,"Add - no ingredients listed yet",IF(AV201&gt;0,"Check - "&amp;AV201&amp;" ingredient(s) have no price",IF(AND(BC201&lt;&gt;"",BC201&lt;RotationGapDays),"Cooked recently","OK")))))</f>
        <v>0</v>
      </c>
    </row>
    <row r="202" spans="1:58">
      <c r="A202" s="39">
        <f>IF(B202="","",RecipePrefix&amp;TEXT(ROW()-4,"0000"))</f>
        <v>0</v>
      </c>
      <c r="J202" s="18">
        <f>IF(B202="","",IF(AND(H202="",I202=""),"",IF(H202="",0,H202)+IF(I202="",0,I202)))</f>
        <v>0</v>
      </c>
      <c r="K202" s="46">
        <f>IF(J202="","",IF(J202&lt;=30,"Yes","No"))</f>
        <v>0</v>
      </c>
      <c r="AB202" s="18">
        <f>IF(A202="","",COUNTIFS('Recipe Ingredients'!$B$5:$B$1204,A202))</f>
        <v>0</v>
      </c>
      <c r="AC202" s="25">
        <f>IF(A202="","",SUMIFS('Recipe Ingredients'!$N$5:$N$1204,'Recipe Ingredients'!$B$5:$B$1204,A202))</f>
        <v>0</v>
      </c>
      <c r="AD202" s="25">
        <f>IF(OR(AC202="",G202=""),"",IF(G202=0,"",AC202/G202))</f>
        <v>0</v>
      </c>
      <c r="AE202" s="30">
        <f>IF(OR(A202="",G202=""),"",IF(G202=0,"",SUMIFS('Recipe Ingredients'!$Q$5:$Q$1204,'Recipe Ingredients'!$B$5:$B$1204,A202)/G202))</f>
        <v>0</v>
      </c>
      <c r="AF202" s="45">
        <f>IF(OR(A202="",G202=""),"",IF(G202=0,"",SUMIFS('Recipe Ingredients'!$R$5:$R$1204,'Recipe Ingredients'!$B$5:$B$1204,A202)/G202))</f>
        <v>0</v>
      </c>
      <c r="AG202" s="45">
        <f>IF(OR(A202="",G202=""),"",IF(G202=0,"",SUMIFS('Recipe Ingredients'!$S$5:$S$1204,'Recipe Ingredients'!$B$5:$B$1204,A202)/G202))</f>
        <v>0</v>
      </c>
      <c r="AH202" s="45">
        <f>IF(OR(A202="",G202=""),"",IF(G202=0,"",SUMIFS('Recipe Ingredients'!$T$5:$T$1204,'Recipe Ingredients'!$B$5:$B$1204,A202)/G202))</f>
        <v>0</v>
      </c>
      <c r="AI202" s="45">
        <f>IF(OR(A202="",G202=""),"",IF(G202=0,"",SUMIFS('Recipe Ingredients'!$U$5:$U$1204,'Recipe Ingredients'!$B$5:$B$1204,A202)/G202))</f>
        <v>0</v>
      </c>
      <c r="AJ202" s="17">
        <f>IF(A202="","",IF(COUNTIFS('Recipe Ingredients'!$B$5:$B$1204,A202,'Recipe Ingredients'!$V$5:$V$1204,"&lt;&gt;",'Recipe Ingredients'!$V$5:$V$1204,"&lt;&gt;None")=0,"None listed",COUNTIFS('Recipe Ingredients'!$B$5:$B$1204,A202,'Recipe Ingredients'!$V$5:$V$1204,"&lt;&gt;",'Recipe Ingredients'!$V$5:$V$1204,"&lt;&gt;None")&amp;" ingredient(s) flagged"))</f>
        <v>0</v>
      </c>
      <c r="AK202" s="18">
        <f>IF(OR(AD202="",NOT(ISNUMBER(AD202))),"",COUNTIFS($AD$5:$AD$204,"&lt;"&amp;AD202)+COUNTIFS($AD$5:AD202,AD202))</f>
        <v>0</v>
      </c>
      <c r="AL202" s="18">
        <f>IF(B202="",0,IF(AND(OR(FilterDiet="Any",T202=FilterDiet),OR(FilterCategory="Any",C202=FilterCategory),OR(FilterMethod="Any",L202=FilterMethod),OR(FilterTime=0,AND(J202&lt;&gt;"",J202&lt;=FilterTime)),OR(FilterCost=0,AND(AD202&lt;&gt;"",ISNUMBER(AD202),AD202&lt;=FilterCost)),OR(FilterAllergen="Any",COUNTIFS('Recipe Ingredients'!$B$5:$B$1204,A202,'Recipe Ingredients'!$V$5:$V$1204,FilterAllergen)=0)),1,0))</f>
        <v>0</v>
      </c>
      <c r="AM202" s="18">
        <f>IF(AL202=0,"",SUM($AL$5:AL202))</f>
        <v>0</v>
      </c>
      <c r="AN202" s="18">
        <f>IF(B202="","",COUNTIFS($AZ$5:$AZ$204,"&gt;"&amp;AZ202)+COUNTIFS($AZ$5:AZ202,AZ202))</f>
        <v>0</v>
      </c>
      <c r="AO202" s="18">
        <f>IF(B202="","",COUNTIFS($AE$5:$AE$204,"&gt;"&amp;AE202)+COUNTIFS($AE$5:AE202,AE202))</f>
        <v>0</v>
      </c>
      <c r="AP202" s="18">
        <f>IF(B202="","",COUNTIFS($AF$5:$AF$204,"&gt;"&amp;AF202)+COUNTIFS($AF$5:AF202,AF202))</f>
        <v>0</v>
      </c>
      <c r="AQ202" s="18">
        <f>IF(B202="","",COUNTIFS($AI$5:$AI$204,"&gt;"&amp;AI202)+COUNTIFS($AI$5:AI202,AI202))</f>
        <v>0</v>
      </c>
      <c r="AR202" s="18">
        <f>IF(B202="","",COUNTIFS($AS$5:$AS$204,"&gt;"&amp;AS202)+COUNTIFS($AS$5:AS202,AS202))</f>
        <v>0</v>
      </c>
      <c r="AS202" s="45">
        <f>IF(B202="","",IF(BB202="",99999,BC202))</f>
        <v>0</v>
      </c>
      <c r="AT202" s="45">
        <f>IF(A202="",0,SUMIFS('Meal Plan'!$L$5:$L$504,'Meal Plan'!$G$5:$G$504,A202,'Meal Plan'!$B$5:$B$504,"&gt;="&amp;ShopFrom,'Meal Plan'!$B$5:$B$504,"&lt;="&amp;ShopTo,'Meal Plan'!$M$5:$M$504,"Yes"))</f>
        <v>0</v>
      </c>
      <c r="AU202" s="25">
        <f>IF(OR(A202="",AC202=""),"",AC202*AT202)</f>
        <v>0</v>
      </c>
      <c r="AV202" s="18">
        <f>IF(A202="","",COUNTIFS('Recipe Ingredients'!$B$5:$B$1204,A202,'Recipe Ingredients'!$N$5:$N$1204,""))</f>
        <v>0</v>
      </c>
      <c r="AZ202" s="18">
        <f>IF(A202="","",COUNTIFS('Meal Plan'!$G$5:$G$504,A202))</f>
        <v>0</v>
      </c>
      <c r="BA202" s="18">
        <f>IF(A202="","",COUNTIFS('Meal Plan'!$G$5:$G$504,A202,'Meal Plan'!$N$5:$N$504,"Prepared")+COUNTIFS('Meal Plan'!$G$5:$G$504,A202,'Meal Plan'!$N$5:$N$504,"Eaten"))</f>
        <v>0</v>
      </c>
      <c r="BB202" s="19">
        <f>IF(A202="","",IF(COUNTIFS('Meal Plan'!$G$5:$G$504,A202,'Meal Plan'!$B$5:$B$504,"&lt;="&amp;TODAY())=0,"",SUMPRODUCT(MAX(('Meal Plan'!$G$5:$G$504=A202)*('Meal Plan'!$B$5:$B$504&lt;=TODAY())*'Meal Plan'!$B$5:$B$504))))</f>
        <v>0</v>
      </c>
      <c r="BC202" s="18">
        <f>IF(BB202="","",TODAY()-BB202)</f>
        <v>0</v>
      </c>
      <c r="BF202" s="31">
        <f>IF(B202="","",IF(G202="","Add - how many does it serve?",IF(AB202=0,"Add - no ingredients listed yet",IF(AV202&gt;0,"Check - "&amp;AV202&amp;" ingredient(s) have no price",IF(AND(BC202&lt;&gt;"",BC202&lt;RotationGapDays),"Cooked recently","OK")))))</f>
        <v>0</v>
      </c>
    </row>
    <row r="203" spans="1:58">
      <c r="A203" s="39">
        <f>IF(B203="","",RecipePrefix&amp;TEXT(ROW()-4,"0000"))</f>
        <v>0</v>
      </c>
      <c r="J203" s="18">
        <f>IF(B203="","",IF(AND(H203="",I203=""),"",IF(H203="",0,H203)+IF(I203="",0,I203)))</f>
        <v>0</v>
      </c>
      <c r="K203" s="46">
        <f>IF(J203="","",IF(J203&lt;=30,"Yes","No"))</f>
        <v>0</v>
      </c>
      <c r="AB203" s="18">
        <f>IF(A203="","",COUNTIFS('Recipe Ingredients'!$B$5:$B$1204,A203))</f>
        <v>0</v>
      </c>
      <c r="AC203" s="25">
        <f>IF(A203="","",SUMIFS('Recipe Ingredients'!$N$5:$N$1204,'Recipe Ingredients'!$B$5:$B$1204,A203))</f>
        <v>0</v>
      </c>
      <c r="AD203" s="25">
        <f>IF(OR(AC203="",G203=""),"",IF(G203=0,"",AC203/G203))</f>
        <v>0</v>
      </c>
      <c r="AE203" s="30">
        <f>IF(OR(A203="",G203=""),"",IF(G203=0,"",SUMIFS('Recipe Ingredients'!$Q$5:$Q$1204,'Recipe Ingredients'!$B$5:$B$1204,A203)/G203))</f>
        <v>0</v>
      </c>
      <c r="AF203" s="45">
        <f>IF(OR(A203="",G203=""),"",IF(G203=0,"",SUMIFS('Recipe Ingredients'!$R$5:$R$1204,'Recipe Ingredients'!$B$5:$B$1204,A203)/G203))</f>
        <v>0</v>
      </c>
      <c r="AG203" s="45">
        <f>IF(OR(A203="",G203=""),"",IF(G203=0,"",SUMIFS('Recipe Ingredients'!$S$5:$S$1204,'Recipe Ingredients'!$B$5:$B$1204,A203)/G203))</f>
        <v>0</v>
      </c>
      <c r="AH203" s="45">
        <f>IF(OR(A203="",G203=""),"",IF(G203=0,"",SUMIFS('Recipe Ingredients'!$T$5:$T$1204,'Recipe Ingredients'!$B$5:$B$1204,A203)/G203))</f>
        <v>0</v>
      </c>
      <c r="AI203" s="45">
        <f>IF(OR(A203="",G203=""),"",IF(G203=0,"",SUMIFS('Recipe Ingredients'!$U$5:$U$1204,'Recipe Ingredients'!$B$5:$B$1204,A203)/G203))</f>
        <v>0</v>
      </c>
      <c r="AJ203" s="17">
        <f>IF(A203="","",IF(COUNTIFS('Recipe Ingredients'!$B$5:$B$1204,A203,'Recipe Ingredients'!$V$5:$V$1204,"&lt;&gt;",'Recipe Ingredients'!$V$5:$V$1204,"&lt;&gt;None")=0,"None listed",COUNTIFS('Recipe Ingredients'!$B$5:$B$1204,A203,'Recipe Ingredients'!$V$5:$V$1204,"&lt;&gt;",'Recipe Ingredients'!$V$5:$V$1204,"&lt;&gt;None")&amp;" ingredient(s) flagged"))</f>
        <v>0</v>
      </c>
      <c r="AK203" s="18">
        <f>IF(OR(AD203="",NOT(ISNUMBER(AD203))),"",COUNTIFS($AD$5:$AD$204,"&lt;"&amp;AD203)+COUNTIFS($AD$5:AD203,AD203))</f>
        <v>0</v>
      </c>
      <c r="AL203" s="18">
        <f>IF(B203="",0,IF(AND(OR(FilterDiet="Any",T203=FilterDiet),OR(FilterCategory="Any",C203=FilterCategory),OR(FilterMethod="Any",L203=FilterMethod),OR(FilterTime=0,AND(J203&lt;&gt;"",J203&lt;=FilterTime)),OR(FilterCost=0,AND(AD203&lt;&gt;"",ISNUMBER(AD203),AD203&lt;=FilterCost)),OR(FilterAllergen="Any",COUNTIFS('Recipe Ingredients'!$B$5:$B$1204,A203,'Recipe Ingredients'!$V$5:$V$1204,FilterAllergen)=0)),1,0))</f>
        <v>0</v>
      </c>
      <c r="AM203" s="18">
        <f>IF(AL203=0,"",SUM($AL$5:AL203))</f>
        <v>0</v>
      </c>
      <c r="AN203" s="18">
        <f>IF(B203="","",COUNTIFS($AZ$5:$AZ$204,"&gt;"&amp;AZ203)+COUNTIFS($AZ$5:AZ203,AZ203))</f>
        <v>0</v>
      </c>
      <c r="AO203" s="18">
        <f>IF(B203="","",COUNTIFS($AE$5:$AE$204,"&gt;"&amp;AE203)+COUNTIFS($AE$5:AE203,AE203))</f>
        <v>0</v>
      </c>
      <c r="AP203" s="18">
        <f>IF(B203="","",COUNTIFS($AF$5:$AF$204,"&gt;"&amp;AF203)+COUNTIFS($AF$5:AF203,AF203))</f>
        <v>0</v>
      </c>
      <c r="AQ203" s="18">
        <f>IF(B203="","",COUNTIFS($AI$5:$AI$204,"&gt;"&amp;AI203)+COUNTIFS($AI$5:AI203,AI203))</f>
        <v>0</v>
      </c>
      <c r="AR203" s="18">
        <f>IF(B203="","",COUNTIFS($AS$5:$AS$204,"&gt;"&amp;AS203)+COUNTIFS($AS$5:AS203,AS203))</f>
        <v>0</v>
      </c>
      <c r="AS203" s="45">
        <f>IF(B203="","",IF(BB203="",99999,BC203))</f>
        <v>0</v>
      </c>
      <c r="AT203" s="45">
        <f>IF(A203="",0,SUMIFS('Meal Plan'!$L$5:$L$504,'Meal Plan'!$G$5:$G$504,A203,'Meal Plan'!$B$5:$B$504,"&gt;="&amp;ShopFrom,'Meal Plan'!$B$5:$B$504,"&lt;="&amp;ShopTo,'Meal Plan'!$M$5:$M$504,"Yes"))</f>
        <v>0</v>
      </c>
      <c r="AU203" s="25">
        <f>IF(OR(A203="",AC203=""),"",AC203*AT203)</f>
        <v>0</v>
      </c>
      <c r="AV203" s="18">
        <f>IF(A203="","",COUNTIFS('Recipe Ingredients'!$B$5:$B$1204,A203,'Recipe Ingredients'!$N$5:$N$1204,""))</f>
        <v>0</v>
      </c>
      <c r="AZ203" s="18">
        <f>IF(A203="","",COUNTIFS('Meal Plan'!$G$5:$G$504,A203))</f>
        <v>0</v>
      </c>
      <c r="BA203" s="18">
        <f>IF(A203="","",COUNTIFS('Meal Plan'!$G$5:$G$504,A203,'Meal Plan'!$N$5:$N$504,"Prepared")+COUNTIFS('Meal Plan'!$G$5:$G$504,A203,'Meal Plan'!$N$5:$N$504,"Eaten"))</f>
        <v>0</v>
      </c>
      <c r="BB203" s="19">
        <f>IF(A203="","",IF(COUNTIFS('Meal Plan'!$G$5:$G$504,A203,'Meal Plan'!$B$5:$B$504,"&lt;="&amp;TODAY())=0,"",SUMPRODUCT(MAX(('Meal Plan'!$G$5:$G$504=A203)*('Meal Plan'!$B$5:$B$504&lt;=TODAY())*'Meal Plan'!$B$5:$B$504))))</f>
        <v>0</v>
      </c>
      <c r="BC203" s="18">
        <f>IF(BB203="","",TODAY()-BB203)</f>
        <v>0</v>
      </c>
      <c r="BF203" s="31">
        <f>IF(B203="","",IF(G203="","Add - how many does it serve?",IF(AB203=0,"Add - no ingredients listed yet",IF(AV203&gt;0,"Check - "&amp;AV203&amp;" ingredient(s) have no price",IF(AND(BC203&lt;&gt;"",BC203&lt;RotationGapDays),"Cooked recently","OK")))))</f>
        <v>0</v>
      </c>
    </row>
    <row r="204" spans="1:58">
      <c r="A204" s="39">
        <f>IF(B204="","",RecipePrefix&amp;TEXT(ROW()-4,"0000"))</f>
        <v>0</v>
      </c>
      <c r="J204" s="18">
        <f>IF(B204="","",IF(AND(H204="",I204=""),"",IF(H204="",0,H204)+IF(I204="",0,I204)))</f>
        <v>0</v>
      </c>
      <c r="K204" s="46">
        <f>IF(J204="","",IF(J204&lt;=30,"Yes","No"))</f>
        <v>0</v>
      </c>
      <c r="AB204" s="18">
        <f>IF(A204="","",COUNTIFS('Recipe Ingredients'!$B$5:$B$1204,A204))</f>
        <v>0</v>
      </c>
      <c r="AC204" s="25">
        <f>IF(A204="","",SUMIFS('Recipe Ingredients'!$N$5:$N$1204,'Recipe Ingredients'!$B$5:$B$1204,A204))</f>
        <v>0</v>
      </c>
      <c r="AD204" s="25">
        <f>IF(OR(AC204="",G204=""),"",IF(G204=0,"",AC204/G204))</f>
        <v>0</v>
      </c>
      <c r="AE204" s="30">
        <f>IF(OR(A204="",G204=""),"",IF(G204=0,"",SUMIFS('Recipe Ingredients'!$Q$5:$Q$1204,'Recipe Ingredients'!$B$5:$B$1204,A204)/G204))</f>
        <v>0</v>
      </c>
      <c r="AF204" s="45">
        <f>IF(OR(A204="",G204=""),"",IF(G204=0,"",SUMIFS('Recipe Ingredients'!$R$5:$R$1204,'Recipe Ingredients'!$B$5:$B$1204,A204)/G204))</f>
        <v>0</v>
      </c>
      <c r="AG204" s="45">
        <f>IF(OR(A204="",G204=""),"",IF(G204=0,"",SUMIFS('Recipe Ingredients'!$S$5:$S$1204,'Recipe Ingredients'!$B$5:$B$1204,A204)/G204))</f>
        <v>0</v>
      </c>
      <c r="AH204" s="45">
        <f>IF(OR(A204="",G204=""),"",IF(G204=0,"",SUMIFS('Recipe Ingredients'!$T$5:$T$1204,'Recipe Ingredients'!$B$5:$B$1204,A204)/G204))</f>
        <v>0</v>
      </c>
      <c r="AI204" s="45">
        <f>IF(OR(A204="",G204=""),"",IF(G204=0,"",SUMIFS('Recipe Ingredients'!$U$5:$U$1204,'Recipe Ingredients'!$B$5:$B$1204,A204)/G204))</f>
        <v>0</v>
      </c>
      <c r="AJ204" s="17">
        <f>IF(A204="","",IF(COUNTIFS('Recipe Ingredients'!$B$5:$B$1204,A204,'Recipe Ingredients'!$V$5:$V$1204,"&lt;&gt;",'Recipe Ingredients'!$V$5:$V$1204,"&lt;&gt;None")=0,"None listed",COUNTIFS('Recipe Ingredients'!$B$5:$B$1204,A204,'Recipe Ingredients'!$V$5:$V$1204,"&lt;&gt;",'Recipe Ingredients'!$V$5:$V$1204,"&lt;&gt;None")&amp;" ingredient(s) flagged"))</f>
        <v>0</v>
      </c>
      <c r="AK204" s="18">
        <f>IF(OR(AD204="",NOT(ISNUMBER(AD204))),"",COUNTIFS($AD$5:$AD$204,"&lt;"&amp;AD204)+COUNTIFS($AD$5:AD204,AD204))</f>
        <v>0</v>
      </c>
      <c r="AL204" s="18">
        <f>IF(B204="",0,IF(AND(OR(FilterDiet="Any",T204=FilterDiet),OR(FilterCategory="Any",C204=FilterCategory),OR(FilterMethod="Any",L204=FilterMethod),OR(FilterTime=0,AND(J204&lt;&gt;"",J204&lt;=FilterTime)),OR(FilterCost=0,AND(AD204&lt;&gt;"",ISNUMBER(AD204),AD204&lt;=FilterCost)),OR(FilterAllergen="Any",COUNTIFS('Recipe Ingredients'!$B$5:$B$1204,A204,'Recipe Ingredients'!$V$5:$V$1204,FilterAllergen)=0)),1,0))</f>
        <v>0</v>
      </c>
      <c r="AM204" s="18">
        <f>IF(AL204=0,"",SUM($AL$5:AL204))</f>
        <v>0</v>
      </c>
      <c r="AN204" s="18">
        <f>IF(B204="","",COUNTIFS($AZ$5:$AZ$204,"&gt;"&amp;AZ204)+COUNTIFS($AZ$5:AZ204,AZ204))</f>
        <v>0</v>
      </c>
      <c r="AO204" s="18">
        <f>IF(B204="","",COUNTIFS($AE$5:$AE$204,"&gt;"&amp;AE204)+COUNTIFS($AE$5:AE204,AE204))</f>
        <v>0</v>
      </c>
      <c r="AP204" s="18">
        <f>IF(B204="","",COUNTIFS($AF$5:$AF$204,"&gt;"&amp;AF204)+COUNTIFS($AF$5:AF204,AF204))</f>
        <v>0</v>
      </c>
      <c r="AQ204" s="18">
        <f>IF(B204="","",COUNTIFS($AI$5:$AI$204,"&gt;"&amp;AI204)+COUNTIFS($AI$5:AI204,AI204))</f>
        <v>0</v>
      </c>
      <c r="AR204" s="18">
        <f>IF(B204="","",COUNTIFS($AS$5:$AS$204,"&gt;"&amp;AS204)+COUNTIFS($AS$5:AS204,AS204))</f>
        <v>0</v>
      </c>
      <c r="AS204" s="45">
        <f>IF(B204="","",IF(BB204="",99999,BC204))</f>
        <v>0</v>
      </c>
      <c r="AT204" s="45">
        <f>IF(A204="",0,SUMIFS('Meal Plan'!$L$5:$L$504,'Meal Plan'!$G$5:$G$504,A204,'Meal Plan'!$B$5:$B$504,"&gt;="&amp;ShopFrom,'Meal Plan'!$B$5:$B$504,"&lt;="&amp;ShopTo,'Meal Plan'!$M$5:$M$504,"Yes"))</f>
        <v>0</v>
      </c>
      <c r="AU204" s="25">
        <f>IF(OR(A204="",AC204=""),"",AC204*AT204)</f>
        <v>0</v>
      </c>
      <c r="AV204" s="18">
        <f>IF(A204="","",COUNTIFS('Recipe Ingredients'!$B$5:$B$1204,A204,'Recipe Ingredients'!$N$5:$N$1204,""))</f>
        <v>0</v>
      </c>
      <c r="AZ204" s="18">
        <f>IF(A204="","",COUNTIFS('Meal Plan'!$G$5:$G$504,A204))</f>
        <v>0</v>
      </c>
      <c r="BA204" s="18">
        <f>IF(A204="","",COUNTIFS('Meal Plan'!$G$5:$G$504,A204,'Meal Plan'!$N$5:$N$504,"Prepared")+COUNTIFS('Meal Plan'!$G$5:$G$504,A204,'Meal Plan'!$N$5:$N$504,"Eaten"))</f>
        <v>0</v>
      </c>
      <c r="BB204" s="19">
        <f>IF(A204="","",IF(COUNTIFS('Meal Plan'!$G$5:$G$504,A204,'Meal Plan'!$B$5:$B$504,"&lt;="&amp;TODAY())=0,"",SUMPRODUCT(MAX(('Meal Plan'!$G$5:$G$504=A204)*('Meal Plan'!$B$5:$B$504&lt;=TODAY())*'Meal Plan'!$B$5:$B$504))))</f>
        <v>0</v>
      </c>
      <c r="BC204" s="18">
        <f>IF(BB204="","",TODAY()-BB204)</f>
        <v>0</v>
      </c>
      <c r="BF204" s="31">
        <f>IF(B204="","",IF(G204="","Add - how many does it serve?",IF(AB204=0,"Add - no ingredients listed yet",IF(AV204&gt;0,"Check - "&amp;AV204&amp;" ingredient(s) have no price",IF(AND(BC204&lt;&gt;"",BC204&lt;RotationGapDays),"Cooked recently","OK")))))</f>
        <v>0</v>
      </c>
    </row>
  </sheetData>
  <sheetProtection password="EC7C" sheet="1" objects="1" scenarios="1" formatCells="0" formatColumns="0" formatRows="0" insertRows="0" insertHyperlinks="0" deleteRows="0" autoFilter="0"/>
  <autoFilter ref="A4:BF204"/>
  <mergeCells count="13">
    <mergeCell ref="A1:BC1"/>
    <mergeCell ref="BD1:BF1"/>
    <mergeCell ref="A2:BF2"/>
    <mergeCell ref="A3:B3"/>
    <mergeCell ref="C3:D3"/>
    <mergeCell ref="E3:F3"/>
    <mergeCell ref="G3:H3"/>
    <mergeCell ref="I3:J3"/>
    <mergeCell ref="K3:L3"/>
    <mergeCell ref="M3:N3"/>
    <mergeCell ref="O3:P3"/>
    <mergeCell ref="Q3:R3"/>
    <mergeCell ref="S3:BF3"/>
  </mergeCells>
  <conditionalFormatting sqref="AD5:AD204">
    <cfRule type="colorScale" priority="3">
      <colorScale>
        <cfvo type="min" val="0"/>
        <cfvo type="percentile" val="50"/>
        <cfvo type="max" val="0"/>
        <color rgb="FFD9F2E4"/>
        <color rgb="FFFFF1CF"/>
        <color rgb="FFFBD9DD"/>
      </colorScale>
    </cfRule>
  </conditionalFormatting>
  <conditionalFormatting sqref="AJ5:AJ204">
    <cfRule type="containsText" dxfId="0" priority="4" operator="containsText" text="flagged">
      <formula>NOT(ISERROR(SEARCH("flagged",AJ5)))</formula>
    </cfRule>
    <cfRule type="containsText" dxfId="1" priority="5" operator="containsText" text="None listed">
      <formula>NOT(ISERROR(SEARCH("None listed",AJ5)))</formula>
    </cfRule>
  </conditionalFormatting>
  <conditionalFormatting sqref="BC5:BC204">
    <cfRule type="cellIs" dxfId="0" priority="6" operator="lessThan">
      <formula>RotationGapDays</formula>
    </cfRule>
  </conditionalFormatting>
  <conditionalFormatting sqref="BF5:BF204">
    <cfRule type="beginsWith" dxfId="1" priority="7" operator="beginsWith" text="OK">
      <formula>LEFT(BF5,2)="OK"</formula>
    </cfRule>
    <cfRule type="containsText" dxfId="2" priority="8" operator="containsText" text="Overdue">
      <formula>NOT(ISERROR(SEARCH("Overdue",BF5)))</formula>
    </cfRule>
    <cfRule type="containsText" dxfId="2" priority="9" operator="containsText" text="Late">
      <formula>NOT(ISERROR(SEARCH("Late",BF5)))</formula>
    </cfRule>
    <cfRule type="containsText" dxfId="2" priority="10" operator="containsText" text="Missing">
      <formula>NOT(ISERROR(SEARCH("Missing",BF5)))</formula>
    </cfRule>
    <cfRule type="containsText" dxfId="2" priority="11" operator="containsText" text="Conflict">
      <formula>NOT(ISERROR(SEARCH("Conflict",BF5)))</formula>
    </cfRule>
    <cfRule type="containsText" dxfId="2" priority="12" operator="containsText" text="Expired">
      <formula>NOT(ISERROR(SEARCH("Expired",BF5)))</formula>
    </cfRule>
    <cfRule type="containsText" dxfId="2" priority="13" operator="containsText" text="Duplicate">
      <formula>NOT(ISERROR(SEARCH("Duplicate",BF5)))</formula>
    </cfRule>
    <cfRule type="containsText" dxfId="0" priority="14" operator="containsText" text="Action">
      <formula>NOT(ISERROR(SEARCH("Action",BF5)))</formula>
    </cfRule>
    <cfRule type="containsText" dxfId="0" priority="15" operator="containsText" text="Due">
      <formula>NOT(ISERROR(SEARCH("Due",BF5)))</formula>
    </cfRule>
    <cfRule type="containsText" dxfId="0" priority="16" operator="containsText" text="Check">
      <formula>NOT(ISERROR(SEARCH("Check",BF5)))</formula>
    </cfRule>
    <cfRule type="containsText" dxfId="0" priority="17" operator="containsText" text="Add">
      <formula>NOT(ISERROR(SEARCH("Add",BF5)))</formula>
    </cfRule>
    <cfRule type="containsText" dxfId="4" priority="18" operator="containsText" text="Today">
      <formula>NOT(ISERROR(SEARCH("Today",BF5)))</formula>
    </cfRule>
    <cfRule type="containsText" dxfId="4" priority="19" operator="containsText" text="Upcoming">
      <formula>NOT(ISERROR(SEARCH("Upcoming",BF5)))</formula>
    </cfRule>
  </conditionalFormatting>
  <conditionalFormatting sqref="J5:J204">
    <cfRule type="cellIs" dxfId="1" priority="1" operator="lessThanOrEqual">
      <formula>30</formula>
    </cfRule>
    <cfRule type="cellIs" dxfId="0" priority="2" operator="greaterThan">
      <formula>90</formula>
    </cfRule>
  </conditionalFormatting>
  <dataValidations count="20">
    <dataValidation type="list" allowBlank="1" showInputMessage="1" showErrorMessage="1" sqref="C5:C204">
      <formula1>RecipeCategoryList</formula1>
    </dataValidation>
    <dataValidation type="list" allowBlank="1" showInputMessage="1" showErrorMessage="1" promptTitle="Usual meal" prompt="Which meal of the day it normally turns up at." sqref="D5:D204">
      <formula1>MealSlotList</formula1>
    </dataValidation>
    <dataValidation type="list" allowBlank="1" showInputMessage="1" showErrorMessage="1" sqref="E5:E204">
      <formula1>CuisineList</formula1>
    </dataValidation>
    <dataValidation type="whole" allowBlank="1" showInputMessage="1" showErrorMessage="1" errorTitle="Check the value" error="Enter a number between 1 and 100." promptTitle="Serves" prompt="How many people the quantities on the Recipe Ingredients tab feed. Everything scales from this." sqref="G5:G204">
      <formula1>1</formula1>
      <formula2>100</formula2>
    </dataValidation>
    <dataValidation type="whole" allowBlank="1" showInputMessage="1" showErrorMessage="1" errorTitle="Check the value" error="Enter a number between 0 and 600." sqref="H5:H204">
      <formula1>0</formula1>
      <formula2>600</formula2>
    </dataValidation>
    <dataValidation type="whole" allowBlank="1" showInputMessage="1" showErrorMessage="1" errorTitle="Check the value" error="Enter a number between 0 and 1440." sqref="I5:I204">
      <formula1>0</formula1>
      <formula2>1440</formula2>
    </dataValidation>
    <dataValidation type="list" allowBlank="1" showInputMessage="1" showErrorMessage="1" sqref="L5:L204">
      <formula1>CookingMethodList</formula1>
    </dataValidation>
    <dataValidation type="list" allowBlank="1" showInputMessage="1" showErrorMessage="1" sqref="M5:M204">
      <formula1>DifficultyList</formula1>
    </dataValidation>
    <dataValidation type="list" allowBlank="1" showInputMessage="1" showErrorMessage="1" sqref="O5:O204">
      <formula1>YesNoList</formula1>
    </dataValidation>
    <dataValidation type="list" allowBlank="1" showInputMessage="1" showErrorMessage="1" sqref="P5:P204">
      <formula1>YesNoList</formula1>
    </dataValidation>
    <dataValidation type="list" allowBlank="1" showInputMessage="1" showErrorMessage="1" promptTitle="Batch / prep friendly?" prompt="Does it survive being made in advance and reheated?" sqref="Q5:Q204">
      <formula1>YesNoList</formula1>
    </dataValidation>
    <dataValidation type="list" allowBlank="1" showInputMessage="1" showErrorMessage="1" sqref="R5:R204">
      <formula1>YesNoList</formula1>
    </dataValidation>
    <dataValidation type="list" allowBlank="1" showInputMessage="1" showErrorMessage="1" sqref="S5:S204">
      <formula1>YesNoList</formula1>
    </dataValidation>
    <dataValidation type="list" allowBlank="1" showInputMessage="1" showErrorMessage="1" promptTitle="Suits" prompt="The dietary filters use this plus the allergens worked out from the ingredients." sqref="T5:T204">
      <formula1>DietList</formula1>
    </dataValidation>
    <dataValidation type="list" allowBlank="1" showInputMessage="1" showErrorMessage="1" sqref="U5:U204">
      <formula1>SpiceLevelList</formula1>
    </dataValidation>
    <dataValidation type="list" allowBlank="1" showInputMessage="1" showErrorMessage="1" sqref="V5:V204">
      <formula1>SeasonList</formula1>
    </dataValidation>
    <dataValidation type="whole" allowBlank="1" showInputMessage="1" showErrorMessage="1" errorTitle="Score 1-5" error="Enter a whole number from 1 (low) to 5 (high)." promptTitle="Your rating" prompt="1 to 5. The rotation planner leans on this." sqref="AW5:AW204">
      <formula1>1</formula1>
      <formula2>5</formula2>
    </dataValidation>
    <dataValidation type="whole" allowBlank="1" showInputMessage="1" showErrorMessage="1" errorTitle="Score 1-5" error="Enter a whole number from 1 (low) to 5 (high)." promptTitle="Family score" prompt="What everyone else thought." sqref="AX5:AX204">
      <formula1>1</formula1>
      <formula2>5</formula2>
    </dataValidation>
    <dataValidation type="list" allowBlank="1" showInputMessage="1" showErrorMessage="1" sqref="AY5:AY204">
      <formula1>YesNoList</formula1>
    </dataValidation>
    <dataValidation type="date" allowBlank="1" showInputMessage="1" showErrorMessage="1" errorTitle="Check the date" error="Enter a real date between 2000 and 2100." sqref="BE5:BE204">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&amp;L&amp;"Calibri,Bold"&amp;12&amp;C&amp;"Calibri,Bold"&amp;11Recipes&amp;R&amp;"Calibri,Italic"&amp;9Automated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4E8A63"/>
    <pageSetUpPr fitToPage="1"/>
  </sheetPr>
  <dimension ref="A1:AB1208"/>
  <sheetViews>
    <sheetView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9.7109375" style="39" customWidth="1"/>
    <col min="2" max="2" width="11.7109375" style="32" customWidth="1"/>
    <col min="3" max="3" width="26.7109375" style="17" customWidth="1"/>
    <col min="4" max="4" width="24.7109375" style="32" customWidth="1"/>
    <col min="5" max="5" width="10.7109375" style="38" customWidth="1"/>
    <col min="6" max="6" width="11.7109375" style="32" customWidth="1"/>
    <col min="7" max="7" width="18.7109375" style="32" customWidth="1"/>
    <col min="8" max="8" width="16.7109375" style="32" customWidth="1"/>
    <col min="9" max="9" width="10.7109375" style="40" customWidth="1"/>
    <col min="10" max="10" width="12.7109375" style="45" customWidth="1"/>
    <col min="11" max="11" width="10.7109375" style="17" customWidth="1"/>
    <col min="12" max="12" width="10.7109375" style="17" customWidth="1"/>
    <col min="13" max="13" width="12.7109375" style="25" hidden="1" customWidth="1"/>
    <col min="14" max="14" width="11.7109375" style="25" customWidth="1"/>
    <col min="15" max="15" width="12.7109375" style="25" hidden="1" customWidth="1"/>
    <col min="16" max="16" width="9.7109375" style="30" hidden="1" customWidth="1"/>
    <col min="17" max="17" width="10.7109375" style="30" customWidth="1"/>
    <col min="18" max="18" width="10.7109375" style="45" hidden="1" customWidth="1"/>
    <col min="19" max="19" width="10.7109375" style="45" hidden="1" customWidth="1"/>
    <col min="20" max="20" width="9.7109375" style="45" hidden="1" customWidth="1"/>
    <col min="21" max="21" width="10.7109375" style="45" hidden="1" customWidth="1"/>
    <col min="22" max="22" width="13.7109375" style="17" customWidth="1"/>
    <col min="23" max="23" width="15.7109375" style="17" hidden="1" customWidth="1"/>
    <col min="24" max="24" width="11.7109375" style="45" hidden="1" customWidth="1"/>
    <col min="25" max="25" width="13.7109375" style="45" customWidth="1"/>
    <col min="26" max="26" width="10.7109375" style="17" hidden="1" customWidth="1"/>
    <col min="27" max="27" width="10.7109375" style="17" hidden="1" customWidth="1"/>
    <col min="28" max="28" width="26.7109375" style="31" customWidth="1"/>
    <col min="1" max="1" width="15.7109375" customWidth="1"/>
    <col min="2" max="2" width="16.7109375" customWidth="1"/>
    <col min="3" max="3" width="16.7109375" customWidth="1"/>
    <col min="4" max="4" width="15.7109375" customWidth="1"/>
    <col min="5" max="5" width="20.7109375" customWidth="1"/>
    <col min="6" max="6" width="24.7109375" customWidth="1"/>
  </cols>
  <sheetData>
    <row r="1" spans="1:28" ht="34" customHeight="1">
      <c r="A1" s="2" t="s">
        <v>61</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867</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868</v>
      </c>
      <c r="T3" s="44"/>
      <c r="U3" s="44"/>
      <c r="V3" s="44"/>
      <c r="W3" s="44"/>
      <c r="X3" s="44"/>
      <c r="Y3" s="44"/>
      <c r="Z3" s="44"/>
      <c r="AA3" s="44"/>
      <c r="AB3" s="44"/>
    </row>
    <row r="4" spans="1:28" ht="30" customHeight="1">
      <c r="A4" s="8" t="s">
        <v>708</v>
      </c>
      <c r="B4" s="8" t="s">
        <v>869</v>
      </c>
      <c r="C4" s="9" t="s">
        <v>762</v>
      </c>
      <c r="D4" s="9" t="s">
        <v>870</v>
      </c>
      <c r="E4" s="9" t="s">
        <v>871</v>
      </c>
      <c r="F4" s="9" t="s">
        <v>664</v>
      </c>
      <c r="G4" s="9" t="s">
        <v>872</v>
      </c>
      <c r="H4" s="9" t="s">
        <v>873</v>
      </c>
      <c r="I4" s="9" t="s">
        <v>874</v>
      </c>
      <c r="J4" s="9" t="s">
        <v>875</v>
      </c>
      <c r="K4" s="9" t="s">
        <v>666</v>
      </c>
      <c r="L4" s="9" t="s">
        <v>876</v>
      </c>
      <c r="M4" s="9" t="s">
        <v>877</v>
      </c>
      <c r="N4" s="9" t="s">
        <v>878</v>
      </c>
      <c r="O4" s="9" t="s">
        <v>879</v>
      </c>
      <c r="P4" s="9" t="s">
        <v>880</v>
      </c>
      <c r="Q4" s="9" t="s">
        <v>881</v>
      </c>
      <c r="R4" s="9" t="s">
        <v>253</v>
      </c>
      <c r="S4" s="9" t="s">
        <v>789</v>
      </c>
      <c r="T4" s="9" t="s">
        <v>255</v>
      </c>
      <c r="U4" s="9" t="s">
        <v>256</v>
      </c>
      <c r="V4" s="9" t="s">
        <v>397</v>
      </c>
      <c r="W4" s="9" t="s">
        <v>882</v>
      </c>
      <c r="X4" s="9" t="s">
        <v>883</v>
      </c>
      <c r="Y4" s="9" t="s">
        <v>884</v>
      </c>
      <c r="Z4" s="9" t="s">
        <v>885</v>
      </c>
      <c r="AA4" s="9" t="s">
        <v>886</v>
      </c>
      <c r="AB4" s="9" t="s">
        <v>729</v>
      </c>
    </row>
    <row r="5" spans="1:28">
      <c r="A5" s="39">
        <f>IF(D5="","","RL-"&amp;TEXT(ROW()-4,"0000"))</f>
        <v>0</v>
      </c>
      <c r="B5" s="32" t="s">
        <v>887</v>
      </c>
      <c r="C5" s="17">
        <f>IF(B5="","",IFERROR(INDEX(Recipes!$B$5:$B$204,MATCH(B5,Recipes!$A$5:$A$204,0)),"Not found"))</f>
        <v>0</v>
      </c>
      <c r="D5" s="32" t="s">
        <v>888</v>
      </c>
      <c r="E5" s="38">
        <v>800</v>
      </c>
      <c r="F5" s="32" t="s">
        <v>668</v>
      </c>
      <c r="G5" s="32" t="s">
        <v>889</v>
      </c>
      <c r="H5" s="32" t="s">
        <v>157</v>
      </c>
      <c r="I5" s="40" t="s">
        <v>312</v>
      </c>
      <c r="J5" s="45">
        <f>IF(E5="","",IFERROR(E5*INDEX(UnitFactors,MATCH(F5,UnitNames,0)),""))</f>
        <v>0</v>
      </c>
      <c r="K5" s="17">
        <f>IF(F5="","",IFERROR(INDEX(UnitBases,MATCH(F5,UnitNames,0)),"?"))</f>
        <v>0</v>
      </c>
      <c r="L5" s="17">
        <f>IF(D5="","",IFERROR(INDEX(Ingredients!$G$5:$G$304,MATCH(D5,Ingredients!$B$5:$B$304,0)),"Add to Ingredients"))</f>
        <v>0</v>
      </c>
      <c r="M5" s="25">
        <f>IF(D5="","",IFERROR(INDEX(Ingredients!$J$5:$J$304,MATCH(D5,Ingredients!$B$5:$B$304,0)),"Add to Ingredients"))</f>
        <v>0</v>
      </c>
      <c r="N5" s="25">
        <f>IF(OR(J5="",M5="",NOT(ISNUMBER(M5))),"",IF(K5&lt;&gt;L5,"",J5*M5))</f>
        <v>0</v>
      </c>
      <c r="O5" s="25">
        <f>IF(N5="","",IFERROR(N5/INDEX(Recipes!$G$5:$G$204,MATCH(B5,Recipes!$A$5:$A$204,0)),""))</f>
        <v>0</v>
      </c>
      <c r="P5" s="30">
        <f>IF(J5="","",IF(K5="each",J5,J5/100))</f>
        <v>0</v>
      </c>
      <c r="Q5" s="30">
        <f>IFERROR(IF(P5="","",P5*INDEX(Ingredients!$P$5:$P$304,MATCH(D5,Ingredients!$B$5:$B$304,0))),"")</f>
        <v>0</v>
      </c>
      <c r="R5" s="45">
        <f>IFERROR(IF(P5="","",P5*INDEX(Ingredients!$Q$5:$Q$304,MATCH(D5,Ingredients!$B$5:$B$304,0))),"")</f>
        <v>0</v>
      </c>
      <c r="S5" s="45">
        <f>IFERROR(IF(P5="","",P5*INDEX(Ingredients!$R$5:$R$304,MATCH(D5,Ingredients!$B$5:$B$304,0))),"")</f>
        <v>0</v>
      </c>
      <c r="T5" s="45">
        <f>IFERROR(IF(P5="","",P5*INDEX(Ingredients!$S$5:$S$304,MATCH(D5,Ingredients!$B$5:$B$304,0))),"")</f>
        <v>0</v>
      </c>
      <c r="U5" s="45">
        <f>IFERROR(IF(P5="","",P5*INDEX(Ingredients!$T$5:$T$304,MATCH(D5,Ingredients!$B$5:$B$304,0))),"")</f>
        <v>0</v>
      </c>
      <c r="V5" s="17">
        <f>IF(D5="","",IFERROR(INDEX(Ingredients!$W$5:$W$304,MATCH(D5,Ingredients!$B$5:$B$304,0)),"Add to Ingredients"))</f>
        <v>0</v>
      </c>
      <c r="W5" s="17">
        <f>IF(D5="","",IFERROR(INDEX(Ingredients!$C$5:$C$304,MATCH(D5,Ingredients!$B$5:$B$304,0)),"Add to Ingredients"))</f>
        <v>0</v>
      </c>
      <c r="X5" s="45">
        <f>IFERROR(INDEX(Recipes!$AT$5:$AT$204,MATCH(B5,Recipes!$A$5:$A$204,0)),0)</f>
        <v>0</v>
      </c>
      <c r="Y5" s="45">
        <f>IF(OR(J5="",X5=0),"",J5*X5)</f>
        <v>0</v>
      </c>
      <c r="Z5" s="17">
        <f>IF(D5="","",B5&amp;"#"&amp;COUNTIFS($B$5:B5,B5))</f>
        <v>0</v>
      </c>
      <c r="AA5" s="17">
        <f>IF(D5="","",B5&amp;"|"&amp;D5)</f>
        <v>0</v>
      </c>
      <c r="AB5" s="31">
        <f>IF(D5="","",IF(B5="","Add - which recipe?",IF(COUNTIFS(Ingredients!$B$5:$B$304,D5)=0,"Missing - not in the Ingredients tab",IF(E5="","Add - no quantity",IF(F5="","Add - no unit",IF(K5&lt;&gt;L5,"Check - recipe in "&amp;K5&amp;", priced in "&amp;L5,IF(COUNTIFS($AA$5:$AA$1204,AA5)&gt;1,"Duplicate - same ingredient twice","OK")))))))</f>
        <v>0</v>
      </c>
    </row>
    <row r="6" spans="1:28">
      <c r="A6" s="39">
        <f>IF(D6="","","RL-"&amp;TEXT(ROW()-4,"0000"))</f>
        <v>0</v>
      </c>
      <c r="B6" s="32" t="s">
        <v>887</v>
      </c>
      <c r="C6" s="17">
        <f>IF(B6="","",IFERROR(INDEX(Recipes!$B$5:$B$204,MATCH(B6,Recipes!$A$5:$A$204,0)),"Not found"))</f>
        <v>0</v>
      </c>
      <c r="D6" s="32" t="s">
        <v>890</v>
      </c>
      <c r="E6" s="38">
        <v>700</v>
      </c>
      <c r="F6" s="32" t="s">
        <v>668</v>
      </c>
      <c r="G6" s="32" t="s">
        <v>891</v>
      </c>
      <c r="H6" s="32" t="s">
        <v>157</v>
      </c>
      <c r="I6" s="40" t="s">
        <v>312</v>
      </c>
      <c r="J6" s="45">
        <f>IF(E6="","",IFERROR(E6*INDEX(UnitFactors,MATCH(F6,UnitNames,0)),""))</f>
        <v>0</v>
      </c>
      <c r="K6" s="17">
        <f>IF(F6="","",IFERROR(INDEX(UnitBases,MATCH(F6,UnitNames,0)),"?"))</f>
        <v>0</v>
      </c>
      <c r="L6" s="17">
        <f>IF(D6="","",IFERROR(INDEX(Ingredients!$G$5:$G$304,MATCH(D6,Ingredients!$B$5:$B$304,0)),"Add to Ingredients"))</f>
        <v>0</v>
      </c>
      <c r="M6" s="25">
        <f>IF(D6="","",IFERROR(INDEX(Ingredients!$J$5:$J$304,MATCH(D6,Ingredients!$B$5:$B$304,0)),"Add to Ingredients"))</f>
        <v>0</v>
      </c>
      <c r="N6" s="25">
        <f>IF(OR(J6="",M6="",NOT(ISNUMBER(M6))),"",IF(K6&lt;&gt;L6,"",J6*M6))</f>
        <v>0</v>
      </c>
      <c r="O6" s="25">
        <f>IF(N6="","",IFERROR(N6/INDEX(Recipes!$G$5:$G$204,MATCH(B6,Recipes!$A$5:$A$204,0)),""))</f>
        <v>0</v>
      </c>
      <c r="P6" s="30">
        <f>IF(J6="","",IF(K6="each",J6,J6/100))</f>
        <v>0</v>
      </c>
      <c r="Q6" s="30">
        <f>IFERROR(IF(P6="","",P6*INDEX(Ingredients!$P$5:$P$304,MATCH(D6,Ingredients!$B$5:$B$304,0))),"")</f>
        <v>0</v>
      </c>
      <c r="R6" s="45">
        <f>IFERROR(IF(P6="","",P6*INDEX(Ingredients!$Q$5:$Q$304,MATCH(D6,Ingredients!$B$5:$B$304,0))),"")</f>
        <v>0</v>
      </c>
      <c r="S6" s="45">
        <f>IFERROR(IF(P6="","",P6*INDEX(Ingredients!$R$5:$R$304,MATCH(D6,Ingredients!$B$5:$B$304,0))),"")</f>
        <v>0</v>
      </c>
      <c r="T6" s="45">
        <f>IFERROR(IF(P6="","",P6*INDEX(Ingredients!$S$5:$S$304,MATCH(D6,Ingredients!$B$5:$B$304,0))),"")</f>
        <v>0</v>
      </c>
      <c r="U6" s="45">
        <f>IFERROR(IF(P6="","",P6*INDEX(Ingredients!$T$5:$T$304,MATCH(D6,Ingredients!$B$5:$B$304,0))),"")</f>
        <v>0</v>
      </c>
      <c r="V6" s="17">
        <f>IF(D6="","",IFERROR(INDEX(Ingredients!$W$5:$W$304,MATCH(D6,Ingredients!$B$5:$B$304,0)),"Add to Ingredients"))</f>
        <v>0</v>
      </c>
      <c r="W6" s="17">
        <f>IF(D6="","",IFERROR(INDEX(Ingredients!$C$5:$C$304,MATCH(D6,Ingredients!$B$5:$B$304,0)),"Add to Ingredients"))</f>
        <v>0</v>
      </c>
      <c r="X6" s="45">
        <f>IFERROR(INDEX(Recipes!$AT$5:$AT$204,MATCH(B6,Recipes!$A$5:$A$204,0)),0)</f>
        <v>0</v>
      </c>
      <c r="Y6" s="45">
        <f>IF(OR(J6="",X6=0),"",J6*X6)</f>
        <v>0</v>
      </c>
      <c r="Z6" s="17">
        <f>IF(D6="","",B6&amp;"#"&amp;COUNTIFS($B$5:B6,B6))</f>
        <v>0</v>
      </c>
      <c r="AA6" s="17">
        <f>IF(D6="","",B6&amp;"|"&amp;D6)</f>
        <v>0</v>
      </c>
      <c r="AB6" s="31">
        <f>IF(D6="","",IF(B6="","Add - which recipe?",IF(COUNTIFS(Ingredients!$B$5:$B$304,D6)=0,"Missing - not in the Ingredients tab",IF(E6="","Add - no quantity",IF(F6="","Add - no unit",IF(K6&lt;&gt;L6,"Check - recipe in "&amp;K6&amp;", priced in "&amp;L6,IF(COUNTIFS($AA$5:$AA$1204,AA6)&gt;1,"Duplicate - same ingredient twice","OK")))))))</f>
        <v>0</v>
      </c>
    </row>
    <row r="7" spans="1:28">
      <c r="A7" s="39">
        <f>IF(D7="","","RL-"&amp;TEXT(ROW()-4,"0000"))</f>
        <v>0</v>
      </c>
      <c r="B7" s="32" t="s">
        <v>887</v>
      </c>
      <c r="C7" s="17">
        <f>IF(B7="","",IFERROR(INDEX(Recipes!$B$5:$B$204,MATCH(B7,Recipes!$A$5:$A$204,0)),"Not found"))</f>
        <v>0</v>
      </c>
      <c r="D7" s="32" t="s">
        <v>892</v>
      </c>
      <c r="E7" s="38">
        <v>2</v>
      </c>
      <c r="F7" s="32" t="s">
        <v>685</v>
      </c>
      <c r="G7" s="32" t="s">
        <v>893</v>
      </c>
      <c r="H7" s="32" t="s">
        <v>157</v>
      </c>
      <c r="I7" s="40" t="s">
        <v>312</v>
      </c>
      <c r="J7" s="45">
        <f>IF(E7="","",IFERROR(E7*INDEX(UnitFactors,MATCH(F7,UnitNames,0)),""))</f>
        <v>0</v>
      </c>
      <c r="K7" s="17">
        <f>IF(F7="","",IFERROR(INDEX(UnitBases,MATCH(F7,UnitNames,0)),"?"))</f>
        <v>0</v>
      </c>
      <c r="L7" s="17">
        <f>IF(D7="","",IFERROR(INDEX(Ingredients!$G$5:$G$304,MATCH(D7,Ingredients!$B$5:$B$304,0)),"Add to Ingredients"))</f>
        <v>0</v>
      </c>
      <c r="M7" s="25">
        <f>IF(D7="","",IFERROR(INDEX(Ingredients!$J$5:$J$304,MATCH(D7,Ingredients!$B$5:$B$304,0)),"Add to Ingredients"))</f>
        <v>0</v>
      </c>
      <c r="N7" s="25">
        <f>IF(OR(J7="",M7="",NOT(ISNUMBER(M7))),"",IF(K7&lt;&gt;L7,"",J7*M7))</f>
        <v>0</v>
      </c>
      <c r="O7" s="25">
        <f>IF(N7="","",IFERROR(N7/INDEX(Recipes!$G$5:$G$204,MATCH(B7,Recipes!$A$5:$A$204,0)),""))</f>
        <v>0</v>
      </c>
      <c r="P7" s="30">
        <f>IF(J7="","",IF(K7="each",J7,J7/100))</f>
        <v>0</v>
      </c>
      <c r="Q7" s="30">
        <f>IFERROR(IF(P7="","",P7*INDEX(Ingredients!$P$5:$P$304,MATCH(D7,Ingredients!$B$5:$B$304,0))),"")</f>
        <v>0</v>
      </c>
      <c r="R7" s="45">
        <f>IFERROR(IF(P7="","",P7*INDEX(Ingredients!$Q$5:$Q$304,MATCH(D7,Ingredients!$B$5:$B$304,0))),"")</f>
        <v>0</v>
      </c>
      <c r="S7" s="45">
        <f>IFERROR(IF(P7="","",P7*INDEX(Ingredients!$R$5:$R$304,MATCH(D7,Ingredients!$B$5:$B$304,0))),"")</f>
        <v>0</v>
      </c>
      <c r="T7" s="45">
        <f>IFERROR(IF(P7="","",P7*INDEX(Ingredients!$S$5:$S$304,MATCH(D7,Ingredients!$B$5:$B$304,0))),"")</f>
        <v>0</v>
      </c>
      <c r="U7" s="45">
        <f>IFERROR(IF(P7="","",P7*INDEX(Ingredients!$T$5:$T$304,MATCH(D7,Ingredients!$B$5:$B$304,0))),"")</f>
        <v>0</v>
      </c>
      <c r="V7" s="17">
        <f>IF(D7="","",IFERROR(INDEX(Ingredients!$W$5:$W$304,MATCH(D7,Ingredients!$B$5:$B$304,0)),"Add to Ingredients"))</f>
        <v>0</v>
      </c>
      <c r="W7" s="17">
        <f>IF(D7="","",IFERROR(INDEX(Ingredients!$C$5:$C$304,MATCH(D7,Ingredients!$B$5:$B$304,0)),"Add to Ingredients"))</f>
        <v>0</v>
      </c>
      <c r="X7" s="45">
        <f>IFERROR(INDEX(Recipes!$AT$5:$AT$204,MATCH(B7,Recipes!$A$5:$A$204,0)),0)</f>
        <v>0</v>
      </c>
      <c r="Y7" s="45">
        <f>IF(OR(J7="",X7=0),"",J7*X7)</f>
        <v>0</v>
      </c>
      <c r="Z7" s="17">
        <f>IF(D7="","",B7&amp;"#"&amp;COUNTIFS($B$5:B7,B7))</f>
        <v>0</v>
      </c>
      <c r="AA7" s="17">
        <f>IF(D7="","",B7&amp;"|"&amp;D7)</f>
        <v>0</v>
      </c>
      <c r="AB7" s="31">
        <f>IF(D7="","",IF(B7="","Add - which recipe?",IF(COUNTIFS(Ingredients!$B$5:$B$304,D7)=0,"Missing - not in the Ingredients tab",IF(E7="","Add - no quantity",IF(F7="","Add - no unit",IF(K7&lt;&gt;L7,"Check - recipe in "&amp;K7&amp;", priced in "&amp;L7,IF(COUNTIFS($AA$5:$AA$1204,AA7)&gt;1,"Duplicate - same ingredient twice","OK")))))))</f>
        <v>0</v>
      </c>
    </row>
    <row r="8" spans="1:28">
      <c r="A8" s="39">
        <f>IF(D8="","","RL-"&amp;TEXT(ROW()-4,"0000"))</f>
        <v>0</v>
      </c>
      <c r="B8" s="32" t="s">
        <v>887</v>
      </c>
      <c r="C8" s="17">
        <f>IF(B8="","",IFERROR(INDEX(Recipes!$B$5:$B$204,MATCH(B8,Recipes!$A$5:$A$204,0)),"Not found"))</f>
        <v>0</v>
      </c>
      <c r="D8" s="32" t="s">
        <v>894</v>
      </c>
      <c r="E8" s="38">
        <v>200</v>
      </c>
      <c r="F8" s="32" t="s">
        <v>668</v>
      </c>
      <c r="G8" s="32" t="s">
        <v>895</v>
      </c>
      <c r="H8" s="32" t="s">
        <v>157</v>
      </c>
      <c r="I8" s="40" t="s">
        <v>312</v>
      </c>
      <c r="J8" s="45">
        <f>IF(E8="","",IFERROR(E8*INDEX(UnitFactors,MATCH(F8,UnitNames,0)),""))</f>
        <v>0</v>
      </c>
      <c r="K8" s="17">
        <f>IF(F8="","",IFERROR(INDEX(UnitBases,MATCH(F8,UnitNames,0)),"?"))</f>
        <v>0</v>
      </c>
      <c r="L8" s="17">
        <f>IF(D8="","",IFERROR(INDEX(Ingredients!$G$5:$G$304,MATCH(D8,Ingredients!$B$5:$B$304,0)),"Add to Ingredients"))</f>
        <v>0</v>
      </c>
      <c r="M8" s="25">
        <f>IF(D8="","",IFERROR(INDEX(Ingredients!$J$5:$J$304,MATCH(D8,Ingredients!$B$5:$B$304,0)),"Add to Ingredients"))</f>
        <v>0</v>
      </c>
      <c r="N8" s="25">
        <f>IF(OR(J8="",M8="",NOT(ISNUMBER(M8))),"",IF(K8&lt;&gt;L8,"",J8*M8))</f>
        <v>0</v>
      </c>
      <c r="O8" s="25">
        <f>IF(N8="","",IFERROR(N8/INDEX(Recipes!$G$5:$G$204,MATCH(B8,Recipes!$A$5:$A$204,0)),""))</f>
        <v>0</v>
      </c>
      <c r="P8" s="30">
        <f>IF(J8="","",IF(K8="each",J8,J8/100))</f>
        <v>0</v>
      </c>
      <c r="Q8" s="30">
        <f>IFERROR(IF(P8="","",P8*INDEX(Ingredients!$P$5:$P$304,MATCH(D8,Ingredients!$B$5:$B$304,0))),"")</f>
        <v>0</v>
      </c>
      <c r="R8" s="45">
        <f>IFERROR(IF(P8="","",P8*INDEX(Ingredients!$Q$5:$Q$304,MATCH(D8,Ingredients!$B$5:$B$304,0))),"")</f>
        <v>0</v>
      </c>
      <c r="S8" s="45">
        <f>IFERROR(IF(P8="","",P8*INDEX(Ingredients!$R$5:$R$304,MATCH(D8,Ingredients!$B$5:$B$304,0))),"")</f>
        <v>0</v>
      </c>
      <c r="T8" s="45">
        <f>IFERROR(IF(P8="","",P8*INDEX(Ingredients!$S$5:$S$304,MATCH(D8,Ingredients!$B$5:$B$304,0))),"")</f>
        <v>0</v>
      </c>
      <c r="U8" s="45">
        <f>IFERROR(IF(P8="","",P8*INDEX(Ingredients!$T$5:$T$304,MATCH(D8,Ingredients!$B$5:$B$304,0))),"")</f>
        <v>0</v>
      </c>
      <c r="V8" s="17">
        <f>IF(D8="","",IFERROR(INDEX(Ingredients!$W$5:$W$304,MATCH(D8,Ingredients!$B$5:$B$304,0)),"Add to Ingredients"))</f>
        <v>0</v>
      </c>
      <c r="W8" s="17">
        <f>IF(D8="","",IFERROR(INDEX(Ingredients!$C$5:$C$304,MATCH(D8,Ingredients!$B$5:$B$304,0)),"Add to Ingredients"))</f>
        <v>0</v>
      </c>
      <c r="X8" s="45">
        <f>IFERROR(INDEX(Recipes!$AT$5:$AT$204,MATCH(B8,Recipes!$A$5:$A$204,0)),0)</f>
        <v>0</v>
      </c>
      <c r="Y8" s="45">
        <f>IF(OR(J8="",X8=0),"",J8*X8)</f>
        <v>0</v>
      </c>
      <c r="Z8" s="17">
        <f>IF(D8="","",B8&amp;"#"&amp;COUNTIFS($B$5:B8,B8))</f>
        <v>0</v>
      </c>
      <c r="AA8" s="17">
        <f>IF(D8="","",B8&amp;"|"&amp;D8)</f>
        <v>0</v>
      </c>
      <c r="AB8" s="31">
        <f>IF(D8="","",IF(B8="","Add - which recipe?",IF(COUNTIFS(Ingredients!$B$5:$B$304,D8)=0,"Missing - not in the Ingredients tab",IF(E8="","Add - no quantity",IF(F8="","Add - no unit",IF(K8&lt;&gt;L8,"Check - recipe in "&amp;K8&amp;", priced in "&amp;L8,IF(COUNTIFS($AA$5:$AA$1204,AA8)&gt;1,"Duplicate - same ingredient twice","OK")))))))</f>
        <v>0</v>
      </c>
    </row>
    <row r="9" spans="1:28">
      <c r="A9" s="39">
        <f>IF(D9="","","RL-"&amp;TEXT(ROW()-4,"0000"))</f>
        <v>0</v>
      </c>
      <c r="B9" s="32" t="s">
        <v>887</v>
      </c>
      <c r="C9" s="17">
        <f>IF(B9="","",IFERROR(INDEX(Recipes!$B$5:$B$204,MATCH(B9,Recipes!$A$5:$A$204,0)),"Not found"))</f>
        <v>0</v>
      </c>
      <c r="D9" s="32" t="s">
        <v>896</v>
      </c>
      <c r="E9" s="38">
        <v>2</v>
      </c>
      <c r="F9" s="32" t="s">
        <v>678</v>
      </c>
      <c r="G9" s="32" t="s">
        <v>157</v>
      </c>
      <c r="H9" s="32" t="s">
        <v>157</v>
      </c>
      <c r="I9" s="40" t="s">
        <v>312</v>
      </c>
      <c r="J9" s="45">
        <f>IF(E9="","",IFERROR(E9*INDEX(UnitFactors,MATCH(F9,UnitNames,0)),""))</f>
        <v>0</v>
      </c>
      <c r="K9" s="17">
        <f>IF(F9="","",IFERROR(INDEX(UnitBases,MATCH(F9,UnitNames,0)),"?"))</f>
        <v>0</v>
      </c>
      <c r="L9" s="17">
        <f>IF(D9="","",IFERROR(INDEX(Ingredients!$G$5:$G$304,MATCH(D9,Ingredients!$B$5:$B$304,0)),"Add to Ingredients"))</f>
        <v>0</v>
      </c>
      <c r="M9" s="25">
        <f>IF(D9="","",IFERROR(INDEX(Ingredients!$J$5:$J$304,MATCH(D9,Ingredients!$B$5:$B$304,0)),"Add to Ingredients"))</f>
        <v>0</v>
      </c>
      <c r="N9" s="25">
        <f>IF(OR(J9="",M9="",NOT(ISNUMBER(M9))),"",IF(K9&lt;&gt;L9,"",J9*M9))</f>
        <v>0</v>
      </c>
      <c r="O9" s="25">
        <f>IF(N9="","",IFERROR(N9/INDEX(Recipes!$G$5:$G$204,MATCH(B9,Recipes!$A$5:$A$204,0)),""))</f>
        <v>0</v>
      </c>
      <c r="P9" s="30">
        <f>IF(J9="","",IF(K9="each",J9,J9/100))</f>
        <v>0</v>
      </c>
      <c r="Q9" s="30">
        <f>IFERROR(IF(P9="","",P9*INDEX(Ingredients!$P$5:$P$304,MATCH(D9,Ingredients!$B$5:$B$304,0))),"")</f>
        <v>0</v>
      </c>
      <c r="R9" s="45">
        <f>IFERROR(IF(P9="","",P9*INDEX(Ingredients!$Q$5:$Q$304,MATCH(D9,Ingredients!$B$5:$B$304,0))),"")</f>
        <v>0</v>
      </c>
      <c r="S9" s="45">
        <f>IFERROR(IF(P9="","",P9*INDEX(Ingredients!$R$5:$R$304,MATCH(D9,Ingredients!$B$5:$B$304,0))),"")</f>
        <v>0</v>
      </c>
      <c r="T9" s="45">
        <f>IFERROR(IF(P9="","",P9*INDEX(Ingredients!$S$5:$S$304,MATCH(D9,Ingredients!$B$5:$B$304,0))),"")</f>
        <v>0</v>
      </c>
      <c r="U9" s="45">
        <f>IFERROR(IF(P9="","",P9*INDEX(Ingredients!$T$5:$T$304,MATCH(D9,Ingredients!$B$5:$B$304,0))),"")</f>
        <v>0</v>
      </c>
      <c r="V9" s="17">
        <f>IF(D9="","",IFERROR(INDEX(Ingredients!$W$5:$W$304,MATCH(D9,Ingredients!$B$5:$B$304,0)),"Add to Ingredients"))</f>
        <v>0</v>
      </c>
      <c r="W9" s="17">
        <f>IF(D9="","",IFERROR(INDEX(Ingredients!$C$5:$C$304,MATCH(D9,Ingredients!$B$5:$B$304,0)),"Add to Ingredients"))</f>
        <v>0</v>
      </c>
      <c r="X9" s="45">
        <f>IFERROR(INDEX(Recipes!$AT$5:$AT$204,MATCH(B9,Recipes!$A$5:$A$204,0)),0)</f>
        <v>0</v>
      </c>
      <c r="Y9" s="45">
        <f>IF(OR(J9="",X9=0),"",J9*X9)</f>
        <v>0</v>
      </c>
      <c r="Z9" s="17">
        <f>IF(D9="","",B9&amp;"#"&amp;COUNTIFS($B$5:B9,B9))</f>
        <v>0</v>
      </c>
      <c r="AA9" s="17">
        <f>IF(D9="","",B9&amp;"|"&amp;D9)</f>
        <v>0</v>
      </c>
      <c r="AB9" s="31">
        <f>IF(D9="","",IF(B9="","Add - which recipe?",IF(COUNTIFS(Ingredients!$B$5:$B$304,D9)=0,"Missing - not in the Ingredients tab",IF(E9="","Add - no quantity",IF(F9="","Add - no unit",IF(K9&lt;&gt;L9,"Check - recipe in "&amp;K9&amp;", priced in "&amp;L9,IF(COUNTIFS($AA$5:$AA$1204,AA9)&gt;1,"Duplicate - same ingredient twice","OK")))))))</f>
        <v>0</v>
      </c>
    </row>
    <row r="10" spans="1:28">
      <c r="A10" s="39">
        <f>IF(D10="","","RL-"&amp;TEXT(ROW()-4,"0000"))</f>
        <v>0</v>
      </c>
      <c r="B10" s="32" t="s">
        <v>887</v>
      </c>
      <c r="C10" s="17">
        <f>IF(B10="","",IFERROR(INDEX(Recipes!$B$5:$B$204,MATCH(B10,Recipes!$A$5:$A$204,0)),"Not found"))</f>
        <v>0</v>
      </c>
      <c r="D10" s="32" t="s">
        <v>897</v>
      </c>
      <c r="E10" s="38">
        <v>2</v>
      </c>
      <c r="F10" s="32" t="s">
        <v>677</v>
      </c>
      <c r="G10" s="32" t="s">
        <v>157</v>
      </c>
      <c r="H10" s="32" t="s">
        <v>157</v>
      </c>
      <c r="I10" s="40" t="s">
        <v>312</v>
      </c>
      <c r="J10" s="45">
        <f>IF(E10="","",IFERROR(E10*INDEX(UnitFactors,MATCH(F10,UnitNames,0)),""))</f>
        <v>0</v>
      </c>
      <c r="K10" s="17">
        <f>IF(F10="","",IFERROR(INDEX(UnitBases,MATCH(F10,UnitNames,0)),"?"))</f>
        <v>0</v>
      </c>
      <c r="L10" s="17">
        <f>IF(D10="","",IFERROR(INDEX(Ingredients!$G$5:$G$304,MATCH(D10,Ingredients!$B$5:$B$304,0)),"Add to Ingredients"))</f>
        <v>0</v>
      </c>
      <c r="M10" s="25">
        <f>IF(D10="","",IFERROR(INDEX(Ingredients!$J$5:$J$304,MATCH(D10,Ingredients!$B$5:$B$304,0)),"Add to Ingredients"))</f>
        <v>0</v>
      </c>
      <c r="N10" s="25">
        <f>IF(OR(J10="",M10="",NOT(ISNUMBER(M10))),"",IF(K10&lt;&gt;L10,"",J10*M10))</f>
        <v>0</v>
      </c>
      <c r="O10" s="25">
        <f>IF(N10="","",IFERROR(N10/INDEX(Recipes!$G$5:$G$204,MATCH(B10,Recipes!$A$5:$A$204,0)),""))</f>
        <v>0</v>
      </c>
      <c r="P10" s="30">
        <f>IF(J10="","",IF(K10="each",J10,J10/100))</f>
        <v>0</v>
      </c>
      <c r="Q10" s="30">
        <f>IFERROR(IF(P10="","",P10*INDEX(Ingredients!$P$5:$P$304,MATCH(D10,Ingredients!$B$5:$B$304,0))),"")</f>
        <v>0</v>
      </c>
      <c r="R10" s="45">
        <f>IFERROR(IF(P10="","",P10*INDEX(Ingredients!$Q$5:$Q$304,MATCH(D10,Ingredients!$B$5:$B$304,0))),"")</f>
        <v>0</v>
      </c>
      <c r="S10" s="45">
        <f>IFERROR(IF(P10="","",P10*INDEX(Ingredients!$R$5:$R$304,MATCH(D10,Ingredients!$B$5:$B$304,0))),"")</f>
        <v>0</v>
      </c>
      <c r="T10" s="45">
        <f>IFERROR(IF(P10="","",P10*INDEX(Ingredients!$S$5:$S$304,MATCH(D10,Ingredients!$B$5:$B$304,0))),"")</f>
        <v>0</v>
      </c>
      <c r="U10" s="45">
        <f>IFERROR(IF(P10="","",P10*INDEX(Ingredients!$T$5:$T$304,MATCH(D10,Ingredients!$B$5:$B$304,0))),"")</f>
        <v>0</v>
      </c>
      <c r="V10" s="17">
        <f>IF(D10="","",IFERROR(INDEX(Ingredients!$W$5:$W$304,MATCH(D10,Ingredients!$B$5:$B$304,0)),"Add to Ingredients"))</f>
        <v>0</v>
      </c>
      <c r="W10" s="17">
        <f>IF(D10="","",IFERROR(INDEX(Ingredients!$C$5:$C$304,MATCH(D10,Ingredients!$B$5:$B$304,0)),"Add to Ingredients"))</f>
        <v>0</v>
      </c>
      <c r="X10" s="45">
        <f>IFERROR(INDEX(Recipes!$AT$5:$AT$204,MATCH(B10,Recipes!$A$5:$A$204,0)),0)</f>
        <v>0</v>
      </c>
      <c r="Y10" s="45">
        <f>IF(OR(J10="",X10=0),"",J10*X10)</f>
        <v>0</v>
      </c>
      <c r="Z10" s="17">
        <f>IF(D10="","",B10&amp;"#"&amp;COUNTIFS($B$5:B10,B10))</f>
        <v>0</v>
      </c>
      <c r="AA10" s="17">
        <f>IF(D10="","",B10&amp;"|"&amp;D10)</f>
        <v>0</v>
      </c>
      <c r="AB10" s="31">
        <f>IF(D10="","",IF(B10="","Add - which recipe?",IF(COUNTIFS(Ingredients!$B$5:$B$304,D10)=0,"Missing - not in the Ingredients tab",IF(E10="","Add - no quantity",IF(F10="","Add - no unit",IF(K10&lt;&gt;L10,"Check - recipe in "&amp;K10&amp;", priced in "&amp;L10,IF(COUNTIFS($AA$5:$AA$1204,AA10)&gt;1,"Duplicate - same ingredient twice","OK")))))))</f>
        <v>0</v>
      </c>
    </row>
    <row r="11" spans="1:28">
      <c r="A11" s="39">
        <f>IF(D11="","","RL-"&amp;TEXT(ROW()-4,"0000"))</f>
        <v>0</v>
      </c>
      <c r="B11" s="32" t="s">
        <v>898</v>
      </c>
      <c r="C11" s="17">
        <f>IF(B11="","",IFERROR(INDEX(Recipes!$B$5:$B$204,MATCH(B11,Recipes!$A$5:$A$204,0)),"Not found"))</f>
        <v>0</v>
      </c>
      <c r="D11" s="32" t="s">
        <v>899</v>
      </c>
      <c r="E11" s="38">
        <v>500</v>
      </c>
      <c r="F11" s="32" t="s">
        <v>668</v>
      </c>
      <c r="G11" s="32" t="s">
        <v>157</v>
      </c>
      <c r="H11" s="32" t="s">
        <v>157</v>
      </c>
      <c r="I11" s="40" t="s">
        <v>312</v>
      </c>
      <c r="J11" s="45">
        <f>IF(E11="","",IFERROR(E11*INDEX(UnitFactors,MATCH(F11,UnitNames,0)),""))</f>
        <v>0</v>
      </c>
      <c r="K11" s="17">
        <f>IF(F11="","",IFERROR(INDEX(UnitBases,MATCH(F11,UnitNames,0)),"?"))</f>
        <v>0</v>
      </c>
      <c r="L11" s="17">
        <f>IF(D11="","",IFERROR(INDEX(Ingredients!$G$5:$G$304,MATCH(D11,Ingredients!$B$5:$B$304,0)),"Add to Ingredients"))</f>
        <v>0</v>
      </c>
      <c r="M11" s="25">
        <f>IF(D11="","",IFERROR(INDEX(Ingredients!$J$5:$J$304,MATCH(D11,Ingredients!$B$5:$B$304,0)),"Add to Ingredients"))</f>
        <v>0</v>
      </c>
      <c r="N11" s="25">
        <f>IF(OR(J11="",M11="",NOT(ISNUMBER(M11))),"",IF(K11&lt;&gt;L11,"",J11*M11))</f>
        <v>0</v>
      </c>
      <c r="O11" s="25">
        <f>IF(N11="","",IFERROR(N11/INDEX(Recipes!$G$5:$G$204,MATCH(B11,Recipes!$A$5:$A$204,0)),""))</f>
        <v>0</v>
      </c>
      <c r="P11" s="30">
        <f>IF(J11="","",IF(K11="each",J11,J11/100))</f>
        <v>0</v>
      </c>
      <c r="Q11" s="30">
        <f>IFERROR(IF(P11="","",P11*INDEX(Ingredients!$P$5:$P$304,MATCH(D11,Ingredients!$B$5:$B$304,0))),"")</f>
        <v>0</v>
      </c>
      <c r="R11" s="45">
        <f>IFERROR(IF(P11="","",P11*INDEX(Ingredients!$Q$5:$Q$304,MATCH(D11,Ingredients!$B$5:$B$304,0))),"")</f>
        <v>0</v>
      </c>
      <c r="S11" s="45">
        <f>IFERROR(IF(P11="","",P11*INDEX(Ingredients!$R$5:$R$304,MATCH(D11,Ingredients!$B$5:$B$304,0))),"")</f>
        <v>0</v>
      </c>
      <c r="T11" s="45">
        <f>IFERROR(IF(P11="","",P11*INDEX(Ingredients!$S$5:$S$304,MATCH(D11,Ingredients!$B$5:$B$304,0))),"")</f>
        <v>0</v>
      </c>
      <c r="U11" s="45">
        <f>IFERROR(IF(P11="","",P11*INDEX(Ingredients!$T$5:$T$304,MATCH(D11,Ingredients!$B$5:$B$304,0))),"")</f>
        <v>0</v>
      </c>
      <c r="V11" s="17">
        <f>IF(D11="","",IFERROR(INDEX(Ingredients!$W$5:$W$304,MATCH(D11,Ingredients!$B$5:$B$304,0)),"Add to Ingredients"))</f>
        <v>0</v>
      </c>
      <c r="W11" s="17">
        <f>IF(D11="","",IFERROR(INDEX(Ingredients!$C$5:$C$304,MATCH(D11,Ingredients!$B$5:$B$304,0)),"Add to Ingredients"))</f>
        <v>0</v>
      </c>
      <c r="X11" s="45">
        <f>IFERROR(INDEX(Recipes!$AT$5:$AT$204,MATCH(B11,Recipes!$A$5:$A$204,0)),0)</f>
        <v>0</v>
      </c>
      <c r="Y11" s="45">
        <f>IF(OR(J11="",X11=0),"",J11*X11)</f>
        <v>0</v>
      </c>
      <c r="Z11" s="17">
        <f>IF(D11="","",B11&amp;"#"&amp;COUNTIFS($B$5:B11,B11))</f>
        <v>0</v>
      </c>
      <c r="AA11" s="17">
        <f>IF(D11="","",B11&amp;"|"&amp;D11)</f>
        <v>0</v>
      </c>
      <c r="AB11" s="31">
        <f>IF(D11="","",IF(B11="","Add - which recipe?",IF(COUNTIFS(Ingredients!$B$5:$B$304,D11)=0,"Missing - not in the Ingredients tab",IF(E11="","Add - no quantity",IF(F11="","Add - no unit",IF(K11&lt;&gt;L11,"Check - recipe in "&amp;K11&amp;", priced in "&amp;L11,IF(COUNTIFS($AA$5:$AA$1204,AA11)&gt;1,"Duplicate - same ingredient twice","OK")))))))</f>
        <v>0</v>
      </c>
    </row>
    <row r="12" spans="1:28">
      <c r="A12" s="39">
        <f>IF(D12="","","RL-"&amp;TEXT(ROW()-4,"0000"))</f>
        <v>0</v>
      </c>
      <c r="B12" s="32" t="s">
        <v>898</v>
      </c>
      <c r="C12" s="17">
        <f>IF(B12="","",IFERROR(INDEX(Recipes!$B$5:$B$204,MATCH(B12,Recipes!$A$5:$A$204,0)),"Not found"))</f>
        <v>0</v>
      </c>
      <c r="D12" s="32" t="s">
        <v>894</v>
      </c>
      <c r="E12" s="38">
        <v>150</v>
      </c>
      <c r="F12" s="32" t="s">
        <v>668</v>
      </c>
      <c r="G12" s="32" t="s">
        <v>900</v>
      </c>
      <c r="H12" s="32" t="s">
        <v>157</v>
      </c>
      <c r="I12" s="40" t="s">
        <v>312</v>
      </c>
      <c r="J12" s="45">
        <f>IF(E12="","",IFERROR(E12*INDEX(UnitFactors,MATCH(F12,UnitNames,0)),""))</f>
        <v>0</v>
      </c>
      <c r="K12" s="17">
        <f>IF(F12="","",IFERROR(INDEX(UnitBases,MATCH(F12,UnitNames,0)),"?"))</f>
        <v>0</v>
      </c>
      <c r="L12" s="17">
        <f>IF(D12="","",IFERROR(INDEX(Ingredients!$G$5:$G$304,MATCH(D12,Ingredients!$B$5:$B$304,0)),"Add to Ingredients"))</f>
        <v>0</v>
      </c>
      <c r="M12" s="25">
        <f>IF(D12="","",IFERROR(INDEX(Ingredients!$J$5:$J$304,MATCH(D12,Ingredients!$B$5:$B$304,0)),"Add to Ingredients"))</f>
        <v>0</v>
      </c>
      <c r="N12" s="25">
        <f>IF(OR(J12="",M12="",NOT(ISNUMBER(M12))),"",IF(K12&lt;&gt;L12,"",J12*M12))</f>
        <v>0</v>
      </c>
      <c r="O12" s="25">
        <f>IF(N12="","",IFERROR(N12/INDEX(Recipes!$G$5:$G$204,MATCH(B12,Recipes!$A$5:$A$204,0)),""))</f>
        <v>0</v>
      </c>
      <c r="P12" s="30">
        <f>IF(J12="","",IF(K12="each",J12,J12/100))</f>
        <v>0</v>
      </c>
      <c r="Q12" s="30">
        <f>IFERROR(IF(P12="","",P12*INDEX(Ingredients!$P$5:$P$304,MATCH(D12,Ingredients!$B$5:$B$304,0))),"")</f>
        <v>0</v>
      </c>
      <c r="R12" s="45">
        <f>IFERROR(IF(P12="","",P12*INDEX(Ingredients!$Q$5:$Q$304,MATCH(D12,Ingredients!$B$5:$B$304,0))),"")</f>
        <v>0</v>
      </c>
      <c r="S12" s="45">
        <f>IFERROR(IF(P12="","",P12*INDEX(Ingredients!$R$5:$R$304,MATCH(D12,Ingredients!$B$5:$B$304,0))),"")</f>
        <v>0</v>
      </c>
      <c r="T12" s="45">
        <f>IFERROR(IF(P12="","",P12*INDEX(Ingredients!$S$5:$S$304,MATCH(D12,Ingredients!$B$5:$B$304,0))),"")</f>
        <v>0</v>
      </c>
      <c r="U12" s="45">
        <f>IFERROR(IF(P12="","",P12*INDEX(Ingredients!$T$5:$T$304,MATCH(D12,Ingredients!$B$5:$B$304,0))),"")</f>
        <v>0</v>
      </c>
      <c r="V12" s="17">
        <f>IF(D12="","",IFERROR(INDEX(Ingredients!$W$5:$W$304,MATCH(D12,Ingredients!$B$5:$B$304,0)),"Add to Ingredients"))</f>
        <v>0</v>
      </c>
      <c r="W12" s="17">
        <f>IF(D12="","",IFERROR(INDEX(Ingredients!$C$5:$C$304,MATCH(D12,Ingredients!$B$5:$B$304,0)),"Add to Ingredients"))</f>
        <v>0</v>
      </c>
      <c r="X12" s="45">
        <f>IFERROR(INDEX(Recipes!$AT$5:$AT$204,MATCH(B12,Recipes!$A$5:$A$204,0)),0)</f>
        <v>0</v>
      </c>
      <c r="Y12" s="45">
        <f>IF(OR(J12="",X12=0),"",J12*X12)</f>
        <v>0</v>
      </c>
      <c r="Z12" s="17">
        <f>IF(D12="","",B12&amp;"#"&amp;COUNTIFS($B$5:B12,B12))</f>
        <v>0</v>
      </c>
      <c r="AA12" s="17">
        <f>IF(D12="","",B12&amp;"|"&amp;D12)</f>
        <v>0</v>
      </c>
      <c r="AB12" s="31">
        <f>IF(D12="","",IF(B12="","Add - which recipe?",IF(COUNTIFS(Ingredients!$B$5:$B$304,D12)=0,"Missing - not in the Ingredients tab",IF(E12="","Add - no quantity",IF(F12="","Add - no unit",IF(K12&lt;&gt;L12,"Check - recipe in "&amp;K12&amp;", priced in "&amp;L12,IF(COUNTIFS($AA$5:$AA$1204,AA12)&gt;1,"Duplicate - same ingredient twice","OK")))))))</f>
        <v>0</v>
      </c>
    </row>
    <row r="13" spans="1:28">
      <c r="A13" s="39">
        <f>IF(D13="","","RL-"&amp;TEXT(ROW()-4,"0000"))</f>
        <v>0</v>
      </c>
      <c r="B13" s="32" t="s">
        <v>898</v>
      </c>
      <c r="C13" s="17">
        <f>IF(B13="","",IFERROR(INDEX(Recipes!$B$5:$B$204,MATCH(B13,Recipes!$A$5:$A$204,0)),"Not found"))</f>
        <v>0</v>
      </c>
      <c r="D13" s="32" t="s">
        <v>901</v>
      </c>
      <c r="E13" s="38">
        <v>150</v>
      </c>
      <c r="F13" s="32" t="s">
        <v>668</v>
      </c>
      <c r="G13" s="32" t="s">
        <v>902</v>
      </c>
      <c r="H13" s="32" t="s">
        <v>157</v>
      </c>
      <c r="I13" s="40" t="s">
        <v>312</v>
      </c>
      <c r="J13" s="45">
        <f>IF(E13="","",IFERROR(E13*INDEX(UnitFactors,MATCH(F13,UnitNames,0)),""))</f>
        <v>0</v>
      </c>
      <c r="K13" s="17">
        <f>IF(F13="","",IFERROR(INDEX(UnitBases,MATCH(F13,UnitNames,0)),"?"))</f>
        <v>0</v>
      </c>
      <c r="L13" s="17">
        <f>IF(D13="","",IFERROR(INDEX(Ingredients!$G$5:$G$304,MATCH(D13,Ingredients!$B$5:$B$304,0)),"Add to Ingredients"))</f>
        <v>0</v>
      </c>
      <c r="M13" s="25">
        <f>IF(D13="","",IFERROR(INDEX(Ingredients!$J$5:$J$304,MATCH(D13,Ingredients!$B$5:$B$304,0)),"Add to Ingredients"))</f>
        <v>0</v>
      </c>
      <c r="N13" s="25">
        <f>IF(OR(J13="",M13="",NOT(ISNUMBER(M13))),"",IF(K13&lt;&gt;L13,"",J13*M13))</f>
        <v>0</v>
      </c>
      <c r="O13" s="25">
        <f>IF(N13="","",IFERROR(N13/INDEX(Recipes!$G$5:$G$204,MATCH(B13,Recipes!$A$5:$A$204,0)),""))</f>
        <v>0</v>
      </c>
      <c r="P13" s="30">
        <f>IF(J13="","",IF(K13="each",J13,J13/100))</f>
        <v>0</v>
      </c>
      <c r="Q13" s="30">
        <f>IFERROR(IF(P13="","",P13*INDEX(Ingredients!$P$5:$P$304,MATCH(D13,Ingredients!$B$5:$B$304,0))),"")</f>
        <v>0</v>
      </c>
      <c r="R13" s="45">
        <f>IFERROR(IF(P13="","",P13*INDEX(Ingredients!$Q$5:$Q$304,MATCH(D13,Ingredients!$B$5:$B$304,0))),"")</f>
        <v>0</v>
      </c>
      <c r="S13" s="45">
        <f>IFERROR(IF(P13="","",P13*INDEX(Ingredients!$R$5:$R$304,MATCH(D13,Ingredients!$B$5:$B$304,0))),"")</f>
        <v>0</v>
      </c>
      <c r="T13" s="45">
        <f>IFERROR(IF(P13="","",P13*INDEX(Ingredients!$S$5:$S$304,MATCH(D13,Ingredients!$B$5:$B$304,0))),"")</f>
        <v>0</v>
      </c>
      <c r="U13" s="45">
        <f>IFERROR(IF(P13="","",P13*INDEX(Ingredients!$T$5:$T$304,MATCH(D13,Ingredients!$B$5:$B$304,0))),"")</f>
        <v>0</v>
      </c>
      <c r="V13" s="17">
        <f>IF(D13="","",IFERROR(INDEX(Ingredients!$W$5:$W$304,MATCH(D13,Ingredients!$B$5:$B$304,0)),"Add to Ingredients"))</f>
        <v>0</v>
      </c>
      <c r="W13" s="17">
        <f>IF(D13="","",IFERROR(INDEX(Ingredients!$C$5:$C$304,MATCH(D13,Ingredients!$B$5:$B$304,0)),"Add to Ingredients"))</f>
        <v>0</v>
      </c>
      <c r="X13" s="45">
        <f>IFERROR(INDEX(Recipes!$AT$5:$AT$204,MATCH(B13,Recipes!$A$5:$A$204,0)),0)</f>
        <v>0</v>
      </c>
      <c r="Y13" s="45">
        <f>IF(OR(J13="",X13=0),"",J13*X13)</f>
        <v>0</v>
      </c>
      <c r="Z13" s="17">
        <f>IF(D13="","",B13&amp;"#"&amp;COUNTIFS($B$5:B13,B13))</f>
        <v>0</v>
      </c>
      <c r="AA13" s="17">
        <f>IF(D13="","",B13&amp;"|"&amp;D13)</f>
        <v>0</v>
      </c>
      <c r="AB13" s="31">
        <f>IF(D13="","",IF(B13="","Add - which recipe?",IF(COUNTIFS(Ingredients!$B$5:$B$304,D13)=0,"Missing - not in the Ingredients tab",IF(E13="","Add - no quantity",IF(F13="","Add - no unit",IF(K13&lt;&gt;L13,"Check - recipe in "&amp;K13&amp;", priced in "&amp;L13,IF(COUNTIFS($AA$5:$AA$1204,AA13)&gt;1,"Duplicate - same ingredient twice","OK")))))))</f>
        <v>0</v>
      </c>
    </row>
    <row r="14" spans="1:28">
      <c r="A14" s="39">
        <f>IF(D14="","","RL-"&amp;TEXT(ROW()-4,"0000"))</f>
        <v>0</v>
      </c>
      <c r="B14" s="32" t="s">
        <v>898</v>
      </c>
      <c r="C14" s="17">
        <f>IF(B14="","",IFERROR(INDEX(Recipes!$B$5:$B$204,MATCH(B14,Recipes!$A$5:$A$204,0)),"Not found"))</f>
        <v>0</v>
      </c>
      <c r="D14" s="32" t="s">
        <v>903</v>
      </c>
      <c r="E14" s="38">
        <v>2</v>
      </c>
      <c r="F14" s="32" t="s">
        <v>687</v>
      </c>
      <c r="G14" s="32" t="s">
        <v>904</v>
      </c>
      <c r="H14" s="32" t="s">
        <v>157</v>
      </c>
      <c r="I14" s="40" t="s">
        <v>312</v>
      </c>
      <c r="J14" s="45">
        <f>IF(E14="","",IFERROR(E14*INDEX(UnitFactors,MATCH(F14,UnitNames,0)),""))</f>
        <v>0</v>
      </c>
      <c r="K14" s="17">
        <f>IF(F14="","",IFERROR(INDEX(UnitBases,MATCH(F14,UnitNames,0)),"?"))</f>
        <v>0</v>
      </c>
      <c r="L14" s="17">
        <f>IF(D14="","",IFERROR(INDEX(Ingredients!$G$5:$G$304,MATCH(D14,Ingredients!$B$5:$B$304,0)),"Add to Ingredients"))</f>
        <v>0</v>
      </c>
      <c r="M14" s="25">
        <f>IF(D14="","",IFERROR(INDEX(Ingredients!$J$5:$J$304,MATCH(D14,Ingredients!$B$5:$B$304,0)),"Add to Ingredients"))</f>
        <v>0</v>
      </c>
      <c r="N14" s="25">
        <f>IF(OR(J14="",M14="",NOT(ISNUMBER(M14))),"",IF(K14&lt;&gt;L14,"",J14*M14))</f>
        <v>0</v>
      </c>
      <c r="O14" s="25">
        <f>IF(N14="","",IFERROR(N14/INDEX(Recipes!$G$5:$G$204,MATCH(B14,Recipes!$A$5:$A$204,0)),""))</f>
        <v>0</v>
      </c>
      <c r="P14" s="30">
        <f>IF(J14="","",IF(K14="each",J14,J14/100))</f>
        <v>0</v>
      </c>
      <c r="Q14" s="30">
        <f>IFERROR(IF(P14="","",P14*INDEX(Ingredients!$P$5:$P$304,MATCH(D14,Ingredients!$B$5:$B$304,0))),"")</f>
        <v>0</v>
      </c>
      <c r="R14" s="45">
        <f>IFERROR(IF(P14="","",P14*INDEX(Ingredients!$Q$5:$Q$304,MATCH(D14,Ingredients!$B$5:$B$304,0))),"")</f>
        <v>0</v>
      </c>
      <c r="S14" s="45">
        <f>IFERROR(IF(P14="","",P14*INDEX(Ingredients!$R$5:$R$304,MATCH(D14,Ingredients!$B$5:$B$304,0))),"")</f>
        <v>0</v>
      </c>
      <c r="T14" s="45">
        <f>IFERROR(IF(P14="","",P14*INDEX(Ingredients!$S$5:$S$304,MATCH(D14,Ingredients!$B$5:$B$304,0))),"")</f>
        <v>0</v>
      </c>
      <c r="U14" s="45">
        <f>IFERROR(IF(P14="","",P14*INDEX(Ingredients!$T$5:$T$304,MATCH(D14,Ingredients!$B$5:$B$304,0))),"")</f>
        <v>0</v>
      </c>
      <c r="V14" s="17">
        <f>IF(D14="","",IFERROR(INDEX(Ingredients!$W$5:$W$304,MATCH(D14,Ingredients!$B$5:$B$304,0)),"Add to Ingredients"))</f>
        <v>0</v>
      </c>
      <c r="W14" s="17">
        <f>IF(D14="","",IFERROR(INDEX(Ingredients!$C$5:$C$304,MATCH(D14,Ingredients!$B$5:$B$304,0)),"Add to Ingredients"))</f>
        <v>0</v>
      </c>
      <c r="X14" s="45">
        <f>IFERROR(INDEX(Recipes!$AT$5:$AT$204,MATCH(B14,Recipes!$A$5:$A$204,0)),0)</f>
        <v>0</v>
      </c>
      <c r="Y14" s="45">
        <f>IF(OR(J14="",X14=0),"",J14*X14)</f>
        <v>0</v>
      </c>
      <c r="Z14" s="17">
        <f>IF(D14="","",B14&amp;"#"&amp;COUNTIFS($B$5:B14,B14))</f>
        <v>0</v>
      </c>
      <c r="AA14" s="17">
        <f>IF(D14="","",B14&amp;"|"&amp;D14)</f>
        <v>0</v>
      </c>
      <c r="AB14" s="31">
        <f>IF(D14="","",IF(B14="","Add - which recipe?",IF(COUNTIFS(Ingredients!$B$5:$B$304,D14)=0,"Missing - not in the Ingredients tab",IF(E14="","Add - no quantity",IF(F14="","Add - no unit",IF(K14&lt;&gt;L14,"Check - recipe in "&amp;K14&amp;", priced in "&amp;L14,IF(COUNTIFS($AA$5:$AA$1204,AA14)&gt;1,"Duplicate - same ingredient twice","OK")))))))</f>
        <v>0</v>
      </c>
    </row>
    <row r="15" spans="1:28">
      <c r="A15" s="39">
        <f>IF(D15="","","RL-"&amp;TEXT(ROW()-4,"0000"))</f>
        <v>0</v>
      </c>
      <c r="B15" s="32" t="s">
        <v>898</v>
      </c>
      <c r="C15" s="17">
        <f>IF(B15="","",IFERROR(INDEX(Recipes!$B$5:$B$204,MATCH(B15,Recipes!$A$5:$A$204,0)),"Not found"))</f>
        <v>0</v>
      </c>
      <c r="D15" s="32" t="s">
        <v>905</v>
      </c>
      <c r="E15" s="38">
        <v>800</v>
      </c>
      <c r="F15" s="32" t="s">
        <v>668</v>
      </c>
      <c r="G15" s="32" t="s">
        <v>157</v>
      </c>
      <c r="H15" s="32" t="s">
        <v>157</v>
      </c>
      <c r="I15" s="40" t="s">
        <v>312</v>
      </c>
      <c r="J15" s="45">
        <f>IF(E15="","",IFERROR(E15*INDEX(UnitFactors,MATCH(F15,UnitNames,0)),""))</f>
        <v>0</v>
      </c>
      <c r="K15" s="17">
        <f>IF(F15="","",IFERROR(INDEX(UnitBases,MATCH(F15,UnitNames,0)),"?"))</f>
        <v>0</v>
      </c>
      <c r="L15" s="17">
        <f>IF(D15="","",IFERROR(INDEX(Ingredients!$G$5:$G$304,MATCH(D15,Ingredients!$B$5:$B$304,0)),"Add to Ingredients"))</f>
        <v>0</v>
      </c>
      <c r="M15" s="25">
        <f>IF(D15="","",IFERROR(INDEX(Ingredients!$J$5:$J$304,MATCH(D15,Ingredients!$B$5:$B$304,0)),"Add to Ingredients"))</f>
        <v>0</v>
      </c>
      <c r="N15" s="25">
        <f>IF(OR(J15="",M15="",NOT(ISNUMBER(M15))),"",IF(K15&lt;&gt;L15,"",J15*M15))</f>
        <v>0</v>
      </c>
      <c r="O15" s="25">
        <f>IF(N15="","",IFERROR(N15/INDEX(Recipes!$G$5:$G$204,MATCH(B15,Recipes!$A$5:$A$204,0)),""))</f>
        <v>0</v>
      </c>
      <c r="P15" s="30">
        <f>IF(J15="","",IF(K15="each",J15,J15/100))</f>
        <v>0</v>
      </c>
      <c r="Q15" s="30">
        <f>IFERROR(IF(P15="","",P15*INDEX(Ingredients!$P$5:$P$304,MATCH(D15,Ingredients!$B$5:$B$304,0))),"")</f>
        <v>0</v>
      </c>
      <c r="R15" s="45">
        <f>IFERROR(IF(P15="","",P15*INDEX(Ingredients!$Q$5:$Q$304,MATCH(D15,Ingredients!$B$5:$B$304,0))),"")</f>
        <v>0</v>
      </c>
      <c r="S15" s="45">
        <f>IFERROR(IF(P15="","",P15*INDEX(Ingredients!$R$5:$R$304,MATCH(D15,Ingredients!$B$5:$B$304,0))),"")</f>
        <v>0</v>
      </c>
      <c r="T15" s="45">
        <f>IFERROR(IF(P15="","",P15*INDEX(Ingredients!$S$5:$S$304,MATCH(D15,Ingredients!$B$5:$B$304,0))),"")</f>
        <v>0</v>
      </c>
      <c r="U15" s="45">
        <f>IFERROR(IF(P15="","",P15*INDEX(Ingredients!$T$5:$T$304,MATCH(D15,Ingredients!$B$5:$B$304,0))),"")</f>
        <v>0</v>
      </c>
      <c r="V15" s="17">
        <f>IF(D15="","",IFERROR(INDEX(Ingredients!$W$5:$W$304,MATCH(D15,Ingredients!$B$5:$B$304,0)),"Add to Ingredients"))</f>
        <v>0</v>
      </c>
      <c r="W15" s="17">
        <f>IF(D15="","",IFERROR(INDEX(Ingredients!$C$5:$C$304,MATCH(D15,Ingredients!$B$5:$B$304,0)),"Add to Ingredients"))</f>
        <v>0</v>
      </c>
      <c r="X15" s="45">
        <f>IFERROR(INDEX(Recipes!$AT$5:$AT$204,MATCH(B15,Recipes!$A$5:$A$204,0)),0)</f>
        <v>0</v>
      </c>
      <c r="Y15" s="45">
        <f>IF(OR(J15="",X15=0),"",J15*X15)</f>
        <v>0</v>
      </c>
      <c r="Z15" s="17">
        <f>IF(D15="","",B15&amp;"#"&amp;COUNTIFS($B$5:B15,B15))</f>
        <v>0</v>
      </c>
      <c r="AA15" s="17">
        <f>IF(D15="","",B15&amp;"|"&amp;D15)</f>
        <v>0</v>
      </c>
      <c r="AB15" s="31">
        <f>IF(D15="","",IF(B15="","Add - which recipe?",IF(COUNTIFS(Ingredients!$B$5:$B$304,D15)=0,"Missing - not in the Ingredients tab",IF(E15="","Add - no quantity",IF(F15="","Add - no unit",IF(K15&lt;&gt;L15,"Check - recipe in "&amp;K15&amp;", priced in "&amp;L15,IF(COUNTIFS($AA$5:$AA$1204,AA15)&gt;1,"Duplicate - same ingredient twice","OK")))))))</f>
        <v>0</v>
      </c>
    </row>
    <row r="16" spans="1:28">
      <c r="A16" s="39">
        <f>IF(D16="","","RL-"&amp;TEXT(ROW()-4,"0000"))</f>
        <v>0</v>
      </c>
      <c r="B16" s="32" t="s">
        <v>898</v>
      </c>
      <c r="C16" s="17">
        <f>IF(B16="","",IFERROR(INDEX(Recipes!$B$5:$B$204,MATCH(B16,Recipes!$A$5:$A$204,0)),"Not found"))</f>
        <v>0</v>
      </c>
      <c r="D16" s="32" t="s">
        <v>906</v>
      </c>
      <c r="E16" s="38">
        <v>500</v>
      </c>
      <c r="F16" s="32" t="s">
        <v>668</v>
      </c>
      <c r="G16" s="32" t="s">
        <v>157</v>
      </c>
      <c r="H16" s="32" t="s">
        <v>157</v>
      </c>
      <c r="I16" s="40" t="s">
        <v>312</v>
      </c>
      <c r="J16" s="45">
        <f>IF(E16="","",IFERROR(E16*INDEX(UnitFactors,MATCH(F16,UnitNames,0)),""))</f>
        <v>0</v>
      </c>
      <c r="K16" s="17">
        <f>IF(F16="","",IFERROR(INDEX(UnitBases,MATCH(F16,UnitNames,0)),"?"))</f>
        <v>0</v>
      </c>
      <c r="L16" s="17">
        <f>IF(D16="","",IFERROR(INDEX(Ingredients!$G$5:$G$304,MATCH(D16,Ingredients!$B$5:$B$304,0)),"Add to Ingredients"))</f>
        <v>0</v>
      </c>
      <c r="M16" s="25">
        <f>IF(D16="","",IFERROR(INDEX(Ingredients!$J$5:$J$304,MATCH(D16,Ingredients!$B$5:$B$304,0)),"Add to Ingredients"))</f>
        <v>0</v>
      </c>
      <c r="N16" s="25">
        <f>IF(OR(J16="",M16="",NOT(ISNUMBER(M16))),"",IF(K16&lt;&gt;L16,"",J16*M16))</f>
        <v>0</v>
      </c>
      <c r="O16" s="25">
        <f>IF(N16="","",IFERROR(N16/INDEX(Recipes!$G$5:$G$204,MATCH(B16,Recipes!$A$5:$A$204,0)),""))</f>
        <v>0</v>
      </c>
      <c r="P16" s="30">
        <f>IF(J16="","",IF(K16="each",J16,J16/100))</f>
        <v>0</v>
      </c>
      <c r="Q16" s="30">
        <f>IFERROR(IF(P16="","",P16*INDEX(Ingredients!$P$5:$P$304,MATCH(D16,Ingredients!$B$5:$B$304,0))),"")</f>
        <v>0</v>
      </c>
      <c r="R16" s="45">
        <f>IFERROR(IF(P16="","",P16*INDEX(Ingredients!$Q$5:$Q$304,MATCH(D16,Ingredients!$B$5:$B$304,0))),"")</f>
        <v>0</v>
      </c>
      <c r="S16" s="45">
        <f>IFERROR(IF(P16="","",P16*INDEX(Ingredients!$R$5:$R$304,MATCH(D16,Ingredients!$B$5:$B$304,0))),"")</f>
        <v>0</v>
      </c>
      <c r="T16" s="45">
        <f>IFERROR(IF(P16="","",P16*INDEX(Ingredients!$S$5:$S$304,MATCH(D16,Ingredients!$B$5:$B$304,0))),"")</f>
        <v>0</v>
      </c>
      <c r="U16" s="45">
        <f>IFERROR(IF(P16="","",P16*INDEX(Ingredients!$T$5:$T$304,MATCH(D16,Ingredients!$B$5:$B$304,0))),"")</f>
        <v>0</v>
      </c>
      <c r="V16" s="17">
        <f>IF(D16="","",IFERROR(INDEX(Ingredients!$W$5:$W$304,MATCH(D16,Ingredients!$B$5:$B$304,0)),"Add to Ingredients"))</f>
        <v>0</v>
      </c>
      <c r="W16" s="17">
        <f>IF(D16="","",IFERROR(INDEX(Ingredients!$C$5:$C$304,MATCH(D16,Ingredients!$B$5:$B$304,0)),"Add to Ingredients"))</f>
        <v>0</v>
      </c>
      <c r="X16" s="45">
        <f>IFERROR(INDEX(Recipes!$AT$5:$AT$204,MATCH(B16,Recipes!$A$5:$A$204,0)),0)</f>
        <v>0</v>
      </c>
      <c r="Y16" s="45">
        <f>IF(OR(J16="",X16=0),"",J16*X16)</f>
        <v>0</v>
      </c>
      <c r="Z16" s="17">
        <f>IF(D16="","",B16&amp;"#"&amp;COUNTIFS($B$5:B16,B16))</f>
        <v>0</v>
      </c>
      <c r="AA16" s="17">
        <f>IF(D16="","",B16&amp;"|"&amp;D16)</f>
        <v>0</v>
      </c>
      <c r="AB16" s="31">
        <f>IF(D16="","",IF(B16="","Add - which recipe?",IF(COUNTIFS(Ingredients!$B$5:$B$304,D16)=0,"Missing - not in the Ingredients tab",IF(E16="","Add - no quantity",IF(F16="","Add - no unit",IF(K16&lt;&gt;L16,"Check - recipe in "&amp;K16&amp;", priced in "&amp;L16,IF(COUNTIFS($AA$5:$AA$1204,AA16)&gt;1,"Duplicate - same ingredient twice","OK")))))))</f>
        <v>0</v>
      </c>
    </row>
    <row r="17" spans="1:28">
      <c r="A17" s="39">
        <f>IF(D17="","","RL-"&amp;TEXT(ROW()-4,"0000"))</f>
        <v>0</v>
      </c>
      <c r="B17" s="32" t="s">
        <v>898</v>
      </c>
      <c r="C17" s="17">
        <f>IF(B17="","",IFERROR(INDEX(Recipes!$B$5:$B$204,MATCH(B17,Recipes!$A$5:$A$204,0)),"Not found"))</f>
        <v>0</v>
      </c>
      <c r="D17" s="32" t="s">
        <v>907</v>
      </c>
      <c r="E17" s="38">
        <v>40</v>
      </c>
      <c r="F17" s="32" t="s">
        <v>668</v>
      </c>
      <c r="G17" s="32" t="s">
        <v>902</v>
      </c>
      <c r="H17" s="32" t="s">
        <v>157</v>
      </c>
      <c r="I17" s="40" t="s">
        <v>311</v>
      </c>
      <c r="J17" s="45">
        <f>IF(E17="","",IFERROR(E17*INDEX(UnitFactors,MATCH(F17,UnitNames,0)),""))</f>
        <v>0</v>
      </c>
      <c r="K17" s="17">
        <f>IF(F17="","",IFERROR(INDEX(UnitBases,MATCH(F17,UnitNames,0)),"?"))</f>
        <v>0</v>
      </c>
      <c r="L17" s="17">
        <f>IF(D17="","",IFERROR(INDEX(Ingredients!$G$5:$G$304,MATCH(D17,Ingredients!$B$5:$B$304,0)),"Add to Ingredients"))</f>
        <v>0</v>
      </c>
      <c r="M17" s="25">
        <f>IF(D17="","",IFERROR(INDEX(Ingredients!$J$5:$J$304,MATCH(D17,Ingredients!$B$5:$B$304,0)),"Add to Ingredients"))</f>
        <v>0</v>
      </c>
      <c r="N17" s="25">
        <f>IF(OR(J17="",M17="",NOT(ISNUMBER(M17))),"",IF(K17&lt;&gt;L17,"",J17*M17))</f>
        <v>0</v>
      </c>
      <c r="O17" s="25">
        <f>IF(N17="","",IFERROR(N17/INDEX(Recipes!$G$5:$G$204,MATCH(B17,Recipes!$A$5:$A$204,0)),""))</f>
        <v>0</v>
      </c>
      <c r="P17" s="30">
        <f>IF(J17="","",IF(K17="each",J17,J17/100))</f>
        <v>0</v>
      </c>
      <c r="Q17" s="30">
        <f>IFERROR(IF(P17="","",P17*INDEX(Ingredients!$P$5:$P$304,MATCH(D17,Ingredients!$B$5:$B$304,0))),"")</f>
        <v>0</v>
      </c>
      <c r="R17" s="45">
        <f>IFERROR(IF(P17="","",P17*INDEX(Ingredients!$Q$5:$Q$304,MATCH(D17,Ingredients!$B$5:$B$304,0))),"")</f>
        <v>0</v>
      </c>
      <c r="S17" s="45">
        <f>IFERROR(IF(P17="","",P17*INDEX(Ingredients!$R$5:$R$304,MATCH(D17,Ingredients!$B$5:$B$304,0))),"")</f>
        <v>0</v>
      </c>
      <c r="T17" s="45">
        <f>IFERROR(IF(P17="","",P17*INDEX(Ingredients!$S$5:$S$304,MATCH(D17,Ingredients!$B$5:$B$304,0))),"")</f>
        <v>0</v>
      </c>
      <c r="U17" s="45">
        <f>IFERROR(IF(P17="","",P17*INDEX(Ingredients!$T$5:$T$304,MATCH(D17,Ingredients!$B$5:$B$304,0))),"")</f>
        <v>0</v>
      </c>
      <c r="V17" s="17">
        <f>IF(D17="","",IFERROR(INDEX(Ingredients!$W$5:$W$304,MATCH(D17,Ingredients!$B$5:$B$304,0)),"Add to Ingredients"))</f>
        <v>0</v>
      </c>
      <c r="W17" s="17">
        <f>IF(D17="","",IFERROR(INDEX(Ingredients!$C$5:$C$304,MATCH(D17,Ingredients!$B$5:$B$304,0)),"Add to Ingredients"))</f>
        <v>0</v>
      </c>
      <c r="X17" s="45">
        <f>IFERROR(INDEX(Recipes!$AT$5:$AT$204,MATCH(B17,Recipes!$A$5:$A$204,0)),0)</f>
        <v>0</v>
      </c>
      <c r="Y17" s="45">
        <f>IF(OR(J17="",X17=0),"",J17*X17)</f>
        <v>0</v>
      </c>
      <c r="Z17" s="17">
        <f>IF(D17="","",B17&amp;"#"&amp;COUNTIFS($B$5:B17,B17))</f>
        <v>0</v>
      </c>
      <c r="AA17" s="17">
        <f>IF(D17="","",B17&amp;"|"&amp;D17)</f>
        <v>0</v>
      </c>
      <c r="AB17" s="31">
        <f>IF(D17="","",IF(B17="","Add - which recipe?",IF(COUNTIFS(Ingredients!$B$5:$B$304,D17)=0,"Missing - not in the Ingredients tab",IF(E17="","Add - no quantity",IF(F17="","Add - no unit",IF(K17&lt;&gt;L17,"Check - recipe in "&amp;K17&amp;", priced in "&amp;L17,IF(COUNTIFS($AA$5:$AA$1204,AA17)&gt;1,"Duplicate - same ingredient twice","OK")))))))</f>
        <v>0</v>
      </c>
    </row>
    <row r="18" spans="1:28">
      <c r="A18" s="39">
        <f>IF(D18="","","RL-"&amp;TEXT(ROW()-4,"0000"))</f>
        <v>0</v>
      </c>
      <c r="B18" s="32" t="s">
        <v>908</v>
      </c>
      <c r="C18" s="17">
        <f>IF(B18="","",IFERROR(INDEX(Recipes!$B$5:$B$204,MATCH(B18,Recipes!$A$5:$A$204,0)),"Not found"))</f>
        <v>0</v>
      </c>
      <c r="D18" s="32" t="s">
        <v>909</v>
      </c>
      <c r="E18" s="38">
        <v>300</v>
      </c>
      <c r="F18" s="32" t="s">
        <v>668</v>
      </c>
      <c r="G18" s="32" t="s">
        <v>910</v>
      </c>
      <c r="H18" s="32" t="s">
        <v>157</v>
      </c>
      <c r="I18" s="40" t="s">
        <v>312</v>
      </c>
      <c r="J18" s="45">
        <f>IF(E18="","",IFERROR(E18*INDEX(UnitFactors,MATCH(F18,UnitNames,0)),""))</f>
        <v>0</v>
      </c>
      <c r="K18" s="17">
        <f>IF(F18="","",IFERROR(INDEX(UnitBases,MATCH(F18,UnitNames,0)),"?"))</f>
        <v>0</v>
      </c>
      <c r="L18" s="17">
        <f>IF(D18="","",IFERROR(INDEX(Ingredients!$G$5:$G$304,MATCH(D18,Ingredients!$B$5:$B$304,0)),"Add to Ingredients"))</f>
        <v>0</v>
      </c>
      <c r="M18" s="25">
        <f>IF(D18="","",IFERROR(INDEX(Ingredients!$J$5:$J$304,MATCH(D18,Ingredients!$B$5:$B$304,0)),"Add to Ingredients"))</f>
        <v>0</v>
      </c>
      <c r="N18" s="25">
        <f>IF(OR(J18="",M18="",NOT(ISNUMBER(M18))),"",IF(K18&lt;&gt;L18,"",J18*M18))</f>
        <v>0</v>
      </c>
      <c r="O18" s="25">
        <f>IF(N18="","",IFERROR(N18/INDEX(Recipes!$G$5:$G$204,MATCH(B18,Recipes!$A$5:$A$204,0)),""))</f>
        <v>0</v>
      </c>
      <c r="P18" s="30">
        <f>IF(J18="","",IF(K18="each",J18,J18/100))</f>
        <v>0</v>
      </c>
      <c r="Q18" s="30">
        <f>IFERROR(IF(P18="","",P18*INDEX(Ingredients!$P$5:$P$304,MATCH(D18,Ingredients!$B$5:$B$304,0))),"")</f>
        <v>0</v>
      </c>
      <c r="R18" s="45">
        <f>IFERROR(IF(P18="","",P18*INDEX(Ingredients!$Q$5:$Q$304,MATCH(D18,Ingredients!$B$5:$B$304,0))),"")</f>
        <v>0</v>
      </c>
      <c r="S18" s="45">
        <f>IFERROR(IF(P18="","",P18*INDEX(Ingredients!$R$5:$R$304,MATCH(D18,Ingredients!$B$5:$B$304,0))),"")</f>
        <v>0</v>
      </c>
      <c r="T18" s="45">
        <f>IFERROR(IF(P18="","",P18*INDEX(Ingredients!$S$5:$S$304,MATCH(D18,Ingredients!$B$5:$B$304,0))),"")</f>
        <v>0</v>
      </c>
      <c r="U18" s="45">
        <f>IFERROR(IF(P18="","",P18*INDEX(Ingredients!$T$5:$T$304,MATCH(D18,Ingredients!$B$5:$B$304,0))),"")</f>
        <v>0</v>
      </c>
      <c r="V18" s="17">
        <f>IF(D18="","",IFERROR(INDEX(Ingredients!$W$5:$W$304,MATCH(D18,Ingredients!$B$5:$B$304,0)),"Add to Ingredients"))</f>
        <v>0</v>
      </c>
      <c r="W18" s="17">
        <f>IF(D18="","",IFERROR(INDEX(Ingredients!$C$5:$C$304,MATCH(D18,Ingredients!$B$5:$B$304,0)),"Add to Ingredients"))</f>
        <v>0</v>
      </c>
      <c r="X18" s="45">
        <f>IFERROR(INDEX(Recipes!$AT$5:$AT$204,MATCH(B18,Recipes!$A$5:$A$204,0)),0)</f>
        <v>0</v>
      </c>
      <c r="Y18" s="45">
        <f>IF(OR(J18="",X18=0),"",J18*X18)</f>
        <v>0</v>
      </c>
      <c r="Z18" s="17">
        <f>IF(D18="","",B18&amp;"#"&amp;COUNTIFS($B$5:B18,B18))</f>
        <v>0</v>
      </c>
      <c r="AA18" s="17">
        <f>IF(D18="","",B18&amp;"|"&amp;D18)</f>
        <v>0</v>
      </c>
      <c r="AB18" s="31">
        <f>IF(D18="","",IF(B18="","Add - which recipe?",IF(COUNTIFS(Ingredients!$B$5:$B$304,D18)=0,"Missing - not in the Ingredients tab",IF(E18="","Add - no quantity",IF(F18="","Add - no unit",IF(K18&lt;&gt;L18,"Check - recipe in "&amp;K18&amp;", priced in "&amp;L18,IF(COUNTIFS($AA$5:$AA$1204,AA18)&gt;1,"Duplicate - same ingredient twice","OK")))))))</f>
        <v>0</v>
      </c>
    </row>
    <row r="19" spans="1:28">
      <c r="A19" s="39">
        <f>IF(D19="","","RL-"&amp;TEXT(ROW()-4,"0000"))</f>
        <v>0</v>
      </c>
      <c r="B19" s="32" t="s">
        <v>908</v>
      </c>
      <c r="C19" s="17">
        <f>IF(B19="","",IFERROR(INDEX(Recipes!$B$5:$B$204,MATCH(B19,Recipes!$A$5:$A$204,0)),"Not found"))</f>
        <v>0</v>
      </c>
      <c r="D19" s="32" t="s">
        <v>894</v>
      </c>
      <c r="E19" s="38">
        <v>150</v>
      </c>
      <c r="F19" s="32" t="s">
        <v>668</v>
      </c>
      <c r="G19" s="32" t="s">
        <v>911</v>
      </c>
      <c r="H19" s="32" t="s">
        <v>157</v>
      </c>
      <c r="I19" s="40" t="s">
        <v>312</v>
      </c>
      <c r="J19" s="45">
        <f>IF(E19="","",IFERROR(E19*INDEX(UnitFactors,MATCH(F19,UnitNames,0)),""))</f>
        <v>0</v>
      </c>
      <c r="K19" s="17">
        <f>IF(F19="","",IFERROR(INDEX(UnitBases,MATCH(F19,UnitNames,0)),"?"))</f>
        <v>0</v>
      </c>
      <c r="L19" s="17">
        <f>IF(D19="","",IFERROR(INDEX(Ingredients!$G$5:$G$304,MATCH(D19,Ingredients!$B$5:$B$304,0)),"Add to Ingredients"))</f>
        <v>0</v>
      </c>
      <c r="M19" s="25">
        <f>IF(D19="","",IFERROR(INDEX(Ingredients!$J$5:$J$304,MATCH(D19,Ingredients!$B$5:$B$304,0)),"Add to Ingredients"))</f>
        <v>0</v>
      </c>
      <c r="N19" s="25">
        <f>IF(OR(J19="",M19="",NOT(ISNUMBER(M19))),"",IF(K19&lt;&gt;L19,"",J19*M19))</f>
        <v>0</v>
      </c>
      <c r="O19" s="25">
        <f>IF(N19="","",IFERROR(N19/INDEX(Recipes!$G$5:$G$204,MATCH(B19,Recipes!$A$5:$A$204,0)),""))</f>
        <v>0</v>
      </c>
      <c r="P19" s="30">
        <f>IF(J19="","",IF(K19="each",J19,J19/100))</f>
        <v>0</v>
      </c>
      <c r="Q19" s="30">
        <f>IFERROR(IF(P19="","",P19*INDEX(Ingredients!$P$5:$P$304,MATCH(D19,Ingredients!$B$5:$B$304,0))),"")</f>
        <v>0</v>
      </c>
      <c r="R19" s="45">
        <f>IFERROR(IF(P19="","",P19*INDEX(Ingredients!$Q$5:$Q$304,MATCH(D19,Ingredients!$B$5:$B$304,0))),"")</f>
        <v>0</v>
      </c>
      <c r="S19" s="45">
        <f>IFERROR(IF(P19="","",P19*INDEX(Ingredients!$R$5:$R$304,MATCH(D19,Ingredients!$B$5:$B$304,0))),"")</f>
        <v>0</v>
      </c>
      <c r="T19" s="45">
        <f>IFERROR(IF(P19="","",P19*INDEX(Ingredients!$S$5:$S$304,MATCH(D19,Ingredients!$B$5:$B$304,0))),"")</f>
        <v>0</v>
      </c>
      <c r="U19" s="45">
        <f>IFERROR(IF(P19="","",P19*INDEX(Ingredients!$T$5:$T$304,MATCH(D19,Ingredients!$B$5:$B$304,0))),"")</f>
        <v>0</v>
      </c>
      <c r="V19" s="17">
        <f>IF(D19="","",IFERROR(INDEX(Ingredients!$W$5:$W$304,MATCH(D19,Ingredients!$B$5:$B$304,0)),"Add to Ingredients"))</f>
        <v>0</v>
      </c>
      <c r="W19" s="17">
        <f>IF(D19="","",IFERROR(INDEX(Ingredients!$C$5:$C$304,MATCH(D19,Ingredients!$B$5:$B$304,0)),"Add to Ingredients"))</f>
        <v>0</v>
      </c>
      <c r="X19" s="45">
        <f>IFERROR(INDEX(Recipes!$AT$5:$AT$204,MATCH(B19,Recipes!$A$5:$A$204,0)),0)</f>
        <v>0</v>
      </c>
      <c r="Y19" s="45">
        <f>IF(OR(J19="",X19=0),"",J19*X19)</f>
        <v>0</v>
      </c>
      <c r="Z19" s="17">
        <f>IF(D19="","",B19&amp;"#"&amp;COUNTIFS($B$5:B19,B19))</f>
        <v>0</v>
      </c>
      <c r="AA19" s="17">
        <f>IF(D19="","",B19&amp;"|"&amp;D19)</f>
        <v>0</v>
      </c>
      <c r="AB19" s="31">
        <f>IF(D19="","",IF(B19="","Add - which recipe?",IF(COUNTIFS(Ingredients!$B$5:$B$304,D19)=0,"Missing - not in the Ingredients tab",IF(E19="","Add - no quantity",IF(F19="","Add - no unit",IF(K19&lt;&gt;L19,"Check - recipe in "&amp;K19&amp;", priced in "&amp;L19,IF(COUNTIFS($AA$5:$AA$1204,AA19)&gt;1,"Duplicate - same ingredient twice","OK")))))))</f>
        <v>0</v>
      </c>
    </row>
    <row r="20" spans="1:28">
      <c r="A20" s="39">
        <f>IF(D20="","","RL-"&amp;TEXT(ROW()-4,"0000"))</f>
        <v>0</v>
      </c>
      <c r="B20" s="32" t="s">
        <v>908</v>
      </c>
      <c r="C20" s="17">
        <f>IF(B20="","",IFERROR(INDEX(Recipes!$B$5:$B$204,MATCH(B20,Recipes!$A$5:$A$204,0)),"Not found"))</f>
        <v>0</v>
      </c>
      <c r="D20" s="32" t="s">
        <v>903</v>
      </c>
      <c r="E20" s="38">
        <v>3</v>
      </c>
      <c r="F20" s="32" t="s">
        <v>687</v>
      </c>
      <c r="G20" s="32" t="s">
        <v>904</v>
      </c>
      <c r="H20" s="32" t="s">
        <v>157</v>
      </c>
      <c r="I20" s="40" t="s">
        <v>312</v>
      </c>
      <c r="J20" s="45">
        <f>IF(E20="","",IFERROR(E20*INDEX(UnitFactors,MATCH(F20,UnitNames,0)),""))</f>
        <v>0</v>
      </c>
      <c r="K20" s="17">
        <f>IF(F20="","",IFERROR(INDEX(UnitBases,MATCH(F20,UnitNames,0)),"?"))</f>
        <v>0</v>
      </c>
      <c r="L20" s="17">
        <f>IF(D20="","",IFERROR(INDEX(Ingredients!$G$5:$G$304,MATCH(D20,Ingredients!$B$5:$B$304,0)),"Add to Ingredients"))</f>
        <v>0</v>
      </c>
      <c r="M20" s="25">
        <f>IF(D20="","",IFERROR(INDEX(Ingredients!$J$5:$J$304,MATCH(D20,Ingredients!$B$5:$B$304,0)),"Add to Ingredients"))</f>
        <v>0</v>
      </c>
      <c r="N20" s="25">
        <f>IF(OR(J20="",M20="",NOT(ISNUMBER(M20))),"",IF(K20&lt;&gt;L20,"",J20*M20))</f>
        <v>0</v>
      </c>
      <c r="O20" s="25">
        <f>IF(N20="","",IFERROR(N20/INDEX(Recipes!$G$5:$G$204,MATCH(B20,Recipes!$A$5:$A$204,0)),""))</f>
        <v>0</v>
      </c>
      <c r="P20" s="30">
        <f>IF(J20="","",IF(K20="each",J20,J20/100))</f>
        <v>0</v>
      </c>
      <c r="Q20" s="30">
        <f>IFERROR(IF(P20="","",P20*INDEX(Ingredients!$P$5:$P$304,MATCH(D20,Ingredients!$B$5:$B$304,0))),"")</f>
        <v>0</v>
      </c>
      <c r="R20" s="45">
        <f>IFERROR(IF(P20="","",P20*INDEX(Ingredients!$Q$5:$Q$304,MATCH(D20,Ingredients!$B$5:$B$304,0))),"")</f>
        <v>0</v>
      </c>
      <c r="S20" s="45">
        <f>IFERROR(IF(P20="","",P20*INDEX(Ingredients!$R$5:$R$304,MATCH(D20,Ingredients!$B$5:$B$304,0))),"")</f>
        <v>0</v>
      </c>
      <c r="T20" s="45">
        <f>IFERROR(IF(P20="","",P20*INDEX(Ingredients!$S$5:$S$304,MATCH(D20,Ingredients!$B$5:$B$304,0))),"")</f>
        <v>0</v>
      </c>
      <c r="U20" s="45">
        <f>IFERROR(IF(P20="","",P20*INDEX(Ingredients!$T$5:$T$304,MATCH(D20,Ingredients!$B$5:$B$304,0))),"")</f>
        <v>0</v>
      </c>
      <c r="V20" s="17">
        <f>IF(D20="","",IFERROR(INDEX(Ingredients!$W$5:$W$304,MATCH(D20,Ingredients!$B$5:$B$304,0)),"Add to Ingredients"))</f>
        <v>0</v>
      </c>
      <c r="W20" s="17">
        <f>IF(D20="","",IFERROR(INDEX(Ingredients!$C$5:$C$304,MATCH(D20,Ingredients!$B$5:$B$304,0)),"Add to Ingredients"))</f>
        <v>0</v>
      </c>
      <c r="X20" s="45">
        <f>IFERROR(INDEX(Recipes!$AT$5:$AT$204,MATCH(B20,Recipes!$A$5:$A$204,0)),0)</f>
        <v>0</v>
      </c>
      <c r="Y20" s="45">
        <f>IF(OR(J20="",X20=0),"",J20*X20)</f>
        <v>0</v>
      </c>
      <c r="Z20" s="17">
        <f>IF(D20="","",B20&amp;"#"&amp;COUNTIFS($B$5:B20,B20))</f>
        <v>0</v>
      </c>
      <c r="AA20" s="17">
        <f>IF(D20="","",B20&amp;"|"&amp;D20)</f>
        <v>0</v>
      </c>
      <c r="AB20" s="31">
        <f>IF(D20="","",IF(B20="","Add - which recipe?",IF(COUNTIFS(Ingredients!$B$5:$B$304,D20)=0,"Missing - not in the Ingredients tab",IF(E20="","Add - no quantity",IF(F20="","Add - no unit",IF(K20&lt;&gt;L20,"Check - recipe in "&amp;K20&amp;", priced in "&amp;L20,IF(COUNTIFS($AA$5:$AA$1204,AA20)&gt;1,"Duplicate - same ingredient twice","OK")))))))</f>
        <v>0</v>
      </c>
    </row>
    <row r="21" spans="1:28">
      <c r="A21" s="39">
        <f>IF(D21="","","RL-"&amp;TEXT(ROW()-4,"0000"))</f>
        <v>0</v>
      </c>
      <c r="B21" s="32" t="s">
        <v>908</v>
      </c>
      <c r="C21" s="17">
        <f>IF(B21="","",IFERROR(INDEX(Recipes!$B$5:$B$204,MATCH(B21,Recipes!$A$5:$A$204,0)),"Not found"))</f>
        <v>0</v>
      </c>
      <c r="D21" s="32" t="s">
        <v>912</v>
      </c>
      <c r="E21" s="38">
        <v>60</v>
      </c>
      <c r="F21" s="32" t="s">
        <v>668</v>
      </c>
      <c r="G21" s="32" t="s">
        <v>157</v>
      </c>
      <c r="H21" s="32" t="s">
        <v>157</v>
      </c>
      <c r="I21" s="40" t="s">
        <v>312</v>
      </c>
      <c r="J21" s="45">
        <f>IF(E21="","",IFERROR(E21*INDEX(UnitFactors,MATCH(F21,UnitNames,0)),""))</f>
        <v>0</v>
      </c>
      <c r="K21" s="17">
        <f>IF(F21="","",IFERROR(INDEX(UnitBases,MATCH(F21,UnitNames,0)),"?"))</f>
        <v>0</v>
      </c>
      <c r="L21" s="17">
        <f>IF(D21="","",IFERROR(INDEX(Ingredients!$G$5:$G$304,MATCH(D21,Ingredients!$B$5:$B$304,0)),"Add to Ingredients"))</f>
        <v>0</v>
      </c>
      <c r="M21" s="25">
        <f>IF(D21="","",IFERROR(INDEX(Ingredients!$J$5:$J$304,MATCH(D21,Ingredients!$B$5:$B$304,0)),"Add to Ingredients"))</f>
        <v>0</v>
      </c>
      <c r="N21" s="25">
        <f>IF(OR(J21="",M21="",NOT(ISNUMBER(M21))),"",IF(K21&lt;&gt;L21,"",J21*M21))</f>
        <v>0</v>
      </c>
      <c r="O21" s="25">
        <f>IF(N21="","",IFERROR(N21/INDEX(Recipes!$G$5:$G$204,MATCH(B21,Recipes!$A$5:$A$204,0)),""))</f>
        <v>0</v>
      </c>
      <c r="P21" s="30">
        <f>IF(J21="","",IF(K21="each",J21,J21/100))</f>
        <v>0</v>
      </c>
      <c r="Q21" s="30">
        <f>IFERROR(IF(P21="","",P21*INDEX(Ingredients!$P$5:$P$304,MATCH(D21,Ingredients!$B$5:$B$304,0))),"")</f>
        <v>0</v>
      </c>
      <c r="R21" s="45">
        <f>IFERROR(IF(P21="","",P21*INDEX(Ingredients!$Q$5:$Q$304,MATCH(D21,Ingredients!$B$5:$B$304,0))),"")</f>
        <v>0</v>
      </c>
      <c r="S21" s="45">
        <f>IFERROR(IF(P21="","",P21*INDEX(Ingredients!$R$5:$R$304,MATCH(D21,Ingredients!$B$5:$B$304,0))),"")</f>
        <v>0</v>
      </c>
      <c r="T21" s="45">
        <f>IFERROR(IF(P21="","",P21*INDEX(Ingredients!$S$5:$S$304,MATCH(D21,Ingredients!$B$5:$B$304,0))),"")</f>
        <v>0</v>
      </c>
      <c r="U21" s="45">
        <f>IFERROR(IF(P21="","",P21*INDEX(Ingredients!$T$5:$T$304,MATCH(D21,Ingredients!$B$5:$B$304,0))),"")</f>
        <v>0</v>
      </c>
      <c r="V21" s="17">
        <f>IF(D21="","",IFERROR(INDEX(Ingredients!$W$5:$W$304,MATCH(D21,Ingredients!$B$5:$B$304,0)),"Add to Ingredients"))</f>
        <v>0</v>
      </c>
      <c r="W21" s="17">
        <f>IF(D21="","",IFERROR(INDEX(Ingredients!$C$5:$C$304,MATCH(D21,Ingredients!$B$5:$B$304,0)),"Add to Ingredients"))</f>
        <v>0</v>
      </c>
      <c r="X21" s="45">
        <f>IFERROR(INDEX(Recipes!$AT$5:$AT$204,MATCH(B21,Recipes!$A$5:$A$204,0)),0)</f>
        <v>0</v>
      </c>
      <c r="Y21" s="45">
        <f>IF(OR(J21="",X21=0),"",J21*X21)</f>
        <v>0</v>
      </c>
      <c r="Z21" s="17">
        <f>IF(D21="","",B21&amp;"#"&amp;COUNTIFS($B$5:B21,B21))</f>
        <v>0</v>
      </c>
      <c r="AA21" s="17">
        <f>IF(D21="","",B21&amp;"|"&amp;D21)</f>
        <v>0</v>
      </c>
      <c r="AB21" s="31">
        <f>IF(D21="","",IF(B21="","Add - which recipe?",IF(COUNTIFS(Ingredients!$B$5:$B$304,D21)=0,"Missing - not in the Ingredients tab",IF(E21="","Add - no quantity",IF(F21="","Add - no unit",IF(K21&lt;&gt;L21,"Check - recipe in "&amp;K21&amp;", priced in "&amp;L21,IF(COUNTIFS($AA$5:$AA$1204,AA21)&gt;1,"Duplicate - same ingredient twice","OK")))))))</f>
        <v>0</v>
      </c>
    </row>
    <row r="22" spans="1:28">
      <c r="A22" s="39">
        <f>IF(D22="","","RL-"&amp;TEXT(ROW()-4,"0000"))</f>
        <v>0</v>
      </c>
      <c r="B22" s="32" t="s">
        <v>908</v>
      </c>
      <c r="C22" s="17">
        <f>IF(B22="","",IFERROR(INDEX(Recipes!$B$5:$B$204,MATCH(B22,Recipes!$A$5:$A$204,0)),"Not found"))</f>
        <v>0</v>
      </c>
      <c r="D22" s="32" t="s">
        <v>913</v>
      </c>
      <c r="E22" s="38">
        <v>400</v>
      </c>
      <c r="F22" s="32" t="s">
        <v>674</v>
      </c>
      <c r="G22" s="32" t="s">
        <v>157</v>
      </c>
      <c r="H22" s="32" t="s">
        <v>157</v>
      </c>
      <c r="I22" s="40" t="s">
        <v>312</v>
      </c>
      <c r="J22" s="45">
        <f>IF(E22="","",IFERROR(E22*INDEX(UnitFactors,MATCH(F22,UnitNames,0)),""))</f>
        <v>0</v>
      </c>
      <c r="K22" s="17">
        <f>IF(F22="","",IFERROR(INDEX(UnitBases,MATCH(F22,UnitNames,0)),"?"))</f>
        <v>0</v>
      </c>
      <c r="L22" s="17">
        <f>IF(D22="","",IFERROR(INDEX(Ingredients!$G$5:$G$304,MATCH(D22,Ingredients!$B$5:$B$304,0)),"Add to Ingredients"))</f>
        <v>0</v>
      </c>
      <c r="M22" s="25">
        <f>IF(D22="","",IFERROR(INDEX(Ingredients!$J$5:$J$304,MATCH(D22,Ingredients!$B$5:$B$304,0)),"Add to Ingredients"))</f>
        <v>0</v>
      </c>
      <c r="N22" s="25">
        <f>IF(OR(J22="",M22="",NOT(ISNUMBER(M22))),"",IF(K22&lt;&gt;L22,"",J22*M22))</f>
        <v>0</v>
      </c>
      <c r="O22" s="25">
        <f>IF(N22="","",IFERROR(N22/INDEX(Recipes!$G$5:$G$204,MATCH(B22,Recipes!$A$5:$A$204,0)),""))</f>
        <v>0</v>
      </c>
      <c r="P22" s="30">
        <f>IF(J22="","",IF(K22="each",J22,J22/100))</f>
        <v>0</v>
      </c>
      <c r="Q22" s="30">
        <f>IFERROR(IF(P22="","",P22*INDEX(Ingredients!$P$5:$P$304,MATCH(D22,Ingredients!$B$5:$B$304,0))),"")</f>
        <v>0</v>
      </c>
      <c r="R22" s="45">
        <f>IFERROR(IF(P22="","",P22*INDEX(Ingredients!$Q$5:$Q$304,MATCH(D22,Ingredients!$B$5:$B$304,0))),"")</f>
        <v>0</v>
      </c>
      <c r="S22" s="45">
        <f>IFERROR(IF(P22="","",P22*INDEX(Ingredients!$R$5:$R$304,MATCH(D22,Ingredients!$B$5:$B$304,0))),"")</f>
        <v>0</v>
      </c>
      <c r="T22" s="45">
        <f>IFERROR(IF(P22="","",P22*INDEX(Ingredients!$S$5:$S$304,MATCH(D22,Ingredients!$B$5:$B$304,0))),"")</f>
        <v>0</v>
      </c>
      <c r="U22" s="45">
        <f>IFERROR(IF(P22="","",P22*INDEX(Ingredients!$T$5:$T$304,MATCH(D22,Ingredients!$B$5:$B$304,0))),"")</f>
        <v>0</v>
      </c>
      <c r="V22" s="17">
        <f>IF(D22="","",IFERROR(INDEX(Ingredients!$W$5:$W$304,MATCH(D22,Ingredients!$B$5:$B$304,0)),"Add to Ingredients"))</f>
        <v>0</v>
      </c>
      <c r="W22" s="17">
        <f>IF(D22="","",IFERROR(INDEX(Ingredients!$C$5:$C$304,MATCH(D22,Ingredients!$B$5:$B$304,0)),"Add to Ingredients"))</f>
        <v>0</v>
      </c>
      <c r="X22" s="45">
        <f>IFERROR(INDEX(Recipes!$AT$5:$AT$204,MATCH(B22,Recipes!$A$5:$A$204,0)),0)</f>
        <v>0</v>
      </c>
      <c r="Y22" s="45">
        <f>IF(OR(J22="",X22=0),"",J22*X22)</f>
        <v>0</v>
      </c>
      <c r="Z22" s="17">
        <f>IF(D22="","",B22&amp;"#"&amp;COUNTIFS($B$5:B22,B22))</f>
        <v>0</v>
      </c>
      <c r="AA22" s="17">
        <f>IF(D22="","",B22&amp;"|"&amp;D22)</f>
        <v>0</v>
      </c>
      <c r="AB22" s="31">
        <f>IF(D22="","",IF(B22="","Add - which recipe?",IF(COUNTIFS(Ingredients!$B$5:$B$304,D22)=0,"Missing - not in the Ingredients tab",IF(E22="","Add - no quantity",IF(F22="","Add - no unit",IF(K22&lt;&gt;L22,"Check - recipe in "&amp;K22&amp;", priced in "&amp;L22,IF(COUNTIFS($AA$5:$AA$1204,AA22)&gt;1,"Duplicate - same ingredient twice","OK")))))))</f>
        <v>0</v>
      </c>
    </row>
    <row r="23" spans="1:28">
      <c r="A23" s="39">
        <f>IF(D23="","","RL-"&amp;TEXT(ROW()-4,"0000"))</f>
        <v>0</v>
      </c>
      <c r="B23" s="32" t="s">
        <v>908</v>
      </c>
      <c r="C23" s="17">
        <f>IF(B23="","",IFERROR(INDEX(Recipes!$B$5:$B$204,MATCH(B23,Recipes!$A$5:$A$204,0)),"Not found"))</f>
        <v>0</v>
      </c>
      <c r="D23" s="32" t="s">
        <v>914</v>
      </c>
      <c r="E23" s="38">
        <v>100</v>
      </c>
      <c r="F23" s="32" t="s">
        <v>668</v>
      </c>
      <c r="G23" s="32" t="s">
        <v>157</v>
      </c>
      <c r="H23" s="32" t="s">
        <v>157</v>
      </c>
      <c r="I23" s="40" t="s">
        <v>311</v>
      </c>
      <c r="J23" s="45">
        <f>IF(E23="","",IFERROR(E23*INDEX(UnitFactors,MATCH(F23,UnitNames,0)),""))</f>
        <v>0</v>
      </c>
      <c r="K23" s="17">
        <f>IF(F23="","",IFERROR(INDEX(UnitBases,MATCH(F23,UnitNames,0)),"?"))</f>
        <v>0</v>
      </c>
      <c r="L23" s="17">
        <f>IF(D23="","",IFERROR(INDEX(Ingredients!$G$5:$G$304,MATCH(D23,Ingredients!$B$5:$B$304,0)),"Add to Ingredients"))</f>
        <v>0</v>
      </c>
      <c r="M23" s="25">
        <f>IF(D23="","",IFERROR(INDEX(Ingredients!$J$5:$J$304,MATCH(D23,Ingredients!$B$5:$B$304,0)),"Add to Ingredients"))</f>
        <v>0</v>
      </c>
      <c r="N23" s="25">
        <f>IF(OR(J23="",M23="",NOT(ISNUMBER(M23))),"",IF(K23&lt;&gt;L23,"",J23*M23))</f>
        <v>0</v>
      </c>
      <c r="O23" s="25">
        <f>IF(N23="","",IFERROR(N23/INDEX(Recipes!$G$5:$G$204,MATCH(B23,Recipes!$A$5:$A$204,0)),""))</f>
        <v>0</v>
      </c>
      <c r="P23" s="30">
        <f>IF(J23="","",IF(K23="each",J23,J23/100))</f>
        <v>0</v>
      </c>
      <c r="Q23" s="30">
        <f>IFERROR(IF(P23="","",P23*INDEX(Ingredients!$P$5:$P$304,MATCH(D23,Ingredients!$B$5:$B$304,0))),"")</f>
        <v>0</v>
      </c>
      <c r="R23" s="45">
        <f>IFERROR(IF(P23="","",P23*INDEX(Ingredients!$Q$5:$Q$304,MATCH(D23,Ingredients!$B$5:$B$304,0))),"")</f>
        <v>0</v>
      </c>
      <c r="S23" s="45">
        <f>IFERROR(IF(P23="","",P23*INDEX(Ingredients!$R$5:$R$304,MATCH(D23,Ingredients!$B$5:$B$304,0))),"")</f>
        <v>0</v>
      </c>
      <c r="T23" s="45">
        <f>IFERROR(IF(P23="","",P23*INDEX(Ingredients!$S$5:$S$304,MATCH(D23,Ingredients!$B$5:$B$304,0))),"")</f>
        <v>0</v>
      </c>
      <c r="U23" s="45">
        <f>IFERROR(IF(P23="","",P23*INDEX(Ingredients!$T$5:$T$304,MATCH(D23,Ingredients!$B$5:$B$304,0))),"")</f>
        <v>0</v>
      </c>
      <c r="V23" s="17">
        <f>IF(D23="","",IFERROR(INDEX(Ingredients!$W$5:$W$304,MATCH(D23,Ingredients!$B$5:$B$304,0)),"Add to Ingredients"))</f>
        <v>0</v>
      </c>
      <c r="W23" s="17">
        <f>IF(D23="","",IFERROR(INDEX(Ingredients!$C$5:$C$304,MATCH(D23,Ingredients!$B$5:$B$304,0)),"Add to Ingredients"))</f>
        <v>0</v>
      </c>
      <c r="X23" s="45">
        <f>IFERROR(INDEX(Recipes!$AT$5:$AT$204,MATCH(B23,Recipes!$A$5:$A$204,0)),0)</f>
        <v>0</v>
      </c>
      <c r="Y23" s="45">
        <f>IF(OR(J23="",X23=0),"",J23*X23)</f>
        <v>0</v>
      </c>
      <c r="Z23" s="17">
        <f>IF(D23="","",B23&amp;"#"&amp;COUNTIFS($B$5:B23,B23))</f>
        <v>0</v>
      </c>
      <c r="AA23" s="17">
        <f>IF(D23="","",B23&amp;"|"&amp;D23)</f>
        <v>0</v>
      </c>
      <c r="AB23" s="31">
        <f>IF(D23="","",IF(B23="","Add - which recipe?",IF(COUNTIFS(Ingredients!$B$5:$B$304,D23)=0,"Missing - not in the Ingredients tab",IF(E23="","Add - no quantity",IF(F23="","Add - no unit",IF(K23&lt;&gt;L23,"Check - recipe in "&amp;K23&amp;", priced in "&amp;L23,IF(COUNTIFS($AA$5:$AA$1204,AA23)&gt;1,"Duplicate - same ingredient twice","OK")))))))</f>
        <v>0</v>
      </c>
    </row>
    <row r="24" spans="1:28">
      <c r="A24" s="39">
        <f>IF(D24="","","RL-"&amp;TEXT(ROW()-4,"0000"))</f>
        <v>0</v>
      </c>
      <c r="B24" s="32" t="s">
        <v>915</v>
      </c>
      <c r="C24" s="17">
        <f>IF(B24="","",IFERROR(INDEX(Recipes!$B$5:$B$204,MATCH(B24,Recipes!$A$5:$A$204,0)),"Not found"))</f>
        <v>0</v>
      </c>
      <c r="D24" s="32" t="s">
        <v>916</v>
      </c>
      <c r="E24" s="38">
        <v>240</v>
      </c>
      <c r="F24" s="32" t="s">
        <v>668</v>
      </c>
      <c r="G24" s="32" t="s">
        <v>157</v>
      </c>
      <c r="H24" s="32" t="s">
        <v>157</v>
      </c>
      <c r="I24" s="40" t="s">
        <v>312</v>
      </c>
      <c r="J24" s="45">
        <f>IF(E24="","",IFERROR(E24*INDEX(UnitFactors,MATCH(F24,UnitNames,0)),""))</f>
        <v>0</v>
      </c>
      <c r="K24" s="17">
        <f>IF(F24="","",IFERROR(INDEX(UnitBases,MATCH(F24,UnitNames,0)),"?"))</f>
        <v>0</v>
      </c>
      <c r="L24" s="17">
        <f>IF(D24="","",IFERROR(INDEX(Ingredients!$G$5:$G$304,MATCH(D24,Ingredients!$B$5:$B$304,0)),"Add to Ingredients"))</f>
        <v>0</v>
      </c>
      <c r="M24" s="25">
        <f>IF(D24="","",IFERROR(INDEX(Ingredients!$J$5:$J$304,MATCH(D24,Ingredients!$B$5:$B$304,0)),"Add to Ingredients"))</f>
        <v>0</v>
      </c>
      <c r="N24" s="25">
        <f>IF(OR(J24="",M24="",NOT(ISNUMBER(M24))),"",IF(K24&lt;&gt;L24,"",J24*M24))</f>
        <v>0</v>
      </c>
      <c r="O24" s="25">
        <f>IF(N24="","",IFERROR(N24/INDEX(Recipes!$G$5:$G$204,MATCH(B24,Recipes!$A$5:$A$204,0)),""))</f>
        <v>0</v>
      </c>
      <c r="P24" s="30">
        <f>IF(J24="","",IF(K24="each",J24,J24/100))</f>
        <v>0</v>
      </c>
      <c r="Q24" s="30">
        <f>IFERROR(IF(P24="","",P24*INDEX(Ingredients!$P$5:$P$304,MATCH(D24,Ingredients!$B$5:$B$304,0))),"")</f>
        <v>0</v>
      </c>
      <c r="R24" s="45">
        <f>IFERROR(IF(P24="","",P24*INDEX(Ingredients!$Q$5:$Q$304,MATCH(D24,Ingredients!$B$5:$B$304,0))),"")</f>
        <v>0</v>
      </c>
      <c r="S24" s="45">
        <f>IFERROR(IF(P24="","",P24*INDEX(Ingredients!$R$5:$R$304,MATCH(D24,Ingredients!$B$5:$B$304,0))),"")</f>
        <v>0</v>
      </c>
      <c r="T24" s="45">
        <f>IFERROR(IF(P24="","",P24*INDEX(Ingredients!$S$5:$S$304,MATCH(D24,Ingredients!$B$5:$B$304,0))),"")</f>
        <v>0</v>
      </c>
      <c r="U24" s="45">
        <f>IFERROR(IF(P24="","",P24*INDEX(Ingredients!$T$5:$T$304,MATCH(D24,Ingredients!$B$5:$B$304,0))),"")</f>
        <v>0</v>
      </c>
      <c r="V24" s="17">
        <f>IF(D24="","",IFERROR(INDEX(Ingredients!$W$5:$W$304,MATCH(D24,Ingredients!$B$5:$B$304,0)),"Add to Ingredients"))</f>
        <v>0</v>
      </c>
      <c r="W24" s="17">
        <f>IF(D24="","",IFERROR(INDEX(Ingredients!$C$5:$C$304,MATCH(D24,Ingredients!$B$5:$B$304,0)),"Add to Ingredients"))</f>
        <v>0</v>
      </c>
      <c r="X24" s="45">
        <f>IFERROR(INDEX(Recipes!$AT$5:$AT$204,MATCH(B24,Recipes!$A$5:$A$204,0)),0)</f>
        <v>0</v>
      </c>
      <c r="Y24" s="45">
        <f>IF(OR(J24="",X24=0),"",J24*X24)</f>
        <v>0</v>
      </c>
      <c r="Z24" s="17">
        <f>IF(D24="","",B24&amp;"#"&amp;COUNTIFS($B$5:B24,B24))</f>
        <v>0</v>
      </c>
      <c r="AA24" s="17">
        <f>IF(D24="","",B24&amp;"|"&amp;D24)</f>
        <v>0</v>
      </c>
      <c r="AB24" s="31">
        <f>IF(D24="","",IF(B24="","Add - which recipe?",IF(COUNTIFS(Ingredients!$B$5:$B$304,D24)=0,"Missing - not in the Ingredients tab",IF(E24="","Add - no quantity",IF(F24="","Add - no unit",IF(K24&lt;&gt;L24,"Check - recipe in "&amp;K24&amp;", priced in "&amp;L24,IF(COUNTIFS($AA$5:$AA$1204,AA24)&gt;1,"Duplicate - same ingredient twice","OK")))))))</f>
        <v>0</v>
      </c>
    </row>
    <row r="25" spans="1:28">
      <c r="A25" s="39">
        <f>IF(D25="","","RL-"&amp;TEXT(ROW()-4,"0000"))</f>
        <v>0</v>
      </c>
      <c r="B25" s="32" t="s">
        <v>915</v>
      </c>
      <c r="C25" s="17">
        <f>IF(B25="","",IFERROR(INDEX(Recipes!$B$5:$B$204,MATCH(B25,Recipes!$A$5:$A$204,0)),"Not found"))</f>
        <v>0</v>
      </c>
      <c r="D25" s="32" t="s">
        <v>890</v>
      </c>
      <c r="E25" s="38">
        <v>500</v>
      </c>
      <c r="F25" s="32" t="s">
        <v>668</v>
      </c>
      <c r="G25" s="32" t="s">
        <v>917</v>
      </c>
      <c r="H25" s="32" t="s">
        <v>157</v>
      </c>
      <c r="I25" s="40" t="s">
        <v>312</v>
      </c>
      <c r="J25" s="45">
        <f>IF(E25="","",IFERROR(E25*INDEX(UnitFactors,MATCH(F25,UnitNames,0)),""))</f>
        <v>0</v>
      </c>
      <c r="K25" s="17">
        <f>IF(F25="","",IFERROR(INDEX(UnitBases,MATCH(F25,UnitNames,0)),"?"))</f>
        <v>0</v>
      </c>
      <c r="L25" s="17">
        <f>IF(D25="","",IFERROR(INDEX(Ingredients!$G$5:$G$304,MATCH(D25,Ingredients!$B$5:$B$304,0)),"Add to Ingredients"))</f>
        <v>0</v>
      </c>
      <c r="M25" s="25">
        <f>IF(D25="","",IFERROR(INDEX(Ingredients!$J$5:$J$304,MATCH(D25,Ingredients!$B$5:$B$304,0)),"Add to Ingredients"))</f>
        <v>0</v>
      </c>
      <c r="N25" s="25">
        <f>IF(OR(J25="",M25="",NOT(ISNUMBER(M25))),"",IF(K25&lt;&gt;L25,"",J25*M25))</f>
        <v>0</v>
      </c>
      <c r="O25" s="25">
        <f>IF(N25="","",IFERROR(N25/INDEX(Recipes!$G$5:$G$204,MATCH(B25,Recipes!$A$5:$A$204,0)),""))</f>
        <v>0</v>
      </c>
      <c r="P25" s="30">
        <f>IF(J25="","",IF(K25="each",J25,J25/100))</f>
        <v>0</v>
      </c>
      <c r="Q25" s="30">
        <f>IFERROR(IF(P25="","",P25*INDEX(Ingredients!$P$5:$P$304,MATCH(D25,Ingredients!$B$5:$B$304,0))),"")</f>
        <v>0</v>
      </c>
      <c r="R25" s="45">
        <f>IFERROR(IF(P25="","",P25*INDEX(Ingredients!$Q$5:$Q$304,MATCH(D25,Ingredients!$B$5:$B$304,0))),"")</f>
        <v>0</v>
      </c>
      <c r="S25" s="45">
        <f>IFERROR(IF(P25="","",P25*INDEX(Ingredients!$R$5:$R$304,MATCH(D25,Ingredients!$B$5:$B$304,0))),"")</f>
        <v>0</v>
      </c>
      <c r="T25" s="45">
        <f>IFERROR(IF(P25="","",P25*INDEX(Ingredients!$S$5:$S$304,MATCH(D25,Ingredients!$B$5:$B$304,0))),"")</f>
        <v>0</v>
      </c>
      <c r="U25" s="45">
        <f>IFERROR(IF(P25="","",P25*INDEX(Ingredients!$T$5:$T$304,MATCH(D25,Ingredients!$B$5:$B$304,0))),"")</f>
        <v>0</v>
      </c>
      <c r="V25" s="17">
        <f>IF(D25="","",IFERROR(INDEX(Ingredients!$W$5:$W$304,MATCH(D25,Ingredients!$B$5:$B$304,0)),"Add to Ingredients"))</f>
        <v>0</v>
      </c>
      <c r="W25" s="17">
        <f>IF(D25="","",IFERROR(INDEX(Ingredients!$C$5:$C$304,MATCH(D25,Ingredients!$B$5:$B$304,0)),"Add to Ingredients"))</f>
        <v>0</v>
      </c>
      <c r="X25" s="45">
        <f>IFERROR(INDEX(Recipes!$AT$5:$AT$204,MATCH(B25,Recipes!$A$5:$A$204,0)),0)</f>
        <v>0</v>
      </c>
      <c r="Y25" s="45">
        <f>IF(OR(J25="",X25=0),"",J25*X25)</f>
        <v>0</v>
      </c>
      <c r="Z25" s="17">
        <f>IF(D25="","",B25&amp;"#"&amp;COUNTIFS($B$5:B25,B25))</f>
        <v>0</v>
      </c>
      <c r="AA25" s="17">
        <f>IF(D25="","",B25&amp;"|"&amp;D25)</f>
        <v>0</v>
      </c>
      <c r="AB25" s="31">
        <f>IF(D25="","",IF(B25="","Add - which recipe?",IF(COUNTIFS(Ingredients!$B$5:$B$304,D25)=0,"Missing - not in the Ingredients tab",IF(E25="","Add - no quantity",IF(F25="","Add - no unit",IF(K25&lt;&gt;L25,"Check - recipe in "&amp;K25&amp;", priced in "&amp;L25,IF(COUNTIFS($AA$5:$AA$1204,AA25)&gt;1,"Duplicate - same ingredient twice","OK")))))))</f>
        <v>0</v>
      </c>
    </row>
    <row r="26" spans="1:28">
      <c r="A26" s="39">
        <f>IF(D26="","","RL-"&amp;TEXT(ROW()-4,"0000"))</f>
        <v>0</v>
      </c>
      <c r="B26" s="32" t="s">
        <v>915</v>
      </c>
      <c r="C26" s="17">
        <f>IF(B26="","",IFERROR(INDEX(Recipes!$B$5:$B$204,MATCH(B26,Recipes!$A$5:$A$204,0)),"Not found"))</f>
        <v>0</v>
      </c>
      <c r="D26" s="32" t="s">
        <v>918</v>
      </c>
      <c r="E26" s="38">
        <v>200</v>
      </c>
      <c r="F26" s="32" t="s">
        <v>668</v>
      </c>
      <c r="G26" s="32" t="s">
        <v>157</v>
      </c>
      <c r="H26" s="32" t="s">
        <v>157</v>
      </c>
      <c r="I26" s="40" t="s">
        <v>312</v>
      </c>
      <c r="J26" s="45">
        <f>IF(E26="","",IFERROR(E26*INDEX(UnitFactors,MATCH(F26,UnitNames,0)),""))</f>
        <v>0</v>
      </c>
      <c r="K26" s="17">
        <f>IF(F26="","",IFERROR(INDEX(UnitBases,MATCH(F26,UnitNames,0)),"?"))</f>
        <v>0</v>
      </c>
      <c r="L26" s="17">
        <f>IF(D26="","",IFERROR(INDEX(Ingredients!$G$5:$G$304,MATCH(D26,Ingredients!$B$5:$B$304,0)),"Add to Ingredients"))</f>
        <v>0</v>
      </c>
      <c r="M26" s="25">
        <f>IF(D26="","",IFERROR(INDEX(Ingredients!$J$5:$J$304,MATCH(D26,Ingredients!$B$5:$B$304,0)),"Add to Ingredients"))</f>
        <v>0</v>
      </c>
      <c r="N26" s="25">
        <f>IF(OR(J26="",M26="",NOT(ISNUMBER(M26))),"",IF(K26&lt;&gt;L26,"",J26*M26))</f>
        <v>0</v>
      </c>
      <c r="O26" s="25">
        <f>IF(N26="","",IFERROR(N26/INDEX(Recipes!$G$5:$G$204,MATCH(B26,Recipes!$A$5:$A$204,0)),""))</f>
        <v>0</v>
      </c>
      <c r="P26" s="30">
        <f>IF(J26="","",IF(K26="each",J26,J26/100))</f>
        <v>0</v>
      </c>
      <c r="Q26" s="30">
        <f>IFERROR(IF(P26="","",P26*INDEX(Ingredients!$P$5:$P$304,MATCH(D26,Ingredients!$B$5:$B$304,0))),"")</f>
        <v>0</v>
      </c>
      <c r="R26" s="45">
        <f>IFERROR(IF(P26="","",P26*INDEX(Ingredients!$Q$5:$Q$304,MATCH(D26,Ingredients!$B$5:$B$304,0))),"")</f>
        <v>0</v>
      </c>
      <c r="S26" s="45">
        <f>IFERROR(IF(P26="","",P26*INDEX(Ingredients!$R$5:$R$304,MATCH(D26,Ingredients!$B$5:$B$304,0))),"")</f>
        <v>0</v>
      </c>
      <c r="T26" s="45">
        <f>IFERROR(IF(P26="","",P26*INDEX(Ingredients!$S$5:$S$304,MATCH(D26,Ingredients!$B$5:$B$304,0))),"")</f>
        <v>0</v>
      </c>
      <c r="U26" s="45">
        <f>IFERROR(IF(P26="","",P26*INDEX(Ingredients!$T$5:$T$304,MATCH(D26,Ingredients!$B$5:$B$304,0))),"")</f>
        <v>0</v>
      </c>
      <c r="V26" s="17">
        <f>IF(D26="","",IFERROR(INDEX(Ingredients!$W$5:$W$304,MATCH(D26,Ingredients!$B$5:$B$304,0)),"Add to Ingredients"))</f>
        <v>0</v>
      </c>
      <c r="W26" s="17">
        <f>IF(D26="","",IFERROR(INDEX(Ingredients!$C$5:$C$304,MATCH(D26,Ingredients!$B$5:$B$304,0)),"Add to Ingredients"))</f>
        <v>0</v>
      </c>
      <c r="X26" s="45">
        <f>IFERROR(INDEX(Recipes!$AT$5:$AT$204,MATCH(B26,Recipes!$A$5:$A$204,0)),0)</f>
        <v>0</v>
      </c>
      <c r="Y26" s="45">
        <f>IF(OR(J26="",X26=0),"",J26*X26)</f>
        <v>0</v>
      </c>
      <c r="Z26" s="17">
        <f>IF(D26="","",B26&amp;"#"&amp;COUNTIFS($B$5:B26,B26))</f>
        <v>0</v>
      </c>
      <c r="AA26" s="17">
        <f>IF(D26="","",B26&amp;"|"&amp;D26)</f>
        <v>0</v>
      </c>
      <c r="AB26" s="31">
        <f>IF(D26="","",IF(B26="","Add - which recipe?",IF(COUNTIFS(Ingredients!$B$5:$B$304,D26)=0,"Missing - not in the Ingredients tab",IF(E26="","Add - no quantity",IF(F26="","Add - no unit",IF(K26&lt;&gt;L26,"Check - recipe in "&amp;K26&amp;", priced in "&amp;L26,IF(COUNTIFS($AA$5:$AA$1204,AA26)&gt;1,"Duplicate - same ingredient twice","OK")))))))</f>
        <v>0</v>
      </c>
    </row>
    <row r="27" spans="1:28">
      <c r="A27" s="39">
        <f>IF(D27="","","RL-"&amp;TEXT(ROW()-4,"0000"))</f>
        <v>0</v>
      </c>
      <c r="B27" s="32" t="s">
        <v>915</v>
      </c>
      <c r="C27" s="17">
        <f>IF(B27="","",IFERROR(INDEX(Recipes!$B$5:$B$204,MATCH(B27,Recipes!$A$5:$A$204,0)),"Not found"))</f>
        <v>0</v>
      </c>
      <c r="D27" s="32" t="s">
        <v>919</v>
      </c>
      <c r="E27" s="38">
        <v>1</v>
      </c>
      <c r="F27" s="32" t="s">
        <v>685</v>
      </c>
      <c r="G27" s="32" t="s">
        <v>917</v>
      </c>
      <c r="H27" s="32" t="s">
        <v>157</v>
      </c>
      <c r="I27" s="40" t="s">
        <v>312</v>
      </c>
      <c r="J27" s="45">
        <f>IF(E27="","",IFERROR(E27*INDEX(UnitFactors,MATCH(F27,UnitNames,0)),""))</f>
        <v>0</v>
      </c>
      <c r="K27" s="17">
        <f>IF(F27="","",IFERROR(INDEX(UnitBases,MATCH(F27,UnitNames,0)),"?"))</f>
        <v>0</v>
      </c>
      <c r="L27" s="17">
        <f>IF(D27="","",IFERROR(INDEX(Ingredients!$G$5:$G$304,MATCH(D27,Ingredients!$B$5:$B$304,0)),"Add to Ingredients"))</f>
        <v>0</v>
      </c>
      <c r="M27" s="25">
        <f>IF(D27="","",IFERROR(INDEX(Ingredients!$J$5:$J$304,MATCH(D27,Ingredients!$B$5:$B$304,0)),"Add to Ingredients"))</f>
        <v>0</v>
      </c>
      <c r="N27" s="25">
        <f>IF(OR(J27="",M27="",NOT(ISNUMBER(M27))),"",IF(K27&lt;&gt;L27,"",J27*M27))</f>
        <v>0</v>
      </c>
      <c r="O27" s="25">
        <f>IF(N27="","",IFERROR(N27/INDEX(Recipes!$G$5:$G$204,MATCH(B27,Recipes!$A$5:$A$204,0)),""))</f>
        <v>0</v>
      </c>
      <c r="P27" s="30">
        <f>IF(J27="","",IF(K27="each",J27,J27/100))</f>
        <v>0</v>
      </c>
      <c r="Q27" s="30">
        <f>IFERROR(IF(P27="","",P27*INDEX(Ingredients!$P$5:$P$304,MATCH(D27,Ingredients!$B$5:$B$304,0))),"")</f>
        <v>0</v>
      </c>
      <c r="R27" s="45">
        <f>IFERROR(IF(P27="","",P27*INDEX(Ingredients!$Q$5:$Q$304,MATCH(D27,Ingredients!$B$5:$B$304,0))),"")</f>
        <v>0</v>
      </c>
      <c r="S27" s="45">
        <f>IFERROR(IF(P27="","",P27*INDEX(Ingredients!$R$5:$R$304,MATCH(D27,Ingredients!$B$5:$B$304,0))),"")</f>
        <v>0</v>
      </c>
      <c r="T27" s="45">
        <f>IFERROR(IF(P27="","",P27*INDEX(Ingredients!$S$5:$S$304,MATCH(D27,Ingredients!$B$5:$B$304,0))),"")</f>
        <v>0</v>
      </c>
      <c r="U27" s="45">
        <f>IFERROR(IF(P27="","",P27*INDEX(Ingredients!$T$5:$T$304,MATCH(D27,Ingredients!$B$5:$B$304,0))),"")</f>
        <v>0</v>
      </c>
      <c r="V27" s="17">
        <f>IF(D27="","",IFERROR(INDEX(Ingredients!$W$5:$W$304,MATCH(D27,Ingredients!$B$5:$B$304,0)),"Add to Ingredients"))</f>
        <v>0</v>
      </c>
      <c r="W27" s="17">
        <f>IF(D27="","",IFERROR(INDEX(Ingredients!$C$5:$C$304,MATCH(D27,Ingredients!$B$5:$B$304,0)),"Add to Ingredients"))</f>
        <v>0</v>
      </c>
      <c r="X27" s="45">
        <f>IFERROR(INDEX(Recipes!$AT$5:$AT$204,MATCH(B27,Recipes!$A$5:$A$204,0)),0)</f>
        <v>0</v>
      </c>
      <c r="Y27" s="45">
        <f>IF(OR(J27="",X27=0),"",J27*X27)</f>
        <v>0</v>
      </c>
      <c r="Z27" s="17">
        <f>IF(D27="","",B27&amp;"#"&amp;COUNTIFS($B$5:B27,B27))</f>
        <v>0</v>
      </c>
      <c r="AA27" s="17">
        <f>IF(D27="","",B27&amp;"|"&amp;D27)</f>
        <v>0</v>
      </c>
      <c r="AB27" s="31">
        <f>IF(D27="","",IF(B27="","Add - which recipe?",IF(COUNTIFS(Ingredients!$B$5:$B$304,D27)=0,"Missing - not in the Ingredients tab",IF(E27="","Add - no quantity",IF(F27="","Add - no unit",IF(K27&lt;&gt;L27,"Check - recipe in "&amp;K27&amp;", priced in "&amp;L27,IF(COUNTIFS($AA$5:$AA$1204,AA27)&gt;1,"Duplicate - same ingredient twice","OK")))))))</f>
        <v>0</v>
      </c>
    </row>
    <row r="28" spans="1:28">
      <c r="A28" s="39">
        <f>IF(D28="","","RL-"&amp;TEXT(ROW()-4,"0000"))</f>
        <v>0</v>
      </c>
      <c r="B28" s="32" t="s">
        <v>915</v>
      </c>
      <c r="C28" s="17">
        <f>IF(B28="","",IFERROR(INDEX(Recipes!$B$5:$B$204,MATCH(B28,Recipes!$A$5:$A$204,0)),"Not found"))</f>
        <v>0</v>
      </c>
      <c r="D28" s="32" t="s">
        <v>896</v>
      </c>
      <c r="E28" s="38">
        <v>1</v>
      </c>
      <c r="F28" s="32" t="s">
        <v>678</v>
      </c>
      <c r="G28" s="32" t="s">
        <v>157</v>
      </c>
      <c r="H28" s="32" t="s">
        <v>157</v>
      </c>
      <c r="I28" s="40" t="s">
        <v>312</v>
      </c>
      <c r="J28" s="45">
        <f>IF(E28="","",IFERROR(E28*INDEX(UnitFactors,MATCH(F28,UnitNames,0)),""))</f>
        <v>0</v>
      </c>
      <c r="K28" s="17">
        <f>IF(F28="","",IFERROR(INDEX(UnitBases,MATCH(F28,UnitNames,0)),"?"))</f>
        <v>0</v>
      </c>
      <c r="L28" s="17">
        <f>IF(D28="","",IFERROR(INDEX(Ingredients!$G$5:$G$304,MATCH(D28,Ingredients!$B$5:$B$304,0)),"Add to Ingredients"))</f>
        <v>0</v>
      </c>
      <c r="M28" s="25">
        <f>IF(D28="","",IFERROR(INDEX(Ingredients!$J$5:$J$304,MATCH(D28,Ingredients!$B$5:$B$304,0)),"Add to Ingredients"))</f>
        <v>0</v>
      </c>
      <c r="N28" s="25">
        <f>IF(OR(J28="",M28="",NOT(ISNUMBER(M28))),"",IF(K28&lt;&gt;L28,"",J28*M28))</f>
        <v>0</v>
      </c>
      <c r="O28" s="25">
        <f>IF(N28="","",IFERROR(N28/INDEX(Recipes!$G$5:$G$204,MATCH(B28,Recipes!$A$5:$A$204,0)),""))</f>
        <v>0</v>
      </c>
      <c r="P28" s="30">
        <f>IF(J28="","",IF(K28="each",J28,J28/100))</f>
        <v>0</v>
      </c>
      <c r="Q28" s="30">
        <f>IFERROR(IF(P28="","",P28*INDEX(Ingredients!$P$5:$P$304,MATCH(D28,Ingredients!$B$5:$B$304,0))),"")</f>
        <v>0</v>
      </c>
      <c r="R28" s="45">
        <f>IFERROR(IF(P28="","",P28*INDEX(Ingredients!$Q$5:$Q$304,MATCH(D28,Ingredients!$B$5:$B$304,0))),"")</f>
        <v>0</v>
      </c>
      <c r="S28" s="45">
        <f>IFERROR(IF(P28="","",P28*INDEX(Ingredients!$R$5:$R$304,MATCH(D28,Ingredients!$B$5:$B$304,0))),"")</f>
        <v>0</v>
      </c>
      <c r="T28" s="45">
        <f>IFERROR(IF(P28="","",P28*INDEX(Ingredients!$S$5:$S$304,MATCH(D28,Ingredients!$B$5:$B$304,0))),"")</f>
        <v>0</v>
      </c>
      <c r="U28" s="45">
        <f>IFERROR(IF(P28="","",P28*INDEX(Ingredients!$T$5:$T$304,MATCH(D28,Ingredients!$B$5:$B$304,0))),"")</f>
        <v>0</v>
      </c>
      <c r="V28" s="17">
        <f>IF(D28="","",IFERROR(INDEX(Ingredients!$W$5:$W$304,MATCH(D28,Ingredients!$B$5:$B$304,0)),"Add to Ingredients"))</f>
        <v>0</v>
      </c>
      <c r="W28" s="17">
        <f>IF(D28="","",IFERROR(INDEX(Ingredients!$C$5:$C$304,MATCH(D28,Ingredients!$B$5:$B$304,0)),"Add to Ingredients"))</f>
        <v>0</v>
      </c>
      <c r="X28" s="45">
        <f>IFERROR(INDEX(Recipes!$AT$5:$AT$204,MATCH(B28,Recipes!$A$5:$A$204,0)),0)</f>
        <v>0</v>
      </c>
      <c r="Y28" s="45">
        <f>IF(OR(J28="",X28=0),"",J28*X28)</f>
        <v>0</v>
      </c>
      <c r="Z28" s="17">
        <f>IF(D28="","",B28&amp;"#"&amp;COUNTIFS($B$5:B28,B28))</f>
        <v>0</v>
      </c>
      <c r="AA28" s="17">
        <f>IF(D28="","",B28&amp;"|"&amp;D28)</f>
        <v>0</v>
      </c>
      <c r="AB28" s="31">
        <f>IF(D28="","",IF(B28="","Add - which recipe?",IF(COUNTIFS(Ingredients!$B$5:$B$304,D28)=0,"Missing - not in the Ingredients tab",IF(E28="","Add - no quantity",IF(F28="","Add - no unit",IF(K28&lt;&gt;L28,"Check - recipe in "&amp;K28&amp;", priced in "&amp;L28,IF(COUNTIFS($AA$5:$AA$1204,AA28)&gt;1,"Duplicate - same ingredient twice","OK")))))))</f>
        <v>0</v>
      </c>
    </row>
    <row r="29" spans="1:28">
      <c r="A29" s="39">
        <f>IF(D29="","","RL-"&amp;TEXT(ROW()-4,"0000"))</f>
        <v>0</v>
      </c>
      <c r="B29" s="32" t="s">
        <v>920</v>
      </c>
      <c r="C29" s="17">
        <f>IF(B29="","",IFERROR(INDEX(Recipes!$B$5:$B$204,MATCH(B29,Recipes!$A$5:$A$204,0)),"Not found"))</f>
        <v>0</v>
      </c>
      <c r="D29" s="32" t="s">
        <v>921</v>
      </c>
      <c r="E29" s="38">
        <v>800</v>
      </c>
      <c r="F29" s="32" t="s">
        <v>668</v>
      </c>
      <c r="G29" s="32" t="s">
        <v>922</v>
      </c>
      <c r="H29" s="32" t="s">
        <v>157</v>
      </c>
      <c r="I29" s="40" t="s">
        <v>312</v>
      </c>
      <c r="J29" s="45">
        <f>IF(E29="","",IFERROR(E29*INDEX(UnitFactors,MATCH(F29,UnitNames,0)),""))</f>
        <v>0</v>
      </c>
      <c r="K29" s="17">
        <f>IF(F29="","",IFERROR(INDEX(UnitBases,MATCH(F29,UnitNames,0)),"?"))</f>
        <v>0</v>
      </c>
      <c r="L29" s="17">
        <f>IF(D29="","",IFERROR(INDEX(Ingredients!$G$5:$G$304,MATCH(D29,Ingredients!$B$5:$B$304,0)),"Add to Ingredients"))</f>
        <v>0</v>
      </c>
      <c r="M29" s="25">
        <f>IF(D29="","",IFERROR(INDEX(Ingredients!$J$5:$J$304,MATCH(D29,Ingredients!$B$5:$B$304,0)),"Add to Ingredients"))</f>
        <v>0</v>
      </c>
      <c r="N29" s="25">
        <f>IF(OR(J29="",M29="",NOT(ISNUMBER(M29))),"",IF(K29&lt;&gt;L29,"",J29*M29))</f>
        <v>0</v>
      </c>
      <c r="O29" s="25">
        <f>IF(N29="","",IFERROR(N29/INDEX(Recipes!$G$5:$G$204,MATCH(B29,Recipes!$A$5:$A$204,0)),""))</f>
        <v>0</v>
      </c>
      <c r="P29" s="30">
        <f>IF(J29="","",IF(K29="each",J29,J29/100))</f>
        <v>0</v>
      </c>
      <c r="Q29" s="30">
        <f>IFERROR(IF(P29="","",P29*INDEX(Ingredients!$P$5:$P$304,MATCH(D29,Ingredients!$B$5:$B$304,0))),"")</f>
        <v>0</v>
      </c>
      <c r="R29" s="45">
        <f>IFERROR(IF(P29="","",P29*INDEX(Ingredients!$Q$5:$Q$304,MATCH(D29,Ingredients!$B$5:$B$304,0))),"")</f>
        <v>0</v>
      </c>
      <c r="S29" s="45">
        <f>IFERROR(IF(P29="","",P29*INDEX(Ingredients!$R$5:$R$304,MATCH(D29,Ingredients!$B$5:$B$304,0))),"")</f>
        <v>0</v>
      </c>
      <c r="T29" s="45">
        <f>IFERROR(IF(P29="","",P29*INDEX(Ingredients!$S$5:$S$304,MATCH(D29,Ingredients!$B$5:$B$304,0))),"")</f>
        <v>0</v>
      </c>
      <c r="U29" s="45">
        <f>IFERROR(IF(P29="","",P29*INDEX(Ingredients!$T$5:$T$304,MATCH(D29,Ingredients!$B$5:$B$304,0))),"")</f>
        <v>0</v>
      </c>
      <c r="V29" s="17">
        <f>IF(D29="","",IFERROR(INDEX(Ingredients!$W$5:$W$304,MATCH(D29,Ingredients!$B$5:$B$304,0)),"Add to Ingredients"))</f>
        <v>0</v>
      </c>
      <c r="W29" s="17">
        <f>IF(D29="","",IFERROR(INDEX(Ingredients!$C$5:$C$304,MATCH(D29,Ingredients!$B$5:$B$304,0)),"Add to Ingredients"))</f>
        <v>0</v>
      </c>
      <c r="X29" s="45">
        <f>IFERROR(INDEX(Recipes!$AT$5:$AT$204,MATCH(B29,Recipes!$A$5:$A$204,0)),0)</f>
        <v>0</v>
      </c>
      <c r="Y29" s="45">
        <f>IF(OR(J29="",X29=0),"",J29*X29)</f>
        <v>0</v>
      </c>
      <c r="Z29" s="17">
        <f>IF(D29="","",B29&amp;"#"&amp;COUNTIFS($B$5:B29,B29))</f>
        <v>0</v>
      </c>
      <c r="AA29" s="17">
        <f>IF(D29="","",B29&amp;"|"&amp;D29)</f>
        <v>0</v>
      </c>
      <c r="AB29" s="31">
        <f>IF(D29="","",IF(B29="","Add - which recipe?",IF(COUNTIFS(Ingredients!$B$5:$B$304,D29)=0,"Missing - not in the Ingredients tab",IF(E29="","Add - no quantity",IF(F29="","Add - no unit",IF(K29&lt;&gt;L29,"Check - recipe in "&amp;K29&amp;", priced in "&amp;L29,IF(COUNTIFS($AA$5:$AA$1204,AA29)&gt;1,"Duplicate - same ingredient twice","OK")))))))</f>
        <v>0</v>
      </c>
    </row>
    <row r="30" spans="1:28">
      <c r="A30" s="39">
        <f>IF(D30="","","RL-"&amp;TEXT(ROW()-4,"0000"))</f>
        <v>0</v>
      </c>
      <c r="B30" s="32" t="s">
        <v>920</v>
      </c>
      <c r="C30" s="17">
        <f>IF(B30="","",IFERROR(INDEX(Recipes!$B$5:$B$204,MATCH(B30,Recipes!$A$5:$A$204,0)),"Not found"))</f>
        <v>0</v>
      </c>
      <c r="D30" s="32" t="s">
        <v>914</v>
      </c>
      <c r="E30" s="38">
        <v>200</v>
      </c>
      <c r="F30" s="32" t="s">
        <v>668</v>
      </c>
      <c r="G30" s="32" t="s">
        <v>157</v>
      </c>
      <c r="H30" s="32" t="s">
        <v>157</v>
      </c>
      <c r="I30" s="40" t="s">
        <v>312</v>
      </c>
      <c r="J30" s="45">
        <f>IF(E30="","",IFERROR(E30*INDEX(UnitFactors,MATCH(F30,UnitNames,0)),""))</f>
        <v>0</v>
      </c>
      <c r="K30" s="17">
        <f>IF(F30="","",IFERROR(INDEX(UnitBases,MATCH(F30,UnitNames,0)),"?"))</f>
        <v>0</v>
      </c>
      <c r="L30" s="17">
        <f>IF(D30="","",IFERROR(INDEX(Ingredients!$G$5:$G$304,MATCH(D30,Ingredients!$B$5:$B$304,0)),"Add to Ingredients"))</f>
        <v>0</v>
      </c>
      <c r="M30" s="25">
        <f>IF(D30="","",IFERROR(INDEX(Ingredients!$J$5:$J$304,MATCH(D30,Ingredients!$B$5:$B$304,0)),"Add to Ingredients"))</f>
        <v>0</v>
      </c>
      <c r="N30" s="25">
        <f>IF(OR(J30="",M30="",NOT(ISNUMBER(M30))),"",IF(K30&lt;&gt;L30,"",J30*M30))</f>
        <v>0</v>
      </c>
      <c r="O30" s="25">
        <f>IF(N30="","",IFERROR(N30/INDEX(Recipes!$G$5:$G$204,MATCH(B30,Recipes!$A$5:$A$204,0)),""))</f>
        <v>0</v>
      </c>
      <c r="P30" s="30">
        <f>IF(J30="","",IF(K30="each",J30,J30/100))</f>
        <v>0</v>
      </c>
      <c r="Q30" s="30">
        <f>IFERROR(IF(P30="","",P30*INDEX(Ingredients!$P$5:$P$304,MATCH(D30,Ingredients!$B$5:$B$304,0))),"")</f>
        <v>0</v>
      </c>
      <c r="R30" s="45">
        <f>IFERROR(IF(P30="","",P30*INDEX(Ingredients!$Q$5:$Q$304,MATCH(D30,Ingredients!$B$5:$B$304,0))),"")</f>
        <v>0</v>
      </c>
      <c r="S30" s="45">
        <f>IFERROR(IF(P30="","",P30*INDEX(Ingredients!$R$5:$R$304,MATCH(D30,Ingredients!$B$5:$B$304,0))),"")</f>
        <v>0</v>
      </c>
      <c r="T30" s="45">
        <f>IFERROR(IF(P30="","",P30*INDEX(Ingredients!$S$5:$S$304,MATCH(D30,Ingredients!$B$5:$B$304,0))),"")</f>
        <v>0</v>
      </c>
      <c r="U30" s="45">
        <f>IFERROR(IF(P30="","",P30*INDEX(Ingredients!$T$5:$T$304,MATCH(D30,Ingredients!$B$5:$B$304,0))),"")</f>
        <v>0</v>
      </c>
      <c r="V30" s="17">
        <f>IF(D30="","",IFERROR(INDEX(Ingredients!$W$5:$W$304,MATCH(D30,Ingredients!$B$5:$B$304,0)),"Add to Ingredients"))</f>
        <v>0</v>
      </c>
      <c r="W30" s="17">
        <f>IF(D30="","",IFERROR(INDEX(Ingredients!$C$5:$C$304,MATCH(D30,Ingredients!$B$5:$B$304,0)),"Add to Ingredients"))</f>
        <v>0</v>
      </c>
      <c r="X30" s="45">
        <f>IFERROR(INDEX(Recipes!$AT$5:$AT$204,MATCH(B30,Recipes!$A$5:$A$204,0)),0)</f>
        <v>0</v>
      </c>
      <c r="Y30" s="45">
        <f>IF(OR(J30="",X30=0),"",J30*X30)</f>
        <v>0</v>
      </c>
      <c r="Z30" s="17">
        <f>IF(D30="","",B30&amp;"#"&amp;COUNTIFS($B$5:B30,B30))</f>
        <v>0</v>
      </c>
      <c r="AA30" s="17">
        <f>IF(D30="","",B30&amp;"|"&amp;D30)</f>
        <v>0</v>
      </c>
      <c r="AB30" s="31">
        <f>IF(D30="","",IF(B30="","Add - which recipe?",IF(COUNTIFS(Ingredients!$B$5:$B$304,D30)=0,"Missing - not in the Ingredients tab",IF(E30="","Add - no quantity",IF(F30="","Add - no unit",IF(K30&lt;&gt;L30,"Check - recipe in "&amp;K30&amp;", priced in "&amp;L30,IF(COUNTIFS($AA$5:$AA$1204,AA30)&gt;1,"Duplicate - same ingredient twice","OK")))))))</f>
        <v>0</v>
      </c>
    </row>
    <row r="31" spans="1:28">
      <c r="A31" s="39">
        <f>IF(D31="","","RL-"&amp;TEXT(ROW()-4,"0000"))</f>
        <v>0</v>
      </c>
      <c r="B31" s="32" t="s">
        <v>920</v>
      </c>
      <c r="C31" s="17">
        <f>IF(B31="","",IFERROR(INDEX(Recipes!$B$5:$B$204,MATCH(B31,Recipes!$A$5:$A$204,0)),"Not found"))</f>
        <v>0</v>
      </c>
      <c r="D31" s="32" t="s">
        <v>894</v>
      </c>
      <c r="E31" s="38">
        <v>150</v>
      </c>
      <c r="F31" s="32" t="s">
        <v>668</v>
      </c>
      <c r="G31" s="32" t="s">
        <v>911</v>
      </c>
      <c r="H31" s="32" t="s">
        <v>157</v>
      </c>
      <c r="I31" s="40" t="s">
        <v>312</v>
      </c>
      <c r="J31" s="45">
        <f>IF(E31="","",IFERROR(E31*INDEX(UnitFactors,MATCH(F31,UnitNames,0)),""))</f>
        <v>0</v>
      </c>
      <c r="K31" s="17">
        <f>IF(F31="","",IFERROR(INDEX(UnitBases,MATCH(F31,UnitNames,0)),"?"))</f>
        <v>0</v>
      </c>
      <c r="L31" s="17">
        <f>IF(D31="","",IFERROR(INDEX(Ingredients!$G$5:$G$304,MATCH(D31,Ingredients!$B$5:$B$304,0)),"Add to Ingredients"))</f>
        <v>0</v>
      </c>
      <c r="M31" s="25">
        <f>IF(D31="","",IFERROR(INDEX(Ingredients!$J$5:$J$304,MATCH(D31,Ingredients!$B$5:$B$304,0)),"Add to Ingredients"))</f>
        <v>0</v>
      </c>
      <c r="N31" s="25">
        <f>IF(OR(J31="",M31="",NOT(ISNUMBER(M31))),"",IF(K31&lt;&gt;L31,"",J31*M31))</f>
        <v>0</v>
      </c>
      <c r="O31" s="25">
        <f>IF(N31="","",IFERROR(N31/INDEX(Recipes!$G$5:$G$204,MATCH(B31,Recipes!$A$5:$A$204,0)),""))</f>
        <v>0</v>
      </c>
      <c r="P31" s="30">
        <f>IF(J31="","",IF(K31="each",J31,J31/100))</f>
        <v>0</v>
      </c>
      <c r="Q31" s="30">
        <f>IFERROR(IF(P31="","",P31*INDEX(Ingredients!$P$5:$P$304,MATCH(D31,Ingredients!$B$5:$B$304,0))),"")</f>
        <v>0</v>
      </c>
      <c r="R31" s="45">
        <f>IFERROR(IF(P31="","",P31*INDEX(Ingredients!$Q$5:$Q$304,MATCH(D31,Ingredients!$B$5:$B$304,0))),"")</f>
        <v>0</v>
      </c>
      <c r="S31" s="45">
        <f>IFERROR(IF(P31="","",P31*INDEX(Ingredients!$R$5:$R$304,MATCH(D31,Ingredients!$B$5:$B$304,0))),"")</f>
        <v>0</v>
      </c>
      <c r="T31" s="45">
        <f>IFERROR(IF(P31="","",P31*INDEX(Ingredients!$S$5:$S$304,MATCH(D31,Ingredients!$B$5:$B$304,0))),"")</f>
        <v>0</v>
      </c>
      <c r="U31" s="45">
        <f>IFERROR(IF(P31="","",P31*INDEX(Ingredients!$T$5:$T$304,MATCH(D31,Ingredients!$B$5:$B$304,0))),"")</f>
        <v>0</v>
      </c>
      <c r="V31" s="17">
        <f>IF(D31="","",IFERROR(INDEX(Ingredients!$W$5:$W$304,MATCH(D31,Ingredients!$B$5:$B$304,0)),"Add to Ingredients"))</f>
        <v>0</v>
      </c>
      <c r="W31" s="17">
        <f>IF(D31="","",IFERROR(INDEX(Ingredients!$C$5:$C$304,MATCH(D31,Ingredients!$B$5:$B$304,0)),"Add to Ingredients"))</f>
        <v>0</v>
      </c>
      <c r="X31" s="45">
        <f>IFERROR(INDEX(Recipes!$AT$5:$AT$204,MATCH(B31,Recipes!$A$5:$A$204,0)),0)</f>
        <v>0</v>
      </c>
      <c r="Y31" s="45">
        <f>IF(OR(J31="",X31=0),"",J31*X31)</f>
        <v>0</v>
      </c>
      <c r="Z31" s="17">
        <f>IF(D31="","",B31&amp;"#"&amp;COUNTIFS($B$5:B31,B31))</f>
        <v>0</v>
      </c>
      <c r="AA31" s="17">
        <f>IF(D31="","",B31&amp;"|"&amp;D31)</f>
        <v>0</v>
      </c>
      <c r="AB31" s="31">
        <f>IF(D31="","",IF(B31="","Add - which recipe?",IF(COUNTIFS(Ingredients!$B$5:$B$304,D31)=0,"Missing - not in the Ingredients tab",IF(E31="","Add - no quantity",IF(F31="","Add - no unit",IF(K31&lt;&gt;L31,"Check - recipe in "&amp;K31&amp;", priced in "&amp;L31,IF(COUNTIFS($AA$5:$AA$1204,AA31)&gt;1,"Duplicate - same ingredient twice","OK")))))))</f>
        <v>0</v>
      </c>
    </row>
    <row r="32" spans="1:28">
      <c r="A32" s="39">
        <f>IF(D32="","","RL-"&amp;TEXT(ROW()-4,"0000"))</f>
        <v>0</v>
      </c>
      <c r="B32" s="32" t="s">
        <v>920</v>
      </c>
      <c r="C32" s="17">
        <f>IF(B32="","",IFERROR(INDEX(Recipes!$B$5:$B$204,MATCH(B32,Recipes!$A$5:$A$204,0)),"Not found"))</f>
        <v>0</v>
      </c>
      <c r="D32" s="32" t="s">
        <v>912</v>
      </c>
      <c r="E32" s="38">
        <v>50</v>
      </c>
      <c r="F32" s="32" t="s">
        <v>668</v>
      </c>
      <c r="G32" s="32" t="s">
        <v>157</v>
      </c>
      <c r="H32" s="32" t="s">
        <v>157</v>
      </c>
      <c r="I32" s="40" t="s">
        <v>312</v>
      </c>
      <c r="J32" s="45">
        <f>IF(E32="","",IFERROR(E32*INDEX(UnitFactors,MATCH(F32,UnitNames,0)),""))</f>
        <v>0</v>
      </c>
      <c r="K32" s="17">
        <f>IF(F32="","",IFERROR(INDEX(UnitBases,MATCH(F32,UnitNames,0)),"?"))</f>
        <v>0</v>
      </c>
      <c r="L32" s="17">
        <f>IF(D32="","",IFERROR(INDEX(Ingredients!$G$5:$G$304,MATCH(D32,Ingredients!$B$5:$B$304,0)),"Add to Ingredients"))</f>
        <v>0</v>
      </c>
      <c r="M32" s="25">
        <f>IF(D32="","",IFERROR(INDEX(Ingredients!$J$5:$J$304,MATCH(D32,Ingredients!$B$5:$B$304,0)),"Add to Ingredients"))</f>
        <v>0</v>
      </c>
      <c r="N32" s="25">
        <f>IF(OR(J32="",M32="",NOT(ISNUMBER(M32))),"",IF(K32&lt;&gt;L32,"",J32*M32))</f>
        <v>0</v>
      </c>
      <c r="O32" s="25">
        <f>IF(N32="","",IFERROR(N32/INDEX(Recipes!$G$5:$G$204,MATCH(B32,Recipes!$A$5:$A$204,0)),""))</f>
        <v>0</v>
      </c>
      <c r="P32" s="30">
        <f>IF(J32="","",IF(K32="each",J32,J32/100))</f>
        <v>0</v>
      </c>
      <c r="Q32" s="30">
        <f>IFERROR(IF(P32="","",P32*INDEX(Ingredients!$P$5:$P$304,MATCH(D32,Ingredients!$B$5:$B$304,0))),"")</f>
        <v>0</v>
      </c>
      <c r="R32" s="45">
        <f>IFERROR(IF(P32="","",P32*INDEX(Ingredients!$Q$5:$Q$304,MATCH(D32,Ingredients!$B$5:$B$304,0))),"")</f>
        <v>0</v>
      </c>
      <c r="S32" s="45">
        <f>IFERROR(IF(P32="","",P32*INDEX(Ingredients!$R$5:$R$304,MATCH(D32,Ingredients!$B$5:$B$304,0))),"")</f>
        <v>0</v>
      </c>
      <c r="T32" s="45">
        <f>IFERROR(IF(P32="","",P32*INDEX(Ingredients!$S$5:$S$304,MATCH(D32,Ingredients!$B$5:$B$304,0))),"")</f>
        <v>0</v>
      </c>
      <c r="U32" s="45">
        <f>IFERROR(IF(P32="","",P32*INDEX(Ingredients!$T$5:$T$304,MATCH(D32,Ingredients!$B$5:$B$304,0))),"")</f>
        <v>0</v>
      </c>
      <c r="V32" s="17">
        <f>IF(D32="","",IFERROR(INDEX(Ingredients!$W$5:$W$304,MATCH(D32,Ingredients!$B$5:$B$304,0)),"Add to Ingredients"))</f>
        <v>0</v>
      </c>
      <c r="W32" s="17">
        <f>IF(D32="","",IFERROR(INDEX(Ingredients!$C$5:$C$304,MATCH(D32,Ingredients!$B$5:$B$304,0)),"Add to Ingredients"))</f>
        <v>0</v>
      </c>
      <c r="X32" s="45">
        <f>IFERROR(INDEX(Recipes!$AT$5:$AT$204,MATCH(B32,Recipes!$A$5:$A$204,0)),0)</f>
        <v>0</v>
      </c>
      <c r="Y32" s="45">
        <f>IF(OR(J32="",X32=0),"",J32*X32)</f>
        <v>0</v>
      </c>
      <c r="Z32" s="17">
        <f>IF(D32="","",B32&amp;"#"&amp;COUNTIFS($B$5:B32,B32))</f>
        <v>0</v>
      </c>
      <c r="AA32" s="17">
        <f>IF(D32="","",B32&amp;"|"&amp;D32)</f>
        <v>0</v>
      </c>
      <c r="AB32" s="31">
        <f>IF(D32="","",IF(B32="","Add - which recipe?",IF(COUNTIFS(Ingredients!$B$5:$B$304,D32)=0,"Missing - not in the Ingredients tab",IF(E32="","Add - no quantity",IF(F32="","Add - no unit",IF(K32&lt;&gt;L32,"Check - recipe in "&amp;K32&amp;", priced in "&amp;L32,IF(COUNTIFS($AA$5:$AA$1204,AA32)&gt;1,"Duplicate - same ingredient twice","OK")))))))</f>
        <v>0</v>
      </c>
    </row>
    <row r="33" spans="1:28">
      <c r="A33" s="39">
        <f>IF(D33="","","RL-"&amp;TEXT(ROW()-4,"0000"))</f>
        <v>0</v>
      </c>
      <c r="B33" s="32" t="s">
        <v>920</v>
      </c>
      <c r="C33" s="17">
        <f>IF(B33="","",IFERROR(INDEX(Recipes!$B$5:$B$204,MATCH(B33,Recipes!$A$5:$A$204,0)),"Not found"))</f>
        <v>0</v>
      </c>
      <c r="D33" s="32" t="s">
        <v>905</v>
      </c>
      <c r="E33" s="38">
        <v>400</v>
      </c>
      <c r="F33" s="32" t="s">
        <v>668</v>
      </c>
      <c r="G33" s="32" t="s">
        <v>157</v>
      </c>
      <c r="H33" s="32" t="s">
        <v>157</v>
      </c>
      <c r="I33" s="40" t="s">
        <v>312</v>
      </c>
      <c r="J33" s="45">
        <f>IF(E33="","",IFERROR(E33*INDEX(UnitFactors,MATCH(F33,UnitNames,0)),""))</f>
        <v>0</v>
      </c>
      <c r="K33" s="17">
        <f>IF(F33="","",IFERROR(INDEX(UnitBases,MATCH(F33,UnitNames,0)),"?"))</f>
        <v>0</v>
      </c>
      <c r="L33" s="17">
        <f>IF(D33="","",IFERROR(INDEX(Ingredients!$G$5:$G$304,MATCH(D33,Ingredients!$B$5:$B$304,0)),"Add to Ingredients"))</f>
        <v>0</v>
      </c>
      <c r="M33" s="25">
        <f>IF(D33="","",IFERROR(INDEX(Ingredients!$J$5:$J$304,MATCH(D33,Ingredients!$B$5:$B$304,0)),"Add to Ingredients"))</f>
        <v>0</v>
      </c>
      <c r="N33" s="25">
        <f>IF(OR(J33="",M33="",NOT(ISNUMBER(M33))),"",IF(K33&lt;&gt;L33,"",J33*M33))</f>
        <v>0</v>
      </c>
      <c r="O33" s="25">
        <f>IF(N33="","",IFERROR(N33/INDEX(Recipes!$G$5:$G$204,MATCH(B33,Recipes!$A$5:$A$204,0)),""))</f>
        <v>0</v>
      </c>
      <c r="P33" s="30">
        <f>IF(J33="","",IF(K33="each",J33,J33/100))</f>
        <v>0</v>
      </c>
      <c r="Q33" s="30">
        <f>IFERROR(IF(P33="","",P33*INDEX(Ingredients!$P$5:$P$304,MATCH(D33,Ingredients!$B$5:$B$304,0))),"")</f>
        <v>0</v>
      </c>
      <c r="R33" s="45">
        <f>IFERROR(IF(P33="","",P33*INDEX(Ingredients!$Q$5:$Q$304,MATCH(D33,Ingredients!$B$5:$B$304,0))),"")</f>
        <v>0</v>
      </c>
      <c r="S33" s="45">
        <f>IFERROR(IF(P33="","",P33*INDEX(Ingredients!$R$5:$R$304,MATCH(D33,Ingredients!$B$5:$B$304,0))),"")</f>
        <v>0</v>
      </c>
      <c r="T33" s="45">
        <f>IFERROR(IF(P33="","",P33*INDEX(Ingredients!$S$5:$S$304,MATCH(D33,Ingredients!$B$5:$B$304,0))),"")</f>
        <v>0</v>
      </c>
      <c r="U33" s="45">
        <f>IFERROR(IF(P33="","",P33*INDEX(Ingredients!$T$5:$T$304,MATCH(D33,Ingredients!$B$5:$B$304,0))),"")</f>
        <v>0</v>
      </c>
      <c r="V33" s="17">
        <f>IF(D33="","",IFERROR(INDEX(Ingredients!$W$5:$W$304,MATCH(D33,Ingredients!$B$5:$B$304,0)),"Add to Ingredients"))</f>
        <v>0</v>
      </c>
      <c r="W33" s="17">
        <f>IF(D33="","",IFERROR(INDEX(Ingredients!$C$5:$C$304,MATCH(D33,Ingredients!$B$5:$B$304,0)),"Add to Ingredients"))</f>
        <v>0</v>
      </c>
      <c r="X33" s="45">
        <f>IFERROR(INDEX(Recipes!$AT$5:$AT$204,MATCH(B33,Recipes!$A$5:$A$204,0)),0)</f>
        <v>0</v>
      </c>
      <c r="Y33" s="45">
        <f>IF(OR(J33="",X33=0),"",J33*X33)</f>
        <v>0</v>
      </c>
      <c r="Z33" s="17">
        <f>IF(D33="","",B33&amp;"#"&amp;COUNTIFS($B$5:B33,B33))</f>
        <v>0</v>
      </c>
      <c r="AA33" s="17">
        <f>IF(D33="","",B33&amp;"|"&amp;D33)</f>
        <v>0</v>
      </c>
      <c r="AB33" s="31">
        <f>IF(D33="","",IF(B33="","Add - which recipe?",IF(COUNTIFS(Ingredients!$B$5:$B$304,D33)=0,"Missing - not in the Ingredients tab",IF(E33="","Add - no quantity",IF(F33="","Add - no unit",IF(K33&lt;&gt;L33,"Check - recipe in "&amp;K33&amp;", priced in "&amp;L33,IF(COUNTIFS($AA$5:$AA$1204,AA33)&gt;1,"Duplicate - same ingredient twice","OK")))))))</f>
        <v>0</v>
      </c>
    </row>
    <row r="34" spans="1:28">
      <c r="A34" s="39">
        <f>IF(D34="","","RL-"&amp;TEXT(ROW()-4,"0000"))</f>
        <v>0</v>
      </c>
      <c r="B34" s="32" t="s">
        <v>920</v>
      </c>
      <c r="C34" s="17">
        <f>IF(B34="","",IFERROR(INDEX(Recipes!$B$5:$B$204,MATCH(B34,Recipes!$A$5:$A$204,0)),"Not found"))</f>
        <v>0</v>
      </c>
      <c r="D34" s="32" t="s">
        <v>923</v>
      </c>
      <c r="E34" s="38">
        <v>300</v>
      </c>
      <c r="F34" s="32" t="s">
        <v>668</v>
      </c>
      <c r="G34" s="32" t="s">
        <v>157</v>
      </c>
      <c r="H34" s="32" t="s">
        <v>157</v>
      </c>
      <c r="I34" s="40" t="s">
        <v>312</v>
      </c>
      <c r="J34" s="45">
        <f>IF(E34="","",IFERROR(E34*INDEX(UnitFactors,MATCH(F34,UnitNames,0)),""))</f>
        <v>0</v>
      </c>
      <c r="K34" s="17">
        <f>IF(F34="","",IFERROR(INDEX(UnitBases,MATCH(F34,UnitNames,0)),"?"))</f>
        <v>0</v>
      </c>
      <c r="L34" s="17">
        <f>IF(D34="","",IFERROR(INDEX(Ingredients!$G$5:$G$304,MATCH(D34,Ingredients!$B$5:$B$304,0)),"Add to Ingredients"))</f>
        <v>0</v>
      </c>
      <c r="M34" s="25">
        <f>IF(D34="","",IFERROR(INDEX(Ingredients!$J$5:$J$304,MATCH(D34,Ingredients!$B$5:$B$304,0)),"Add to Ingredients"))</f>
        <v>0</v>
      </c>
      <c r="N34" s="25">
        <f>IF(OR(J34="",M34="",NOT(ISNUMBER(M34))),"",IF(K34&lt;&gt;L34,"",J34*M34))</f>
        <v>0</v>
      </c>
      <c r="O34" s="25">
        <f>IF(N34="","",IFERROR(N34/INDEX(Recipes!$G$5:$G$204,MATCH(B34,Recipes!$A$5:$A$204,0)),""))</f>
        <v>0</v>
      </c>
      <c r="P34" s="30">
        <f>IF(J34="","",IF(K34="each",J34,J34/100))</f>
        <v>0</v>
      </c>
      <c r="Q34" s="30">
        <f>IFERROR(IF(P34="","",P34*INDEX(Ingredients!$P$5:$P$304,MATCH(D34,Ingredients!$B$5:$B$304,0))),"")</f>
        <v>0</v>
      </c>
      <c r="R34" s="45">
        <f>IFERROR(IF(P34="","",P34*INDEX(Ingredients!$Q$5:$Q$304,MATCH(D34,Ingredients!$B$5:$B$304,0))),"")</f>
        <v>0</v>
      </c>
      <c r="S34" s="45">
        <f>IFERROR(IF(P34="","",P34*INDEX(Ingredients!$R$5:$R$304,MATCH(D34,Ingredients!$B$5:$B$304,0))),"")</f>
        <v>0</v>
      </c>
      <c r="T34" s="45">
        <f>IFERROR(IF(P34="","",P34*INDEX(Ingredients!$S$5:$S$304,MATCH(D34,Ingredients!$B$5:$B$304,0))),"")</f>
        <v>0</v>
      </c>
      <c r="U34" s="45">
        <f>IFERROR(IF(P34="","",P34*INDEX(Ingredients!$T$5:$T$304,MATCH(D34,Ingredients!$B$5:$B$304,0))),"")</f>
        <v>0</v>
      </c>
      <c r="V34" s="17">
        <f>IF(D34="","",IFERROR(INDEX(Ingredients!$W$5:$W$304,MATCH(D34,Ingredients!$B$5:$B$304,0)),"Add to Ingredients"))</f>
        <v>0</v>
      </c>
      <c r="W34" s="17">
        <f>IF(D34="","",IFERROR(INDEX(Ingredients!$C$5:$C$304,MATCH(D34,Ingredients!$B$5:$B$304,0)),"Add to Ingredients"))</f>
        <v>0</v>
      </c>
      <c r="X34" s="45">
        <f>IFERROR(INDEX(Recipes!$AT$5:$AT$204,MATCH(B34,Recipes!$A$5:$A$204,0)),0)</f>
        <v>0</v>
      </c>
      <c r="Y34" s="45">
        <f>IF(OR(J34="",X34=0),"",J34*X34)</f>
        <v>0</v>
      </c>
      <c r="Z34" s="17">
        <f>IF(D34="","",B34&amp;"#"&amp;COUNTIFS($B$5:B34,B34))</f>
        <v>0</v>
      </c>
      <c r="AA34" s="17">
        <f>IF(D34="","",B34&amp;"|"&amp;D34)</f>
        <v>0</v>
      </c>
      <c r="AB34" s="31">
        <f>IF(D34="","",IF(B34="","Add - which recipe?",IF(COUNTIFS(Ingredients!$B$5:$B$304,D34)=0,"Missing - not in the Ingredients tab",IF(E34="","Add - no quantity",IF(F34="","Add - no unit",IF(K34&lt;&gt;L34,"Check - recipe in "&amp;K34&amp;", priced in "&amp;L34,IF(COUNTIFS($AA$5:$AA$1204,AA34)&gt;1,"Duplicate - same ingredient twice","OK")))))))</f>
        <v>0</v>
      </c>
    </row>
    <row r="35" spans="1:28">
      <c r="A35" s="39">
        <f>IF(D35="","","RL-"&amp;TEXT(ROW()-4,"0000"))</f>
        <v>0</v>
      </c>
      <c r="B35" s="32" t="s">
        <v>924</v>
      </c>
      <c r="C35" s="17">
        <f>IF(B35="","",IFERROR(INDEX(Recipes!$B$5:$B$204,MATCH(B35,Recipes!$A$5:$A$204,0)),"Not found"))</f>
        <v>0</v>
      </c>
      <c r="D35" s="32" t="s">
        <v>906</v>
      </c>
      <c r="E35" s="38">
        <v>400</v>
      </c>
      <c r="F35" s="32" t="s">
        <v>668</v>
      </c>
      <c r="G35" s="32" t="s">
        <v>157</v>
      </c>
      <c r="H35" s="32" t="s">
        <v>157</v>
      </c>
      <c r="I35" s="40" t="s">
        <v>312</v>
      </c>
      <c r="J35" s="45">
        <f>IF(E35="","",IFERROR(E35*INDEX(UnitFactors,MATCH(F35,UnitNames,0)),""))</f>
        <v>0</v>
      </c>
      <c r="K35" s="17">
        <f>IF(F35="","",IFERROR(INDEX(UnitBases,MATCH(F35,UnitNames,0)),"?"))</f>
        <v>0</v>
      </c>
      <c r="L35" s="17">
        <f>IF(D35="","",IFERROR(INDEX(Ingredients!$G$5:$G$304,MATCH(D35,Ingredients!$B$5:$B$304,0)),"Add to Ingredients"))</f>
        <v>0</v>
      </c>
      <c r="M35" s="25">
        <f>IF(D35="","",IFERROR(INDEX(Ingredients!$J$5:$J$304,MATCH(D35,Ingredients!$B$5:$B$304,0)),"Add to Ingredients"))</f>
        <v>0</v>
      </c>
      <c r="N35" s="25">
        <f>IF(OR(J35="",M35="",NOT(ISNUMBER(M35))),"",IF(K35&lt;&gt;L35,"",J35*M35))</f>
        <v>0</v>
      </c>
      <c r="O35" s="25">
        <f>IF(N35="","",IFERROR(N35/INDEX(Recipes!$G$5:$G$204,MATCH(B35,Recipes!$A$5:$A$204,0)),""))</f>
        <v>0</v>
      </c>
      <c r="P35" s="30">
        <f>IF(J35="","",IF(K35="each",J35,J35/100))</f>
        <v>0</v>
      </c>
      <c r="Q35" s="30">
        <f>IFERROR(IF(P35="","",P35*INDEX(Ingredients!$P$5:$P$304,MATCH(D35,Ingredients!$B$5:$B$304,0))),"")</f>
        <v>0</v>
      </c>
      <c r="R35" s="45">
        <f>IFERROR(IF(P35="","",P35*INDEX(Ingredients!$Q$5:$Q$304,MATCH(D35,Ingredients!$B$5:$B$304,0))),"")</f>
        <v>0</v>
      </c>
      <c r="S35" s="45">
        <f>IFERROR(IF(P35="","",P35*INDEX(Ingredients!$R$5:$R$304,MATCH(D35,Ingredients!$B$5:$B$304,0))),"")</f>
        <v>0</v>
      </c>
      <c r="T35" s="45">
        <f>IFERROR(IF(P35="","",P35*INDEX(Ingredients!$S$5:$S$304,MATCH(D35,Ingredients!$B$5:$B$304,0))),"")</f>
        <v>0</v>
      </c>
      <c r="U35" s="45">
        <f>IFERROR(IF(P35="","",P35*INDEX(Ingredients!$T$5:$T$304,MATCH(D35,Ingredients!$B$5:$B$304,0))),"")</f>
        <v>0</v>
      </c>
      <c r="V35" s="17">
        <f>IF(D35="","",IFERROR(INDEX(Ingredients!$W$5:$W$304,MATCH(D35,Ingredients!$B$5:$B$304,0)),"Add to Ingredients"))</f>
        <v>0</v>
      </c>
      <c r="W35" s="17">
        <f>IF(D35="","",IFERROR(INDEX(Ingredients!$C$5:$C$304,MATCH(D35,Ingredients!$B$5:$B$304,0)),"Add to Ingredients"))</f>
        <v>0</v>
      </c>
      <c r="X35" s="45">
        <f>IFERROR(INDEX(Recipes!$AT$5:$AT$204,MATCH(B35,Recipes!$A$5:$A$204,0)),0)</f>
        <v>0</v>
      </c>
      <c r="Y35" s="45">
        <f>IF(OR(J35="",X35=0),"",J35*X35)</f>
        <v>0</v>
      </c>
      <c r="Z35" s="17">
        <f>IF(D35="","",B35&amp;"#"&amp;COUNTIFS($B$5:B35,B35))</f>
        <v>0</v>
      </c>
      <c r="AA35" s="17">
        <f>IF(D35="","",B35&amp;"|"&amp;D35)</f>
        <v>0</v>
      </c>
      <c r="AB35" s="31">
        <f>IF(D35="","",IF(B35="","Add - which recipe?",IF(COUNTIFS(Ingredients!$B$5:$B$304,D35)=0,"Missing - not in the Ingredients tab",IF(E35="","Add - no quantity",IF(F35="","Add - no unit",IF(K35&lt;&gt;L35,"Check - recipe in "&amp;K35&amp;", priced in "&amp;L35,IF(COUNTIFS($AA$5:$AA$1204,AA35)&gt;1,"Duplicate - same ingredient twice","OK")))))))</f>
        <v>0</v>
      </c>
    </row>
    <row r="36" spans="1:28">
      <c r="A36" s="39">
        <f>IF(D36="","","RL-"&amp;TEXT(ROW()-4,"0000"))</f>
        <v>0</v>
      </c>
      <c r="B36" s="32" t="s">
        <v>924</v>
      </c>
      <c r="C36" s="17">
        <f>IF(B36="","",IFERROR(INDEX(Recipes!$B$5:$B$204,MATCH(B36,Recipes!$A$5:$A$204,0)),"Not found"))</f>
        <v>0</v>
      </c>
      <c r="D36" s="32" t="s">
        <v>905</v>
      </c>
      <c r="E36" s="38">
        <v>400</v>
      </c>
      <c r="F36" s="32" t="s">
        <v>668</v>
      </c>
      <c r="G36" s="32" t="s">
        <v>157</v>
      </c>
      <c r="H36" s="32" t="s">
        <v>157</v>
      </c>
      <c r="I36" s="40" t="s">
        <v>312</v>
      </c>
      <c r="J36" s="45">
        <f>IF(E36="","",IFERROR(E36*INDEX(UnitFactors,MATCH(F36,UnitNames,0)),""))</f>
        <v>0</v>
      </c>
      <c r="K36" s="17">
        <f>IF(F36="","",IFERROR(INDEX(UnitBases,MATCH(F36,UnitNames,0)),"?"))</f>
        <v>0</v>
      </c>
      <c r="L36" s="17">
        <f>IF(D36="","",IFERROR(INDEX(Ingredients!$G$5:$G$304,MATCH(D36,Ingredients!$B$5:$B$304,0)),"Add to Ingredients"))</f>
        <v>0</v>
      </c>
      <c r="M36" s="25">
        <f>IF(D36="","",IFERROR(INDEX(Ingredients!$J$5:$J$304,MATCH(D36,Ingredients!$B$5:$B$304,0)),"Add to Ingredients"))</f>
        <v>0</v>
      </c>
      <c r="N36" s="25">
        <f>IF(OR(J36="",M36="",NOT(ISNUMBER(M36))),"",IF(K36&lt;&gt;L36,"",J36*M36))</f>
        <v>0</v>
      </c>
      <c r="O36" s="25">
        <f>IF(N36="","",IFERROR(N36/INDEX(Recipes!$G$5:$G$204,MATCH(B36,Recipes!$A$5:$A$204,0)),""))</f>
        <v>0</v>
      </c>
      <c r="P36" s="30">
        <f>IF(J36="","",IF(K36="each",J36,J36/100))</f>
        <v>0</v>
      </c>
      <c r="Q36" s="30">
        <f>IFERROR(IF(P36="","",P36*INDEX(Ingredients!$P$5:$P$304,MATCH(D36,Ingredients!$B$5:$B$304,0))),"")</f>
        <v>0</v>
      </c>
      <c r="R36" s="45">
        <f>IFERROR(IF(P36="","",P36*INDEX(Ingredients!$Q$5:$Q$304,MATCH(D36,Ingredients!$B$5:$B$304,0))),"")</f>
        <v>0</v>
      </c>
      <c r="S36" s="45">
        <f>IFERROR(IF(P36="","",P36*INDEX(Ingredients!$R$5:$R$304,MATCH(D36,Ingredients!$B$5:$B$304,0))),"")</f>
        <v>0</v>
      </c>
      <c r="T36" s="45">
        <f>IFERROR(IF(P36="","",P36*INDEX(Ingredients!$S$5:$S$304,MATCH(D36,Ingredients!$B$5:$B$304,0))),"")</f>
        <v>0</v>
      </c>
      <c r="U36" s="45">
        <f>IFERROR(IF(P36="","",P36*INDEX(Ingredients!$T$5:$T$304,MATCH(D36,Ingredients!$B$5:$B$304,0))),"")</f>
        <v>0</v>
      </c>
      <c r="V36" s="17">
        <f>IF(D36="","",IFERROR(INDEX(Ingredients!$W$5:$W$304,MATCH(D36,Ingredients!$B$5:$B$304,0)),"Add to Ingredients"))</f>
        <v>0</v>
      </c>
      <c r="W36" s="17">
        <f>IF(D36="","",IFERROR(INDEX(Ingredients!$C$5:$C$304,MATCH(D36,Ingredients!$B$5:$B$304,0)),"Add to Ingredients"))</f>
        <v>0</v>
      </c>
      <c r="X36" s="45">
        <f>IFERROR(INDEX(Recipes!$AT$5:$AT$204,MATCH(B36,Recipes!$A$5:$A$204,0)),0)</f>
        <v>0</v>
      </c>
      <c r="Y36" s="45">
        <f>IF(OR(J36="",X36=0),"",J36*X36)</f>
        <v>0</v>
      </c>
      <c r="Z36" s="17">
        <f>IF(D36="","",B36&amp;"#"&amp;COUNTIFS($B$5:B36,B36))</f>
        <v>0</v>
      </c>
      <c r="AA36" s="17">
        <f>IF(D36="","",B36&amp;"|"&amp;D36)</f>
        <v>0</v>
      </c>
      <c r="AB36" s="31">
        <f>IF(D36="","",IF(B36="","Add - which recipe?",IF(COUNTIFS(Ingredients!$B$5:$B$304,D36)=0,"Missing - not in the Ingredients tab",IF(E36="","Add - no quantity",IF(F36="","Add - no unit",IF(K36&lt;&gt;L36,"Check - recipe in "&amp;K36&amp;", priced in "&amp;L36,IF(COUNTIFS($AA$5:$AA$1204,AA36)&gt;1,"Duplicate - same ingredient twice","OK")))))))</f>
        <v>0</v>
      </c>
    </row>
    <row r="37" spans="1:28">
      <c r="A37" s="39">
        <f>IF(D37="","","RL-"&amp;TEXT(ROW()-4,"0000"))</f>
        <v>0</v>
      </c>
      <c r="B37" s="32" t="s">
        <v>924</v>
      </c>
      <c r="C37" s="17">
        <f>IF(B37="","",IFERROR(INDEX(Recipes!$B$5:$B$204,MATCH(B37,Recipes!$A$5:$A$204,0)),"Not found"))</f>
        <v>0</v>
      </c>
      <c r="D37" s="32" t="s">
        <v>903</v>
      </c>
      <c r="E37" s="38">
        <v>2</v>
      </c>
      <c r="F37" s="32" t="s">
        <v>687</v>
      </c>
      <c r="G37" s="32" t="s">
        <v>893</v>
      </c>
      <c r="H37" s="32" t="s">
        <v>157</v>
      </c>
      <c r="I37" s="40" t="s">
        <v>312</v>
      </c>
      <c r="J37" s="45">
        <f>IF(E37="","",IFERROR(E37*INDEX(UnitFactors,MATCH(F37,UnitNames,0)),""))</f>
        <v>0</v>
      </c>
      <c r="K37" s="17">
        <f>IF(F37="","",IFERROR(INDEX(UnitBases,MATCH(F37,UnitNames,0)),"?"))</f>
        <v>0</v>
      </c>
      <c r="L37" s="17">
        <f>IF(D37="","",IFERROR(INDEX(Ingredients!$G$5:$G$304,MATCH(D37,Ingredients!$B$5:$B$304,0)),"Add to Ingredients"))</f>
        <v>0</v>
      </c>
      <c r="M37" s="25">
        <f>IF(D37="","",IFERROR(INDEX(Ingredients!$J$5:$J$304,MATCH(D37,Ingredients!$B$5:$B$304,0)),"Add to Ingredients"))</f>
        <v>0</v>
      </c>
      <c r="N37" s="25">
        <f>IF(OR(J37="",M37="",NOT(ISNUMBER(M37))),"",IF(K37&lt;&gt;L37,"",J37*M37))</f>
        <v>0</v>
      </c>
      <c r="O37" s="25">
        <f>IF(N37="","",IFERROR(N37/INDEX(Recipes!$G$5:$G$204,MATCH(B37,Recipes!$A$5:$A$204,0)),""))</f>
        <v>0</v>
      </c>
      <c r="P37" s="30">
        <f>IF(J37="","",IF(K37="each",J37,J37/100))</f>
        <v>0</v>
      </c>
      <c r="Q37" s="30">
        <f>IFERROR(IF(P37="","",P37*INDEX(Ingredients!$P$5:$P$304,MATCH(D37,Ingredients!$B$5:$B$304,0))),"")</f>
        <v>0</v>
      </c>
      <c r="R37" s="45">
        <f>IFERROR(IF(P37="","",P37*INDEX(Ingredients!$Q$5:$Q$304,MATCH(D37,Ingredients!$B$5:$B$304,0))),"")</f>
        <v>0</v>
      </c>
      <c r="S37" s="45">
        <f>IFERROR(IF(P37="","",P37*INDEX(Ingredients!$R$5:$R$304,MATCH(D37,Ingredients!$B$5:$B$304,0))),"")</f>
        <v>0</v>
      </c>
      <c r="T37" s="45">
        <f>IFERROR(IF(P37="","",P37*INDEX(Ingredients!$S$5:$S$304,MATCH(D37,Ingredients!$B$5:$B$304,0))),"")</f>
        <v>0</v>
      </c>
      <c r="U37" s="45">
        <f>IFERROR(IF(P37="","",P37*INDEX(Ingredients!$T$5:$T$304,MATCH(D37,Ingredients!$B$5:$B$304,0))),"")</f>
        <v>0</v>
      </c>
      <c r="V37" s="17">
        <f>IF(D37="","",IFERROR(INDEX(Ingredients!$W$5:$W$304,MATCH(D37,Ingredients!$B$5:$B$304,0)),"Add to Ingredients"))</f>
        <v>0</v>
      </c>
      <c r="W37" s="17">
        <f>IF(D37="","",IFERROR(INDEX(Ingredients!$C$5:$C$304,MATCH(D37,Ingredients!$B$5:$B$304,0)),"Add to Ingredients"))</f>
        <v>0</v>
      </c>
      <c r="X37" s="45">
        <f>IFERROR(INDEX(Recipes!$AT$5:$AT$204,MATCH(B37,Recipes!$A$5:$A$204,0)),0)</f>
        <v>0</v>
      </c>
      <c r="Y37" s="45">
        <f>IF(OR(J37="",X37=0),"",J37*X37)</f>
        <v>0</v>
      </c>
      <c r="Z37" s="17">
        <f>IF(D37="","",B37&amp;"#"&amp;COUNTIFS($B$5:B37,B37))</f>
        <v>0</v>
      </c>
      <c r="AA37" s="17">
        <f>IF(D37="","",B37&amp;"|"&amp;D37)</f>
        <v>0</v>
      </c>
      <c r="AB37" s="31">
        <f>IF(D37="","",IF(B37="","Add - which recipe?",IF(COUNTIFS(Ingredients!$B$5:$B$304,D37)=0,"Missing - not in the Ingredients tab",IF(E37="","Add - no quantity",IF(F37="","Add - no unit",IF(K37&lt;&gt;L37,"Check - recipe in "&amp;K37&amp;", priced in "&amp;L37,IF(COUNTIFS($AA$5:$AA$1204,AA37)&gt;1,"Duplicate - same ingredient twice","OK")))))))</f>
        <v>0</v>
      </c>
    </row>
    <row r="38" spans="1:28">
      <c r="A38" s="39">
        <f>IF(D38="","","RL-"&amp;TEXT(ROW()-4,"0000"))</f>
        <v>0</v>
      </c>
      <c r="B38" s="32" t="s">
        <v>924</v>
      </c>
      <c r="C38" s="17">
        <f>IF(B38="","",IFERROR(INDEX(Recipes!$B$5:$B$204,MATCH(B38,Recipes!$A$5:$A$204,0)),"Not found"))</f>
        <v>0</v>
      </c>
      <c r="D38" s="32" t="s">
        <v>896</v>
      </c>
      <c r="E38" s="38">
        <v>2</v>
      </c>
      <c r="F38" s="32" t="s">
        <v>678</v>
      </c>
      <c r="G38" s="32" t="s">
        <v>157</v>
      </c>
      <c r="H38" s="32" t="s">
        <v>157</v>
      </c>
      <c r="I38" s="40" t="s">
        <v>312</v>
      </c>
      <c r="J38" s="45">
        <f>IF(E38="","",IFERROR(E38*INDEX(UnitFactors,MATCH(F38,UnitNames,0)),""))</f>
        <v>0</v>
      </c>
      <c r="K38" s="17">
        <f>IF(F38="","",IFERROR(INDEX(UnitBases,MATCH(F38,UnitNames,0)),"?"))</f>
        <v>0</v>
      </c>
      <c r="L38" s="17">
        <f>IF(D38="","",IFERROR(INDEX(Ingredients!$G$5:$G$304,MATCH(D38,Ingredients!$B$5:$B$304,0)),"Add to Ingredients"))</f>
        <v>0</v>
      </c>
      <c r="M38" s="25">
        <f>IF(D38="","",IFERROR(INDEX(Ingredients!$J$5:$J$304,MATCH(D38,Ingredients!$B$5:$B$304,0)),"Add to Ingredients"))</f>
        <v>0</v>
      </c>
      <c r="N38" s="25">
        <f>IF(OR(J38="",M38="",NOT(ISNUMBER(M38))),"",IF(K38&lt;&gt;L38,"",J38*M38))</f>
        <v>0</v>
      </c>
      <c r="O38" s="25">
        <f>IF(N38="","",IFERROR(N38/INDEX(Recipes!$G$5:$G$204,MATCH(B38,Recipes!$A$5:$A$204,0)),""))</f>
        <v>0</v>
      </c>
      <c r="P38" s="30">
        <f>IF(J38="","",IF(K38="each",J38,J38/100))</f>
        <v>0</v>
      </c>
      <c r="Q38" s="30">
        <f>IFERROR(IF(P38="","",P38*INDEX(Ingredients!$P$5:$P$304,MATCH(D38,Ingredients!$B$5:$B$304,0))),"")</f>
        <v>0</v>
      </c>
      <c r="R38" s="45">
        <f>IFERROR(IF(P38="","",P38*INDEX(Ingredients!$Q$5:$Q$304,MATCH(D38,Ingredients!$B$5:$B$304,0))),"")</f>
        <v>0</v>
      </c>
      <c r="S38" s="45">
        <f>IFERROR(IF(P38="","",P38*INDEX(Ingredients!$R$5:$R$304,MATCH(D38,Ingredients!$B$5:$B$304,0))),"")</f>
        <v>0</v>
      </c>
      <c r="T38" s="45">
        <f>IFERROR(IF(P38="","",P38*INDEX(Ingredients!$S$5:$S$304,MATCH(D38,Ingredients!$B$5:$B$304,0))),"")</f>
        <v>0</v>
      </c>
      <c r="U38" s="45">
        <f>IFERROR(IF(P38="","",P38*INDEX(Ingredients!$T$5:$T$304,MATCH(D38,Ingredients!$B$5:$B$304,0))),"")</f>
        <v>0</v>
      </c>
      <c r="V38" s="17">
        <f>IF(D38="","",IFERROR(INDEX(Ingredients!$W$5:$W$304,MATCH(D38,Ingredients!$B$5:$B$304,0)),"Add to Ingredients"))</f>
        <v>0</v>
      </c>
      <c r="W38" s="17">
        <f>IF(D38="","",IFERROR(INDEX(Ingredients!$C$5:$C$304,MATCH(D38,Ingredients!$B$5:$B$304,0)),"Add to Ingredients"))</f>
        <v>0</v>
      </c>
      <c r="X38" s="45">
        <f>IFERROR(INDEX(Recipes!$AT$5:$AT$204,MATCH(B38,Recipes!$A$5:$A$204,0)),0)</f>
        <v>0</v>
      </c>
      <c r="Y38" s="45">
        <f>IF(OR(J38="",X38=0),"",J38*X38)</f>
        <v>0</v>
      </c>
      <c r="Z38" s="17">
        <f>IF(D38="","",B38&amp;"#"&amp;COUNTIFS($B$5:B38,B38))</f>
        <v>0</v>
      </c>
      <c r="AA38" s="17">
        <f>IF(D38="","",B38&amp;"|"&amp;D38)</f>
        <v>0</v>
      </c>
      <c r="AB38" s="31">
        <f>IF(D38="","",IF(B38="","Add - which recipe?",IF(COUNTIFS(Ingredients!$B$5:$B$304,D38)=0,"Missing - not in the Ingredients tab",IF(E38="","Add - no quantity",IF(F38="","Add - no unit",IF(K38&lt;&gt;L38,"Check - recipe in "&amp;K38&amp;", priced in "&amp;L38,IF(COUNTIFS($AA$5:$AA$1204,AA38)&gt;1,"Duplicate - same ingredient twice","OK")))))))</f>
        <v>0</v>
      </c>
    </row>
    <row r="39" spans="1:28">
      <c r="A39" s="39">
        <f>IF(D39="","","RL-"&amp;TEXT(ROW()-4,"0000"))</f>
        <v>0</v>
      </c>
      <c r="B39" s="32" t="s">
        <v>924</v>
      </c>
      <c r="C39" s="17">
        <f>IF(B39="","",IFERROR(INDEX(Recipes!$B$5:$B$204,MATCH(B39,Recipes!$A$5:$A$204,0)),"Not found"))</f>
        <v>0</v>
      </c>
      <c r="D39" s="32" t="s">
        <v>907</v>
      </c>
      <c r="E39" s="38">
        <v>50</v>
      </c>
      <c r="F39" s="32" t="s">
        <v>668</v>
      </c>
      <c r="G39" s="32" t="s">
        <v>902</v>
      </c>
      <c r="H39" s="32" t="s">
        <v>157</v>
      </c>
      <c r="I39" s="40" t="s">
        <v>312</v>
      </c>
      <c r="J39" s="45">
        <f>IF(E39="","",IFERROR(E39*INDEX(UnitFactors,MATCH(F39,UnitNames,0)),""))</f>
        <v>0</v>
      </c>
      <c r="K39" s="17">
        <f>IF(F39="","",IFERROR(INDEX(UnitBases,MATCH(F39,UnitNames,0)),"?"))</f>
        <v>0</v>
      </c>
      <c r="L39" s="17">
        <f>IF(D39="","",IFERROR(INDEX(Ingredients!$G$5:$G$304,MATCH(D39,Ingredients!$B$5:$B$304,0)),"Add to Ingredients"))</f>
        <v>0</v>
      </c>
      <c r="M39" s="25">
        <f>IF(D39="","",IFERROR(INDEX(Ingredients!$J$5:$J$304,MATCH(D39,Ingredients!$B$5:$B$304,0)),"Add to Ingredients"))</f>
        <v>0</v>
      </c>
      <c r="N39" s="25">
        <f>IF(OR(J39="",M39="",NOT(ISNUMBER(M39))),"",IF(K39&lt;&gt;L39,"",J39*M39))</f>
        <v>0</v>
      </c>
      <c r="O39" s="25">
        <f>IF(N39="","",IFERROR(N39/INDEX(Recipes!$G$5:$G$204,MATCH(B39,Recipes!$A$5:$A$204,0)),""))</f>
        <v>0</v>
      </c>
      <c r="P39" s="30">
        <f>IF(J39="","",IF(K39="each",J39,J39/100))</f>
        <v>0</v>
      </c>
      <c r="Q39" s="30">
        <f>IFERROR(IF(P39="","",P39*INDEX(Ingredients!$P$5:$P$304,MATCH(D39,Ingredients!$B$5:$B$304,0))),"")</f>
        <v>0</v>
      </c>
      <c r="R39" s="45">
        <f>IFERROR(IF(P39="","",P39*INDEX(Ingredients!$Q$5:$Q$304,MATCH(D39,Ingredients!$B$5:$B$304,0))),"")</f>
        <v>0</v>
      </c>
      <c r="S39" s="45">
        <f>IFERROR(IF(P39="","",P39*INDEX(Ingredients!$R$5:$R$304,MATCH(D39,Ingredients!$B$5:$B$304,0))),"")</f>
        <v>0</v>
      </c>
      <c r="T39" s="45">
        <f>IFERROR(IF(P39="","",P39*INDEX(Ingredients!$S$5:$S$304,MATCH(D39,Ingredients!$B$5:$B$304,0))),"")</f>
        <v>0</v>
      </c>
      <c r="U39" s="45">
        <f>IFERROR(IF(P39="","",P39*INDEX(Ingredients!$T$5:$T$304,MATCH(D39,Ingredients!$B$5:$B$304,0))),"")</f>
        <v>0</v>
      </c>
      <c r="V39" s="17">
        <f>IF(D39="","",IFERROR(INDEX(Ingredients!$W$5:$W$304,MATCH(D39,Ingredients!$B$5:$B$304,0)),"Add to Ingredients"))</f>
        <v>0</v>
      </c>
      <c r="W39" s="17">
        <f>IF(D39="","",IFERROR(INDEX(Ingredients!$C$5:$C$304,MATCH(D39,Ingredients!$B$5:$B$304,0)),"Add to Ingredients"))</f>
        <v>0</v>
      </c>
      <c r="X39" s="45">
        <f>IFERROR(INDEX(Recipes!$AT$5:$AT$204,MATCH(B39,Recipes!$A$5:$A$204,0)),0)</f>
        <v>0</v>
      </c>
      <c r="Y39" s="45">
        <f>IF(OR(J39="",X39=0),"",J39*X39)</f>
        <v>0</v>
      </c>
      <c r="Z39" s="17">
        <f>IF(D39="","",B39&amp;"#"&amp;COUNTIFS($B$5:B39,B39))</f>
        <v>0</v>
      </c>
      <c r="AA39" s="17">
        <f>IF(D39="","",B39&amp;"|"&amp;D39)</f>
        <v>0</v>
      </c>
      <c r="AB39" s="31">
        <f>IF(D39="","",IF(B39="","Add - which recipe?",IF(COUNTIFS(Ingredients!$B$5:$B$304,D39)=0,"Missing - not in the Ingredients tab",IF(E39="","Add - no quantity",IF(F39="","Add - no unit",IF(K39&lt;&gt;L39,"Check - recipe in "&amp;K39&amp;", priced in "&amp;L39,IF(COUNTIFS($AA$5:$AA$1204,AA39)&gt;1,"Duplicate - same ingredient twice","OK")))))))</f>
        <v>0</v>
      </c>
    </row>
    <row r="40" spans="1:28">
      <c r="A40" s="39">
        <f>IF(D40="","","RL-"&amp;TEXT(ROW()-4,"0000"))</f>
        <v>0</v>
      </c>
      <c r="B40" s="32" t="s">
        <v>925</v>
      </c>
      <c r="C40" s="17">
        <f>IF(B40="","",IFERROR(INDEX(Recipes!$B$5:$B$204,MATCH(B40,Recipes!$A$5:$A$204,0)),"Not found"))</f>
        <v>0</v>
      </c>
      <c r="D40" s="32" t="s">
        <v>926</v>
      </c>
      <c r="E40" s="38">
        <v>500</v>
      </c>
      <c r="F40" s="32" t="s">
        <v>668</v>
      </c>
      <c r="G40" s="32" t="s">
        <v>893</v>
      </c>
      <c r="H40" s="32" t="s">
        <v>157</v>
      </c>
      <c r="I40" s="40" t="s">
        <v>312</v>
      </c>
      <c r="J40" s="45">
        <f>IF(E40="","",IFERROR(E40*INDEX(UnitFactors,MATCH(F40,UnitNames,0)),""))</f>
        <v>0</v>
      </c>
      <c r="K40" s="17">
        <f>IF(F40="","",IFERROR(INDEX(UnitBases,MATCH(F40,UnitNames,0)),"?"))</f>
        <v>0</v>
      </c>
      <c r="L40" s="17">
        <f>IF(D40="","",IFERROR(INDEX(Ingredients!$G$5:$G$304,MATCH(D40,Ingredients!$B$5:$B$304,0)),"Add to Ingredients"))</f>
        <v>0</v>
      </c>
      <c r="M40" s="25">
        <f>IF(D40="","",IFERROR(INDEX(Ingredients!$J$5:$J$304,MATCH(D40,Ingredients!$B$5:$B$304,0)),"Add to Ingredients"))</f>
        <v>0</v>
      </c>
      <c r="N40" s="25">
        <f>IF(OR(J40="",M40="",NOT(ISNUMBER(M40))),"",IF(K40&lt;&gt;L40,"",J40*M40))</f>
        <v>0</v>
      </c>
      <c r="O40" s="25">
        <f>IF(N40="","",IFERROR(N40/INDEX(Recipes!$G$5:$G$204,MATCH(B40,Recipes!$A$5:$A$204,0)),""))</f>
        <v>0</v>
      </c>
      <c r="P40" s="30">
        <f>IF(J40="","",IF(K40="each",J40,J40/100))</f>
        <v>0</v>
      </c>
      <c r="Q40" s="30">
        <f>IFERROR(IF(P40="","",P40*INDEX(Ingredients!$P$5:$P$304,MATCH(D40,Ingredients!$B$5:$B$304,0))),"")</f>
        <v>0</v>
      </c>
      <c r="R40" s="45">
        <f>IFERROR(IF(P40="","",P40*INDEX(Ingredients!$Q$5:$Q$304,MATCH(D40,Ingredients!$B$5:$B$304,0))),"")</f>
        <v>0</v>
      </c>
      <c r="S40" s="45">
        <f>IFERROR(IF(P40="","",P40*INDEX(Ingredients!$R$5:$R$304,MATCH(D40,Ingredients!$B$5:$B$304,0))),"")</f>
        <v>0</v>
      </c>
      <c r="T40" s="45">
        <f>IFERROR(IF(P40="","",P40*INDEX(Ingredients!$S$5:$S$304,MATCH(D40,Ingredients!$B$5:$B$304,0))),"")</f>
        <v>0</v>
      </c>
      <c r="U40" s="45">
        <f>IFERROR(IF(P40="","",P40*INDEX(Ingredients!$T$5:$T$304,MATCH(D40,Ingredients!$B$5:$B$304,0))),"")</f>
        <v>0</v>
      </c>
      <c r="V40" s="17">
        <f>IF(D40="","",IFERROR(INDEX(Ingredients!$W$5:$W$304,MATCH(D40,Ingredients!$B$5:$B$304,0)),"Add to Ingredients"))</f>
        <v>0</v>
      </c>
      <c r="W40" s="17">
        <f>IF(D40="","",IFERROR(INDEX(Ingredients!$C$5:$C$304,MATCH(D40,Ingredients!$B$5:$B$304,0)),"Add to Ingredients"))</f>
        <v>0</v>
      </c>
      <c r="X40" s="45">
        <f>IFERROR(INDEX(Recipes!$AT$5:$AT$204,MATCH(B40,Recipes!$A$5:$A$204,0)),0)</f>
        <v>0</v>
      </c>
      <c r="Y40" s="45">
        <f>IF(OR(J40="",X40=0),"",J40*X40)</f>
        <v>0</v>
      </c>
      <c r="Z40" s="17">
        <f>IF(D40="","",B40&amp;"#"&amp;COUNTIFS($B$5:B40,B40))</f>
        <v>0</v>
      </c>
      <c r="AA40" s="17">
        <f>IF(D40="","",B40&amp;"|"&amp;D40)</f>
        <v>0</v>
      </c>
      <c r="AB40" s="31">
        <f>IF(D40="","",IF(B40="","Add - which recipe?",IF(COUNTIFS(Ingredients!$B$5:$B$304,D40)=0,"Missing - not in the Ingredients tab",IF(E40="","Add - no quantity",IF(F40="","Add - no unit",IF(K40&lt;&gt;L40,"Check - recipe in "&amp;K40&amp;", priced in "&amp;L40,IF(COUNTIFS($AA$5:$AA$1204,AA40)&gt;1,"Duplicate - same ingredient twice","OK")))))))</f>
        <v>0</v>
      </c>
    </row>
    <row r="41" spans="1:28">
      <c r="A41" s="39">
        <f>IF(D41="","","RL-"&amp;TEXT(ROW()-4,"0000"))</f>
        <v>0</v>
      </c>
      <c r="B41" s="32" t="s">
        <v>925</v>
      </c>
      <c r="C41" s="17">
        <f>IF(B41="","",IFERROR(INDEX(Recipes!$B$5:$B$204,MATCH(B41,Recipes!$A$5:$A$204,0)),"Not found"))</f>
        <v>0</v>
      </c>
      <c r="D41" s="32" t="s">
        <v>892</v>
      </c>
      <c r="E41" s="38">
        <v>3</v>
      </c>
      <c r="F41" s="32" t="s">
        <v>685</v>
      </c>
      <c r="G41" s="32" t="s">
        <v>893</v>
      </c>
      <c r="H41" s="32" t="s">
        <v>157</v>
      </c>
      <c r="I41" s="40" t="s">
        <v>312</v>
      </c>
      <c r="J41" s="45">
        <f>IF(E41="","",IFERROR(E41*INDEX(UnitFactors,MATCH(F41,UnitNames,0)),""))</f>
        <v>0</v>
      </c>
      <c r="K41" s="17">
        <f>IF(F41="","",IFERROR(INDEX(UnitBases,MATCH(F41,UnitNames,0)),"?"))</f>
        <v>0</v>
      </c>
      <c r="L41" s="17">
        <f>IF(D41="","",IFERROR(INDEX(Ingredients!$G$5:$G$304,MATCH(D41,Ingredients!$B$5:$B$304,0)),"Add to Ingredients"))</f>
        <v>0</v>
      </c>
      <c r="M41" s="25">
        <f>IF(D41="","",IFERROR(INDEX(Ingredients!$J$5:$J$304,MATCH(D41,Ingredients!$B$5:$B$304,0)),"Add to Ingredients"))</f>
        <v>0</v>
      </c>
      <c r="N41" s="25">
        <f>IF(OR(J41="",M41="",NOT(ISNUMBER(M41))),"",IF(K41&lt;&gt;L41,"",J41*M41))</f>
        <v>0</v>
      </c>
      <c r="O41" s="25">
        <f>IF(N41="","",IFERROR(N41/INDEX(Recipes!$G$5:$G$204,MATCH(B41,Recipes!$A$5:$A$204,0)),""))</f>
        <v>0</v>
      </c>
      <c r="P41" s="30">
        <f>IF(J41="","",IF(K41="each",J41,J41/100))</f>
        <v>0</v>
      </c>
      <c r="Q41" s="30">
        <f>IFERROR(IF(P41="","",P41*INDEX(Ingredients!$P$5:$P$304,MATCH(D41,Ingredients!$B$5:$B$304,0))),"")</f>
        <v>0</v>
      </c>
      <c r="R41" s="45">
        <f>IFERROR(IF(P41="","",P41*INDEX(Ingredients!$Q$5:$Q$304,MATCH(D41,Ingredients!$B$5:$B$304,0))),"")</f>
        <v>0</v>
      </c>
      <c r="S41" s="45">
        <f>IFERROR(IF(P41="","",P41*INDEX(Ingredients!$R$5:$R$304,MATCH(D41,Ingredients!$B$5:$B$304,0))),"")</f>
        <v>0</v>
      </c>
      <c r="T41" s="45">
        <f>IFERROR(IF(P41="","",P41*INDEX(Ingredients!$S$5:$S$304,MATCH(D41,Ingredients!$B$5:$B$304,0))),"")</f>
        <v>0</v>
      </c>
      <c r="U41" s="45">
        <f>IFERROR(IF(P41="","",P41*INDEX(Ingredients!$T$5:$T$304,MATCH(D41,Ingredients!$B$5:$B$304,0))),"")</f>
        <v>0</v>
      </c>
      <c r="V41" s="17">
        <f>IF(D41="","",IFERROR(INDEX(Ingredients!$W$5:$W$304,MATCH(D41,Ingredients!$B$5:$B$304,0)),"Add to Ingredients"))</f>
        <v>0</v>
      </c>
      <c r="W41" s="17">
        <f>IF(D41="","",IFERROR(INDEX(Ingredients!$C$5:$C$304,MATCH(D41,Ingredients!$B$5:$B$304,0)),"Add to Ingredients"))</f>
        <v>0</v>
      </c>
      <c r="X41" s="45">
        <f>IFERROR(INDEX(Recipes!$AT$5:$AT$204,MATCH(B41,Recipes!$A$5:$A$204,0)),0)</f>
        <v>0</v>
      </c>
      <c r="Y41" s="45">
        <f>IF(OR(J41="",X41=0),"",J41*X41)</f>
        <v>0</v>
      </c>
      <c r="Z41" s="17">
        <f>IF(D41="","",B41&amp;"#"&amp;COUNTIFS($B$5:B41,B41))</f>
        <v>0</v>
      </c>
      <c r="AA41" s="17">
        <f>IF(D41="","",B41&amp;"|"&amp;D41)</f>
        <v>0</v>
      </c>
      <c r="AB41" s="31">
        <f>IF(D41="","",IF(B41="","Add - which recipe?",IF(COUNTIFS(Ingredients!$B$5:$B$304,D41)=0,"Missing - not in the Ingredients tab",IF(E41="","Add - no quantity",IF(F41="","Add - no unit",IF(K41&lt;&gt;L41,"Check - recipe in "&amp;K41&amp;", priced in "&amp;L41,IF(COUNTIFS($AA$5:$AA$1204,AA41)&gt;1,"Duplicate - same ingredient twice","OK")))))))</f>
        <v>0</v>
      </c>
    </row>
    <row r="42" spans="1:28">
      <c r="A42" s="39">
        <f>IF(D42="","","RL-"&amp;TEXT(ROW()-4,"0000"))</f>
        <v>0</v>
      </c>
      <c r="B42" s="32" t="s">
        <v>925</v>
      </c>
      <c r="C42" s="17">
        <f>IF(B42="","",IFERROR(INDEX(Recipes!$B$5:$B$204,MATCH(B42,Recipes!$A$5:$A$204,0)),"Not found"))</f>
        <v>0</v>
      </c>
      <c r="D42" s="32" t="s">
        <v>894</v>
      </c>
      <c r="E42" s="38">
        <v>150</v>
      </c>
      <c r="F42" s="32" t="s">
        <v>668</v>
      </c>
      <c r="G42" s="32" t="s">
        <v>893</v>
      </c>
      <c r="H42" s="32" t="s">
        <v>157</v>
      </c>
      <c r="I42" s="40" t="s">
        <v>312</v>
      </c>
      <c r="J42" s="45">
        <f>IF(E42="","",IFERROR(E42*INDEX(UnitFactors,MATCH(F42,UnitNames,0)),""))</f>
        <v>0</v>
      </c>
      <c r="K42" s="17">
        <f>IF(F42="","",IFERROR(INDEX(UnitBases,MATCH(F42,UnitNames,0)),"?"))</f>
        <v>0</v>
      </c>
      <c r="L42" s="17">
        <f>IF(D42="","",IFERROR(INDEX(Ingredients!$G$5:$G$304,MATCH(D42,Ingredients!$B$5:$B$304,0)),"Add to Ingredients"))</f>
        <v>0</v>
      </c>
      <c r="M42" s="25">
        <f>IF(D42="","",IFERROR(INDEX(Ingredients!$J$5:$J$304,MATCH(D42,Ingredients!$B$5:$B$304,0)),"Add to Ingredients"))</f>
        <v>0</v>
      </c>
      <c r="N42" s="25">
        <f>IF(OR(J42="",M42="",NOT(ISNUMBER(M42))),"",IF(K42&lt;&gt;L42,"",J42*M42))</f>
        <v>0</v>
      </c>
      <c r="O42" s="25">
        <f>IF(N42="","",IFERROR(N42/INDEX(Recipes!$G$5:$G$204,MATCH(B42,Recipes!$A$5:$A$204,0)),""))</f>
        <v>0</v>
      </c>
      <c r="P42" s="30">
        <f>IF(J42="","",IF(K42="each",J42,J42/100))</f>
        <v>0</v>
      </c>
      <c r="Q42" s="30">
        <f>IFERROR(IF(P42="","",P42*INDEX(Ingredients!$P$5:$P$304,MATCH(D42,Ingredients!$B$5:$B$304,0))),"")</f>
        <v>0</v>
      </c>
      <c r="R42" s="45">
        <f>IFERROR(IF(P42="","",P42*INDEX(Ingredients!$Q$5:$Q$304,MATCH(D42,Ingredients!$B$5:$B$304,0))),"")</f>
        <v>0</v>
      </c>
      <c r="S42" s="45">
        <f>IFERROR(IF(P42="","",P42*INDEX(Ingredients!$R$5:$R$304,MATCH(D42,Ingredients!$B$5:$B$304,0))),"")</f>
        <v>0</v>
      </c>
      <c r="T42" s="45">
        <f>IFERROR(IF(P42="","",P42*INDEX(Ingredients!$S$5:$S$304,MATCH(D42,Ingredients!$B$5:$B$304,0))),"")</f>
        <v>0</v>
      </c>
      <c r="U42" s="45">
        <f>IFERROR(IF(P42="","",P42*INDEX(Ingredients!$T$5:$T$304,MATCH(D42,Ingredients!$B$5:$B$304,0))),"")</f>
        <v>0</v>
      </c>
      <c r="V42" s="17">
        <f>IF(D42="","",IFERROR(INDEX(Ingredients!$W$5:$W$304,MATCH(D42,Ingredients!$B$5:$B$304,0)),"Add to Ingredients"))</f>
        <v>0</v>
      </c>
      <c r="W42" s="17">
        <f>IF(D42="","",IFERROR(INDEX(Ingredients!$C$5:$C$304,MATCH(D42,Ingredients!$B$5:$B$304,0)),"Add to Ingredients"))</f>
        <v>0</v>
      </c>
      <c r="X42" s="45">
        <f>IFERROR(INDEX(Recipes!$AT$5:$AT$204,MATCH(B42,Recipes!$A$5:$A$204,0)),0)</f>
        <v>0</v>
      </c>
      <c r="Y42" s="45">
        <f>IF(OR(J42="",X42=0),"",J42*X42)</f>
        <v>0</v>
      </c>
      <c r="Z42" s="17">
        <f>IF(D42="","",B42&amp;"#"&amp;COUNTIFS($B$5:B42,B42))</f>
        <v>0</v>
      </c>
      <c r="AA42" s="17">
        <f>IF(D42="","",B42&amp;"|"&amp;D42)</f>
        <v>0</v>
      </c>
      <c r="AB42" s="31">
        <f>IF(D42="","",IF(B42="","Add - which recipe?",IF(COUNTIFS(Ingredients!$B$5:$B$304,D42)=0,"Missing - not in the Ingredients tab",IF(E42="","Add - no quantity",IF(F42="","Add - no unit",IF(K42&lt;&gt;L42,"Check - recipe in "&amp;K42&amp;", priced in "&amp;L42,IF(COUNTIFS($AA$5:$AA$1204,AA42)&gt;1,"Duplicate - same ingredient twice","OK")))))))</f>
        <v>0</v>
      </c>
    </row>
    <row r="43" spans="1:28">
      <c r="A43" s="39">
        <f>IF(D43="","","RL-"&amp;TEXT(ROW()-4,"0000"))</f>
        <v>0</v>
      </c>
      <c r="B43" s="32" t="s">
        <v>925</v>
      </c>
      <c r="C43" s="17">
        <f>IF(B43="","",IFERROR(INDEX(Recipes!$B$5:$B$204,MATCH(B43,Recipes!$A$5:$A$204,0)),"Not found"))</f>
        <v>0</v>
      </c>
      <c r="D43" s="32" t="s">
        <v>927</v>
      </c>
      <c r="E43" s="38">
        <v>8</v>
      </c>
      <c r="F43" s="32" t="s">
        <v>685</v>
      </c>
      <c r="G43" s="32" t="s">
        <v>157</v>
      </c>
      <c r="H43" s="32" t="s">
        <v>157</v>
      </c>
      <c r="I43" s="40" t="s">
        <v>312</v>
      </c>
      <c r="J43" s="45">
        <f>IF(E43="","",IFERROR(E43*INDEX(UnitFactors,MATCH(F43,UnitNames,0)),""))</f>
        <v>0</v>
      </c>
      <c r="K43" s="17">
        <f>IF(F43="","",IFERROR(INDEX(UnitBases,MATCH(F43,UnitNames,0)),"?"))</f>
        <v>0</v>
      </c>
      <c r="L43" s="17">
        <f>IF(D43="","",IFERROR(INDEX(Ingredients!$G$5:$G$304,MATCH(D43,Ingredients!$B$5:$B$304,0)),"Add to Ingredients"))</f>
        <v>0</v>
      </c>
      <c r="M43" s="25">
        <f>IF(D43="","",IFERROR(INDEX(Ingredients!$J$5:$J$304,MATCH(D43,Ingredients!$B$5:$B$304,0)),"Add to Ingredients"))</f>
        <v>0</v>
      </c>
      <c r="N43" s="25">
        <f>IF(OR(J43="",M43="",NOT(ISNUMBER(M43))),"",IF(K43&lt;&gt;L43,"",J43*M43))</f>
        <v>0</v>
      </c>
      <c r="O43" s="25">
        <f>IF(N43="","",IFERROR(N43/INDEX(Recipes!$G$5:$G$204,MATCH(B43,Recipes!$A$5:$A$204,0)),""))</f>
        <v>0</v>
      </c>
      <c r="P43" s="30">
        <f>IF(J43="","",IF(K43="each",J43,J43/100))</f>
        <v>0</v>
      </c>
      <c r="Q43" s="30">
        <f>IFERROR(IF(P43="","",P43*INDEX(Ingredients!$P$5:$P$304,MATCH(D43,Ingredients!$B$5:$B$304,0))),"")</f>
        <v>0</v>
      </c>
      <c r="R43" s="45">
        <f>IFERROR(IF(P43="","",P43*INDEX(Ingredients!$Q$5:$Q$304,MATCH(D43,Ingredients!$B$5:$B$304,0))),"")</f>
        <v>0</v>
      </c>
      <c r="S43" s="45">
        <f>IFERROR(IF(P43="","",P43*INDEX(Ingredients!$R$5:$R$304,MATCH(D43,Ingredients!$B$5:$B$304,0))),"")</f>
        <v>0</v>
      </c>
      <c r="T43" s="45">
        <f>IFERROR(IF(P43="","",P43*INDEX(Ingredients!$S$5:$S$304,MATCH(D43,Ingredients!$B$5:$B$304,0))),"")</f>
        <v>0</v>
      </c>
      <c r="U43" s="45">
        <f>IFERROR(IF(P43="","",P43*INDEX(Ingredients!$T$5:$T$304,MATCH(D43,Ingredients!$B$5:$B$304,0))),"")</f>
        <v>0</v>
      </c>
      <c r="V43" s="17">
        <f>IF(D43="","",IFERROR(INDEX(Ingredients!$W$5:$W$304,MATCH(D43,Ingredients!$B$5:$B$304,0)),"Add to Ingredients"))</f>
        <v>0</v>
      </c>
      <c r="W43" s="17">
        <f>IF(D43="","",IFERROR(INDEX(Ingredients!$C$5:$C$304,MATCH(D43,Ingredients!$B$5:$B$304,0)),"Add to Ingredients"))</f>
        <v>0</v>
      </c>
      <c r="X43" s="45">
        <f>IFERROR(INDEX(Recipes!$AT$5:$AT$204,MATCH(B43,Recipes!$A$5:$A$204,0)),0)</f>
        <v>0</v>
      </c>
      <c r="Y43" s="45">
        <f>IF(OR(J43="",X43=0),"",J43*X43)</f>
        <v>0</v>
      </c>
      <c r="Z43" s="17">
        <f>IF(D43="","",B43&amp;"#"&amp;COUNTIFS($B$5:B43,B43))</f>
        <v>0</v>
      </c>
      <c r="AA43" s="17">
        <f>IF(D43="","",B43&amp;"|"&amp;D43)</f>
        <v>0</v>
      </c>
      <c r="AB43" s="31">
        <f>IF(D43="","",IF(B43="","Add - which recipe?",IF(COUNTIFS(Ingredients!$B$5:$B$304,D43)=0,"Missing - not in the Ingredients tab",IF(E43="","Add - no quantity",IF(F43="","Add - no unit",IF(K43&lt;&gt;L43,"Check - recipe in "&amp;K43&amp;", priced in "&amp;L43,IF(COUNTIFS($AA$5:$AA$1204,AA43)&gt;1,"Duplicate - same ingredient twice","OK")))))))</f>
        <v>0</v>
      </c>
    </row>
    <row r="44" spans="1:28">
      <c r="A44" s="39">
        <f>IF(D44="","","RL-"&amp;TEXT(ROW()-4,"0000"))</f>
        <v>0</v>
      </c>
      <c r="B44" s="32" t="s">
        <v>925</v>
      </c>
      <c r="C44" s="17">
        <f>IF(B44="","",IFERROR(INDEX(Recipes!$B$5:$B$204,MATCH(B44,Recipes!$A$5:$A$204,0)),"Not found"))</f>
        <v>0</v>
      </c>
      <c r="D44" s="32" t="s">
        <v>928</v>
      </c>
      <c r="E44" s="38">
        <v>100</v>
      </c>
      <c r="F44" s="32" t="s">
        <v>668</v>
      </c>
      <c r="G44" s="32" t="s">
        <v>902</v>
      </c>
      <c r="H44" s="32" t="s">
        <v>157</v>
      </c>
      <c r="I44" s="40" t="s">
        <v>311</v>
      </c>
      <c r="J44" s="45">
        <f>IF(E44="","",IFERROR(E44*INDEX(UnitFactors,MATCH(F44,UnitNames,0)),""))</f>
        <v>0</v>
      </c>
      <c r="K44" s="17">
        <f>IF(F44="","",IFERROR(INDEX(UnitBases,MATCH(F44,UnitNames,0)),"?"))</f>
        <v>0</v>
      </c>
      <c r="L44" s="17">
        <f>IF(D44="","",IFERROR(INDEX(Ingredients!$G$5:$G$304,MATCH(D44,Ingredients!$B$5:$B$304,0)),"Add to Ingredients"))</f>
        <v>0</v>
      </c>
      <c r="M44" s="25">
        <f>IF(D44="","",IFERROR(INDEX(Ingredients!$J$5:$J$304,MATCH(D44,Ingredients!$B$5:$B$304,0)),"Add to Ingredients"))</f>
        <v>0</v>
      </c>
      <c r="N44" s="25">
        <f>IF(OR(J44="",M44="",NOT(ISNUMBER(M44))),"",IF(K44&lt;&gt;L44,"",J44*M44))</f>
        <v>0</v>
      </c>
      <c r="O44" s="25">
        <f>IF(N44="","",IFERROR(N44/INDEX(Recipes!$G$5:$G$204,MATCH(B44,Recipes!$A$5:$A$204,0)),""))</f>
        <v>0</v>
      </c>
      <c r="P44" s="30">
        <f>IF(J44="","",IF(K44="each",J44,J44/100))</f>
        <v>0</v>
      </c>
      <c r="Q44" s="30">
        <f>IFERROR(IF(P44="","",P44*INDEX(Ingredients!$P$5:$P$304,MATCH(D44,Ingredients!$B$5:$B$304,0))),"")</f>
        <v>0</v>
      </c>
      <c r="R44" s="45">
        <f>IFERROR(IF(P44="","",P44*INDEX(Ingredients!$Q$5:$Q$304,MATCH(D44,Ingredients!$B$5:$B$304,0))),"")</f>
        <v>0</v>
      </c>
      <c r="S44" s="45">
        <f>IFERROR(IF(P44="","",P44*INDEX(Ingredients!$R$5:$R$304,MATCH(D44,Ingredients!$B$5:$B$304,0))),"")</f>
        <v>0</v>
      </c>
      <c r="T44" s="45">
        <f>IFERROR(IF(P44="","",P44*INDEX(Ingredients!$S$5:$S$304,MATCH(D44,Ingredients!$B$5:$B$304,0))),"")</f>
        <v>0</v>
      </c>
      <c r="U44" s="45">
        <f>IFERROR(IF(P44="","",P44*INDEX(Ingredients!$T$5:$T$304,MATCH(D44,Ingredients!$B$5:$B$304,0))),"")</f>
        <v>0</v>
      </c>
      <c r="V44" s="17">
        <f>IF(D44="","",IFERROR(INDEX(Ingredients!$W$5:$W$304,MATCH(D44,Ingredients!$B$5:$B$304,0)),"Add to Ingredients"))</f>
        <v>0</v>
      </c>
      <c r="W44" s="17">
        <f>IF(D44="","",IFERROR(INDEX(Ingredients!$C$5:$C$304,MATCH(D44,Ingredients!$B$5:$B$304,0)),"Add to Ingredients"))</f>
        <v>0</v>
      </c>
      <c r="X44" s="45">
        <f>IFERROR(INDEX(Recipes!$AT$5:$AT$204,MATCH(B44,Recipes!$A$5:$A$204,0)),0)</f>
        <v>0</v>
      </c>
      <c r="Y44" s="45">
        <f>IF(OR(J44="",X44=0),"",J44*X44)</f>
        <v>0</v>
      </c>
      <c r="Z44" s="17">
        <f>IF(D44="","",B44&amp;"#"&amp;COUNTIFS($B$5:B44,B44))</f>
        <v>0</v>
      </c>
      <c r="AA44" s="17">
        <f>IF(D44="","",B44&amp;"|"&amp;D44)</f>
        <v>0</v>
      </c>
      <c r="AB44" s="31">
        <f>IF(D44="","",IF(B44="","Add - which recipe?",IF(COUNTIFS(Ingredients!$B$5:$B$304,D44)=0,"Missing - not in the Ingredients tab",IF(E44="","Add - no quantity",IF(F44="","Add - no unit",IF(K44&lt;&gt;L44,"Check - recipe in "&amp;K44&amp;", priced in "&amp;L44,IF(COUNTIFS($AA$5:$AA$1204,AA44)&gt;1,"Duplicate - same ingredient twice","OK")))))))</f>
        <v>0</v>
      </c>
    </row>
    <row r="45" spans="1:28">
      <c r="A45" s="39">
        <f>IF(D45="","","RL-"&amp;TEXT(ROW()-4,"0000"))</f>
        <v>0</v>
      </c>
      <c r="B45" s="32" t="s">
        <v>925</v>
      </c>
      <c r="C45" s="17">
        <f>IF(B45="","",IFERROR(INDEX(Recipes!$B$5:$B$204,MATCH(B45,Recipes!$A$5:$A$204,0)),"Not found"))</f>
        <v>0</v>
      </c>
      <c r="D45" s="32" t="s">
        <v>897</v>
      </c>
      <c r="E45" s="38">
        <v>2</v>
      </c>
      <c r="F45" s="32" t="s">
        <v>677</v>
      </c>
      <c r="G45" s="32" t="s">
        <v>157</v>
      </c>
      <c r="H45" s="32" t="s">
        <v>157</v>
      </c>
      <c r="I45" s="40" t="s">
        <v>312</v>
      </c>
      <c r="J45" s="45">
        <f>IF(E45="","",IFERROR(E45*INDEX(UnitFactors,MATCH(F45,UnitNames,0)),""))</f>
        <v>0</v>
      </c>
      <c r="K45" s="17">
        <f>IF(F45="","",IFERROR(INDEX(UnitBases,MATCH(F45,UnitNames,0)),"?"))</f>
        <v>0</v>
      </c>
      <c r="L45" s="17">
        <f>IF(D45="","",IFERROR(INDEX(Ingredients!$G$5:$G$304,MATCH(D45,Ingredients!$B$5:$B$304,0)),"Add to Ingredients"))</f>
        <v>0</v>
      </c>
      <c r="M45" s="25">
        <f>IF(D45="","",IFERROR(INDEX(Ingredients!$J$5:$J$304,MATCH(D45,Ingredients!$B$5:$B$304,0)),"Add to Ingredients"))</f>
        <v>0</v>
      </c>
      <c r="N45" s="25">
        <f>IF(OR(J45="",M45="",NOT(ISNUMBER(M45))),"",IF(K45&lt;&gt;L45,"",J45*M45))</f>
        <v>0</v>
      </c>
      <c r="O45" s="25">
        <f>IF(N45="","",IFERROR(N45/INDEX(Recipes!$G$5:$G$204,MATCH(B45,Recipes!$A$5:$A$204,0)),""))</f>
        <v>0</v>
      </c>
      <c r="P45" s="30">
        <f>IF(J45="","",IF(K45="each",J45,J45/100))</f>
        <v>0</v>
      </c>
      <c r="Q45" s="30">
        <f>IFERROR(IF(P45="","",P45*INDEX(Ingredients!$P$5:$P$304,MATCH(D45,Ingredients!$B$5:$B$304,0))),"")</f>
        <v>0</v>
      </c>
      <c r="R45" s="45">
        <f>IFERROR(IF(P45="","",P45*INDEX(Ingredients!$Q$5:$Q$304,MATCH(D45,Ingredients!$B$5:$B$304,0))),"")</f>
        <v>0</v>
      </c>
      <c r="S45" s="45">
        <f>IFERROR(IF(P45="","",P45*INDEX(Ingredients!$R$5:$R$304,MATCH(D45,Ingredients!$B$5:$B$304,0))),"")</f>
        <v>0</v>
      </c>
      <c r="T45" s="45">
        <f>IFERROR(IF(P45="","",P45*INDEX(Ingredients!$S$5:$S$304,MATCH(D45,Ingredients!$B$5:$B$304,0))),"")</f>
        <v>0</v>
      </c>
      <c r="U45" s="45">
        <f>IFERROR(IF(P45="","",P45*INDEX(Ingredients!$T$5:$T$304,MATCH(D45,Ingredients!$B$5:$B$304,0))),"")</f>
        <v>0</v>
      </c>
      <c r="V45" s="17">
        <f>IF(D45="","",IFERROR(INDEX(Ingredients!$W$5:$W$304,MATCH(D45,Ingredients!$B$5:$B$304,0)),"Add to Ingredients"))</f>
        <v>0</v>
      </c>
      <c r="W45" s="17">
        <f>IF(D45="","",IFERROR(INDEX(Ingredients!$C$5:$C$304,MATCH(D45,Ingredients!$B$5:$B$304,0)),"Add to Ingredients"))</f>
        <v>0</v>
      </c>
      <c r="X45" s="45">
        <f>IFERROR(INDEX(Recipes!$AT$5:$AT$204,MATCH(B45,Recipes!$A$5:$A$204,0)),0)</f>
        <v>0</v>
      </c>
      <c r="Y45" s="45">
        <f>IF(OR(J45="",X45=0),"",J45*X45)</f>
        <v>0</v>
      </c>
      <c r="Z45" s="17">
        <f>IF(D45="","",B45&amp;"#"&amp;COUNTIFS($B$5:B45,B45))</f>
        <v>0</v>
      </c>
      <c r="AA45" s="17">
        <f>IF(D45="","",B45&amp;"|"&amp;D45)</f>
        <v>0</v>
      </c>
      <c r="AB45" s="31">
        <f>IF(D45="","",IF(B45="","Add - which recipe?",IF(COUNTIFS(Ingredients!$B$5:$B$304,D45)=0,"Missing - not in the Ingredients tab",IF(E45="","Add - no quantity",IF(F45="","Add - no unit",IF(K45&lt;&gt;L45,"Check - recipe in "&amp;K45&amp;", priced in "&amp;L45,IF(COUNTIFS($AA$5:$AA$1204,AA45)&gt;1,"Duplicate - same ingredient twice","OK")))))))</f>
        <v>0</v>
      </c>
    </row>
    <row r="46" spans="1:28">
      <c r="A46" s="39">
        <f>IF(D46="","","RL-"&amp;TEXT(ROW()-4,"0000"))</f>
        <v>0</v>
      </c>
      <c r="B46" s="32" t="s">
        <v>929</v>
      </c>
      <c r="C46" s="17">
        <f>IF(B46="","",IFERROR(INDEX(Recipes!$B$5:$B$204,MATCH(B46,Recipes!$A$5:$A$204,0)),"Not found"))</f>
        <v>0</v>
      </c>
      <c r="D46" s="32" t="s">
        <v>930</v>
      </c>
      <c r="E46" s="38">
        <v>800</v>
      </c>
      <c r="F46" s="32" t="s">
        <v>668</v>
      </c>
      <c r="G46" s="32" t="s">
        <v>922</v>
      </c>
      <c r="H46" s="32" t="s">
        <v>157</v>
      </c>
      <c r="I46" s="40" t="s">
        <v>312</v>
      </c>
      <c r="J46" s="45">
        <f>IF(E46="","",IFERROR(E46*INDEX(UnitFactors,MATCH(F46,UnitNames,0)),""))</f>
        <v>0</v>
      </c>
      <c r="K46" s="17">
        <f>IF(F46="","",IFERROR(INDEX(UnitBases,MATCH(F46,UnitNames,0)),"?"))</f>
        <v>0</v>
      </c>
      <c r="L46" s="17">
        <f>IF(D46="","",IFERROR(INDEX(Ingredients!$G$5:$G$304,MATCH(D46,Ingredients!$B$5:$B$304,0)),"Add to Ingredients"))</f>
        <v>0</v>
      </c>
      <c r="M46" s="25">
        <f>IF(D46="","",IFERROR(INDEX(Ingredients!$J$5:$J$304,MATCH(D46,Ingredients!$B$5:$B$304,0)),"Add to Ingredients"))</f>
        <v>0</v>
      </c>
      <c r="N46" s="25">
        <f>IF(OR(J46="",M46="",NOT(ISNUMBER(M46))),"",IF(K46&lt;&gt;L46,"",J46*M46))</f>
        <v>0</v>
      </c>
      <c r="O46" s="25">
        <f>IF(N46="","",IFERROR(N46/INDEX(Recipes!$G$5:$G$204,MATCH(B46,Recipes!$A$5:$A$204,0)),""))</f>
        <v>0</v>
      </c>
      <c r="P46" s="30">
        <f>IF(J46="","",IF(K46="each",J46,J46/100))</f>
        <v>0</v>
      </c>
      <c r="Q46" s="30">
        <f>IFERROR(IF(P46="","",P46*INDEX(Ingredients!$P$5:$P$304,MATCH(D46,Ingredients!$B$5:$B$304,0))),"")</f>
        <v>0</v>
      </c>
      <c r="R46" s="45">
        <f>IFERROR(IF(P46="","",P46*INDEX(Ingredients!$Q$5:$Q$304,MATCH(D46,Ingredients!$B$5:$B$304,0))),"")</f>
        <v>0</v>
      </c>
      <c r="S46" s="45">
        <f>IFERROR(IF(P46="","",P46*INDEX(Ingredients!$R$5:$R$304,MATCH(D46,Ingredients!$B$5:$B$304,0))),"")</f>
        <v>0</v>
      </c>
      <c r="T46" s="45">
        <f>IFERROR(IF(P46="","",P46*INDEX(Ingredients!$S$5:$S$304,MATCH(D46,Ingredients!$B$5:$B$304,0))),"")</f>
        <v>0</v>
      </c>
      <c r="U46" s="45">
        <f>IFERROR(IF(P46="","",P46*INDEX(Ingredients!$T$5:$T$304,MATCH(D46,Ingredients!$B$5:$B$304,0))),"")</f>
        <v>0</v>
      </c>
      <c r="V46" s="17">
        <f>IF(D46="","",IFERROR(INDEX(Ingredients!$W$5:$W$304,MATCH(D46,Ingredients!$B$5:$B$304,0)),"Add to Ingredients"))</f>
        <v>0</v>
      </c>
      <c r="W46" s="17">
        <f>IF(D46="","",IFERROR(INDEX(Ingredients!$C$5:$C$304,MATCH(D46,Ingredients!$B$5:$B$304,0)),"Add to Ingredients"))</f>
        <v>0</v>
      </c>
      <c r="X46" s="45">
        <f>IFERROR(INDEX(Recipes!$AT$5:$AT$204,MATCH(B46,Recipes!$A$5:$A$204,0)),0)</f>
        <v>0</v>
      </c>
      <c r="Y46" s="45">
        <f>IF(OR(J46="",X46=0),"",J46*X46)</f>
        <v>0</v>
      </c>
      <c r="Z46" s="17">
        <f>IF(D46="","",B46&amp;"#"&amp;COUNTIFS($B$5:B46,B46))</f>
        <v>0</v>
      </c>
      <c r="AA46" s="17">
        <f>IF(D46="","",B46&amp;"|"&amp;D46)</f>
        <v>0</v>
      </c>
      <c r="AB46" s="31">
        <f>IF(D46="","",IF(B46="","Add - which recipe?",IF(COUNTIFS(Ingredients!$B$5:$B$304,D46)=0,"Missing - not in the Ingredients tab",IF(E46="","Add - no quantity",IF(F46="","Add - no unit",IF(K46&lt;&gt;L46,"Check - recipe in "&amp;K46&amp;", priced in "&amp;L46,IF(COUNTIFS($AA$5:$AA$1204,AA46)&gt;1,"Duplicate - same ingredient twice","OK")))))))</f>
        <v>0</v>
      </c>
    </row>
    <row r="47" spans="1:28">
      <c r="A47" s="39">
        <f>IF(D47="","","RL-"&amp;TEXT(ROW()-4,"0000"))</f>
        <v>0</v>
      </c>
      <c r="B47" s="32" t="s">
        <v>929</v>
      </c>
      <c r="C47" s="17">
        <f>IF(B47="","",IFERROR(INDEX(Recipes!$B$5:$B$204,MATCH(B47,Recipes!$A$5:$A$204,0)),"Not found"))</f>
        <v>0</v>
      </c>
      <c r="D47" s="32" t="s">
        <v>905</v>
      </c>
      <c r="E47" s="38">
        <v>800</v>
      </c>
      <c r="F47" s="32" t="s">
        <v>668</v>
      </c>
      <c r="G47" s="32" t="s">
        <v>157</v>
      </c>
      <c r="H47" s="32" t="s">
        <v>157</v>
      </c>
      <c r="I47" s="40" t="s">
        <v>312</v>
      </c>
      <c r="J47" s="45">
        <f>IF(E47="","",IFERROR(E47*INDEX(UnitFactors,MATCH(F47,UnitNames,0)),""))</f>
        <v>0</v>
      </c>
      <c r="K47" s="17">
        <f>IF(F47="","",IFERROR(INDEX(UnitBases,MATCH(F47,UnitNames,0)),"?"))</f>
        <v>0</v>
      </c>
      <c r="L47" s="17">
        <f>IF(D47="","",IFERROR(INDEX(Ingredients!$G$5:$G$304,MATCH(D47,Ingredients!$B$5:$B$304,0)),"Add to Ingredients"))</f>
        <v>0</v>
      </c>
      <c r="M47" s="25">
        <f>IF(D47="","",IFERROR(INDEX(Ingredients!$J$5:$J$304,MATCH(D47,Ingredients!$B$5:$B$304,0)),"Add to Ingredients"))</f>
        <v>0</v>
      </c>
      <c r="N47" s="25">
        <f>IF(OR(J47="",M47="",NOT(ISNUMBER(M47))),"",IF(K47&lt;&gt;L47,"",J47*M47))</f>
        <v>0</v>
      </c>
      <c r="O47" s="25">
        <f>IF(N47="","",IFERROR(N47/INDEX(Recipes!$G$5:$G$204,MATCH(B47,Recipes!$A$5:$A$204,0)),""))</f>
        <v>0</v>
      </c>
      <c r="P47" s="30">
        <f>IF(J47="","",IF(K47="each",J47,J47/100))</f>
        <v>0</v>
      </c>
      <c r="Q47" s="30">
        <f>IFERROR(IF(P47="","",P47*INDEX(Ingredients!$P$5:$P$304,MATCH(D47,Ingredients!$B$5:$B$304,0))),"")</f>
        <v>0</v>
      </c>
      <c r="R47" s="45">
        <f>IFERROR(IF(P47="","",P47*INDEX(Ingredients!$Q$5:$Q$304,MATCH(D47,Ingredients!$B$5:$B$304,0))),"")</f>
        <v>0</v>
      </c>
      <c r="S47" s="45">
        <f>IFERROR(IF(P47="","",P47*INDEX(Ingredients!$R$5:$R$304,MATCH(D47,Ingredients!$B$5:$B$304,0))),"")</f>
        <v>0</v>
      </c>
      <c r="T47" s="45">
        <f>IFERROR(IF(P47="","",P47*INDEX(Ingredients!$S$5:$S$304,MATCH(D47,Ingredients!$B$5:$B$304,0))),"")</f>
        <v>0</v>
      </c>
      <c r="U47" s="45">
        <f>IFERROR(IF(P47="","",P47*INDEX(Ingredients!$T$5:$T$304,MATCH(D47,Ingredients!$B$5:$B$304,0))),"")</f>
        <v>0</v>
      </c>
      <c r="V47" s="17">
        <f>IF(D47="","",IFERROR(INDEX(Ingredients!$W$5:$W$304,MATCH(D47,Ingredients!$B$5:$B$304,0)),"Add to Ingredients"))</f>
        <v>0</v>
      </c>
      <c r="W47" s="17">
        <f>IF(D47="","",IFERROR(INDEX(Ingredients!$C$5:$C$304,MATCH(D47,Ingredients!$B$5:$B$304,0)),"Add to Ingredients"))</f>
        <v>0</v>
      </c>
      <c r="X47" s="45">
        <f>IFERROR(INDEX(Recipes!$AT$5:$AT$204,MATCH(B47,Recipes!$A$5:$A$204,0)),0)</f>
        <v>0</v>
      </c>
      <c r="Y47" s="45">
        <f>IF(OR(J47="",X47=0),"",J47*X47)</f>
        <v>0</v>
      </c>
      <c r="Z47" s="17">
        <f>IF(D47="","",B47&amp;"#"&amp;COUNTIFS($B$5:B47,B47))</f>
        <v>0</v>
      </c>
      <c r="AA47" s="17">
        <f>IF(D47="","",B47&amp;"|"&amp;D47)</f>
        <v>0</v>
      </c>
      <c r="AB47" s="31">
        <f>IF(D47="","",IF(B47="","Add - which recipe?",IF(COUNTIFS(Ingredients!$B$5:$B$304,D47)=0,"Missing - not in the Ingredients tab",IF(E47="","Add - no quantity",IF(F47="","Add - no unit",IF(K47&lt;&gt;L47,"Check - recipe in "&amp;K47&amp;", priced in "&amp;L47,IF(COUNTIFS($AA$5:$AA$1204,AA47)&gt;1,"Duplicate - same ingredient twice","OK")))))))</f>
        <v>0</v>
      </c>
    </row>
    <row r="48" spans="1:28">
      <c r="A48" s="39">
        <f>IF(D48="","","RL-"&amp;TEXT(ROW()-4,"0000"))</f>
        <v>0</v>
      </c>
      <c r="B48" s="32" t="s">
        <v>929</v>
      </c>
      <c r="C48" s="17">
        <f>IF(B48="","",IFERROR(INDEX(Recipes!$B$5:$B$204,MATCH(B48,Recipes!$A$5:$A$204,0)),"Not found"))</f>
        <v>0</v>
      </c>
      <c r="D48" s="32" t="s">
        <v>894</v>
      </c>
      <c r="E48" s="38">
        <v>200</v>
      </c>
      <c r="F48" s="32" t="s">
        <v>668</v>
      </c>
      <c r="G48" s="32" t="s">
        <v>911</v>
      </c>
      <c r="H48" s="32" t="s">
        <v>157</v>
      </c>
      <c r="I48" s="40" t="s">
        <v>312</v>
      </c>
      <c r="J48" s="45">
        <f>IF(E48="","",IFERROR(E48*INDEX(UnitFactors,MATCH(F48,UnitNames,0)),""))</f>
        <v>0</v>
      </c>
      <c r="K48" s="17">
        <f>IF(F48="","",IFERROR(INDEX(UnitBases,MATCH(F48,UnitNames,0)),"?"))</f>
        <v>0</v>
      </c>
      <c r="L48" s="17">
        <f>IF(D48="","",IFERROR(INDEX(Ingredients!$G$5:$G$304,MATCH(D48,Ingredients!$B$5:$B$304,0)),"Add to Ingredients"))</f>
        <v>0</v>
      </c>
      <c r="M48" s="25">
        <f>IF(D48="","",IFERROR(INDEX(Ingredients!$J$5:$J$304,MATCH(D48,Ingredients!$B$5:$B$304,0)),"Add to Ingredients"))</f>
        <v>0</v>
      </c>
      <c r="N48" s="25">
        <f>IF(OR(J48="",M48="",NOT(ISNUMBER(M48))),"",IF(K48&lt;&gt;L48,"",J48*M48))</f>
        <v>0</v>
      </c>
      <c r="O48" s="25">
        <f>IF(N48="","",IFERROR(N48/INDEX(Recipes!$G$5:$G$204,MATCH(B48,Recipes!$A$5:$A$204,0)),""))</f>
        <v>0</v>
      </c>
      <c r="P48" s="30">
        <f>IF(J48="","",IF(K48="each",J48,J48/100))</f>
        <v>0</v>
      </c>
      <c r="Q48" s="30">
        <f>IFERROR(IF(P48="","",P48*INDEX(Ingredients!$P$5:$P$304,MATCH(D48,Ingredients!$B$5:$B$304,0))),"")</f>
        <v>0</v>
      </c>
      <c r="R48" s="45">
        <f>IFERROR(IF(P48="","",P48*INDEX(Ingredients!$Q$5:$Q$304,MATCH(D48,Ingredients!$B$5:$B$304,0))),"")</f>
        <v>0</v>
      </c>
      <c r="S48" s="45">
        <f>IFERROR(IF(P48="","",P48*INDEX(Ingredients!$R$5:$R$304,MATCH(D48,Ingredients!$B$5:$B$304,0))),"")</f>
        <v>0</v>
      </c>
      <c r="T48" s="45">
        <f>IFERROR(IF(P48="","",P48*INDEX(Ingredients!$S$5:$S$304,MATCH(D48,Ingredients!$B$5:$B$304,0))),"")</f>
        <v>0</v>
      </c>
      <c r="U48" s="45">
        <f>IFERROR(IF(P48="","",P48*INDEX(Ingredients!$T$5:$T$304,MATCH(D48,Ingredients!$B$5:$B$304,0))),"")</f>
        <v>0</v>
      </c>
      <c r="V48" s="17">
        <f>IF(D48="","",IFERROR(INDEX(Ingredients!$W$5:$W$304,MATCH(D48,Ingredients!$B$5:$B$304,0)),"Add to Ingredients"))</f>
        <v>0</v>
      </c>
      <c r="W48" s="17">
        <f>IF(D48="","",IFERROR(INDEX(Ingredients!$C$5:$C$304,MATCH(D48,Ingredients!$B$5:$B$304,0)),"Add to Ingredients"))</f>
        <v>0</v>
      </c>
      <c r="X48" s="45">
        <f>IFERROR(INDEX(Recipes!$AT$5:$AT$204,MATCH(B48,Recipes!$A$5:$A$204,0)),0)</f>
        <v>0</v>
      </c>
      <c r="Y48" s="45">
        <f>IF(OR(J48="",X48=0),"",J48*X48)</f>
        <v>0</v>
      </c>
      <c r="Z48" s="17">
        <f>IF(D48="","",B48&amp;"#"&amp;COUNTIFS($B$5:B48,B48))</f>
        <v>0</v>
      </c>
      <c r="AA48" s="17">
        <f>IF(D48="","",B48&amp;"|"&amp;D48)</f>
        <v>0</v>
      </c>
      <c r="AB48" s="31">
        <f>IF(D48="","",IF(B48="","Add - which recipe?",IF(COUNTIFS(Ingredients!$B$5:$B$304,D48)=0,"Missing - not in the Ingredients tab",IF(E48="","Add - no quantity",IF(F48="","Add - no unit",IF(K48&lt;&gt;L48,"Check - recipe in "&amp;K48&amp;", priced in "&amp;L48,IF(COUNTIFS($AA$5:$AA$1204,AA48)&gt;1,"Duplicate - same ingredient twice","OK")))))))</f>
        <v>0</v>
      </c>
    </row>
    <row r="49" spans="1:28">
      <c r="A49" s="39">
        <f>IF(D49="","","RL-"&amp;TEXT(ROW()-4,"0000"))</f>
        <v>0</v>
      </c>
      <c r="B49" s="32" t="s">
        <v>929</v>
      </c>
      <c r="C49" s="17">
        <f>IF(B49="","",IFERROR(INDEX(Recipes!$B$5:$B$204,MATCH(B49,Recipes!$A$5:$A$204,0)),"Not found"))</f>
        <v>0</v>
      </c>
      <c r="D49" s="32" t="s">
        <v>892</v>
      </c>
      <c r="E49" s="38">
        <v>2</v>
      </c>
      <c r="F49" s="32" t="s">
        <v>685</v>
      </c>
      <c r="G49" s="32" t="s">
        <v>931</v>
      </c>
      <c r="H49" s="32" t="s">
        <v>157</v>
      </c>
      <c r="I49" s="40" t="s">
        <v>312</v>
      </c>
      <c r="J49" s="45">
        <f>IF(E49="","",IFERROR(E49*INDEX(UnitFactors,MATCH(F49,UnitNames,0)),""))</f>
        <v>0</v>
      </c>
      <c r="K49" s="17">
        <f>IF(F49="","",IFERROR(INDEX(UnitBases,MATCH(F49,UnitNames,0)),"?"))</f>
        <v>0</v>
      </c>
      <c r="L49" s="17">
        <f>IF(D49="","",IFERROR(INDEX(Ingredients!$G$5:$G$304,MATCH(D49,Ingredients!$B$5:$B$304,0)),"Add to Ingredients"))</f>
        <v>0</v>
      </c>
      <c r="M49" s="25">
        <f>IF(D49="","",IFERROR(INDEX(Ingredients!$J$5:$J$304,MATCH(D49,Ingredients!$B$5:$B$304,0)),"Add to Ingredients"))</f>
        <v>0</v>
      </c>
      <c r="N49" s="25">
        <f>IF(OR(J49="",M49="",NOT(ISNUMBER(M49))),"",IF(K49&lt;&gt;L49,"",J49*M49))</f>
        <v>0</v>
      </c>
      <c r="O49" s="25">
        <f>IF(N49="","",IFERROR(N49/INDEX(Recipes!$G$5:$G$204,MATCH(B49,Recipes!$A$5:$A$204,0)),""))</f>
        <v>0</v>
      </c>
      <c r="P49" s="30">
        <f>IF(J49="","",IF(K49="each",J49,J49/100))</f>
        <v>0</v>
      </c>
      <c r="Q49" s="30">
        <f>IFERROR(IF(P49="","",P49*INDEX(Ingredients!$P$5:$P$304,MATCH(D49,Ingredients!$B$5:$B$304,0))),"")</f>
        <v>0</v>
      </c>
      <c r="R49" s="45">
        <f>IFERROR(IF(P49="","",P49*INDEX(Ingredients!$Q$5:$Q$304,MATCH(D49,Ingredients!$B$5:$B$304,0))),"")</f>
        <v>0</v>
      </c>
      <c r="S49" s="45">
        <f>IFERROR(IF(P49="","",P49*INDEX(Ingredients!$R$5:$R$304,MATCH(D49,Ingredients!$B$5:$B$304,0))),"")</f>
        <v>0</v>
      </c>
      <c r="T49" s="45">
        <f>IFERROR(IF(P49="","",P49*INDEX(Ingredients!$S$5:$S$304,MATCH(D49,Ingredients!$B$5:$B$304,0))),"")</f>
        <v>0</v>
      </c>
      <c r="U49" s="45">
        <f>IFERROR(IF(P49="","",P49*INDEX(Ingredients!$T$5:$T$304,MATCH(D49,Ingredients!$B$5:$B$304,0))),"")</f>
        <v>0</v>
      </c>
      <c r="V49" s="17">
        <f>IF(D49="","",IFERROR(INDEX(Ingredients!$W$5:$W$304,MATCH(D49,Ingredients!$B$5:$B$304,0)),"Add to Ingredients"))</f>
        <v>0</v>
      </c>
      <c r="W49" s="17">
        <f>IF(D49="","",IFERROR(INDEX(Ingredients!$C$5:$C$304,MATCH(D49,Ingredients!$B$5:$B$304,0)),"Add to Ingredients"))</f>
        <v>0</v>
      </c>
      <c r="X49" s="45">
        <f>IFERROR(INDEX(Recipes!$AT$5:$AT$204,MATCH(B49,Recipes!$A$5:$A$204,0)),0)</f>
        <v>0</v>
      </c>
      <c r="Y49" s="45">
        <f>IF(OR(J49="",X49=0),"",J49*X49)</f>
        <v>0</v>
      </c>
      <c r="Z49" s="17">
        <f>IF(D49="","",B49&amp;"#"&amp;COUNTIFS($B$5:B49,B49))</f>
        <v>0</v>
      </c>
      <c r="AA49" s="17">
        <f>IF(D49="","",B49&amp;"|"&amp;D49)</f>
        <v>0</v>
      </c>
      <c r="AB49" s="31">
        <f>IF(D49="","",IF(B49="","Add - which recipe?",IF(COUNTIFS(Ingredients!$B$5:$B$304,D49)=0,"Missing - not in the Ingredients tab",IF(E49="","Add - no quantity",IF(F49="","Add - no unit",IF(K49&lt;&gt;L49,"Check - recipe in "&amp;K49&amp;", priced in "&amp;L49,IF(COUNTIFS($AA$5:$AA$1204,AA49)&gt;1,"Duplicate - same ingredient twice","OK")))))))</f>
        <v>0</v>
      </c>
    </row>
    <row r="50" spans="1:28">
      <c r="A50" s="39">
        <f>IF(D50="","","RL-"&amp;TEXT(ROW()-4,"0000"))</f>
        <v>0</v>
      </c>
      <c r="B50" s="32" t="s">
        <v>929</v>
      </c>
      <c r="C50" s="17">
        <f>IF(B50="","",IFERROR(INDEX(Recipes!$B$5:$B$204,MATCH(B50,Recipes!$A$5:$A$204,0)),"Not found"))</f>
        <v>0</v>
      </c>
      <c r="D50" s="32" t="s">
        <v>932</v>
      </c>
      <c r="E50" s="38">
        <v>2</v>
      </c>
      <c r="F50" s="32" t="s">
        <v>677</v>
      </c>
      <c r="G50" s="32" t="s">
        <v>157</v>
      </c>
      <c r="H50" s="32" t="s">
        <v>157</v>
      </c>
      <c r="I50" s="40" t="s">
        <v>312</v>
      </c>
      <c r="J50" s="45">
        <f>IF(E50="","",IFERROR(E50*INDEX(UnitFactors,MATCH(F50,UnitNames,0)),""))</f>
        <v>0</v>
      </c>
      <c r="K50" s="17">
        <f>IF(F50="","",IFERROR(INDEX(UnitBases,MATCH(F50,UnitNames,0)),"?"))</f>
        <v>0</v>
      </c>
      <c r="L50" s="17">
        <f>IF(D50="","",IFERROR(INDEX(Ingredients!$G$5:$G$304,MATCH(D50,Ingredients!$B$5:$B$304,0)),"Add to Ingredients"))</f>
        <v>0</v>
      </c>
      <c r="M50" s="25">
        <f>IF(D50="","",IFERROR(INDEX(Ingredients!$J$5:$J$304,MATCH(D50,Ingredients!$B$5:$B$304,0)),"Add to Ingredients"))</f>
        <v>0</v>
      </c>
      <c r="N50" s="25">
        <f>IF(OR(J50="",M50="",NOT(ISNUMBER(M50))),"",IF(K50&lt;&gt;L50,"",J50*M50))</f>
        <v>0</v>
      </c>
      <c r="O50" s="25">
        <f>IF(N50="","",IFERROR(N50/INDEX(Recipes!$G$5:$G$204,MATCH(B50,Recipes!$A$5:$A$204,0)),""))</f>
        <v>0</v>
      </c>
      <c r="P50" s="30">
        <f>IF(J50="","",IF(K50="each",J50,J50/100))</f>
        <v>0</v>
      </c>
      <c r="Q50" s="30">
        <f>IFERROR(IF(P50="","",P50*INDEX(Ingredients!$P$5:$P$304,MATCH(D50,Ingredients!$B$5:$B$304,0))),"")</f>
        <v>0</v>
      </c>
      <c r="R50" s="45">
        <f>IFERROR(IF(P50="","",P50*INDEX(Ingredients!$Q$5:$Q$304,MATCH(D50,Ingredients!$B$5:$B$304,0))),"")</f>
        <v>0</v>
      </c>
      <c r="S50" s="45">
        <f>IFERROR(IF(P50="","",P50*INDEX(Ingredients!$R$5:$R$304,MATCH(D50,Ingredients!$B$5:$B$304,0))),"")</f>
        <v>0</v>
      </c>
      <c r="T50" s="45">
        <f>IFERROR(IF(P50="","",P50*INDEX(Ingredients!$S$5:$S$304,MATCH(D50,Ingredients!$B$5:$B$304,0))),"")</f>
        <v>0</v>
      </c>
      <c r="U50" s="45">
        <f>IFERROR(IF(P50="","",P50*INDEX(Ingredients!$T$5:$T$304,MATCH(D50,Ingredients!$B$5:$B$304,0))),"")</f>
        <v>0</v>
      </c>
      <c r="V50" s="17">
        <f>IF(D50="","",IFERROR(INDEX(Ingredients!$W$5:$W$304,MATCH(D50,Ingredients!$B$5:$B$304,0)),"Add to Ingredients"))</f>
        <v>0</v>
      </c>
      <c r="W50" s="17">
        <f>IF(D50="","",IFERROR(INDEX(Ingredients!$C$5:$C$304,MATCH(D50,Ingredients!$B$5:$B$304,0)),"Add to Ingredients"))</f>
        <v>0</v>
      </c>
      <c r="X50" s="45">
        <f>IFERROR(INDEX(Recipes!$AT$5:$AT$204,MATCH(B50,Recipes!$A$5:$A$204,0)),0)</f>
        <v>0</v>
      </c>
      <c r="Y50" s="45">
        <f>IF(OR(J50="",X50=0),"",J50*X50)</f>
        <v>0</v>
      </c>
      <c r="Z50" s="17">
        <f>IF(D50="","",B50&amp;"#"&amp;COUNTIFS($B$5:B50,B50))</f>
        <v>0</v>
      </c>
      <c r="AA50" s="17">
        <f>IF(D50="","",B50&amp;"|"&amp;D50)</f>
        <v>0</v>
      </c>
      <c r="AB50" s="31">
        <f>IF(D50="","",IF(B50="","Add - which recipe?",IF(COUNTIFS(Ingredients!$B$5:$B$304,D50)=0,"Missing - not in the Ingredients tab",IF(E50="","Add - no quantity",IF(F50="","Add - no unit",IF(K50&lt;&gt;L50,"Check - recipe in "&amp;K50&amp;", priced in "&amp;L50,IF(COUNTIFS($AA$5:$AA$1204,AA50)&gt;1,"Duplicate - same ingredient twice","OK")))))))</f>
        <v>0</v>
      </c>
    </row>
    <row r="51" spans="1:28">
      <c r="A51" s="39">
        <f>IF(D51="","","RL-"&amp;TEXT(ROW()-4,"0000"))</f>
        <v>0</v>
      </c>
      <c r="B51" s="32" t="s">
        <v>929</v>
      </c>
      <c r="C51" s="17">
        <f>IF(B51="","",IFERROR(INDEX(Recipes!$B$5:$B$204,MATCH(B51,Recipes!$A$5:$A$204,0)),"Not found"))</f>
        <v>0</v>
      </c>
      <c r="D51" s="32" t="s">
        <v>923</v>
      </c>
      <c r="E51" s="38">
        <v>400</v>
      </c>
      <c r="F51" s="32" t="s">
        <v>668</v>
      </c>
      <c r="G51" s="32" t="s">
        <v>157</v>
      </c>
      <c r="H51" s="32" t="s">
        <v>157</v>
      </c>
      <c r="I51" s="40" t="s">
        <v>312</v>
      </c>
      <c r="J51" s="45">
        <f>IF(E51="","",IFERROR(E51*INDEX(UnitFactors,MATCH(F51,UnitNames,0)),""))</f>
        <v>0</v>
      </c>
      <c r="K51" s="17">
        <f>IF(F51="","",IFERROR(INDEX(UnitBases,MATCH(F51,UnitNames,0)),"?"))</f>
        <v>0</v>
      </c>
      <c r="L51" s="17">
        <f>IF(D51="","",IFERROR(INDEX(Ingredients!$G$5:$G$304,MATCH(D51,Ingredients!$B$5:$B$304,0)),"Add to Ingredients"))</f>
        <v>0</v>
      </c>
      <c r="M51" s="25">
        <f>IF(D51="","",IFERROR(INDEX(Ingredients!$J$5:$J$304,MATCH(D51,Ingredients!$B$5:$B$304,0)),"Add to Ingredients"))</f>
        <v>0</v>
      </c>
      <c r="N51" s="25">
        <f>IF(OR(J51="",M51="",NOT(ISNUMBER(M51))),"",IF(K51&lt;&gt;L51,"",J51*M51))</f>
        <v>0</v>
      </c>
      <c r="O51" s="25">
        <f>IF(N51="","",IFERROR(N51/INDEX(Recipes!$G$5:$G$204,MATCH(B51,Recipes!$A$5:$A$204,0)),""))</f>
        <v>0</v>
      </c>
      <c r="P51" s="30">
        <f>IF(J51="","",IF(K51="each",J51,J51/100))</f>
        <v>0</v>
      </c>
      <c r="Q51" s="30">
        <f>IFERROR(IF(P51="","",P51*INDEX(Ingredients!$P$5:$P$304,MATCH(D51,Ingredients!$B$5:$B$304,0))),"")</f>
        <v>0</v>
      </c>
      <c r="R51" s="45">
        <f>IFERROR(IF(P51="","",P51*INDEX(Ingredients!$Q$5:$Q$304,MATCH(D51,Ingredients!$B$5:$B$304,0))),"")</f>
        <v>0</v>
      </c>
      <c r="S51" s="45">
        <f>IFERROR(IF(P51="","",P51*INDEX(Ingredients!$R$5:$R$304,MATCH(D51,Ingredients!$B$5:$B$304,0))),"")</f>
        <v>0</v>
      </c>
      <c r="T51" s="45">
        <f>IFERROR(IF(P51="","",P51*INDEX(Ingredients!$S$5:$S$304,MATCH(D51,Ingredients!$B$5:$B$304,0))),"")</f>
        <v>0</v>
      </c>
      <c r="U51" s="45">
        <f>IFERROR(IF(P51="","",P51*INDEX(Ingredients!$T$5:$T$304,MATCH(D51,Ingredients!$B$5:$B$304,0))),"")</f>
        <v>0</v>
      </c>
      <c r="V51" s="17">
        <f>IF(D51="","",IFERROR(INDEX(Ingredients!$W$5:$W$304,MATCH(D51,Ingredients!$B$5:$B$304,0)),"Add to Ingredients"))</f>
        <v>0</v>
      </c>
      <c r="W51" s="17">
        <f>IF(D51="","",IFERROR(INDEX(Ingredients!$C$5:$C$304,MATCH(D51,Ingredients!$B$5:$B$304,0)),"Add to Ingredients"))</f>
        <v>0</v>
      </c>
      <c r="X51" s="45">
        <f>IFERROR(INDEX(Recipes!$AT$5:$AT$204,MATCH(B51,Recipes!$A$5:$A$204,0)),0)</f>
        <v>0</v>
      </c>
      <c r="Y51" s="45">
        <f>IF(OR(J51="",X51=0),"",J51*X51)</f>
        <v>0</v>
      </c>
      <c r="Z51" s="17">
        <f>IF(D51="","",B51&amp;"#"&amp;COUNTIFS($B$5:B51,B51))</f>
        <v>0</v>
      </c>
      <c r="AA51" s="17">
        <f>IF(D51="","",B51&amp;"|"&amp;D51)</f>
        <v>0</v>
      </c>
      <c r="AB51" s="31">
        <f>IF(D51="","",IF(B51="","Add - which recipe?",IF(COUNTIFS(Ingredients!$B$5:$B$304,D51)=0,"Missing - not in the Ingredients tab",IF(E51="","Add - no quantity",IF(F51="","Add - no unit",IF(K51&lt;&gt;L51,"Check - recipe in "&amp;K51&amp;", priced in "&amp;L51,IF(COUNTIFS($AA$5:$AA$1204,AA51)&gt;1,"Duplicate - same ingredient twice","OK")))))))</f>
        <v>0</v>
      </c>
    </row>
    <row r="52" spans="1:28">
      <c r="A52" s="39">
        <f>IF(D52="","","RL-"&amp;TEXT(ROW()-4,"0000"))</f>
        <v>0</v>
      </c>
      <c r="B52" s="32" t="s">
        <v>933</v>
      </c>
      <c r="C52" s="17">
        <f>IF(B52="","",IFERROR(INDEX(Recipes!$B$5:$B$204,MATCH(B52,Recipes!$A$5:$A$204,0)),"Not found"))</f>
        <v>0</v>
      </c>
      <c r="D52" s="32" t="s">
        <v>899</v>
      </c>
      <c r="E52" s="38">
        <v>500</v>
      </c>
      <c r="F52" s="32" t="s">
        <v>668</v>
      </c>
      <c r="G52" s="32" t="s">
        <v>157</v>
      </c>
      <c r="H52" s="32" t="s">
        <v>157</v>
      </c>
      <c r="I52" s="40" t="s">
        <v>312</v>
      </c>
      <c r="J52" s="45">
        <f>IF(E52="","",IFERROR(E52*INDEX(UnitFactors,MATCH(F52,UnitNames,0)),""))</f>
        <v>0</v>
      </c>
      <c r="K52" s="17">
        <f>IF(F52="","",IFERROR(INDEX(UnitBases,MATCH(F52,UnitNames,0)),"?"))</f>
        <v>0</v>
      </c>
      <c r="L52" s="17">
        <f>IF(D52="","",IFERROR(INDEX(Ingredients!$G$5:$G$304,MATCH(D52,Ingredients!$B$5:$B$304,0)),"Add to Ingredients"))</f>
        <v>0</v>
      </c>
      <c r="M52" s="25">
        <f>IF(D52="","",IFERROR(INDEX(Ingredients!$J$5:$J$304,MATCH(D52,Ingredients!$B$5:$B$304,0)),"Add to Ingredients"))</f>
        <v>0</v>
      </c>
      <c r="N52" s="25">
        <f>IF(OR(J52="",M52="",NOT(ISNUMBER(M52))),"",IF(K52&lt;&gt;L52,"",J52*M52))</f>
        <v>0</v>
      </c>
      <c r="O52" s="25">
        <f>IF(N52="","",IFERROR(N52/INDEX(Recipes!$G$5:$G$204,MATCH(B52,Recipes!$A$5:$A$204,0)),""))</f>
        <v>0</v>
      </c>
      <c r="P52" s="30">
        <f>IF(J52="","",IF(K52="each",J52,J52/100))</f>
        <v>0</v>
      </c>
      <c r="Q52" s="30">
        <f>IFERROR(IF(P52="","",P52*INDEX(Ingredients!$P$5:$P$304,MATCH(D52,Ingredients!$B$5:$B$304,0))),"")</f>
        <v>0</v>
      </c>
      <c r="R52" s="45">
        <f>IFERROR(IF(P52="","",P52*INDEX(Ingredients!$Q$5:$Q$304,MATCH(D52,Ingredients!$B$5:$B$304,0))),"")</f>
        <v>0</v>
      </c>
      <c r="S52" s="45">
        <f>IFERROR(IF(P52="","",P52*INDEX(Ingredients!$R$5:$R$304,MATCH(D52,Ingredients!$B$5:$B$304,0))),"")</f>
        <v>0</v>
      </c>
      <c r="T52" s="45">
        <f>IFERROR(IF(P52="","",P52*INDEX(Ingredients!$S$5:$S$304,MATCH(D52,Ingredients!$B$5:$B$304,0))),"")</f>
        <v>0</v>
      </c>
      <c r="U52" s="45">
        <f>IFERROR(IF(P52="","",P52*INDEX(Ingredients!$T$5:$T$304,MATCH(D52,Ingredients!$B$5:$B$304,0))),"")</f>
        <v>0</v>
      </c>
      <c r="V52" s="17">
        <f>IF(D52="","",IFERROR(INDEX(Ingredients!$W$5:$W$304,MATCH(D52,Ingredients!$B$5:$B$304,0)),"Add to Ingredients"))</f>
        <v>0</v>
      </c>
      <c r="W52" s="17">
        <f>IF(D52="","",IFERROR(INDEX(Ingredients!$C$5:$C$304,MATCH(D52,Ingredients!$B$5:$B$304,0)),"Add to Ingredients"))</f>
        <v>0</v>
      </c>
      <c r="X52" s="45">
        <f>IFERROR(INDEX(Recipes!$AT$5:$AT$204,MATCH(B52,Recipes!$A$5:$A$204,0)),0)</f>
        <v>0</v>
      </c>
      <c r="Y52" s="45">
        <f>IF(OR(J52="",X52=0),"",J52*X52)</f>
        <v>0</v>
      </c>
      <c r="Z52" s="17">
        <f>IF(D52="","",B52&amp;"#"&amp;COUNTIFS($B$5:B52,B52))</f>
        <v>0</v>
      </c>
      <c r="AA52" s="17">
        <f>IF(D52="","",B52&amp;"|"&amp;D52)</f>
        <v>0</v>
      </c>
      <c r="AB52" s="31">
        <f>IF(D52="","",IF(B52="","Add - which recipe?",IF(COUNTIFS(Ingredients!$B$5:$B$304,D52)=0,"Missing - not in the Ingredients tab",IF(E52="","Add - no quantity",IF(F52="","Add - no unit",IF(K52&lt;&gt;L52,"Check - recipe in "&amp;K52&amp;", priced in "&amp;L52,IF(COUNTIFS($AA$5:$AA$1204,AA52)&gt;1,"Duplicate - same ingredient twice","OK")))))))</f>
        <v>0</v>
      </c>
    </row>
    <row r="53" spans="1:28">
      <c r="A53" s="39">
        <f>IF(D53="","","RL-"&amp;TEXT(ROW()-4,"0000"))</f>
        <v>0</v>
      </c>
      <c r="B53" s="32" t="s">
        <v>933</v>
      </c>
      <c r="C53" s="17">
        <f>IF(B53="","",IFERROR(INDEX(Recipes!$B$5:$B$204,MATCH(B53,Recipes!$A$5:$A$204,0)),"Not found"))</f>
        <v>0</v>
      </c>
      <c r="D53" s="32" t="s">
        <v>890</v>
      </c>
      <c r="E53" s="38">
        <v>1000</v>
      </c>
      <c r="F53" s="32" t="s">
        <v>668</v>
      </c>
      <c r="G53" s="32" t="s">
        <v>934</v>
      </c>
      <c r="H53" s="32" t="s">
        <v>157</v>
      </c>
      <c r="I53" s="40" t="s">
        <v>312</v>
      </c>
      <c r="J53" s="45">
        <f>IF(E53="","",IFERROR(E53*INDEX(UnitFactors,MATCH(F53,UnitNames,0)),""))</f>
        <v>0</v>
      </c>
      <c r="K53" s="17">
        <f>IF(F53="","",IFERROR(INDEX(UnitBases,MATCH(F53,UnitNames,0)),"?"))</f>
        <v>0</v>
      </c>
      <c r="L53" s="17">
        <f>IF(D53="","",IFERROR(INDEX(Ingredients!$G$5:$G$304,MATCH(D53,Ingredients!$B$5:$B$304,0)),"Add to Ingredients"))</f>
        <v>0</v>
      </c>
      <c r="M53" s="25">
        <f>IF(D53="","",IFERROR(INDEX(Ingredients!$J$5:$J$304,MATCH(D53,Ingredients!$B$5:$B$304,0)),"Add to Ingredients"))</f>
        <v>0</v>
      </c>
      <c r="N53" s="25">
        <f>IF(OR(J53="",M53="",NOT(ISNUMBER(M53))),"",IF(K53&lt;&gt;L53,"",J53*M53))</f>
        <v>0</v>
      </c>
      <c r="O53" s="25">
        <f>IF(N53="","",IFERROR(N53/INDEX(Recipes!$G$5:$G$204,MATCH(B53,Recipes!$A$5:$A$204,0)),""))</f>
        <v>0</v>
      </c>
      <c r="P53" s="30">
        <f>IF(J53="","",IF(K53="each",J53,J53/100))</f>
        <v>0</v>
      </c>
      <c r="Q53" s="30">
        <f>IFERROR(IF(P53="","",P53*INDEX(Ingredients!$P$5:$P$304,MATCH(D53,Ingredients!$B$5:$B$304,0))),"")</f>
        <v>0</v>
      </c>
      <c r="R53" s="45">
        <f>IFERROR(IF(P53="","",P53*INDEX(Ingredients!$Q$5:$Q$304,MATCH(D53,Ingredients!$B$5:$B$304,0))),"")</f>
        <v>0</v>
      </c>
      <c r="S53" s="45">
        <f>IFERROR(IF(P53="","",P53*INDEX(Ingredients!$R$5:$R$304,MATCH(D53,Ingredients!$B$5:$B$304,0))),"")</f>
        <v>0</v>
      </c>
      <c r="T53" s="45">
        <f>IFERROR(IF(P53="","",P53*INDEX(Ingredients!$S$5:$S$304,MATCH(D53,Ingredients!$B$5:$B$304,0))),"")</f>
        <v>0</v>
      </c>
      <c r="U53" s="45">
        <f>IFERROR(IF(P53="","",P53*INDEX(Ingredients!$T$5:$T$304,MATCH(D53,Ingredients!$B$5:$B$304,0))),"")</f>
        <v>0</v>
      </c>
      <c r="V53" s="17">
        <f>IF(D53="","",IFERROR(INDEX(Ingredients!$W$5:$W$304,MATCH(D53,Ingredients!$B$5:$B$304,0)),"Add to Ingredients"))</f>
        <v>0</v>
      </c>
      <c r="W53" s="17">
        <f>IF(D53="","",IFERROR(INDEX(Ingredients!$C$5:$C$304,MATCH(D53,Ingredients!$B$5:$B$304,0)),"Add to Ingredients"))</f>
        <v>0</v>
      </c>
      <c r="X53" s="45">
        <f>IFERROR(INDEX(Recipes!$AT$5:$AT$204,MATCH(B53,Recipes!$A$5:$A$204,0)),0)</f>
        <v>0</v>
      </c>
      <c r="Y53" s="45">
        <f>IF(OR(J53="",X53=0),"",J53*X53)</f>
        <v>0</v>
      </c>
      <c r="Z53" s="17">
        <f>IF(D53="","",B53&amp;"#"&amp;COUNTIFS($B$5:B53,B53))</f>
        <v>0</v>
      </c>
      <c r="AA53" s="17">
        <f>IF(D53="","",B53&amp;"|"&amp;D53)</f>
        <v>0</v>
      </c>
      <c r="AB53" s="31">
        <f>IF(D53="","",IF(B53="","Add - which recipe?",IF(COUNTIFS(Ingredients!$B$5:$B$304,D53)=0,"Missing - not in the Ingredients tab",IF(E53="","Add - no quantity",IF(F53="","Add - no unit",IF(K53&lt;&gt;L53,"Check - recipe in "&amp;K53&amp;", priced in "&amp;L53,IF(COUNTIFS($AA$5:$AA$1204,AA53)&gt;1,"Duplicate - same ingredient twice","OK")))))))</f>
        <v>0</v>
      </c>
    </row>
    <row r="54" spans="1:28">
      <c r="A54" s="39">
        <f>IF(D54="","","RL-"&amp;TEXT(ROW()-4,"0000"))</f>
        <v>0</v>
      </c>
      <c r="B54" s="32" t="s">
        <v>933</v>
      </c>
      <c r="C54" s="17">
        <f>IF(B54="","",IFERROR(INDEX(Recipes!$B$5:$B$204,MATCH(B54,Recipes!$A$5:$A$204,0)),"Not found"))</f>
        <v>0</v>
      </c>
      <c r="D54" s="32" t="s">
        <v>901</v>
      </c>
      <c r="E54" s="38">
        <v>300</v>
      </c>
      <c r="F54" s="32" t="s">
        <v>668</v>
      </c>
      <c r="G54" s="32" t="s">
        <v>931</v>
      </c>
      <c r="H54" s="32" t="s">
        <v>157</v>
      </c>
      <c r="I54" s="40" t="s">
        <v>312</v>
      </c>
      <c r="J54" s="45">
        <f>IF(E54="","",IFERROR(E54*INDEX(UnitFactors,MATCH(F54,UnitNames,0)),""))</f>
        <v>0</v>
      </c>
      <c r="K54" s="17">
        <f>IF(F54="","",IFERROR(INDEX(UnitBases,MATCH(F54,UnitNames,0)),"?"))</f>
        <v>0</v>
      </c>
      <c r="L54" s="17">
        <f>IF(D54="","",IFERROR(INDEX(Ingredients!$G$5:$G$304,MATCH(D54,Ingredients!$B$5:$B$304,0)),"Add to Ingredients"))</f>
        <v>0</v>
      </c>
      <c r="M54" s="25">
        <f>IF(D54="","",IFERROR(INDEX(Ingredients!$J$5:$J$304,MATCH(D54,Ingredients!$B$5:$B$304,0)),"Add to Ingredients"))</f>
        <v>0</v>
      </c>
      <c r="N54" s="25">
        <f>IF(OR(J54="",M54="",NOT(ISNUMBER(M54))),"",IF(K54&lt;&gt;L54,"",J54*M54))</f>
        <v>0</v>
      </c>
      <c r="O54" s="25">
        <f>IF(N54="","",IFERROR(N54/INDEX(Recipes!$G$5:$G$204,MATCH(B54,Recipes!$A$5:$A$204,0)),""))</f>
        <v>0</v>
      </c>
      <c r="P54" s="30">
        <f>IF(J54="","",IF(K54="each",J54,J54/100))</f>
        <v>0</v>
      </c>
      <c r="Q54" s="30">
        <f>IFERROR(IF(P54="","",P54*INDEX(Ingredients!$P$5:$P$304,MATCH(D54,Ingredients!$B$5:$B$304,0))),"")</f>
        <v>0</v>
      </c>
      <c r="R54" s="45">
        <f>IFERROR(IF(P54="","",P54*INDEX(Ingredients!$Q$5:$Q$304,MATCH(D54,Ingredients!$B$5:$B$304,0))),"")</f>
        <v>0</v>
      </c>
      <c r="S54" s="45">
        <f>IFERROR(IF(P54="","",P54*INDEX(Ingredients!$R$5:$R$304,MATCH(D54,Ingredients!$B$5:$B$304,0))),"")</f>
        <v>0</v>
      </c>
      <c r="T54" s="45">
        <f>IFERROR(IF(P54="","",P54*INDEX(Ingredients!$S$5:$S$304,MATCH(D54,Ingredients!$B$5:$B$304,0))),"")</f>
        <v>0</v>
      </c>
      <c r="U54" s="45">
        <f>IFERROR(IF(P54="","",P54*INDEX(Ingredients!$T$5:$T$304,MATCH(D54,Ingredients!$B$5:$B$304,0))),"")</f>
        <v>0</v>
      </c>
      <c r="V54" s="17">
        <f>IF(D54="","",IFERROR(INDEX(Ingredients!$W$5:$W$304,MATCH(D54,Ingredients!$B$5:$B$304,0)),"Add to Ingredients"))</f>
        <v>0</v>
      </c>
      <c r="W54" s="17">
        <f>IF(D54="","",IFERROR(INDEX(Ingredients!$C$5:$C$304,MATCH(D54,Ingredients!$B$5:$B$304,0)),"Add to Ingredients"))</f>
        <v>0</v>
      </c>
      <c r="X54" s="45">
        <f>IFERROR(INDEX(Recipes!$AT$5:$AT$204,MATCH(B54,Recipes!$A$5:$A$204,0)),0)</f>
        <v>0</v>
      </c>
      <c r="Y54" s="45">
        <f>IF(OR(J54="",X54=0),"",J54*X54)</f>
        <v>0</v>
      </c>
      <c r="Z54" s="17">
        <f>IF(D54="","",B54&amp;"#"&amp;COUNTIFS($B$5:B54,B54))</f>
        <v>0</v>
      </c>
      <c r="AA54" s="17">
        <f>IF(D54="","",B54&amp;"|"&amp;D54)</f>
        <v>0</v>
      </c>
      <c r="AB54" s="31">
        <f>IF(D54="","",IF(B54="","Add - which recipe?",IF(COUNTIFS(Ingredients!$B$5:$B$304,D54)=0,"Missing - not in the Ingredients tab",IF(E54="","Add - no quantity",IF(F54="","Add - no unit",IF(K54&lt;&gt;L54,"Check - recipe in "&amp;K54&amp;", priced in "&amp;L54,IF(COUNTIFS($AA$5:$AA$1204,AA54)&gt;1,"Duplicate - same ingredient twice","OK")))))))</f>
        <v>0</v>
      </c>
    </row>
    <row r="55" spans="1:28">
      <c r="A55" s="39">
        <f>IF(D55="","","RL-"&amp;TEXT(ROW()-4,"0000"))</f>
        <v>0</v>
      </c>
      <c r="B55" s="32" t="s">
        <v>933</v>
      </c>
      <c r="C55" s="17">
        <f>IF(B55="","",IFERROR(INDEX(Recipes!$B$5:$B$204,MATCH(B55,Recipes!$A$5:$A$204,0)),"Not found"))</f>
        <v>0</v>
      </c>
      <c r="D55" s="32" t="s">
        <v>935</v>
      </c>
      <c r="E55" s="38">
        <v>200</v>
      </c>
      <c r="F55" s="32" t="s">
        <v>668</v>
      </c>
      <c r="G55" s="32" t="s">
        <v>157</v>
      </c>
      <c r="H55" s="32" t="s">
        <v>157</v>
      </c>
      <c r="I55" s="40" t="s">
        <v>312</v>
      </c>
      <c r="J55" s="45">
        <f>IF(E55="","",IFERROR(E55*INDEX(UnitFactors,MATCH(F55,UnitNames,0)),""))</f>
        <v>0</v>
      </c>
      <c r="K55" s="17">
        <f>IF(F55="","",IFERROR(INDEX(UnitBases,MATCH(F55,UnitNames,0)),"?"))</f>
        <v>0</v>
      </c>
      <c r="L55" s="17">
        <f>IF(D55="","",IFERROR(INDEX(Ingredients!$G$5:$G$304,MATCH(D55,Ingredients!$B$5:$B$304,0)),"Add to Ingredients"))</f>
        <v>0</v>
      </c>
      <c r="M55" s="25">
        <f>IF(D55="","",IFERROR(INDEX(Ingredients!$J$5:$J$304,MATCH(D55,Ingredients!$B$5:$B$304,0)),"Add to Ingredients"))</f>
        <v>0</v>
      </c>
      <c r="N55" s="25">
        <f>IF(OR(J55="",M55="",NOT(ISNUMBER(M55))),"",IF(K55&lt;&gt;L55,"",J55*M55))</f>
        <v>0</v>
      </c>
      <c r="O55" s="25">
        <f>IF(N55="","",IFERROR(N55/INDEX(Recipes!$G$5:$G$204,MATCH(B55,Recipes!$A$5:$A$204,0)),""))</f>
        <v>0</v>
      </c>
      <c r="P55" s="30">
        <f>IF(J55="","",IF(K55="each",J55,J55/100))</f>
        <v>0</v>
      </c>
      <c r="Q55" s="30">
        <f>IFERROR(IF(P55="","",P55*INDEX(Ingredients!$P$5:$P$304,MATCH(D55,Ingredients!$B$5:$B$304,0))),"")</f>
        <v>0</v>
      </c>
      <c r="R55" s="45">
        <f>IFERROR(IF(P55="","",P55*INDEX(Ingredients!$Q$5:$Q$304,MATCH(D55,Ingredients!$B$5:$B$304,0))),"")</f>
        <v>0</v>
      </c>
      <c r="S55" s="45">
        <f>IFERROR(IF(P55="","",P55*INDEX(Ingredients!$R$5:$R$304,MATCH(D55,Ingredients!$B$5:$B$304,0))),"")</f>
        <v>0</v>
      </c>
      <c r="T55" s="45">
        <f>IFERROR(IF(P55="","",P55*INDEX(Ingredients!$S$5:$S$304,MATCH(D55,Ingredients!$B$5:$B$304,0))),"")</f>
        <v>0</v>
      </c>
      <c r="U55" s="45">
        <f>IFERROR(IF(P55="","",P55*INDEX(Ingredients!$T$5:$T$304,MATCH(D55,Ingredients!$B$5:$B$304,0))),"")</f>
        <v>0</v>
      </c>
      <c r="V55" s="17">
        <f>IF(D55="","",IFERROR(INDEX(Ingredients!$W$5:$W$304,MATCH(D55,Ingredients!$B$5:$B$304,0)),"Add to Ingredients"))</f>
        <v>0</v>
      </c>
      <c r="W55" s="17">
        <f>IF(D55="","",IFERROR(INDEX(Ingredients!$C$5:$C$304,MATCH(D55,Ingredients!$B$5:$B$304,0)),"Add to Ingredients"))</f>
        <v>0</v>
      </c>
      <c r="X55" s="45">
        <f>IFERROR(INDEX(Recipes!$AT$5:$AT$204,MATCH(B55,Recipes!$A$5:$A$204,0)),0)</f>
        <v>0</v>
      </c>
      <c r="Y55" s="45">
        <f>IF(OR(J55="",X55=0),"",J55*X55)</f>
        <v>0</v>
      </c>
      <c r="Z55" s="17">
        <f>IF(D55="","",B55&amp;"#"&amp;COUNTIFS($B$5:B55,B55))</f>
        <v>0</v>
      </c>
      <c r="AA55" s="17">
        <f>IF(D55="","",B55&amp;"|"&amp;D55)</f>
        <v>0</v>
      </c>
      <c r="AB55" s="31">
        <f>IF(D55="","",IF(B55="","Add - which recipe?",IF(COUNTIFS(Ingredients!$B$5:$B$304,D55)=0,"Missing - not in the Ingredients tab",IF(E55="","Add - no quantity",IF(F55="","Add - no unit",IF(K55&lt;&gt;L55,"Check - recipe in "&amp;K55&amp;", priced in "&amp;L55,IF(COUNTIFS($AA$5:$AA$1204,AA55)&gt;1,"Duplicate - same ingredient twice","OK")))))))</f>
        <v>0</v>
      </c>
    </row>
    <row r="56" spans="1:28">
      <c r="A56" s="39">
        <f>IF(D56="","","RL-"&amp;TEXT(ROW()-4,"0000"))</f>
        <v>0</v>
      </c>
      <c r="B56" s="32" t="s">
        <v>933</v>
      </c>
      <c r="C56" s="17">
        <f>IF(B56="","",IFERROR(INDEX(Recipes!$B$5:$B$204,MATCH(B56,Recipes!$A$5:$A$204,0)),"Not found"))</f>
        <v>0</v>
      </c>
      <c r="D56" s="32" t="s">
        <v>894</v>
      </c>
      <c r="E56" s="38">
        <v>150</v>
      </c>
      <c r="F56" s="32" t="s">
        <v>668</v>
      </c>
      <c r="G56" s="32" t="s">
        <v>911</v>
      </c>
      <c r="H56" s="32" t="s">
        <v>157</v>
      </c>
      <c r="I56" s="40" t="s">
        <v>312</v>
      </c>
      <c r="J56" s="45">
        <f>IF(E56="","",IFERROR(E56*INDEX(UnitFactors,MATCH(F56,UnitNames,0)),""))</f>
        <v>0</v>
      </c>
      <c r="K56" s="17">
        <f>IF(F56="","",IFERROR(INDEX(UnitBases,MATCH(F56,UnitNames,0)),"?"))</f>
        <v>0</v>
      </c>
      <c r="L56" s="17">
        <f>IF(D56="","",IFERROR(INDEX(Ingredients!$G$5:$G$304,MATCH(D56,Ingredients!$B$5:$B$304,0)),"Add to Ingredients"))</f>
        <v>0</v>
      </c>
      <c r="M56" s="25">
        <f>IF(D56="","",IFERROR(INDEX(Ingredients!$J$5:$J$304,MATCH(D56,Ingredients!$B$5:$B$304,0)),"Add to Ingredients"))</f>
        <v>0</v>
      </c>
      <c r="N56" s="25">
        <f>IF(OR(J56="",M56="",NOT(ISNUMBER(M56))),"",IF(K56&lt;&gt;L56,"",J56*M56))</f>
        <v>0</v>
      </c>
      <c r="O56" s="25">
        <f>IF(N56="","",IFERROR(N56/INDEX(Recipes!$G$5:$G$204,MATCH(B56,Recipes!$A$5:$A$204,0)),""))</f>
        <v>0</v>
      </c>
      <c r="P56" s="30">
        <f>IF(J56="","",IF(K56="each",J56,J56/100))</f>
        <v>0</v>
      </c>
      <c r="Q56" s="30">
        <f>IFERROR(IF(P56="","",P56*INDEX(Ingredients!$P$5:$P$304,MATCH(D56,Ingredients!$B$5:$B$304,0))),"")</f>
        <v>0</v>
      </c>
      <c r="R56" s="45">
        <f>IFERROR(IF(P56="","",P56*INDEX(Ingredients!$Q$5:$Q$304,MATCH(D56,Ingredients!$B$5:$B$304,0))),"")</f>
        <v>0</v>
      </c>
      <c r="S56" s="45">
        <f>IFERROR(IF(P56="","",P56*INDEX(Ingredients!$R$5:$R$304,MATCH(D56,Ingredients!$B$5:$B$304,0))),"")</f>
        <v>0</v>
      </c>
      <c r="T56" s="45">
        <f>IFERROR(IF(P56="","",P56*INDEX(Ingredients!$S$5:$S$304,MATCH(D56,Ingredients!$B$5:$B$304,0))),"")</f>
        <v>0</v>
      </c>
      <c r="U56" s="45">
        <f>IFERROR(IF(P56="","",P56*INDEX(Ingredients!$T$5:$T$304,MATCH(D56,Ingredients!$B$5:$B$304,0))),"")</f>
        <v>0</v>
      </c>
      <c r="V56" s="17">
        <f>IF(D56="","",IFERROR(INDEX(Ingredients!$W$5:$W$304,MATCH(D56,Ingredients!$B$5:$B$304,0)),"Add to Ingredients"))</f>
        <v>0</v>
      </c>
      <c r="W56" s="17">
        <f>IF(D56="","",IFERROR(INDEX(Ingredients!$C$5:$C$304,MATCH(D56,Ingredients!$B$5:$B$304,0)),"Add to Ingredients"))</f>
        <v>0</v>
      </c>
      <c r="X56" s="45">
        <f>IFERROR(INDEX(Recipes!$AT$5:$AT$204,MATCH(B56,Recipes!$A$5:$A$204,0)),0)</f>
        <v>0</v>
      </c>
      <c r="Y56" s="45">
        <f>IF(OR(J56="",X56=0),"",J56*X56)</f>
        <v>0</v>
      </c>
      <c r="Z56" s="17">
        <f>IF(D56="","",B56&amp;"#"&amp;COUNTIFS($B$5:B56,B56))</f>
        <v>0</v>
      </c>
      <c r="AA56" s="17">
        <f>IF(D56="","",B56&amp;"|"&amp;D56)</f>
        <v>0</v>
      </c>
      <c r="AB56" s="31">
        <f>IF(D56="","",IF(B56="","Add - which recipe?",IF(COUNTIFS(Ingredients!$B$5:$B$304,D56)=0,"Missing - not in the Ingredients tab",IF(E56="","Add - no quantity",IF(F56="","Add - no unit",IF(K56&lt;&gt;L56,"Check - recipe in "&amp;K56&amp;", priced in "&amp;L56,IF(COUNTIFS($AA$5:$AA$1204,AA56)&gt;1,"Duplicate - same ingredient twice","OK")))))))</f>
        <v>0</v>
      </c>
    </row>
    <row r="57" spans="1:28">
      <c r="A57" s="39">
        <f>IF(D57="","","RL-"&amp;TEXT(ROW()-4,"0000"))</f>
        <v>0</v>
      </c>
      <c r="B57" s="32" t="s">
        <v>933</v>
      </c>
      <c r="C57" s="17">
        <f>IF(B57="","",IFERROR(INDEX(Recipes!$B$5:$B$204,MATCH(B57,Recipes!$A$5:$A$204,0)),"Not found"))</f>
        <v>0</v>
      </c>
      <c r="D57" s="32" t="s">
        <v>936</v>
      </c>
      <c r="E57" s="38">
        <v>1</v>
      </c>
      <c r="F57" s="32" t="s">
        <v>685</v>
      </c>
      <c r="G57" s="32" t="s">
        <v>157</v>
      </c>
      <c r="H57" s="32" t="s">
        <v>157</v>
      </c>
      <c r="I57" s="40" t="s">
        <v>312</v>
      </c>
      <c r="J57" s="45">
        <f>IF(E57="","",IFERROR(E57*INDEX(UnitFactors,MATCH(F57,UnitNames,0)),""))</f>
        <v>0</v>
      </c>
      <c r="K57" s="17">
        <f>IF(F57="","",IFERROR(INDEX(UnitBases,MATCH(F57,UnitNames,0)),"?"))</f>
        <v>0</v>
      </c>
      <c r="L57" s="17">
        <f>IF(D57="","",IFERROR(INDEX(Ingredients!$G$5:$G$304,MATCH(D57,Ingredients!$B$5:$B$304,0)),"Add to Ingredients"))</f>
        <v>0</v>
      </c>
      <c r="M57" s="25">
        <f>IF(D57="","",IFERROR(INDEX(Ingredients!$J$5:$J$304,MATCH(D57,Ingredients!$B$5:$B$304,0)),"Add to Ingredients"))</f>
        <v>0</v>
      </c>
      <c r="N57" s="25">
        <f>IF(OR(J57="",M57="",NOT(ISNUMBER(M57))),"",IF(K57&lt;&gt;L57,"",J57*M57))</f>
        <v>0</v>
      </c>
      <c r="O57" s="25">
        <f>IF(N57="","",IFERROR(N57/INDEX(Recipes!$G$5:$G$204,MATCH(B57,Recipes!$A$5:$A$204,0)),""))</f>
        <v>0</v>
      </c>
      <c r="P57" s="30">
        <f>IF(J57="","",IF(K57="each",J57,J57/100))</f>
        <v>0</v>
      </c>
      <c r="Q57" s="30">
        <f>IFERROR(IF(P57="","",P57*INDEX(Ingredients!$P$5:$P$304,MATCH(D57,Ingredients!$B$5:$B$304,0))),"")</f>
        <v>0</v>
      </c>
      <c r="R57" s="45">
        <f>IFERROR(IF(P57="","",P57*INDEX(Ingredients!$Q$5:$Q$304,MATCH(D57,Ingredients!$B$5:$B$304,0))),"")</f>
        <v>0</v>
      </c>
      <c r="S57" s="45">
        <f>IFERROR(IF(P57="","",P57*INDEX(Ingredients!$R$5:$R$304,MATCH(D57,Ingredients!$B$5:$B$304,0))),"")</f>
        <v>0</v>
      </c>
      <c r="T57" s="45">
        <f>IFERROR(IF(P57="","",P57*INDEX(Ingredients!$S$5:$S$304,MATCH(D57,Ingredients!$B$5:$B$304,0))),"")</f>
        <v>0</v>
      </c>
      <c r="U57" s="45">
        <f>IFERROR(IF(P57="","",P57*INDEX(Ingredients!$T$5:$T$304,MATCH(D57,Ingredients!$B$5:$B$304,0))),"")</f>
        <v>0</v>
      </c>
      <c r="V57" s="17">
        <f>IF(D57="","",IFERROR(INDEX(Ingredients!$W$5:$W$304,MATCH(D57,Ingredients!$B$5:$B$304,0)),"Add to Ingredients"))</f>
        <v>0</v>
      </c>
      <c r="W57" s="17">
        <f>IF(D57="","",IFERROR(INDEX(Ingredients!$C$5:$C$304,MATCH(D57,Ingredients!$B$5:$B$304,0)),"Add to Ingredients"))</f>
        <v>0</v>
      </c>
      <c r="X57" s="45">
        <f>IFERROR(INDEX(Recipes!$AT$5:$AT$204,MATCH(B57,Recipes!$A$5:$A$204,0)),0)</f>
        <v>0</v>
      </c>
      <c r="Y57" s="45">
        <f>IF(OR(J57="",X57=0),"",J57*X57)</f>
        <v>0</v>
      </c>
      <c r="Z57" s="17">
        <f>IF(D57="","",B57&amp;"#"&amp;COUNTIFS($B$5:B57,B57))</f>
        <v>0</v>
      </c>
      <c r="AA57" s="17">
        <f>IF(D57="","",B57&amp;"|"&amp;D57)</f>
        <v>0</v>
      </c>
      <c r="AB57" s="31">
        <f>IF(D57="","",IF(B57="","Add - which recipe?",IF(COUNTIFS(Ingredients!$B$5:$B$304,D57)=0,"Missing - not in the Ingredients tab",IF(E57="","Add - no quantity",IF(F57="","Add - no unit",IF(K57&lt;&gt;L57,"Check - recipe in "&amp;K57&amp;", priced in "&amp;L57,IF(COUNTIFS($AA$5:$AA$1204,AA57)&gt;1,"Duplicate - same ingredient twice","OK")))))))</f>
        <v>0</v>
      </c>
    </row>
    <row r="58" spans="1:28">
      <c r="A58" s="39">
        <f>IF(D58="","","RL-"&amp;TEXT(ROW()-4,"0000"))</f>
        <v>0</v>
      </c>
      <c r="B58" s="32" t="s">
        <v>933</v>
      </c>
      <c r="C58" s="17">
        <f>IF(B58="","",IFERROR(INDEX(Recipes!$B$5:$B$204,MATCH(B58,Recipes!$A$5:$A$204,0)),"Not found"))</f>
        <v>0</v>
      </c>
      <c r="D58" s="32" t="s">
        <v>937</v>
      </c>
      <c r="E58" s="38">
        <v>40</v>
      </c>
      <c r="F58" s="32" t="s">
        <v>668</v>
      </c>
      <c r="G58" s="32" t="s">
        <v>938</v>
      </c>
      <c r="H58" s="32" t="s">
        <v>157</v>
      </c>
      <c r="I58" s="40" t="s">
        <v>312</v>
      </c>
      <c r="J58" s="45">
        <f>IF(E58="","",IFERROR(E58*INDEX(UnitFactors,MATCH(F58,UnitNames,0)),""))</f>
        <v>0</v>
      </c>
      <c r="K58" s="17">
        <f>IF(F58="","",IFERROR(INDEX(UnitBases,MATCH(F58,UnitNames,0)),"?"))</f>
        <v>0</v>
      </c>
      <c r="L58" s="17">
        <f>IF(D58="","",IFERROR(INDEX(Ingredients!$G$5:$G$304,MATCH(D58,Ingredients!$B$5:$B$304,0)),"Add to Ingredients"))</f>
        <v>0</v>
      </c>
      <c r="M58" s="25">
        <f>IF(D58="","",IFERROR(INDEX(Ingredients!$J$5:$J$304,MATCH(D58,Ingredients!$B$5:$B$304,0)),"Add to Ingredients"))</f>
        <v>0</v>
      </c>
      <c r="N58" s="25">
        <f>IF(OR(J58="",M58="",NOT(ISNUMBER(M58))),"",IF(K58&lt;&gt;L58,"",J58*M58))</f>
        <v>0</v>
      </c>
      <c r="O58" s="25">
        <f>IF(N58="","",IFERROR(N58/INDEX(Recipes!$G$5:$G$204,MATCH(B58,Recipes!$A$5:$A$204,0)),""))</f>
        <v>0</v>
      </c>
      <c r="P58" s="30">
        <f>IF(J58="","",IF(K58="each",J58,J58/100))</f>
        <v>0</v>
      </c>
      <c r="Q58" s="30">
        <f>IFERROR(IF(P58="","",P58*INDEX(Ingredients!$P$5:$P$304,MATCH(D58,Ingredients!$B$5:$B$304,0))),"")</f>
        <v>0</v>
      </c>
      <c r="R58" s="45">
        <f>IFERROR(IF(P58="","",P58*INDEX(Ingredients!$Q$5:$Q$304,MATCH(D58,Ingredients!$B$5:$B$304,0))),"")</f>
        <v>0</v>
      </c>
      <c r="S58" s="45">
        <f>IFERROR(IF(P58="","",P58*INDEX(Ingredients!$R$5:$R$304,MATCH(D58,Ingredients!$B$5:$B$304,0))),"")</f>
        <v>0</v>
      </c>
      <c r="T58" s="45">
        <f>IFERROR(IF(P58="","",P58*INDEX(Ingredients!$S$5:$S$304,MATCH(D58,Ingredients!$B$5:$B$304,0))),"")</f>
        <v>0</v>
      </c>
      <c r="U58" s="45">
        <f>IFERROR(IF(P58="","",P58*INDEX(Ingredients!$T$5:$T$304,MATCH(D58,Ingredients!$B$5:$B$304,0))),"")</f>
        <v>0</v>
      </c>
      <c r="V58" s="17">
        <f>IF(D58="","",IFERROR(INDEX(Ingredients!$W$5:$W$304,MATCH(D58,Ingredients!$B$5:$B$304,0)),"Add to Ingredients"))</f>
        <v>0</v>
      </c>
      <c r="W58" s="17">
        <f>IF(D58="","",IFERROR(INDEX(Ingredients!$C$5:$C$304,MATCH(D58,Ingredients!$B$5:$B$304,0)),"Add to Ingredients"))</f>
        <v>0</v>
      </c>
      <c r="X58" s="45">
        <f>IFERROR(INDEX(Recipes!$AT$5:$AT$204,MATCH(B58,Recipes!$A$5:$A$204,0)),0)</f>
        <v>0</v>
      </c>
      <c r="Y58" s="45">
        <f>IF(OR(J58="",X58=0),"",J58*X58)</f>
        <v>0</v>
      </c>
      <c r="Z58" s="17">
        <f>IF(D58="","",B58&amp;"#"&amp;COUNTIFS($B$5:B58,B58))</f>
        <v>0</v>
      </c>
      <c r="AA58" s="17">
        <f>IF(D58="","",B58&amp;"|"&amp;D58)</f>
        <v>0</v>
      </c>
      <c r="AB58" s="31">
        <f>IF(D58="","",IF(B58="","Add - which recipe?",IF(COUNTIFS(Ingredients!$B$5:$B$304,D58)=0,"Missing - not in the Ingredients tab",IF(E58="","Add - no quantity",IF(F58="","Add - no unit",IF(K58&lt;&gt;L58,"Check - recipe in "&amp;K58&amp;", priced in "&amp;L58,IF(COUNTIFS($AA$5:$AA$1204,AA58)&gt;1,"Duplicate - same ingredient twice","OK")))))))</f>
        <v>0</v>
      </c>
    </row>
    <row r="59" spans="1:28">
      <c r="A59" s="39">
        <f>IF(D59="","","RL-"&amp;TEXT(ROW()-4,"0000"))</f>
        <v>0</v>
      </c>
      <c r="B59" s="32" t="s">
        <v>939</v>
      </c>
      <c r="C59" s="17">
        <f>IF(B59="","",IFERROR(INDEX(Recipes!$B$5:$B$204,MATCH(B59,Recipes!$A$5:$A$204,0)),"Not found"))</f>
        <v>0</v>
      </c>
      <c r="D59" s="32" t="s">
        <v>916</v>
      </c>
      <c r="E59" s="38">
        <v>240</v>
      </c>
      <c r="F59" s="32" t="s">
        <v>668</v>
      </c>
      <c r="G59" s="32" t="s">
        <v>157</v>
      </c>
      <c r="H59" s="32" t="s">
        <v>157</v>
      </c>
      <c r="I59" s="40" t="s">
        <v>312</v>
      </c>
      <c r="J59" s="45">
        <f>IF(E59="","",IFERROR(E59*INDEX(UnitFactors,MATCH(F59,UnitNames,0)),""))</f>
        <v>0</v>
      </c>
      <c r="K59" s="17">
        <f>IF(F59="","",IFERROR(INDEX(UnitBases,MATCH(F59,UnitNames,0)),"?"))</f>
        <v>0</v>
      </c>
      <c r="L59" s="17">
        <f>IF(D59="","",IFERROR(INDEX(Ingredients!$G$5:$G$304,MATCH(D59,Ingredients!$B$5:$B$304,0)),"Add to Ingredients"))</f>
        <v>0</v>
      </c>
      <c r="M59" s="25">
        <f>IF(D59="","",IFERROR(INDEX(Ingredients!$J$5:$J$304,MATCH(D59,Ingredients!$B$5:$B$304,0)),"Add to Ingredients"))</f>
        <v>0</v>
      </c>
      <c r="N59" s="25">
        <f>IF(OR(J59="",M59="",NOT(ISNUMBER(M59))),"",IF(K59&lt;&gt;L59,"",J59*M59))</f>
        <v>0</v>
      </c>
      <c r="O59" s="25">
        <f>IF(N59="","",IFERROR(N59/INDEX(Recipes!$G$5:$G$204,MATCH(B59,Recipes!$A$5:$A$204,0)),""))</f>
        <v>0</v>
      </c>
      <c r="P59" s="30">
        <f>IF(J59="","",IF(K59="each",J59,J59/100))</f>
        <v>0</v>
      </c>
      <c r="Q59" s="30">
        <f>IFERROR(IF(P59="","",P59*INDEX(Ingredients!$P$5:$P$304,MATCH(D59,Ingredients!$B$5:$B$304,0))),"")</f>
        <v>0</v>
      </c>
      <c r="R59" s="45">
        <f>IFERROR(IF(P59="","",P59*INDEX(Ingredients!$Q$5:$Q$304,MATCH(D59,Ingredients!$B$5:$B$304,0))),"")</f>
        <v>0</v>
      </c>
      <c r="S59" s="45">
        <f>IFERROR(IF(P59="","",P59*INDEX(Ingredients!$R$5:$R$304,MATCH(D59,Ingredients!$B$5:$B$304,0))),"")</f>
        <v>0</v>
      </c>
      <c r="T59" s="45">
        <f>IFERROR(IF(P59="","",P59*INDEX(Ingredients!$S$5:$S$304,MATCH(D59,Ingredients!$B$5:$B$304,0))),"")</f>
        <v>0</v>
      </c>
      <c r="U59" s="45">
        <f>IFERROR(IF(P59="","",P59*INDEX(Ingredients!$T$5:$T$304,MATCH(D59,Ingredients!$B$5:$B$304,0))),"")</f>
        <v>0</v>
      </c>
      <c r="V59" s="17">
        <f>IF(D59="","",IFERROR(INDEX(Ingredients!$W$5:$W$304,MATCH(D59,Ingredients!$B$5:$B$304,0)),"Add to Ingredients"))</f>
        <v>0</v>
      </c>
      <c r="W59" s="17">
        <f>IF(D59="","",IFERROR(INDEX(Ingredients!$C$5:$C$304,MATCH(D59,Ingredients!$B$5:$B$304,0)),"Add to Ingredients"))</f>
        <v>0</v>
      </c>
      <c r="X59" s="45">
        <f>IFERROR(INDEX(Recipes!$AT$5:$AT$204,MATCH(B59,Recipes!$A$5:$A$204,0)),0)</f>
        <v>0</v>
      </c>
      <c r="Y59" s="45">
        <f>IF(OR(J59="",X59=0),"",J59*X59)</f>
        <v>0</v>
      </c>
      <c r="Z59" s="17">
        <f>IF(D59="","",B59&amp;"#"&amp;COUNTIFS($B$5:B59,B59))</f>
        <v>0</v>
      </c>
      <c r="AA59" s="17">
        <f>IF(D59="","",B59&amp;"|"&amp;D59)</f>
        <v>0</v>
      </c>
      <c r="AB59" s="31">
        <f>IF(D59="","",IF(B59="","Add - which recipe?",IF(COUNTIFS(Ingredients!$B$5:$B$304,D59)=0,"Missing - not in the Ingredients tab",IF(E59="","Add - no quantity",IF(F59="","Add - no unit",IF(K59&lt;&gt;L59,"Check - recipe in "&amp;K59&amp;", priced in "&amp;L59,IF(COUNTIFS($AA$5:$AA$1204,AA59)&gt;1,"Duplicate - same ingredient twice","OK")))))))</f>
        <v>0</v>
      </c>
    </row>
    <row r="60" spans="1:28">
      <c r="A60" s="39">
        <f>IF(D60="","","RL-"&amp;TEXT(ROW()-4,"0000"))</f>
        <v>0</v>
      </c>
      <c r="B60" s="32" t="s">
        <v>939</v>
      </c>
      <c r="C60" s="17">
        <f>IF(B60="","",IFERROR(INDEX(Recipes!$B$5:$B$204,MATCH(B60,Recipes!$A$5:$A$204,0)),"Not found"))</f>
        <v>0</v>
      </c>
      <c r="D60" s="32" t="s">
        <v>923</v>
      </c>
      <c r="E60" s="38">
        <v>150</v>
      </c>
      <c r="F60" s="32" t="s">
        <v>668</v>
      </c>
      <c r="G60" s="32" t="s">
        <v>157</v>
      </c>
      <c r="H60" s="32" t="s">
        <v>157</v>
      </c>
      <c r="I60" s="40" t="s">
        <v>312</v>
      </c>
      <c r="J60" s="45">
        <f>IF(E60="","",IFERROR(E60*INDEX(UnitFactors,MATCH(F60,UnitNames,0)),""))</f>
        <v>0</v>
      </c>
      <c r="K60" s="17">
        <f>IF(F60="","",IFERROR(INDEX(UnitBases,MATCH(F60,UnitNames,0)),"?"))</f>
        <v>0</v>
      </c>
      <c r="L60" s="17">
        <f>IF(D60="","",IFERROR(INDEX(Ingredients!$G$5:$G$304,MATCH(D60,Ingredients!$B$5:$B$304,0)),"Add to Ingredients"))</f>
        <v>0</v>
      </c>
      <c r="M60" s="25">
        <f>IF(D60="","",IFERROR(INDEX(Ingredients!$J$5:$J$304,MATCH(D60,Ingredients!$B$5:$B$304,0)),"Add to Ingredients"))</f>
        <v>0</v>
      </c>
      <c r="N60" s="25">
        <f>IF(OR(J60="",M60="",NOT(ISNUMBER(M60))),"",IF(K60&lt;&gt;L60,"",J60*M60))</f>
        <v>0</v>
      </c>
      <c r="O60" s="25">
        <f>IF(N60="","",IFERROR(N60/INDEX(Recipes!$G$5:$G$204,MATCH(B60,Recipes!$A$5:$A$204,0)),""))</f>
        <v>0</v>
      </c>
      <c r="P60" s="30">
        <f>IF(J60="","",IF(K60="each",J60,J60/100))</f>
        <v>0</v>
      </c>
      <c r="Q60" s="30">
        <f>IFERROR(IF(P60="","",P60*INDEX(Ingredients!$P$5:$P$304,MATCH(D60,Ingredients!$B$5:$B$304,0))),"")</f>
        <v>0</v>
      </c>
      <c r="R60" s="45">
        <f>IFERROR(IF(P60="","",P60*INDEX(Ingredients!$Q$5:$Q$304,MATCH(D60,Ingredients!$B$5:$B$304,0))),"")</f>
        <v>0</v>
      </c>
      <c r="S60" s="45">
        <f>IFERROR(IF(P60="","",P60*INDEX(Ingredients!$R$5:$R$304,MATCH(D60,Ingredients!$B$5:$B$304,0))),"")</f>
        <v>0</v>
      </c>
      <c r="T60" s="45">
        <f>IFERROR(IF(P60="","",P60*INDEX(Ingredients!$S$5:$S$304,MATCH(D60,Ingredients!$B$5:$B$304,0))),"")</f>
        <v>0</v>
      </c>
      <c r="U60" s="45">
        <f>IFERROR(IF(P60="","",P60*INDEX(Ingredients!$T$5:$T$304,MATCH(D60,Ingredients!$B$5:$B$304,0))),"")</f>
        <v>0</v>
      </c>
      <c r="V60" s="17">
        <f>IF(D60="","",IFERROR(INDEX(Ingredients!$W$5:$W$304,MATCH(D60,Ingredients!$B$5:$B$304,0)),"Add to Ingredients"))</f>
        <v>0</v>
      </c>
      <c r="W60" s="17">
        <f>IF(D60="","",IFERROR(INDEX(Ingredients!$C$5:$C$304,MATCH(D60,Ingredients!$B$5:$B$304,0)),"Add to Ingredients"))</f>
        <v>0</v>
      </c>
      <c r="X60" s="45">
        <f>IFERROR(INDEX(Recipes!$AT$5:$AT$204,MATCH(B60,Recipes!$A$5:$A$204,0)),0)</f>
        <v>0</v>
      </c>
      <c r="Y60" s="45">
        <f>IF(OR(J60="",X60=0),"",J60*X60)</f>
        <v>0</v>
      </c>
      <c r="Z60" s="17">
        <f>IF(D60="","",B60&amp;"#"&amp;COUNTIFS($B$5:B60,B60))</f>
        <v>0</v>
      </c>
      <c r="AA60" s="17">
        <f>IF(D60="","",B60&amp;"|"&amp;D60)</f>
        <v>0</v>
      </c>
      <c r="AB60" s="31">
        <f>IF(D60="","",IF(B60="","Add - which recipe?",IF(COUNTIFS(Ingredients!$B$5:$B$304,D60)=0,"Missing - not in the Ingredients tab",IF(E60="","Add - no quantity",IF(F60="","Add - no unit",IF(K60&lt;&gt;L60,"Check - recipe in "&amp;K60&amp;", priced in "&amp;L60,IF(COUNTIFS($AA$5:$AA$1204,AA60)&gt;1,"Duplicate - same ingredient twice","OK")))))))</f>
        <v>0</v>
      </c>
    </row>
    <row r="61" spans="1:28">
      <c r="A61" s="39">
        <f>IF(D61="","","RL-"&amp;TEXT(ROW()-4,"0000"))</f>
        <v>0</v>
      </c>
      <c r="B61" s="32" t="s">
        <v>939</v>
      </c>
      <c r="C61" s="17">
        <f>IF(B61="","",IFERROR(INDEX(Recipes!$B$5:$B$204,MATCH(B61,Recipes!$A$5:$A$204,0)),"Not found"))</f>
        <v>0</v>
      </c>
      <c r="D61" s="32" t="s">
        <v>940</v>
      </c>
      <c r="E61" s="38">
        <v>3</v>
      </c>
      <c r="F61" s="32" t="s">
        <v>678</v>
      </c>
      <c r="G61" s="32" t="s">
        <v>157</v>
      </c>
      <c r="H61" s="32" t="s">
        <v>157</v>
      </c>
      <c r="I61" s="40" t="s">
        <v>312</v>
      </c>
      <c r="J61" s="45">
        <f>IF(E61="","",IFERROR(E61*INDEX(UnitFactors,MATCH(F61,UnitNames,0)),""))</f>
        <v>0</v>
      </c>
      <c r="K61" s="17">
        <f>IF(F61="","",IFERROR(INDEX(UnitBases,MATCH(F61,UnitNames,0)),"?"))</f>
        <v>0</v>
      </c>
      <c r="L61" s="17">
        <f>IF(D61="","",IFERROR(INDEX(Ingredients!$G$5:$G$304,MATCH(D61,Ingredients!$B$5:$B$304,0)),"Add to Ingredients"))</f>
        <v>0</v>
      </c>
      <c r="M61" s="25">
        <f>IF(D61="","",IFERROR(INDEX(Ingredients!$J$5:$J$304,MATCH(D61,Ingredients!$B$5:$B$304,0)),"Add to Ingredients"))</f>
        <v>0</v>
      </c>
      <c r="N61" s="25">
        <f>IF(OR(J61="",M61="",NOT(ISNUMBER(M61))),"",IF(K61&lt;&gt;L61,"",J61*M61))</f>
        <v>0</v>
      </c>
      <c r="O61" s="25">
        <f>IF(N61="","",IFERROR(N61/INDEX(Recipes!$G$5:$G$204,MATCH(B61,Recipes!$A$5:$A$204,0)),""))</f>
        <v>0</v>
      </c>
      <c r="P61" s="30">
        <f>IF(J61="","",IF(K61="each",J61,J61/100))</f>
        <v>0</v>
      </c>
      <c r="Q61" s="30">
        <f>IFERROR(IF(P61="","",P61*INDEX(Ingredients!$P$5:$P$304,MATCH(D61,Ingredients!$B$5:$B$304,0))),"")</f>
        <v>0</v>
      </c>
      <c r="R61" s="45">
        <f>IFERROR(IF(P61="","",P61*INDEX(Ingredients!$Q$5:$Q$304,MATCH(D61,Ingredients!$B$5:$B$304,0))),"")</f>
        <v>0</v>
      </c>
      <c r="S61" s="45">
        <f>IFERROR(IF(P61="","",P61*INDEX(Ingredients!$R$5:$R$304,MATCH(D61,Ingredients!$B$5:$B$304,0))),"")</f>
        <v>0</v>
      </c>
      <c r="T61" s="45">
        <f>IFERROR(IF(P61="","",P61*INDEX(Ingredients!$S$5:$S$304,MATCH(D61,Ingredients!$B$5:$B$304,0))),"")</f>
        <v>0</v>
      </c>
      <c r="U61" s="45">
        <f>IFERROR(IF(P61="","",P61*INDEX(Ingredients!$T$5:$T$304,MATCH(D61,Ingredients!$B$5:$B$304,0))),"")</f>
        <v>0</v>
      </c>
      <c r="V61" s="17">
        <f>IF(D61="","",IFERROR(INDEX(Ingredients!$W$5:$W$304,MATCH(D61,Ingredients!$B$5:$B$304,0)),"Add to Ingredients"))</f>
        <v>0</v>
      </c>
      <c r="W61" s="17">
        <f>IF(D61="","",IFERROR(INDEX(Ingredients!$C$5:$C$304,MATCH(D61,Ingredients!$B$5:$B$304,0)),"Add to Ingredients"))</f>
        <v>0</v>
      </c>
      <c r="X61" s="45">
        <f>IFERROR(INDEX(Recipes!$AT$5:$AT$204,MATCH(B61,Recipes!$A$5:$A$204,0)),0)</f>
        <v>0</v>
      </c>
      <c r="Y61" s="45">
        <f>IF(OR(J61="",X61=0),"",J61*X61)</f>
        <v>0</v>
      </c>
      <c r="Z61" s="17">
        <f>IF(D61="","",B61&amp;"#"&amp;COUNTIFS($B$5:B61,B61))</f>
        <v>0</v>
      </c>
      <c r="AA61" s="17">
        <f>IF(D61="","",B61&amp;"|"&amp;D61)</f>
        <v>0</v>
      </c>
      <c r="AB61" s="31">
        <f>IF(D61="","",IF(B61="","Add - which recipe?",IF(COUNTIFS(Ingredients!$B$5:$B$304,D61)=0,"Missing - not in the Ingredients tab",IF(E61="","Add - no quantity",IF(F61="","Add - no unit",IF(K61&lt;&gt;L61,"Check - recipe in "&amp;K61&amp;", priced in "&amp;L61,IF(COUNTIFS($AA$5:$AA$1204,AA61)&gt;1,"Duplicate - same ingredient twice","OK")))))))</f>
        <v>0</v>
      </c>
    </row>
    <row r="62" spans="1:28">
      <c r="A62" s="39">
        <f>IF(D62="","","RL-"&amp;TEXT(ROW()-4,"0000"))</f>
        <v>0</v>
      </c>
      <c r="B62" s="32" t="s">
        <v>939</v>
      </c>
      <c r="C62" s="17">
        <f>IF(B62="","",IFERROR(INDEX(Recipes!$B$5:$B$204,MATCH(B62,Recipes!$A$5:$A$204,0)),"Not found"))</f>
        <v>0</v>
      </c>
      <c r="D62" s="32" t="s">
        <v>941</v>
      </c>
      <c r="E62" s="38">
        <v>1</v>
      </c>
      <c r="F62" s="32" t="s">
        <v>678</v>
      </c>
      <c r="G62" s="32" t="s">
        <v>157</v>
      </c>
      <c r="H62" s="32" t="s">
        <v>157</v>
      </c>
      <c r="I62" s="40" t="s">
        <v>312</v>
      </c>
      <c r="J62" s="45">
        <f>IF(E62="","",IFERROR(E62*INDEX(UnitFactors,MATCH(F62,UnitNames,0)),""))</f>
        <v>0</v>
      </c>
      <c r="K62" s="17">
        <f>IF(F62="","",IFERROR(INDEX(UnitBases,MATCH(F62,UnitNames,0)),"?"))</f>
        <v>0</v>
      </c>
      <c r="L62" s="17">
        <f>IF(D62="","",IFERROR(INDEX(Ingredients!$G$5:$G$304,MATCH(D62,Ingredients!$B$5:$B$304,0)),"Add to Ingredients"))</f>
        <v>0</v>
      </c>
      <c r="M62" s="25">
        <f>IF(D62="","",IFERROR(INDEX(Ingredients!$J$5:$J$304,MATCH(D62,Ingredients!$B$5:$B$304,0)),"Add to Ingredients"))</f>
        <v>0</v>
      </c>
      <c r="N62" s="25">
        <f>IF(OR(J62="",M62="",NOT(ISNUMBER(M62))),"",IF(K62&lt;&gt;L62,"",J62*M62))</f>
        <v>0</v>
      </c>
      <c r="O62" s="25">
        <f>IF(N62="","",IFERROR(N62/INDEX(Recipes!$G$5:$G$204,MATCH(B62,Recipes!$A$5:$A$204,0)),""))</f>
        <v>0</v>
      </c>
      <c r="P62" s="30">
        <f>IF(J62="","",IF(K62="each",J62,J62/100))</f>
        <v>0</v>
      </c>
      <c r="Q62" s="30">
        <f>IFERROR(IF(P62="","",P62*INDEX(Ingredients!$P$5:$P$304,MATCH(D62,Ingredients!$B$5:$B$304,0))),"")</f>
        <v>0</v>
      </c>
      <c r="R62" s="45">
        <f>IFERROR(IF(P62="","",P62*INDEX(Ingredients!$Q$5:$Q$304,MATCH(D62,Ingredients!$B$5:$B$304,0))),"")</f>
        <v>0</v>
      </c>
      <c r="S62" s="45">
        <f>IFERROR(IF(P62="","",P62*INDEX(Ingredients!$R$5:$R$304,MATCH(D62,Ingredients!$B$5:$B$304,0))),"")</f>
        <v>0</v>
      </c>
      <c r="T62" s="45">
        <f>IFERROR(IF(P62="","",P62*INDEX(Ingredients!$S$5:$S$304,MATCH(D62,Ingredients!$B$5:$B$304,0))),"")</f>
        <v>0</v>
      </c>
      <c r="U62" s="45">
        <f>IFERROR(IF(P62="","",P62*INDEX(Ingredients!$T$5:$T$304,MATCH(D62,Ingredients!$B$5:$B$304,0))),"")</f>
        <v>0</v>
      </c>
      <c r="V62" s="17">
        <f>IF(D62="","",IFERROR(INDEX(Ingredients!$W$5:$W$304,MATCH(D62,Ingredients!$B$5:$B$304,0)),"Add to Ingredients"))</f>
        <v>0</v>
      </c>
      <c r="W62" s="17">
        <f>IF(D62="","",IFERROR(INDEX(Ingredients!$C$5:$C$304,MATCH(D62,Ingredients!$B$5:$B$304,0)),"Add to Ingredients"))</f>
        <v>0</v>
      </c>
      <c r="X62" s="45">
        <f>IFERROR(INDEX(Recipes!$AT$5:$AT$204,MATCH(B62,Recipes!$A$5:$A$204,0)),0)</f>
        <v>0</v>
      </c>
      <c r="Y62" s="45">
        <f>IF(OR(J62="",X62=0),"",J62*X62)</f>
        <v>0</v>
      </c>
      <c r="Z62" s="17">
        <f>IF(D62="","",B62&amp;"#"&amp;COUNTIFS($B$5:B62,B62))</f>
        <v>0</v>
      </c>
      <c r="AA62" s="17">
        <f>IF(D62="","",B62&amp;"|"&amp;D62)</f>
        <v>0</v>
      </c>
      <c r="AB62" s="31">
        <f>IF(D62="","",IF(B62="","Add - which recipe?",IF(COUNTIFS(Ingredients!$B$5:$B$304,D62)=0,"Missing - not in the Ingredients tab",IF(E62="","Add - no quantity",IF(F62="","Add - no unit",IF(K62&lt;&gt;L62,"Check - recipe in "&amp;K62&amp;", priced in "&amp;L62,IF(COUNTIFS($AA$5:$AA$1204,AA62)&gt;1,"Duplicate - same ingredient twice","OK")))))))</f>
        <v>0</v>
      </c>
    </row>
    <row r="63" spans="1:28">
      <c r="A63" s="39">
        <f>IF(D63="","","RL-"&amp;TEXT(ROW()-4,"0000"))</f>
        <v>0</v>
      </c>
      <c r="B63" s="32" t="s">
        <v>939</v>
      </c>
      <c r="C63" s="17">
        <f>IF(B63="","",IFERROR(INDEX(Recipes!$B$5:$B$204,MATCH(B63,Recipes!$A$5:$A$204,0)),"Not found"))</f>
        <v>0</v>
      </c>
      <c r="D63" s="32" t="s">
        <v>918</v>
      </c>
      <c r="E63" s="38">
        <v>150</v>
      </c>
      <c r="F63" s="32" t="s">
        <v>668</v>
      </c>
      <c r="G63" s="32" t="s">
        <v>157</v>
      </c>
      <c r="H63" s="32" t="s">
        <v>157</v>
      </c>
      <c r="I63" s="40" t="s">
        <v>312</v>
      </c>
      <c r="J63" s="45">
        <f>IF(E63="","",IFERROR(E63*INDEX(UnitFactors,MATCH(F63,UnitNames,0)),""))</f>
        <v>0</v>
      </c>
      <c r="K63" s="17">
        <f>IF(F63="","",IFERROR(INDEX(UnitBases,MATCH(F63,UnitNames,0)),"?"))</f>
        <v>0</v>
      </c>
      <c r="L63" s="17">
        <f>IF(D63="","",IFERROR(INDEX(Ingredients!$G$5:$G$304,MATCH(D63,Ingredients!$B$5:$B$304,0)),"Add to Ingredients"))</f>
        <v>0</v>
      </c>
      <c r="M63" s="25">
        <f>IF(D63="","",IFERROR(INDEX(Ingredients!$J$5:$J$304,MATCH(D63,Ingredients!$B$5:$B$304,0)),"Add to Ingredients"))</f>
        <v>0</v>
      </c>
      <c r="N63" s="25">
        <f>IF(OR(J63="",M63="",NOT(ISNUMBER(M63))),"",IF(K63&lt;&gt;L63,"",J63*M63))</f>
        <v>0</v>
      </c>
      <c r="O63" s="25">
        <f>IF(N63="","",IFERROR(N63/INDEX(Recipes!$G$5:$G$204,MATCH(B63,Recipes!$A$5:$A$204,0)),""))</f>
        <v>0</v>
      </c>
      <c r="P63" s="30">
        <f>IF(J63="","",IF(K63="each",J63,J63/100))</f>
        <v>0</v>
      </c>
      <c r="Q63" s="30">
        <f>IFERROR(IF(P63="","",P63*INDEX(Ingredients!$P$5:$P$304,MATCH(D63,Ingredients!$B$5:$B$304,0))),"")</f>
        <v>0</v>
      </c>
      <c r="R63" s="45">
        <f>IFERROR(IF(P63="","",P63*INDEX(Ingredients!$Q$5:$Q$304,MATCH(D63,Ingredients!$B$5:$B$304,0))),"")</f>
        <v>0</v>
      </c>
      <c r="S63" s="45">
        <f>IFERROR(IF(P63="","",P63*INDEX(Ingredients!$R$5:$R$304,MATCH(D63,Ingredients!$B$5:$B$304,0))),"")</f>
        <v>0</v>
      </c>
      <c r="T63" s="45">
        <f>IFERROR(IF(P63="","",P63*INDEX(Ingredients!$S$5:$S$304,MATCH(D63,Ingredients!$B$5:$B$304,0))),"")</f>
        <v>0</v>
      </c>
      <c r="U63" s="45">
        <f>IFERROR(IF(P63="","",P63*INDEX(Ingredients!$T$5:$T$304,MATCH(D63,Ingredients!$B$5:$B$304,0))),"")</f>
        <v>0</v>
      </c>
      <c r="V63" s="17">
        <f>IF(D63="","",IFERROR(INDEX(Ingredients!$W$5:$W$304,MATCH(D63,Ingredients!$B$5:$B$304,0)),"Add to Ingredients"))</f>
        <v>0</v>
      </c>
      <c r="W63" s="17">
        <f>IF(D63="","",IFERROR(INDEX(Ingredients!$C$5:$C$304,MATCH(D63,Ingredients!$B$5:$B$304,0)),"Add to Ingredients"))</f>
        <v>0</v>
      </c>
      <c r="X63" s="45">
        <f>IFERROR(INDEX(Recipes!$AT$5:$AT$204,MATCH(B63,Recipes!$A$5:$A$204,0)),0)</f>
        <v>0</v>
      </c>
      <c r="Y63" s="45">
        <f>IF(OR(J63="",X63=0),"",J63*X63)</f>
        <v>0</v>
      </c>
      <c r="Z63" s="17">
        <f>IF(D63="","",B63&amp;"#"&amp;COUNTIFS($B$5:B63,B63))</f>
        <v>0</v>
      </c>
      <c r="AA63" s="17">
        <f>IF(D63="","",B63&amp;"|"&amp;D63)</f>
        <v>0</v>
      </c>
      <c r="AB63" s="31">
        <f>IF(D63="","",IF(B63="","Add - which recipe?",IF(COUNTIFS(Ingredients!$B$5:$B$304,D63)=0,"Missing - not in the Ingredients tab",IF(E63="","Add - no quantity",IF(F63="","Add - no unit",IF(K63&lt;&gt;L63,"Check - recipe in "&amp;K63&amp;", priced in "&amp;L63,IF(COUNTIFS($AA$5:$AA$1204,AA63)&gt;1,"Duplicate - same ingredient twice","OK")))))))</f>
        <v>0</v>
      </c>
    </row>
    <row r="64" spans="1:28">
      <c r="A64" s="39">
        <f>IF(D64="","","RL-"&amp;TEXT(ROW()-4,"0000"))</f>
        <v>0</v>
      </c>
      <c r="B64" s="32" t="s">
        <v>942</v>
      </c>
      <c r="C64" s="17">
        <f>IF(B64="","",IFERROR(INDEX(Recipes!$B$5:$B$204,MATCH(B64,Recipes!$A$5:$A$204,0)),"Not found"))</f>
        <v>0</v>
      </c>
      <c r="D64" s="32" t="s">
        <v>943</v>
      </c>
      <c r="E64" s="38">
        <v>100</v>
      </c>
      <c r="F64" s="32" t="s">
        <v>668</v>
      </c>
      <c r="G64" s="32" t="s">
        <v>157</v>
      </c>
      <c r="H64" s="32" t="s">
        <v>157</v>
      </c>
      <c r="I64" s="40" t="s">
        <v>312</v>
      </c>
      <c r="J64" s="45">
        <f>IF(E64="","",IFERROR(E64*INDEX(UnitFactors,MATCH(F64,UnitNames,0)),""))</f>
        <v>0</v>
      </c>
      <c r="K64" s="17">
        <f>IF(F64="","",IFERROR(INDEX(UnitBases,MATCH(F64,UnitNames,0)),"?"))</f>
        <v>0</v>
      </c>
      <c r="L64" s="17">
        <f>IF(D64="","",IFERROR(INDEX(Ingredients!$G$5:$G$304,MATCH(D64,Ingredients!$B$5:$B$304,0)),"Add to Ingredients"))</f>
        <v>0</v>
      </c>
      <c r="M64" s="25">
        <f>IF(D64="","",IFERROR(INDEX(Ingredients!$J$5:$J$304,MATCH(D64,Ingredients!$B$5:$B$304,0)),"Add to Ingredients"))</f>
        <v>0</v>
      </c>
      <c r="N64" s="25">
        <f>IF(OR(J64="",M64="",NOT(ISNUMBER(M64))),"",IF(K64&lt;&gt;L64,"",J64*M64))</f>
        <v>0</v>
      </c>
      <c r="O64" s="25">
        <f>IF(N64="","",IFERROR(N64/INDEX(Recipes!$G$5:$G$204,MATCH(B64,Recipes!$A$5:$A$204,0)),""))</f>
        <v>0</v>
      </c>
      <c r="P64" s="30">
        <f>IF(J64="","",IF(K64="each",J64,J64/100))</f>
        <v>0</v>
      </c>
      <c r="Q64" s="30">
        <f>IFERROR(IF(P64="","",P64*INDEX(Ingredients!$P$5:$P$304,MATCH(D64,Ingredients!$B$5:$B$304,0))),"")</f>
        <v>0</v>
      </c>
      <c r="R64" s="45">
        <f>IFERROR(IF(P64="","",P64*INDEX(Ingredients!$Q$5:$Q$304,MATCH(D64,Ingredients!$B$5:$B$304,0))),"")</f>
        <v>0</v>
      </c>
      <c r="S64" s="45">
        <f>IFERROR(IF(P64="","",P64*INDEX(Ingredients!$R$5:$R$304,MATCH(D64,Ingredients!$B$5:$B$304,0))),"")</f>
        <v>0</v>
      </c>
      <c r="T64" s="45">
        <f>IFERROR(IF(P64="","",P64*INDEX(Ingredients!$S$5:$S$304,MATCH(D64,Ingredients!$B$5:$B$304,0))),"")</f>
        <v>0</v>
      </c>
      <c r="U64" s="45">
        <f>IFERROR(IF(P64="","",P64*INDEX(Ingredients!$T$5:$T$304,MATCH(D64,Ingredients!$B$5:$B$304,0))),"")</f>
        <v>0</v>
      </c>
      <c r="V64" s="17">
        <f>IF(D64="","",IFERROR(INDEX(Ingredients!$W$5:$W$304,MATCH(D64,Ingredients!$B$5:$B$304,0)),"Add to Ingredients"))</f>
        <v>0</v>
      </c>
      <c r="W64" s="17">
        <f>IF(D64="","",IFERROR(INDEX(Ingredients!$C$5:$C$304,MATCH(D64,Ingredients!$B$5:$B$304,0)),"Add to Ingredients"))</f>
        <v>0</v>
      </c>
      <c r="X64" s="45">
        <f>IFERROR(INDEX(Recipes!$AT$5:$AT$204,MATCH(B64,Recipes!$A$5:$A$204,0)),0)</f>
        <v>0</v>
      </c>
      <c r="Y64" s="45">
        <f>IF(OR(J64="",X64=0),"",J64*X64)</f>
        <v>0</v>
      </c>
      <c r="Z64" s="17">
        <f>IF(D64="","",B64&amp;"#"&amp;COUNTIFS($B$5:B64,B64))</f>
        <v>0</v>
      </c>
      <c r="AA64" s="17">
        <f>IF(D64="","",B64&amp;"|"&amp;D64)</f>
        <v>0</v>
      </c>
      <c r="AB64" s="31">
        <f>IF(D64="","",IF(B64="","Add - which recipe?",IF(COUNTIFS(Ingredients!$B$5:$B$304,D64)=0,"Missing - not in the Ingredients tab",IF(E64="","Add - no quantity",IF(F64="","Add - no unit",IF(K64&lt;&gt;L64,"Check - recipe in "&amp;K64&amp;", priced in "&amp;L64,IF(COUNTIFS($AA$5:$AA$1204,AA64)&gt;1,"Duplicate - same ingredient twice","OK")))))))</f>
        <v>0</v>
      </c>
    </row>
    <row r="65" spans="1:28">
      <c r="A65" s="39">
        <f>IF(D65="","","RL-"&amp;TEXT(ROW()-4,"0000"))</f>
        <v>0</v>
      </c>
      <c r="B65" s="32" t="s">
        <v>942</v>
      </c>
      <c r="C65" s="17">
        <f>IF(B65="","",IFERROR(INDEX(Recipes!$B$5:$B$204,MATCH(B65,Recipes!$A$5:$A$204,0)),"Not found"))</f>
        <v>0</v>
      </c>
      <c r="D65" s="32" t="s">
        <v>404</v>
      </c>
      <c r="E65" s="38">
        <v>300</v>
      </c>
      <c r="F65" s="32" t="s">
        <v>674</v>
      </c>
      <c r="G65" s="32" t="s">
        <v>157</v>
      </c>
      <c r="H65" s="32" t="s">
        <v>157</v>
      </c>
      <c r="I65" s="40" t="s">
        <v>312</v>
      </c>
      <c r="J65" s="45">
        <f>IF(E65="","",IFERROR(E65*INDEX(UnitFactors,MATCH(F65,UnitNames,0)),""))</f>
        <v>0</v>
      </c>
      <c r="K65" s="17">
        <f>IF(F65="","",IFERROR(INDEX(UnitBases,MATCH(F65,UnitNames,0)),"?"))</f>
        <v>0</v>
      </c>
      <c r="L65" s="17">
        <f>IF(D65="","",IFERROR(INDEX(Ingredients!$G$5:$G$304,MATCH(D65,Ingredients!$B$5:$B$304,0)),"Add to Ingredients"))</f>
        <v>0</v>
      </c>
      <c r="M65" s="25">
        <f>IF(D65="","",IFERROR(INDEX(Ingredients!$J$5:$J$304,MATCH(D65,Ingredients!$B$5:$B$304,0)),"Add to Ingredients"))</f>
        <v>0</v>
      </c>
      <c r="N65" s="25">
        <f>IF(OR(J65="",M65="",NOT(ISNUMBER(M65))),"",IF(K65&lt;&gt;L65,"",J65*M65))</f>
        <v>0</v>
      </c>
      <c r="O65" s="25">
        <f>IF(N65="","",IFERROR(N65/INDEX(Recipes!$G$5:$G$204,MATCH(B65,Recipes!$A$5:$A$204,0)),""))</f>
        <v>0</v>
      </c>
      <c r="P65" s="30">
        <f>IF(J65="","",IF(K65="each",J65,J65/100))</f>
        <v>0</v>
      </c>
      <c r="Q65" s="30">
        <f>IFERROR(IF(P65="","",P65*INDEX(Ingredients!$P$5:$P$304,MATCH(D65,Ingredients!$B$5:$B$304,0))),"")</f>
        <v>0</v>
      </c>
      <c r="R65" s="45">
        <f>IFERROR(IF(P65="","",P65*INDEX(Ingredients!$Q$5:$Q$304,MATCH(D65,Ingredients!$B$5:$B$304,0))),"")</f>
        <v>0</v>
      </c>
      <c r="S65" s="45">
        <f>IFERROR(IF(P65="","",P65*INDEX(Ingredients!$R$5:$R$304,MATCH(D65,Ingredients!$B$5:$B$304,0))),"")</f>
        <v>0</v>
      </c>
      <c r="T65" s="45">
        <f>IFERROR(IF(P65="","",P65*INDEX(Ingredients!$S$5:$S$304,MATCH(D65,Ingredients!$B$5:$B$304,0))),"")</f>
        <v>0</v>
      </c>
      <c r="U65" s="45">
        <f>IFERROR(IF(P65="","",P65*INDEX(Ingredients!$T$5:$T$304,MATCH(D65,Ingredients!$B$5:$B$304,0))),"")</f>
        <v>0</v>
      </c>
      <c r="V65" s="17">
        <f>IF(D65="","",IFERROR(INDEX(Ingredients!$W$5:$W$304,MATCH(D65,Ingredients!$B$5:$B$304,0)),"Add to Ingredients"))</f>
        <v>0</v>
      </c>
      <c r="W65" s="17">
        <f>IF(D65="","",IFERROR(INDEX(Ingredients!$C$5:$C$304,MATCH(D65,Ingredients!$B$5:$B$304,0)),"Add to Ingredients"))</f>
        <v>0</v>
      </c>
      <c r="X65" s="45">
        <f>IFERROR(INDEX(Recipes!$AT$5:$AT$204,MATCH(B65,Recipes!$A$5:$A$204,0)),0)</f>
        <v>0</v>
      </c>
      <c r="Y65" s="45">
        <f>IF(OR(J65="",X65=0),"",J65*X65)</f>
        <v>0</v>
      </c>
      <c r="Z65" s="17">
        <f>IF(D65="","",B65&amp;"#"&amp;COUNTIFS($B$5:B65,B65))</f>
        <v>0</v>
      </c>
      <c r="AA65" s="17">
        <f>IF(D65="","",B65&amp;"|"&amp;D65)</f>
        <v>0</v>
      </c>
      <c r="AB65" s="31">
        <f>IF(D65="","",IF(B65="","Add - which recipe?",IF(COUNTIFS(Ingredients!$B$5:$B$304,D65)=0,"Missing - not in the Ingredients tab",IF(E65="","Add - no quantity",IF(F65="","Add - no unit",IF(K65&lt;&gt;L65,"Check - recipe in "&amp;K65&amp;", priced in "&amp;L65,IF(COUNTIFS($AA$5:$AA$1204,AA65)&gt;1,"Duplicate - same ingredient twice","OK")))))))</f>
        <v>0</v>
      </c>
    </row>
    <row r="66" spans="1:28">
      <c r="A66" s="39">
        <f>IF(D66="","","RL-"&amp;TEXT(ROW()-4,"0000"))</f>
        <v>0</v>
      </c>
      <c r="B66" s="32" t="s">
        <v>942</v>
      </c>
      <c r="C66" s="17">
        <f>IF(B66="","",IFERROR(INDEX(Recipes!$B$5:$B$204,MATCH(B66,Recipes!$A$5:$A$204,0)),"Not found"))</f>
        <v>0</v>
      </c>
      <c r="D66" s="32" t="s">
        <v>944</v>
      </c>
      <c r="E66" s="38">
        <v>100</v>
      </c>
      <c r="F66" s="32" t="s">
        <v>668</v>
      </c>
      <c r="G66" s="32" t="s">
        <v>157</v>
      </c>
      <c r="H66" s="32" t="s">
        <v>157</v>
      </c>
      <c r="I66" s="40" t="s">
        <v>312</v>
      </c>
      <c r="J66" s="45">
        <f>IF(E66="","",IFERROR(E66*INDEX(UnitFactors,MATCH(F66,UnitNames,0)),""))</f>
        <v>0</v>
      </c>
      <c r="K66" s="17">
        <f>IF(F66="","",IFERROR(INDEX(UnitBases,MATCH(F66,UnitNames,0)),"?"))</f>
        <v>0</v>
      </c>
      <c r="L66" s="17">
        <f>IF(D66="","",IFERROR(INDEX(Ingredients!$G$5:$G$304,MATCH(D66,Ingredients!$B$5:$B$304,0)),"Add to Ingredients"))</f>
        <v>0</v>
      </c>
      <c r="M66" s="25">
        <f>IF(D66="","",IFERROR(INDEX(Ingredients!$J$5:$J$304,MATCH(D66,Ingredients!$B$5:$B$304,0)),"Add to Ingredients"))</f>
        <v>0</v>
      </c>
      <c r="N66" s="25">
        <f>IF(OR(J66="",M66="",NOT(ISNUMBER(M66))),"",IF(K66&lt;&gt;L66,"",J66*M66))</f>
        <v>0</v>
      </c>
      <c r="O66" s="25">
        <f>IF(N66="","",IFERROR(N66/INDEX(Recipes!$G$5:$G$204,MATCH(B66,Recipes!$A$5:$A$204,0)),""))</f>
        <v>0</v>
      </c>
      <c r="P66" s="30">
        <f>IF(J66="","",IF(K66="each",J66,J66/100))</f>
        <v>0</v>
      </c>
      <c r="Q66" s="30">
        <f>IFERROR(IF(P66="","",P66*INDEX(Ingredients!$P$5:$P$304,MATCH(D66,Ingredients!$B$5:$B$304,0))),"")</f>
        <v>0</v>
      </c>
      <c r="R66" s="45">
        <f>IFERROR(IF(P66="","",P66*INDEX(Ingredients!$Q$5:$Q$304,MATCH(D66,Ingredients!$B$5:$B$304,0))),"")</f>
        <v>0</v>
      </c>
      <c r="S66" s="45">
        <f>IFERROR(IF(P66="","",P66*INDEX(Ingredients!$R$5:$R$304,MATCH(D66,Ingredients!$B$5:$B$304,0))),"")</f>
        <v>0</v>
      </c>
      <c r="T66" s="45">
        <f>IFERROR(IF(P66="","",P66*INDEX(Ingredients!$S$5:$S$304,MATCH(D66,Ingredients!$B$5:$B$304,0))),"")</f>
        <v>0</v>
      </c>
      <c r="U66" s="45">
        <f>IFERROR(IF(P66="","",P66*INDEX(Ingredients!$T$5:$T$304,MATCH(D66,Ingredients!$B$5:$B$304,0))),"")</f>
        <v>0</v>
      </c>
      <c r="V66" s="17">
        <f>IF(D66="","",IFERROR(INDEX(Ingredients!$W$5:$W$304,MATCH(D66,Ingredients!$B$5:$B$304,0)),"Add to Ingredients"))</f>
        <v>0</v>
      </c>
      <c r="W66" s="17">
        <f>IF(D66="","",IFERROR(INDEX(Ingredients!$C$5:$C$304,MATCH(D66,Ingredients!$B$5:$B$304,0)),"Add to Ingredients"))</f>
        <v>0</v>
      </c>
      <c r="X66" s="45">
        <f>IFERROR(INDEX(Recipes!$AT$5:$AT$204,MATCH(B66,Recipes!$A$5:$A$204,0)),0)</f>
        <v>0</v>
      </c>
      <c r="Y66" s="45">
        <f>IF(OR(J66="",X66=0),"",J66*X66)</f>
        <v>0</v>
      </c>
      <c r="Z66" s="17">
        <f>IF(D66="","",B66&amp;"#"&amp;COUNTIFS($B$5:B66,B66))</f>
        <v>0</v>
      </c>
      <c r="AA66" s="17">
        <f>IF(D66="","",B66&amp;"|"&amp;D66)</f>
        <v>0</v>
      </c>
      <c r="AB66" s="31">
        <f>IF(D66="","",IF(B66="","Add - which recipe?",IF(COUNTIFS(Ingredients!$B$5:$B$304,D66)=0,"Missing - not in the Ingredients tab",IF(E66="","Add - no quantity",IF(F66="","Add - no unit",IF(K66&lt;&gt;L66,"Check - recipe in "&amp;K66&amp;", priced in "&amp;L66,IF(COUNTIFS($AA$5:$AA$1204,AA66)&gt;1,"Duplicate - same ingredient twice","OK")))))))</f>
        <v>0</v>
      </c>
    </row>
    <row r="67" spans="1:28">
      <c r="A67" s="39">
        <f>IF(D67="","","RL-"&amp;TEXT(ROW()-4,"0000"))</f>
        <v>0</v>
      </c>
      <c r="B67" s="32" t="s">
        <v>942</v>
      </c>
      <c r="C67" s="17">
        <f>IF(B67="","",IFERROR(INDEX(Recipes!$B$5:$B$204,MATCH(B67,Recipes!$A$5:$A$204,0)),"Not found"))</f>
        <v>0</v>
      </c>
      <c r="D67" s="32" t="s">
        <v>945</v>
      </c>
      <c r="E67" s="38">
        <v>100</v>
      </c>
      <c r="F67" s="32" t="s">
        <v>668</v>
      </c>
      <c r="G67" s="32" t="s">
        <v>157</v>
      </c>
      <c r="H67" s="32" t="s">
        <v>157</v>
      </c>
      <c r="I67" s="40" t="s">
        <v>312</v>
      </c>
      <c r="J67" s="45">
        <f>IF(E67="","",IFERROR(E67*INDEX(UnitFactors,MATCH(F67,UnitNames,0)),""))</f>
        <v>0</v>
      </c>
      <c r="K67" s="17">
        <f>IF(F67="","",IFERROR(INDEX(UnitBases,MATCH(F67,UnitNames,0)),"?"))</f>
        <v>0</v>
      </c>
      <c r="L67" s="17">
        <f>IF(D67="","",IFERROR(INDEX(Ingredients!$G$5:$G$304,MATCH(D67,Ingredients!$B$5:$B$304,0)),"Add to Ingredients"))</f>
        <v>0</v>
      </c>
      <c r="M67" s="25">
        <f>IF(D67="","",IFERROR(INDEX(Ingredients!$J$5:$J$304,MATCH(D67,Ingredients!$B$5:$B$304,0)),"Add to Ingredients"))</f>
        <v>0</v>
      </c>
      <c r="N67" s="25">
        <f>IF(OR(J67="",M67="",NOT(ISNUMBER(M67))),"",IF(K67&lt;&gt;L67,"",J67*M67))</f>
        <v>0</v>
      </c>
      <c r="O67" s="25">
        <f>IF(N67="","",IFERROR(N67/INDEX(Recipes!$G$5:$G$204,MATCH(B67,Recipes!$A$5:$A$204,0)),""))</f>
        <v>0</v>
      </c>
      <c r="P67" s="30">
        <f>IF(J67="","",IF(K67="each",J67,J67/100))</f>
        <v>0</v>
      </c>
      <c r="Q67" s="30">
        <f>IFERROR(IF(P67="","",P67*INDEX(Ingredients!$P$5:$P$304,MATCH(D67,Ingredients!$B$5:$B$304,0))),"")</f>
        <v>0</v>
      </c>
      <c r="R67" s="45">
        <f>IFERROR(IF(P67="","",P67*INDEX(Ingredients!$Q$5:$Q$304,MATCH(D67,Ingredients!$B$5:$B$304,0))),"")</f>
        <v>0</v>
      </c>
      <c r="S67" s="45">
        <f>IFERROR(IF(P67="","",P67*INDEX(Ingredients!$R$5:$R$304,MATCH(D67,Ingredients!$B$5:$B$304,0))),"")</f>
        <v>0</v>
      </c>
      <c r="T67" s="45">
        <f>IFERROR(IF(P67="","",P67*INDEX(Ingredients!$S$5:$S$304,MATCH(D67,Ingredients!$B$5:$B$304,0))),"")</f>
        <v>0</v>
      </c>
      <c r="U67" s="45">
        <f>IFERROR(IF(P67="","",P67*INDEX(Ingredients!$T$5:$T$304,MATCH(D67,Ingredients!$B$5:$B$304,0))),"")</f>
        <v>0</v>
      </c>
      <c r="V67" s="17">
        <f>IF(D67="","",IFERROR(INDEX(Ingredients!$W$5:$W$304,MATCH(D67,Ingredients!$B$5:$B$304,0)),"Add to Ingredients"))</f>
        <v>0</v>
      </c>
      <c r="W67" s="17">
        <f>IF(D67="","",IFERROR(INDEX(Ingredients!$C$5:$C$304,MATCH(D67,Ingredients!$B$5:$B$304,0)),"Add to Ingredients"))</f>
        <v>0</v>
      </c>
      <c r="X67" s="45">
        <f>IFERROR(INDEX(Recipes!$AT$5:$AT$204,MATCH(B67,Recipes!$A$5:$A$204,0)),0)</f>
        <v>0</v>
      </c>
      <c r="Y67" s="45">
        <f>IF(OR(J67="",X67=0),"",J67*X67)</f>
        <v>0</v>
      </c>
      <c r="Z67" s="17">
        <f>IF(D67="","",B67&amp;"#"&amp;COUNTIFS($B$5:B67,B67))</f>
        <v>0</v>
      </c>
      <c r="AA67" s="17">
        <f>IF(D67="","",B67&amp;"|"&amp;D67)</f>
        <v>0</v>
      </c>
      <c r="AB67" s="31">
        <f>IF(D67="","",IF(B67="","Add - which recipe?",IF(COUNTIFS(Ingredients!$B$5:$B$304,D67)=0,"Missing - not in the Ingredients tab",IF(E67="","Add - no quantity",IF(F67="","Add - no unit",IF(K67&lt;&gt;L67,"Check - recipe in "&amp;K67&amp;", priced in "&amp;L67,IF(COUNTIFS($AA$5:$AA$1204,AA67)&gt;1,"Duplicate - same ingredient twice","OK")))))))</f>
        <v>0</v>
      </c>
    </row>
    <row r="68" spans="1:28">
      <c r="A68" s="39">
        <f>IF(D68="","","RL-"&amp;TEXT(ROW()-4,"0000"))</f>
        <v>0</v>
      </c>
      <c r="B68" s="32" t="s">
        <v>942</v>
      </c>
      <c r="C68" s="17">
        <f>IF(B68="","",IFERROR(INDEX(Recipes!$B$5:$B$204,MATCH(B68,Recipes!$A$5:$A$204,0)),"Not found"))</f>
        <v>0</v>
      </c>
      <c r="D68" s="32" t="s">
        <v>941</v>
      </c>
      <c r="E68" s="38">
        <v>1</v>
      </c>
      <c r="F68" s="32" t="s">
        <v>678</v>
      </c>
      <c r="G68" s="32" t="s">
        <v>157</v>
      </c>
      <c r="H68" s="32" t="s">
        <v>157</v>
      </c>
      <c r="I68" s="40" t="s">
        <v>311</v>
      </c>
      <c r="J68" s="45">
        <f>IF(E68="","",IFERROR(E68*INDEX(UnitFactors,MATCH(F68,UnitNames,0)),""))</f>
        <v>0</v>
      </c>
      <c r="K68" s="17">
        <f>IF(F68="","",IFERROR(INDEX(UnitBases,MATCH(F68,UnitNames,0)),"?"))</f>
        <v>0</v>
      </c>
      <c r="L68" s="17">
        <f>IF(D68="","",IFERROR(INDEX(Ingredients!$G$5:$G$304,MATCH(D68,Ingredients!$B$5:$B$304,0)),"Add to Ingredients"))</f>
        <v>0</v>
      </c>
      <c r="M68" s="25">
        <f>IF(D68="","",IFERROR(INDEX(Ingredients!$J$5:$J$304,MATCH(D68,Ingredients!$B$5:$B$304,0)),"Add to Ingredients"))</f>
        <v>0</v>
      </c>
      <c r="N68" s="25">
        <f>IF(OR(J68="",M68="",NOT(ISNUMBER(M68))),"",IF(K68&lt;&gt;L68,"",J68*M68))</f>
        <v>0</v>
      </c>
      <c r="O68" s="25">
        <f>IF(N68="","",IFERROR(N68/INDEX(Recipes!$G$5:$G$204,MATCH(B68,Recipes!$A$5:$A$204,0)),""))</f>
        <v>0</v>
      </c>
      <c r="P68" s="30">
        <f>IF(J68="","",IF(K68="each",J68,J68/100))</f>
        <v>0</v>
      </c>
      <c r="Q68" s="30">
        <f>IFERROR(IF(P68="","",P68*INDEX(Ingredients!$P$5:$P$304,MATCH(D68,Ingredients!$B$5:$B$304,0))),"")</f>
        <v>0</v>
      </c>
      <c r="R68" s="45">
        <f>IFERROR(IF(P68="","",P68*INDEX(Ingredients!$Q$5:$Q$304,MATCH(D68,Ingredients!$B$5:$B$304,0))),"")</f>
        <v>0</v>
      </c>
      <c r="S68" s="45">
        <f>IFERROR(IF(P68="","",P68*INDEX(Ingredients!$R$5:$R$304,MATCH(D68,Ingredients!$B$5:$B$304,0))),"")</f>
        <v>0</v>
      </c>
      <c r="T68" s="45">
        <f>IFERROR(IF(P68="","",P68*INDEX(Ingredients!$S$5:$S$304,MATCH(D68,Ingredients!$B$5:$B$304,0))),"")</f>
        <v>0</v>
      </c>
      <c r="U68" s="45">
        <f>IFERROR(IF(P68="","",P68*INDEX(Ingredients!$T$5:$T$304,MATCH(D68,Ingredients!$B$5:$B$304,0))),"")</f>
        <v>0</v>
      </c>
      <c r="V68" s="17">
        <f>IF(D68="","",IFERROR(INDEX(Ingredients!$W$5:$W$304,MATCH(D68,Ingredients!$B$5:$B$304,0)),"Add to Ingredients"))</f>
        <v>0</v>
      </c>
      <c r="W68" s="17">
        <f>IF(D68="","",IFERROR(INDEX(Ingredients!$C$5:$C$304,MATCH(D68,Ingredients!$B$5:$B$304,0)),"Add to Ingredients"))</f>
        <v>0</v>
      </c>
      <c r="X68" s="45">
        <f>IFERROR(INDEX(Recipes!$AT$5:$AT$204,MATCH(B68,Recipes!$A$5:$A$204,0)),0)</f>
        <v>0</v>
      </c>
      <c r="Y68" s="45">
        <f>IF(OR(J68="",X68=0),"",J68*X68)</f>
        <v>0</v>
      </c>
      <c r="Z68" s="17">
        <f>IF(D68="","",B68&amp;"#"&amp;COUNTIFS($B$5:B68,B68))</f>
        <v>0</v>
      </c>
      <c r="AA68" s="17">
        <f>IF(D68="","",B68&amp;"|"&amp;D68)</f>
        <v>0</v>
      </c>
      <c r="AB68" s="31">
        <f>IF(D68="","",IF(B68="","Add - which recipe?",IF(COUNTIFS(Ingredients!$B$5:$B$304,D68)=0,"Missing - not in the Ingredients tab",IF(E68="","Add - no quantity",IF(F68="","Add - no unit",IF(K68&lt;&gt;L68,"Check - recipe in "&amp;K68&amp;", priced in "&amp;L68,IF(COUNTIFS($AA$5:$AA$1204,AA68)&gt;1,"Duplicate - same ingredient twice","OK")))))))</f>
        <v>0</v>
      </c>
    </row>
    <row r="69" spans="1:28">
      <c r="A69" s="39">
        <f>IF(D69="","","RL-"&amp;TEXT(ROW()-4,"0000"))</f>
        <v>0</v>
      </c>
      <c r="B69" s="32" t="s">
        <v>946</v>
      </c>
      <c r="C69" s="17">
        <f>IF(B69="","",IFERROR(INDEX(Recipes!$B$5:$B$204,MATCH(B69,Recipes!$A$5:$A$204,0)),"Not found"))</f>
        <v>0</v>
      </c>
      <c r="D69" s="32" t="s">
        <v>401</v>
      </c>
      <c r="E69" s="38">
        <v>4</v>
      </c>
      <c r="F69" s="32" t="s">
        <v>685</v>
      </c>
      <c r="G69" s="32" t="s">
        <v>947</v>
      </c>
      <c r="H69" s="32" t="s">
        <v>157</v>
      </c>
      <c r="I69" s="40" t="s">
        <v>312</v>
      </c>
      <c r="J69" s="45">
        <f>IF(E69="","",IFERROR(E69*INDEX(UnitFactors,MATCH(F69,UnitNames,0)),""))</f>
        <v>0</v>
      </c>
      <c r="K69" s="17">
        <f>IF(F69="","",IFERROR(INDEX(UnitBases,MATCH(F69,UnitNames,0)),"?"))</f>
        <v>0</v>
      </c>
      <c r="L69" s="17">
        <f>IF(D69="","",IFERROR(INDEX(Ingredients!$G$5:$G$304,MATCH(D69,Ingredients!$B$5:$B$304,0)),"Add to Ingredients"))</f>
        <v>0</v>
      </c>
      <c r="M69" s="25">
        <f>IF(D69="","",IFERROR(INDEX(Ingredients!$J$5:$J$304,MATCH(D69,Ingredients!$B$5:$B$304,0)),"Add to Ingredients"))</f>
        <v>0</v>
      </c>
      <c r="N69" s="25">
        <f>IF(OR(J69="",M69="",NOT(ISNUMBER(M69))),"",IF(K69&lt;&gt;L69,"",J69*M69))</f>
        <v>0</v>
      </c>
      <c r="O69" s="25">
        <f>IF(N69="","",IFERROR(N69/INDEX(Recipes!$G$5:$G$204,MATCH(B69,Recipes!$A$5:$A$204,0)),""))</f>
        <v>0</v>
      </c>
      <c r="P69" s="30">
        <f>IF(J69="","",IF(K69="each",J69,J69/100))</f>
        <v>0</v>
      </c>
      <c r="Q69" s="30">
        <f>IFERROR(IF(P69="","",P69*INDEX(Ingredients!$P$5:$P$304,MATCH(D69,Ingredients!$B$5:$B$304,0))),"")</f>
        <v>0</v>
      </c>
      <c r="R69" s="45">
        <f>IFERROR(IF(P69="","",P69*INDEX(Ingredients!$Q$5:$Q$304,MATCH(D69,Ingredients!$B$5:$B$304,0))),"")</f>
        <v>0</v>
      </c>
      <c r="S69" s="45">
        <f>IFERROR(IF(P69="","",P69*INDEX(Ingredients!$R$5:$R$304,MATCH(D69,Ingredients!$B$5:$B$304,0))),"")</f>
        <v>0</v>
      </c>
      <c r="T69" s="45">
        <f>IFERROR(IF(P69="","",P69*INDEX(Ingredients!$S$5:$S$304,MATCH(D69,Ingredients!$B$5:$B$304,0))),"")</f>
        <v>0</v>
      </c>
      <c r="U69" s="45">
        <f>IFERROR(IF(P69="","",P69*INDEX(Ingredients!$T$5:$T$304,MATCH(D69,Ingredients!$B$5:$B$304,0))),"")</f>
        <v>0</v>
      </c>
      <c r="V69" s="17">
        <f>IF(D69="","",IFERROR(INDEX(Ingredients!$W$5:$W$304,MATCH(D69,Ingredients!$B$5:$B$304,0)),"Add to Ingredients"))</f>
        <v>0</v>
      </c>
      <c r="W69" s="17">
        <f>IF(D69="","",IFERROR(INDEX(Ingredients!$C$5:$C$304,MATCH(D69,Ingredients!$B$5:$B$304,0)),"Add to Ingredients"))</f>
        <v>0</v>
      </c>
      <c r="X69" s="45">
        <f>IFERROR(INDEX(Recipes!$AT$5:$AT$204,MATCH(B69,Recipes!$A$5:$A$204,0)),0)</f>
        <v>0</v>
      </c>
      <c r="Y69" s="45">
        <f>IF(OR(J69="",X69=0),"",J69*X69)</f>
        <v>0</v>
      </c>
      <c r="Z69" s="17">
        <f>IF(D69="","",B69&amp;"#"&amp;COUNTIFS($B$5:B69,B69))</f>
        <v>0</v>
      </c>
      <c r="AA69" s="17">
        <f>IF(D69="","",B69&amp;"|"&amp;D69)</f>
        <v>0</v>
      </c>
      <c r="AB69" s="31">
        <f>IF(D69="","",IF(B69="","Add - which recipe?",IF(COUNTIFS(Ingredients!$B$5:$B$304,D69)=0,"Missing - not in the Ingredients tab",IF(E69="","Add - no quantity",IF(F69="","Add - no unit",IF(K69&lt;&gt;L69,"Check - recipe in "&amp;K69&amp;", priced in "&amp;L69,IF(COUNTIFS($AA$5:$AA$1204,AA69)&gt;1,"Duplicate - same ingredient twice","OK")))))))</f>
        <v>0</v>
      </c>
    </row>
    <row r="70" spans="1:28">
      <c r="A70" s="39">
        <f>IF(D70="","","RL-"&amp;TEXT(ROW()-4,"0000"))</f>
        <v>0</v>
      </c>
      <c r="B70" s="32" t="s">
        <v>946</v>
      </c>
      <c r="C70" s="17">
        <f>IF(B70="","",IFERROR(INDEX(Recipes!$B$5:$B$204,MATCH(B70,Recipes!$A$5:$A$204,0)),"Not found"))</f>
        <v>0</v>
      </c>
      <c r="D70" s="32" t="s">
        <v>948</v>
      </c>
      <c r="E70" s="38">
        <v>120</v>
      </c>
      <c r="F70" s="32" t="s">
        <v>668</v>
      </c>
      <c r="G70" s="32" t="s">
        <v>949</v>
      </c>
      <c r="H70" s="32" t="s">
        <v>157</v>
      </c>
      <c r="I70" s="40" t="s">
        <v>312</v>
      </c>
      <c r="J70" s="45">
        <f>IF(E70="","",IFERROR(E70*INDEX(UnitFactors,MATCH(F70,UnitNames,0)),""))</f>
        <v>0</v>
      </c>
      <c r="K70" s="17">
        <f>IF(F70="","",IFERROR(INDEX(UnitBases,MATCH(F70,UnitNames,0)),"?"))</f>
        <v>0</v>
      </c>
      <c r="L70" s="17">
        <f>IF(D70="","",IFERROR(INDEX(Ingredients!$G$5:$G$304,MATCH(D70,Ingredients!$B$5:$B$304,0)),"Add to Ingredients"))</f>
        <v>0</v>
      </c>
      <c r="M70" s="25">
        <f>IF(D70="","",IFERROR(INDEX(Ingredients!$J$5:$J$304,MATCH(D70,Ingredients!$B$5:$B$304,0)),"Add to Ingredients"))</f>
        <v>0</v>
      </c>
      <c r="N70" s="25">
        <f>IF(OR(J70="",M70="",NOT(ISNUMBER(M70))),"",IF(K70&lt;&gt;L70,"",J70*M70))</f>
        <v>0</v>
      </c>
      <c r="O70" s="25">
        <f>IF(N70="","",IFERROR(N70/INDEX(Recipes!$G$5:$G$204,MATCH(B70,Recipes!$A$5:$A$204,0)),""))</f>
        <v>0</v>
      </c>
      <c r="P70" s="30">
        <f>IF(J70="","",IF(K70="each",J70,J70/100))</f>
        <v>0</v>
      </c>
      <c r="Q70" s="30">
        <f>IFERROR(IF(P70="","",P70*INDEX(Ingredients!$P$5:$P$304,MATCH(D70,Ingredients!$B$5:$B$304,0))),"")</f>
        <v>0</v>
      </c>
      <c r="R70" s="45">
        <f>IFERROR(IF(P70="","",P70*INDEX(Ingredients!$Q$5:$Q$304,MATCH(D70,Ingredients!$B$5:$B$304,0))),"")</f>
        <v>0</v>
      </c>
      <c r="S70" s="45">
        <f>IFERROR(IF(P70="","",P70*INDEX(Ingredients!$R$5:$R$304,MATCH(D70,Ingredients!$B$5:$B$304,0))),"")</f>
        <v>0</v>
      </c>
      <c r="T70" s="45">
        <f>IFERROR(IF(P70="","",P70*INDEX(Ingredients!$S$5:$S$304,MATCH(D70,Ingredients!$B$5:$B$304,0))),"")</f>
        <v>0</v>
      </c>
      <c r="U70" s="45">
        <f>IFERROR(IF(P70="","",P70*INDEX(Ingredients!$T$5:$T$304,MATCH(D70,Ingredients!$B$5:$B$304,0))),"")</f>
        <v>0</v>
      </c>
      <c r="V70" s="17">
        <f>IF(D70="","",IFERROR(INDEX(Ingredients!$W$5:$W$304,MATCH(D70,Ingredients!$B$5:$B$304,0)),"Add to Ingredients"))</f>
        <v>0</v>
      </c>
      <c r="W70" s="17">
        <f>IF(D70="","",IFERROR(INDEX(Ingredients!$C$5:$C$304,MATCH(D70,Ingredients!$B$5:$B$304,0)),"Add to Ingredients"))</f>
        <v>0</v>
      </c>
      <c r="X70" s="45">
        <f>IFERROR(INDEX(Recipes!$AT$5:$AT$204,MATCH(B70,Recipes!$A$5:$A$204,0)),0)</f>
        <v>0</v>
      </c>
      <c r="Y70" s="45">
        <f>IF(OR(J70="",X70=0),"",J70*X70)</f>
        <v>0</v>
      </c>
      <c r="Z70" s="17">
        <f>IF(D70="","",B70&amp;"#"&amp;COUNTIFS($B$5:B70,B70))</f>
        <v>0</v>
      </c>
      <c r="AA70" s="17">
        <f>IF(D70="","",B70&amp;"|"&amp;D70)</f>
        <v>0</v>
      </c>
      <c r="AB70" s="31">
        <f>IF(D70="","",IF(B70="","Add - which recipe?",IF(COUNTIFS(Ingredients!$B$5:$B$304,D70)=0,"Missing - not in the Ingredients tab",IF(E70="","Add - no quantity",IF(F70="","Add - no unit",IF(K70&lt;&gt;L70,"Check - recipe in "&amp;K70&amp;", priced in "&amp;L70,IF(COUNTIFS($AA$5:$AA$1204,AA70)&gt;1,"Duplicate - same ingredient twice","OK")))))))</f>
        <v>0</v>
      </c>
    </row>
    <row r="71" spans="1:28">
      <c r="A71" s="39">
        <f>IF(D71="","","RL-"&amp;TEXT(ROW()-4,"0000"))</f>
        <v>0</v>
      </c>
      <c r="B71" s="32" t="s">
        <v>946</v>
      </c>
      <c r="C71" s="17">
        <f>IF(B71="","",IFERROR(INDEX(Recipes!$B$5:$B$204,MATCH(B71,Recipes!$A$5:$A$204,0)),"Not found"))</f>
        <v>0</v>
      </c>
      <c r="D71" s="32" t="s">
        <v>937</v>
      </c>
      <c r="E71" s="38">
        <v>20</v>
      </c>
      <c r="F71" s="32" t="s">
        <v>668</v>
      </c>
      <c r="G71" s="32" t="s">
        <v>157</v>
      </c>
      <c r="H71" s="32" t="s">
        <v>157</v>
      </c>
      <c r="I71" s="40" t="s">
        <v>312</v>
      </c>
      <c r="J71" s="45">
        <f>IF(E71="","",IFERROR(E71*INDEX(UnitFactors,MATCH(F71,UnitNames,0)),""))</f>
        <v>0</v>
      </c>
      <c r="K71" s="17">
        <f>IF(F71="","",IFERROR(INDEX(UnitBases,MATCH(F71,UnitNames,0)),"?"))</f>
        <v>0</v>
      </c>
      <c r="L71" s="17">
        <f>IF(D71="","",IFERROR(INDEX(Ingredients!$G$5:$G$304,MATCH(D71,Ingredients!$B$5:$B$304,0)),"Add to Ingredients"))</f>
        <v>0</v>
      </c>
      <c r="M71" s="25">
        <f>IF(D71="","",IFERROR(INDEX(Ingredients!$J$5:$J$304,MATCH(D71,Ingredients!$B$5:$B$304,0)),"Add to Ingredients"))</f>
        <v>0</v>
      </c>
      <c r="N71" s="25">
        <f>IF(OR(J71="",M71="",NOT(ISNUMBER(M71))),"",IF(K71&lt;&gt;L71,"",J71*M71))</f>
        <v>0</v>
      </c>
      <c r="O71" s="25">
        <f>IF(N71="","",IFERROR(N71/INDEX(Recipes!$G$5:$G$204,MATCH(B71,Recipes!$A$5:$A$204,0)),""))</f>
        <v>0</v>
      </c>
      <c r="P71" s="30">
        <f>IF(J71="","",IF(K71="each",J71,J71/100))</f>
        <v>0</v>
      </c>
      <c r="Q71" s="30">
        <f>IFERROR(IF(P71="","",P71*INDEX(Ingredients!$P$5:$P$304,MATCH(D71,Ingredients!$B$5:$B$304,0))),"")</f>
        <v>0</v>
      </c>
      <c r="R71" s="45">
        <f>IFERROR(IF(P71="","",P71*INDEX(Ingredients!$Q$5:$Q$304,MATCH(D71,Ingredients!$B$5:$B$304,0))),"")</f>
        <v>0</v>
      </c>
      <c r="S71" s="45">
        <f>IFERROR(IF(P71="","",P71*INDEX(Ingredients!$R$5:$R$304,MATCH(D71,Ingredients!$B$5:$B$304,0))),"")</f>
        <v>0</v>
      </c>
      <c r="T71" s="45">
        <f>IFERROR(IF(P71="","",P71*INDEX(Ingredients!$S$5:$S$304,MATCH(D71,Ingredients!$B$5:$B$304,0))),"")</f>
        <v>0</v>
      </c>
      <c r="U71" s="45">
        <f>IFERROR(IF(P71="","",P71*INDEX(Ingredients!$T$5:$T$304,MATCH(D71,Ingredients!$B$5:$B$304,0))),"")</f>
        <v>0</v>
      </c>
      <c r="V71" s="17">
        <f>IF(D71="","",IFERROR(INDEX(Ingredients!$W$5:$W$304,MATCH(D71,Ingredients!$B$5:$B$304,0)),"Add to Ingredients"))</f>
        <v>0</v>
      </c>
      <c r="W71" s="17">
        <f>IF(D71="","",IFERROR(INDEX(Ingredients!$C$5:$C$304,MATCH(D71,Ingredients!$B$5:$B$304,0)),"Add to Ingredients"))</f>
        <v>0</v>
      </c>
      <c r="X71" s="45">
        <f>IFERROR(INDEX(Recipes!$AT$5:$AT$204,MATCH(B71,Recipes!$A$5:$A$204,0)),0)</f>
        <v>0</v>
      </c>
      <c r="Y71" s="45">
        <f>IF(OR(J71="",X71=0),"",J71*X71)</f>
        <v>0</v>
      </c>
      <c r="Z71" s="17">
        <f>IF(D71="","",B71&amp;"#"&amp;COUNTIFS($B$5:B71,B71))</f>
        <v>0</v>
      </c>
      <c r="AA71" s="17">
        <f>IF(D71="","",B71&amp;"|"&amp;D71)</f>
        <v>0</v>
      </c>
      <c r="AB71" s="31">
        <f>IF(D71="","",IF(B71="","Add - which recipe?",IF(COUNTIFS(Ingredients!$B$5:$B$304,D71)=0,"Missing - not in the Ingredients tab",IF(E71="","Add - no quantity",IF(F71="","Add - no unit",IF(K71&lt;&gt;L71,"Check - recipe in "&amp;K71&amp;", priced in "&amp;L71,IF(COUNTIFS($AA$5:$AA$1204,AA71)&gt;1,"Duplicate - same ingredient twice","OK")))))))</f>
        <v>0</v>
      </c>
    </row>
    <row r="72" spans="1:28">
      <c r="A72" s="39">
        <f>IF(D72="","","RL-"&amp;TEXT(ROW()-4,"0000"))</f>
        <v>0</v>
      </c>
      <c r="B72" s="32" t="s">
        <v>946</v>
      </c>
      <c r="C72" s="17">
        <f>IF(B72="","",IFERROR(INDEX(Recipes!$B$5:$B$204,MATCH(B72,Recipes!$A$5:$A$204,0)),"Not found"))</f>
        <v>0</v>
      </c>
      <c r="D72" s="32" t="s">
        <v>404</v>
      </c>
      <c r="E72" s="38">
        <v>30</v>
      </c>
      <c r="F72" s="32" t="s">
        <v>674</v>
      </c>
      <c r="G72" s="32" t="s">
        <v>157</v>
      </c>
      <c r="H72" s="32" t="s">
        <v>157</v>
      </c>
      <c r="I72" s="40" t="s">
        <v>311</v>
      </c>
      <c r="J72" s="45">
        <f>IF(E72="","",IFERROR(E72*INDEX(UnitFactors,MATCH(F72,UnitNames,0)),""))</f>
        <v>0</v>
      </c>
      <c r="K72" s="17">
        <f>IF(F72="","",IFERROR(INDEX(UnitBases,MATCH(F72,UnitNames,0)),"?"))</f>
        <v>0</v>
      </c>
      <c r="L72" s="17">
        <f>IF(D72="","",IFERROR(INDEX(Ingredients!$G$5:$G$304,MATCH(D72,Ingredients!$B$5:$B$304,0)),"Add to Ingredients"))</f>
        <v>0</v>
      </c>
      <c r="M72" s="25">
        <f>IF(D72="","",IFERROR(INDEX(Ingredients!$J$5:$J$304,MATCH(D72,Ingredients!$B$5:$B$304,0)),"Add to Ingredients"))</f>
        <v>0</v>
      </c>
      <c r="N72" s="25">
        <f>IF(OR(J72="",M72="",NOT(ISNUMBER(M72))),"",IF(K72&lt;&gt;L72,"",J72*M72))</f>
        <v>0</v>
      </c>
      <c r="O72" s="25">
        <f>IF(N72="","",IFERROR(N72/INDEX(Recipes!$G$5:$G$204,MATCH(B72,Recipes!$A$5:$A$204,0)),""))</f>
        <v>0</v>
      </c>
      <c r="P72" s="30">
        <f>IF(J72="","",IF(K72="each",J72,J72/100))</f>
        <v>0</v>
      </c>
      <c r="Q72" s="30">
        <f>IFERROR(IF(P72="","",P72*INDEX(Ingredients!$P$5:$P$304,MATCH(D72,Ingredients!$B$5:$B$304,0))),"")</f>
        <v>0</v>
      </c>
      <c r="R72" s="45">
        <f>IFERROR(IF(P72="","",P72*INDEX(Ingredients!$Q$5:$Q$304,MATCH(D72,Ingredients!$B$5:$B$304,0))),"")</f>
        <v>0</v>
      </c>
      <c r="S72" s="45">
        <f>IFERROR(IF(P72="","",P72*INDEX(Ingredients!$R$5:$R$304,MATCH(D72,Ingredients!$B$5:$B$304,0))),"")</f>
        <v>0</v>
      </c>
      <c r="T72" s="45">
        <f>IFERROR(IF(P72="","",P72*INDEX(Ingredients!$S$5:$S$304,MATCH(D72,Ingredients!$B$5:$B$304,0))),"")</f>
        <v>0</v>
      </c>
      <c r="U72" s="45">
        <f>IFERROR(IF(P72="","",P72*INDEX(Ingredients!$T$5:$T$304,MATCH(D72,Ingredients!$B$5:$B$304,0))),"")</f>
        <v>0</v>
      </c>
      <c r="V72" s="17">
        <f>IF(D72="","",IFERROR(INDEX(Ingredients!$W$5:$W$304,MATCH(D72,Ingredients!$B$5:$B$304,0)),"Add to Ingredients"))</f>
        <v>0</v>
      </c>
      <c r="W72" s="17">
        <f>IF(D72="","",IFERROR(INDEX(Ingredients!$C$5:$C$304,MATCH(D72,Ingredients!$B$5:$B$304,0)),"Add to Ingredients"))</f>
        <v>0</v>
      </c>
      <c r="X72" s="45">
        <f>IFERROR(INDEX(Recipes!$AT$5:$AT$204,MATCH(B72,Recipes!$A$5:$A$204,0)),0)</f>
        <v>0</v>
      </c>
      <c r="Y72" s="45">
        <f>IF(OR(J72="",X72=0),"",J72*X72)</f>
        <v>0</v>
      </c>
      <c r="Z72" s="17">
        <f>IF(D72="","",B72&amp;"#"&amp;COUNTIFS($B$5:B72,B72))</f>
        <v>0</v>
      </c>
      <c r="AA72" s="17">
        <f>IF(D72="","",B72&amp;"|"&amp;D72)</f>
        <v>0</v>
      </c>
      <c r="AB72" s="31">
        <f>IF(D72="","",IF(B72="","Add - which recipe?",IF(COUNTIFS(Ingredients!$B$5:$B$304,D72)=0,"Missing - not in the Ingredients tab",IF(E72="","Add - no quantity",IF(F72="","Add - no unit",IF(K72&lt;&gt;L72,"Check - recipe in "&amp;K72&amp;", priced in "&amp;L72,IF(COUNTIFS($AA$5:$AA$1204,AA72)&gt;1,"Duplicate - same ingredient twice","OK")))))))</f>
        <v>0</v>
      </c>
    </row>
    <row r="73" spans="1:28">
      <c r="A73" s="39">
        <f>IF(D73="","","RL-"&amp;TEXT(ROW()-4,"0000"))</f>
        <v>0</v>
      </c>
      <c r="B73" s="32" t="s">
        <v>950</v>
      </c>
      <c r="C73" s="17">
        <f>IF(B73="","",IFERROR(INDEX(Recipes!$B$5:$B$204,MATCH(B73,Recipes!$A$5:$A$204,0)),"Not found"))</f>
        <v>0</v>
      </c>
      <c r="D73" s="32" t="s">
        <v>951</v>
      </c>
      <c r="E73" s="38">
        <v>200</v>
      </c>
      <c r="F73" s="32" t="s">
        <v>668</v>
      </c>
      <c r="G73" s="32" t="s">
        <v>157</v>
      </c>
      <c r="H73" s="32" t="s">
        <v>157</v>
      </c>
      <c r="I73" s="40" t="s">
        <v>312</v>
      </c>
      <c r="J73" s="45">
        <f>IF(E73="","",IFERROR(E73*INDEX(UnitFactors,MATCH(F73,UnitNames,0)),""))</f>
        <v>0</v>
      </c>
      <c r="K73" s="17">
        <f>IF(F73="","",IFERROR(INDEX(UnitBases,MATCH(F73,UnitNames,0)),"?"))</f>
        <v>0</v>
      </c>
      <c r="L73" s="17">
        <f>IF(D73="","",IFERROR(INDEX(Ingredients!$G$5:$G$304,MATCH(D73,Ingredients!$B$5:$B$304,0)),"Add to Ingredients"))</f>
        <v>0</v>
      </c>
      <c r="M73" s="25">
        <f>IF(D73="","",IFERROR(INDEX(Ingredients!$J$5:$J$304,MATCH(D73,Ingredients!$B$5:$B$304,0)),"Add to Ingredients"))</f>
        <v>0</v>
      </c>
      <c r="N73" s="25">
        <f>IF(OR(J73="",M73="",NOT(ISNUMBER(M73))),"",IF(K73&lt;&gt;L73,"",J73*M73))</f>
        <v>0</v>
      </c>
      <c r="O73" s="25">
        <f>IF(N73="","",IFERROR(N73/INDEX(Recipes!$G$5:$G$204,MATCH(B73,Recipes!$A$5:$A$204,0)),""))</f>
        <v>0</v>
      </c>
      <c r="P73" s="30">
        <f>IF(J73="","",IF(K73="each",J73,J73/100))</f>
        <v>0</v>
      </c>
      <c r="Q73" s="30">
        <f>IFERROR(IF(P73="","",P73*INDEX(Ingredients!$P$5:$P$304,MATCH(D73,Ingredients!$B$5:$B$304,0))),"")</f>
        <v>0</v>
      </c>
      <c r="R73" s="45">
        <f>IFERROR(IF(P73="","",P73*INDEX(Ingredients!$Q$5:$Q$304,MATCH(D73,Ingredients!$B$5:$B$304,0))),"")</f>
        <v>0</v>
      </c>
      <c r="S73" s="45">
        <f>IFERROR(IF(P73="","",P73*INDEX(Ingredients!$R$5:$R$304,MATCH(D73,Ingredients!$B$5:$B$304,0))),"")</f>
        <v>0</v>
      </c>
      <c r="T73" s="45">
        <f>IFERROR(IF(P73="","",P73*INDEX(Ingredients!$S$5:$S$304,MATCH(D73,Ingredients!$B$5:$B$304,0))),"")</f>
        <v>0</v>
      </c>
      <c r="U73" s="45">
        <f>IFERROR(IF(P73="","",P73*INDEX(Ingredients!$T$5:$T$304,MATCH(D73,Ingredients!$B$5:$B$304,0))),"")</f>
        <v>0</v>
      </c>
      <c r="V73" s="17">
        <f>IF(D73="","",IFERROR(INDEX(Ingredients!$W$5:$W$304,MATCH(D73,Ingredients!$B$5:$B$304,0)),"Add to Ingredients"))</f>
        <v>0</v>
      </c>
      <c r="W73" s="17">
        <f>IF(D73="","",IFERROR(INDEX(Ingredients!$C$5:$C$304,MATCH(D73,Ingredients!$B$5:$B$304,0)),"Add to Ingredients"))</f>
        <v>0</v>
      </c>
      <c r="X73" s="45">
        <f>IFERROR(INDEX(Recipes!$AT$5:$AT$204,MATCH(B73,Recipes!$A$5:$A$204,0)),0)</f>
        <v>0</v>
      </c>
      <c r="Y73" s="45">
        <f>IF(OR(J73="",X73=0),"",J73*X73)</f>
        <v>0</v>
      </c>
      <c r="Z73" s="17">
        <f>IF(D73="","",B73&amp;"#"&amp;COUNTIFS($B$5:B73,B73))</f>
        <v>0</v>
      </c>
      <c r="AA73" s="17">
        <f>IF(D73="","",B73&amp;"|"&amp;D73)</f>
        <v>0</v>
      </c>
      <c r="AB73" s="31">
        <f>IF(D73="","",IF(B73="","Add - which recipe?",IF(COUNTIFS(Ingredients!$B$5:$B$304,D73)=0,"Missing - not in the Ingredients tab",IF(E73="","Add - no quantity",IF(F73="","Add - no unit",IF(K73&lt;&gt;L73,"Check - recipe in "&amp;K73&amp;", priced in "&amp;L73,IF(COUNTIFS($AA$5:$AA$1204,AA73)&gt;1,"Duplicate - same ingredient twice","OK")))))))</f>
        <v>0</v>
      </c>
    </row>
    <row r="74" spans="1:28">
      <c r="A74" s="39">
        <f>IF(D74="","","RL-"&amp;TEXT(ROW()-4,"0000"))</f>
        <v>0</v>
      </c>
      <c r="B74" s="32" t="s">
        <v>950</v>
      </c>
      <c r="C74" s="17">
        <f>IF(B74="","",IFERROR(INDEX(Recipes!$B$5:$B$204,MATCH(B74,Recipes!$A$5:$A$204,0)),"Not found"))</f>
        <v>0</v>
      </c>
      <c r="D74" s="32" t="s">
        <v>952</v>
      </c>
      <c r="E74" s="38">
        <v>2</v>
      </c>
      <c r="F74" s="32" t="s">
        <v>685</v>
      </c>
      <c r="G74" s="32" t="s">
        <v>934</v>
      </c>
      <c r="H74" s="32" t="s">
        <v>157</v>
      </c>
      <c r="I74" s="40" t="s">
        <v>312</v>
      </c>
      <c r="J74" s="45">
        <f>IF(E74="","",IFERROR(E74*INDEX(UnitFactors,MATCH(F74,UnitNames,0)),""))</f>
        <v>0</v>
      </c>
      <c r="K74" s="17">
        <f>IF(F74="","",IFERROR(INDEX(UnitBases,MATCH(F74,UnitNames,0)),"?"))</f>
        <v>0</v>
      </c>
      <c r="L74" s="17">
        <f>IF(D74="","",IFERROR(INDEX(Ingredients!$G$5:$G$304,MATCH(D74,Ingredients!$B$5:$B$304,0)),"Add to Ingredients"))</f>
        <v>0</v>
      </c>
      <c r="M74" s="25">
        <f>IF(D74="","",IFERROR(INDEX(Ingredients!$J$5:$J$304,MATCH(D74,Ingredients!$B$5:$B$304,0)),"Add to Ingredients"))</f>
        <v>0</v>
      </c>
      <c r="N74" s="25">
        <f>IF(OR(J74="",M74="",NOT(ISNUMBER(M74))),"",IF(K74&lt;&gt;L74,"",J74*M74))</f>
        <v>0</v>
      </c>
      <c r="O74" s="25">
        <f>IF(N74="","",IFERROR(N74/INDEX(Recipes!$G$5:$G$204,MATCH(B74,Recipes!$A$5:$A$204,0)),""))</f>
        <v>0</v>
      </c>
      <c r="P74" s="30">
        <f>IF(J74="","",IF(K74="each",J74,J74/100))</f>
        <v>0</v>
      </c>
      <c r="Q74" s="30">
        <f>IFERROR(IF(P74="","",P74*INDEX(Ingredients!$P$5:$P$304,MATCH(D74,Ingredients!$B$5:$B$304,0))),"")</f>
        <v>0</v>
      </c>
      <c r="R74" s="45">
        <f>IFERROR(IF(P74="","",P74*INDEX(Ingredients!$Q$5:$Q$304,MATCH(D74,Ingredients!$B$5:$B$304,0))),"")</f>
        <v>0</v>
      </c>
      <c r="S74" s="45">
        <f>IFERROR(IF(P74="","",P74*INDEX(Ingredients!$R$5:$R$304,MATCH(D74,Ingredients!$B$5:$B$304,0))),"")</f>
        <v>0</v>
      </c>
      <c r="T74" s="45">
        <f>IFERROR(IF(P74="","",P74*INDEX(Ingredients!$S$5:$S$304,MATCH(D74,Ingredients!$B$5:$B$304,0))),"")</f>
        <v>0</v>
      </c>
      <c r="U74" s="45">
        <f>IFERROR(IF(P74="","",P74*INDEX(Ingredients!$T$5:$T$304,MATCH(D74,Ingredients!$B$5:$B$304,0))),"")</f>
        <v>0</v>
      </c>
      <c r="V74" s="17">
        <f>IF(D74="","",IFERROR(INDEX(Ingredients!$W$5:$W$304,MATCH(D74,Ingredients!$B$5:$B$304,0)),"Add to Ingredients"))</f>
        <v>0</v>
      </c>
      <c r="W74" s="17">
        <f>IF(D74="","",IFERROR(INDEX(Ingredients!$C$5:$C$304,MATCH(D74,Ingredients!$B$5:$B$304,0)),"Add to Ingredients"))</f>
        <v>0</v>
      </c>
      <c r="X74" s="45">
        <f>IFERROR(INDEX(Recipes!$AT$5:$AT$204,MATCH(B74,Recipes!$A$5:$A$204,0)),0)</f>
        <v>0</v>
      </c>
      <c r="Y74" s="45">
        <f>IF(OR(J74="",X74=0),"",J74*X74)</f>
        <v>0</v>
      </c>
      <c r="Z74" s="17">
        <f>IF(D74="","",B74&amp;"#"&amp;COUNTIFS($B$5:B74,B74))</f>
        <v>0</v>
      </c>
      <c r="AA74" s="17">
        <f>IF(D74="","",B74&amp;"|"&amp;D74)</f>
        <v>0</v>
      </c>
      <c r="AB74" s="31">
        <f>IF(D74="","",IF(B74="","Add - which recipe?",IF(COUNTIFS(Ingredients!$B$5:$B$304,D74)=0,"Missing - not in the Ingredients tab",IF(E74="","Add - no quantity",IF(F74="","Add - no unit",IF(K74&lt;&gt;L74,"Check - recipe in "&amp;K74&amp;", priced in "&amp;L74,IF(COUNTIFS($AA$5:$AA$1204,AA74)&gt;1,"Duplicate - same ingredient twice","OK")))))))</f>
        <v>0</v>
      </c>
    </row>
    <row r="75" spans="1:28">
      <c r="A75" s="39">
        <f>IF(D75="","","RL-"&amp;TEXT(ROW()-4,"0000"))</f>
        <v>0</v>
      </c>
      <c r="B75" s="32" t="s">
        <v>950</v>
      </c>
      <c r="C75" s="17">
        <f>IF(B75="","",IFERROR(INDEX(Recipes!$B$5:$B$204,MATCH(B75,Recipes!$A$5:$A$204,0)),"Not found"))</f>
        <v>0</v>
      </c>
      <c r="D75" s="32" t="s">
        <v>401</v>
      </c>
      <c r="E75" s="38">
        <v>2</v>
      </c>
      <c r="F75" s="32" t="s">
        <v>685</v>
      </c>
      <c r="G75" s="32" t="s">
        <v>157</v>
      </c>
      <c r="H75" s="32" t="s">
        <v>157</v>
      </c>
      <c r="I75" s="40" t="s">
        <v>312</v>
      </c>
      <c r="J75" s="45">
        <f>IF(E75="","",IFERROR(E75*INDEX(UnitFactors,MATCH(F75,UnitNames,0)),""))</f>
        <v>0</v>
      </c>
      <c r="K75" s="17">
        <f>IF(F75="","",IFERROR(INDEX(UnitBases,MATCH(F75,UnitNames,0)),"?"))</f>
        <v>0</v>
      </c>
      <c r="L75" s="17">
        <f>IF(D75="","",IFERROR(INDEX(Ingredients!$G$5:$G$304,MATCH(D75,Ingredients!$B$5:$B$304,0)),"Add to Ingredients"))</f>
        <v>0</v>
      </c>
      <c r="M75" s="25">
        <f>IF(D75="","",IFERROR(INDEX(Ingredients!$J$5:$J$304,MATCH(D75,Ingredients!$B$5:$B$304,0)),"Add to Ingredients"))</f>
        <v>0</v>
      </c>
      <c r="N75" s="25">
        <f>IF(OR(J75="",M75="",NOT(ISNUMBER(M75))),"",IF(K75&lt;&gt;L75,"",J75*M75))</f>
        <v>0</v>
      </c>
      <c r="O75" s="25">
        <f>IF(N75="","",IFERROR(N75/INDEX(Recipes!$G$5:$G$204,MATCH(B75,Recipes!$A$5:$A$204,0)),""))</f>
        <v>0</v>
      </c>
      <c r="P75" s="30">
        <f>IF(J75="","",IF(K75="each",J75,J75/100))</f>
        <v>0</v>
      </c>
      <c r="Q75" s="30">
        <f>IFERROR(IF(P75="","",P75*INDEX(Ingredients!$P$5:$P$304,MATCH(D75,Ingredients!$B$5:$B$304,0))),"")</f>
        <v>0</v>
      </c>
      <c r="R75" s="45">
        <f>IFERROR(IF(P75="","",P75*INDEX(Ingredients!$Q$5:$Q$304,MATCH(D75,Ingredients!$B$5:$B$304,0))),"")</f>
        <v>0</v>
      </c>
      <c r="S75" s="45">
        <f>IFERROR(IF(P75="","",P75*INDEX(Ingredients!$R$5:$R$304,MATCH(D75,Ingredients!$B$5:$B$304,0))),"")</f>
        <v>0</v>
      </c>
      <c r="T75" s="45">
        <f>IFERROR(IF(P75="","",P75*INDEX(Ingredients!$S$5:$S$304,MATCH(D75,Ingredients!$B$5:$B$304,0))),"")</f>
        <v>0</v>
      </c>
      <c r="U75" s="45">
        <f>IFERROR(IF(P75="","",P75*INDEX(Ingredients!$T$5:$T$304,MATCH(D75,Ingredients!$B$5:$B$304,0))),"")</f>
        <v>0</v>
      </c>
      <c r="V75" s="17">
        <f>IF(D75="","",IFERROR(INDEX(Ingredients!$W$5:$W$304,MATCH(D75,Ingredients!$B$5:$B$304,0)),"Add to Ingredients"))</f>
        <v>0</v>
      </c>
      <c r="W75" s="17">
        <f>IF(D75="","",IFERROR(INDEX(Ingredients!$C$5:$C$304,MATCH(D75,Ingredients!$B$5:$B$304,0)),"Add to Ingredients"))</f>
        <v>0</v>
      </c>
      <c r="X75" s="45">
        <f>IFERROR(INDEX(Recipes!$AT$5:$AT$204,MATCH(B75,Recipes!$A$5:$A$204,0)),0)</f>
        <v>0</v>
      </c>
      <c r="Y75" s="45">
        <f>IF(OR(J75="",X75=0),"",J75*X75)</f>
        <v>0</v>
      </c>
      <c r="Z75" s="17">
        <f>IF(D75="","",B75&amp;"#"&amp;COUNTIFS($B$5:B75,B75))</f>
        <v>0</v>
      </c>
      <c r="AA75" s="17">
        <f>IF(D75="","",B75&amp;"|"&amp;D75)</f>
        <v>0</v>
      </c>
      <c r="AB75" s="31">
        <f>IF(D75="","",IF(B75="","Add - which recipe?",IF(COUNTIFS(Ingredients!$B$5:$B$304,D75)=0,"Missing - not in the Ingredients tab",IF(E75="","Add - no quantity",IF(F75="","Add - no unit",IF(K75&lt;&gt;L75,"Check - recipe in "&amp;K75&amp;", priced in "&amp;L75,IF(COUNTIFS($AA$5:$AA$1204,AA75)&gt;1,"Duplicate - same ingredient twice","OK")))))))</f>
        <v>0</v>
      </c>
    </row>
    <row r="76" spans="1:28">
      <c r="A76" s="39">
        <f>IF(D76="","","RL-"&amp;TEXT(ROW()-4,"0000"))</f>
        <v>0</v>
      </c>
      <c r="B76" s="32" t="s">
        <v>950</v>
      </c>
      <c r="C76" s="17">
        <f>IF(B76="","",IFERROR(INDEX(Recipes!$B$5:$B$204,MATCH(B76,Recipes!$A$5:$A$204,0)),"Not found"))</f>
        <v>0</v>
      </c>
      <c r="D76" s="32" t="s">
        <v>404</v>
      </c>
      <c r="E76" s="38">
        <v>250</v>
      </c>
      <c r="F76" s="32" t="s">
        <v>674</v>
      </c>
      <c r="G76" s="32" t="s">
        <v>157</v>
      </c>
      <c r="H76" s="32" t="s">
        <v>157</v>
      </c>
      <c r="I76" s="40" t="s">
        <v>312</v>
      </c>
      <c r="J76" s="45">
        <f>IF(E76="","",IFERROR(E76*INDEX(UnitFactors,MATCH(F76,UnitNames,0)),""))</f>
        <v>0</v>
      </c>
      <c r="K76" s="17">
        <f>IF(F76="","",IFERROR(INDEX(UnitBases,MATCH(F76,UnitNames,0)),"?"))</f>
        <v>0</v>
      </c>
      <c r="L76" s="17">
        <f>IF(D76="","",IFERROR(INDEX(Ingredients!$G$5:$G$304,MATCH(D76,Ingredients!$B$5:$B$304,0)),"Add to Ingredients"))</f>
        <v>0</v>
      </c>
      <c r="M76" s="25">
        <f>IF(D76="","",IFERROR(INDEX(Ingredients!$J$5:$J$304,MATCH(D76,Ingredients!$B$5:$B$304,0)),"Add to Ingredients"))</f>
        <v>0</v>
      </c>
      <c r="N76" s="25">
        <f>IF(OR(J76="",M76="",NOT(ISNUMBER(M76))),"",IF(K76&lt;&gt;L76,"",J76*M76))</f>
        <v>0</v>
      </c>
      <c r="O76" s="25">
        <f>IF(N76="","",IFERROR(N76/INDEX(Recipes!$G$5:$G$204,MATCH(B76,Recipes!$A$5:$A$204,0)),""))</f>
        <v>0</v>
      </c>
      <c r="P76" s="30">
        <f>IF(J76="","",IF(K76="each",J76,J76/100))</f>
        <v>0</v>
      </c>
      <c r="Q76" s="30">
        <f>IFERROR(IF(P76="","",P76*INDEX(Ingredients!$P$5:$P$304,MATCH(D76,Ingredients!$B$5:$B$304,0))),"")</f>
        <v>0</v>
      </c>
      <c r="R76" s="45">
        <f>IFERROR(IF(P76="","",P76*INDEX(Ingredients!$Q$5:$Q$304,MATCH(D76,Ingredients!$B$5:$B$304,0))),"")</f>
        <v>0</v>
      </c>
      <c r="S76" s="45">
        <f>IFERROR(IF(P76="","",P76*INDEX(Ingredients!$R$5:$R$304,MATCH(D76,Ingredients!$B$5:$B$304,0))),"")</f>
        <v>0</v>
      </c>
      <c r="T76" s="45">
        <f>IFERROR(IF(P76="","",P76*INDEX(Ingredients!$S$5:$S$304,MATCH(D76,Ingredients!$B$5:$B$304,0))),"")</f>
        <v>0</v>
      </c>
      <c r="U76" s="45">
        <f>IFERROR(IF(P76="","",P76*INDEX(Ingredients!$T$5:$T$304,MATCH(D76,Ingredients!$B$5:$B$304,0))),"")</f>
        <v>0</v>
      </c>
      <c r="V76" s="17">
        <f>IF(D76="","",IFERROR(INDEX(Ingredients!$W$5:$W$304,MATCH(D76,Ingredients!$B$5:$B$304,0)),"Add to Ingredients"))</f>
        <v>0</v>
      </c>
      <c r="W76" s="17">
        <f>IF(D76="","",IFERROR(INDEX(Ingredients!$C$5:$C$304,MATCH(D76,Ingredients!$B$5:$B$304,0)),"Add to Ingredients"))</f>
        <v>0</v>
      </c>
      <c r="X76" s="45">
        <f>IFERROR(INDEX(Recipes!$AT$5:$AT$204,MATCH(B76,Recipes!$A$5:$A$204,0)),0)</f>
        <v>0</v>
      </c>
      <c r="Y76" s="45">
        <f>IF(OR(J76="",X76=0),"",J76*X76)</f>
        <v>0</v>
      </c>
      <c r="Z76" s="17">
        <f>IF(D76="","",B76&amp;"#"&amp;COUNTIFS($B$5:B76,B76))</f>
        <v>0</v>
      </c>
      <c r="AA76" s="17">
        <f>IF(D76="","",B76&amp;"|"&amp;D76)</f>
        <v>0</v>
      </c>
      <c r="AB76" s="31">
        <f>IF(D76="","",IF(B76="","Add - which recipe?",IF(COUNTIFS(Ingredients!$B$5:$B$304,D76)=0,"Missing - not in the Ingredients tab",IF(E76="","Add - no quantity",IF(F76="","Add - no unit",IF(K76&lt;&gt;L76,"Check - recipe in "&amp;K76&amp;", priced in "&amp;L76,IF(COUNTIFS($AA$5:$AA$1204,AA76)&gt;1,"Duplicate - same ingredient twice","OK")))))))</f>
        <v>0</v>
      </c>
    </row>
    <row r="77" spans="1:28">
      <c r="A77" s="39">
        <f>IF(D77="","","RL-"&amp;TEXT(ROW()-4,"0000"))</f>
        <v>0</v>
      </c>
      <c r="B77" s="32" t="s">
        <v>950</v>
      </c>
      <c r="C77" s="17">
        <f>IF(B77="","",IFERROR(INDEX(Recipes!$B$5:$B$204,MATCH(B77,Recipes!$A$5:$A$204,0)),"Not found"))</f>
        <v>0</v>
      </c>
      <c r="D77" s="32" t="s">
        <v>937</v>
      </c>
      <c r="E77" s="38">
        <v>20</v>
      </c>
      <c r="F77" s="32" t="s">
        <v>668</v>
      </c>
      <c r="G77" s="32" t="s">
        <v>953</v>
      </c>
      <c r="H77" s="32" t="s">
        <v>157</v>
      </c>
      <c r="I77" s="40" t="s">
        <v>312</v>
      </c>
      <c r="J77" s="45">
        <f>IF(E77="","",IFERROR(E77*INDEX(UnitFactors,MATCH(F77,UnitNames,0)),""))</f>
        <v>0</v>
      </c>
      <c r="K77" s="17">
        <f>IF(F77="","",IFERROR(INDEX(UnitBases,MATCH(F77,UnitNames,0)),"?"))</f>
        <v>0</v>
      </c>
      <c r="L77" s="17">
        <f>IF(D77="","",IFERROR(INDEX(Ingredients!$G$5:$G$304,MATCH(D77,Ingredients!$B$5:$B$304,0)),"Add to Ingredients"))</f>
        <v>0</v>
      </c>
      <c r="M77" s="25">
        <f>IF(D77="","",IFERROR(INDEX(Ingredients!$J$5:$J$304,MATCH(D77,Ingredients!$B$5:$B$304,0)),"Add to Ingredients"))</f>
        <v>0</v>
      </c>
      <c r="N77" s="25">
        <f>IF(OR(J77="",M77="",NOT(ISNUMBER(M77))),"",IF(K77&lt;&gt;L77,"",J77*M77))</f>
        <v>0</v>
      </c>
      <c r="O77" s="25">
        <f>IF(N77="","",IFERROR(N77/INDEX(Recipes!$G$5:$G$204,MATCH(B77,Recipes!$A$5:$A$204,0)),""))</f>
        <v>0</v>
      </c>
      <c r="P77" s="30">
        <f>IF(J77="","",IF(K77="each",J77,J77/100))</f>
        <v>0</v>
      </c>
      <c r="Q77" s="30">
        <f>IFERROR(IF(P77="","",P77*INDEX(Ingredients!$P$5:$P$304,MATCH(D77,Ingredients!$B$5:$B$304,0))),"")</f>
        <v>0</v>
      </c>
      <c r="R77" s="45">
        <f>IFERROR(IF(P77="","",P77*INDEX(Ingredients!$Q$5:$Q$304,MATCH(D77,Ingredients!$B$5:$B$304,0))),"")</f>
        <v>0</v>
      </c>
      <c r="S77" s="45">
        <f>IFERROR(IF(P77="","",P77*INDEX(Ingredients!$R$5:$R$304,MATCH(D77,Ingredients!$B$5:$B$304,0))),"")</f>
        <v>0</v>
      </c>
      <c r="T77" s="45">
        <f>IFERROR(IF(P77="","",P77*INDEX(Ingredients!$S$5:$S$304,MATCH(D77,Ingredients!$B$5:$B$304,0))),"")</f>
        <v>0</v>
      </c>
      <c r="U77" s="45">
        <f>IFERROR(IF(P77="","",P77*INDEX(Ingredients!$T$5:$T$304,MATCH(D77,Ingredients!$B$5:$B$304,0))),"")</f>
        <v>0</v>
      </c>
      <c r="V77" s="17">
        <f>IF(D77="","",IFERROR(INDEX(Ingredients!$W$5:$W$304,MATCH(D77,Ingredients!$B$5:$B$304,0)),"Add to Ingredients"))</f>
        <v>0</v>
      </c>
      <c r="W77" s="17">
        <f>IF(D77="","",IFERROR(INDEX(Ingredients!$C$5:$C$304,MATCH(D77,Ingredients!$B$5:$B$304,0)),"Add to Ingredients"))</f>
        <v>0</v>
      </c>
      <c r="X77" s="45">
        <f>IFERROR(INDEX(Recipes!$AT$5:$AT$204,MATCH(B77,Recipes!$A$5:$A$204,0)),0)</f>
        <v>0</v>
      </c>
      <c r="Y77" s="45">
        <f>IF(OR(J77="",X77=0),"",J77*X77)</f>
        <v>0</v>
      </c>
      <c r="Z77" s="17">
        <f>IF(D77="","",B77&amp;"#"&amp;COUNTIFS($B$5:B77,B77))</f>
        <v>0</v>
      </c>
      <c r="AA77" s="17">
        <f>IF(D77="","",B77&amp;"|"&amp;D77)</f>
        <v>0</v>
      </c>
      <c r="AB77" s="31">
        <f>IF(D77="","",IF(B77="","Add - which recipe?",IF(COUNTIFS(Ingredients!$B$5:$B$304,D77)=0,"Missing - not in the Ingredients tab",IF(E77="","Add - no quantity",IF(F77="","Add - no unit",IF(K77&lt;&gt;L77,"Check - recipe in "&amp;K77&amp;", priced in "&amp;L77,IF(COUNTIFS($AA$5:$AA$1204,AA77)&gt;1,"Duplicate - same ingredient twice","OK")))))))</f>
        <v>0</v>
      </c>
    </row>
    <row r="78" spans="1:28">
      <c r="A78" s="39">
        <f>IF(D78="","","RL-"&amp;TEXT(ROW()-4,"0000"))</f>
        <v>0</v>
      </c>
      <c r="B78" s="32" t="s">
        <v>954</v>
      </c>
      <c r="C78" s="17">
        <f>IF(B78="","",IFERROR(INDEX(Recipes!$B$5:$B$204,MATCH(B78,Recipes!$A$5:$A$204,0)),"Not found"))</f>
        <v>0</v>
      </c>
      <c r="D78" s="32" t="s">
        <v>955</v>
      </c>
      <c r="E78" s="38">
        <v>200</v>
      </c>
      <c r="F78" s="32" t="s">
        <v>668</v>
      </c>
      <c r="G78" s="32" t="s">
        <v>157</v>
      </c>
      <c r="H78" s="32" t="s">
        <v>157</v>
      </c>
      <c r="I78" s="40" t="s">
        <v>312</v>
      </c>
      <c r="J78" s="45">
        <f>IF(E78="","",IFERROR(E78*INDEX(UnitFactors,MATCH(F78,UnitNames,0)),""))</f>
        <v>0</v>
      </c>
      <c r="K78" s="17">
        <f>IF(F78="","",IFERROR(INDEX(UnitBases,MATCH(F78,UnitNames,0)),"?"))</f>
        <v>0</v>
      </c>
      <c r="L78" s="17">
        <f>IF(D78="","",IFERROR(INDEX(Ingredients!$G$5:$G$304,MATCH(D78,Ingredients!$B$5:$B$304,0)),"Add to Ingredients"))</f>
        <v>0</v>
      </c>
      <c r="M78" s="25">
        <f>IF(D78="","",IFERROR(INDEX(Ingredients!$J$5:$J$304,MATCH(D78,Ingredients!$B$5:$B$304,0)),"Add to Ingredients"))</f>
        <v>0</v>
      </c>
      <c r="N78" s="25">
        <f>IF(OR(J78="",M78="",NOT(ISNUMBER(M78))),"",IF(K78&lt;&gt;L78,"",J78*M78))</f>
        <v>0</v>
      </c>
      <c r="O78" s="25">
        <f>IF(N78="","",IFERROR(N78/INDEX(Recipes!$G$5:$G$204,MATCH(B78,Recipes!$A$5:$A$204,0)),""))</f>
        <v>0</v>
      </c>
      <c r="P78" s="30">
        <f>IF(J78="","",IF(K78="each",J78,J78/100))</f>
        <v>0</v>
      </c>
      <c r="Q78" s="30">
        <f>IFERROR(IF(P78="","",P78*INDEX(Ingredients!$P$5:$P$304,MATCH(D78,Ingredients!$B$5:$B$304,0))),"")</f>
        <v>0</v>
      </c>
      <c r="R78" s="45">
        <f>IFERROR(IF(P78="","",P78*INDEX(Ingredients!$Q$5:$Q$304,MATCH(D78,Ingredients!$B$5:$B$304,0))),"")</f>
        <v>0</v>
      </c>
      <c r="S78" s="45">
        <f>IFERROR(IF(P78="","",P78*INDEX(Ingredients!$R$5:$R$304,MATCH(D78,Ingredients!$B$5:$B$304,0))),"")</f>
        <v>0</v>
      </c>
      <c r="T78" s="45">
        <f>IFERROR(IF(P78="","",P78*INDEX(Ingredients!$S$5:$S$304,MATCH(D78,Ingredients!$B$5:$B$304,0))),"")</f>
        <v>0</v>
      </c>
      <c r="U78" s="45">
        <f>IFERROR(IF(P78="","",P78*INDEX(Ingredients!$T$5:$T$304,MATCH(D78,Ingredients!$B$5:$B$304,0))),"")</f>
        <v>0</v>
      </c>
      <c r="V78" s="17">
        <f>IF(D78="","",IFERROR(INDEX(Ingredients!$W$5:$W$304,MATCH(D78,Ingredients!$B$5:$B$304,0)),"Add to Ingredients"))</f>
        <v>0</v>
      </c>
      <c r="W78" s="17">
        <f>IF(D78="","",IFERROR(INDEX(Ingredients!$C$5:$C$304,MATCH(D78,Ingredients!$B$5:$B$304,0)),"Add to Ingredients"))</f>
        <v>0</v>
      </c>
      <c r="X78" s="45">
        <f>IFERROR(INDEX(Recipes!$AT$5:$AT$204,MATCH(B78,Recipes!$A$5:$A$204,0)),0)</f>
        <v>0</v>
      </c>
      <c r="Y78" s="45">
        <f>IF(OR(J78="",X78=0),"",J78*X78)</f>
        <v>0</v>
      </c>
      <c r="Z78" s="17">
        <f>IF(D78="","",B78&amp;"#"&amp;COUNTIFS($B$5:B78,B78))</f>
        <v>0</v>
      </c>
      <c r="AA78" s="17">
        <f>IF(D78="","",B78&amp;"|"&amp;D78)</f>
        <v>0</v>
      </c>
      <c r="AB78" s="31">
        <f>IF(D78="","",IF(B78="","Add - which recipe?",IF(COUNTIFS(Ingredients!$B$5:$B$304,D78)=0,"Missing - not in the Ingredients tab",IF(E78="","Add - no quantity",IF(F78="","Add - no unit",IF(K78&lt;&gt;L78,"Check - recipe in "&amp;K78&amp;", priced in "&amp;L78,IF(COUNTIFS($AA$5:$AA$1204,AA78)&gt;1,"Duplicate - same ingredient twice","OK")))))))</f>
        <v>0</v>
      </c>
    </row>
    <row r="79" spans="1:28">
      <c r="A79" s="39">
        <f>IF(D79="","","RL-"&amp;TEXT(ROW()-4,"0000"))</f>
        <v>0</v>
      </c>
      <c r="B79" s="32" t="s">
        <v>954</v>
      </c>
      <c r="C79" s="17">
        <f>IF(B79="","",IFERROR(INDEX(Recipes!$B$5:$B$204,MATCH(B79,Recipes!$A$5:$A$204,0)),"Not found"))</f>
        <v>0</v>
      </c>
      <c r="D79" s="32" t="s">
        <v>921</v>
      </c>
      <c r="E79" s="38">
        <v>400</v>
      </c>
      <c r="F79" s="32" t="s">
        <v>668</v>
      </c>
      <c r="G79" s="32" t="s">
        <v>922</v>
      </c>
      <c r="H79" s="32" t="s">
        <v>157</v>
      </c>
      <c r="I79" s="40" t="s">
        <v>312</v>
      </c>
      <c r="J79" s="45">
        <f>IF(E79="","",IFERROR(E79*INDEX(UnitFactors,MATCH(F79,UnitNames,0)),""))</f>
        <v>0</v>
      </c>
      <c r="K79" s="17">
        <f>IF(F79="","",IFERROR(INDEX(UnitBases,MATCH(F79,UnitNames,0)),"?"))</f>
        <v>0</v>
      </c>
      <c r="L79" s="17">
        <f>IF(D79="","",IFERROR(INDEX(Ingredients!$G$5:$G$304,MATCH(D79,Ingredients!$B$5:$B$304,0)),"Add to Ingredients"))</f>
        <v>0</v>
      </c>
      <c r="M79" s="25">
        <f>IF(D79="","",IFERROR(INDEX(Ingredients!$J$5:$J$304,MATCH(D79,Ingredients!$B$5:$B$304,0)),"Add to Ingredients"))</f>
        <v>0</v>
      </c>
      <c r="N79" s="25">
        <f>IF(OR(J79="",M79="",NOT(ISNUMBER(M79))),"",IF(K79&lt;&gt;L79,"",J79*M79))</f>
        <v>0</v>
      </c>
      <c r="O79" s="25">
        <f>IF(N79="","",IFERROR(N79/INDEX(Recipes!$G$5:$G$204,MATCH(B79,Recipes!$A$5:$A$204,0)),""))</f>
        <v>0</v>
      </c>
      <c r="P79" s="30">
        <f>IF(J79="","",IF(K79="each",J79,J79/100))</f>
        <v>0</v>
      </c>
      <c r="Q79" s="30">
        <f>IFERROR(IF(P79="","",P79*INDEX(Ingredients!$P$5:$P$304,MATCH(D79,Ingredients!$B$5:$B$304,0))),"")</f>
        <v>0</v>
      </c>
      <c r="R79" s="45">
        <f>IFERROR(IF(P79="","",P79*INDEX(Ingredients!$Q$5:$Q$304,MATCH(D79,Ingredients!$B$5:$B$304,0))),"")</f>
        <v>0</v>
      </c>
      <c r="S79" s="45">
        <f>IFERROR(IF(P79="","",P79*INDEX(Ingredients!$R$5:$R$304,MATCH(D79,Ingredients!$B$5:$B$304,0))),"")</f>
        <v>0</v>
      </c>
      <c r="T79" s="45">
        <f>IFERROR(IF(P79="","",P79*INDEX(Ingredients!$S$5:$S$304,MATCH(D79,Ingredients!$B$5:$B$304,0))),"")</f>
        <v>0</v>
      </c>
      <c r="U79" s="45">
        <f>IFERROR(IF(P79="","",P79*INDEX(Ingredients!$T$5:$T$304,MATCH(D79,Ingredients!$B$5:$B$304,0))),"")</f>
        <v>0</v>
      </c>
      <c r="V79" s="17">
        <f>IF(D79="","",IFERROR(INDEX(Ingredients!$W$5:$W$304,MATCH(D79,Ingredients!$B$5:$B$304,0)),"Add to Ingredients"))</f>
        <v>0</v>
      </c>
      <c r="W79" s="17">
        <f>IF(D79="","",IFERROR(INDEX(Ingredients!$C$5:$C$304,MATCH(D79,Ingredients!$B$5:$B$304,0)),"Add to Ingredients"))</f>
        <v>0</v>
      </c>
      <c r="X79" s="45">
        <f>IFERROR(INDEX(Recipes!$AT$5:$AT$204,MATCH(B79,Recipes!$A$5:$A$204,0)),0)</f>
        <v>0</v>
      </c>
      <c r="Y79" s="45">
        <f>IF(OR(J79="",X79=0),"",J79*X79)</f>
        <v>0</v>
      </c>
      <c r="Z79" s="17">
        <f>IF(D79="","",B79&amp;"#"&amp;COUNTIFS($B$5:B79,B79))</f>
        <v>0</v>
      </c>
      <c r="AA79" s="17">
        <f>IF(D79="","",B79&amp;"|"&amp;D79)</f>
        <v>0</v>
      </c>
      <c r="AB79" s="31">
        <f>IF(D79="","",IF(B79="","Add - which recipe?",IF(COUNTIFS(Ingredients!$B$5:$B$304,D79)=0,"Missing - not in the Ingredients tab",IF(E79="","Add - no quantity",IF(F79="","Add - no unit",IF(K79&lt;&gt;L79,"Check - recipe in "&amp;K79&amp;", priced in "&amp;L79,IF(COUNTIFS($AA$5:$AA$1204,AA79)&gt;1,"Duplicate - same ingredient twice","OK")))))))</f>
        <v>0</v>
      </c>
    </row>
    <row r="80" spans="1:28">
      <c r="A80" s="39">
        <f>IF(D80="","","RL-"&amp;TEXT(ROW()-4,"0000"))</f>
        <v>0</v>
      </c>
      <c r="B80" s="32" t="s">
        <v>954</v>
      </c>
      <c r="C80" s="17">
        <f>IF(B80="","",IFERROR(INDEX(Recipes!$B$5:$B$204,MATCH(B80,Recipes!$A$5:$A$204,0)),"Not found"))</f>
        <v>0</v>
      </c>
      <c r="D80" s="32" t="s">
        <v>956</v>
      </c>
      <c r="E80" s="38">
        <v>200</v>
      </c>
      <c r="F80" s="32" t="s">
        <v>668</v>
      </c>
      <c r="G80" s="32" t="s">
        <v>931</v>
      </c>
      <c r="H80" s="32" t="s">
        <v>157</v>
      </c>
      <c r="I80" s="40" t="s">
        <v>312</v>
      </c>
      <c r="J80" s="45">
        <f>IF(E80="","",IFERROR(E80*INDEX(UnitFactors,MATCH(F80,UnitNames,0)),""))</f>
        <v>0</v>
      </c>
      <c r="K80" s="17">
        <f>IF(F80="","",IFERROR(INDEX(UnitBases,MATCH(F80,UnitNames,0)),"?"))</f>
        <v>0</v>
      </c>
      <c r="L80" s="17">
        <f>IF(D80="","",IFERROR(INDEX(Ingredients!$G$5:$G$304,MATCH(D80,Ingredients!$B$5:$B$304,0)),"Add to Ingredients"))</f>
        <v>0</v>
      </c>
      <c r="M80" s="25">
        <f>IF(D80="","",IFERROR(INDEX(Ingredients!$J$5:$J$304,MATCH(D80,Ingredients!$B$5:$B$304,0)),"Add to Ingredients"))</f>
        <v>0</v>
      </c>
      <c r="N80" s="25">
        <f>IF(OR(J80="",M80="",NOT(ISNUMBER(M80))),"",IF(K80&lt;&gt;L80,"",J80*M80))</f>
        <v>0</v>
      </c>
      <c r="O80" s="25">
        <f>IF(N80="","",IFERROR(N80/INDEX(Recipes!$G$5:$G$204,MATCH(B80,Recipes!$A$5:$A$204,0)),""))</f>
        <v>0</v>
      </c>
      <c r="P80" s="30">
        <f>IF(J80="","",IF(K80="each",J80,J80/100))</f>
        <v>0</v>
      </c>
      <c r="Q80" s="30">
        <f>IFERROR(IF(P80="","",P80*INDEX(Ingredients!$P$5:$P$304,MATCH(D80,Ingredients!$B$5:$B$304,0))),"")</f>
        <v>0</v>
      </c>
      <c r="R80" s="45">
        <f>IFERROR(IF(P80="","",P80*INDEX(Ingredients!$Q$5:$Q$304,MATCH(D80,Ingredients!$B$5:$B$304,0))),"")</f>
        <v>0</v>
      </c>
      <c r="S80" s="45">
        <f>IFERROR(IF(P80="","",P80*INDEX(Ingredients!$R$5:$R$304,MATCH(D80,Ingredients!$B$5:$B$304,0))),"")</f>
        <v>0</v>
      </c>
      <c r="T80" s="45">
        <f>IFERROR(IF(P80="","",P80*INDEX(Ingredients!$S$5:$S$304,MATCH(D80,Ingredients!$B$5:$B$304,0))),"")</f>
        <v>0</v>
      </c>
      <c r="U80" s="45">
        <f>IFERROR(IF(P80="","",P80*INDEX(Ingredients!$T$5:$T$304,MATCH(D80,Ingredients!$B$5:$B$304,0))),"")</f>
        <v>0</v>
      </c>
      <c r="V80" s="17">
        <f>IF(D80="","",IFERROR(INDEX(Ingredients!$W$5:$W$304,MATCH(D80,Ingredients!$B$5:$B$304,0)),"Add to Ingredients"))</f>
        <v>0</v>
      </c>
      <c r="W80" s="17">
        <f>IF(D80="","",IFERROR(INDEX(Ingredients!$C$5:$C$304,MATCH(D80,Ingredients!$B$5:$B$304,0)),"Add to Ingredients"))</f>
        <v>0</v>
      </c>
      <c r="X80" s="45">
        <f>IFERROR(INDEX(Recipes!$AT$5:$AT$204,MATCH(B80,Recipes!$A$5:$A$204,0)),0)</f>
        <v>0</v>
      </c>
      <c r="Y80" s="45">
        <f>IF(OR(J80="",X80=0),"",J80*X80)</f>
        <v>0</v>
      </c>
      <c r="Z80" s="17">
        <f>IF(D80="","",B80&amp;"#"&amp;COUNTIFS($B$5:B80,B80))</f>
        <v>0</v>
      </c>
      <c r="AA80" s="17">
        <f>IF(D80="","",B80&amp;"|"&amp;D80)</f>
        <v>0</v>
      </c>
      <c r="AB80" s="31">
        <f>IF(D80="","",IF(B80="","Add - which recipe?",IF(COUNTIFS(Ingredients!$B$5:$B$304,D80)=0,"Missing - not in the Ingredients tab",IF(E80="","Add - no quantity",IF(F80="","Add - no unit",IF(K80&lt;&gt;L80,"Check - recipe in "&amp;K80&amp;", priced in "&amp;L80,IF(COUNTIFS($AA$5:$AA$1204,AA80)&gt;1,"Duplicate - same ingredient twice","OK")))))))</f>
        <v>0</v>
      </c>
    </row>
    <row r="81" spans="1:28">
      <c r="A81" s="39">
        <f>IF(D81="","","RL-"&amp;TEXT(ROW()-4,"0000"))</f>
        <v>0</v>
      </c>
      <c r="B81" s="32" t="s">
        <v>954</v>
      </c>
      <c r="C81" s="17">
        <f>IF(B81="","",IFERROR(INDEX(Recipes!$B$5:$B$204,MATCH(B81,Recipes!$A$5:$A$204,0)),"Not found"))</f>
        <v>0</v>
      </c>
      <c r="D81" s="32" t="s">
        <v>957</v>
      </c>
      <c r="E81" s="38">
        <v>1</v>
      </c>
      <c r="F81" s="32" t="s">
        <v>685</v>
      </c>
      <c r="G81" s="32" t="s">
        <v>958</v>
      </c>
      <c r="H81" s="32" t="s">
        <v>157</v>
      </c>
      <c r="I81" s="40" t="s">
        <v>312</v>
      </c>
      <c r="J81" s="45">
        <f>IF(E81="","",IFERROR(E81*INDEX(UnitFactors,MATCH(F81,UnitNames,0)),""))</f>
        <v>0</v>
      </c>
      <c r="K81" s="17">
        <f>IF(F81="","",IFERROR(INDEX(UnitBases,MATCH(F81,UnitNames,0)),"?"))</f>
        <v>0</v>
      </c>
      <c r="L81" s="17">
        <f>IF(D81="","",IFERROR(INDEX(Ingredients!$G$5:$G$304,MATCH(D81,Ingredients!$B$5:$B$304,0)),"Add to Ingredients"))</f>
        <v>0</v>
      </c>
      <c r="M81" s="25">
        <f>IF(D81="","",IFERROR(INDEX(Ingredients!$J$5:$J$304,MATCH(D81,Ingredients!$B$5:$B$304,0)),"Add to Ingredients"))</f>
        <v>0</v>
      </c>
      <c r="N81" s="25">
        <f>IF(OR(J81="",M81="",NOT(ISNUMBER(M81))),"",IF(K81&lt;&gt;L81,"",J81*M81))</f>
        <v>0</v>
      </c>
      <c r="O81" s="25">
        <f>IF(N81="","",IFERROR(N81/INDEX(Recipes!$G$5:$G$204,MATCH(B81,Recipes!$A$5:$A$204,0)),""))</f>
        <v>0</v>
      </c>
      <c r="P81" s="30">
        <f>IF(J81="","",IF(K81="each",J81,J81/100))</f>
        <v>0</v>
      </c>
      <c r="Q81" s="30">
        <f>IFERROR(IF(P81="","",P81*INDEX(Ingredients!$P$5:$P$304,MATCH(D81,Ingredients!$B$5:$B$304,0))),"")</f>
        <v>0</v>
      </c>
      <c r="R81" s="45">
        <f>IFERROR(IF(P81="","",P81*INDEX(Ingredients!$Q$5:$Q$304,MATCH(D81,Ingredients!$B$5:$B$304,0))),"")</f>
        <v>0</v>
      </c>
      <c r="S81" s="45">
        <f>IFERROR(IF(P81="","",P81*INDEX(Ingredients!$R$5:$R$304,MATCH(D81,Ingredients!$B$5:$B$304,0))),"")</f>
        <v>0</v>
      </c>
      <c r="T81" s="45">
        <f>IFERROR(IF(P81="","",P81*INDEX(Ingredients!$S$5:$S$304,MATCH(D81,Ingredients!$B$5:$B$304,0))),"")</f>
        <v>0</v>
      </c>
      <c r="U81" s="45">
        <f>IFERROR(IF(P81="","",P81*INDEX(Ingredients!$T$5:$T$304,MATCH(D81,Ingredients!$B$5:$B$304,0))),"")</f>
        <v>0</v>
      </c>
      <c r="V81" s="17">
        <f>IF(D81="","",IFERROR(INDEX(Ingredients!$W$5:$W$304,MATCH(D81,Ingredients!$B$5:$B$304,0)),"Add to Ingredients"))</f>
        <v>0</v>
      </c>
      <c r="W81" s="17">
        <f>IF(D81="","",IFERROR(INDEX(Ingredients!$C$5:$C$304,MATCH(D81,Ingredients!$B$5:$B$304,0)),"Add to Ingredients"))</f>
        <v>0</v>
      </c>
      <c r="X81" s="45">
        <f>IFERROR(INDEX(Recipes!$AT$5:$AT$204,MATCH(B81,Recipes!$A$5:$A$204,0)),0)</f>
        <v>0</v>
      </c>
      <c r="Y81" s="45">
        <f>IF(OR(J81="",X81=0),"",J81*X81)</f>
        <v>0</v>
      </c>
      <c r="Z81" s="17">
        <f>IF(D81="","",B81&amp;"#"&amp;COUNTIFS($B$5:B81,B81))</f>
        <v>0</v>
      </c>
      <c r="AA81" s="17">
        <f>IF(D81="","",B81&amp;"|"&amp;D81)</f>
        <v>0</v>
      </c>
      <c r="AB81" s="31">
        <f>IF(D81="","",IF(B81="","Add - which recipe?",IF(COUNTIFS(Ingredients!$B$5:$B$304,D81)=0,"Missing - not in the Ingredients tab",IF(E81="","Add - no quantity",IF(F81="","Add - no unit",IF(K81&lt;&gt;L81,"Check - recipe in "&amp;K81&amp;", priced in "&amp;L81,IF(COUNTIFS($AA$5:$AA$1204,AA81)&gt;1,"Duplicate - same ingredient twice","OK")))))))</f>
        <v>0</v>
      </c>
    </row>
    <row r="82" spans="1:28">
      <c r="A82" s="39">
        <f>IF(D82="","","RL-"&amp;TEXT(ROW()-4,"0000"))</f>
        <v>0</v>
      </c>
      <c r="B82" s="32" t="s">
        <v>954</v>
      </c>
      <c r="C82" s="17">
        <f>IF(B82="","",IFERROR(INDEX(Recipes!$B$5:$B$204,MATCH(B82,Recipes!$A$5:$A$204,0)),"Not found"))</f>
        <v>0</v>
      </c>
      <c r="D82" s="32" t="s">
        <v>919</v>
      </c>
      <c r="E82" s="38">
        <v>1</v>
      </c>
      <c r="F82" s="32" t="s">
        <v>685</v>
      </c>
      <c r="G82" s="32" t="s">
        <v>959</v>
      </c>
      <c r="H82" s="32" t="s">
        <v>157</v>
      </c>
      <c r="I82" s="40" t="s">
        <v>312</v>
      </c>
      <c r="J82" s="45">
        <f>IF(E82="","",IFERROR(E82*INDEX(UnitFactors,MATCH(F82,UnitNames,0)),""))</f>
        <v>0</v>
      </c>
      <c r="K82" s="17">
        <f>IF(F82="","",IFERROR(INDEX(UnitBases,MATCH(F82,UnitNames,0)),"?"))</f>
        <v>0</v>
      </c>
      <c r="L82" s="17">
        <f>IF(D82="","",IFERROR(INDEX(Ingredients!$G$5:$G$304,MATCH(D82,Ingredients!$B$5:$B$304,0)),"Add to Ingredients"))</f>
        <v>0</v>
      </c>
      <c r="M82" s="25">
        <f>IF(D82="","",IFERROR(INDEX(Ingredients!$J$5:$J$304,MATCH(D82,Ingredients!$B$5:$B$304,0)),"Add to Ingredients"))</f>
        <v>0</v>
      </c>
      <c r="N82" s="25">
        <f>IF(OR(J82="",M82="",NOT(ISNUMBER(M82))),"",IF(K82&lt;&gt;L82,"",J82*M82))</f>
        <v>0</v>
      </c>
      <c r="O82" s="25">
        <f>IF(N82="","",IFERROR(N82/INDEX(Recipes!$G$5:$G$204,MATCH(B82,Recipes!$A$5:$A$204,0)),""))</f>
        <v>0</v>
      </c>
      <c r="P82" s="30">
        <f>IF(J82="","",IF(K82="each",J82,J82/100))</f>
        <v>0</v>
      </c>
      <c r="Q82" s="30">
        <f>IFERROR(IF(P82="","",P82*INDEX(Ingredients!$P$5:$P$304,MATCH(D82,Ingredients!$B$5:$B$304,0))),"")</f>
        <v>0</v>
      </c>
      <c r="R82" s="45">
        <f>IFERROR(IF(P82="","",P82*INDEX(Ingredients!$Q$5:$Q$304,MATCH(D82,Ingredients!$B$5:$B$304,0))),"")</f>
        <v>0</v>
      </c>
      <c r="S82" s="45">
        <f>IFERROR(IF(P82="","",P82*INDEX(Ingredients!$R$5:$R$304,MATCH(D82,Ingredients!$B$5:$B$304,0))),"")</f>
        <v>0</v>
      </c>
      <c r="T82" s="45">
        <f>IFERROR(IF(P82="","",P82*INDEX(Ingredients!$S$5:$S$304,MATCH(D82,Ingredients!$B$5:$B$304,0))),"")</f>
        <v>0</v>
      </c>
      <c r="U82" s="45">
        <f>IFERROR(IF(P82="","",P82*INDEX(Ingredients!$T$5:$T$304,MATCH(D82,Ingredients!$B$5:$B$304,0))),"")</f>
        <v>0</v>
      </c>
      <c r="V82" s="17">
        <f>IF(D82="","",IFERROR(INDEX(Ingredients!$W$5:$W$304,MATCH(D82,Ingredients!$B$5:$B$304,0)),"Add to Ingredients"))</f>
        <v>0</v>
      </c>
      <c r="W82" s="17">
        <f>IF(D82="","",IFERROR(INDEX(Ingredients!$C$5:$C$304,MATCH(D82,Ingredients!$B$5:$B$304,0)),"Add to Ingredients"))</f>
        <v>0</v>
      </c>
      <c r="X82" s="45">
        <f>IFERROR(INDEX(Recipes!$AT$5:$AT$204,MATCH(B82,Recipes!$A$5:$A$204,0)),0)</f>
        <v>0</v>
      </c>
      <c r="Y82" s="45">
        <f>IF(OR(J82="",X82=0),"",J82*X82)</f>
        <v>0</v>
      </c>
      <c r="Z82" s="17">
        <f>IF(D82="","",B82&amp;"#"&amp;COUNTIFS($B$5:B82,B82))</f>
        <v>0</v>
      </c>
      <c r="AA82" s="17">
        <f>IF(D82="","",B82&amp;"|"&amp;D82)</f>
        <v>0</v>
      </c>
      <c r="AB82" s="31">
        <f>IF(D82="","",IF(B82="","Add - which recipe?",IF(COUNTIFS(Ingredients!$B$5:$B$304,D82)=0,"Missing - not in the Ingredients tab",IF(E82="","Add - no quantity",IF(F82="","Add - no unit",IF(K82&lt;&gt;L82,"Check - recipe in "&amp;K82&amp;", priced in "&amp;L82,IF(COUNTIFS($AA$5:$AA$1204,AA82)&gt;1,"Duplicate - same ingredient twice","OK")))))))</f>
        <v>0</v>
      </c>
    </row>
    <row r="83" spans="1:28">
      <c r="A83" s="39">
        <f>IF(D83="","","RL-"&amp;TEXT(ROW()-4,"0000"))</f>
        <v>0</v>
      </c>
      <c r="B83" s="32" t="s">
        <v>954</v>
      </c>
      <c r="C83" s="17">
        <f>IF(B83="","",IFERROR(INDEX(Recipes!$B$5:$B$204,MATCH(B83,Recipes!$A$5:$A$204,0)),"Not found"))</f>
        <v>0</v>
      </c>
      <c r="D83" s="32" t="s">
        <v>896</v>
      </c>
      <c r="E83" s="38">
        <v>2</v>
      </c>
      <c r="F83" s="32" t="s">
        <v>678</v>
      </c>
      <c r="G83" s="32" t="s">
        <v>157</v>
      </c>
      <c r="H83" s="32" t="s">
        <v>157</v>
      </c>
      <c r="I83" s="40" t="s">
        <v>312</v>
      </c>
      <c r="J83" s="45">
        <f>IF(E83="","",IFERROR(E83*INDEX(UnitFactors,MATCH(F83,UnitNames,0)),""))</f>
        <v>0</v>
      </c>
      <c r="K83" s="17">
        <f>IF(F83="","",IFERROR(INDEX(UnitBases,MATCH(F83,UnitNames,0)),"?"))</f>
        <v>0</v>
      </c>
      <c r="L83" s="17">
        <f>IF(D83="","",IFERROR(INDEX(Ingredients!$G$5:$G$304,MATCH(D83,Ingredients!$B$5:$B$304,0)),"Add to Ingredients"))</f>
        <v>0</v>
      </c>
      <c r="M83" s="25">
        <f>IF(D83="","",IFERROR(INDEX(Ingredients!$J$5:$J$304,MATCH(D83,Ingredients!$B$5:$B$304,0)),"Add to Ingredients"))</f>
        <v>0</v>
      </c>
      <c r="N83" s="25">
        <f>IF(OR(J83="",M83="",NOT(ISNUMBER(M83))),"",IF(K83&lt;&gt;L83,"",J83*M83))</f>
        <v>0</v>
      </c>
      <c r="O83" s="25">
        <f>IF(N83="","",IFERROR(N83/INDEX(Recipes!$G$5:$G$204,MATCH(B83,Recipes!$A$5:$A$204,0)),""))</f>
        <v>0</v>
      </c>
      <c r="P83" s="30">
        <f>IF(J83="","",IF(K83="each",J83,J83/100))</f>
        <v>0</v>
      </c>
      <c r="Q83" s="30">
        <f>IFERROR(IF(P83="","",P83*INDEX(Ingredients!$P$5:$P$304,MATCH(D83,Ingredients!$B$5:$B$304,0))),"")</f>
        <v>0</v>
      </c>
      <c r="R83" s="45">
        <f>IFERROR(IF(P83="","",P83*INDEX(Ingredients!$Q$5:$Q$304,MATCH(D83,Ingredients!$B$5:$B$304,0))),"")</f>
        <v>0</v>
      </c>
      <c r="S83" s="45">
        <f>IFERROR(IF(P83="","",P83*INDEX(Ingredients!$R$5:$R$304,MATCH(D83,Ingredients!$B$5:$B$304,0))),"")</f>
        <v>0</v>
      </c>
      <c r="T83" s="45">
        <f>IFERROR(IF(P83="","",P83*INDEX(Ingredients!$S$5:$S$304,MATCH(D83,Ingredients!$B$5:$B$304,0))),"")</f>
        <v>0</v>
      </c>
      <c r="U83" s="45">
        <f>IFERROR(IF(P83="","",P83*INDEX(Ingredients!$T$5:$T$304,MATCH(D83,Ingredients!$B$5:$B$304,0))),"")</f>
        <v>0</v>
      </c>
      <c r="V83" s="17">
        <f>IF(D83="","",IFERROR(INDEX(Ingredients!$W$5:$W$304,MATCH(D83,Ingredients!$B$5:$B$304,0)),"Add to Ingredients"))</f>
        <v>0</v>
      </c>
      <c r="W83" s="17">
        <f>IF(D83="","",IFERROR(INDEX(Ingredients!$C$5:$C$304,MATCH(D83,Ingredients!$B$5:$B$304,0)),"Add to Ingredients"))</f>
        <v>0</v>
      </c>
      <c r="X83" s="45">
        <f>IFERROR(INDEX(Recipes!$AT$5:$AT$204,MATCH(B83,Recipes!$A$5:$A$204,0)),0)</f>
        <v>0</v>
      </c>
      <c r="Y83" s="45">
        <f>IF(OR(J83="",X83=0),"",J83*X83)</f>
        <v>0</v>
      </c>
      <c r="Z83" s="17">
        <f>IF(D83="","",B83&amp;"#"&amp;COUNTIFS($B$5:B83,B83))</f>
        <v>0</v>
      </c>
      <c r="AA83" s="17">
        <f>IF(D83="","",B83&amp;"|"&amp;D83)</f>
        <v>0</v>
      </c>
      <c r="AB83" s="31">
        <f>IF(D83="","",IF(B83="","Add - which recipe?",IF(COUNTIFS(Ingredients!$B$5:$B$304,D83)=0,"Missing - not in the Ingredients tab",IF(E83="","Add - no quantity",IF(F83="","Add - no unit",IF(K83&lt;&gt;L83,"Check - recipe in "&amp;K83&amp;", priced in "&amp;L83,IF(COUNTIFS($AA$5:$AA$1204,AA83)&gt;1,"Duplicate - same ingredient twice","OK")))))))</f>
        <v>0</v>
      </c>
    </row>
    <row r="84" spans="1:28">
      <c r="A84" s="39">
        <f>IF(D84="","","RL-"&amp;TEXT(ROW()-4,"0000"))</f>
        <v>0</v>
      </c>
      <c r="B84" s="32" t="s">
        <v>960</v>
      </c>
      <c r="C84" s="17">
        <f>IF(B84="","",IFERROR(INDEX(Recipes!$B$5:$B$204,MATCH(B84,Recipes!$A$5:$A$204,0)),"Not found"))</f>
        <v>0</v>
      </c>
      <c r="D84" s="32" t="s">
        <v>927</v>
      </c>
      <c r="E84" s="38">
        <v>2</v>
      </c>
      <c r="F84" s="32" t="s">
        <v>685</v>
      </c>
      <c r="G84" s="32" t="s">
        <v>157</v>
      </c>
      <c r="H84" s="32" t="s">
        <v>157</v>
      </c>
      <c r="I84" s="40" t="s">
        <v>312</v>
      </c>
      <c r="J84" s="45">
        <f>IF(E84="","",IFERROR(E84*INDEX(UnitFactors,MATCH(F84,UnitNames,0)),""))</f>
        <v>0</v>
      </c>
      <c r="K84" s="17">
        <f>IF(F84="","",IFERROR(INDEX(UnitBases,MATCH(F84,UnitNames,0)),"?"))</f>
        <v>0</v>
      </c>
      <c r="L84" s="17">
        <f>IF(D84="","",IFERROR(INDEX(Ingredients!$G$5:$G$304,MATCH(D84,Ingredients!$B$5:$B$304,0)),"Add to Ingredients"))</f>
        <v>0</v>
      </c>
      <c r="M84" s="25">
        <f>IF(D84="","",IFERROR(INDEX(Ingredients!$J$5:$J$304,MATCH(D84,Ingredients!$B$5:$B$304,0)),"Add to Ingredients"))</f>
        <v>0</v>
      </c>
      <c r="N84" s="25">
        <f>IF(OR(J84="",M84="",NOT(ISNUMBER(M84))),"",IF(K84&lt;&gt;L84,"",J84*M84))</f>
        <v>0</v>
      </c>
      <c r="O84" s="25">
        <f>IF(N84="","",IFERROR(N84/INDEX(Recipes!$G$5:$G$204,MATCH(B84,Recipes!$A$5:$A$204,0)),""))</f>
        <v>0</v>
      </c>
      <c r="P84" s="30">
        <f>IF(J84="","",IF(K84="each",J84,J84/100))</f>
        <v>0</v>
      </c>
      <c r="Q84" s="30">
        <f>IFERROR(IF(P84="","",P84*INDEX(Ingredients!$P$5:$P$304,MATCH(D84,Ingredients!$B$5:$B$304,0))),"")</f>
        <v>0</v>
      </c>
      <c r="R84" s="45">
        <f>IFERROR(IF(P84="","",P84*INDEX(Ingredients!$Q$5:$Q$304,MATCH(D84,Ingredients!$B$5:$B$304,0))),"")</f>
        <v>0</v>
      </c>
      <c r="S84" s="45">
        <f>IFERROR(IF(P84="","",P84*INDEX(Ingredients!$R$5:$R$304,MATCH(D84,Ingredients!$B$5:$B$304,0))),"")</f>
        <v>0</v>
      </c>
      <c r="T84" s="45">
        <f>IFERROR(IF(P84="","",P84*INDEX(Ingredients!$S$5:$S$304,MATCH(D84,Ingredients!$B$5:$B$304,0))),"")</f>
        <v>0</v>
      </c>
      <c r="U84" s="45">
        <f>IFERROR(IF(P84="","",P84*INDEX(Ingredients!$T$5:$T$304,MATCH(D84,Ingredients!$B$5:$B$304,0))),"")</f>
        <v>0</v>
      </c>
      <c r="V84" s="17">
        <f>IF(D84="","",IFERROR(INDEX(Ingredients!$W$5:$W$304,MATCH(D84,Ingredients!$B$5:$B$304,0)),"Add to Ingredients"))</f>
        <v>0</v>
      </c>
      <c r="W84" s="17">
        <f>IF(D84="","",IFERROR(INDEX(Ingredients!$C$5:$C$304,MATCH(D84,Ingredients!$B$5:$B$304,0)),"Add to Ingredients"))</f>
        <v>0</v>
      </c>
      <c r="X84" s="45">
        <f>IFERROR(INDEX(Recipes!$AT$5:$AT$204,MATCH(B84,Recipes!$A$5:$A$204,0)),0)</f>
        <v>0</v>
      </c>
      <c r="Y84" s="45">
        <f>IF(OR(J84="",X84=0),"",J84*X84)</f>
        <v>0</v>
      </c>
      <c r="Z84" s="17">
        <f>IF(D84="","",B84&amp;"#"&amp;COUNTIFS($B$5:B84,B84))</f>
        <v>0</v>
      </c>
      <c r="AA84" s="17">
        <f>IF(D84="","",B84&amp;"|"&amp;D84)</f>
        <v>0</v>
      </c>
      <c r="AB84" s="31">
        <f>IF(D84="","",IF(B84="","Add - which recipe?",IF(COUNTIFS(Ingredients!$B$5:$B$304,D84)=0,"Missing - not in the Ingredients tab",IF(E84="","Add - no quantity",IF(F84="","Add - no unit",IF(K84&lt;&gt;L84,"Check - recipe in "&amp;K84&amp;", priced in "&amp;L84,IF(COUNTIFS($AA$5:$AA$1204,AA84)&gt;1,"Duplicate - same ingredient twice","OK")))))))</f>
        <v>0</v>
      </c>
    </row>
    <row r="85" spans="1:28">
      <c r="A85" s="39">
        <f>IF(D85="","","RL-"&amp;TEXT(ROW()-4,"0000"))</f>
        <v>0</v>
      </c>
      <c r="B85" s="32" t="s">
        <v>960</v>
      </c>
      <c r="C85" s="17">
        <f>IF(B85="","",IFERROR(INDEX(Recipes!$B$5:$B$204,MATCH(B85,Recipes!$A$5:$A$204,0)),"Not found"))</f>
        <v>0</v>
      </c>
      <c r="D85" s="32" t="s">
        <v>921</v>
      </c>
      <c r="E85" s="38">
        <v>200</v>
      </c>
      <c r="F85" s="32" t="s">
        <v>668</v>
      </c>
      <c r="G85" s="32" t="s">
        <v>934</v>
      </c>
      <c r="H85" s="32" t="s">
        <v>157</v>
      </c>
      <c r="I85" s="40" t="s">
        <v>312</v>
      </c>
      <c r="J85" s="45">
        <f>IF(E85="","",IFERROR(E85*INDEX(UnitFactors,MATCH(F85,UnitNames,0)),""))</f>
        <v>0</v>
      </c>
      <c r="K85" s="17">
        <f>IF(F85="","",IFERROR(INDEX(UnitBases,MATCH(F85,UnitNames,0)),"?"))</f>
        <v>0</v>
      </c>
      <c r="L85" s="17">
        <f>IF(D85="","",IFERROR(INDEX(Ingredients!$G$5:$G$304,MATCH(D85,Ingredients!$B$5:$B$304,0)),"Add to Ingredients"))</f>
        <v>0</v>
      </c>
      <c r="M85" s="25">
        <f>IF(D85="","",IFERROR(INDEX(Ingredients!$J$5:$J$304,MATCH(D85,Ingredients!$B$5:$B$304,0)),"Add to Ingredients"))</f>
        <v>0</v>
      </c>
      <c r="N85" s="25">
        <f>IF(OR(J85="",M85="",NOT(ISNUMBER(M85))),"",IF(K85&lt;&gt;L85,"",J85*M85))</f>
        <v>0</v>
      </c>
      <c r="O85" s="25">
        <f>IF(N85="","",IFERROR(N85/INDEX(Recipes!$G$5:$G$204,MATCH(B85,Recipes!$A$5:$A$204,0)),""))</f>
        <v>0</v>
      </c>
      <c r="P85" s="30">
        <f>IF(J85="","",IF(K85="each",J85,J85/100))</f>
        <v>0</v>
      </c>
      <c r="Q85" s="30">
        <f>IFERROR(IF(P85="","",P85*INDEX(Ingredients!$P$5:$P$304,MATCH(D85,Ingredients!$B$5:$B$304,0))),"")</f>
        <v>0</v>
      </c>
      <c r="R85" s="45">
        <f>IFERROR(IF(P85="","",P85*INDEX(Ingredients!$Q$5:$Q$304,MATCH(D85,Ingredients!$B$5:$B$304,0))),"")</f>
        <v>0</v>
      </c>
      <c r="S85" s="45">
        <f>IFERROR(IF(P85="","",P85*INDEX(Ingredients!$R$5:$R$304,MATCH(D85,Ingredients!$B$5:$B$304,0))),"")</f>
        <v>0</v>
      </c>
      <c r="T85" s="45">
        <f>IFERROR(IF(P85="","",P85*INDEX(Ingredients!$S$5:$S$304,MATCH(D85,Ingredients!$B$5:$B$304,0))),"")</f>
        <v>0</v>
      </c>
      <c r="U85" s="45">
        <f>IFERROR(IF(P85="","",P85*INDEX(Ingredients!$T$5:$T$304,MATCH(D85,Ingredients!$B$5:$B$304,0))),"")</f>
        <v>0</v>
      </c>
      <c r="V85" s="17">
        <f>IF(D85="","",IFERROR(INDEX(Ingredients!$W$5:$W$304,MATCH(D85,Ingredients!$B$5:$B$304,0)),"Add to Ingredients"))</f>
        <v>0</v>
      </c>
      <c r="W85" s="17">
        <f>IF(D85="","",IFERROR(INDEX(Ingredients!$C$5:$C$304,MATCH(D85,Ingredients!$B$5:$B$304,0)),"Add to Ingredients"))</f>
        <v>0</v>
      </c>
      <c r="X85" s="45">
        <f>IFERROR(INDEX(Recipes!$AT$5:$AT$204,MATCH(B85,Recipes!$A$5:$A$204,0)),0)</f>
        <v>0</v>
      </c>
      <c r="Y85" s="45">
        <f>IF(OR(J85="",X85=0),"",J85*X85)</f>
        <v>0</v>
      </c>
      <c r="Z85" s="17">
        <f>IF(D85="","",B85&amp;"#"&amp;COUNTIFS($B$5:B85,B85))</f>
        <v>0</v>
      </c>
      <c r="AA85" s="17">
        <f>IF(D85="","",B85&amp;"|"&amp;D85)</f>
        <v>0</v>
      </c>
      <c r="AB85" s="31">
        <f>IF(D85="","",IF(B85="","Add - which recipe?",IF(COUNTIFS(Ingredients!$B$5:$B$304,D85)=0,"Missing - not in the Ingredients tab",IF(E85="","Add - no quantity",IF(F85="","Add - no unit",IF(K85&lt;&gt;L85,"Check - recipe in "&amp;K85&amp;", priced in "&amp;L85,IF(COUNTIFS($AA$5:$AA$1204,AA85)&gt;1,"Duplicate - same ingredient twice","OK")))))))</f>
        <v>0</v>
      </c>
    </row>
    <row r="86" spans="1:28">
      <c r="A86" s="39">
        <f>IF(D86="","","RL-"&amp;TEXT(ROW()-4,"0000"))</f>
        <v>0</v>
      </c>
      <c r="B86" s="32" t="s">
        <v>960</v>
      </c>
      <c r="C86" s="17">
        <f>IF(B86="","",IFERROR(INDEX(Recipes!$B$5:$B$204,MATCH(B86,Recipes!$A$5:$A$204,0)),"Not found"))</f>
        <v>0</v>
      </c>
      <c r="D86" s="32" t="s">
        <v>892</v>
      </c>
      <c r="E86" s="38">
        <v>1</v>
      </c>
      <c r="F86" s="32" t="s">
        <v>685</v>
      </c>
      <c r="G86" s="32" t="s">
        <v>893</v>
      </c>
      <c r="H86" s="32" t="s">
        <v>157</v>
      </c>
      <c r="I86" s="40" t="s">
        <v>312</v>
      </c>
      <c r="J86" s="45">
        <f>IF(E86="","",IFERROR(E86*INDEX(UnitFactors,MATCH(F86,UnitNames,0)),""))</f>
        <v>0</v>
      </c>
      <c r="K86" s="17">
        <f>IF(F86="","",IFERROR(INDEX(UnitBases,MATCH(F86,UnitNames,0)),"?"))</f>
        <v>0</v>
      </c>
      <c r="L86" s="17">
        <f>IF(D86="","",IFERROR(INDEX(Ingredients!$G$5:$G$304,MATCH(D86,Ingredients!$B$5:$B$304,0)),"Add to Ingredients"))</f>
        <v>0</v>
      </c>
      <c r="M86" s="25">
        <f>IF(D86="","",IFERROR(INDEX(Ingredients!$J$5:$J$304,MATCH(D86,Ingredients!$B$5:$B$304,0)),"Add to Ingredients"))</f>
        <v>0</v>
      </c>
      <c r="N86" s="25">
        <f>IF(OR(J86="",M86="",NOT(ISNUMBER(M86))),"",IF(K86&lt;&gt;L86,"",J86*M86))</f>
        <v>0</v>
      </c>
      <c r="O86" s="25">
        <f>IF(N86="","",IFERROR(N86/INDEX(Recipes!$G$5:$G$204,MATCH(B86,Recipes!$A$5:$A$204,0)),""))</f>
        <v>0</v>
      </c>
      <c r="P86" s="30">
        <f>IF(J86="","",IF(K86="each",J86,J86/100))</f>
        <v>0</v>
      </c>
      <c r="Q86" s="30">
        <f>IFERROR(IF(P86="","",P86*INDEX(Ingredients!$P$5:$P$304,MATCH(D86,Ingredients!$B$5:$B$304,0))),"")</f>
        <v>0</v>
      </c>
      <c r="R86" s="45">
        <f>IFERROR(IF(P86="","",P86*INDEX(Ingredients!$Q$5:$Q$304,MATCH(D86,Ingredients!$B$5:$B$304,0))),"")</f>
        <v>0</v>
      </c>
      <c r="S86" s="45">
        <f>IFERROR(IF(P86="","",P86*INDEX(Ingredients!$R$5:$R$304,MATCH(D86,Ingredients!$B$5:$B$304,0))),"")</f>
        <v>0</v>
      </c>
      <c r="T86" s="45">
        <f>IFERROR(IF(P86="","",P86*INDEX(Ingredients!$S$5:$S$304,MATCH(D86,Ingredients!$B$5:$B$304,0))),"")</f>
        <v>0</v>
      </c>
      <c r="U86" s="45">
        <f>IFERROR(IF(P86="","",P86*INDEX(Ingredients!$T$5:$T$304,MATCH(D86,Ingredients!$B$5:$B$304,0))),"")</f>
        <v>0</v>
      </c>
      <c r="V86" s="17">
        <f>IF(D86="","",IFERROR(INDEX(Ingredients!$W$5:$W$304,MATCH(D86,Ingredients!$B$5:$B$304,0)),"Add to Ingredients"))</f>
        <v>0</v>
      </c>
      <c r="W86" s="17">
        <f>IF(D86="","",IFERROR(INDEX(Ingredients!$C$5:$C$304,MATCH(D86,Ingredients!$B$5:$B$304,0)),"Add to Ingredients"))</f>
        <v>0</v>
      </c>
      <c r="X86" s="45">
        <f>IFERROR(INDEX(Recipes!$AT$5:$AT$204,MATCH(B86,Recipes!$A$5:$A$204,0)),0)</f>
        <v>0</v>
      </c>
      <c r="Y86" s="45">
        <f>IF(OR(J86="",X86=0),"",J86*X86)</f>
        <v>0</v>
      </c>
      <c r="Z86" s="17">
        <f>IF(D86="","",B86&amp;"#"&amp;COUNTIFS($B$5:B86,B86))</f>
        <v>0</v>
      </c>
      <c r="AA86" s="17">
        <f>IF(D86="","",B86&amp;"|"&amp;D86)</f>
        <v>0</v>
      </c>
      <c r="AB86" s="31">
        <f>IF(D86="","",IF(B86="","Add - which recipe?",IF(COUNTIFS(Ingredients!$B$5:$B$304,D86)=0,"Missing - not in the Ingredients tab",IF(E86="","Add - no quantity",IF(F86="","Add - no unit",IF(K86&lt;&gt;L86,"Check - recipe in "&amp;K86&amp;", priced in "&amp;L86,IF(COUNTIFS($AA$5:$AA$1204,AA86)&gt;1,"Duplicate - same ingredient twice","OK")))))))</f>
        <v>0</v>
      </c>
    </row>
    <row r="87" spans="1:28">
      <c r="A87" s="39">
        <f>IF(D87="","","RL-"&amp;TEXT(ROW()-4,"0000"))</f>
        <v>0</v>
      </c>
      <c r="B87" s="32" t="s">
        <v>960</v>
      </c>
      <c r="C87" s="17">
        <f>IF(B87="","",IFERROR(INDEX(Recipes!$B$5:$B$204,MATCH(B87,Recipes!$A$5:$A$204,0)),"Not found"))</f>
        <v>0</v>
      </c>
      <c r="D87" s="32" t="s">
        <v>914</v>
      </c>
      <c r="E87" s="38">
        <v>50</v>
      </c>
      <c r="F87" s="32" t="s">
        <v>668</v>
      </c>
      <c r="G87" s="32" t="s">
        <v>157</v>
      </c>
      <c r="H87" s="32" t="s">
        <v>157</v>
      </c>
      <c r="I87" s="40" t="s">
        <v>312</v>
      </c>
      <c r="J87" s="45">
        <f>IF(E87="","",IFERROR(E87*INDEX(UnitFactors,MATCH(F87,UnitNames,0)),""))</f>
        <v>0</v>
      </c>
      <c r="K87" s="17">
        <f>IF(F87="","",IFERROR(INDEX(UnitBases,MATCH(F87,UnitNames,0)),"?"))</f>
        <v>0</v>
      </c>
      <c r="L87" s="17">
        <f>IF(D87="","",IFERROR(INDEX(Ingredients!$G$5:$G$304,MATCH(D87,Ingredients!$B$5:$B$304,0)),"Add to Ingredients"))</f>
        <v>0</v>
      </c>
      <c r="M87" s="25">
        <f>IF(D87="","",IFERROR(INDEX(Ingredients!$J$5:$J$304,MATCH(D87,Ingredients!$B$5:$B$304,0)),"Add to Ingredients"))</f>
        <v>0</v>
      </c>
      <c r="N87" s="25">
        <f>IF(OR(J87="",M87="",NOT(ISNUMBER(M87))),"",IF(K87&lt;&gt;L87,"",J87*M87))</f>
        <v>0</v>
      </c>
      <c r="O87" s="25">
        <f>IF(N87="","",IFERROR(N87/INDEX(Recipes!$G$5:$G$204,MATCH(B87,Recipes!$A$5:$A$204,0)),""))</f>
        <v>0</v>
      </c>
      <c r="P87" s="30">
        <f>IF(J87="","",IF(K87="each",J87,J87/100))</f>
        <v>0</v>
      </c>
      <c r="Q87" s="30">
        <f>IFERROR(IF(P87="","",P87*INDEX(Ingredients!$P$5:$P$304,MATCH(D87,Ingredients!$B$5:$B$304,0))),"")</f>
        <v>0</v>
      </c>
      <c r="R87" s="45">
        <f>IFERROR(IF(P87="","",P87*INDEX(Ingredients!$Q$5:$Q$304,MATCH(D87,Ingredients!$B$5:$B$304,0))),"")</f>
        <v>0</v>
      </c>
      <c r="S87" s="45">
        <f>IFERROR(IF(P87="","",P87*INDEX(Ingredients!$R$5:$R$304,MATCH(D87,Ingredients!$B$5:$B$304,0))),"")</f>
        <v>0</v>
      </c>
      <c r="T87" s="45">
        <f>IFERROR(IF(P87="","",P87*INDEX(Ingredients!$S$5:$S$304,MATCH(D87,Ingredients!$B$5:$B$304,0))),"")</f>
        <v>0</v>
      </c>
      <c r="U87" s="45">
        <f>IFERROR(IF(P87="","",P87*INDEX(Ingredients!$T$5:$T$304,MATCH(D87,Ingredients!$B$5:$B$304,0))),"")</f>
        <v>0</v>
      </c>
      <c r="V87" s="17">
        <f>IF(D87="","",IFERROR(INDEX(Ingredients!$W$5:$W$304,MATCH(D87,Ingredients!$B$5:$B$304,0)),"Add to Ingredients"))</f>
        <v>0</v>
      </c>
      <c r="W87" s="17">
        <f>IF(D87="","",IFERROR(INDEX(Ingredients!$C$5:$C$304,MATCH(D87,Ingredients!$B$5:$B$304,0)),"Add to Ingredients"))</f>
        <v>0</v>
      </c>
      <c r="X87" s="45">
        <f>IFERROR(INDEX(Recipes!$AT$5:$AT$204,MATCH(B87,Recipes!$A$5:$A$204,0)),0)</f>
        <v>0</v>
      </c>
      <c r="Y87" s="45">
        <f>IF(OR(J87="",X87=0),"",J87*X87)</f>
        <v>0</v>
      </c>
      <c r="Z87" s="17">
        <f>IF(D87="","",B87&amp;"#"&amp;COUNTIFS($B$5:B87,B87))</f>
        <v>0</v>
      </c>
      <c r="AA87" s="17">
        <f>IF(D87="","",B87&amp;"|"&amp;D87)</f>
        <v>0</v>
      </c>
      <c r="AB87" s="31">
        <f>IF(D87="","",IF(B87="","Add - which recipe?",IF(COUNTIFS(Ingredients!$B$5:$B$304,D87)=0,"Missing - not in the Ingredients tab",IF(E87="","Add - no quantity",IF(F87="","Add - no unit",IF(K87&lt;&gt;L87,"Check - recipe in "&amp;K87&amp;", priced in "&amp;L87,IF(COUNTIFS($AA$5:$AA$1204,AA87)&gt;1,"Duplicate - same ingredient twice","OK")))))))</f>
        <v>0</v>
      </c>
    </row>
    <row r="88" spans="1:28">
      <c r="A88" s="39">
        <f>IF(D88="","","RL-"&amp;TEXT(ROW()-4,"0000"))</f>
        <v>0</v>
      </c>
      <c r="B88" s="32" t="s">
        <v>961</v>
      </c>
      <c r="C88" s="17">
        <f>IF(B88="","",IFERROR(INDEX(Recipes!$B$5:$B$204,MATCH(B88,Recipes!$A$5:$A$204,0)),"Not found"))</f>
        <v>0</v>
      </c>
      <c r="D88" s="32" t="s">
        <v>901</v>
      </c>
      <c r="E88" s="38">
        <v>300</v>
      </c>
      <c r="F88" s="32" t="s">
        <v>668</v>
      </c>
      <c r="G88" s="32" t="s">
        <v>911</v>
      </c>
      <c r="H88" s="32" t="s">
        <v>157</v>
      </c>
      <c r="I88" s="40" t="s">
        <v>312</v>
      </c>
      <c r="J88" s="45">
        <f>IF(E88="","",IFERROR(E88*INDEX(UnitFactors,MATCH(F88,UnitNames,0)),""))</f>
        <v>0</v>
      </c>
      <c r="K88" s="17">
        <f>IF(F88="","",IFERROR(INDEX(UnitBases,MATCH(F88,UnitNames,0)),"?"))</f>
        <v>0</v>
      </c>
      <c r="L88" s="17">
        <f>IF(D88="","",IFERROR(INDEX(Ingredients!$G$5:$G$304,MATCH(D88,Ingredients!$B$5:$B$304,0)),"Add to Ingredients"))</f>
        <v>0</v>
      </c>
      <c r="M88" s="25">
        <f>IF(D88="","",IFERROR(INDEX(Ingredients!$J$5:$J$304,MATCH(D88,Ingredients!$B$5:$B$304,0)),"Add to Ingredients"))</f>
        <v>0</v>
      </c>
      <c r="N88" s="25">
        <f>IF(OR(J88="",M88="",NOT(ISNUMBER(M88))),"",IF(K88&lt;&gt;L88,"",J88*M88))</f>
        <v>0</v>
      </c>
      <c r="O88" s="25">
        <f>IF(N88="","",IFERROR(N88/INDEX(Recipes!$G$5:$G$204,MATCH(B88,Recipes!$A$5:$A$204,0)),""))</f>
        <v>0</v>
      </c>
      <c r="P88" s="30">
        <f>IF(J88="","",IF(K88="each",J88,J88/100))</f>
        <v>0</v>
      </c>
      <c r="Q88" s="30">
        <f>IFERROR(IF(P88="","",P88*INDEX(Ingredients!$P$5:$P$304,MATCH(D88,Ingredients!$B$5:$B$304,0))),"")</f>
        <v>0</v>
      </c>
      <c r="R88" s="45">
        <f>IFERROR(IF(P88="","",P88*INDEX(Ingredients!$Q$5:$Q$304,MATCH(D88,Ingredients!$B$5:$B$304,0))),"")</f>
        <v>0</v>
      </c>
      <c r="S88" s="45">
        <f>IFERROR(IF(P88="","",P88*INDEX(Ingredients!$R$5:$R$304,MATCH(D88,Ingredients!$B$5:$B$304,0))),"")</f>
        <v>0</v>
      </c>
      <c r="T88" s="45">
        <f>IFERROR(IF(P88="","",P88*INDEX(Ingredients!$S$5:$S$304,MATCH(D88,Ingredients!$B$5:$B$304,0))),"")</f>
        <v>0</v>
      </c>
      <c r="U88" s="45">
        <f>IFERROR(IF(P88="","",P88*INDEX(Ingredients!$T$5:$T$304,MATCH(D88,Ingredients!$B$5:$B$304,0))),"")</f>
        <v>0</v>
      </c>
      <c r="V88" s="17">
        <f>IF(D88="","",IFERROR(INDEX(Ingredients!$W$5:$W$304,MATCH(D88,Ingredients!$B$5:$B$304,0)),"Add to Ingredients"))</f>
        <v>0</v>
      </c>
      <c r="W88" s="17">
        <f>IF(D88="","",IFERROR(INDEX(Ingredients!$C$5:$C$304,MATCH(D88,Ingredients!$B$5:$B$304,0)),"Add to Ingredients"))</f>
        <v>0</v>
      </c>
      <c r="X88" s="45">
        <f>IFERROR(INDEX(Recipes!$AT$5:$AT$204,MATCH(B88,Recipes!$A$5:$A$204,0)),0)</f>
        <v>0</v>
      </c>
      <c r="Y88" s="45">
        <f>IF(OR(J88="",X88=0),"",J88*X88)</f>
        <v>0</v>
      </c>
      <c r="Z88" s="17">
        <f>IF(D88="","",B88&amp;"#"&amp;COUNTIFS($B$5:B88,B88))</f>
        <v>0</v>
      </c>
      <c r="AA88" s="17">
        <f>IF(D88="","",B88&amp;"|"&amp;D88)</f>
        <v>0</v>
      </c>
      <c r="AB88" s="31">
        <f>IF(D88="","",IF(B88="","Add - which recipe?",IF(COUNTIFS(Ingredients!$B$5:$B$304,D88)=0,"Missing - not in the Ingredients tab",IF(E88="","Add - no quantity",IF(F88="","Add - no unit",IF(K88&lt;&gt;L88,"Check - recipe in "&amp;K88&amp;", priced in "&amp;L88,IF(COUNTIFS($AA$5:$AA$1204,AA88)&gt;1,"Duplicate - same ingredient twice","OK")))))))</f>
        <v>0</v>
      </c>
    </row>
    <row r="89" spans="1:28">
      <c r="A89" s="39">
        <f>IF(D89="","","RL-"&amp;TEXT(ROW()-4,"0000"))</f>
        <v>0</v>
      </c>
      <c r="B89" s="32" t="s">
        <v>961</v>
      </c>
      <c r="C89" s="17">
        <f>IF(B89="","",IFERROR(INDEX(Recipes!$B$5:$B$204,MATCH(B89,Recipes!$A$5:$A$204,0)),"Not found"))</f>
        <v>0</v>
      </c>
      <c r="D89" s="32" t="s">
        <v>890</v>
      </c>
      <c r="E89" s="38">
        <v>300</v>
      </c>
      <c r="F89" s="32" t="s">
        <v>668</v>
      </c>
      <c r="G89" s="32" t="s">
        <v>911</v>
      </c>
      <c r="H89" s="32" t="s">
        <v>157</v>
      </c>
      <c r="I89" s="40" t="s">
        <v>312</v>
      </c>
      <c r="J89" s="45">
        <f>IF(E89="","",IFERROR(E89*INDEX(UnitFactors,MATCH(F89,UnitNames,0)),""))</f>
        <v>0</v>
      </c>
      <c r="K89" s="17">
        <f>IF(F89="","",IFERROR(INDEX(UnitBases,MATCH(F89,UnitNames,0)),"?"))</f>
        <v>0</v>
      </c>
      <c r="L89" s="17">
        <f>IF(D89="","",IFERROR(INDEX(Ingredients!$G$5:$G$304,MATCH(D89,Ingredients!$B$5:$B$304,0)),"Add to Ingredients"))</f>
        <v>0</v>
      </c>
      <c r="M89" s="25">
        <f>IF(D89="","",IFERROR(INDEX(Ingredients!$J$5:$J$304,MATCH(D89,Ingredients!$B$5:$B$304,0)),"Add to Ingredients"))</f>
        <v>0</v>
      </c>
      <c r="N89" s="25">
        <f>IF(OR(J89="",M89="",NOT(ISNUMBER(M89))),"",IF(K89&lt;&gt;L89,"",J89*M89))</f>
        <v>0</v>
      </c>
      <c r="O89" s="25">
        <f>IF(N89="","",IFERROR(N89/INDEX(Recipes!$G$5:$G$204,MATCH(B89,Recipes!$A$5:$A$204,0)),""))</f>
        <v>0</v>
      </c>
      <c r="P89" s="30">
        <f>IF(J89="","",IF(K89="each",J89,J89/100))</f>
        <v>0</v>
      </c>
      <c r="Q89" s="30">
        <f>IFERROR(IF(P89="","",P89*INDEX(Ingredients!$P$5:$P$304,MATCH(D89,Ingredients!$B$5:$B$304,0))),"")</f>
        <v>0</v>
      </c>
      <c r="R89" s="45">
        <f>IFERROR(IF(P89="","",P89*INDEX(Ingredients!$Q$5:$Q$304,MATCH(D89,Ingredients!$B$5:$B$304,0))),"")</f>
        <v>0</v>
      </c>
      <c r="S89" s="45">
        <f>IFERROR(IF(P89="","",P89*INDEX(Ingredients!$R$5:$R$304,MATCH(D89,Ingredients!$B$5:$B$304,0))),"")</f>
        <v>0</v>
      </c>
      <c r="T89" s="45">
        <f>IFERROR(IF(P89="","",P89*INDEX(Ingredients!$S$5:$S$304,MATCH(D89,Ingredients!$B$5:$B$304,0))),"")</f>
        <v>0</v>
      </c>
      <c r="U89" s="45">
        <f>IFERROR(IF(P89="","",P89*INDEX(Ingredients!$T$5:$T$304,MATCH(D89,Ingredients!$B$5:$B$304,0))),"")</f>
        <v>0</v>
      </c>
      <c r="V89" s="17">
        <f>IF(D89="","",IFERROR(INDEX(Ingredients!$W$5:$W$304,MATCH(D89,Ingredients!$B$5:$B$304,0)),"Add to Ingredients"))</f>
        <v>0</v>
      </c>
      <c r="W89" s="17">
        <f>IF(D89="","",IFERROR(INDEX(Ingredients!$C$5:$C$304,MATCH(D89,Ingredients!$B$5:$B$304,0)),"Add to Ingredients"))</f>
        <v>0</v>
      </c>
      <c r="X89" s="45">
        <f>IFERROR(INDEX(Recipes!$AT$5:$AT$204,MATCH(B89,Recipes!$A$5:$A$204,0)),0)</f>
        <v>0</v>
      </c>
      <c r="Y89" s="45">
        <f>IF(OR(J89="",X89=0),"",J89*X89)</f>
        <v>0</v>
      </c>
      <c r="Z89" s="17">
        <f>IF(D89="","",B89&amp;"#"&amp;COUNTIFS($B$5:B89,B89))</f>
        <v>0</v>
      </c>
      <c r="AA89" s="17">
        <f>IF(D89="","",B89&amp;"|"&amp;D89)</f>
        <v>0</v>
      </c>
      <c r="AB89" s="31">
        <f>IF(D89="","",IF(B89="","Add - which recipe?",IF(COUNTIFS(Ingredients!$B$5:$B$304,D89)=0,"Missing - not in the Ingredients tab",IF(E89="","Add - no quantity",IF(F89="","Add - no unit",IF(K89&lt;&gt;L89,"Check - recipe in "&amp;K89&amp;", priced in "&amp;L89,IF(COUNTIFS($AA$5:$AA$1204,AA89)&gt;1,"Duplicate - same ingredient twice","OK")))))))</f>
        <v>0</v>
      </c>
    </row>
    <row r="90" spans="1:28">
      <c r="A90" s="39">
        <f>IF(D90="","","RL-"&amp;TEXT(ROW()-4,"0000"))</f>
        <v>0</v>
      </c>
      <c r="B90" s="32" t="s">
        <v>961</v>
      </c>
      <c r="C90" s="17">
        <f>IF(B90="","",IFERROR(INDEX(Recipes!$B$5:$B$204,MATCH(B90,Recipes!$A$5:$A$204,0)),"Not found"))</f>
        <v>0</v>
      </c>
      <c r="D90" s="32" t="s">
        <v>894</v>
      </c>
      <c r="E90" s="38">
        <v>150</v>
      </c>
      <c r="F90" s="32" t="s">
        <v>668</v>
      </c>
      <c r="G90" s="32" t="s">
        <v>911</v>
      </c>
      <c r="H90" s="32" t="s">
        <v>157</v>
      </c>
      <c r="I90" s="40" t="s">
        <v>312</v>
      </c>
      <c r="J90" s="45">
        <f>IF(E90="","",IFERROR(E90*INDEX(UnitFactors,MATCH(F90,UnitNames,0)),""))</f>
        <v>0</v>
      </c>
      <c r="K90" s="17">
        <f>IF(F90="","",IFERROR(INDEX(UnitBases,MATCH(F90,UnitNames,0)),"?"))</f>
        <v>0</v>
      </c>
      <c r="L90" s="17">
        <f>IF(D90="","",IFERROR(INDEX(Ingredients!$G$5:$G$304,MATCH(D90,Ingredients!$B$5:$B$304,0)),"Add to Ingredients"))</f>
        <v>0</v>
      </c>
      <c r="M90" s="25">
        <f>IF(D90="","",IFERROR(INDEX(Ingredients!$J$5:$J$304,MATCH(D90,Ingredients!$B$5:$B$304,0)),"Add to Ingredients"))</f>
        <v>0</v>
      </c>
      <c r="N90" s="25">
        <f>IF(OR(J90="",M90="",NOT(ISNUMBER(M90))),"",IF(K90&lt;&gt;L90,"",J90*M90))</f>
        <v>0</v>
      </c>
      <c r="O90" s="25">
        <f>IF(N90="","",IFERROR(N90/INDEX(Recipes!$G$5:$G$204,MATCH(B90,Recipes!$A$5:$A$204,0)),""))</f>
        <v>0</v>
      </c>
      <c r="P90" s="30">
        <f>IF(J90="","",IF(K90="each",J90,J90/100))</f>
        <v>0</v>
      </c>
      <c r="Q90" s="30">
        <f>IFERROR(IF(P90="","",P90*INDEX(Ingredients!$P$5:$P$304,MATCH(D90,Ingredients!$B$5:$B$304,0))),"")</f>
        <v>0</v>
      </c>
      <c r="R90" s="45">
        <f>IFERROR(IF(P90="","",P90*INDEX(Ingredients!$Q$5:$Q$304,MATCH(D90,Ingredients!$B$5:$B$304,0))),"")</f>
        <v>0</v>
      </c>
      <c r="S90" s="45">
        <f>IFERROR(IF(P90="","",P90*INDEX(Ingredients!$R$5:$R$304,MATCH(D90,Ingredients!$B$5:$B$304,0))),"")</f>
        <v>0</v>
      </c>
      <c r="T90" s="45">
        <f>IFERROR(IF(P90="","",P90*INDEX(Ingredients!$S$5:$S$304,MATCH(D90,Ingredients!$B$5:$B$304,0))),"")</f>
        <v>0</v>
      </c>
      <c r="U90" s="45">
        <f>IFERROR(IF(P90="","",P90*INDEX(Ingredients!$T$5:$T$304,MATCH(D90,Ingredients!$B$5:$B$304,0))),"")</f>
        <v>0</v>
      </c>
      <c r="V90" s="17">
        <f>IF(D90="","",IFERROR(INDEX(Ingredients!$W$5:$W$304,MATCH(D90,Ingredients!$B$5:$B$304,0)),"Add to Ingredients"))</f>
        <v>0</v>
      </c>
      <c r="W90" s="17">
        <f>IF(D90="","",IFERROR(INDEX(Ingredients!$C$5:$C$304,MATCH(D90,Ingredients!$B$5:$B$304,0)),"Add to Ingredients"))</f>
        <v>0</v>
      </c>
      <c r="X90" s="45">
        <f>IFERROR(INDEX(Recipes!$AT$5:$AT$204,MATCH(B90,Recipes!$A$5:$A$204,0)),0)</f>
        <v>0</v>
      </c>
      <c r="Y90" s="45">
        <f>IF(OR(J90="",X90=0),"",J90*X90)</f>
        <v>0</v>
      </c>
      <c r="Z90" s="17">
        <f>IF(D90="","",B90&amp;"#"&amp;COUNTIFS($B$5:B90,B90))</f>
        <v>0</v>
      </c>
      <c r="AA90" s="17">
        <f>IF(D90="","",B90&amp;"|"&amp;D90)</f>
        <v>0</v>
      </c>
      <c r="AB90" s="31">
        <f>IF(D90="","",IF(B90="","Add - which recipe?",IF(COUNTIFS(Ingredients!$B$5:$B$304,D90)=0,"Missing - not in the Ingredients tab",IF(E90="","Add - no quantity",IF(F90="","Add - no unit",IF(K90&lt;&gt;L90,"Check - recipe in "&amp;K90&amp;", priced in "&amp;L90,IF(COUNTIFS($AA$5:$AA$1204,AA90)&gt;1,"Duplicate - same ingredient twice","OK")))))))</f>
        <v>0</v>
      </c>
    </row>
    <row r="91" spans="1:28">
      <c r="A91" s="39">
        <f>IF(D91="","","RL-"&amp;TEXT(ROW()-4,"0000"))</f>
        <v>0</v>
      </c>
      <c r="B91" s="32" t="s">
        <v>961</v>
      </c>
      <c r="C91" s="17">
        <f>IF(B91="","",IFERROR(INDEX(Recipes!$B$5:$B$204,MATCH(B91,Recipes!$A$5:$A$204,0)),"Not found"))</f>
        <v>0</v>
      </c>
      <c r="D91" s="32" t="s">
        <v>936</v>
      </c>
      <c r="E91" s="38">
        <v>2</v>
      </c>
      <c r="F91" s="32" t="s">
        <v>685</v>
      </c>
      <c r="G91" s="32" t="s">
        <v>157</v>
      </c>
      <c r="H91" s="32" t="s">
        <v>157</v>
      </c>
      <c r="I91" s="40" t="s">
        <v>312</v>
      </c>
      <c r="J91" s="45">
        <f>IF(E91="","",IFERROR(E91*INDEX(UnitFactors,MATCH(F91,UnitNames,0)),""))</f>
        <v>0</v>
      </c>
      <c r="K91" s="17">
        <f>IF(F91="","",IFERROR(INDEX(UnitBases,MATCH(F91,UnitNames,0)),"?"))</f>
        <v>0</v>
      </c>
      <c r="L91" s="17">
        <f>IF(D91="","",IFERROR(INDEX(Ingredients!$G$5:$G$304,MATCH(D91,Ingredients!$B$5:$B$304,0)),"Add to Ingredients"))</f>
        <v>0</v>
      </c>
      <c r="M91" s="25">
        <f>IF(D91="","",IFERROR(INDEX(Ingredients!$J$5:$J$304,MATCH(D91,Ingredients!$B$5:$B$304,0)),"Add to Ingredients"))</f>
        <v>0</v>
      </c>
      <c r="N91" s="25">
        <f>IF(OR(J91="",M91="",NOT(ISNUMBER(M91))),"",IF(K91&lt;&gt;L91,"",J91*M91))</f>
        <v>0</v>
      </c>
      <c r="O91" s="25">
        <f>IF(N91="","",IFERROR(N91/INDEX(Recipes!$G$5:$G$204,MATCH(B91,Recipes!$A$5:$A$204,0)),""))</f>
        <v>0</v>
      </c>
      <c r="P91" s="30">
        <f>IF(J91="","",IF(K91="each",J91,J91/100))</f>
        <v>0</v>
      </c>
      <c r="Q91" s="30">
        <f>IFERROR(IF(P91="","",P91*INDEX(Ingredients!$P$5:$P$304,MATCH(D91,Ingredients!$B$5:$B$304,0))),"")</f>
        <v>0</v>
      </c>
      <c r="R91" s="45">
        <f>IFERROR(IF(P91="","",P91*INDEX(Ingredients!$Q$5:$Q$304,MATCH(D91,Ingredients!$B$5:$B$304,0))),"")</f>
        <v>0</v>
      </c>
      <c r="S91" s="45">
        <f>IFERROR(IF(P91="","",P91*INDEX(Ingredients!$R$5:$R$304,MATCH(D91,Ingredients!$B$5:$B$304,0))),"")</f>
        <v>0</v>
      </c>
      <c r="T91" s="45">
        <f>IFERROR(IF(P91="","",P91*INDEX(Ingredients!$S$5:$S$304,MATCH(D91,Ingredients!$B$5:$B$304,0))),"")</f>
        <v>0</v>
      </c>
      <c r="U91" s="45">
        <f>IFERROR(IF(P91="","",P91*INDEX(Ingredients!$T$5:$T$304,MATCH(D91,Ingredients!$B$5:$B$304,0))),"")</f>
        <v>0</v>
      </c>
      <c r="V91" s="17">
        <f>IF(D91="","",IFERROR(INDEX(Ingredients!$W$5:$W$304,MATCH(D91,Ingredients!$B$5:$B$304,0)),"Add to Ingredients"))</f>
        <v>0</v>
      </c>
      <c r="W91" s="17">
        <f>IF(D91="","",IFERROR(INDEX(Ingredients!$C$5:$C$304,MATCH(D91,Ingredients!$B$5:$B$304,0)),"Add to Ingredients"))</f>
        <v>0</v>
      </c>
      <c r="X91" s="45">
        <f>IFERROR(INDEX(Recipes!$AT$5:$AT$204,MATCH(B91,Recipes!$A$5:$A$204,0)),0)</f>
        <v>0</v>
      </c>
      <c r="Y91" s="45">
        <f>IF(OR(J91="",X91=0),"",J91*X91)</f>
        <v>0</v>
      </c>
      <c r="Z91" s="17">
        <f>IF(D91="","",B91&amp;"#"&amp;COUNTIFS($B$5:B91,B91))</f>
        <v>0</v>
      </c>
      <c r="AA91" s="17">
        <f>IF(D91="","",B91&amp;"|"&amp;D91)</f>
        <v>0</v>
      </c>
      <c r="AB91" s="31">
        <f>IF(D91="","",IF(B91="","Add - which recipe?",IF(COUNTIFS(Ingredients!$B$5:$B$304,D91)=0,"Missing - not in the Ingredients tab",IF(E91="","Add - no quantity",IF(F91="","Add - no unit",IF(K91&lt;&gt;L91,"Check - recipe in "&amp;K91&amp;", priced in "&amp;L91,IF(COUNTIFS($AA$5:$AA$1204,AA91)&gt;1,"Duplicate - same ingredient twice","OK")))))))</f>
        <v>0</v>
      </c>
    </row>
    <row r="92" spans="1:28">
      <c r="A92" s="39">
        <f>IF(D92="","","RL-"&amp;TEXT(ROW()-4,"0000"))</f>
        <v>0</v>
      </c>
      <c r="B92" s="32" t="s">
        <v>961</v>
      </c>
      <c r="C92" s="17">
        <f>IF(B92="","",IFERROR(INDEX(Recipes!$B$5:$B$204,MATCH(B92,Recipes!$A$5:$A$204,0)),"Not found"))</f>
        <v>0</v>
      </c>
      <c r="D92" s="32" t="s">
        <v>896</v>
      </c>
      <c r="E92" s="38">
        <v>1</v>
      </c>
      <c r="F92" s="32" t="s">
        <v>678</v>
      </c>
      <c r="G92" s="32" t="s">
        <v>157</v>
      </c>
      <c r="H92" s="32" t="s">
        <v>157</v>
      </c>
      <c r="I92" s="40" t="s">
        <v>312</v>
      </c>
      <c r="J92" s="45">
        <f>IF(E92="","",IFERROR(E92*INDEX(UnitFactors,MATCH(F92,UnitNames,0)),""))</f>
        <v>0</v>
      </c>
      <c r="K92" s="17">
        <f>IF(F92="","",IFERROR(INDEX(UnitBases,MATCH(F92,UnitNames,0)),"?"))</f>
        <v>0</v>
      </c>
      <c r="L92" s="17">
        <f>IF(D92="","",IFERROR(INDEX(Ingredients!$G$5:$G$304,MATCH(D92,Ingredients!$B$5:$B$304,0)),"Add to Ingredients"))</f>
        <v>0</v>
      </c>
      <c r="M92" s="25">
        <f>IF(D92="","",IFERROR(INDEX(Ingredients!$J$5:$J$304,MATCH(D92,Ingredients!$B$5:$B$304,0)),"Add to Ingredients"))</f>
        <v>0</v>
      </c>
      <c r="N92" s="25">
        <f>IF(OR(J92="",M92="",NOT(ISNUMBER(M92))),"",IF(K92&lt;&gt;L92,"",J92*M92))</f>
        <v>0</v>
      </c>
      <c r="O92" s="25">
        <f>IF(N92="","",IFERROR(N92/INDEX(Recipes!$G$5:$G$204,MATCH(B92,Recipes!$A$5:$A$204,0)),""))</f>
        <v>0</v>
      </c>
      <c r="P92" s="30">
        <f>IF(J92="","",IF(K92="each",J92,J92/100))</f>
        <v>0</v>
      </c>
      <c r="Q92" s="30">
        <f>IFERROR(IF(P92="","",P92*INDEX(Ingredients!$P$5:$P$304,MATCH(D92,Ingredients!$B$5:$B$304,0))),"")</f>
        <v>0</v>
      </c>
      <c r="R92" s="45">
        <f>IFERROR(IF(P92="","",P92*INDEX(Ingredients!$Q$5:$Q$304,MATCH(D92,Ingredients!$B$5:$B$304,0))),"")</f>
        <v>0</v>
      </c>
      <c r="S92" s="45">
        <f>IFERROR(IF(P92="","",P92*INDEX(Ingredients!$R$5:$R$304,MATCH(D92,Ingredients!$B$5:$B$304,0))),"")</f>
        <v>0</v>
      </c>
      <c r="T92" s="45">
        <f>IFERROR(IF(P92="","",P92*INDEX(Ingredients!$S$5:$S$304,MATCH(D92,Ingredients!$B$5:$B$304,0))),"")</f>
        <v>0</v>
      </c>
      <c r="U92" s="45">
        <f>IFERROR(IF(P92="","",P92*INDEX(Ingredients!$T$5:$T$304,MATCH(D92,Ingredients!$B$5:$B$304,0))),"")</f>
        <v>0</v>
      </c>
      <c r="V92" s="17">
        <f>IF(D92="","",IFERROR(INDEX(Ingredients!$W$5:$W$304,MATCH(D92,Ingredients!$B$5:$B$304,0)),"Add to Ingredients"))</f>
        <v>0</v>
      </c>
      <c r="W92" s="17">
        <f>IF(D92="","",IFERROR(INDEX(Ingredients!$C$5:$C$304,MATCH(D92,Ingredients!$B$5:$B$304,0)),"Add to Ingredients"))</f>
        <v>0</v>
      </c>
      <c r="X92" s="45">
        <f>IFERROR(INDEX(Recipes!$AT$5:$AT$204,MATCH(B92,Recipes!$A$5:$A$204,0)),0)</f>
        <v>0</v>
      </c>
      <c r="Y92" s="45">
        <f>IF(OR(J92="",X92=0),"",J92*X92)</f>
        <v>0</v>
      </c>
      <c r="Z92" s="17">
        <f>IF(D92="","",B92&amp;"#"&amp;COUNTIFS($B$5:B92,B92))</f>
        <v>0</v>
      </c>
      <c r="AA92" s="17">
        <f>IF(D92="","",B92&amp;"|"&amp;D92)</f>
        <v>0</v>
      </c>
      <c r="AB92" s="31">
        <f>IF(D92="","",IF(B92="","Add - which recipe?",IF(COUNTIFS(Ingredients!$B$5:$B$304,D92)=0,"Missing - not in the Ingredients tab",IF(E92="","Add - no quantity",IF(F92="","Add - no unit",IF(K92&lt;&gt;L92,"Check - recipe in "&amp;K92&amp;", priced in "&amp;L92,IF(COUNTIFS($AA$5:$AA$1204,AA92)&gt;1,"Duplicate - same ingredient twice","OK")))))))</f>
        <v>0</v>
      </c>
    </row>
    <row r="93" spans="1:28">
      <c r="A93" s="39">
        <f>IF(D93="","","RL-"&amp;TEXT(ROW()-4,"0000"))</f>
        <v>0</v>
      </c>
      <c r="B93" s="32" t="s">
        <v>962</v>
      </c>
      <c r="C93" s="17">
        <f>IF(B93="","",IFERROR(INDEX(Recipes!$B$5:$B$204,MATCH(B93,Recipes!$A$5:$A$204,0)),"Not found"))</f>
        <v>0</v>
      </c>
      <c r="D93" s="32" t="s">
        <v>963</v>
      </c>
      <c r="E93" s="38">
        <v>396</v>
      </c>
      <c r="F93" s="32" t="s">
        <v>668</v>
      </c>
      <c r="G93" s="32" t="s">
        <v>964</v>
      </c>
      <c r="H93" s="32" t="s">
        <v>157</v>
      </c>
      <c r="I93" s="40" t="s">
        <v>312</v>
      </c>
      <c r="J93" s="45">
        <f>IF(E93="","",IFERROR(E93*INDEX(UnitFactors,MATCH(F93,UnitNames,0)),""))</f>
        <v>0</v>
      </c>
      <c r="K93" s="17">
        <f>IF(F93="","",IFERROR(INDEX(UnitBases,MATCH(F93,UnitNames,0)),"?"))</f>
        <v>0</v>
      </c>
      <c r="L93" s="17">
        <f>IF(D93="","",IFERROR(INDEX(Ingredients!$G$5:$G$304,MATCH(D93,Ingredients!$B$5:$B$304,0)),"Add to Ingredients"))</f>
        <v>0</v>
      </c>
      <c r="M93" s="25">
        <f>IF(D93="","",IFERROR(INDEX(Ingredients!$J$5:$J$304,MATCH(D93,Ingredients!$B$5:$B$304,0)),"Add to Ingredients"))</f>
        <v>0</v>
      </c>
      <c r="N93" s="25">
        <f>IF(OR(J93="",M93="",NOT(ISNUMBER(M93))),"",IF(K93&lt;&gt;L93,"",J93*M93))</f>
        <v>0</v>
      </c>
      <c r="O93" s="25">
        <f>IF(N93="","",IFERROR(N93/INDEX(Recipes!$G$5:$G$204,MATCH(B93,Recipes!$A$5:$A$204,0)),""))</f>
        <v>0</v>
      </c>
      <c r="P93" s="30">
        <f>IF(J93="","",IF(K93="each",J93,J93/100))</f>
        <v>0</v>
      </c>
      <c r="Q93" s="30">
        <f>IFERROR(IF(P93="","",P93*INDEX(Ingredients!$P$5:$P$304,MATCH(D93,Ingredients!$B$5:$B$304,0))),"")</f>
        <v>0</v>
      </c>
      <c r="R93" s="45">
        <f>IFERROR(IF(P93="","",P93*INDEX(Ingredients!$Q$5:$Q$304,MATCH(D93,Ingredients!$B$5:$B$304,0))),"")</f>
        <v>0</v>
      </c>
      <c r="S93" s="45">
        <f>IFERROR(IF(P93="","",P93*INDEX(Ingredients!$R$5:$R$304,MATCH(D93,Ingredients!$B$5:$B$304,0))),"")</f>
        <v>0</v>
      </c>
      <c r="T93" s="45">
        <f>IFERROR(IF(P93="","",P93*INDEX(Ingredients!$S$5:$S$304,MATCH(D93,Ingredients!$B$5:$B$304,0))),"")</f>
        <v>0</v>
      </c>
      <c r="U93" s="45">
        <f>IFERROR(IF(P93="","",P93*INDEX(Ingredients!$T$5:$T$304,MATCH(D93,Ingredients!$B$5:$B$304,0))),"")</f>
        <v>0</v>
      </c>
      <c r="V93" s="17">
        <f>IF(D93="","",IFERROR(INDEX(Ingredients!$W$5:$W$304,MATCH(D93,Ingredients!$B$5:$B$304,0)),"Add to Ingredients"))</f>
        <v>0</v>
      </c>
      <c r="W93" s="17">
        <f>IF(D93="","",IFERROR(INDEX(Ingredients!$C$5:$C$304,MATCH(D93,Ingredients!$B$5:$B$304,0)),"Add to Ingredients"))</f>
        <v>0</v>
      </c>
      <c r="X93" s="45">
        <f>IFERROR(INDEX(Recipes!$AT$5:$AT$204,MATCH(B93,Recipes!$A$5:$A$204,0)),0)</f>
        <v>0</v>
      </c>
      <c r="Y93" s="45">
        <f>IF(OR(J93="",X93=0),"",J93*X93)</f>
        <v>0</v>
      </c>
      <c r="Z93" s="17">
        <f>IF(D93="","",B93&amp;"#"&amp;COUNTIFS($B$5:B93,B93))</f>
        <v>0</v>
      </c>
      <c r="AA93" s="17">
        <f>IF(D93="","",B93&amp;"|"&amp;D93)</f>
        <v>0</v>
      </c>
      <c r="AB93" s="31">
        <f>IF(D93="","",IF(B93="","Add - which recipe?",IF(COUNTIFS(Ingredients!$B$5:$B$304,D93)=0,"Missing - not in the Ingredients tab",IF(E93="","Add - no quantity",IF(F93="","Add - no unit",IF(K93&lt;&gt;L93,"Check - recipe in "&amp;K93&amp;", priced in "&amp;L93,IF(COUNTIFS($AA$5:$AA$1204,AA93)&gt;1,"Duplicate - same ingredient twice","OK")))))))</f>
        <v>0</v>
      </c>
    </row>
    <row r="94" spans="1:28">
      <c r="A94" s="39">
        <f>IF(D94="","","RL-"&amp;TEXT(ROW()-4,"0000"))</f>
        <v>0</v>
      </c>
      <c r="B94" s="32" t="s">
        <v>962</v>
      </c>
      <c r="C94" s="17">
        <f>IF(B94="","",IFERROR(INDEX(Recipes!$B$5:$B$204,MATCH(B94,Recipes!$A$5:$A$204,0)),"Not found"))</f>
        <v>0</v>
      </c>
      <c r="D94" s="32" t="s">
        <v>918</v>
      </c>
      <c r="E94" s="38">
        <v>200</v>
      </c>
      <c r="F94" s="32" t="s">
        <v>668</v>
      </c>
      <c r="G94" s="32" t="s">
        <v>965</v>
      </c>
      <c r="H94" s="32" t="s">
        <v>157</v>
      </c>
      <c r="I94" s="40" t="s">
        <v>312</v>
      </c>
      <c r="J94" s="45">
        <f>IF(E94="","",IFERROR(E94*INDEX(UnitFactors,MATCH(F94,UnitNames,0)),""))</f>
        <v>0</v>
      </c>
      <c r="K94" s="17">
        <f>IF(F94="","",IFERROR(INDEX(UnitBases,MATCH(F94,UnitNames,0)),"?"))</f>
        <v>0</v>
      </c>
      <c r="L94" s="17">
        <f>IF(D94="","",IFERROR(INDEX(Ingredients!$G$5:$G$304,MATCH(D94,Ingredients!$B$5:$B$304,0)),"Add to Ingredients"))</f>
        <v>0</v>
      </c>
      <c r="M94" s="25">
        <f>IF(D94="","",IFERROR(INDEX(Ingredients!$J$5:$J$304,MATCH(D94,Ingredients!$B$5:$B$304,0)),"Add to Ingredients"))</f>
        <v>0</v>
      </c>
      <c r="N94" s="25">
        <f>IF(OR(J94="",M94="",NOT(ISNUMBER(M94))),"",IF(K94&lt;&gt;L94,"",J94*M94))</f>
        <v>0</v>
      </c>
      <c r="O94" s="25">
        <f>IF(N94="","",IFERROR(N94/INDEX(Recipes!$G$5:$G$204,MATCH(B94,Recipes!$A$5:$A$204,0)),""))</f>
        <v>0</v>
      </c>
      <c r="P94" s="30">
        <f>IF(J94="","",IF(K94="each",J94,J94/100))</f>
        <v>0</v>
      </c>
      <c r="Q94" s="30">
        <f>IFERROR(IF(P94="","",P94*INDEX(Ingredients!$P$5:$P$304,MATCH(D94,Ingredients!$B$5:$B$304,0))),"")</f>
        <v>0</v>
      </c>
      <c r="R94" s="45">
        <f>IFERROR(IF(P94="","",P94*INDEX(Ingredients!$Q$5:$Q$304,MATCH(D94,Ingredients!$B$5:$B$304,0))),"")</f>
        <v>0</v>
      </c>
      <c r="S94" s="45">
        <f>IFERROR(IF(P94="","",P94*INDEX(Ingredients!$R$5:$R$304,MATCH(D94,Ingredients!$B$5:$B$304,0))),"")</f>
        <v>0</v>
      </c>
      <c r="T94" s="45">
        <f>IFERROR(IF(P94="","",P94*INDEX(Ingredients!$S$5:$S$304,MATCH(D94,Ingredients!$B$5:$B$304,0))),"")</f>
        <v>0</v>
      </c>
      <c r="U94" s="45">
        <f>IFERROR(IF(P94="","",P94*INDEX(Ingredients!$T$5:$T$304,MATCH(D94,Ingredients!$B$5:$B$304,0))),"")</f>
        <v>0</v>
      </c>
      <c r="V94" s="17">
        <f>IF(D94="","",IFERROR(INDEX(Ingredients!$W$5:$W$304,MATCH(D94,Ingredients!$B$5:$B$304,0)),"Add to Ingredients"))</f>
        <v>0</v>
      </c>
      <c r="W94" s="17">
        <f>IF(D94="","",IFERROR(INDEX(Ingredients!$C$5:$C$304,MATCH(D94,Ingredients!$B$5:$B$304,0)),"Add to Ingredients"))</f>
        <v>0</v>
      </c>
      <c r="X94" s="45">
        <f>IFERROR(INDEX(Recipes!$AT$5:$AT$204,MATCH(B94,Recipes!$A$5:$A$204,0)),0)</f>
        <v>0</v>
      </c>
      <c r="Y94" s="45">
        <f>IF(OR(J94="",X94=0),"",J94*X94)</f>
        <v>0</v>
      </c>
      <c r="Z94" s="17">
        <f>IF(D94="","",B94&amp;"#"&amp;COUNTIFS($B$5:B94,B94))</f>
        <v>0</v>
      </c>
      <c r="AA94" s="17">
        <f>IF(D94="","",B94&amp;"|"&amp;D94)</f>
        <v>0</v>
      </c>
      <c r="AB94" s="31">
        <f>IF(D94="","",IF(B94="","Add - which recipe?",IF(COUNTIFS(Ingredients!$B$5:$B$304,D94)=0,"Missing - not in the Ingredients tab",IF(E94="","Add - no quantity",IF(F94="","Add - no unit",IF(K94&lt;&gt;L94,"Check - recipe in "&amp;K94&amp;", priced in "&amp;L94,IF(COUNTIFS($AA$5:$AA$1204,AA94)&gt;1,"Duplicate - same ingredient twice","OK")))))))</f>
        <v>0</v>
      </c>
    </row>
    <row r="95" spans="1:28">
      <c r="A95" s="39">
        <f>IF(D95="","","RL-"&amp;TEXT(ROW()-4,"0000"))</f>
        <v>0</v>
      </c>
      <c r="B95" s="32" t="s">
        <v>962</v>
      </c>
      <c r="C95" s="17">
        <f>IF(B95="","",IFERROR(INDEX(Recipes!$B$5:$B$204,MATCH(B95,Recipes!$A$5:$A$204,0)),"Not found"))</f>
        <v>0</v>
      </c>
      <c r="D95" s="32" t="s">
        <v>892</v>
      </c>
      <c r="E95" s="38">
        <v>2</v>
      </c>
      <c r="F95" s="32" t="s">
        <v>685</v>
      </c>
      <c r="G95" s="32" t="s">
        <v>893</v>
      </c>
      <c r="H95" s="32" t="s">
        <v>157</v>
      </c>
      <c r="I95" s="40" t="s">
        <v>312</v>
      </c>
      <c r="J95" s="45">
        <f>IF(E95="","",IFERROR(E95*INDEX(UnitFactors,MATCH(F95,UnitNames,0)),""))</f>
        <v>0</v>
      </c>
      <c r="K95" s="17">
        <f>IF(F95="","",IFERROR(INDEX(UnitBases,MATCH(F95,UnitNames,0)),"?"))</f>
        <v>0</v>
      </c>
      <c r="L95" s="17">
        <f>IF(D95="","",IFERROR(INDEX(Ingredients!$G$5:$G$304,MATCH(D95,Ingredients!$B$5:$B$304,0)),"Add to Ingredients"))</f>
        <v>0</v>
      </c>
      <c r="M95" s="25">
        <f>IF(D95="","",IFERROR(INDEX(Ingredients!$J$5:$J$304,MATCH(D95,Ingredients!$B$5:$B$304,0)),"Add to Ingredients"))</f>
        <v>0</v>
      </c>
      <c r="N95" s="25">
        <f>IF(OR(J95="",M95="",NOT(ISNUMBER(M95))),"",IF(K95&lt;&gt;L95,"",J95*M95))</f>
        <v>0</v>
      </c>
      <c r="O95" s="25">
        <f>IF(N95="","",IFERROR(N95/INDEX(Recipes!$G$5:$G$204,MATCH(B95,Recipes!$A$5:$A$204,0)),""))</f>
        <v>0</v>
      </c>
      <c r="P95" s="30">
        <f>IF(J95="","",IF(K95="each",J95,J95/100))</f>
        <v>0</v>
      </c>
      <c r="Q95" s="30">
        <f>IFERROR(IF(P95="","",P95*INDEX(Ingredients!$P$5:$P$304,MATCH(D95,Ingredients!$B$5:$B$304,0))),"")</f>
        <v>0</v>
      </c>
      <c r="R95" s="45">
        <f>IFERROR(IF(P95="","",P95*INDEX(Ingredients!$Q$5:$Q$304,MATCH(D95,Ingredients!$B$5:$B$304,0))),"")</f>
        <v>0</v>
      </c>
      <c r="S95" s="45">
        <f>IFERROR(IF(P95="","",P95*INDEX(Ingredients!$R$5:$R$304,MATCH(D95,Ingredients!$B$5:$B$304,0))),"")</f>
        <v>0</v>
      </c>
      <c r="T95" s="45">
        <f>IFERROR(IF(P95="","",P95*INDEX(Ingredients!$S$5:$S$304,MATCH(D95,Ingredients!$B$5:$B$304,0))),"")</f>
        <v>0</v>
      </c>
      <c r="U95" s="45">
        <f>IFERROR(IF(P95="","",P95*INDEX(Ingredients!$T$5:$T$304,MATCH(D95,Ingredients!$B$5:$B$304,0))),"")</f>
        <v>0</v>
      </c>
      <c r="V95" s="17">
        <f>IF(D95="","",IFERROR(INDEX(Ingredients!$W$5:$W$304,MATCH(D95,Ingredients!$B$5:$B$304,0)),"Add to Ingredients"))</f>
        <v>0</v>
      </c>
      <c r="W95" s="17">
        <f>IF(D95="","",IFERROR(INDEX(Ingredients!$C$5:$C$304,MATCH(D95,Ingredients!$B$5:$B$304,0)),"Add to Ingredients"))</f>
        <v>0</v>
      </c>
      <c r="X95" s="45">
        <f>IFERROR(INDEX(Recipes!$AT$5:$AT$204,MATCH(B95,Recipes!$A$5:$A$204,0)),0)</f>
        <v>0</v>
      </c>
      <c r="Y95" s="45">
        <f>IF(OR(J95="",X95=0),"",J95*X95)</f>
        <v>0</v>
      </c>
      <c r="Z95" s="17">
        <f>IF(D95="","",B95&amp;"#"&amp;COUNTIFS($B$5:B95,B95))</f>
        <v>0</v>
      </c>
      <c r="AA95" s="17">
        <f>IF(D95="","",B95&amp;"|"&amp;D95)</f>
        <v>0</v>
      </c>
      <c r="AB95" s="31">
        <f>IF(D95="","",IF(B95="","Add - which recipe?",IF(COUNTIFS(Ingredients!$B$5:$B$304,D95)=0,"Missing - not in the Ingredients tab",IF(E95="","Add - no quantity",IF(F95="","Add - no unit",IF(K95&lt;&gt;L95,"Check - recipe in "&amp;K95&amp;", priced in "&amp;L95,IF(COUNTIFS($AA$5:$AA$1204,AA95)&gt;1,"Duplicate - same ingredient twice","OK")))))))</f>
        <v>0</v>
      </c>
    </row>
    <row r="96" spans="1:28">
      <c r="A96" s="39">
        <f>IF(D96="","","RL-"&amp;TEXT(ROW()-4,"0000"))</f>
        <v>0</v>
      </c>
      <c r="B96" s="32" t="s">
        <v>962</v>
      </c>
      <c r="C96" s="17">
        <f>IF(B96="","",IFERROR(INDEX(Recipes!$B$5:$B$204,MATCH(B96,Recipes!$A$5:$A$204,0)),"Not found"))</f>
        <v>0</v>
      </c>
      <c r="D96" s="32" t="s">
        <v>940</v>
      </c>
      <c r="E96" s="38">
        <v>4</v>
      </c>
      <c r="F96" s="32" t="s">
        <v>678</v>
      </c>
      <c r="G96" s="32" t="s">
        <v>157</v>
      </c>
      <c r="H96" s="32" t="s">
        <v>157</v>
      </c>
      <c r="I96" s="40" t="s">
        <v>312</v>
      </c>
      <c r="J96" s="45">
        <f>IF(E96="","",IFERROR(E96*INDEX(UnitFactors,MATCH(F96,UnitNames,0)),""))</f>
        <v>0</v>
      </c>
      <c r="K96" s="17">
        <f>IF(F96="","",IFERROR(INDEX(UnitBases,MATCH(F96,UnitNames,0)),"?"))</f>
        <v>0</v>
      </c>
      <c r="L96" s="17">
        <f>IF(D96="","",IFERROR(INDEX(Ingredients!$G$5:$G$304,MATCH(D96,Ingredients!$B$5:$B$304,0)),"Add to Ingredients"))</f>
        <v>0</v>
      </c>
      <c r="M96" s="25">
        <f>IF(D96="","",IFERROR(INDEX(Ingredients!$J$5:$J$304,MATCH(D96,Ingredients!$B$5:$B$304,0)),"Add to Ingredients"))</f>
        <v>0</v>
      </c>
      <c r="N96" s="25">
        <f>IF(OR(J96="",M96="",NOT(ISNUMBER(M96))),"",IF(K96&lt;&gt;L96,"",J96*M96))</f>
        <v>0</v>
      </c>
      <c r="O96" s="25">
        <f>IF(N96="","",IFERROR(N96/INDEX(Recipes!$G$5:$G$204,MATCH(B96,Recipes!$A$5:$A$204,0)),""))</f>
        <v>0</v>
      </c>
      <c r="P96" s="30">
        <f>IF(J96="","",IF(K96="each",J96,J96/100))</f>
        <v>0</v>
      </c>
      <c r="Q96" s="30">
        <f>IFERROR(IF(P96="","",P96*INDEX(Ingredients!$P$5:$P$304,MATCH(D96,Ingredients!$B$5:$B$304,0))),"")</f>
        <v>0</v>
      </c>
      <c r="R96" s="45">
        <f>IFERROR(IF(P96="","",P96*INDEX(Ingredients!$Q$5:$Q$304,MATCH(D96,Ingredients!$B$5:$B$304,0))),"")</f>
        <v>0</v>
      </c>
      <c r="S96" s="45">
        <f>IFERROR(IF(P96="","",P96*INDEX(Ingredients!$R$5:$R$304,MATCH(D96,Ingredients!$B$5:$B$304,0))),"")</f>
        <v>0</v>
      </c>
      <c r="T96" s="45">
        <f>IFERROR(IF(P96="","",P96*INDEX(Ingredients!$S$5:$S$304,MATCH(D96,Ingredients!$B$5:$B$304,0))),"")</f>
        <v>0</v>
      </c>
      <c r="U96" s="45">
        <f>IFERROR(IF(P96="","",P96*INDEX(Ingredients!$T$5:$T$304,MATCH(D96,Ingredients!$B$5:$B$304,0))),"")</f>
        <v>0</v>
      </c>
      <c r="V96" s="17">
        <f>IF(D96="","",IFERROR(INDEX(Ingredients!$W$5:$W$304,MATCH(D96,Ingredients!$B$5:$B$304,0)),"Add to Ingredients"))</f>
        <v>0</v>
      </c>
      <c r="W96" s="17">
        <f>IF(D96="","",IFERROR(INDEX(Ingredients!$C$5:$C$304,MATCH(D96,Ingredients!$B$5:$B$304,0)),"Add to Ingredients"))</f>
        <v>0</v>
      </c>
      <c r="X96" s="45">
        <f>IFERROR(INDEX(Recipes!$AT$5:$AT$204,MATCH(B96,Recipes!$A$5:$A$204,0)),0)</f>
        <v>0</v>
      </c>
      <c r="Y96" s="45">
        <f>IF(OR(J96="",X96=0),"",J96*X96)</f>
        <v>0</v>
      </c>
      <c r="Z96" s="17">
        <f>IF(D96="","",B96&amp;"#"&amp;COUNTIFS($B$5:B96,B96))</f>
        <v>0</v>
      </c>
      <c r="AA96" s="17">
        <f>IF(D96="","",B96&amp;"|"&amp;D96)</f>
        <v>0</v>
      </c>
      <c r="AB96" s="31">
        <f>IF(D96="","",IF(B96="","Add - which recipe?",IF(COUNTIFS(Ingredients!$B$5:$B$304,D96)=0,"Missing - not in the Ingredients tab",IF(E96="","Add - no quantity",IF(F96="","Add - no unit",IF(K96&lt;&gt;L96,"Check - recipe in "&amp;K96&amp;", priced in "&amp;L96,IF(COUNTIFS($AA$5:$AA$1204,AA96)&gt;1,"Duplicate - same ingredient twice","OK")))))))</f>
        <v>0</v>
      </c>
    </row>
    <row r="97" spans="1:28">
      <c r="A97" s="39">
        <f>IF(D97="","","RL-"&amp;TEXT(ROW()-4,"0000"))</f>
        <v>0</v>
      </c>
      <c r="B97" s="32" t="s">
        <v>962</v>
      </c>
      <c r="C97" s="17">
        <f>IF(B97="","",IFERROR(INDEX(Recipes!$B$5:$B$204,MATCH(B97,Recipes!$A$5:$A$204,0)),"Not found"))</f>
        <v>0</v>
      </c>
      <c r="D97" s="32" t="s">
        <v>923</v>
      </c>
      <c r="E97" s="38">
        <v>300</v>
      </c>
      <c r="F97" s="32" t="s">
        <v>668</v>
      </c>
      <c r="G97" s="32" t="s">
        <v>157</v>
      </c>
      <c r="H97" s="32" t="s">
        <v>157</v>
      </c>
      <c r="I97" s="40" t="s">
        <v>312</v>
      </c>
      <c r="J97" s="45">
        <f>IF(E97="","",IFERROR(E97*INDEX(UnitFactors,MATCH(F97,UnitNames,0)),""))</f>
        <v>0</v>
      </c>
      <c r="K97" s="17">
        <f>IF(F97="","",IFERROR(INDEX(UnitBases,MATCH(F97,UnitNames,0)),"?"))</f>
        <v>0</v>
      </c>
      <c r="L97" s="17">
        <f>IF(D97="","",IFERROR(INDEX(Ingredients!$G$5:$G$304,MATCH(D97,Ingredients!$B$5:$B$304,0)),"Add to Ingredients"))</f>
        <v>0</v>
      </c>
      <c r="M97" s="25">
        <f>IF(D97="","",IFERROR(INDEX(Ingredients!$J$5:$J$304,MATCH(D97,Ingredients!$B$5:$B$304,0)),"Add to Ingredients"))</f>
        <v>0</v>
      </c>
      <c r="N97" s="25">
        <f>IF(OR(J97="",M97="",NOT(ISNUMBER(M97))),"",IF(K97&lt;&gt;L97,"",J97*M97))</f>
        <v>0</v>
      </c>
      <c r="O97" s="25">
        <f>IF(N97="","",IFERROR(N97/INDEX(Recipes!$G$5:$G$204,MATCH(B97,Recipes!$A$5:$A$204,0)),""))</f>
        <v>0</v>
      </c>
      <c r="P97" s="30">
        <f>IF(J97="","",IF(K97="each",J97,J97/100))</f>
        <v>0</v>
      </c>
      <c r="Q97" s="30">
        <f>IFERROR(IF(P97="","",P97*INDEX(Ingredients!$P$5:$P$304,MATCH(D97,Ingredients!$B$5:$B$304,0))),"")</f>
        <v>0</v>
      </c>
      <c r="R97" s="45">
        <f>IFERROR(IF(P97="","",P97*INDEX(Ingredients!$Q$5:$Q$304,MATCH(D97,Ingredients!$B$5:$B$304,0))),"")</f>
        <v>0</v>
      </c>
      <c r="S97" s="45">
        <f>IFERROR(IF(P97="","",P97*INDEX(Ingredients!$R$5:$R$304,MATCH(D97,Ingredients!$B$5:$B$304,0))),"")</f>
        <v>0</v>
      </c>
      <c r="T97" s="45">
        <f>IFERROR(IF(P97="","",P97*INDEX(Ingredients!$S$5:$S$304,MATCH(D97,Ingredients!$B$5:$B$304,0))),"")</f>
        <v>0</v>
      </c>
      <c r="U97" s="45">
        <f>IFERROR(IF(P97="","",P97*INDEX(Ingredients!$T$5:$T$304,MATCH(D97,Ingredients!$B$5:$B$304,0))),"")</f>
        <v>0</v>
      </c>
      <c r="V97" s="17">
        <f>IF(D97="","",IFERROR(INDEX(Ingredients!$W$5:$W$304,MATCH(D97,Ingredients!$B$5:$B$304,0)),"Add to Ingredients"))</f>
        <v>0</v>
      </c>
      <c r="W97" s="17">
        <f>IF(D97="","",IFERROR(INDEX(Ingredients!$C$5:$C$304,MATCH(D97,Ingredients!$B$5:$B$304,0)),"Add to Ingredients"))</f>
        <v>0</v>
      </c>
      <c r="X97" s="45">
        <f>IFERROR(INDEX(Recipes!$AT$5:$AT$204,MATCH(B97,Recipes!$A$5:$A$204,0)),0)</f>
        <v>0</v>
      </c>
      <c r="Y97" s="45">
        <f>IF(OR(J97="",X97=0),"",J97*X97)</f>
        <v>0</v>
      </c>
      <c r="Z97" s="17">
        <f>IF(D97="","",B97&amp;"#"&amp;COUNTIFS($B$5:B97,B97))</f>
        <v>0</v>
      </c>
      <c r="AA97" s="17">
        <f>IF(D97="","",B97&amp;"|"&amp;D97)</f>
        <v>0</v>
      </c>
      <c r="AB97" s="31">
        <f>IF(D97="","",IF(B97="","Add - which recipe?",IF(COUNTIFS(Ingredients!$B$5:$B$304,D97)=0,"Missing - not in the Ingredients tab",IF(E97="","Add - no quantity",IF(F97="","Add - no unit",IF(K97&lt;&gt;L97,"Check - recipe in "&amp;K97&amp;", priced in "&amp;L97,IF(COUNTIFS($AA$5:$AA$1204,AA97)&gt;1,"Duplicate - same ingredient twice","OK")))))))</f>
        <v>0</v>
      </c>
    </row>
    <row r="98" spans="1:28">
      <c r="A98" s="39">
        <f>IF(D98="","","RL-"&amp;TEXT(ROW()-4,"0000"))</f>
        <v>0</v>
      </c>
      <c r="B98" s="32" t="s">
        <v>962</v>
      </c>
      <c r="C98" s="17">
        <f>IF(B98="","",IFERROR(INDEX(Recipes!$B$5:$B$204,MATCH(B98,Recipes!$A$5:$A$204,0)),"Not found"))</f>
        <v>0</v>
      </c>
      <c r="D98" s="32" t="s">
        <v>903</v>
      </c>
      <c r="E98" s="38">
        <v>2</v>
      </c>
      <c r="F98" s="32" t="s">
        <v>687</v>
      </c>
      <c r="G98" s="32" t="s">
        <v>893</v>
      </c>
      <c r="H98" s="32" t="s">
        <v>157</v>
      </c>
      <c r="I98" s="40" t="s">
        <v>312</v>
      </c>
      <c r="J98" s="45">
        <f>IF(E98="","",IFERROR(E98*INDEX(UnitFactors,MATCH(F98,UnitNames,0)),""))</f>
        <v>0</v>
      </c>
      <c r="K98" s="17">
        <f>IF(F98="","",IFERROR(INDEX(UnitBases,MATCH(F98,UnitNames,0)),"?"))</f>
        <v>0</v>
      </c>
      <c r="L98" s="17">
        <f>IF(D98="","",IFERROR(INDEX(Ingredients!$G$5:$G$304,MATCH(D98,Ingredients!$B$5:$B$304,0)),"Add to Ingredients"))</f>
        <v>0</v>
      </c>
      <c r="M98" s="25">
        <f>IF(D98="","",IFERROR(INDEX(Ingredients!$J$5:$J$304,MATCH(D98,Ingredients!$B$5:$B$304,0)),"Add to Ingredients"))</f>
        <v>0</v>
      </c>
      <c r="N98" s="25">
        <f>IF(OR(J98="",M98="",NOT(ISNUMBER(M98))),"",IF(K98&lt;&gt;L98,"",J98*M98))</f>
        <v>0</v>
      </c>
      <c r="O98" s="25">
        <f>IF(N98="","",IFERROR(N98/INDEX(Recipes!$G$5:$G$204,MATCH(B98,Recipes!$A$5:$A$204,0)),""))</f>
        <v>0</v>
      </c>
      <c r="P98" s="30">
        <f>IF(J98="","",IF(K98="each",J98,J98/100))</f>
        <v>0</v>
      </c>
      <c r="Q98" s="30">
        <f>IFERROR(IF(P98="","",P98*INDEX(Ingredients!$P$5:$P$304,MATCH(D98,Ingredients!$B$5:$B$304,0))),"")</f>
        <v>0</v>
      </c>
      <c r="R98" s="45">
        <f>IFERROR(IF(P98="","",P98*INDEX(Ingredients!$Q$5:$Q$304,MATCH(D98,Ingredients!$B$5:$B$304,0))),"")</f>
        <v>0</v>
      </c>
      <c r="S98" s="45">
        <f>IFERROR(IF(P98="","",P98*INDEX(Ingredients!$R$5:$R$304,MATCH(D98,Ingredients!$B$5:$B$304,0))),"")</f>
        <v>0</v>
      </c>
      <c r="T98" s="45">
        <f>IFERROR(IF(P98="","",P98*INDEX(Ingredients!$S$5:$S$304,MATCH(D98,Ingredients!$B$5:$B$304,0))),"")</f>
        <v>0</v>
      </c>
      <c r="U98" s="45">
        <f>IFERROR(IF(P98="","",P98*INDEX(Ingredients!$T$5:$T$304,MATCH(D98,Ingredients!$B$5:$B$304,0))),"")</f>
        <v>0</v>
      </c>
      <c r="V98" s="17">
        <f>IF(D98="","",IFERROR(INDEX(Ingredients!$W$5:$W$304,MATCH(D98,Ingredients!$B$5:$B$304,0)),"Add to Ingredients"))</f>
        <v>0</v>
      </c>
      <c r="W98" s="17">
        <f>IF(D98="","",IFERROR(INDEX(Ingredients!$C$5:$C$304,MATCH(D98,Ingredients!$B$5:$B$304,0)),"Add to Ingredients"))</f>
        <v>0</v>
      </c>
      <c r="X98" s="45">
        <f>IFERROR(INDEX(Recipes!$AT$5:$AT$204,MATCH(B98,Recipes!$A$5:$A$204,0)),0)</f>
        <v>0</v>
      </c>
      <c r="Y98" s="45">
        <f>IF(OR(J98="",X98=0),"",J98*X98)</f>
        <v>0</v>
      </c>
      <c r="Z98" s="17">
        <f>IF(D98="","",B98&amp;"#"&amp;COUNTIFS($B$5:B98,B98))</f>
        <v>0</v>
      </c>
      <c r="AA98" s="17">
        <f>IF(D98="","",B98&amp;"|"&amp;D98)</f>
        <v>0</v>
      </c>
      <c r="AB98" s="31">
        <f>IF(D98="","",IF(B98="","Add - which recipe?",IF(COUNTIFS(Ingredients!$B$5:$B$304,D98)=0,"Missing - not in the Ingredients tab",IF(E98="","Add - no quantity",IF(F98="","Add - no unit",IF(K98&lt;&gt;L98,"Check - recipe in "&amp;K98&amp;", priced in "&amp;L98,IF(COUNTIFS($AA$5:$AA$1204,AA98)&gt;1,"Duplicate - same ingredient twice","OK")))))))</f>
        <v>0</v>
      </c>
    </row>
    <row r="99" spans="1:28">
      <c r="A99" s="39">
        <f>IF(D99="","","RL-"&amp;TEXT(ROW()-4,"0000"))</f>
        <v>0</v>
      </c>
      <c r="B99" s="32" t="s">
        <v>966</v>
      </c>
      <c r="C99" s="17">
        <f>IF(B99="","",IFERROR(INDEX(Recipes!$B$5:$B$204,MATCH(B99,Recipes!$A$5:$A$204,0)),"Not found"))</f>
        <v>0</v>
      </c>
      <c r="D99" s="32" t="s">
        <v>967</v>
      </c>
      <c r="E99" s="38">
        <v>6</v>
      </c>
      <c r="F99" s="32" t="s">
        <v>685</v>
      </c>
      <c r="G99" s="32" t="s">
        <v>968</v>
      </c>
      <c r="H99" s="32" t="s">
        <v>157</v>
      </c>
      <c r="I99" s="40" t="s">
        <v>312</v>
      </c>
      <c r="J99" s="45">
        <f>IF(E99="","",IFERROR(E99*INDEX(UnitFactors,MATCH(F99,UnitNames,0)),""))</f>
        <v>0</v>
      </c>
      <c r="K99" s="17">
        <f>IF(F99="","",IFERROR(INDEX(UnitBases,MATCH(F99,UnitNames,0)),"?"))</f>
        <v>0</v>
      </c>
      <c r="L99" s="17">
        <f>IF(D99="","",IFERROR(INDEX(Ingredients!$G$5:$G$304,MATCH(D99,Ingredients!$B$5:$B$304,0)),"Add to Ingredients"))</f>
        <v>0</v>
      </c>
      <c r="M99" s="25">
        <f>IF(D99="","",IFERROR(INDEX(Ingredients!$J$5:$J$304,MATCH(D99,Ingredients!$B$5:$B$304,0)),"Add to Ingredients"))</f>
        <v>0</v>
      </c>
      <c r="N99" s="25">
        <f>IF(OR(J99="",M99="",NOT(ISNUMBER(M99))),"",IF(K99&lt;&gt;L99,"",J99*M99))</f>
        <v>0</v>
      </c>
      <c r="O99" s="25">
        <f>IF(N99="","",IFERROR(N99/INDEX(Recipes!$G$5:$G$204,MATCH(B99,Recipes!$A$5:$A$204,0)),""))</f>
        <v>0</v>
      </c>
      <c r="P99" s="30">
        <f>IF(J99="","",IF(K99="each",J99,J99/100))</f>
        <v>0</v>
      </c>
      <c r="Q99" s="30">
        <f>IFERROR(IF(P99="","",P99*INDEX(Ingredients!$P$5:$P$304,MATCH(D99,Ingredients!$B$5:$B$304,0))),"")</f>
        <v>0</v>
      </c>
      <c r="R99" s="45">
        <f>IFERROR(IF(P99="","",P99*INDEX(Ingredients!$Q$5:$Q$304,MATCH(D99,Ingredients!$B$5:$B$304,0))),"")</f>
        <v>0</v>
      </c>
      <c r="S99" s="45">
        <f>IFERROR(IF(P99="","",P99*INDEX(Ingredients!$R$5:$R$304,MATCH(D99,Ingredients!$B$5:$B$304,0))),"")</f>
        <v>0</v>
      </c>
      <c r="T99" s="45">
        <f>IFERROR(IF(P99="","",P99*INDEX(Ingredients!$S$5:$S$304,MATCH(D99,Ingredients!$B$5:$B$304,0))),"")</f>
        <v>0</v>
      </c>
      <c r="U99" s="45">
        <f>IFERROR(IF(P99="","",P99*INDEX(Ingredients!$T$5:$T$304,MATCH(D99,Ingredients!$B$5:$B$304,0))),"")</f>
        <v>0</v>
      </c>
      <c r="V99" s="17">
        <f>IF(D99="","",IFERROR(INDEX(Ingredients!$W$5:$W$304,MATCH(D99,Ingredients!$B$5:$B$304,0)),"Add to Ingredients"))</f>
        <v>0</v>
      </c>
      <c r="W99" s="17">
        <f>IF(D99="","",IFERROR(INDEX(Ingredients!$C$5:$C$304,MATCH(D99,Ingredients!$B$5:$B$304,0)),"Add to Ingredients"))</f>
        <v>0</v>
      </c>
      <c r="X99" s="45">
        <f>IFERROR(INDEX(Recipes!$AT$5:$AT$204,MATCH(B99,Recipes!$A$5:$A$204,0)),0)</f>
        <v>0</v>
      </c>
      <c r="Y99" s="45">
        <f>IF(OR(J99="",X99=0),"",J99*X99)</f>
        <v>0</v>
      </c>
      <c r="Z99" s="17">
        <f>IF(D99="","",B99&amp;"#"&amp;COUNTIFS($B$5:B99,B99))</f>
        <v>0</v>
      </c>
      <c r="AA99" s="17">
        <f>IF(D99="","",B99&amp;"|"&amp;D99)</f>
        <v>0</v>
      </c>
      <c r="AB99" s="31">
        <f>IF(D99="","",IF(B99="","Add - which recipe?",IF(COUNTIFS(Ingredients!$B$5:$B$304,D99)=0,"Missing - not in the Ingredients tab",IF(E99="","Add - no quantity",IF(F99="","Add - no unit",IF(K99&lt;&gt;L99,"Check - recipe in "&amp;K99&amp;", priced in "&amp;L99,IF(COUNTIFS($AA$5:$AA$1204,AA99)&gt;1,"Duplicate - same ingredient twice","OK")))))))</f>
        <v>0</v>
      </c>
    </row>
    <row r="100" spans="1:28">
      <c r="A100" s="39">
        <f>IF(D100="","","RL-"&amp;TEXT(ROW()-4,"0000"))</f>
        <v>0</v>
      </c>
      <c r="B100" s="32" t="s">
        <v>966</v>
      </c>
      <c r="C100" s="17">
        <f>IF(B100="","",IFERROR(INDEX(Recipes!$B$5:$B$204,MATCH(B100,Recipes!$A$5:$A$204,0)),"Not found"))</f>
        <v>0</v>
      </c>
      <c r="D100" s="32" t="s">
        <v>951</v>
      </c>
      <c r="E100" s="38">
        <v>200</v>
      </c>
      <c r="F100" s="32" t="s">
        <v>668</v>
      </c>
      <c r="G100" s="32" t="s">
        <v>157</v>
      </c>
      <c r="H100" s="32" t="s">
        <v>157</v>
      </c>
      <c r="I100" s="40" t="s">
        <v>312</v>
      </c>
      <c r="J100" s="45">
        <f>IF(E100="","",IFERROR(E100*INDEX(UnitFactors,MATCH(F100,UnitNames,0)),""))</f>
        <v>0</v>
      </c>
      <c r="K100" s="17">
        <f>IF(F100="","",IFERROR(INDEX(UnitBases,MATCH(F100,UnitNames,0)),"?"))</f>
        <v>0</v>
      </c>
      <c r="L100" s="17">
        <f>IF(D100="","",IFERROR(INDEX(Ingredients!$G$5:$G$304,MATCH(D100,Ingredients!$B$5:$B$304,0)),"Add to Ingredients"))</f>
        <v>0</v>
      </c>
      <c r="M100" s="25">
        <f>IF(D100="","",IFERROR(INDEX(Ingredients!$J$5:$J$304,MATCH(D100,Ingredients!$B$5:$B$304,0)),"Add to Ingredients"))</f>
        <v>0</v>
      </c>
      <c r="N100" s="25">
        <f>IF(OR(J100="",M100="",NOT(ISNUMBER(M100))),"",IF(K100&lt;&gt;L100,"",J100*M100))</f>
        <v>0</v>
      </c>
      <c r="O100" s="25">
        <f>IF(N100="","",IFERROR(N100/INDEX(Recipes!$G$5:$G$204,MATCH(B100,Recipes!$A$5:$A$204,0)),""))</f>
        <v>0</v>
      </c>
      <c r="P100" s="30">
        <f>IF(J100="","",IF(K100="each",J100,J100/100))</f>
        <v>0</v>
      </c>
      <c r="Q100" s="30">
        <f>IFERROR(IF(P100="","",P100*INDEX(Ingredients!$P$5:$P$304,MATCH(D100,Ingredients!$B$5:$B$304,0))),"")</f>
        <v>0</v>
      </c>
      <c r="R100" s="45">
        <f>IFERROR(IF(P100="","",P100*INDEX(Ingredients!$Q$5:$Q$304,MATCH(D100,Ingredients!$B$5:$B$304,0))),"")</f>
        <v>0</v>
      </c>
      <c r="S100" s="45">
        <f>IFERROR(IF(P100="","",P100*INDEX(Ingredients!$R$5:$R$304,MATCH(D100,Ingredients!$B$5:$B$304,0))),"")</f>
        <v>0</v>
      </c>
      <c r="T100" s="45">
        <f>IFERROR(IF(P100="","",P100*INDEX(Ingredients!$S$5:$S$304,MATCH(D100,Ingredients!$B$5:$B$304,0))),"")</f>
        <v>0</v>
      </c>
      <c r="U100" s="45">
        <f>IFERROR(IF(P100="","",P100*INDEX(Ingredients!$T$5:$T$304,MATCH(D100,Ingredients!$B$5:$B$304,0))),"")</f>
        <v>0</v>
      </c>
      <c r="V100" s="17">
        <f>IF(D100="","",IFERROR(INDEX(Ingredients!$W$5:$W$304,MATCH(D100,Ingredients!$B$5:$B$304,0)),"Add to Ingredients"))</f>
        <v>0</v>
      </c>
      <c r="W100" s="17">
        <f>IF(D100="","",IFERROR(INDEX(Ingredients!$C$5:$C$304,MATCH(D100,Ingredients!$B$5:$B$304,0)),"Add to Ingredients"))</f>
        <v>0</v>
      </c>
      <c r="X100" s="45">
        <f>IFERROR(INDEX(Recipes!$AT$5:$AT$204,MATCH(B100,Recipes!$A$5:$A$204,0)),0)</f>
        <v>0</v>
      </c>
      <c r="Y100" s="45">
        <f>IF(OR(J100="",X100=0),"",J100*X100)</f>
        <v>0</v>
      </c>
      <c r="Z100" s="17">
        <f>IF(D100="","",B100&amp;"#"&amp;COUNTIFS($B$5:B100,B100))</f>
        <v>0</v>
      </c>
      <c r="AA100" s="17">
        <f>IF(D100="","",B100&amp;"|"&amp;D100)</f>
        <v>0</v>
      </c>
      <c r="AB100" s="31">
        <f>IF(D100="","",IF(B100="","Add - which recipe?",IF(COUNTIFS(Ingredients!$B$5:$B$304,D100)=0,"Missing - not in the Ingredients tab",IF(E100="","Add - no quantity",IF(F100="","Add - no unit",IF(K100&lt;&gt;L100,"Check - recipe in "&amp;K100&amp;", priced in "&amp;L100,IF(COUNTIFS($AA$5:$AA$1204,AA100)&gt;1,"Duplicate - same ingredient twice","OK")))))))</f>
        <v>0</v>
      </c>
    </row>
    <row r="101" spans="1:28">
      <c r="A101" s="39">
        <f>IF(D101="","","RL-"&amp;TEXT(ROW()-4,"0000"))</f>
        <v>0</v>
      </c>
      <c r="B101" s="32" t="s">
        <v>966</v>
      </c>
      <c r="C101" s="17">
        <f>IF(B101="","",IFERROR(INDEX(Recipes!$B$5:$B$204,MATCH(B101,Recipes!$A$5:$A$204,0)),"Not found"))</f>
        <v>0</v>
      </c>
      <c r="D101" s="32" t="s">
        <v>937</v>
      </c>
      <c r="E101" s="38">
        <v>100</v>
      </c>
      <c r="F101" s="32" t="s">
        <v>668</v>
      </c>
      <c r="G101" s="32" t="s">
        <v>969</v>
      </c>
      <c r="H101" s="32" t="s">
        <v>157</v>
      </c>
      <c r="I101" s="40" t="s">
        <v>312</v>
      </c>
      <c r="J101" s="45">
        <f>IF(E101="","",IFERROR(E101*INDEX(UnitFactors,MATCH(F101,UnitNames,0)),""))</f>
        <v>0</v>
      </c>
      <c r="K101" s="17">
        <f>IF(F101="","",IFERROR(INDEX(UnitBases,MATCH(F101,UnitNames,0)),"?"))</f>
        <v>0</v>
      </c>
      <c r="L101" s="17">
        <f>IF(D101="","",IFERROR(INDEX(Ingredients!$G$5:$G$304,MATCH(D101,Ingredients!$B$5:$B$304,0)),"Add to Ingredients"))</f>
        <v>0</v>
      </c>
      <c r="M101" s="25">
        <f>IF(D101="","",IFERROR(INDEX(Ingredients!$J$5:$J$304,MATCH(D101,Ingredients!$B$5:$B$304,0)),"Add to Ingredients"))</f>
        <v>0</v>
      </c>
      <c r="N101" s="25">
        <f>IF(OR(J101="",M101="",NOT(ISNUMBER(M101))),"",IF(K101&lt;&gt;L101,"",J101*M101))</f>
        <v>0</v>
      </c>
      <c r="O101" s="25">
        <f>IF(N101="","",IFERROR(N101/INDEX(Recipes!$G$5:$G$204,MATCH(B101,Recipes!$A$5:$A$204,0)),""))</f>
        <v>0</v>
      </c>
      <c r="P101" s="30">
        <f>IF(J101="","",IF(K101="each",J101,J101/100))</f>
        <v>0</v>
      </c>
      <c r="Q101" s="30">
        <f>IFERROR(IF(P101="","",P101*INDEX(Ingredients!$P$5:$P$304,MATCH(D101,Ingredients!$B$5:$B$304,0))),"")</f>
        <v>0</v>
      </c>
      <c r="R101" s="45">
        <f>IFERROR(IF(P101="","",P101*INDEX(Ingredients!$Q$5:$Q$304,MATCH(D101,Ingredients!$B$5:$B$304,0))),"")</f>
        <v>0</v>
      </c>
      <c r="S101" s="45">
        <f>IFERROR(IF(P101="","",P101*INDEX(Ingredients!$R$5:$R$304,MATCH(D101,Ingredients!$B$5:$B$304,0))),"")</f>
        <v>0</v>
      </c>
      <c r="T101" s="45">
        <f>IFERROR(IF(P101="","",P101*INDEX(Ingredients!$S$5:$S$304,MATCH(D101,Ingredients!$B$5:$B$304,0))),"")</f>
        <v>0</v>
      </c>
      <c r="U101" s="45">
        <f>IFERROR(IF(P101="","",P101*INDEX(Ingredients!$T$5:$T$304,MATCH(D101,Ingredients!$B$5:$B$304,0))),"")</f>
        <v>0</v>
      </c>
      <c r="V101" s="17">
        <f>IF(D101="","",IFERROR(INDEX(Ingredients!$W$5:$W$304,MATCH(D101,Ingredients!$B$5:$B$304,0)),"Add to Ingredients"))</f>
        <v>0</v>
      </c>
      <c r="W101" s="17">
        <f>IF(D101="","",IFERROR(INDEX(Ingredients!$C$5:$C$304,MATCH(D101,Ingredients!$B$5:$B$304,0)),"Add to Ingredients"))</f>
        <v>0</v>
      </c>
      <c r="X101" s="45">
        <f>IFERROR(INDEX(Recipes!$AT$5:$AT$204,MATCH(B101,Recipes!$A$5:$A$204,0)),0)</f>
        <v>0</v>
      </c>
      <c r="Y101" s="45">
        <f>IF(OR(J101="",X101=0),"",J101*X101)</f>
        <v>0</v>
      </c>
      <c r="Z101" s="17">
        <f>IF(D101="","",B101&amp;"#"&amp;COUNTIFS($B$5:B101,B101))</f>
        <v>0</v>
      </c>
      <c r="AA101" s="17">
        <f>IF(D101="","",B101&amp;"|"&amp;D101)</f>
        <v>0</v>
      </c>
      <c r="AB101" s="31">
        <f>IF(D101="","",IF(B101="","Add - which recipe?",IF(COUNTIFS(Ingredients!$B$5:$B$304,D101)=0,"Missing - not in the Ingredients tab",IF(E101="","Add - no quantity",IF(F101="","Add - no unit",IF(K101&lt;&gt;L101,"Check - recipe in "&amp;K101&amp;", priced in "&amp;L101,IF(COUNTIFS($AA$5:$AA$1204,AA101)&gt;1,"Duplicate - same ingredient twice","OK")))))))</f>
        <v>0</v>
      </c>
    </row>
    <row r="102" spans="1:28">
      <c r="A102" s="39">
        <f>IF(D102="","","RL-"&amp;TEXT(ROW()-4,"0000"))</f>
        <v>0</v>
      </c>
      <c r="B102" s="32" t="s">
        <v>966</v>
      </c>
      <c r="C102" s="17">
        <f>IF(B102="","",IFERROR(INDEX(Recipes!$B$5:$B$204,MATCH(B102,Recipes!$A$5:$A$204,0)),"Not found"))</f>
        <v>0</v>
      </c>
      <c r="D102" s="32" t="s">
        <v>941</v>
      </c>
      <c r="E102" s="38">
        <v>60</v>
      </c>
      <c r="F102" s="32" t="s">
        <v>668</v>
      </c>
      <c r="G102" s="32" t="s">
        <v>157</v>
      </c>
      <c r="H102" s="32" t="s">
        <v>157</v>
      </c>
      <c r="I102" s="40" t="s">
        <v>311</v>
      </c>
      <c r="J102" s="45">
        <f>IF(E102="","",IFERROR(E102*INDEX(UnitFactors,MATCH(F102,UnitNames,0)),""))</f>
        <v>0</v>
      </c>
      <c r="K102" s="17">
        <f>IF(F102="","",IFERROR(INDEX(UnitBases,MATCH(F102,UnitNames,0)),"?"))</f>
        <v>0</v>
      </c>
      <c r="L102" s="17">
        <f>IF(D102="","",IFERROR(INDEX(Ingredients!$G$5:$G$304,MATCH(D102,Ingredients!$B$5:$B$304,0)),"Add to Ingredients"))</f>
        <v>0</v>
      </c>
      <c r="M102" s="25">
        <f>IF(D102="","",IFERROR(INDEX(Ingredients!$J$5:$J$304,MATCH(D102,Ingredients!$B$5:$B$304,0)),"Add to Ingredients"))</f>
        <v>0</v>
      </c>
      <c r="N102" s="25">
        <f>IF(OR(J102="",M102="",NOT(ISNUMBER(M102))),"",IF(K102&lt;&gt;L102,"",J102*M102))</f>
        <v>0</v>
      </c>
      <c r="O102" s="25">
        <f>IF(N102="","",IFERROR(N102/INDEX(Recipes!$G$5:$G$204,MATCH(B102,Recipes!$A$5:$A$204,0)),""))</f>
        <v>0</v>
      </c>
      <c r="P102" s="30">
        <f>IF(J102="","",IF(K102="each",J102,J102/100))</f>
        <v>0</v>
      </c>
      <c r="Q102" s="30">
        <f>IFERROR(IF(P102="","",P102*INDEX(Ingredients!$P$5:$P$304,MATCH(D102,Ingredients!$B$5:$B$304,0))),"")</f>
        <v>0</v>
      </c>
      <c r="R102" s="45">
        <f>IFERROR(IF(P102="","",P102*INDEX(Ingredients!$Q$5:$Q$304,MATCH(D102,Ingredients!$B$5:$B$304,0))),"")</f>
        <v>0</v>
      </c>
      <c r="S102" s="45">
        <f>IFERROR(IF(P102="","",P102*INDEX(Ingredients!$R$5:$R$304,MATCH(D102,Ingredients!$B$5:$B$304,0))),"")</f>
        <v>0</v>
      </c>
      <c r="T102" s="45">
        <f>IFERROR(IF(P102="","",P102*INDEX(Ingredients!$S$5:$S$304,MATCH(D102,Ingredients!$B$5:$B$304,0))),"")</f>
        <v>0</v>
      </c>
      <c r="U102" s="45">
        <f>IFERROR(IF(P102="","",P102*INDEX(Ingredients!$T$5:$T$304,MATCH(D102,Ingredients!$B$5:$B$304,0))),"")</f>
        <v>0</v>
      </c>
      <c r="V102" s="17">
        <f>IF(D102="","",IFERROR(INDEX(Ingredients!$W$5:$W$304,MATCH(D102,Ingredients!$B$5:$B$304,0)),"Add to Ingredients"))</f>
        <v>0</v>
      </c>
      <c r="W102" s="17">
        <f>IF(D102="","",IFERROR(INDEX(Ingredients!$C$5:$C$304,MATCH(D102,Ingredients!$B$5:$B$304,0)),"Add to Ingredients"))</f>
        <v>0</v>
      </c>
      <c r="X102" s="45">
        <f>IFERROR(INDEX(Recipes!$AT$5:$AT$204,MATCH(B102,Recipes!$A$5:$A$204,0)),0)</f>
        <v>0</v>
      </c>
      <c r="Y102" s="45">
        <f>IF(OR(J102="",X102=0),"",J102*X102)</f>
        <v>0</v>
      </c>
      <c r="Z102" s="17">
        <f>IF(D102="","",B102&amp;"#"&amp;COUNTIFS($B$5:B102,B102))</f>
        <v>0</v>
      </c>
      <c r="AA102" s="17">
        <f>IF(D102="","",B102&amp;"|"&amp;D102)</f>
        <v>0</v>
      </c>
      <c r="AB102" s="31">
        <f>IF(D102="","",IF(B102="","Add - which recipe?",IF(COUNTIFS(Ingredients!$B$5:$B$304,D102)=0,"Missing - not in the Ingredients tab",IF(E102="","Add - no quantity",IF(F102="","Add - no unit",IF(K102&lt;&gt;L102,"Check - recipe in "&amp;K102&amp;", priced in "&amp;L102,IF(COUNTIFS($AA$5:$AA$1204,AA102)&gt;1,"Duplicate - same ingredient twice","OK")))))))</f>
        <v>0</v>
      </c>
    </row>
    <row r="103" spans="1:28">
      <c r="A103" s="39">
        <f>IF(D103="","","RL-"&amp;TEXT(ROW()-4,"0000"))</f>
        <v>0</v>
      </c>
      <c r="C103" s="17">
        <f>IF(B103="","",IFERROR(INDEX(Recipes!$B$5:$B$204,MATCH(B103,Recipes!$A$5:$A$204,0)),"Not found"))</f>
        <v>0</v>
      </c>
      <c r="J103" s="45">
        <f>IF(E103="","",IFERROR(E103*INDEX(UnitFactors,MATCH(F103,UnitNames,0)),""))</f>
        <v>0</v>
      </c>
      <c r="K103" s="17">
        <f>IF(F103="","",IFERROR(INDEX(UnitBases,MATCH(F103,UnitNames,0)),"?"))</f>
        <v>0</v>
      </c>
      <c r="L103" s="17">
        <f>IF(D103="","",IFERROR(INDEX(Ingredients!$G$5:$G$304,MATCH(D103,Ingredients!$B$5:$B$304,0)),"Add to Ingredients"))</f>
        <v>0</v>
      </c>
      <c r="M103" s="25">
        <f>IF(D103="","",IFERROR(INDEX(Ingredients!$J$5:$J$304,MATCH(D103,Ingredients!$B$5:$B$304,0)),"Add to Ingredients"))</f>
        <v>0</v>
      </c>
      <c r="N103" s="25">
        <f>IF(OR(J103="",M103="",NOT(ISNUMBER(M103))),"",IF(K103&lt;&gt;L103,"",J103*M103))</f>
        <v>0</v>
      </c>
      <c r="O103" s="25">
        <f>IF(N103="","",IFERROR(N103/INDEX(Recipes!$G$5:$G$204,MATCH(B103,Recipes!$A$5:$A$204,0)),""))</f>
        <v>0</v>
      </c>
      <c r="P103" s="30">
        <f>IF(J103="","",IF(K103="each",J103,J103/100))</f>
        <v>0</v>
      </c>
      <c r="Q103" s="30">
        <f>IFERROR(IF(P103="","",P103*INDEX(Ingredients!$P$5:$P$304,MATCH(D103,Ingredients!$B$5:$B$304,0))),"")</f>
        <v>0</v>
      </c>
      <c r="R103" s="45">
        <f>IFERROR(IF(P103="","",P103*INDEX(Ingredients!$Q$5:$Q$304,MATCH(D103,Ingredients!$B$5:$B$304,0))),"")</f>
        <v>0</v>
      </c>
      <c r="S103" s="45">
        <f>IFERROR(IF(P103="","",P103*INDEX(Ingredients!$R$5:$R$304,MATCH(D103,Ingredients!$B$5:$B$304,0))),"")</f>
        <v>0</v>
      </c>
      <c r="T103" s="45">
        <f>IFERROR(IF(P103="","",P103*INDEX(Ingredients!$S$5:$S$304,MATCH(D103,Ingredients!$B$5:$B$304,0))),"")</f>
        <v>0</v>
      </c>
      <c r="U103" s="45">
        <f>IFERROR(IF(P103="","",P103*INDEX(Ingredients!$T$5:$T$304,MATCH(D103,Ingredients!$B$5:$B$304,0))),"")</f>
        <v>0</v>
      </c>
      <c r="V103" s="17">
        <f>IF(D103="","",IFERROR(INDEX(Ingredients!$W$5:$W$304,MATCH(D103,Ingredients!$B$5:$B$304,0)),"Add to Ingredients"))</f>
        <v>0</v>
      </c>
      <c r="W103" s="17">
        <f>IF(D103="","",IFERROR(INDEX(Ingredients!$C$5:$C$304,MATCH(D103,Ingredients!$B$5:$B$304,0)),"Add to Ingredients"))</f>
        <v>0</v>
      </c>
      <c r="X103" s="45">
        <f>IFERROR(INDEX(Recipes!$AT$5:$AT$204,MATCH(B103,Recipes!$A$5:$A$204,0)),0)</f>
        <v>0</v>
      </c>
      <c r="Y103" s="45">
        <f>IF(OR(J103="",X103=0),"",J103*X103)</f>
        <v>0</v>
      </c>
      <c r="Z103" s="17">
        <f>IF(D103="","",B103&amp;"#"&amp;COUNTIFS($B$5:B103,B103))</f>
        <v>0</v>
      </c>
      <c r="AA103" s="17">
        <f>IF(D103="","",B103&amp;"|"&amp;D103)</f>
        <v>0</v>
      </c>
      <c r="AB103" s="31">
        <f>IF(D103="","",IF(B103="","Add - which recipe?",IF(COUNTIFS(Ingredients!$B$5:$B$304,D103)=0,"Missing - not in the Ingredients tab",IF(E103="","Add - no quantity",IF(F103="","Add - no unit",IF(K103&lt;&gt;L103,"Check - recipe in "&amp;K103&amp;", priced in "&amp;L103,IF(COUNTIFS($AA$5:$AA$1204,AA103)&gt;1,"Duplicate - same ingredient twice","OK")))))))</f>
        <v>0</v>
      </c>
    </row>
    <row r="104" spans="1:28">
      <c r="A104" s="39">
        <f>IF(D104="","","RL-"&amp;TEXT(ROW()-4,"0000"))</f>
        <v>0</v>
      </c>
      <c r="C104" s="17">
        <f>IF(B104="","",IFERROR(INDEX(Recipes!$B$5:$B$204,MATCH(B104,Recipes!$A$5:$A$204,0)),"Not found"))</f>
        <v>0</v>
      </c>
      <c r="J104" s="45">
        <f>IF(E104="","",IFERROR(E104*INDEX(UnitFactors,MATCH(F104,UnitNames,0)),""))</f>
        <v>0</v>
      </c>
      <c r="K104" s="17">
        <f>IF(F104="","",IFERROR(INDEX(UnitBases,MATCH(F104,UnitNames,0)),"?"))</f>
        <v>0</v>
      </c>
      <c r="L104" s="17">
        <f>IF(D104="","",IFERROR(INDEX(Ingredients!$G$5:$G$304,MATCH(D104,Ingredients!$B$5:$B$304,0)),"Add to Ingredients"))</f>
        <v>0</v>
      </c>
      <c r="M104" s="25">
        <f>IF(D104="","",IFERROR(INDEX(Ingredients!$J$5:$J$304,MATCH(D104,Ingredients!$B$5:$B$304,0)),"Add to Ingredients"))</f>
        <v>0</v>
      </c>
      <c r="N104" s="25">
        <f>IF(OR(J104="",M104="",NOT(ISNUMBER(M104))),"",IF(K104&lt;&gt;L104,"",J104*M104))</f>
        <v>0</v>
      </c>
      <c r="O104" s="25">
        <f>IF(N104="","",IFERROR(N104/INDEX(Recipes!$G$5:$G$204,MATCH(B104,Recipes!$A$5:$A$204,0)),""))</f>
        <v>0</v>
      </c>
      <c r="P104" s="30">
        <f>IF(J104="","",IF(K104="each",J104,J104/100))</f>
        <v>0</v>
      </c>
      <c r="Q104" s="30">
        <f>IFERROR(IF(P104="","",P104*INDEX(Ingredients!$P$5:$P$304,MATCH(D104,Ingredients!$B$5:$B$304,0))),"")</f>
        <v>0</v>
      </c>
      <c r="R104" s="45">
        <f>IFERROR(IF(P104="","",P104*INDEX(Ingredients!$Q$5:$Q$304,MATCH(D104,Ingredients!$B$5:$B$304,0))),"")</f>
        <v>0</v>
      </c>
      <c r="S104" s="45">
        <f>IFERROR(IF(P104="","",P104*INDEX(Ingredients!$R$5:$R$304,MATCH(D104,Ingredients!$B$5:$B$304,0))),"")</f>
        <v>0</v>
      </c>
      <c r="T104" s="45">
        <f>IFERROR(IF(P104="","",P104*INDEX(Ingredients!$S$5:$S$304,MATCH(D104,Ingredients!$B$5:$B$304,0))),"")</f>
        <v>0</v>
      </c>
      <c r="U104" s="45">
        <f>IFERROR(IF(P104="","",P104*INDEX(Ingredients!$T$5:$T$304,MATCH(D104,Ingredients!$B$5:$B$304,0))),"")</f>
        <v>0</v>
      </c>
      <c r="V104" s="17">
        <f>IF(D104="","",IFERROR(INDEX(Ingredients!$W$5:$W$304,MATCH(D104,Ingredients!$B$5:$B$304,0)),"Add to Ingredients"))</f>
        <v>0</v>
      </c>
      <c r="W104" s="17">
        <f>IF(D104="","",IFERROR(INDEX(Ingredients!$C$5:$C$304,MATCH(D104,Ingredients!$B$5:$B$304,0)),"Add to Ingredients"))</f>
        <v>0</v>
      </c>
      <c r="X104" s="45">
        <f>IFERROR(INDEX(Recipes!$AT$5:$AT$204,MATCH(B104,Recipes!$A$5:$A$204,0)),0)</f>
        <v>0</v>
      </c>
      <c r="Y104" s="45">
        <f>IF(OR(J104="",X104=0),"",J104*X104)</f>
        <v>0</v>
      </c>
      <c r="Z104" s="17">
        <f>IF(D104="","",B104&amp;"#"&amp;COUNTIFS($B$5:B104,B104))</f>
        <v>0</v>
      </c>
      <c r="AA104" s="17">
        <f>IF(D104="","",B104&amp;"|"&amp;D104)</f>
        <v>0</v>
      </c>
      <c r="AB104" s="31">
        <f>IF(D104="","",IF(B104="","Add - which recipe?",IF(COUNTIFS(Ingredients!$B$5:$B$304,D104)=0,"Missing - not in the Ingredients tab",IF(E104="","Add - no quantity",IF(F104="","Add - no unit",IF(K104&lt;&gt;L104,"Check - recipe in "&amp;K104&amp;", priced in "&amp;L104,IF(COUNTIFS($AA$5:$AA$1204,AA104)&gt;1,"Duplicate - same ingredient twice","OK")))))))</f>
        <v>0</v>
      </c>
    </row>
    <row r="105" spans="1:28">
      <c r="A105" s="39">
        <f>IF(D105="","","RL-"&amp;TEXT(ROW()-4,"0000"))</f>
        <v>0</v>
      </c>
      <c r="C105" s="17">
        <f>IF(B105="","",IFERROR(INDEX(Recipes!$B$5:$B$204,MATCH(B105,Recipes!$A$5:$A$204,0)),"Not found"))</f>
        <v>0</v>
      </c>
      <c r="J105" s="45">
        <f>IF(E105="","",IFERROR(E105*INDEX(UnitFactors,MATCH(F105,UnitNames,0)),""))</f>
        <v>0</v>
      </c>
      <c r="K105" s="17">
        <f>IF(F105="","",IFERROR(INDEX(UnitBases,MATCH(F105,UnitNames,0)),"?"))</f>
        <v>0</v>
      </c>
      <c r="L105" s="17">
        <f>IF(D105="","",IFERROR(INDEX(Ingredients!$G$5:$G$304,MATCH(D105,Ingredients!$B$5:$B$304,0)),"Add to Ingredients"))</f>
        <v>0</v>
      </c>
      <c r="M105" s="25">
        <f>IF(D105="","",IFERROR(INDEX(Ingredients!$J$5:$J$304,MATCH(D105,Ingredients!$B$5:$B$304,0)),"Add to Ingredients"))</f>
        <v>0</v>
      </c>
      <c r="N105" s="25">
        <f>IF(OR(J105="",M105="",NOT(ISNUMBER(M105))),"",IF(K105&lt;&gt;L105,"",J105*M105))</f>
        <v>0</v>
      </c>
      <c r="O105" s="25">
        <f>IF(N105="","",IFERROR(N105/INDEX(Recipes!$G$5:$G$204,MATCH(B105,Recipes!$A$5:$A$204,0)),""))</f>
        <v>0</v>
      </c>
      <c r="P105" s="30">
        <f>IF(J105="","",IF(K105="each",J105,J105/100))</f>
        <v>0</v>
      </c>
      <c r="Q105" s="30">
        <f>IFERROR(IF(P105="","",P105*INDEX(Ingredients!$P$5:$P$304,MATCH(D105,Ingredients!$B$5:$B$304,0))),"")</f>
        <v>0</v>
      </c>
      <c r="R105" s="45">
        <f>IFERROR(IF(P105="","",P105*INDEX(Ingredients!$Q$5:$Q$304,MATCH(D105,Ingredients!$B$5:$B$304,0))),"")</f>
        <v>0</v>
      </c>
      <c r="S105" s="45">
        <f>IFERROR(IF(P105="","",P105*INDEX(Ingredients!$R$5:$R$304,MATCH(D105,Ingredients!$B$5:$B$304,0))),"")</f>
        <v>0</v>
      </c>
      <c r="T105" s="45">
        <f>IFERROR(IF(P105="","",P105*INDEX(Ingredients!$S$5:$S$304,MATCH(D105,Ingredients!$B$5:$B$304,0))),"")</f>
        <v>0</v>
      </c>
      <c r="U105" s="45">
        <f>IFERROR(IF(P105="","",P105*INDEX(Ingredients!$T$5:$T$304,MATCH(D105,Ingredients!$B$5:$B$304,0))),"")</f>
        <v>0</v>
      </c>
      <c r="V105" s="17">
        <f>IF(D105="","",IFERROR(INDEX(Ingredients!$W$5:$W$304,MATCH(D105,Ingredients!$B$5:$B$304,0)),"Add to Ingredients"))</f>
        <v>0</v>
      </c>
      <c r="W105" s="17">
        <f>IF(D105="","",IFERROR(INDEX(Ingredients!$C$5:$C$304,MATCH(D105,Ingredients!$B$5:$B$304,0)),"Add to Ingredients"))</f>
        <v>0</v>
      </c>
      <c r="X105" s="45">
        <f>IFERROR(INDEX(Recipes!$AT$5:$AT$204,MATCH(B105,Recipes!$A$5:$A$204,0)),0)</f>
        <v>0</v>
      </c>
      <c r="Y105" s="45">
        <f>IF(OR(J105="",X105=0),"",J105*X105)</f>
        <v>0</v>
      </c>
      <c r="Z105" s="17">
        <f>IF(D105="","",B105&amp;"#"&amp;COUNTIFS($B$5:B105,B105))</f>
        <v>0</v>
      </c>
      <c r="AA105" s="17">
        <f>IF(D105="","",B105&amp;"|"&amp;D105)</f>
        <v>0</v>
      </c>
      <c r="AB105" s="31">
        <f>IF(D105="","",IF(B105="","Add - which recipe?",IF(COUNTIFS(Ingredients!$B$5:$B$304,D105)=0,"Missing - not in the Ingredients tab",IF(E105="","Add - no quantity",IF(F105="","Add - no unit",IF(K105&lt;&gt;L105,"Check - recipe in "&amp;K105&amp;", priced in "&amp;L105,IF(COUNTIFS($AA$5:$AA$1204,AA105)&gt;1,"Duplicate - same ingredient twice","OK")))))))</f>
        <v>0</v>
      </c>
    </row>
    <row r="106" spans="1:28">
      <c r="A106" s="39">
        <f>IF(D106="","","RL-"&amp;TEXT(ROW()-4,"0000"))</f>
        <v>0</v>
      </c>
      <c r="C106" s="17">
        <f>IF(B106="","",IFERROR(INDEX(Recipes!$B$5:$B$204,MATCH(B106,Recipes!$A$5:$A$204,0)),"Not found"))</f>
        <v>0</v>
      </c>
      <c r="J106" s="45">
        <f>IF(E106="","",IFERROR(E106*INDEX(UnitFactors,MATCH(F106,UnitNames,0)),""))</f>
        <v>0</v>
      </c>
      <c r="K106" s="17">
        <f>IF(F106="","",IFERROR(INDEX(UnitBases,MATCH(F106,UnitNames,0)),"?"))</f>
        <v>0</v>
      </c>
      <c r="L106" s="17">
        <f>IF(D106="","",IFERROR(INDEX(Ingredients!$G$5:$G$304,MATCH(D106,Ingredients!$B$5:$B$304,0)),"Add to Ingredients"))</f>
        <v>0</v>
      </c>
      <c r="M106" s="25">
        <f>IF(D106="","",IFERROR(INDEX(Ingredients!$J$5:$J$304,MATCH(D106,Ingredients!$B$5:$B$304,0)),"Add to Ingredients"))</f>
        <v>0</v>
      </c>
      <c r="N106" s="25">
        <f>IF(OR(J106="",M106="",NOT(ISNUMBER(M106))),"",IF(K106&lt;&gt;L106,"",J106*M106))</f>
        <v>0</v>
      </c>
      <c r="O106" s="25">
        <f>IF(N106="","",IFERROR(N106/INDEX(Recipes!$G$5:$G$204,MATCH(B106,Recipes!$A$5:$A$204,0)),""))</f>
        <v>0</v>
      </c>
      <c r="P106" s="30">
        <f>IF(J106="","",IF(K106="each",J106,J106/100))</f>
        <v>0</v>
      </c>
      <c r="Q106" s="30">
        <f>IFERROR(IF(P106="","",P106*INDEX(Ingredients!$P$5:$P$304,MATCH(D106,Ingredients!$B$5:$B$304,0))),"")</f>
        <v>0</v>
      </c>
      <c r="R106" s="45">
        <f>IFERROR(IF(P106="","",P106*INDEX(Ingredients!$Q$5:$Q$304,MATCH(D106,Ingredients!$B$5:$B$304,0))),"")</f>
        <v>0</v>
      </c>
      <c r="S106" s="45">
        <f>IFERROR(IF(P106="","",P106*INDEX(Ingredients!$R$5:$R$304,MATCH(D106,Ingredients!$B$5:$B$304,0))),"")</f>
        <v>0</v>
      </c>
      <c r="T106" s="45">
        <f>IFERROR(IF(P106="","",P106*INDEX(Ingredients!$S$5:$S$304,MATCH(D106,Ingredients!$B$5:$B$304,0))),"")</f>
        <v>0</v>
      </c>
      <c r="U106" s="45">
        <f>IFERROR(IF(P106="","",P106*INDEX(Ingredients!$T$5:$T$304,MATCH(D106,Ingredients!$B$5:$B$304,0))),"")</f>
        <v>0</v>
      </c>
      <c r="V106" s="17">
        <f>IF(D106="","",IFERROR(INDEX(Ingredients!$W$5:$W$304,MATCH(D106,Ingredients!$B$5:$B$304,0)),"Add to Ingredients"))</f>
        <v>0</v>
      </c>
      <c r="W106" s="17">
        <f>IF(D106="","",IFERROR(INDEX(Ingredients!$C$5:$C$304,MATCH(D106,Ingredients!$B$5:$B$304,0)),"Add to Ingredients"))</f>
        <v>0</v>
      </c>
      <c r="X106" s="45">
        <f>IFERROR(INDEX(Recipes!$AT$5:$AT$204,MATCH(B106,Recipes!$A$5:$A$204,0)),0)</f>
        <v>0</v>
      </c>
      <c r="Y106" s="45">
        <f>IF(OR(J106="",X106=0),"",J106*X106)</f>
        <v>0</v>
      </c>
      <c r="Z106" s="17">
        <f>IF(D106="","",B106&amp;"#"&amp;COUNTIFS($B$5:B106,B106))</f>
        <v>0</v>
      </c>
      <c r="AA106" s="17">
        <f>IF(D106="","",B106&amp;"|"&amp;D106)</f>
        <v>0</v>
      </c>
      <c r="AB106" s="31">
        <f>IF(D106="","",IF(B106="","Add - which recipe?",IF(COUNTIFS(Ingredients!$B$5:$B$304,D106)=0,"Missing - not in the Ingredients tab",IF(E106="","Add - no quantity",IF(F106="","Add - no unit",IF(K106&lt;&gt;L106,"Check - recipe in "&amp;K106&amp;", priced in "&amp;L106,IF(COUNTIFS($AA$5:$AA$1204,AA106)&gt;1,"Duplicate - same ingredient twice","OK")))))))</f>
        <v>0</v>
      </c>
    </row>
    <row r="107" spans="1:28">
      <c r="A107" s="39">
        <f>IF(D107="","","RL-"&amp;TEXT(ROW()-4,"0000"))</f>
        <v>0</v>
      </c>
      <c r="C107" s="17">
        <f>IF(B107="","",IFERROR(INDEX(Recipes!$B$5:$B$204,MATCH(B107,Recipes!$A$5:$A$204,0)),"Not found"))</f>
        <v>0</v>
      </c>
      <c r="J107" s="45">
        <f>IF(E107="","",IFERROR(E107*INDEX(UnitFactors,MATCH(F107,UnitNames,0)),""))</f>
        <v>0</v>
      </c>
      <c r="K107" s="17">
        <f>IF(F107="","",IFERROR(INDEX(UnitBases,MATCH(F107,UnitNames,0)),"?"))</f>
        <v>0</v>
      </c>
      <c r="L107" s="17">
        <f>IF(D107="","",IFERROR(INDEX(Ingredients!$G$5:$G$304,MATCH(D107,Ingredients!$B$5:$B$304,0)),"Add to Ingredients"))</f>
        <v>0</v>
      </c>
      <c r="M107" s="25">
        <f>IF(D107="","",IFERROR(INDEX(Ingredients!$J$5:$J$304,MATCH(D107,Ingredients!$B$5:$B$304,0)),"Add to Ingredients"))</f>
        <v>0</v>
      </c>
      <c r="N107" s="25">
        <f>IF(OR(J107="",M107="",NOT(ISNUMBER(M107))),"",IF(K107&lt;&gt;L107,"",J107*M107))</f>
        <v>0</v>
      </c>
      <c r="O107" s="25">
        <f>IF(N107="","",IFERROR(N107/INDEX(Recipes!$G$5:$G$204,MATCH(B107,Recipes!$A$5:$A$204,0)),""))</f>
        <v>0</v>
      </c>
      <c r="P107" s="30">
        <f>IF(J107="","",IF(K107="each",J107,J107/100))</f>
        <v>0</v>
      </c>
      <c r="Q107" s="30">
        <f>IFERROR(IF(P107="","",P107*INDEX(Ingredients!$P$5:$P$304,MATCH(D107,Ingredients!$B$5:$B$304,0))),"")</f>
        <v>0</v>
      </c>
      <c r="R107" s="45">
        <f>IFERROR(IF(P107="","",P107*INDEX(Ingredients!$Q$5:$Q$304,MATCH(D107,Ingredients!$B$5:$B$304,0))),"")</f>
        <v>0</v>
      </c>
      <c r="S107" s="45">
        <f>IFERROR(IF(P107="","",P107*INDEX(Ingredients!$R$5:$R$304,MATCH(D107,Ingredients!$B$5:$B$304,0))),"")</f>
        <v>0</v>
      </c>
      <c r="T107" s="45">
        <f>IFERROR(IF(P107="","",P107*INDEX(Ingredients!$S$5:$S$304,MATCH(D107,Ingredients!$B$5:$B$304,0))),"")</f>
        <v>0</v>
      </c>
      <c r="U107" s="45">
        <f>IFERROR(IF(P107="","",P107*INDEX(Ingredients!$T$5:$T$304,MATCH(D107,Ingredients!$B$5:$B$304,0))),"")</f>
        <v>0</v>
      </c>
      <c r="V107" s="17">
        <f>IF(D107="","",IFERROR(INDEX(Ingredients!$W$5:$W$304,MATCH(D107,Ingredients!$B$5:$B$304,0)),"Add to Ingredients"))</f>
        <v>0</v>
      </c>
      <c r="W107" s="17">
        <f>IF(D107="","",IFERROR(INDEX(Ingredients!$C$5:$C$304,MATCH(D107,Ingredients!$B$5:$B$304,0)),"Add to Ingredients"))</f>
        <v>0</v>
      </c>
      <c r="X107" s="45">
        <f>IFERROR(INDEX(Recipes!$AT$5:$AT$204,MATCH(B107,Recipes!$A$5:$A$204,0)),0)</f>
        <v>0</v>
      </c>
      <c r="Y107" s="45">
        <f>IF(OR(J107="",X107=0),"",J107*X107)</f>
        <v>0</v>
      </c>
      <c r="Z107" s="17">
        <f>IF(D107="","",B107&amp;"#"&amp;COUNTIFS($B$5:B107,B107))</f>
        <v>0</v>
      </c>
      <c r="AA107" s="17">
        <f>IF(D107="","",B107&amp;"|"&amp;D107)</f>
        <v>0</v>
      </c>
      <c r="AB107" s="31">
        <f>IF(D107="","",IF(B107="","Add - which recipe?",IF(COUNTIFS(Ingredients!$B$5:$B$304,D107)=0,"Missing - not in the Ingredients tab",IF(E107="","Add - no quantity",IF(F107="","Add - no unit",IF(K107&lt;&gt;L107,"Check - recipe in "&amp;K107&amp;", priced in "&amp;L107,IF(COUNTIFS($AA$5:$AA$1204,AA107)&gt;1,"Duplicate - same ingredient twice","OK")))))))</f>
        <v>0</v>
      </c>
    </row>
    <row r="108" spans="1:28">
      <c r="A108" s="39">
        <f>IF(D108="","","RL-"&amp;TEXT(ROW()-4,"0000"))</f>
        <v>0</v>
      </c>
      <c r="C108" s="17">
        <f>IF(B108="","",IFERROR(INDEX(Recipes!$B$5:$B$204,MATCH(B108,Recipes!$A$5:$A$204,0)),"Not found"))</f>
        <v>0</v>
      </c>
      <c r="J108" s="45">
        <f>IF(E108="","",IFERROR(E108*INDEX(UnitFactors,MATCH(F108,UnitNames,0)),""))</f>
        <v>0</v>
      </c>
      <c r="K108" s="17">
        <f>IF(F108="","",IFERROR(INDEX(UnitBases,MATCH(F108,UnitNames,0)),"?"))</f>
        <v>0</v>
      </c>
      <c r="L108" s="17">
        <f>IF(D108="","",IFERROR(INDEX(Ingredients!$G$5:$G$304,MATCH(D108,Ingredients!$B$5:$B$304,0)),"Add to Ingredients"))</f>
        <v>0</v>
      </c>
      <c r="M108" s="25">
        <f>IF(D108="","",IFERROR(INDEX(Ingredients!$J$5:$J$304,MATCH(D108,Ingredients!$B$5:$B$304,0)),"Add to Ingredients"))</f>
        <v>0</v>
      </c>
      <c r="N108" s="25">
        <f>IF(OR(J108="",M108="",NOT(ISNUMBER(M108))),"",IF(K108&lt;&gt;L108,"",J108*M108))</f>
        <v>0</v>
      </c>
      <c r="O108" s="25">
        <f>IF(N108="","",IFERROR(N108/INDEX(Recipes!$G$5:$G$204,MATCH(B108,Recipes!$A$5:$A$204,0)),""))</f>
        <v>0</v>
      </c>
      <c r="P108" s="30">
        <f>IF(J108="","",IF(K108="each",J108,J108/100))</f>
        <v>0</v>
      </c>
      <c r="Q108" s="30">
        <f>IFERROR(IF(P108="","",P108*INDEX(Ingredients!$P$5:$P$304,MATCH(D108,Ingredients!$B$5:$B$304,0))),"")</f>
        <v>0</v>
      </c>
      <c r="R108" s="45">
        <f>IFERROR(IF(P108="","",P108*INDEX(Ingredients!$Q$5:$Q$304,MATCH(D108,Ingredients!$B$5:$B$304,0))),"")</f>
        <v>0</v>
      </c>
      <c r="S108" s="45">
        <f>IFERROR(IF(P108="","",P108*INDEX(Ingredients!$R$5:$R$304,MATCH(D108,Ingredients!$B$5:$B$304,0))),"")</f>
        <v>0</v>
      </c>
      <c r="T108" s="45">
        <f>IFERROR(IF(P108="","",P108*INDEX(Ingredients!$S$5:$S$304,MATCH(D108,Ingredients!$B$5:$B$304,0))),"")</f>
        <v>0</v>
      </c>
      <c r="U108" s="45">
        <f>IFERROR(IF(P108="","",P108*INDEX(Ingredients!$T$5:$T$304,MATCH(D108,Ingredients!$B$5:$B$304,0))),"")</f>
        <v>0</v>
      </c>
      <c r="V108" s="17">
        <f>IF(D108="","",IFERROR(INDEX(Ingredients!$W$5:$W$304,MATCH(D108,Ingredients!$B$5:$B$304,0)),"Add to Ingredients"))</f>
        <v>0</v>
      </c>
      <c r="W108" s="17">
        <f>IF(D108="","",IFERROR(INDEX(Ingredients!$C$5:$C$304,MATCH(D108,Ingredients!$B$5:$B$304,0)),"Add to Ingredients"))</f>
        <v>0</v>
      </c>
      <c r="X108" s="45">
        <f>IFERROR(INDEX(Recipes!$AT$5:$AT$204,MATCH(B108,Recipes!$A$5:$A$204,0)),0)</f>
        <v>0</v>
      </c>
      <c r="Y108" s="45">
        <f>IF(OR(J108="",X108=0),"",J108*X108)</f>
        <v>0</v>
      </c>
      <c r="Z108" s="17">
        <f>IF(D108="","",B108&amp;"#"&amp;COUNTIFS($B$5:B108,B108))</f>
        <v>0</v>
      </c>
      <c r="AA108" s="17">
        <f>IF(D108="","",B108&amp;"|"&amp;D108)</f>
        <v>0</v>
      </c>
      <c r="AB108" s="31">
        <f>IF(D108="","",IF(B108="","Add - which recipe?",IF(COUNTIFS(Ingredients!$B$5:$B$304,D108)=0,"Missing - not in the Ingredients tab",IF(E108="","Add - no quantity",IF(F108="","Add - no unit",IF(K108&lt;&gt;L108,"Check - recipe in "&amp;K108&amp;", priced in "&amp;L108,IF(COUNTIFS($AA$5:$AA$1204,AA108)&gt;1,"Duplicate - same ingredient twice","OK")))))))</f>
        <v>0</v>
      </c>
    </row>
    <row r="109" spans="1:28">
      <c r="A109" s="39">
        <f>IF(D109="","","RL-"&amp;TEXT(ROW()-4,"0000"))</f>
        <v>0</v>
      </c>
      <c r="C109" s="17">
        <f>IF(B109="","",IFERROR(INDEX(Recipes!$B$5:$B$204,MATCH(B109,Recipes!$A$5:$A$204,0)),"Not found"))</f>
        <v>0</v>
      </c>
      <c r="J109" s="45">
        <f>IF(E109="","",IFERROR(E109*INDEX(UnitFactors,MATCH(F109,UnitNames,0)),""))</f>
        <v>0</v>
      </c>
      <c r="K109" s="17">
        <f>IF(F109="","",IFERROR(INDEX(UnitBases,MATCH(F109,UnitNames,0)),"?"))</f>
        <v>0</v>
      </c>
      <c r="L109" s="17">
        <f>IF(D109="","",IFERROR(INDEX(Ingredients!$G$5:$G$304,MATCH(D109,Ingredients!$B$5:$B$304,0)),"Add to Ingredients"))</f>
        <v>0</v>
      </c>
      <c r="M109" s="25">
        <f>IF(D109="","",IFERROR(INDEX(Ingredients!$J$5:$J$304,MATCH(D109,Ingredients!$B$5:$B$304,0)),"Add to Ingredients"))</f>
        <v>0</v>
      </c>
      <c r="N109" s="25">
        <f>IF(OR(J109="",M109="",NOT(ISNUMBER(M109))),"",IF(K109&lt;&gt;L109,"",J109*M109))</f>
        <v>0</v>
      </c>
      <c r="O109" s="25">
        <f>IF(N109="","",IFERROR(N109/INDEX(Recipes!$G$5:$G$204,MATCH(B109,Recipes!$A$5:$A$204,0)),""))</f>
        <v>0</v>
      </c>
      <c r="P109" s="30">
        <f>IF(J109="","",IF(K109="each",J109,J109/100))</f>
        <v>0</v>
      </c>
      <c r="Q109" s="30">
        <f>IFERROR(IF(P109="","",P109*INDEX(Ingredients!$P$5:$P$304,MATCH(D109,Ingredients!$B$5:$B$304,0))),"")</f>
        <v>0</v>
      </c>
      <c r="R109" s="45">
        <f>IFERROR(IF(P109="","",P109*INDEX(Ingredients!$Q$5:$Q$304,MATCH(D109,Ingredients!$B$5:$B$304,0))),"")</f>
        <v>0</v>
      </c>
      <c r="S109" s="45">
        <f>IFERROR(IF(P109="","",P109*INDEX(Ingredients!$R$5:$R$304,MATCH(D109,Ingredients!$B$5:$B$304,0))),"")</f>
        <v>0</v>
      </c>
      <c r="T109" s="45">
        <f>IFERROR(IF(P109="","",P109*INDEX(Ingredients!$S$5:$S$304,MATCH(D109,Ingredients!$B$5:$B$304,0))),"")</f>
        <v>0</v>
      </c>
      <c r="U109" s="45">
        <f>IFERROR(IF(P109="","",P109*INDEX(Ingredients!$T$5:$T$304,MATCH(D109,Ingredients!$B$5:$B$304,0))),"")</f>
        <v>0</v>
      </c>
      <c r="V109" s="17">
        <f>IF(D109="","",IFERROR(INDEX(Ingredients!$W$5:$W$304,MATCH(D109,Ingredients!$B$5:$B$304,0)),"Add to Ingredients"))</f>
        <v>0</v>
      </c>
      <c r="W109" s="17">
        <f>IF(D109="","",IFERROR(INDEX(Ingredients!$C$5:$C$304,MATCH(D109,Ingredients!$B$5:$B$304,0)),"Add to Ingredients"))</f>
        <v>0</v>
      </c>
      <c r="X109" s="45">
        <f>IFERROR(INDEX(Recipes!$AT$5:$AT$204,MATCH(B109,Recipes!$A$5:$A$204,0)),0)</f>
        <v>0</v>
      </c>
      <c r="Y109" s="45">
        <f>IF(OR(J109="",X109=0),"",J109*X109)</f>
        <v>0</v>
      </c>
      <c r="Z109" s="17">
        <f>IF(D109="","",B109&amp;"#"&amp;COUNTIFS($B$5:B109,B109))</f>
        <v>0</v>
      </c>
      <c r="AA109" s="17">
        <f>IF(D109="","",B109&amp;"|"&amp;D109)</f>
        <v>0</v>
      </c>
      <c r="AB109" s="31">
        <f>IF(D109="","",IF(B109="","Add - which recipe?",IF(COUNTIFS(Ingredients!$B$5:$B$304,D109)=0,"Missing - not in the Ingredients tab",IF(E109="","Add - no quantity",IF(F109="","Add - no unit",IF(K109&lt;&gt;L109,"Check - recipe in "&amp;K109&amp;", priced in "&amp;L109,IF(COUNTIFS($AA$5:$AA$1204,AA109)&gt;1,"Duplicate - same ingredient twice","OK")))))))</f>
        <v>0</v>
      </c>
    </row>
    <row r="110" spans="1:28">
      <c r="A110" s="39">
        <f>IF(D110="","","RL-"&amp;TEXT(ROW()-4,"0000"))</f>
        <v>0</v>
      </c>
      <c r="C110" s="17">
        <f>IF(B110="","",IFERROR(INDEX(Recipes!$B$5:$B$204,MATCH(B110,Recipes!$A$5:$A$204,0)),"Not found"))</f>
        <v>0</v>
      </c>
      <c r="J110" s="45">
        <f>IF(E110="","",IFERROR(E110*INDEX(UnitFactors,MATCH(F110,UnitNames,0)),""))</f>
        <v>0</v>
      </c>
      <c r="K110" s="17">
        <f>IF(F110="","",IFERROR(INDEX(UnitBases,MATCH(F110,UnitNames,0)),"?"))</f>
        <v>0</v>
      </c>
      <c r="L110" s="17">
        <f>IF(D110="","",IFERROR(INDEX(Ingredients!$G$5:$G$304,MATCH(D110,Ingredients!$B$5:$B$304,0)),"Add to Ingredients"))</f>
        <v>0</v>
      </c>
      <c r="M110" s="25">
        <f>IF(D110="","",IFERROR(INDEX(Ingredients!$J$5:$J$304,MATCH(D110,Ingredients!$B$5:$B$304,0)),"Add to Ingredients"))</f>
        <v>0</v>
      </c>
      <c r="N110" s="25">
        <f>IF(OR(J110="",M110="",NOT(ISNUMBER(M110))),"",IF(K110&lt;&gt;L110,"",J110*M110))</f>
        <v>0</v>
      </c>
      <c r="O110" s="25">
        <f>IF(N110="","",IFERROR(N110/INDEX(Recipes!$G$5:$G$204,MATCH(B110,Recipes!$A$5:$A$204,0)),""))</f>
        <v>0</v>
      </c>
      <c r="P110" s="30">
        <f>IF(J110="","",IF(K110="each",J110,J110/100))</f>
        <v>0</v>
      </c>
      <c r="Q110" s="30">
        <f>IFERROR(IF(P110="","",P110*INDEX(Ingredients!$P$5:$P$304,MATCH(D110,Ingredients!$B$5:$B$304,0))),"")</f>
        <v>0</v>
      </c>
      <c r="R110" s="45">
        <f>IFERROR(IF(P110="","",P110*INDEX(Ingredients!$Q$5:$Q$304,MATCH(D110,Ingredients!$B$5:$B$304,0))),"")</f>
        <v>0</v>
      </c>
      <c r="S110" s="45">
        <f>IFERROR(IF(P110="","",P110*INDEX(Ingredients!$R$5:$R$304,MATCH(D110,Ingredients!$B$5:$B$304,0))),"")</f>
        <v>0</v>
      </c>
      <c r="T110" s="45">
        <f>IFERROR(IF(P110="","",P110*INDEX(Ingredients!$S$5:$S$304,MATCH(D110,Ingredients!$B$5:$B$304,0))),"")</f>
        <v>0</v>
      </c>
      <c r="U110" s="45">
        <f>IFERROR(IF(P110="","",P110*INDEX(Ingredients!$T$5:$T$304,MATCH(D110,Ingredients!$B$5:$B$304,0))),"")</f>
        <v>0</v>
      </c>
      <c r="V110" s="17">
        <f>IF(D110="","",IFERROR(INDEX(Ingredients!$W$5:$W$304,MATCH(D110,Ingredients!$B$5:$B$304,0)),"Add to Ingredients"))</f>
        <v>0</v>
      </c>
      <c r="W110" s="17">
        <f>IF(D110="","",IFERROR(INDEX(Ingredients!$C$5:$C$304,MATCH(D110,Ingredients!$B$5:$B$304,0)),"Add to Ingredients"))</f>
        <v>0</v>
      </c>
      <c r="X110" s="45">
        <f>IFERROR(INDEX(Recipes!$AT$5:$AT$204,MATCH(B110,Recipes!$A$5:$A$204,0)),0)</f>
        <v>0</v>
      </c>
      <c r="Y110" s="45">
        <f>IF(OR(J110="",X110=0),"",J110*X110)</f>
        <v>0</v>
      </c>
      <c r="Z110" s="17">
        <f>IF(D110="","",B110&amp;"#"&amp;COUNTIFS($B$5:B110,B110))</f>
        <v>0</v>
      </c>
      <c r="AA110" s="17">
        <f>IF(D110="","",B110&amp;"|"&amp;D110)</f>
        <v>0</v>
      </c>
      <c r="AB110" s="31">
        <f>IF(D110="","",IF(B110="","Add - which recipe?",IF(COUNTIFS(Ingredients!$B$5:$B$304,D110)=0,"Missing - not in the Ingredients tab",IF(E110="","Add - no quantity",IF(F110="","Add - no unit",IF(K110&lt;&gt;L110,"Check - recipe in "&amp;K110&amp;", priced in "&amp;L110,IF(COUNTIFS($AA$5:$AA$1204,AA110)&gt;1,"Duplicate - same ingredient twice","OK")))))))</f>
        <v>0</v>
      </c>
    </row>
    <row r="111" spans="1:28">
      <c r="A111" s="39">
        <f>IF(D111="","","RL-"&amp;TEXT(ROW()-4,"0000"))</f>
        <v>0</v>
      </c>
      <c r="C111" s="17">
        <f>IF(B111="","",IFERROR(INDEX(Recipes!$B$5:$B$204,MATCH(B111,Recipes!$A$5:$A$204,0)),"Not found"))</f>
        <v>0</v>
      </c>
      <c r="J111" s="45">
        <f>IF(E111="","",IFERROR(E111*INDEX(UnitFactors,MATCH(F111,UnitNames,0)),""))</f>
        <v>0</v>
      </c>
      <c r="K111" s="17">
        <f>IF(F111="","",IFERROR(INDEX(UnitBases,MATCH(F111,UnitNames,0)),"?"))</f>
        <v>0</v>
      </c>
      <c r="L111" s="17">
        <f>IF(D111="","",IFERROR(INDEX(Ingredients!$G$5:$G$304,MATCH(D111,Ingredients!$B$5:$B$304,0)),"Add to Ingredients"))</f>
        <v>0</v>
      </c>
      <c r="M111" s="25">
        <f>IF(D111="","",IFERROR(INDEX(Ingredients!$J$5:$J$304,MATCH(D111,Ingredients!$B$5:$B$304,0)),"Add to Ingredients"))</f>
        <v>0</v>
      </c>
      <c r="N111" s="25">
        <f>IF(OR(J111="",M111="",NOT(ISNUMBER(M111))),"",IF(K111&lt;&gt;L111,"",J111*M111))</f>
        <v>0</v>
      </c>
      <c r="O111" s="25">
        <f>IF(N111="","",IFERROR(N111/INDEX(Recipes!$G$5:$G$204,MATCH(B111,Recipes!$A$5:$A$204,0)),""))</f>
        <v>0</v>
      </c>
      <c r="P111" s="30">
        <f>IF(J111="","",IF(K111="each",J111,J111/100))</f>
        <v>0</v>
      </c>
      <c r="Q111" s="30">
        <f>IFERROR(IF(P111="","",P111*INDEX(Ingredients!$P$5:$P$304,MATCH(D111,Ingredients!$B$5:$B$304,0))),"")</f>
        <v>0</v>
      </c>
      <c r="R111" s="45">
        <f>IFERROR(IF(P111="","",P111*INDEX(Ingredients!$Q$5:$Q$304,MATCH(D111,Ingredients!$B$5:$B$304,0))),"")</f>
        <v>0</v>
      </c>
      <c r="S111" s="45">
        <f>IFERROR(IF(P111="","",P111*INDEX(Ingredients!$R$5:$R$304,MATCH(D111,Ingredients!$B$5:$B$304,0))),"")</f>
        <v>0</v>
      </c>
      <c r="T111" s="45">
        <f>IFERROR(IF(P111="","",P111*INDEX(Ingredients!$S$5:$S$304,MATCH(D111,Ingredients!$B$5:$B$304,0))),"")</f>
        <v>0</v>
      </c>
      <c r="U111" s="45">
        <f>IFERROR(IF(P111="","",P111*INDEX(Ingredients!$T$5:$T$304,MATCH(D111,Ingredients!$B$5:$B$304,0))),"")</f>
        <v>0</v>
      </c>
      <c r="V111" s="17">
        <f>IF(D111="","",IFERROR(INDEX(Ingredients!$W$5:$W$304,MATCH(D111,Ingredients!$B$5:$B$304,0)),"Add to Ingredients"))</f>
        <v>0</v>
      </c>
      <c r="W111" s="17">
        <f>IF(D111="","",IFERROR(INDEX(Ingredients!$C$5:$C$304,MATCH(D111,Ingredients!$B$5:$B$304,0)),"Add to Ingredients"))</f>
        <v>0</v>
      </c>
      <c r="X111" s="45">
        <f>IFERROR(INDEX(Recipes!$AT$5:$AT$204,MATCH(B111,Recipes!$A$5:$A$204,0)),0)</f>
        <v>0</v>
      </c>
      <c r="Y111" s="45">
        <f>IF(OR(J111="",X111=0),"",J111*X111)</f>
        <v>0</v>
      </c>
      <c r="Z111" s="17">
        <f>IF(D111="","",B111&amp;"#"&amp;COUNTIFS($B$5:B111,B111))</f>
        <v>0</v>
      </c>
      <c r="AA111" s="17">
        <f>IF(D111="","",B111&amp;"|"&amp;D111)</f>
        <v>0</v>
      </c>
      <c r="AB111" s="31">
        <f>IF(D111="","",IF(B111="","Add - which recipe?",IF(COUNTIFS(Ingredients!$B$5:$B$304,D111)=0,"Missing - not in the Ingredients tab",IF(E111="","Add - no quantity",IF(F111="","Add - no unit",IF(K111&lt;&gt;L111,"Check - recipe in "&amp;K111&amp;", priced in "&amp;L111,IF(COUNTIFS($AA$5:$AA$1204,AA111)&gt;1,"Duplicate - same ingredient twice","OK")))))))</f>
        <v>0</v>
      </c>
    </row>
    <row r="112" spans="1:28">
      <c r="A112" s="39">
        <f>IF(D112="","","RL-"&amp;TEXT(ROW()-4,"0000"))</f>
        <v>0</v>
      </c>
      <c r="C112" s="17">
        <f>IF(B112="","",IFERROR(INDEX(Recipes!$B$5:$B$204,MATCH(B112,Recipes!$A$5:$A$204,0)),"Not found"))</f>
        <v>0</v>
      </c>
      <c r="J112" s="45">
        <f>IF(E112="","",IFERROR(E112*INDEX(UnitFactors,MATCH(F112,UnitNames,0)),""))</f>
        <v>0</v>
      </c>
      <c r="K112" s="17">
        <f>IF(F112="","",IFERROR(INDEX(UnitBases,MATCH(F112,UnitNames,0)),"?"))</f>
        <v>0</v>
      </c>
      <c r="L112" s="17">
        <f>IF(D112="","",IFERROR(INDEX(Ingredients!$G$5:$G$304,MATCH(D112,Ingredients!$B$5:$B$304,0)),"Add to Ingredients"))</f>
        <v>0</v>
      </c>
      <c r="M112" s="25">
        <f>IF(D112="","",IFERROR(INDEX(Ingredients!$J$5:$J$304,MATCH(D112,Ingredients!$B$5:$B$304,0)),"Add to Ingredients"))</f>
        <v>0</v>
      </c>
      <c r="N112" s="25">
        <f>IF(OR(J112="",M112="",NOT(ISNUMBER(M112))),"",IF(K112&lt;&gt;L112,"",J112*M112))</f>
        <v>0</v>
      </c>
      <c r="O112" s="25">
        <f>IF(N112="","",IFERROR(N112/INDEX(Recipes!$G$5:$G$204,MATCH(B112,Recipes!$A$5:$A$204,0)),""))</f>
        <v>0</v>
      </c>
      <c r="P112" s="30">
        <f>IF(J112="","",IF(K112="each",J112,J112/100))</f>
        <v>0</v>
      </c>
      <c r="Q112" s="30">
        <f>IFERROR(IF(P112="","",P112*INDEX(Ingredients!$P$5:$P$304,MATCH(D112,Ingredients!$B$5:$B$304,0))),"")</f>
        <v>0</v>
      </c>
      <c r="R112" s="45">
        <f>IFERROR(IF(P112="","",P112*INDEX(Ingredients!$Q$5:$Q$304,MATCH(D112,Ingredients!$B$5:$B$304,0))),"")</f>
        <v>0</v>
      </c>
      <c r="S112" s="45">
        <f>IFERROR(IF(P112="","",P112*INDEX(Ingredients!$R$5:$R$304,MATCH(D112,Ingredients!$B$5:$B$304,0))),"")</f>
        <v>0</v>
      </c>
      <c r="T112" s="45">
        <f>IFERROR(IF(P112="","",P112*INDEX(Ingredients!$S$5:$S$304,MATCH(D112,Ingredients!$B$5:$B$304,0))),"")</f>
        <v>0</v>
      </c>
      <c r="U112" s="45">
        <f>IFERROR(IF(P112="","",P112*INDEX(Ingredients!$T$5:$T$304,MATCH(D112,Ingredients!$B$5:$B$304,0))),"")</f>
        <v>0</v>
      </c>
      <c r="V112" s="17">
        <f>IF(D112="","",IFERROR(INDEX(Ingredients!$W$5:$W$304,MATCH(D112,Ingredients!$B$5:$B$304,0)),"Add to Ingredients"))</f>
        <v>0</v>
      </c>
      <c r="W112" s="17">
        <f>IF(D112="","",IFERROR(INDEX(Ingredients!$C$5:$C$304,MATCH(D112,Ingredients!$B$5:$B$304,0)),"Add to Ingredients"))</f>
        <v>0</v>
      </c>
      <c r="X112" s="45">
        <f>IFERROR(INDEX(Recipes!$AT$5:$AT$204,MATCH(B112,Recipes!$A$5:$A$204,0)),0)</f>
        <v>0</v>
      </c>
      <c r="Y112" s="45">
        <f>IF(OR(J112="",X112=0),"",J112*X112)</f>
        <v>0</v>
      </c>
      <c r="Z112" s="17">
        <f>IF(D112="","",B112&amp;"#"&amp;COUNTIFS($B$5:B112,B112))</f>
        <v>0</v>
      </c>
      <c r="AA112" s="17">
        <f>IF(D112="","",B112&amp;"|"&amp;D112)</f>
        <v>0</v>
      </c>
      <c r="AB112" s="31">
        <f>IF(D112="","",IF(B112="","Add - which recipe?",IF(COUNTIFS(Ingredients!$B$5:$B$304,D112)=0,"Missing - not in the Ingredients tab",IF(E112="","Add - no quantity",IF(F112="","Add - no unit",IF(K112&lt;&gt;L112,"Check - recipe in "&amp;K112&amp;", priced in "&amp;L112,IF(COUNTIFS($AA$5:$AA$1204,AA112)&gt;1,"Duplicate - same ingredient twice","OK")))))))</f>
        <v>0</v>
      </c>
    </row>
    <row r="113" spans="1:28">
      <c r="A113" s="39">
        <f>IF(D113="","","RL-"&amp;TEXT(ROW()-4,"0000"))</f>
        <v>0</v>
      </c>
      <c r="C113" s="17">
        <f>IF(B113="","",IFERROR(INDEX(Recipes!$B$5:$B$204,MATCH(B113,Recipes!$A$5:$A$204,0)),"Not found"))</f>
        <v>0</v>
      </c>
      <c r="J113" s="45">
        <f>IF(E113="","",IFERROR(E113*INDEX(UnitFactors,MATCH(F113,UnitNames,0)),""))</f>
        <v>0</v>
      </c>
      <c r="K113" s="17">
        <f>IF(F113="","",IFERROR(INDEX(UnitBases,MATCH(F113,UnitNames,0)),"?"))</f>
        <v>0</v>
      </c>
      <c r="L113" s="17">
        <f>IF(D113="","",IFERROR(INDEX(Ingredients!$G$5:$G$304,MATCH(D113,Ingredients!$B$5:$B$304,0)),"Add to Ingredients"))</f>
        <v>0</v>
      </c>
      <c r="M113" s="25">
        <f>IF(D113="","",IFERROR(INDEX(Ingredients!$J$5:$J$304,MATCH(D113,Ingredients!$B$5:$B$304,0)),"Add to Ingredients"))</f>
        <v>0</v>
      </c>
      <c r="N113" s="25">
        <f>IF(OR(J113="",M113="",NOT(ISNUMBER(M113))),"",IF(K113&lt;&gt;L113,"",J113*M113))</f>
        <v>0</v>
      </c>
      <c r="O113" s="25">
        <f>IF(N113="","",IFERROR(N113/INDEX(Recipes!$G$5:$G$204,MATCH(B113,Recipes!$A$5:$A$204,0)),""))</f>
        <v>0</v>
      </c>
      <c r="P113" s="30">
        <f>IF(J113="","",IF(K113="each",J113,J113/100))</f>
        <v>0</v>
      </c>
      <c r="Q113" s="30">
        <f>IFERROR(IF(P113="","",P113*INDEX(Ingredients!$P$5:$P$304,MATCH(D113,Ingredients!$B$5:$B$304,0))),"")</f>
        <v>0</v>
      </c>
      <c r="R113" s="45">
        <f>IFERROR(IF(P113="","",P113*INDEX(Ingredients!$Q$5:$Q$304,MATCH(D113,Ingredients!$B$5:$B$304,0))),"")</f>
        <v>0</v>
      </c>
      <c r="S113" s="45">
        <f>IFERROR(IF(P113="","",P113*INDEX(Ingredients!$R$5:$R$304,MATCH(D113,Ingredients!$B$5:$B$304,0))),"")</f>
        <v>0</v>
      </c>
      <c r="T113" s="45">
        <f>IFERROR(IF(P113="","",P113*INDEX(Ingredients!$S$5:$S$304,MATCH(D113,Ingredients!$B$5:$B$304,0))),"")</f>
        <v>0</v>
      </c>
      <c r="U113" s="45">
        <f>IFERROR(IF(P113="","",P113*INDEX(Ingredients!$T$5:$T$304,MATCH(D113,Ingredients!$B$5:$B$304,0))),"")</f>
        <v>0</v>
      </c>
      <c r="V113" s="17">
        <f>IF(D113="","",IFERROR(INDEX(Ingredients!$W$5:$W$304,MATCH(D113,Ingredients!$B$5:$B$304,0)),"Add to Ingredients"))</f>
        <v>0</v>
      </c>
      <c r="W113" s="17">
        <f>IF(D113="","",IFERROR(INDEX(Ingredients!$C$5:$C$304,MATCH(D113,Ingredients!$B$5:$B$304,0)),"Add to Ingredients"))</f>
        <v>0</v>
      </c>
      <c r="X113" s="45">
        <f>IFERROR(INDEX(Recipes!$AT$5:$AT$204,MATCH(B113,Recipes!$A$5:$A$204,0)),0)</f>
        <v>0</v>
      </c>
      <c r="Y113" s="45">
        <f>IF(OR(J113="",X113=0),"",J113*X113)</f>
        <v>0</v>
      </c>
      <c r="Z113" s="17">
        <f>IF(D113="","",B113&amp;"#"&amp;COUNTIFS($B$5:B113,B113))</f>
        <v>0</v>
      </c>
      <c r="AA113" s="17">
        <f>IF(D113="","",B113&amp;"|"&amp;D113)</f>
        <v>0</v>
      </c>
      <c r="AB113" s="31">
        <f>IF(D113="","",IF(B113="","Add - which recipe?",IF(COUNTIFS(Ingredients!$B$5:$B$304,D113)=0,"Missing - not in the Ingredients tab",IF(E113="","Add - no quantity",IF(F113="","Add - no unit",IF(K113&lt;&gt;L113,"Check - recipe in "&amp;K113&amp;", priced in "&amp;L113,IF(COUNTIFS($AA$5:$AA$1204,AA113)&gt;1,"Duplicate - same ingredient twice","OK")))))))</f>
        <v>0</v>
      </c>
    </row>
    <row r="114" spans="1:28">
      <c r="A114" s="39">
        <f>IF(D114="","","RL-"&amp;TEXT(ROW()-4,"0000"))</f>
        <v>0</v>
      </c>
      <c r="C114" s="17">
        <f>IF(B114="","",IFERROR(INDEX(Recipes!$B$5:$B$204,MATCH(B114,Recipes!$A$5:$A$204,0)),"Not found"))</f>
        <v>0</v>
      </c>
      <c r="J114" s="45">
        <f>IF(E114="","",IFERROR(E114*INDEX(UnitFactors,MATCH(F114,UnitNames,0)),""))</f>
        <v>0</v>
      </c>
      <c r="K114" s="17">
        <f>IF(F114="","",IFERROR(INDEX(UnitBases,MATCH(F114,UnitNames,0)),"?"))</f>
        <v>0</v>
      </c>
      <c r="L114" s="17">
        <f>IF(D114="","",IFERROR(INDEX(Ingredients!$G$5:$G$304,MATCH(D114,Ingredients!$B$5:$B$304,0)),"Add to Ingredients"))</f>
        <v>0</v>
      </c>
      <c r="M114" s="25">
        <f>IF(D114="","",IFERROR(INDEX(Ingredients!$J$5:$J$304,MATCH(D114,Ingredients!$B$5:$B$304,0)),"Add to Ingredients"))</f>
        <v>0</v>
      </c>
      <c r="N114" s="25">
        <f>IF(OR(J114="",M114="",NOT(ISNUMBER(M114))),"",IF(K114&lt;&gt;L114,"",J114*M114))</f>
        <v>0</v>
      </c>
      <c r="O114" s="25">
        <f>IF(N114="","",IFERROR(N114/INDEX(Recipes!$G$5:$G$204,MATCH(B114,Recipes!$A$5:$A$204,0)),""))</f>
        <v>0</v>
      </c>
      <c r="P114" s="30">
        <f>IF(J114="","",IF(K114="each",J114,J114/100))</f>
        <v>0</v>
      </c>
      <c r="Q114" s="30">
        <f>IFERROR(IF(P114="","",P114*INDEX(Ingredients!$P$5:$P$304,MATCH(D114,Ingredients!$B$5:$B$304,0))),"")</f>
        <v>0</v>
      </c>
      <c r="R114" s="45">
        <f>IFERROR(IF(P114="","",P114*INDEX(Ingredients!$Q$5:$Q$304,MATCH(D114,Ingredients!$B$5:$B$304,0))),"")</f>
        <v>0</v>
      </c>
      <c r="S114" s="45">
        <f>IFERROR(IF(P114="","",P114*INDEX(Ingredients!$R$5:$R$304,MATCH(D114,Ingredients!$B$5:$B$304,0))),"")</f>
        <v>0</v>
      </c>
      <c r="T114" s="45">
        <f>IFERROR(IF(P114="","",P114*INDEX(Ingredients!$S$5:$S$304,MATCH(D114,Ingredients!$B$5:$B$304,0))),"")</f>
        <v>0</v>
      </c>
      <c r="U114" s="45">
        <f>IFERROR(IF(P114="","",P114*INDEX(Ingredients!$T$5:$T$304,MATCH(D114,Ingredients!$B$5:$B$304,0))),"")</f>
        <v>0</v>
      </c>
      <c r="V114" s="17">
        <f>IF(D114="","",IFERROR(INDEX(Ingredients!$W$5:$W$304,MATCH(D114,Ingredients!$B$5:$B$304,0)),"Add to Ingredients"))</f>
        <v>0</v>
      </c>
      <c r="W114" s="17">
        <f>IF(D114="","",IFERROR(INDEX(Ingredients!$C$5:$C$304,MATCH(D114,Ingredients!$B$5:$B$304,0)),"Add to Ingredients"))</f>
        <v>0</v>
      </c>
      <c r="X114" s="45">
        <f>IFERROR(INDEX(Recipes!$AT$5:$AT$204,MATCH(B114,Recipes!$A$5:$A$204,0)),0)</f>
        <v>0</v>
      </c>
      <c r="Y114" s="45">
        <f>IF(OR(J114="",X114=0),"",J114*X114)</f>
        <v>0</v>
      </c>
      <c r="Z114" s="17">
        <f>IF(D114="","",B114&amp;"#"&amp;COUNTIFS($B$5:B114,B114))</f>
        <v>0</v>
      </c>
      <c r="AA114" s="17">
        <f>IF(D114="","",B114&amp;"|"&amp;D114)</f>
        <v>0</v>
      </c>
      <c r="AB114" s="31">
        <f>IF(D114="","",IF(B114="","Add - which recipe?",IF(COUNTIFS(Ingredients!$B$5:$B$304,D114)=0,"Missing - not in the Ingredients tab",IF(E114="","Add - no quantity",IF(F114="","Add - no unit",IF(K114&lt;&gt;L114,"Check - recipe in "&amp;K114&amp;", priced in "&amp;L114,IF(COUNTIFS($AA$5:$AA$1204,AA114)&gt;1,"Duplicate - same ingredient twice","OK")))))))</f>
        <v>0</v>
      </c>
    </row>
    <row r="115" spans="1:28">
      <c r="A115" s="39">
        <f>IF(D115="","","RL-"&amp;TEXT(ROW()-4,"0000"))</f>
        <v>0</v>
      </c>
      <c r="C115" s="17">
        <f>IF(B115="","",IFERROR(INDEX(Recipes!$B$5:$B$204,MATCH(B115,Recipes!$A$5:$A$204,0)),"Not found"))</f>
        <v>0</v>
      </c>
      <c r="J115" s="45">
        <f>IF(E115="","",IFERROR(E115*INDEX(UnitFactors,MATCH(F115,UnitNames,0)),""))</f>
        <v>0</v>
      </c>
      <c r="K115" s="17">
        <f>IF(F115="","",IFERROR(INDEX(UnitBases,MATCH(F115,UnitNames,0)),"?"))</f>
        <v>0</v>
      </c>
      <c r="L115" s="17">
        <f>IF(D115="","",IFERROR(INDEX(Ingredients!$G$5:$G$304,MATCH(D115,Ingredients!$B$5:$B$304,0)),"Add to Ingredients"))</f>
        <v>0</v>
      </c>
      <c r="M115" s="25">
        <f>IF(D115="","",IFERROR(INDEX(Ingredients!$J$5:$J$304,MATCH(D115,Ingredients!$B$5:$B$304,0)),"Add to Ingredients"))</f>
        <v>0</v>
      </c>
      <c r="N115" s="25">
        <f>IF(OR(J115="",M115="",NOT(ISNUMBER(M115))),"",IF(K115&lt;&gt;L115,"",J115*M115))</f>
        <v>0</v>
      </c>
      <c r="O115" s="25">
        <f>IF(N115="","",IFERROR(N115/INDEX(Recipes!$G$5:$G$204,MATCH(B115,Recipes!$A$5:$A$204,0)),""))</f>
        <v>0</v>
      </c>
      <c r="P115" s="30">
        <f>IF(J115="","",IF(K115="each",J115,J115/100))</f>
        <v>0</v>
      </c>
      <c r="Q115" s="30">
        <f>IFERROR(IF(P115="","",P115*INDEX(Ingredients!$P$5:$P$304,MATCH(D115,Ingredients!$B$5:$B$304,0))),"")</f>
        <v>0</v>
      </c>
      <c r="R115" s="45">
        <f>IFERROR(IF(P115="","",P115*INDEX(Ingredients!$Q$5:$Q$304,MATCH(D115,Ingredients!$B$5:$B$304,0))),"")</f>
        <v>0</v>
      </c>
      <c r="S115" s="45">
        <f>IFERROR(IF(P115="","",P115*INDEX(Ingredients!$R$5:$R$304,MATCH(D115,Ingredients!$B$5:$B$304,0))),"")</f>
        <v>0</v>
      </c>
      <c r="T115" s="45">
        <f>IFERROR(IF(P115="","",P115*INDEX(Ingredients!$S$5:$S$304,MATCH(D115,Ingredients!$B$5:$B$304,0))),"")</f>
        <v>0</v>
      </c>
      <c r="U115" s="45">
        <f>IFERROR(IF(P115="","",P115*INDEX(Ingredients!$T$5:$T$304,MATCH(D115,Ingredients!$B$5:$B$304,0))),"")</f>
        <v>0</v>
      </c>
      <c r="V115" s="17">
        <f>IF(D115="","",IFERROR(INDEX(Ingredients!$W$5:$W$304,MATCH(D115,Ingredients!$B$5:$B$304,0)),"Add to Ingredients"))</f>
        <v>0</v>
      </c>
      <c r="W115" s="17">
        <f>IF(D115="","",IFERROR(INDEX(Ingredients!$C$5:$C$304,MATCH(D115,Ingredients!$B$5:$B$304,0)),"Add to Ingredients"))</f>
        <v>0</v>
      </c>
      <c r="X115" s="45">
        <f>IFERROR(INDEX(Recipes!$AT$5:$AT$204,MATCH(B115,Recipes!$A$5:$A$204,0)),0)</f>
        <v>0</v>
      </c>
      <c r="Y115" s="45">
        <f>IF(OR(J115="",X115=0),"",J115*X115)</f>
        <v>0</v>
      </c>
      <c r="Z115" s="17">
        <f>IF(D115="","",B115&amp;"#"&amp;COUNTIFS($B$5:B115,B115))</f>
        <v>0</v>
      </c>
      <c r="AA115" s="17">
        <f>IF(D115="","",B115&amp;"|"&amp;D115)</f>
        <v>0</v>
      </c>
      <c r="AB115" s="31">
        <f>IF(D115="","",IF(B115="","Add - which recipe?",IF(COUNTIFS(Ingredients!$B$5:$B$304,D115)=0,"Missing - not in the Ingredients tab",IF(E115="","Add - no quantity",IF(F115="","Add - no unit",IF(K115&lt;&gt;L115,"Check - recipe in "&amp;K115&amp;", priced in "&amp;L115,IF(COUNTIFS($AA$5:$AA$1204,AA115)&gt;1,"Duplicate - same ingredient twice","OK")))))))</f>
        <v>0</v>
      </c>
    </row>
    <row r="116" spans="1:28">
      <c r="A116" s="39">
        <f>IF(D116="","","RL-"&amp;TEXT(ROW()-4,"0000"))</f>
        <v>0</v>
      </c>
      <c r="C116" s="17">
        <f>IF(B116="","",IFERROR(INDEX(Recipes!$B$5:$B$204,MATCH(B116,Recipes!$A$5:$A$204,0)),"Not found"))</f>
        <v>0</v>
      </c>
      <c r="J116" s="45">
        <f>IF(E116="","",IFERROR(E116*INDEX(UnitFactors,MATCH(F116,UnitNames,0)),""))</f>
        <v>0</v>
      </c>
      <c r="K116" s="17">
        <f>IF(F116="","",IFERROR(INDEX(UnitBases,MATCH(F116,UnitNames,0)),"?"))</f>
        <v>0</v>
      </c>
      <c r="L116" s="17">
        <f>IF(D116="","",IFERROR(INDEX(Ingredients!$G$5:$G$304,MATCH(D116,Ingredients!$B$5:$B$304,0)),"Add to Ingredients"))</f>
        <v>0</v>
      </c>
      <c r="M116" s="25">
        <f>IF(D116="","",IFERROR(INDEX(Ingredients!$J$5:$J$304,MATCH(D116,Ingredients!$B$5:$B$304,0)),"Add to Ingredients"))</f>
        <v>0</v>
      </c>
      <c r="N116" s="25">
        <f>IF(OR(J116="",M116="",NOT(ISNUMBER(M116))),"",IF(K116&lt;&gt;L116,"",J116*M116))</f>
        <v>0</v>
      </c>
      <c r="O116" s="25">
        <f>IF(N116="","",IFERROR(N116/INDEX(Recipes!$G$5:$G$204,MATCH(B116,Recipes!$A$5:$A$204,0)),""))</f>
        <v>0</v>
      </c>
      <c r="P116" s="30">
        <f>IF(J116="","",IF(K116="each",J116,J116/100))</f>
        <v>0</v>
      </c>
      <c r="Q116" s="30">
        <f>IFERROR(IF(P116="","",P116*INDEX(Ingredients!$P$5:$P$304,MATCH(D116,Ingredients!$B$5:$B$304,0))),"")</f>
        <v>0</v>
      </c>
      <c r="R116" s="45">
        <f>IFERROR(IF(P116="","",P116*INDEX(Ingredients!$Q$5:$Q$304,MATCH(D116,Ingredients!$B$5:$B$304,0))),"")</f>
        <v>0</v>
      </c>
      <c r="S116" s="45">
        <f>IFERROR(IF(P116="","",P116*INDEX(Ingredients!$R$5:$R$304,MATCH(D116,Ingredients!$B$5:$B$304,0))),"")</f>
        <v>0</v>
      </c>
      <c r="T116" s="45">
        <f>IFERROR(IF(P116="","",P116*INDEX(Ingredients!$S$5:$S$304,MATCH(D116,Ingredients!$B$5:$B$304,0))),"")</f>
        <v>0</v>
      </c>
      <c r="U116" s="45">
        <f>IFERROR(IF(P116="","",P116*INDEX(Ingredients!$T$5:$T$304,MATCH(D116,Ingredients!$B$5:$B$304,0))),"")</f>
        <v>0</v>
      </c>
      <c r="V116" s="17">
        <f>IF(D116="","",IFERROR(INDEX(Ingredients!$W$5:$W$304,MATCH(D116,Ingredients!$B$5:$B$304,0)),"Add to Ingredients"))</f>
        <v>0</v>
      </c>
      <c r="W116" s="17">
        <f>IF(D116="","",IFERROR(INDEX(Ingredients!$C$5:$C$304,MATCH(D116,Ingredients!$B$5:$B$304,0)),"Add to Ingredients"))</f>
        <v>0</v>
      </c>
      <c r="X116" s="45">
        <f>IFERROR(INDEX(Recipes!$AT$5:$AT$204,MATCH(B116,Recipes!$A$5:$A$204,0)),0)</f>
        <v>0</v>
      </c>
      <c r="Y116" s="45">
        <f>IF(OR(J116="",X116=0),"",J116*X116)</f>
        <v>0</v>
      </c>
      <c r="Z116" s="17">
        <f>IF(D116="","",B116&amp;"#"&amp;COUNTIFS($B$5:B116,B116))</f>
        <v>0</v>
      </c>
      <c r="AA116" s="17">
        <f>IF(D116="","",B116&amp;"|"&amp;D116)</f>
        <v>0</v>
      </c>
      <c r="AB116" s="31">
        <f>IF(D116="","",IF(B116="","Add - which recipe?",IF(COUNTIFS(Ingredients!$B$5:$B$304,D116)=0,"Missing - not in the Ingredients tab",IF(E116="","Add - no quantity",IF(F116="","Add - no unit",IF(K116&lt;&gt;L116,"Check - recipe in "&amp;K116&amp;", priced in "&amp;L116,IF(COUNTIFS($AA$5:$AA$1204,AA116)&gt;1,"Duplicate - same ingredient twice","OK")))))))</f>
        <v>0</v>
      </c>
    </row>
    <row r="117" spans="1:28">
      <c r="A117" s="39">
        <f>IF(D117="","","RL-"&amp;TEXT(ROW()-4,"0000"))</f>
        <v>0</v>
      </c>
      <c r="C117" s="17">
        <f>IF(B117="","",IFERROR(INDEX(Recipes!$B$5:$B$204,MATCH(B117,Recipes!$A$5:$A$204,0)),"Not found"))</f>
        <v>0</v>
      </c>
      <c r="J117" s="45">
        <f>IF(E117="","",IFERROR(E117*INDEX(UnitFactors,MATCH(F117,UnitNames,0)),""))</f>
        <v>0</v>
      </c>
      <c r="K117" s="17">
        <f>IF(F117="","",IFERROR(INDEX(UnitBases,MATCH(F117,UnitNames,0)),"?"))</f>
        <v>0</v>
      </c>
      <c r="L117" s="17">
        <f>IF(D117="","",IFERROR(INDEX(Ingredients!$G$5:$G$304,MATCH(D117,Ingredients!$B$5:$B$304,0)),"Add to Ingredients"))</f>
        <v>0</v>
      </c>
      <c r="M117" s="25">
        <f>IF(D117="","",IFERROR(INDEX(Ingredients!$J$5:$J$304,MATCH(D117,Ingredients!$B$5:$B$304,0)),"Add to Ingredients"))</f>
        <v>0</v>
      </c>
      <c r="N117" s="25">
        <f>IF(OR(J117="",M117="",NOT(ISNUMBER(M117))),"",IF(K117&lt;&gt;L117,"",J117*M117))</f>
        <v>0</v>
      </c>
      <c r="O117" s="25">
        <f>IF(N117="","",IFERROR(N117/INDEX(Recipes!$G$5:$G$204,MATCH(B117,Recipes!$A$5:$A$204,0)),""))</f>
        <v>0</v>
      </c>
      <c r="P117" s="30">
        <f>IF(J117="","",IF(K117="each",J117,J117/100))</f>
        <v>0</v>
      </c>
      <c r="Q117" s="30">
        <f>IFERROR(IF(P117="","",P117*INDEX(Ingredients!$P$5:$P$304,MATCH(D117,Ingredients!$B$5:$B$304,0))),"")</f>
        <v>0</v>
      </c>
      <c r="R117" s="45">
        <f>IFERROR(IF(P117="","",P117*INDEX(Ingredients!$Q$5:$Q$304,MATCH(D117,Ingredients!$B$5:$B$304,0))),"")</f>
        <v>0</v>
      </c>
      <c r="S117" s="45">
        <f>IFERROR(IF(P117="","",P117*INDEX(Ingredients!$R$5:$R$304,MATCH(D117,Ingredients!$B$5:$B$304,0))),"")</f>
        <v>0</v>
      </c>
      <c r="T117" s="45">
        <f>IFERROR(IF(P117="","",P117*INDEX(Ingredients!$S$5:$S$304,MATCH(D117,Ingredients!$B$5:$B$304,0))),"")</f>
        <v>0</v>
      </c>
      <c r="U117" s="45">
        <f>IFERROR(IF(P117="","",P117*INDEX(Ingredients!$T$5:$T$304,MATCH(D117,Ingredients!$B$5:$B$304,0))),"")</f>
        <v>0</v>
      </c>
      <c r="V117" s="17">
        <f>IF(D117="","",IFERROR(INDEX(Ingredients!$W$5:$W$304,MATCH(D117,Ingredients!$B$5:$B$304,0)),"Add to Ingredients"))</f>
        <v>0</v>
      </c>
      <c r="W117" s="17">
        <f>IF(D117="","",IFERROR(INDEX(Ingredients!$C$5:$C$304,MATCH(D117,Ingredients!$B$5:$B$304,0)),"Add to Ingredients"))</f>
        <v>0</v>
      </c>
      <c r="X117" s="45">
        <f>IFERROR(INDEX(Recipes!$AT$5:$AT$204,MATCH(B117,Recipes!$A$5:$A$204,0)),0)</f>
        <v>0</v>
      </c>
      <c r="Y117" s="45">
        <f>IF(OR(J117="",X117=0),"",J117*X117)</f>
        <v>0</v>
      </c>
      <c r="Z117" s="17">
        <f>IF(D117="","",B117&amp;"#"&amp;COUNTIFS($B$5:B117,B117))</f>
        <v>0</v>
      </c>
      <c r="AA117" s="17">
        <f>IF(D117="","",B117&amp;"|"&amp;D117)</f>
        <v>0</v>
      </c>
      <c r="AB117" s="31">
        <f>IF(D117="","",IF(B117="","Add - which recipe?",IF(COUNTIFS(Ingredients!$B$5:$B$304,D117)=0,"Missing - not in the Ingredients tab",IF(E117="","Add - no quantity",IF(F117="","Add - no unit",IF(K117&lt;&gt;L117,"Check - recipe in "&amp;K117&amp;", priced in "&amp;L117,IF(COUNTIFS($AA$5:$AA$1204,AA117)&gt;1,"Duplicate - same ingredient twice","OK")))))))</f>
        <v>0</v>
      </c>
    </row>
    <row r="118" spans="1:28">
      <c r="A118" s="39">
        <f>IF(D118="","","RL-"&amp;TEXT(ROW()-4,"0000"))</f>
        <v>0</v>
      </c>
      <c r="C118" s="17">
        <f>IF(B118="","",IFERROR(INDEX(Recipes!$B$5:$B$204,MATCH(B118,Recipes!$A$5:$A$204,0)),"Not found"))</f>
        <v>0</v>
      </c>
      <c r="J118" s="45">
        <f>IF(E118="","",IFERROR(E118*INDEX(UnitFactors,MATCH(F118,UnitNames,0)),""))</f>
        <v>0</v>
      </c>
      <c r="K118" s="17">
        <f>IF(F118="","",IFERROR(INDEX(UnitBases,MATCH(F118,UnitNames,0)),"?"))</f>
        <v>0</v>
      </c>
      <c r="L118" s="17">
        <f>IF(D118="","",IFERROR(INDEX(Ingredients!$G$5:$G$304,MATCH(D118,Ingredients!$B$5:$B$304,0)),"Add to Ingredients"))</f>
        <v>0</v>
      </c>
      <c r="M118" s="25">
        <f>IF(D118="","",IFERROR(INDEX(Ingredients!$J$5:$J$304,MATCH(D118,Ingredients!$B$5:$B$304,0)),"Add to Ingredients"))</f>
        <v>0</v>
      </c>
      <c r="N118" s="25">
        <f>IF(OR(J118="",M118="",NOT(ISNUMBER(M118))),"",IF(K118&lt;&gt;L118,"",J118*M118))</f>
        <v>0</v>
      </c>
      <c r="O118" s="25">
        <f>IF(N118="","",IFERROR(N118/INDEX(Recipes!$G$5:$G$204,MATCH(B118,Recipes!$A$5:$A$204,0)),""))</f>
        <v>0</v>
      </c>
      <c r="P118" s="30">
        <f>IF(J118="","",IF(K118="each",J118,J118/100))</f>
        <v>0</v>
      </c>
      <c r="Q118" s="30">
        <f>IFERROR(IF(P118="","",P118*INDEX(Ingredients!$P$5:$P$304,MATCH(D118,Ingredients!$B$5:$B$304,0))),"")</f>
        <v>0</v>
      </c>
      <c r="R118" s="45">
        <f>IFERROR(IF(P118="","",P118*INDEX(Ingredients!$Q$5:$Q$304,MATCH(D118,Ingredients!$B$5:$B$304,0))),"")</f>
        <v>0</v>
      </c>
      <c r="S118" s="45">
        <f>IFERROR(IF(P118="","",P118*INDEX(Ingredients!$R$5:$R$304,MATCH(D118,Ingredients!$B$5:$B$304,0))),"")</f>
        <v>0</v>
      </c>
      <c r="T118" s="45">
        <f>IFERROR(IF(P118="","",P118*INDEX(Ingredients!$S$5:$S$304,MATCH(D118,Ingredients!$B$5:$B$304,0))),"")</f>
        <v>0</v>
      </c>
      <c r="U118" s="45">
        <f>IFERROR(IF(P118="","",P118*INDEX(Ingredients!$T$5:$T$304,MATCH(D118,Ingredients!$B$5:$B$304,0))),"")</f>
        <v>0</v>
      </c>
      <c r="V118" s="17">
        <f>IF(D118="","",IFERROR(INDEX(Ingredients!$W$5:$W$304,MATCH(D118,Ingredients!$B$5:$B$304,0)),"Add to Ingredients"))</f>
        <v>0</v>
      </c>
      <c r="W118" s="17">
        <f>IF(D118="","",IFERROR(INDEX(Ingredients!$C$5:$C$304,MATCH(D118,Ingredients!$B$5:$B$304,0)),"Add to Ingredients"))</f>
        <v>0</v>
      </c>
      <c r="X118" s="45">
        <f>IFERROR(INDEX(Recipes!$AT$5:$AT$204,MATCH(B118,Recipes!$A$5:$A$204,0)),0)</f>
        <v>0</v>
      </c>
      <c r="Y118" s="45">
        <f>IF(OR(J118="",X118=0),"",J118*X118)</f>
        <v>0</v>
      </c>
      <c r="Z118" s="17">
        <f>IF(D118="","",B118&amp;"#"&amp;COUNTIFS($B$5:B118,B118))</f>
        <v>0</v>
      </c>
      <c r="AA118" s="17">
        <f>IF(D118="","",B118&amp;"|"&amp;D118)</f>
        <v>0</v>
      </c>
      <c r="AB118" s="31">
        <f>IF(D118="","",IF(B118="","Add - which recipe?",IF(COUNTIFS(Ingredients!$B$5:$B$304,D118)=0,"Missing - not in the Ingredients tab",IF(E118="","Add - no quantity",IF(F118="","Add - no unit",IF(K118&lt;&gt;L118,"Check - recipe in "&amp;K118&amp;", priced in "&amp;L118,IF(COUNTIFS($AA$5:$AA$1204,AA118)&gt;1,"Duplicate - same ingredient twice","OK")))))))</f>
        <v>0</v>
      </c>
    </row>
    <row r="119" spans="1:28">
      <c r="A119" s="39">
        <f>IF(D119="","","RL-"&amp;TEXT(ROW()-4,"0000"))</f>
        <v>0</v>
      </c>
      <c r="C119" s="17">
        <f>IF(B119="","",IFERROR(INDEX(Recipes!$B$5:$B$204,MATCH(B119,Recipes!$A$5:$A$204,0)),"Not found"))</f>
        <v>0</v>
      </c>
      <c r="J119" s="45">
        <f>IF(E119="","",IFERROR(E119*INDEX(UnitFactors,MATCH(F119,UnitNames,0)),""))</f>
        <v>0</v>
      </c>
      <c r="K119" s="17">
        <f>IF(F119="","",IFERROR(INDEX(UnitBases,MATCH(F119,UnitNames,0)),"?"))</f>
        <v>0</v>
      </c>
      <c r="L119" s="17">
        <f>IF(D119="","",IFERROR(INDEX(Ingredients!$G$5:$G$304,MATCH(D119,Ingredients!$B$5:$B$304,0)),"Add to Ingredients"))</f>
        <v>0</v>
      </c>
      <c r="M119" s="25">
        <f>IF(D119="","",IFERROR(INDEX(Ingredients!$J$5:$J$304,MATCH(D119,Ingredients!$B$5:$B$304,0)),"Add to Ingredients"))</f>
        <v>0</v>
      </c>
      <c r="N119" s="25">
        <f>IF(OR(J119="",M119="",NOT(ISNUMBER(M119))),"",IF(K119&lt;&gt;L119,"",J119*M119))</f>
        <v>0</v>
      </c>
      <c r="O119" s="25">
        <f>IF(N119="","",IFERROR(N119/INDEX(Recipes!$G$5:$G$204,MATCH(B119,Recipes!$A$5:$A$204,0)),""))</f>
        <v>0</v>
      </c>
      <c r="P119" s="30">
        <f>IF(J119="","",IF(K119="each",J119,J119/100))</f>
        <v>0</v>
      </c>
      <c r="Q119" s="30">
        <f>IFERROR(IF(P119="","",P119*INDEX(Ingredients!$P$5:$P$304,MATCH(D119,Ingredients!$B$5:$B$304,0))),"")</f>
        <v>0</v>
      </c>
      <c r="R119" s="45">
        <f>IFERROR(IF(P119="","",P119*INDEX(Ingredients!$Q$5:$Q$304,MATCH(D119,Ingredients!$B$5:$B$304,0))),"")</f>
        <v>0</v>
      </c>
      <c r="S119" s="45">
        <f>IFERROR(IF(P119="","",P119*INDEX(Ingredients!$R$5:$R$304,MATCH(D119,Ingredients!$B$5:$B$304,0))),"")</f>
        <v>0</v>
      </c>
      <c r="T119" s="45">
        <f>IFERROR(IF(P119="","",P119*INDEX(Ingredients!$S$5:$S$304,MATCH(D119,Ingredients!$B$5:$B$304,0))),"")</f>
        <v>0</v>
      </c>
      <c r="U119" s="45">
        <f>IFERROR(IF(P119="","",P119*INDEX(Ingredients!$T$5:$T$304,MATCH(D119,Ingredients!$B$5:$B$304,0))),"")</f>
        <v>0</v>
      </c>
      <c r="V119" s="17">
        <f>IF(D119="","",IFERROR(INDEX(Ingredients!$W$5:$W$304,MATCH(D119,Ingredients!$B$5:$B$304,0)),"Add to Ingredients"))</f>
        <v>0</v>
      </c>
      <c r="W119" s="17">
        <f>IF(D119="","",IFERROR(INDEX(Ingredients!$C$5:$C$304,MATCH(D119,Ingredients!$B$5:$B$304,0)),"Add to Ingredients"))</f>
        <v>0</v>
      </c>
      <c r="X119" s="45">
        <f>IFERROR(INDEX(Recipes!$AT$5:$AT$204,MATCH(B119,Recipes!$A$5:$A$204,0)),0)</f>
        <v>0</v>
      </c>
      <c r="Y119" s="45">
        <f>IF(OR(J119="",X119=0),"",J119*X119)</f>
        <v>0</v>
      </c>
      <c r="Z119" s="17">
        <f>IF(D119="","",B119&amp;"#"&amp;COUNTIFS($B$5:B119,B119))</f>
        <v>0</v>
      </c>
      <c r="AA119" s="17">
        <f>IF(D119="","",B119&amp;"|"&amp;D119)</f>
        <v>0</v>
      </c>
      <c r="AB119" s="31">
        <f>IF(D119="","",IF(B119="","Add - which recipe?",IF(COUNTIFS(Ingredients!$B$5:$B$304,D119)=0,"Missing - not in the Ingredients tab",IF(E119="","Add - no quantity",IF(F119="","Add - no unit",IF(K119&lt;&gt;L119,"Check - recipe in "&amp;K119&amp;", priced in "&amp;L119,IF(COUNTIFS($AA$5:$AA$1204,AA119)&gt;1,"Duplicate - same ingredient twice","OK")))))))</f>
        <v>0</v>
      </c>
    </row>
    <row r="120" spans="1:28">
      <c r="A120" s="39">
        <f>IF(D120="","","RL-"&amp;TEXT(ROW()-4,"0000"))</f>
        <v>0</v>
      </c>
      <c r="C120" s="17">
        <f>IF(B120="","",IFERROR(INDEX(Recipes!$B$5:$B$204,MATCH(B120,Recipes!$A$5:$A$204,0)),"Not found"))</f>
        <v>0</v>
      </c>
      <c r="J120" s="45">
        <f>IF(E120="","",IFERROR(E120*INDEX(UnitFactors,MATCH(F120,UnitNames,0)),""))</f>
        <v>0</v>
      </c>
      <c r="K120" s="17">
        <f>IF(F120="","",IFERROR(INDEX(UnitBases,MATCH(F120,UnitNames,0)),"?"))</f>
        <v>0</v>
      </c>
      <c r="L120" s="17">
        <f>IF(D120="","",IFERROR(INDEX(Ingredients!$G$5:$G$304,MATCH(D120,Ingredients!$B$5:$B$304,0)),"Add to Ingredients"))</f>
        <v>0</v>
      </c>
      <c r="M120" s="25">
        <f>IF(D120="","",IFERROR(INDEX(Ingredients!$J$5:$J$304,MATCH(D120,Ingredients!$B$5:$B$304,0)),"Add to Ingredients"))</f>
        <v>0</v>
      </c>
      <c r="N120" s="25">
        <f>IF(OR(J120="",M120="",NOT(ISNUMBER(M120))),"",IF(K120&lt;&gt;L120,"",J120*M120))</f>
        <v>0</v>
      </c>
      <c r="O120" s="25">
        <f>IF(N120="","",IFERROR(N120/INDEX(Recipes!$G$5:$G$204,MATCH(B120,Recipes!$A$5:$A$204,0)),""))</f>
        <v>0</v>
      </c>
      <c r="P120" s="30">
        <f>IF(J120="","",IF(K120="each",J120,J120/100))</f>
        <v>0</v>
      </c>
      <c r="Q120" s="30">
        <f>IFERROR(IF(P120="","",P120*INDEX(Ingredients!$P$5:$P$304,MATCH(D120,Ingredients!$B$5:$B$304,0))),"")</f>
        <v>0</v>
      </c>
      <c r="R120" s="45">
        <f>IFERROR(IF(P120="","",P120*INDEX(Ingredients!$Q$5:$Q$304,MATCH(D120,Ingredients!$B$5:$B$304,0))),"")</f>
        <v>0</v>
      </c>
      <c r="S120" s="45">
        <f>IFERROR(IF(P120="","",P120*INDEX(Ingredients!$R$5:$R$304,MATCH(D120,Ingredients!$B$5:$B$304,0))),"")</f>
        <v>0</v>
      </c>
      <c r="T120" s="45">
        <f>IFERROR(IF(P120="","",P120*INDEX(Ingredients!$S$5:$S$304,MATCH(D120,Ingredients!$B$5:$B$304,0))),"")</f>
        <v>0</v>
      </c>
      <c r="U120" s="45">
        <f>IFERROR(IF(P120="","",P120*INDEX(Ingredients!$T$5:$T$304,MATCH(D120,Ingredients!$B$5:$B$304,0))),"")</f>
        <v>0</v>
      </c>
      <c r="V120" s="17">
        <f>IF(D120="","",IFERROR(INDEX(Ingredients!$W$5:$W$304,MATCH(D120,Ingredients!$B$5:$B$304,0)),"Add to Ingredients"))</f>
        <v>0</v>
      </c>
      <c r="W120" s="17">
        <f>IF(D120="","",IFERROR(INDEX(Ingredients!$C$5:$C$304,MATCH(D120,Ingredients!$B$5:$B$304,0)),"Add to Ingredients"))</f>
        <v>0</v>
      </c>
      <c r="X120" s="45">
        <f>IFERROR(INDEX(Recipes!$AT$5:$AT$204,MATCH(B120,Recipes!$A$5:$A$204,0)),0)</f>
        <v>0</v>
      </c>
      <c r="Y120" s="45">
        <f>IF(OR(J120="",X120=0),"",J120*X120)</f>
        <v>0</v>
      </c>
      <c r="Z120" s="17">
        <f>IF(D120="","",B120&amp;"#"&amp;COUNTIFS($B$5:B120,B120))</f>
        <v>0</v>
      </c>
      <c r="AA120" s="17">
        <f>IF(D120="","",B120&amp;"|"&amp;D120)</f>
        <v>0</v>
      </c>
      <c r="AB120" s="31">
        <f>IF(D120="","",IF(B120="","Add - which recipe?",IF(COUNTIFS(Ingredients!$B$5:$B$304,D120)=0,"Missing - not in the Ingredients tab",IF(E120="","Add - no quantity",IF(F120="","Add - no unit",IF(K120&lt;&gt;L120,"Check - recipe in "&amp;K120&amp;", priced in "&amp;L120,IF(COUNTIFS($AA$5:$AA$1204,AA120)&gt;1,"Duplicate - same ingredient twice","OK")))))))</f>
        <v>0</v>
      </c>
    </row>
    <row r="121" spans="1:28">
      <c r="A121" s="39">
        <f>IF(D121="","","RL-"&amp;TEXT(ROW()-4,"0000"))</f>
        <v>0</v>
      </c>
      <c r="C121" s="17">
        <f>IF(B121="","",IFERROR(INDEX(Recipes!$B$5:$B$204,MATCH(B121,Recipes!$A$5:$A$204,0)),"Not found"))</f>
        <v>0</v>
      </c>
      <c r="J121" s="45">
        <f>IF(E121="","",IFERROR(E121*INDEX(UnitFactors,MATCH(F121,UnitNames,0)),""))</f>
        <v>0</v>
      </c>
      <c r="K121" s="17">
        <f>IF(F121="","",IFERROR(INDEX(UnitBases,MATCH(F121,UnitNames,0)),"?"))</f>
        <v>0</v>
      </c>
      <c r="L121" s="17">
        <f>IF(D121="","",IFERROR(INDEX(Ingredients!$G$5:$G$304,MATCH(D121,Ingredients!$B$5:$B$304,0)),"Add to Ingredients"))</f>
        <v>0</v>
      </c>
      <c r="M121" s="25">
        <f>IF(D121="","",IFERROR(INDEX(Ingredients!$J$5:$J$304,MATCH(D121,Ingredients!$B$5:$B$304,0)),"Add to Ingredients"))</f>
        <v>0</v>
      </c>
      <c r="N121" s="25">
        <f>IF(OR(J121="",M121="",NOT(ISNUMBER(M121))),"",IF(K121&lt;&gt;L121,"",J121*M121))</f>
        <v>0</v>
      </c>
      <c r="O121" s="25">
        <f>IF(N121="","",IFERROR(N121/INDEX(Recipes!$G$5:$G$204,MATCH(B121,Recipes!$A$5:$A$204,0)),""))</f>
        <v>0</v>
      </c>
      <c r="P121" s="30">
        <f>IF(J121="","",IF(K121="each",J121,J121/100))</f>
        <v>0</v>
      </c>
      <c r="Q121" s="30">
        <f>IFERROR(IF(P121="","",P121*INDEX(Ingredients!$P$5:$P$304,MATCH(D121,Ingredients!$B$5:$B$304,0))),"")</f>
        <v>0</v>
      </c>
      <c r="R121" s="45">
        <f>IFERROR(IF(P121="","",P121*INDEX(Ingredients!$Q$5:$Q$304,MATCH(D121,Ingredients!$B$5:$B$304,0))),"")</f>
        <v>0</v>
      </c>
      <c r="S121" s="45">
        <f>IFERROR(IF(P121="","",P121*INDEX(Ingredients!$R$5:$R$304,MATCH(D121,Ingredients!$B$5:$B$304,0))),"")</f>
        <v>0</v>
      </c>
      <c r="T121" s="45">
        <f>IFERROR(IF(P121="","",P121*INDEX(Ingredients!$S$5:$S$304,MATCH(D121,Ingredients!$B$5:$B$304,0))),"")</f>
        <v>0</v>
      </c>
      <c r="U121" s="45">
        <f>IFERROR(IF(P121="","",P121*INDEX(Ingredients!$T$5:$T$304,MATCH(D121,Ingredients!$B$5:$B$304,0))),"")</f>
        <v>0</v>
      </c>
      <c r="V121" s="17">
        <f>IF(D121="","",IFERROR(INDEX(Ingredients!$W$5:$W$304,MATCH(D121,Ingredients!$B$5:$B$304,0)),"Add to Ingredients"))</f>
        <v>0</v>
      </c>
      <c r="W121" s="17">
        <f>IF(D121="","",IFERROR(INDEX(Ingredients!$C$5:$C$304,MATCH(D121,Ingredients!$B$5:$B$304,0)),"Add to Ingredients"))</f>
        <v>0</v>
      </c>
      <c r="X121" s="45">
        <f>IFERROR(INDEX(Recipes!$AT$5:$AT$204,MATCH(B121,Recipes!$A$5:$A$204,0)),0)</f>
        <v>0</v>
      </c>
      <c r="Y121" s="45">
        <f>IF(OR(J121="",X121=0),"",J121*X121)</f>
        <v>0</v>
      </c>
      <c r="Z121" s="17">
        <f>IF(D121="","",B121&amp;"#"&amp;COUNTIFS($B$5:B121,B121))</f>
        <v>0</v>
      </c>
      <c r="AA121" s="17">
        <f>IF(D121="","",B121&amp;"|"&amp;D121)</f>
        <v>0</v>
      </c>
      <c r="AB121" s="31">
        <f>IF(D121="","",IF(B121="","Add - which recipe?",IF(COUNTIFS(Ingredients!$B$5:$B$304,D121)=0,"Missing - not in the Ingredients tab",IF(E121="","Add - no quantity",IF(F121="","Add - no unit",IF(K121&lt;&gt;L121,"Check - recipe in "&amp;K121&amp;", priced in "&amp;L121,IF(COUNTIFS($AA$5:$AA$1204,AA121)&gt;1,"Duplicate - same ingredient twice","OK")))))))</f>
        <v>0</v>
      </c>
    </row>
    <row r="122" spans="1:28">
      <c r="A122" s="39">
        <f>IF(D122="","","RL-"&amp;TEXT(ROW()-4,"0000"))</f>
        <v>0</v>
      </c>
      <c r="C122" s="17">
        <f>IF(B122="","",IFERROR(INDEX(Recipes!$B$5:$B$204,MATCH(B122,Recipes!$A$5:$A$204,0)),"Not found"))</f>
        <v>0</v>
      </c>
      <c r="J122" s="45">
        <f>IF(E122="","",IFERROR(E122*INDEX(UnitFactors,MATCH(F122,UnitNames,0)),""))</f>
        <v>0</v>
      </c>
      <c r="K122" s="17">
        <f>IF(F122="","",IFERROR(INDEX(UnitBases,MATCH(F122,UnitNames,0)),"?"))</f>
        <v>0</v>
      </c>
      <c r="L122" s="17">
        <f>IF(D122="","",IFERROR(INDEX(Ingredients!$G$5:$G$304,MATCH(D122,Ingredients!$B$5:$B$304,0)),"Add to Ingredients"))</f>
        <v>0</v>
      </c>
      <c r="M122" s="25">
        <f>IF(D122="","",IFERROR(INDEX(Ingredients!$J$5:$J$304,MATCH(D122,Ingredients!$B$5:$B$304,0)),"Add to Ingredients"))</f>
        <v>0</v>
      </c>
      <c r="N122" s="25">
        <f>IF(OR(J122="",M122="",NOT(ISNUMBER(M122))),"",IF(K122&lt;&gt;L122,"",J122*M122))</f>
        <v>0</v>
      </c>
      <c r="O122" s="25">
        <f>IF(N122="","",IFERROR(N122/INDEX(Recipes!$G$5:$G$204,MATCH(B122,Recipes!$A$5:$A$204,0)),""))</f>
        <v>0</v>
      </c>
      <c r="P122" s="30">
        <f>IF(J122="","",IF(K122="each",J122,J122/100))</f>
        <v>0</v>
      </c>
      <c r="Q122" s="30">
        <f>IFERROR(IF(P122="","",P122*INDEX(Ingredients!$P$5:$P$304,MATCH(D122,Ingredients!$B$5:$B$304,0))),"")</f>
        <v>0</v>
      </c>
      <c r="R122" s="45">
        <f>IFERROR(IF(P122="","",P122*INDEX(Ingredients!$Q$5:$Q$304,MATCH(D122,Ingredients!$B$5:$B$304,0))),"")</f>
        <v>0</v>
      </c>
      <c r="S122" s="45">
        <f>IFERROR(IF(P122="","",P122*INDEX(Ingredients!$R$5:$R$304,MATCH(D122,Ingredients!$B$5:$B$304,0))),"")</f>
        <v>0</v>
      </c>
      <c r="T122" s="45">
        <f>IFERROR(IF(P122="","",P122*INDEX(Ingredients!$S$5:$S$304,MATCH(D122,Ingredients!$B$5:$B$304,0))),"")</f>
        <v>0</v>
      </c>
      <c r="U122" s="45">
        <f>IFERROR(IF(P122="","",P122*INDEX(Ingredients!$T$5:$T$304,MATCH(D122,Ingredients!$B$5:$B$304,0))),"")</f>
        <v>0</v>
      </c>
      <c r="V122" s="17">
        <f>IF(D122="","",IFERROR(INDEX(Ingredients!$W$5:$W$304,MATCH(D122,Ingredients!$B$5:$B$304,0)),"Add to Ingredients"))</f>
        <v>0</v>
      </c>
      <c r="W122" s="17">
        <f>IF(D122="","",IFERROR(INDEX(Ingredients!$C$5:$C$304,MATCH(D122,Ingredients!$B$5:$B$304,0)),"Add to Ingredients"))</f>
        <v>0</v>
      </c>
      <c r="X122" s="45">
        <f>IFERROR(INDEX(Recipes!$AT$5:$AT$204,MATCH(B122,Recipes!$A$5:$A$204,0)),0)</f>
        <v>0</v>
      </c>
      <c r="Y122" s="45">
        <f>IF(OR(J122="",X122=0),"",J122*X122)</f>
        <v>0</v>
      </c>
      <c r="Z122" s="17">
        <f>IF(D122="","",B122&amp;"#"&amp;COUNTIFS($B$5:B122,B122))</f>
        <v>0</v>
      </c>
      <c r="AA122" s="17">
        <f>IF(D122="","",B122&amp;"|"&amp;D122)</f>
        <v>0</v>
      </c>
      <c r="AB122" s="31">
        <f>IF(D122="","",IF(B122="","Add - which recipe?",IF(COUNTIFS(Ingredients!$B$5:$B$304,D122)=0,"Missing - not in the Ingredients tab",IF(E122="","Add - no quantity",IF(F122="","Add - no unit",IF(K122&lt;&gt;L122,"Check - recipe in "&amp;K122&amp;", priced in "&amp;L122,IF(COUNTIFS($AA$5:$AA$1204,AA122)&gt;1,"Duplicate - same ingredient twice","OK")))))))</f>
        <v>0</v>
      </c>
    </row>
    <row r="123" spans="1:28">
      <c r="A123" s="39">
        <f>IF(D123="","","RL-"&amp;TEXT(ROW()-4,"0000"))</f>
        <v>0</v>
      </c>
      <c r="C123" s="17">
        <f>IF(B123="","",IFERROR(INDEX(Recipes!$B$5:$B$204,MATCH(B123,Recipes!$A$5:$A$204,0)),"Not found"))</f>
        <v>0</v>
      </c>
      <c r="J123" s="45">
        <f>IF(E123="","",IFERROR(E123*INDEX(UnitFactors,MATCH(F123,UnitNames,0)),""))</f>
        <v>0</v>
      </c>
      <c r="K123" s="17">
        <f>IF(F123="","",IFERROR(INDEX(UnitBases,MATCH(F123,UnitNames,0)),"?"))</f>
        <v>0</v>
      </c>
      <c r="L123" s="17">
        <f>IF(D123="","",IFERROR(INDEX(Ingredients!$G$5:$G$304,MATCH(D123,Ingredients!$B$5:$B$304,0)),"Add to Ingredients"))</f>
        <v>0</v>
      </c>
      <c r="M123" s="25">
        <f>IF(D123="","",IFERROR(INDEX(Ingredients!$J$5:$J$304,MATCH(D123,Ingredients!$B$5:$B$304,0)),"Add to Ingredients"))</f>
        <v>0</v>
      </c>
      <c r="N123" s="25">
        <f>IF(OR(J123="",M123="",NOT(ISNUMBER(M123))),"",IF(K123&lt;&gt;L123,"",J123*M123))</f>
        <v>0</v>
      </c>
      <c r="O123" s="25">
        <f>IF(N123="","",IFERROR(N123/INDEX(Recipes!$G$5:$G$204,MATCH(B123,Recipes!$A$5:$A$204,0)),""))</f>
        <v>0</v>
      </c>
      <c r="P123" s="30">
        <f>IF(J123="","",IF(K123="each",J123,J123/100))</f>
        <v>0</v>
      </c>
      <c r="Q123" s="30">
        <f>IFERROR(IF(P123="","",P123*INDEX(Ingredients!$P$5:$P$304,MATCH(D123,Ingredients!$B$5:$B$304,0))),"")</f>
        <v>0</v>
      </c>
      <c r="R123" s="45">
        <f>IFERROR(IF(P123="","",P123*INDEX(Ingredients!$Q$5:$Q$304,MATCH(D123,Ingredients!$B$5:$B$304,0))),"")</f>
        <v>0</v>
      </c>
      <c r="S123" s="45">
        <f>IFERROR(IF(P123="","",P123*INDEX(Ingredients!$R$5:$R$304,MATCH(D123,Ingredients!$B$5:$B$304,0))),"")</f>
        <v>0</v>
      </c>
      <c r="T123" s="45">
        <f>IFERROR(IF(P123="","",P123*INDEX(Ingredients!$S$5:$S$304,MATCH(D123,Ingredients!$B$5:$B$304,0))),"")</f>
        <v>0</v>
      </c>
      <c r="U123" s="45">
        <f>IFERROR(IF(P123="","",P123*INDEX(Ingredients!$T$5:$T$304,MATCH(D123,Ingredients!$B$5:$B$304,0))),"")</f>
        <v>0</v>
      </c>
      <c r="V123" s="17">
        <f>IF(D123="","",IFERROR(INDEX(Ingredients!$W$5:$W$304,MATCH(D123,Ingredients!$B$5:$B$304,0)),"Add to Ingredients"))</f>
        <v>0</v>
      </c>
      <c r="W123" s="17">
        <f>IF(D123="","",IFERROR(INDEX(Ingredients!$C$5:$C$304,MATCH(D123,Ingredients!$B$5:$B$304,0)),"Add to Ingredients"))</f>
        <v>0</v>
      </c>
      <c r="X123" s="45">
        <f>IFERROR(INDEX(Recipes!$AT$5:$AT$204,MATCH(B123,Recipes!$A$5:$A$204,0)),0)</f>
        <v>0</v>
      </c>
      <c r="Y123" s="45">
        <f>IF(OR(J123="",X123=0),"",J123*X123)</f>
        <v>0</v>
      </c>
      <c r="Z123" s="17">
        <f>IF(D123="","",B123&amp;"#"&amp;COUNTIFS($B$5:B123,B123))</f>
        <v>0</v>
      </c>
      <c r="AA123" s="17">
        <f>IF(D123="","",B123&amp;"|"&amp;D123)</f>
        <v>0</v>
      </c>
      <c r="AB123" s="31">
        <f>IF(D123="","",IF(B123="","Add - which recipe?",IF(COUNTIFS(Ingredients!$B$5:$B$304,D123)=0,"Missing - not in the Ingredients tab",IF(E123="","Add - no quantity",IF(F123="","Add - no unit",IF(K123&lt;&gt;L123,"Check - recipe in "&amp;K123&amp;", priced in "&amp;L123,IF(COUNTIFS($AA$5:$AA$1204,AA123)&gt;1,"Duplicate - same ingredient twice","OK")))))))</f>
        <v>0</v>
      </c>
    </row>
    <row r="124" spans="1:28">
      <c r="A124" s="39">
        <f>IF(D124="","","RL-"&amp;TEXT(ROW()-4,"0000"))</f>
        <v>0</v>
      </c>
      <c r="C124" s="17">
        <f>IF(B124="","",IFERROR(INDEX(Recipes!$B$5:$B$204,MATCH(B124,Recipes!$A$5:$A$204,0)),"Not found"))</f>
        <v>0</v>
      </c>
      <c r="J124" s="45">
        <f>IF(E124="","",IFERROR(E124*INDEX(UnitFactors,MATCH(F124,UnitNames,0)),""))</f>
        <v>0</v>
      </c>
      <c r="K124" s="17">
        <f>IF(F124="","",IFERROR(INDEX(UnitBases,MATCH(F124,UnitNames,0)),"?"))</f>
        <v>0</v>
      </c>
      <c r="L124" s="17">
        <f>IF(D124="","",IFERROR(INDEX(Ingredients!$G$5:$G$304,MATCH(D124,Ingredients!$B$5:$B$304,0)),"Add to Ingredients"))</f>
        <v>0</v>
      </c>
      <c r="M124" s="25">
        <f>IF(D124="","",IFERROR(INDEX(Ingredients!$J$5:$J$304,MATCH(D124,Ingredients!$B$5:$B$304,0)),"Add to Ingredients"))</f>
        <v>0</v>
      </c>
      <c r="N124" s="25">
        <f>IF(OR(J124="",M124="",NOT(ISNUMBER(M124))),"",IF(K124&lt;&gt;L124,"",J124*M124))</f>
        <v>0</v>
      </c>
      <c r="O124" s="25">
        <f>IF(N124="","",IFERROR(N124/INDEX(Recipes!$G$5:$G$204,MATCH(B124,Recipes!$A$5:$A$204,0)),""))</f>
        <v>0</v>
      </c>
      <c r="P124" s="30">
        <f>IF(J124="","",IF(K124="each",J124,J124/100))</f>
        <v>0</v>
      </c>
      <c r="Q124" s="30">
        <f>IFERROR(IF(P124="","",P124*INDEX(Ingredients!$P$5:$P$304,MATCH(D124,Ingredients!$B$5:$B$304,0))),"")</f>
        <v>0</v>
      </c>
      <c r="R124" s="45">
        <f>IFERROR(IF(P124="","",P124*INDEX(Ingredients!$Q$5:$Q$304,MATCH(D124,Ingredients!$B$5:$B$304,0))),"")</f>
        <v>0</v>
      </c>
      <c r="S124" s="45">
        <f>IFERROR(IF(P124="","",P124*INDEX(Ingredients!$R$5:$R$304,MATCH(D124,Ingredients!$B$5:$B$304,0))),"")</f>
        <v>0</v>
      </c>
      <c r="T124" s="45">
        <f>IFERROR(IF(P124="","",P124*INDEX(Ingredients!$S$5:$S$304,MATCH(D124,Ingredients!$B$5:$B$304,0))),"")</f>
        <v>0</v>
      </c>
      <c r="U124" s="45">
        <f>IFERROR(IF(P124="","",P124*INDEX(Ingredients!$T$5:$T$304,MATCH(D124,Ingredients!$B$5:$B$304,0))),"")</f>
        <v>0</v>
      </c>
      <c r="V124" s="17">
        <f>IF(D124="","",IFERROR(INDEX(Ingredients!$W$5:$W$304,MATCH(D124,Ingredients!$B$5:$B$304,0)),"Add to Ingredients"))</f>
        <v>0</v>
      </c>
      <c r="W124" s="17">
        <f>IF(D124="","",IFERROR(INDEX(Ingredients!$C$5:$C$304,MATCH(D124,Ingredients!$B$5:$B$304,0)),"Add to Ingredients"))</f>
        <v>0</v>
      </c>
      <c r="X124" s="45">
        <f>IFERROR(INDEX(Recipes!$AT$5:$AT$204,MATCH(B124,Recipes!$A$5:$A$204,0)),0)</f>
        <v>0</v>
      </c>
      <c r="Y124" s="45">
        <f>IF(OR(J124="",X124=0),"",J124*X124)</f>
        <v>0</v>
      </c>
      <c r="Z124" s="17">
        <f>IF(D124="","",B124&amp;"#"&amp;COUNTIFS($B$5:B124,B124))</f>
        <v>0</v>
      </c>
      <c r="AA124" s="17">
        <f>IF(D124="","",B124&amp;"|"&amp;D124)</f>
        <v>0</v>
      </c>
      <c r="AB124" s="31">
        <f>IF(D124="","",IF(B124="","Add - which recipe?",IF(COUNTIFS(Ingredients!$B$5:$B$304,D124)=0,"Missing - not in the Ingredients tab",IF(E124="","Add - no quantity",IF(F124="","Add - no unit",IF(K124&lt;&gt;L124,"Check - recipe in "&amp;K124&amp;", priced in "&amp;L124,IF(COUNTIFS($AA$5:$AA$1204,AA124)&gt;1,"Duplicate - same ingredient twice","OK")))))))</f>
        <v>0</v>
      </c>
    </row>
    <row r="125" spans="1:28">
      <c r="A125" s="39">
        <f>IF(D125="","","RL-"&amp;TEXT(ROW()-4,"0000"))</f>
        <v>0</v>
      </c>
      <c r="C125" s="17">
        <f>IF(B125="","",IFERROR(INDEX(Recipes!$B$5:$B$204,MATCH(B125,Recipes!$A$5:$A$204,0)),"Not found"))</f>
        <v>0</v>
      </c>
      <c r="J125" s="45">
        <f>IF(E125="","",IFERROR(E125*INDEX(UnitFactors,MATCH(F125,UnitNames,0)),""))</f>
        <v>0</v>
      </c>
      <c r="K125" s="17">
        <f>IF(F125="","",IFERROR(INDEX(UnitBases,MATCH(F125,UnitNames,0)),"?"))</f>
        <v>0</v>
      </c>
      <c r="L125" s="17">
        <f>IF(D125="","",IFERROR(INDEX(Ingredients!$G$5:$G$304,MATCH(D125,Ingredients!$B$5:$B$304,0)),"Add to Ingredients"))</f>
        <v>0</v>
      </c>
      <c r="M125" s="25">
        <f>IF(D125="","",IFERROR(INDEX(Ingredients!$J$5:$J$304,MATCH(D125,Ingredients!$B$5:$B$304,0)),"Add to Ingredients"))</f>
        <v>0</v>
      </c>
      <c r="N125" s="25">
        <f>IF(OR(J125="",M125="",NOT(ISNUMBER(M125))),"",IF(K125&lt;&gt;L125,"",J125*M125))</f>
        <v>0</v>
      </c>
      <c r="O125" s="25">
        <f>IF(N125="","",IFERROR(N125/INDEX(Recipes!$G$5:$G$204,MATCH(B125,Recipes!$A$5:$A$204,0)),""))</f>
        <v>0</v>
      </c>
      <c r="P125" s="30">
        <f>IF(J125="","",IF(K125="each",J125,J125/100))</f>
        <v>0</v>
      </c>
      <c r="Q125" s="30">
        <f>IFERROR(IF(P125="","",P125*INDEX(Ingredients!$P$5:$P$304,MATCH(D125,Ingredients!$B$5:$B$304,0))),"")</f>
        <v>0</v>
      </c>
      <c r="R125" s="45">
        <f>IFERROR(IF(P125="","",P125*INDEX(Ingredients!$Q$5:$Q$304,MATCH(D125,Ingredients!$B$5:$B$304,0))),"")</f>
        <v>0</v>
      </c>
      <c r="S125" s="45">
        <f>IFERROR(IF(P125="","",P125*INDEX(Ingredients!$R$5:$R$304,MATCH(D125,Ingredients!$B$5:$B$304,0))),"")</f>
        <v>0</v>
      </c>
      <c r="T125" s="45">
        <f>IFERROR(IF(P125="","",P125*INDEX(Ingredients!$S$5:$S$304,MATCH(D125,Ingredients!$B$5:$B$304,0))),"")</f>
        <v>0</v>
      </c>
      <c r="U125" s="45">
        <f>IFERROR(IF(P125="","",P125*INDEX(Ingredients!$T$5:$T$304,MATCH(D125,Ingredients!$B$5:$B$304,0))),"")</f>
        <v>0</v>
      </c>
      <c r="V125" s="17">
        <f>IF(D125="","",IFERROR(INDEX(Ingredients!$W$5:$W$304,MATCH(D125,Ingredients!$B$5:$B$304,0)),"Add to Ingredients"))</f>
        <v>0</v>
      </c>
      <c r="W125" s="17">
        <f>IF(D125="","",IFERROR(INDEX(Ingredients!$C$5:$C$304,MATCH(D125,Ingredients!$B$5:$B$304,0)),"Add to Ingredients"))</f>
        <v>0</v>
      </c>
      <c r="X125" s="45">
        <f>IFERROR(INDEX(Recipes!$AT$5:$AT$204,MATCH(B125,Recipes!$A$5:$A$204,0)),0)</f>
        <v>0</v>
      </c>
      <c r="Y125" s="45">
        <f>IF(OR(J125="",X125=0),"",J125*X125)</f>
        <v>0</v>
      </c>
      <c r="Z125" s="17">
        <f>IF(D125="","",B125&amp;"#"&amp;COUNTIFS($B$5:B125,B125))</f>
        <v>0</v>
      </c>
      <c r="AA125" s="17">
        <f>IF(D125="","",B125&amp;"|"&amp;D125)</f>
        <v>0</v>
      </c>
      <c r="AB125" s="31">
        <f>IF(D125="","",IF(B125="","Add - which recipe?",IF(COUNTIFS(Ingredients!$B$5:$B$304,D125)=0,"Missing - not in the Ingredients tab",IF(E125="","Add - no quantity",IF(F125="","Add - no unit",IF(K125&lt;&gt;L125,"Check - recipe in "&amp;K125&amp;", priced in "&amp;L125,IF(COUNTIFS($AA$5:$AA$1204,AA125)&gt;1,"Duplicate - same ingredient twice","OK")))))))</f>
        <v>0</v>
      </c>
    </row>
    <row r="126" spans="1:28">
      <c r="A126" s="39">
        <f>IF(D126="","","RL-"&amp;TEXT(ROW()-4,"0000"))</f>
        <v>0</v>
      </c>
      <c r="C126" s="17">
        <f>IF(B126="","",IFERROR(INDEX(Recipes!$B$5:$B$204,MATCH(B126,Recipes!$A$5:$A$204,0)),"Not found"))</f>
        <v>0</v>
      </c>
      <c r="J126" s="45">
        <f>IF(E126="","",IFERROR(E126*INDEX(UnitFactors,MATCH(F126,UnitNames,0)),""))</f>
        <v>0</v>
      </c>
      <c r="K126" s="17">
        <f>IF(F126="","",IFERROR(INDEX(UnitBases,MATCH(F126,UnitNames,0)),"?"))</f>
        <v>0</v>
      </c>
      <c r="L126" s="17">
        <f>IF(D126="","",IFERROR(INDEX(Ingredients!$G$5:$G$304,MATCH(D126,Ingredients!$B$5:$B$304,0)),"Add to Ingredients"))</f>
        <v>0</v>
      </c>
      <c r="M126" s="25">
        <f>IF(D126="","",IFERROR(INDEX(Ingredients!$J$5:$J$304,MATCH(D126,Ingredients!$B$5:$B$304,0)),"Add to Ingredients"))</f>
        <v>0</v>
      </c>
      <c r="N126" s="25">
        <f>IF(OR(J126="",M126="",NOT(ISNUMBER(M126))),"",IF(K126&lt;&gt;L126,"",J126*M126))</f>
        <v>0</v>
      </c>
      <c r="O126" s="25">
        <f>IF(N126="","",IFERROR(N126/INDEX(Recipes!$G$5:$G$204,MATCH(B126,Recipes!$A$5:$A$204,0)),""))</f>
        <v>0</v>
      </c>
      <c r="P126" s="30">
        <f>IF(J126="","",IF(K126="each",J126,J126/100))</f>
        <v>0</v>
      </c>
      <c r="Q126" s="30">
        <f>IFERROR(IF(P126="","",P126*INDEX(Ingredients!$P$5:$P$304,MATCH(D126,Ingredients!$B$5:$B$304,0))),"")</f>
        <v>0</v>
      </c>
      <c r="R126" s="45">
        <f>IFERROR(IF(P126="","",P126*INDEX(Ingredients!$Q$5:$Q$304,MATCH(D126,Ingredients!$B$5:$B$304,0))),"")</f>
        <v>0</v>
      </c>
      <c r="S126" s="45">
        <f>IFERROR(IF(P126="","",P126*INDEX(Ingredients!$R$5:$R$304,MATCH(D126,Ingredients!$B$5:$B$304,0))),"")</f>
        <v>0</v>
      </c>
      <c r="T126" s="45">
        <f>IFERROR(IF(P126="","",P126*INDEX(Ingredients!$S$5:$S$304,MATCH(D126,Ingredients!$B$5:$B$304,0))),"")</f>
        <v>0</v>
      </c>
      <c r="U126" s="45">
        <f>IFERROR(IF(P126="","",P126*INDEX(Ingredients!$T$5:$T$304,MATCH(D126,Ingredients!$B$5:$B$304,0))),"")</f>
        <v>0</v>
      </c>
      <c r="V126" s="17">
        <f>IF(D126="","",IFERROR(INDEX(Ingredients!$W$5:$W$304,MATCH(D126,Ingredients!$B$5:$B$304,0)),"Add to Ingredients"))</f>
        <v>0</v>
      </c>
      <c r="W126" s="17">
        <f>IF(D126="","",IFERROR(INDEX(Ingredients!$C$5:$C$304,MATCH(D126,Ingredients!$B$5:$B$304,0)),"Add to Ingredients"))</f>
        <v>0</v>
      </c>
      <c r="X126" s="45">
        <f>IFERROR(INDEX(Recipes!$AT$5:$AT$204,MATCH(B126,Recipes!$A$5:$A$204,0)),0)</f>
        <v>0</v>
      </c>
      <c r="Y126" s="45">
        <f>IF(OR(J126="",X126=0),"",J126*X126)</f>
        <v>0</v>
      </c>
      <c r="Z126" s="17">
        <f>IF(D126="","",B126&amp;"#"&amp;COUNTIFS($B$5:B126,B126))</f>
        <v>0</v>
      </c>
      <c r="AA126" s="17">
        <f>IF(D126="","",B126&amp;"|"&amp;D126)</f>
        <v>0</v>
      </c>
      <c r="AB126" s="31">
        <f>IF(D126="","",IF(B126="","Add - which recipe?",IF(COUNTIFS(Ingredients!$B$5:$B$304,D126)=0,"Missing - not in the Ingredients tab",IF(E126="","Add - no quantity",IF(F126="","Add - no unit",IF(K126&lt;&gt;L126,"Check - recipe in "&amp;K126&amp;", priced in "&amp;L126,IF(COUNTIFS($AA$5:$AA$1204,AA126)&gt;1,"Duplicate - same ingredient twice","OK")))))))</f>
        <v>0</v>
      </c>
    </row>
    <row r="127" spans="1:28">
      <c r="A127" s="39">
        <f>IF(D127="","","RL-"&amp;TEXT(ROW()-4,"0000"))</f>
        <v>0</v>
      </c>
      <c r="C127" s="17">
        <f>IF(B127="","",IFERROR(INDEX(Recipes!$B$5:$B$204,MATCH(B127,Recipes!$A$5:$A$204,0)),"Not found"))</f>
        <v>0</v>
      </c>
      <c r="J127" s="45">
        <f>IF(E127="","",IFERROR(E127*INDEX(UnitFactors,MATCH(F127,UnitNames,0)),""))</f>
        <v>0</v>
      </c>
      <c r="K127" s="17">
        <f>IF(F127="","",IFERROR(INDEX(UnitBases,MATCH(F127,UnitNames,0)),"?"))</f>
        <v>0</v>
      </c>
      <c r="L127" s="17">
        <f>IF(D127="","",IFERROR(INDEX(Ingredients!$G$5:$G$304,MATCH(D127,Ingredients!$B$5:$B$304,0)),"Add to Ingredients"))</f>
        <v>0</v>
      </c>
      <c r="M127" s="25">
        <f>IF(D127="","",IFERROR(INDEX(Ingredients!$J$5:$J$304,MATCH(D127,Ingredients!$B$5:$B$304,0)),"Add to Ingredients"))</f>
        <v>0</v>
      </c>
      <c r="N127" s="25">
        <f>IF(OR(J127="",M127="",NOT(ISNUMBER(M127))),"",IF(K127&lt;&gt;L127,"",J127*M127))</f>
        <v>0</v>
      </c>
      <c r="O127" s="25">
        <f>IF(N127="","",IFERROR(N127/INDEX(Recipes!$G$5:$G$204,MATCH(B127,Recipes!$A$5:$A$204,0)),""))</f>
        <v>0</v>
      </c>
      <c r="P127" s="30">
        <f>IF(J127="","",IF(K127="each",J127,J127/100))</f>
        <v>0</v>
      </c>
      <c r="Q127" s="30">
        <f>IFERROR(IF(P127="","",P127*INDEX(Ingredients!$P$5:$P$304,MATCH(D127,Ingredients!$B$5:$B$304,0))),"")</f>
        <v>0</v>
      </c>
      <c r="R127" s="45">
        <f>IFERROR(IF(P127="","",P127*INDEX(Ingredients!$Q$5:$Q$304,MATCH(D127,Ingredients!$B$5:$B$304,0))),"")</f>
        <v>0</v>
      </c>
      <c r="S127" s="45">
        <f>IFERROR(IF(P127="","",P127*INDEX(Ingredients!$R$5:$R$304,MATCH(D127,Ingredients!$B$5:$B$304,0))),"")</f>
        <v>0</v>
      </c>
      <c r="T127" s="45">
        <f>IFERROR(IF(P127="","",P127*INDEX(Ingredients!$S$5:$S$304,MATCH(D127,Ingredients!$B$5:$B$304,0))),"")</f>
        <v>0</v>
      </c>
      <c r="U127" s="45">
        <f>IFERROR(IF(P127="","",P127*INDEX(Ingredients!$T$5:$T$304,MATCH(D127,Ingredients!$B$5:$B$304,0))),"")</f>
        <v>0</v>
      </c>
      <c r="V127" s="17">
        <f>IF(D127="","",IFERROR(INDEX(Ingredients!$W$5:$W$304,MATCH(D127,Ingredients!$B$5:$B$304,0)),"Add to Ingredients"))</f>
        <v>0</v>
      </c>
      <c r="W127" s="17">
        <f>IF(D127="","",IFERROR(INDEX(Ingredients!$C$5:$C$304,MATCH(D127,Ingredients!$B$5:$B$304,0)),"Add to Ingredients"))</f>
        <v>0</v>
      </c>
      <c r="X127" s="45">
        <f>IFERROR(INDEX(Recipes!$AT$5:$AT$204,MATCH(B127,Recipes!$A$5:$A$204,0)),0)</f>
        <v>0</v>
      </c>
      <c r="Y127" s="45">
        <f>IF(OR(J127="",X127=0),"",J127*X127)</f>
        <v>0</v>
      </c>
      <c r="Z127" s="17">
        <f>IF(D127="","",B127&amp;"#"&amp;COUNTIFS($B$5:B127,B127))</f>
        <v>0</v>
      </c>
      <c r="AA127" s="17">
        <f>IF(D127="","",B127&amp;"|"&amp;D127)</f>
        <v>0</v>
      </c>
      <c r="AB127" s="31">
        <f>IF(D127="","",IF(B127="","Add - which recipe?",IF(COUNTIFS(Ingredients!$B$5:$B$304,D127)=0,"Missing - not in the Ingredients tab",IF(E127="","Add - no quantity",IF(F127="","Add - no unit",IF(K127&lt;&gt;L127,"Check - recipe in "&amp;K127&amp;", priced in "&amp;L127,IF(COUNTIFS($AA$5:$AA$1204,AA127)&gt;1,"Duplicate - same ingredient twice","OK")))))))</f>
        <v>0</v>
      </c>
    </row>
    <row r="128" spans="1:28">
      <c r="A128" s="39">
        <f>IF(D128="","","RL-"&amp;TEXT(ROW()-4,"0000"))</f>
        <v>0</v>
      </c>
      <c r="C128" s="17">
        <f>IF(B128="","",IFERROR(INDEX(Recipes!$B$5:$B$204,MATCH(B128,Recipes!$A$5:$A$204,0)),"Not found"))</f>
        <v>0</v>
      </c>
      <c r="J128" s="45">
        <f>IF(E128="","",IFERROR(E128*INDEX(UnitFactors,MATCH(F128,UnitNames,0)),""))</f>
        <v>0</v>
      </c>
      <c r="K128" s="17">
        <f>IF(F128="","",IFERROR(INDEX(UnitBases,MATCH(F128,UnitNames,0)),"?"))</f>
        <v>0</v>
      </c>
      <c r="L128" s="17">
        <f>IF(D128="","",IFERROR(INDEX(Ingredients!$G$5:$G$304,MATCH(D128,Ingredients!$B$5:$B$304,0)),"Add to Ingredients"))</f>
        <v>0</v>
      </c>
      <c r="M128" s="25">
        <f>IF(D128="","",IFERROR(INDEX(Ingredients!$J$5:$J$304,MATCH(D128,Ingredients!$B$5:$B$304,0)),"Add to Ingredients"))</f>
        <v>0</v>
      </c>
      <c r="N128" s="25">
        <f>IF(OR(J128="",M128="",NOT(ISNUMBER(M128))),"",IF(K128&lt;&gt;L128,"",J128*M128))</f>
        <v>0</v>
      </c>
      <c r="O128" s="25">
        <f>IF(N128="","",IFERROR(N128/INDEX(Recipes!$G$5:$G$204,MATCH(B128,Recipes!$A$5:$A$204,0)),""))</f>
        <v>0</v>
      </c>
      <c r="P128" s="30">
        <f>IF(J128="","",IF(K128="each",J128,J128/100))</f>
        <v>0</v>
      </c>
      <c r="Q128" s="30">
        <f>IFERROR(IF(P128="","",P128*INDEX(Ingredients!$P$5:$P$304,MATCH(D128,Ingredients!$B$5:$B$304,0))),"")</f>
        <v>0</v>
      </c>
      <c r="R128" s="45">
        <f>IFERROR(IF(P128="","",P128*INDEX(Ingredients!$Q$5:$Q$304,MATCH(D128,Ingredients!$B$5:$B$304,0))),"")</f>
        <v>0</v>
      </c>
      <c r="S128" s="45">
        <f>IFERROR(IF(P128="","",P128*INDEX(Ingredients!$R$5:$R$304,MATCH(D128,Ingredients!$B$5:$B$304,0))),"")</f>
        <v>0</v>
      </c>
      <c r="T128" s="45">
        <f>IFERROR(IF(P128="","",P128*INDEX(Ingredients!$S$5:$S$304,MATCH(D128,Ingredients!$B$5:$B$304,0))),"")</f>
        <v>0</v>
      </c>
      <c r="U128" s="45">
        <f>IFERROR(IF(P128="","",P128*INDEX(Ingredients!$T$5:$T$304,MATCH(D128,Ingredients!$B$5:$B$304,0))),"")</f>
        <v>0</v>
      </c>
      <c r="V128" s="17">
        <f>IF(D128="","",IFERROR(INDEX(Ingredients!$W$5:$W$304,MATCH(D128,Ingredients!$B$5:$B$304,0)),"Add to Ingredients"))</f>
        <v>0</v>
      </c>
      <c r="W128" s="17">
        <f>IF(D128="","",IFERROR(INDEX(Ingredients!$C$5:$C$304,MATCH(D128,Ingredients!$B$5:$B$304,0)),"Add to Ingredients"))</f>
        <v>0</v>
      </c>
      <c r="X128" s="45">
        <f>IFERROR(INDEX(Recipes!$AT$5:$AT$204,MATCH(B128,Recipes!$A$5:$A$204,0)),0)</f>
        <v>0</v>
      </c>
      <c r="Y128" s="45">
        <f>IF(OR(J128="",X128=0),"",J128*X128)</f>
        <v>0</v>
      </c>
      <c r="Z128" s="17">
        <f>IF(D128="","",B128&amp;"#"&amp;COUNTIFS($B$5:B128,B128))</f>
        <v>0</v>
      </c>
      <c r="AA128" s="17">
        <f>IF(D128="","",B128&amp;"|"&amp;D128)</f>
        <v>0</v>
      </c>
      <c r="AB128" s="31">
        <f>IF(D128="","",IF(B128="","Add - which recipe?",IF(COUNTIFS(Ingredients!$B$5:$B$304,D128)=0,"Missing - not in the Ingredients tab",IF(E128="","Add - no quantity",IF(F128="","Add - no unit",IF(K128&lt;&gt;L128,"Check - recipe in "&amp;K128&amp;", priced in "&amp;L128,IF(COUNTIFS($AA$5:$AA$1204,AA128)&gt;1,"Duplicate - same ingredient twice","OK")))))))</f>
        <v>0</v>
      </c>
    </row>
    <row r="129" spans="1:28">
      <c r="A129" s="39">
        <f>IF(D129="","","RL-"&amp;TEXT(ROW()-4,"0000"))</f>
        <v>0</v>
      </c>
      <c r="C129" s="17">
        <f>IF(B129="","",IFERROR(INDEX(Recipes!$B$5:$B$204,MATCH(B129,Recipes!$A$5:$A$204,0)),"Not found"))</f>
        <v>0</v>
      </c>
      <c r="J129" s="45">
        <f>IF(E129="","",IFERROR(E129*INDEX(UnitFactors,MATCH(F129,UnitNames,0)),""))</f>
        <v>0</v>
      </c>
      <c r="K129" s="17">
        <f>IF(F129="","",IFERROR(INDEX(UnitBases,MATCH(F129,UnitNames,0)),"?"))</f>
        <v>0</v>
      </c>
      <c r="L129" s="17">
        <f>IF(D129="","",IFERROR(INDEX(Ingredients!$G$5:$G$304,MATCH(D129,Ingredients!$B$5:$B$304,0)),"Add to Ingredients"))</f>
        <v>0</v>
      </c>
      <c r="M129" s="25">
        <f>IF(D129="","",IFERROR(INDEX(Ingredients!$J$5:$J$304,MATCH(D129,Ingredients!$B$5:$B$304,0)),"Add to Ingredients"))</f>
        <v>0</v>
      </c>
      <c r="N129" s="25">
        <f>IF(OR(J129="",M129="",NOT(ISNUMBER(M129))),"",IF(K129&lt;&gt;L129,"",J129*M129))</f>
        <v>0</v>
      </c>
      <c r="O129" s="25">
        <f>IF(N129="","",IFERROR(N129/INDEX(Recipes!$G$5:$G$204,MATCH(B129,Recipes!$A$5:$A$204,0)),""))</f>
        <v>0</v>
      </c>
      <c r="P129" s="30">
        <f>IF(J129="","",IF(K129="each",J129,J129/100))</f>
        <v>0</v>
      </c>
      <c r="Q129" s="30">
        <f>IFERROR(IF(P129="","",P129*INDEX(Ingredients!$P$5:$P$304,MATCH(D129,Ingredients!$B$5:$B$304,0))),"")</f>
        <v>0</v>
      </c>
      <c r="R129" s="45">
        <f>IFERROR(IF(P129="","",P129*INDEX(Ingredients!$Q$5:$Q$304,MATCH(D129,Ingredients!$B$5:$B$304,0))),"")</f>
        <v>0</v>
      </c>
      <c r="S129" s="45">
        <f>IFERROR(IF(P129="","",P129*INDEX(Ingredients!$R$5:$R$304,MATCH(D129,Ingredients!$B$5:$B$304,0))),"")</f>
        <v>0</v>
      </c>
      <c r="T129" s="45">
        <f>IFERROR(IF(P129="","",P129*INDEX(Ingredients!$S$5:$S$304,MATCH(D129,Ingredients!$B$5:$B$304,0))),"")</f>
        <v>0</v>
      </c>
      <c r="U129" s="45">
        <f>IFERROR(IF(P129="","",P129*INDEX(Ingredients!$T$5:$T$304,MATCH(D129,Ingredients!$B$5:$B$304,0))),"")</f>
        <v>0</v>
      </c>
      <c r="V129" s="17">
        <f>IF(D129="","",IFERROR(INDEX(Ingredients!$W$5:$W$304,MATCH(D129,Ingredients!$B$5:$B$304,0)),"Add to Ingredients"))</f>
        <v>0</v>
      </c>
      <c r="W129" s="17">
        <f>IF(D129="","",IFERROR(INDEX(Ingredients!$C$5:$C$304,MATCH(D129,Ingredients!$B$5:$B$304,0)),"Add to Ingredients"))</f>
        <v>0</v>
      </c>
      <c r="X129" s="45">
        <f>IFERROR(INDEX(Recipes!$AT$5:$AT$204,MATCH(B129,Recipes!$A$5:$A$204,0)),0)</f>
        <v>0</v>
      </c>
      <c r="Y129" s="45">
        <f>IF(OR(J129="",X129=0),"",J129*X129)</f>
        <v>0</v>
      </c>
      <c r="Z129" s="17">
        <f>IF(D129="","",B129&amp;"#"&amp;COUNTIFS($B$5:B129,B129))</f>
        <v>0</v>
      </c>
      <c r="AA129" s="17">
        <f>IF(D129="","",B129&amp;"|"&amp;D129)</f>
        <v>0</v>
      </c>
      <c r="AB129" s="31">
        <f>IF(D129="","",IF(B129="","Add - which recipe?",IF(COUNTIFS(Ingredients!$B$5:$B$304,D129)=0,"Missing - not in the Ingredients tab",IF(E129="","Add - no quantity",IF(F129="","Add - no unit",IF(K129&lt;&gt;L129,"Check - recipe in "&amp;K129&amp;", priced in "&amp;L129,IF(COUNTIFS($AA$5:$AA$1204,AA129)&gt;1,"Duplicate - same ingredient twice","OK")))))))</f>
        <v>0</v>
      </c>
    </row>
    <row r="130" spans="1:28">
      <c r="A130" s="39">
        <f>IF(D130="","","RL-"&amp;TEXT(ROW()-4,"0000"))</f>
        <v>0</v>
      </c>
      <c r="C130" s="17">
        <f>IF(B130="","",IFERROR(INDEX(Recipes!$B$5:$B$204,MATCH(B130,Recipes!$A$5:$A$204,0)),"Not found"))</f>
        <v>0</v>
      </c>
      <c r="J130" s="45">
        <f>IF(E130="","",IFERROR(E130*INDEX(UnitFactors,MATCH(F130,UnitNames,0)),""))</f>
        <v>0</v>
      </c>
      <c r="K130" s="17">
        <f>IF(F130="","",IFERROR(INDEX(UnitBases,MATCH(F130,UnitNames,0)),"?"))</f>
        <v>0</v>
      </c>
      <c r="L130" s="17">
        <f>IF(D130="","",IFERROR(INDEX(Ingredients!$G$5:$G$304,MATCH(D130,Ingredients!$B$5:$B$304,0)),"Add to Ingredients"))</f>
        <v>0</v>
      </c>
      <c r="M130" s="25">
        <f>IF(D130="","",IFERROR(INDEX(Ingredients!$J$5:$J$304,MATCH(D130,Ingredients!$B$5:$B$304,0)),"Add to Ingredients"))</f>
        <v>0</v>
      </c>
      <c r="N130" s="25">
        <f>IF(OR(J130="",M130="",NOT(ISNUMBER(M130))),"",IF(K130&lt;&gt;L130,"",J130*M130))</f>
        <v>0</v>
      </c>
      <c r="O130" s="25">
        <f>IF(N130="","",IFERROR(N130/INDEX(Recipes!$G$5:$G$204,MATCH(B130,Recipes!$A$5:$A$204,0)),""))</f>
        <v>0</v>
      </c>
      <c r="P130" s="30">
        <f>IF(J130="","",IF(K130="each",J130,J130/100))</f>
        <v>0</v>
      </c>
      <c r="Q130" s="30">
        <f>IFERROR(IF(P130="","",P130*INDEX(Ingredients!$P$5:$P$304,MATCH(D130,Ingredients!$B$5:$B$304,0))),"")</f>
        <v>0</v>
      </c>
      <c r="R130" s="45">
        <f>IFERROR(IF(P130="","",P130*INDEX(Ingredients!$Q$5:$Q$304,MATCH(D130,Ingredients!$B$5:$B$304,0))),"")</f>
        <v>0</v>
      </c>
      <c r="S130" s="45">
        <f>IFERROR(IF(P130="","",P130*INDEX(Ingredients!$R$5:$R$304,MATCH(D130,Ingredients!$B$5:$B$304,0))),"")</f>
        <v>0</v>
      </c>
      <c r="T130" s="45">
        <f>IFERROR(IF(P130="","",P130*INDEX(Ingredients!$S$5:$S$304,MATCH(D130,Ingredients!$B$5:$B$304,0))),"")</f>
        <v>0</v>
      </c>
      <c r="U130" s="45">
        <f>IFERROR(IF(P130="","",P130*INDEX(Ingredients!$T$5:$T$304,MATCH(D130,Ingredients!$B$5:$B$304,0))),"")</f>
        <v>0</v>
      </c>
      <c r="V130" s="17">
        <f>IF(D130="","",IFERROR(INDEX(Ingredients!$W$5:$W$304,MATCH(D130,Ingredients!$B$5:$B$304,0)),"Add to Ingredients"))</f>
        <v>0</v>
      </c>
      <c r="W130" s="17">
        <f>IF(D130="","",IFERROR(INDEX(Ingredients!$C$5:$C$304,MATCH(D130,Ingredients!$B$5:$B$304,0)),"Add to Ingredients"))</f>
        <v>0</v>
      </c>
      <c r="X130" s="45">
        <f>IFERROR(INDEX(Recipes!$AT$5:$AT$204,MATCH(B130,Recipes!$A$5:$A$204,0)),0)</f>
        <v>0</v>
      </c>
      <c r="Y130" s="45">
        <f>IF(OR(J130="",X130=0),"",J130*X130)</f>
        <v>0</v>
      </c>
      <c r="Z130" s="17">
        <f>IF(D130="","",B130&amp;"#"&amp;COUNTIFS($B$5:B130,B130))</f>
        <v>0</v>
      </c>
      <c r="AA130" s="17">
        <f>IF(D130="","",B130&amp;"|"&amp;D130)</f>
        <v>0</v>
      </c>
      <c r="AB130" s="31">
        <f>IF(D130="","",IF(B130="","Add - which recipe?",IF(COUNTIFS(Ingredients!$B$5:$B$304,D130)=0,"Missing - not in the Ingredients tab",IF(E130="","Add - no quantity",IF(F130="","Add - no unit",IF(K130&lt;&gt;L130,"Check - recipe in "&amp;K130&amp;", priced in "&amp;L130,IF(COUNTIFS($AA$5:$AA$1204,AA130)&gt;1,"Duplicate - same ingredient twice","OK")))))))</f>
        <v>0</v>
      </c>
    </row>
    <row r="131" spans="1:28">
      <c r="A131" s="39">
        <f>IF(D131="","","RL-"&amp;TEXT(ROW()-4,"0000"))</f>
        <v>0</v>
      </c>
      <c r="C131" s="17">
        <f>IF(B131="","",IFERROR(INDEX(Recipes!$B$5:$B$204,MATCH(B131,Recipes!$A$5:$A$204,0)),"Not found"))</f>
        <v>0</v>
      </c>
      <c r="J131" s="45">
        <f>IF(E131="","",IFERROR(E131*INDEX(UnitFactors,MATCH(F131,UnitNames,0)),""))</f>
        <v>0</v>
      </c>
      <c r="K131" s="17">
        <f>IF(F131="","",IFERROR(INDEX(UnitBases,MATCH(F131,UnitNames,0)),"?"))</f>
        <v>0</v>
      </c>
      <c r="L131" s="17">
        <f>IF(D131="","",IFERROR(INDEX(Ingredients!$G$5:$G$304,MATCH(D131,Ingredients!$B$5:$B$304,0)),"Add to Ingredients"))</f>
        <v>0</v>
      </c>
      <c r="M131" s="25">
        <f>IF(D131="","",IFERROR(INDEX(Ingredients!$J$5:$J$304,MATCH(D131,Ingredients!$B$5:$B$304,0)),"Add to Ingredients"))</f>
        <v>0</v>
      </c>
      <c r="N131" s="25">
        <f>IF(OR(J131="",M131="",NOT(ISNUMBER(M131))),"",IF(K131&lt;&gt;L131,"",J131*M131))</f>
        <v>0</v>
      </c>
      <c r="O131" s="25">
        <f>IF(N131="","",IFERROR(N131/INDEX(Recipes!$G$5:$G$204,MATCH(B131,Recipes!$A$5:$A$204,0)),""))</f>
        <v>0</v>
      </c>
      <c r="P131" s="30">
        <f>IF(J131="","",IF(K131="each",J131,J131/100))</f>
        <v>0</v>
      </c>
      <c r="Q131" s="30">
        <f>IFERROR(IF(P131="","",P131*INDEX(Ingredients!$P$5:$P$304,MATCH(D131,Ingredients!$B$5:$B$304,0))),"")</f>
        <v>0</v>
      </c>
      <c r="R131" s="45">
        <f>IFERROR(IF(P131="","",P131*INDEX(Ingredients!$Q$5:$Q$304,MATCH(D131,Ingredients!$B$5:$B$304,0))),"")</f>
        <v>0</v>
      </c>
      <c r="S131" s="45">
        <f>IFERROR(IF(P131="","",P131*INDEX(Ingredients!$R$5:$R$304,MATCH(D131,Ingredients!$B$5:$B$304,0))),"")</f>
        <v>0</v>
      </c>
      <c r="T131" s="45">
        <f>IFERROR(IF(P131="","",P131*INDEX(Ingredients!$S$5:$S$304,MATCH(D131,Ingredients!$B$5:$B$304,0))),"")</f>
        <v>0</v>
      </c>
      <c r="U131" s="45">
        <f>IFERROR(IF(P131="","",P131*INDEX(Ingredients!$T$5:$T$304,MATCH(D131,Ingredients!$B$5:$B$304,0))),"")</f>
        <v>0</v>
      </c>
      <c r="V131" s="17">
        <f>IF(D131="","",IFERROR(INDEX(Ingredients!$W$5:$W$304,MATCH(D131,Ingredients!$B$5:$B$304,0)),"Add to Ingredients"))</f>
        <v>0</v>
      </c>
      <c r="W131" s="17">
        <f>IF(D131="","",IFERROR(INDEX(Ingredients!$C$5:$C$304,MATCH(D131,Ingredients!$B$5:$B$304,0)),"Add to Ingredients"))</f>
        <v>0</v>
      </c>
      <c r="X131" s="45">
        <f>IFERROR(INDEX(Recipes!$AT$5:$AT$204,MATCH(B131,Recipes!$A$5:$A$204,0)),0)</f>
        <v>0</v>
      </c>
      <c r="Y131" s="45">
        <f>IF(OR(J131="",X131=0),"",J131*X131)</f>
        <v>0</v>
      </c>
      <c r="Z131" s="17">
        <f>IF(D131="","",B131&amp;"#"&amp;COUNTIFS($B$5:B131,B131))</f>
        <v>0</v>
      </c>
      <c r="AA131" s="17">
        <f>IF(D131="","",B131&amp;"|"&amp;D131)</f>
        <v>0</v>
      </c>
      <c r="AB131" s="31">
        <f>IF(D131="","",IF(B131="","Add - which recipe?",IF(COUNTIFS(Ingredients!$B$5:$B$304,D131)=0,"Missing - not in the Ingredients tab",IF(E131="","Add - no quantity",IF(F131="","Add - no unit",IF(K131&lt;&gt;L131,"Check - recipe in "&amp;K131&amp;", priced in "&amp;L131,IF(COUNTIFS($AA$5:$AA$1204,AA131)&gt;1,"Duplicate - same ingredient twice","OK")))))))</f>
        <v>0</v>
      </c>
    </row>
    <row r="132" spans="1:28">
      <c r="A132" s="39">
        <f>IF(D132="","","RL-"&amp;TEXT(ROW()-4,"0000"))</f>
        <v>0</v>
      </c>
      <c r="C132" s="17">
        <f>IF(B132="","",IFERROR(INDEX(Recipes!$B$5:$B$204,MATCH(B132,Recipes!$A$5:$A$204,0)),"Not found"))</f>
        <v>0</v>
      </c>
      <c r="J132" s="45">
        <f>IF(E132="","",IFERROR(E132*INDEX(UnitFactors,MATCH(F132,UnitNames,0)),""))</f>
        <v>0</v>
      </c>
      <c r="K132" s="17">
        <f>IF(F132="","",IFERROR(INDEX(UnitBases,MATCH(F132,UnitNames,0)),"?"))</f>
        <v>0</v>
      </c>
      <c r="L132" s="17">
        <f>IF(D132="","",IFERROR(INDEX(Ingredients!$G$5:$G$304,MATCH(D132,Ingredients!$B$5:$B$304,0)),"Add to Ingredients"))</f>
        <v>0</v>
      </c>
      <c r="M132" s="25">
        <f>IF(D132="","",IFERROR(INDEX(Ingredients!$J$5:$J$304,MATCH(D132,Ingredients!$B$5:$B$304,0)),"Add to Ingredients"))</f>
        <v>0</v>
      </c>
      <c r="N132" s="25">
        <f>IF(OR(J132="",M132="",NOT(ISNUMBER(M132))),"",IF(K132&lt;&gt;L132,"",J132*M132))</f>
        <v>0</v>
      </c>
      <c r="O132" s="25">
        <f>IF(N132="","",IFERROR(N132/INDEX(Recipes!$G$5:$G$204,MATCH(B132,Recipes!$A$5:$A$204,0)),""))</f>
        <v>0</v>
      </c>
      <c r="P132" s="30">
        <f>IF(J132="","",IF(K132="each",J132,J132/100))</f>
        <v>0</v>
      </c>
      <c r="Q132" s="30">
        <f>IFERROR(IF(P132="","",P132*INDEX(Ingredients!$P$5:$P$304,MATCH(D132,Ingredients!$B$5:$B$304,0))),"")</f>
        <v>0</v>
      </c>
      <c r="R132" s="45">
        <f>IFERROR(IF(P132="","",P132*INDEX(Ingredients!$Q$5:$Q$304,MATCH(D132,Ingredients!$B$5:$B$304,0))),"")</f>
        <v>0</v>
      </c>
      <c r="S132" s="45">
        <f>IFERROR(IF(P132="","",P132*INDEX(Ingredients!$R$5:$R$304,MATCH(D132,Ingredients!$B$5:$B$304,0))),"")</f>
        <v>0</v>
      </c>
      <c r="T132" s="45">
        <f>IFERROR(IF(P132="","",P132*INDEX(Ingredients!$S$5:$S$304,MATCH(D132,Ingredients!$B$5:$B$304,0))),"")</f>
        <v>0</v>
      </c>
      <c r="U132" s="45">
        <f>IFERROR(IF(P132="","",P132*INDEX(Ingredients!$T$5:$T$304,MATCH(D132,Ingredients!$B$5:$B$304,0))),"")</f>
        <v>0</v>
      </c>
      <c r="V132" s="17">
        <f>IF(D132="","",IFERROR(INDEX(Ingredients!$W$5:$W$304,MATCH(D132,Ingredients!$B$5:$B$304,0)),"Add to Ingredients"))</f>
        <v>0</v>
      </c>
      <c r="W132" s="17">
        <f>IF(D132="","",IFERROR(INDEX(Ingredients!$C$5:$C$304,MATCH(D132,Ingredients!$B$5:$B$304,0)),"Add to Ingredients"))</f>
        <v>0</v>
      </c>
      <c r="X132" s="45">
        <f>IFERROR(INDEX(Recipes!$AT$5:$AT$204,MATCH(B132,Recipes!$A$5:$A$204,0)),0)</f>
        <v>0</v>
      </c>
      <c r="Y132" s="45">
        <f>IF(OR(J132="",X132=0),"",J132*X132)</f>
        <v>0</v>
      </c>
      <c r="Z132" s="17">
        <f>IF(D132="","",B132&amp;"#"&amp;COUNTIFS($B$5:B132,B132))</f>
        <v>0</v>
      </c>
      <c r="AA132" s="17">
        <f>IF(D132="","",B132&amp;"|"&amp;D132)</f>
        <v>0</v>
      </c>
      <c r="AB132" s="31">
        <f>IF(D132="","",IF(B132="","Add - which recipe?",IF(COUNTIFS(Ingredients!$B$5:$B$304,D132)=0,"Missing - not in the Ingredients tab",IF(E132="","Add - no quantity",IF(F132="","Add - no unit",IF(K132&lt;&gt;L132,"Check - recipe in "&amp;K132&amp;", priced in "&amp;L132,IF(COUNTIFS($AA$5:$AA$1204,AA132)&gt;1,"Duplicate - same ingredient twice","OK")))))))</f>
        <v>0</v>
      </c>
    </row>
    <row r="133" spans="1:28">
      <c r="A133" s="39">
        <f>IF(D133="","","RL-"&amp;TEXT(ROW()-4,"0000"))</f>
        <v>0</v>
      </c>
      <c r="C133" s="17">
        <f>IF(B133="","",IFERROR(INDEX(Recipes!$B$5:$B$204,MATCH(B133,Recipes!$A$5:$A$204,0)),"Not found"))</f>
        <v>0</v>
      </c>
      <c r="J133" s="45">
        <f>IF(E133="","",IFERROR(E133*INDEX(UnitFactors,MATCH(F133,UnitNames,0)),""))</f>
        <v>0</v>
      </c>
      <c r="K133" s="17">
        <f>IF(F133="","",IFERROR(INDEX(UnitBases,MATCH(F133,UnitNames,0)),"?"))</f>
        <v>0</v>
      </c>
      <c r="L133" s="17">
        <f>IF(D133="","",IFERROR(INDEX(Ingredients!$G$5:$G$304,MATCH(D133,Ingredients!$B$5:$B$304,0)),"Add to Ingredients"))</f>
        <v>0</v>
      </c>
      <c r="M133" s="25">
        <f>IF(D133="","",IFERROR(INDEX(Ingredients!$J$5:$J$304,MATCH(D133,Ingredients!$B$5:$B$304,0)),"Add to Ingredients"))</f>
        <v>0</v>
      </c>
      <c r="N133" s="25">
        <f>IF(OR(J133="",M133="",NOT(ISNUMBER(M133))),"",IF(K133&lt;&gt;L133,"",J133*M133))</f>
        <v>0</v>
      </c>
      <c r="O133" s="25">
        <f>IF(N133="","",IFERROR(N133/INDEX(Recipes!$G$5:$G$204,MATCH(B133,Recipes!$A$5:$A$204,0)),""))</f>
        <v>0</v>
      </c>
      <c r="P133" s="30">
        <f>IF(J133="","",IF(K133="each",J133,J133/100))</f>
        <v>0</v>
      </c>
      <c r="Q133" s="30">
        <f>IFERROR(IF(P133="","",P133*INDEX(Ingredients!$P$5:$P$304,MATCH(D133,Ingredients!$B$5:$B$304,0))),"")</f>
        <v>0</v>
      </c>
      <c r="R133" s="45">
        <f>IFERROR(IF(P133="","",P133*INDEX(Ingredients!$Q$5:$Q$304,MATCH(D133,Ingredients!$B$5:$B$304,0))),"")</f>
        <v>0</v>
      </c>
      <c r="S133" s="45">
        <f>IFERROR(IF(P133="","",P133*INDEX(Ingredients!$R$5:$R$304,MATCH(D133,Ingredients!$B$5:$B$304,0))),"")</f>
        <v>0</v>
      </c>
      <c r="T133" s="45">
        <f>IFERROR(IF(P133="","",P133*INDEX(Ingredients!$S$5:$S$304,MATCH(D133,Ingredients!$B$5:$B$304,0))),"")</f>
        <v>0</v>
      </c>
      <c r="U133" s="45">
        <f>IFERROR(IF(P133="","",P133*INDEX(Ingredients!$T$5:$T$304,MATCH(D133,Ingredients!$B$5:$B$304,0))),"")</f>
        <v>0</v>
      </c>
      <c r="V133" s="17">
        <f>IF(D133="","",IFERROR(INDEX(Ingredients!$W$5:$W$304,MATCH(D133,Ingredients!$B$5:$B$304,0)),"Add to Ingredients"))</f>
        <v>0</v>
      </c>
      <c r="W133" s="17">
        <f>IF(D133="","",IFERROR(INDEX(Ingredients!$C$5:$C$304,MATCH(D133,Ingredients!$B$5:$B$304,0)),"Add to Ingredients"))</f>
        <v>0</v>
      </c>
      <c r="X133" s="45">
        <f>IFERROR(INDEX(Recipes!$AT$5:$AT$204,MATCH(B133,Recipes!$A$5:$A$204,0)),0)</f>
        <v>0</v>
      </c>
      <c r="Y133" s="45">
        <f>IF(OR(J133="",X133=0),"",J133*X133)</f>
        <v>0</v>
      </c>
      <c r="Z133" s="17">
        <f>IF(D133="","",B133&amp;"#"&amp;COUNTIFS($B$5:B133,B133))</f>
        <v>0</v>
      </c>
      <c r="AA133" s="17">
        <f>IF(D133="","",B133&amp;"|"&amp;D133)</f>
        <v>0</v>
      </c>
      <c r="AB133" s="31">
        <f>IF(D133="","",IF(B133="","Add - which recipe?",IF(COUNTIFS(Ingredients!$B$5:$B$304,D133)=0,"Missing - not in the Ingredients tab",IF(E133="","Add - no quantity",IF(F133="","Add - no unit",IF(K133&lt;&gt;L133,"Check - recipe in "&amp;K133&amp;", priced in "&amp;L133,IF(COUNTIFS($AA$5:$AA$1204,AA133)&gt;1,"Duplicate - same ingredient twice","OK")))))))</f>
        <v>0</v>
      </c>
    </row>
    <row r="134" spans="1:28">
      <c r="A134" s="39">
        <f>IF(D134="","","RL-"&amp;TEXT(ROW()-4,"0000"))</f>
        <v>0</v>
      </c>
      <c r="C134" s="17">
        <f>IF(B134="","",IFERROR(INDEX(Recipes!$B$5:$B$204,MATCH(B134,Recipes!$A$5:$A$204,0)),"Not found"))</f>
        <v>0</v>
      </c>
      <c r="J134" s="45">
        <f>IF(E134="","",IFERROR(E134*INDEX(UnitFactors,MATCH(F134,UnitNames,0)),""))</f>
        <v>0</v>
      </c>
      <c r="K134" s="17">
        <f>IF(F134="","",IFERROR(INDEX(UnitBases,MATCH(F134,UnitNames,0)),"?"))</f>
        <v>0</v>
      </c>
      <c r="L134" s="17">
        <f>IF(D134="","",IFERROR(INDEX(Ingredients!$G$5:$G$304,MATCH(D134,Ingredients!$B$5:$B$304,0)),"Add to Ingredients"))</f>
        <v>0</v>
      </c>
      <c r="M134" s="25">
        <f>IF(D134="","",IFERROR(INDEX(Ingredients!$J$5:$J$304,MATCH(D134,Ingredients!$B$5:$B$304,0)),"Add to Ingredients"))</f>
        <v>0</v>
      </c>
      <c r="N134" s="25">
        <f>IF(OR(J134="",M134="",NOT(ISNUMBER(M134))),"",IF(K134&lt;&gt;L134,"",J134*M134))</f>
        <v>0</v>
      </c>
      <c r="O134" s="25">
        <f>IF(N134="","",IFERROR(N134/INDEX(Recipes!$G$5:$G$204,MATCH(B134,Recipes!$A$5:$A$204,0)),""))</f>
        <v>0</v>
      </c>
      <c r="P134" s="30">
        <f>IF(J134="","",IF(K134="each",J134,J134/100))</f>
        <v>0</v>
      </c>
      <c r="Q134" s="30">
        <f>IFERROR(IF(P134="","",P134*INDEX(Ingredients!$P$5:$P$304,MATCH(D134,Ingredients!$B$5:$B$304,0))),"")</f>
        <v>0</v>
      </c>
      <c r="R134" s="45">
        <f>IFERROR(IF(P134="","",P134*INDEX(Ingredients!$Q$5:$Q$304,MATCH(D134,Ingredients!$B$5:$B$304,0))),"")</f>
        <v>0</v>
      </c>
      <c r="S134" s="45">
        <f>IFERROR(IF(P134="","",P134*INDEX(Ingredients!$R$5:$R$304,MATCH(D134,Ingredients!$B$5:$B$304,0))),"")</f>
        <v>0</v>
      </c>
      <c r="T134" s="45">
        <f>IFERROR(IF(P134="","",P134*INDEX(Ingredients!$S$5:$S$304,MATCH(D134,Ingredients!$B$5:$B$304,0))),"")</f>
        <v>0</v>
      </c>
      <c r="U134" s="45">
        <f>IFERROR(IF(P134="","",P134*INDEX(Ingredients!$T$5:$T$304,MATCH(D134,Ingredients!$B$5:$B$304,0))),"")</f>
        <v>0</v>
      </c>
      <c r="V134" s="17">
        <f>IF(D134="","",IFERROR(INDEX(Ingredients!$W$5:$W$304,MATCH(D134,Ingredients!$B$5:$B$304,0)),"Add to Ingredients"))</f>
        <v>0</v>
      </c>
      <c r="W134" s="17">
        <f>IF(D134="","",IFERROR(INDEX(Ingredients!$C$5:$C$304,MATCH(D134,Ingredients!$B$5:$B$304,0)),"Add to Ingredients"))</f>
        <v>0</v>
      </c>
      <c r="X134" s="45">
        <f>IFERROR(INDEX(Recipes!$AT$5:$AT$204,MATCH(B134,Recipes!$A$5:$A$204,0)),0)</f>
        <v>0</v>
      </c>
      <c r="Y134" s="45">
        <f>IF(OR(J134="",X134=0),"",J134*X134)</f>
        <v>0</v>
      </c>
      <c r="Z134" s="17">
        <f>IF(D134="","",B134&amp;"#"&amp;COUNTIFS($B$5:B134,B134))</f>
        <v>0</v>
      </c>
      <c r="AA134" s="17">
        <f>IF(D134="","",B134&amp;"|"&amp;D134)</f>
        <v>0</v>
      </c>
      <c r="AB134" s="31">
        <f>IF(D134="","",IF(B134="","Add - which recipe?",IF(COUNTIFS(Ingredients!$B$5:$B$304,D134)=0,"Missing - not in the Ingredients tab",IF(E134="","Add - no quantity",IF(F134="","Add - no unit",IF(K134&lt;&gt;L134,"Check - recipe in "&amp;K134&amp;", priced in "&amp;L134,IF(COUNTIFS($AA$5:$AA$1204,AA134)&gt;1,"Duplicate - same ingredient twice","OK")))))))</f>
        <v>0</v>
      </c>
    </row>
    <row r="135" spans="1:28">
      <c r="A135" s="39">
        <f>IF(D135="","","RL-"&amp;TEXT(ROW()-4,"0000"))</f>
        <v>0</v>
      </c>
      <c r="C135" s="17">
        <f>IF(B135="","",IFERROR(INDEX(Recipes!$B$5:$B$204,MATCH(B135,Recipes!$A$5:$A$204,0)),"Not found"))</f>
        <v>0</v>
      </c>
      <c r="J135" s="45">
        <f>IF(E135="","",IFERROR(E135*INDEX(UnitFactors,MATCH(F135,UnitNames,0)),""))</f>
        <v>0</v>
      </c>
      <c r="K135" s="17">
        <f>IF(F135="","",IFERROR(INDEX(UnitBases,MATCH(F135,UnitNames,0)),"?"))</f>
        <v>0</v>
      </c>
      <c r="L135" s="17">
        <f>IF(D135="","",IFERROR(INDEX(Ingredients!$G$5:$G$304,MATCH(D135,Ingredients!$B$5:$B$304,0)),"Add to Ingredients"))</f>
        <v>0</v>
      </c>
      <c r="M135" s="25">
        <f>IF(D135="","",IFERROR(INDEX(Ingredients!$J$5:$J$304,MATCH(D135,Ingredients!$B$5:$B$304,0)),"Add to Ingredients"))</f>
        <v>0</v>
      </c>
      <c r="N135" s="25">
        <f>IF(OR(J135="",M135="",NOT(ISNUMBER(M135))),"",IF(K135&lt;&gt;L135,"",J135*M135))</f>
        <v>0</v>
      </c>
      <c r="O135" s="25">
        <f>IF(N135="","",IFERROR(N135/INDEX(Recipes!$G$5:$G$204,MATCH(B135,Recipes!$A$5:$A$204,0)),""))</f>
        <v>0</v>
      </c>
      <c r="P135" s="30">
        <f>IF(J135="","",IF(K135="each",J135,J135/100))</f>
        <v>0</v>
      </c>
      <c r="Q135" s="30">
        <f>IFERROR(IF(P135="","",P135*INDEX(Ingredients!$P$5:$P$304,MATCH(D135,Ingredients!$B$5:$B$304,0))),"")</f>
        <v>0</v>
      </c>
      <c r="R135" s="45">
        <f>IFERROR(IF(P135="","",P135*INDEX(Ingredients!$Q$5:$Q$304,MATCH(D135,Ingredients!$B$5:$B$304,0))),"")</f>
        <v>0</v>
      </c>
      <c r="S135" s="45">
        <f>IFERROR(IF(P135="","",P135*INDEX(Ingredients!$R$5:$R$304,MATCH(D135,Ingredients!$B$5:$B$304,0))),"")</f>
        <v>0</v>
      </c>
      <c r="T135" s="45">
        <f>IFERROR(IF(P135="","",P135*INDEX(Ingredients!$S$5:$S$304,MATCH(D135,Ingredients!$B$5:$B$304,0))),"")</f>
        <v>0</v>
      </c>
      <c r="U135" s="45">
        <f>IFERROR(IF(P135="","",P135*INDEX(Ingredients!$T$5:$T$304,MATCH(D135,Ingredients!$B$5:$B$304,0))),"")</f>
        <v>0</v>
      </c>
      <c r="V135" s="17">
        <f>IF(D135="","",IFERROR(INDEX(Ingredients!$W$5:$W$304,MATCH(D135,Ingredients!$B$5:$B$304,0)),"Add to Ingredients"))</f>
        <v>0</v>
      </c>
      <c r="W135" s="17">
        <f>IF(D135="","",IFERROR(INDEX(Ingredients!$C$5:$C$304,MATCH(D135,Ingredients!$B$5:$B$304,0)),"Add to Ingredients"))</f>
        <v>0</v>
      </c>
      <c r="X135" s="45">
        <f>IFERROR(INDEX(Recipes!$AT$5:$AT$204,MATCH(B135,Recipes!$A$5:$A$204,0)),0)</f>
        <v>0</v>
      </c>
      <c r="Y135" s="45">
        <f>IF(OR(J135="",X135=0),"",J135*X135)</f>
        <v>0</v>
      </c>
      <c r="Z135" s="17">
        <f>IF(D135="","",B135&amp;"#"&amp;COUNTIFS($B$5:B135,B135))</f>
        <v>0</v>
      </c>
      <c r="AA135" s="17">
        <f>IF(D135="","",B135&amp;"|"&amp;D135)</f>
        <v>0</v>
      </c>
      <c r="AB135" s="31">
        <f>IF(D135="","",IF(B135="","Add - which recipe?",IF(COUNTIFS(Ingredients!$B$5:$B$304,D135)=0,"Missing - not in the Ingredients tab",IF(E135="","Add - no quantity",IF(F135="","Add - no unit",IF(K135&lt;&gt;L135,"Check - recipe in "&amp;K135&amp;", priced in "&amp;L135,IF(COUNTIFS($AA$5:$AA$1204,AA135)&gt;1,"Duplicate - same ingredient twice","OK")))))))</f>
        <v>0</v>
      </c>
    </row>
    <row r="136" spans="1:28">
      <c r="A136" s="39">
        <f>IF(D136="","","RL-"&amp;TEXT(ROW()-4,"0000"))</f>
        <v>0</v>
      </c>
      <c r="C136" s="17">
        <f>IF(B136="","",IFERROR(INDEX(Recipes!$B$5:$B$204,MATCH(B136,Recipes!$A$5:$A$204,0)),"Not found"))</f>
        <v>0</v>
      </c>
      <c r="J136" s="45">
        <f>IF(E136="","",IFERROR(E136*INDEX(UnitFactors,MATCH(F136,UnitNames,0)),""))</f>
        <v>0</v>
      </c>
      <c r="K136" s="17">
        <f>IF(F136="","",IFERROR(INDEX(UnitBases,MATCH(F136,UnitNames,0)),"?"))</f>
        <v>0</v>
      </c>
      <c r="L136" s="17">
        <f>IF(D136="","",IFERROR(INDEX(Ingredients!$G$5:$G$304,MATCH(D136,Ingredients!$B$5:$B$304,0)),"Add to Ingredients"))</f>
        <v>0</v>
      </c>
      <c r="M136" s="25">
        <f>IF(D136="","",IFERROR(INDEX(Ingredients!$J$5:$J$304,MATCH(D136,Ingredients!$B$5:$B$304,0)),"Add to Ingredients"))</f>
        <v>0</v>
      </c>
      <c r="N136" s="25">
        <f>IF(OR(J136="",M136="",NOT(ISNUMBER(M136))),"",IF(K136&lt;&gt;L136,"",J136*M136))</f>
        <v>0</v>
      </c>
      <c r="O136" s="25">
        <f>IF(N136="","",IFERROR(N136/INDEX(Recipes!$G$5:$G$204,MATCH(B136,Recipes!$A$5:$A$204,0)),""))</f>
        <v>0</v>
      </c>
      <c r="P136" s="30">
        <f>IF(J136="","",IF(K136="each",J136,J136/100))</f>
        <v>0</v>
      </c>
      <c r="Q136" s="30">
        <f>IFERROR(IF(P136="","",P136*INDEX(Ingredients!$P$5:$P$304,MATCH(D136,Ingredients!$B$5:$B$304,0))),"")</f>
        <v>0</v>
      </c>
      <c r="R136" s="45">
        <f>IFERROR(IF(P136="","",P136*INDEX(Ingredients!$Q$5:$Q$304,MATCH(D136,Ingredients!$B$5:$B$304,0))),"")</f>
        <v>0</v>
      </c>
      <c r="S136" s="45">
        <f>IFERROR(IF(P136="","",P136*INDEX(Ingredients!$R$5:$R$304,MATCH(D136,Ingredients!$B$5:$B$304,0))),"")</f>
        <v>0</v>
      </c>
      <c r="T136" s="45">
        <f>IFERROR(IF(P136="","",P136*INDEX(Ingredients!$S$5:$S$304,MATCH(D136,Ingredients!$B$5:$B$304,0))),"")</f>
        <v>0</v>
      </c>
      <c r="U136" s="45">
        <f>IFERROR(IF(P136="","",P136*INDEX(Ingredients!$T$5:$T$304,MATCH(D136,Ingredients!$B$5:$B$304,0))),"")</f>
        <v>0</v>
      </c>
      <c r="V136" s="17">
        <f>IF(D136="","",IFERROR(INDEX(Ingredients!$W$5:$W$304,MATCH(D136,Ingredients!$B$5:$B$304,0)),"Add to Ingredients"))</f>
        <v>0</v>
      </c>
      <c r="W136" s="17">
        <f>IF(D136="","",IFERROR(INDEX(Ingredients!$C$5:$C$304,MATCH(D136,Ingredients!$B$5:$B$304,0)),"Add to Ingredients"))</f>
        <v>0</v>
      </c>
      <c r="X136" s="45">
        <f>IFERROR(INDEX(Recipes!$AT$5:$AT$204,MATCH(B136,Recipes!$A$5:$A$204,0)),0)</f>
        <v>0</v>
      </c>
      <c r="Y136" s="45">
        <f>IF(OR(J136="",X136=0),"",J136*X136)</f>
        <v>0</v>
      </c>
      <c r="Z136" s="17">
        <f>IF(D136="","",B136&amp;"#"&amp;COUNTIFS($B$5:B136,B136))</f>
        <v>0</v>
      </c>
      <c r="AA136" s="17">
        <f>IF(D136="","",B136&amp;"|"&amp;D136)</f>
        <v>0</v>
      </c>
      <c r="AB136" s="31">
        <f>IF(D136="","",IF(B136="","Add - which recipe?",IF(COUNTIFS(Ingredients!$B$5:$B$304,D136)=0,"Missing - not in the Ingredients tab",IF(E136="","Add - no quantity",IF(F136="","Add - no unit",IF(K136&lt;&gt;L136,"Check - recipe in "&amp;K136&amp;", priced in "&amp;L136,IF(COUNTIFS($AA$5:$AA$1204,AA136)&gt;1,"Duplicate - same ingredient twice","OK")))))))</f>
        <v>0</v>
      </c>
    </row>
    <row r="137" spans="1:28">
      <c r="A137" s="39">
        <f>IF(D137="","","RL-"&amp;TEXT(ROW()-4,"0000"))</f>
        <v>0</v>
      </c>
      <c r="C137" s="17">
        <f>IF(B137="","",IFERROR(INDEX(Recipes!$B$5:$B$204,MATCH(B137,Recipes!$A$5:$A$204,0)),"Not found"))</f>
        <v>0</v>
      </c>
      <c r="J137" s="45">
        <f>IF(E137="","",IFERROR(E137*INDEX(UnitFactors,MATCH(F137,UnitNames,0)),""))</f>
        <v>0</v>
      </c>
      <c r="K137" s="17">
        <f>IF(F137="","",IFERROR(INDEX(UnitBases,MATCH(F137,UnitNames,0)),"?"))</f>
        <v>0</v>
      </c>
      <c r="L137" s="17">
        <f>IF(D137="","",IFERROR(INDEX(Ingredients!$G$5:$G$304,MATCH(D137,Ingredients!$B$5:$B$304,0)),"Add to Ingredients"))</f>
        <v>0</v>
      </c>
      <c r="M137" s="25">
        <f>IF(D137="","",IFERROR(INDEX(Ingredients!$J$5:$J$304,MATCH(D137,Ingredients!$B$5:$B$304,0)),"Add to Ingredients"))</f>
        <v>0</v>
      </c>
      <c r="N137" s="25">
        <f>IF(OR(J137="",M137="",NOT(ISNUMBER(M137))),"",IF(K137&lt;&gt;L137,"",J137*M137))</f>
        <v>0</v>
      </c>
      <c r="O137" s="25">
        <f>IF(N137="","",IFERROR(N137/INDEX(Recipes!$G$5:$G$204,MATCH(B137,Recipes!$A$5:$A$204,0)),""))</f>
        <v>0</v>
      </c>
      <c r="P137" s="30">
        <f>IF(J137="","",IF(K137="each",J137,J137/100))</f>
        <v>0</v>
      </c>
      <c r="Q137" s="30">
        <f>IFERROR(IF(P137="","",P137*INDEX(Ingredients!$P$5:$P$304,MATCH(D137,Ingredients!$B$5:$B$304,0))),"")</f>
        <v>0</v>
      </c>
      <c r="R137" s="45">
        <f>IFERROR(IF(P137="","",P137*INDEX(Ingredients!$Q$5:$Q$304,MATCH(D137,Ingredients!$B$5:$B$304,0))),"")</f>
        <v>0</v>
      </c>
      <c r="S137" s="45">
        <f>IFERROR(IF(P137="","",P137*INDEX(Ingredients!$R$5:$R$304,MATCH(D137,Ingredients!$B$5:$B$304,0))),"")</f>
        <v>0</v>
      </c>
      <c r="T137" s="45">
        <f>IFERROR(IF(P137="","",P137*INDEX(Ingredients!$S$5:$S$304,MATCH(D137,Ingredients!$B$5:$B$304,0))),"")</f>
        <v>0</v>
      </c>
      <c r="U137" s="45">
        <f>IFERROR(IF(P137="","",P137*INDEX(Ingredients!$T$5:$T$304,MATCH(D137,Ingredients!$B$5:$B$304,0))),"")</f>
        <v>0</v>
      </c>
      <c r="V137" s="17">
        <f>IF(D137="","",IFERROR(INDEX(Ingredients!$W$5:$W$304,MATCH(D137,Ingredients!$B$5:$B$304,0)),"Add to Ingredients"))</f>
        <v>0</v>
      </c>
      <c r="W137" s="17">
        <f>IF(D137="","",IFERROR(INDEX(Ingredients!$C$5:$C$304,MATCH(D137,Ingredients!$B$5:$B$304,0)),"Add to Ingredients"))</f>
        <v>0</v>
      </c>
      <c r="X137" s="45">
        <f>IFERROR(INDEX(Recipes!$AT$5:$AT$204,MATCH(B137,Recipes!$A$5:$A$204,0)),0)</f>
        <v>0</v>
      </c>
      <c r="Y137" s="45">
        <f>IF(OR(J137="",X137=0),"",J137*X137)</f>
        <v>0</v>
      </c>
      <c r="Z137" s="17">
        <f>IF(D137="","",B137&amp;"#"&amp;COUNTIFS($B$5:B137,B137))</f>
        <v>0</v>
      </c>
      <c r="AA137" s="17">
        <f>IF(D137="","",B137&amp;"|"&amp;D137)</f>
        <v>0</v>
      </c>
      <c r="AB137" s="31">
        <f>IF(D137="","",IF(B137="","Add - which recipe?",IF(COUNTIFS(Ingredients!$B$5:$B$304,D137)=0,"Missing - not in the Ingredients tab",IF(E137="","Add - no quantity",IF(F137="","Add - no unit",IF(K137&lt;&gt;L137,"Check - recipe in "&amp;K137&amp;", priced in "&amp;L137,IF(COUNTIFS($AA$5:$AA$1204,AA137)&gt;1,"Duplicate - same ingredient twice","OK")))))))</f>
        <v>0</v>
      </c>
    </row>
    <row r="138" spans="1:28">
      <c r="A138" s="39">
        <f>IF(D138="","","RL-"&amp;TEXT(ROW()-4,"0000"))</f>
        <v>0</v>
      </c>
      <c r="C138" s="17">
        <f>IF(B138="","",IFERROR(INDEX(Recipes!$B$5:$B$204,MATCH(B138,Recipes!$A$5:$A$204,0)),"Not found"))</f>
        <v>0</v>
      </c>
      <c r="J138" s="45">
        <f>IF(E138="","",IFERROR(E138*INDEX(UnitFactors,MATCH(F138,UnitNames,0)),""))</f>
        <v>0</v>
      </c>
      <c r="K138" s="17">
        <f>IF(F138="","",IFERROR(INDEX(UnitBases,MATCH(F138,UnitNames,0)),"?"))</f>
        <v>0</v>
      </c>
      <c r="L138" s="17">
        <f>IF(D138="","",IFERROR(INDEX(Ingredients!$G$5:$G$304,MATCH(D138,Ingredients!$B$5:$B$304,0)),"Add to Ingredients"))</f>
        <v>0</v>
      </c>
      <c r="M138" s="25">
        <f>IF(D138="","",IFERROR(INDEX(Ingredients!$J$5:$J$304,MATCH(D138,Ingredients!$B$5:$B$304,0)),"Add to Ingredients"))</f>
        <v>0</v>
      </c>
      <c r="N138" s="25">
        <f>IF(OR(J138="",M138="",NOT(ISNUMBER(M138))),"",IF(K138&lt;&gt;L138,"",J138*M138))</f>
        <v>0</v>
      </c>
      <c r="O138" s="25">
        <f>IF(N138="","",IFERROR(N138/INDEX(Recipes!$G$5:$G$204,MATCH(B138,Recipes!$A$5:$A$204,0)),""))</f>
        <v>0</v>
      </c>
      <c r="P138" s="30">
        <f>IF(J138="","",IF(K138="each",J138,J138/100))</f>
        <v>0</v>
      </c>
      <c r="Q138" s="30">
        <f>IFERROR(IF(P138="","",P138*INDEX(Ingredients!$P$5:$P$304,MATCH(D138,Ingredients!$B$5:$B$304,0))),"")</f>
        <v>0</v>
      </c>
      <c r="R138" s="45">
        <f>IFERROR(IF(P138="","",P138*INDEX(Ingredients!$Q$5:$Q$304,MATCH(D138,Ingredients!$B$5:$B$304,0))),"")</f>
        <v>0</v>
      </c>
      <c r="S138" s="45">
        <f>IFERROR(IF(P138="","",P138*INDEX(Ingredients!$R$5:$R$304,MATCH(D138,Ingredients!$B$5:$B$304,0))),"")</f>
        <v>0</v>
      </c>
      <c r="T138" s="45">
        <f>IFERROR(IF(P138="","",P138*INDEX(Ingredients!$S$5:$S$304,MATCH(D138,Ingredients!$B$5:$B$304,0))),"")</f>
        <v>0</v>
      </c>
      <c r="U138" s="45">
        <f>IFERROR(IF(P138="","",P138*INDEX(Ingredients!$T$5:$T$304,MATCH(D138,Ingredients!$B$5:$B$304,0))),"")</f>
        <v>0</v>
      </c>
      <c r="V138" s="17">
        <f>IF(D138="","",IFERROR(INDEX(Ingredients!$W$5:$W$304,MATCH(D138,Ingredients!$B$5:$B$304,0)),"Add to Ingredients"))</f>
        <v>0</v>
      </c>
      <c r="W138" s="17">
        <f>IF(D138="","",IFERROR(INDEX(Ingredients!$C$5:$C$304,MATCH(D138,Ingredients!$B$5:$B$304,0)),"Add to Ingredients"))</f>
        <v>0</v>
      </c>
      <c r="X138" s="45">
        <f>IFERROR(INDEX(Recipes!$AT$5:$AT$204,MATCH(B138,Recipes!$A$5:$A$204,0)),0)</f>
        <v>0</v>
      </c>
      <c r="Y138" s="45">
        <f>IF(OR(J138="",X138=0),"",J138*X138)</f>
        <v>0</v>
      </c>
      <c r="Z138" s="17">
        <f>IF(D138="","",B138&amp;"#"&amp;COUNTIFS($B$5:B138,B138))</f>
        <v>0</v>
      </c>
      <c r="AA138" s="17">
        <f>IF(D138="","",B138&amp;"|"&amp;D138)</f>
        <v>0</v>
      </c>
      <c r="AB138" s="31">
        <f>IF(D138="","",IF(B138="","Add - which recipe?",IF(COUNTIFS(Ingredients!$B$5:$B$304,D138)=0,"Missing - not in the Ingredients tab",IF(E138="","Add - no quantity",IF(F138="","Add - no unit",IF(K138&lt;&gt;L138,"Check - recipe in "&amp;K138&amp;", priced in "&amp;L138,IF(COUNTIFS($AA$5:$AA$1204,AA138)&gt;1,"Duplicate - same ingredient twice","OK")))))))</f>
        <v>0</v>
      </c>
    </row>
    <row r="139" spans="1:28">
      <c r="A139" s="39">
        <f>IF(D139="","","RL-"&amp;TEXT(ROW()-4,"0000"))</f>
        <v>0</v>
      </c>
      <c r="C139" s="17">
        <f>IF(B139="","",IFERROR(INDEX(Recipes!$B$5:$B$204,MATCH(B139,Recipes!$A$5:$A$204,0)),"Not found"))</f>
        <v>0</v>
      </c>
      <c r="J139" s="45">
        <f>IF(E139="","",IFERROR(E139*INDEX(UnitFactors,MATCH(F139,UnitNames,0)),""))</f>
        <v>0</v>
      </c>
      <c r="K139" s="17">
        <f>IF(F139="","",IFERROR(INDEX(UnitBases,MATCH(F139,UnitNames,0)),"?"))</f>
        <v>0</v>
      </c>
      <c r="L139" s="17">
        <f>IF(D139="","",IFERROR(INDEX(Ingredients!$G$5:$G$304,MATCH(D139,Ingredients!$B$5:$B$304,0)),"Add to Ingredients"))</f>
        <v>0</v>
      </c>
      <c r="M139" s="25">
        <f>IF(D139="","",IFERROR(INDEX(Ingredients!$J$5:$J$304,MATCH(D139,Ingredients!$B$5:$B$304,0)),"Add to Ingredients"))</f>
        <v>0</v>
      </c>
      <c r="N139" s="25">
        <f>IF(OR(J139="",M139="",NOT(ISNUMBER(M139))),"",IF(K139&lt;&gt;L139,"",J139*M139))</f>
        <v>0</v>
      </c>
      <c r="O139" s="25">
        <f>IF(N139="","",IFERROR(N139/INDEX(Recipes!$G$5:$G$204,MATCH(B139,Recipes!$A$5:$A$204,0)),""))</f>
        <v>0</v>
      </c>
      <c r="P139" s="30">
        <f>IF(J139="","",IF(K139="each",J139,J139/100))</f>
        <v>0</v>
      </c>
      <c r="Q139" s="30">
        <f>IFERROR(IF(P139="","",P139*INDEX(Ingredients!$P$5:$P$304,MATCH(D139,Ingredients!$B$5:$B$304,0))),"")</f>
        <v>0</v>
      </c>
      <c r="R139" s="45">
        <f>IFERROR(IF(P139="","",P139*INDEX(Ingredients!$Q$5:$Q$304,MATCH(D139,Ingredients!$B$5:$B$304,0))),"")</f>
        <v>0</v>
      </c>
      <c r="S139" s="45">
        <f>IFERROR(IF(P139="","",P139*INDEX(Ingredients!$R$5:$R$304,MATCH(D139,Ingredients!$B$5:$B$304,0))),"")</f>
        <v>0</v>
      </c>
      <c r="T139" s="45">
        <f>IFERROR(IF(P139="","",P139*INDEX(Ingredients!$S$5:$S$304,MATCH(D139,Ingredients!$B$5:$B$304,0))),"")</f>
        <v>0</v>
      </c>
      <c r="U139" s="45">
        <f>IFERROR(IF(P139="","",P139*INDEX(Ingredients!$T$5:$T$304,MATCH(D139,Ingredients!$B$5:$B$304,0))),"")</f>
        <v>0</v>
      </c>
      <c r="V139" s="17">
        <f>IF(D139="","",IFERROR(INDEX(Ingredients!$W$5:$W$304,MATCH(D139,Ingredients!$B$5:$B$304,0)),"Add to Ingredients"))</f>
        <v>0</v>
      </c>
      <c r="W139" s="17">
        <f>IF(D139="","",IFERROR(INDEX(Ingredients!$C$5:$C$304,MATCH(D139,Ingredients!$B$5:$B$304,0)),"Add to Ingredients"))</f>
        <v>0</v>
      </c>
      <c r="X139" s="45">
        <f>IFERROR(INDEX(Recipes!$AT$5:$AT$204,MATCH(B139,Recipes!$A$5:$A$204,0)),0)</f>
        <v>0</v>
      </c>
      <c r="Y139" s="45">
        <f>IF(OR(J139="",X139=0),"",J139*X139)</f>
        <v>0</v>
      </c>
      <c r="Z139" s="17">
        <f>IF(D139="","",B139&amp;"#"&amp;COUNTIFS($B$5:B139,B139))</f>
        <v>0</v>
      </c>
      <c r="AA139" s="17">
        <f>IF(D139="","",B139&amp;"|"&amp;D139)</f>
        <v>0</v>
      </c>
      <c r="AB139" s="31">
        <f>IF(D139="","",IF(B139="","Add - which recipe?",IF(COUNTIFS(Ingredients!$B$5:$B$304,D139)=0,"Missing - not in the Ingredients tab",IF(E139="","Add - no quantity",IF(F139="","Add - no unit",IF(K139&lt;&gt;L139,"Check - recipe in "&amp;K139&amp;", priced in "&amp;L139,IF(COUNTIFS($AA$5:$AA$1204,AA139)&gt;1,"Duplicate - same ingredient twice","OK")))))))</f>
        <v>0</v>
      </c>
    </row>
    <row r="140" spans="1:28">
      <c r="A140" s="39">
        <f>IF(D140="","","RL-"&amp;TEXT(ROW()-4,"0000"))</f>
        <v>0</v>
      </c>
      <c r="C140" s="17">
        <f>IF(B140="","",IFERROR(INDEX(Recipes!$B$5:$B$204,MATCH(B140,Recipes!$A$5:$A$204,0)),"Not found"))</f>
        <v>0</v>
      </c>
      <c r="J140" s="45">
        <f>IF(E140="","",IFERROR(E140*INDEX(UnitFactors,MATCH(F140,UnitNames,0)),""))</f>
        <v>0</v>
      </c>
      <c r="K140" s="17">
        <f>IF(F140="","",IFERROR(INDEX(UnitBases,MATCH(F140,UnitNames,0)),"?"))</f>
        <v>0</v>
      </c>
      <c r="L140" s="17">
        <f>IF(D140="","",IFERROR(INDEX(Ingredients!$G$5:$G$304,MATCH(D140,Ingredients!$B$5:$B$304,0)),"Add to Ingredients"))</f>
        <v>0</v>
      </c>
      <c r="M140" s="25">
        <f>IF(D140="","",IFERROR(INDEX(Ingredients!$J$5:$J$304,MATCH(D140,Ingredients!$B$5:$B$304,0)),"Add to Ingredients"))</f>
        <v>0</v>
      </c>
      <c r="N140" s="25">
        <f>IF(OR(J140="",M140="",NOT(ISNUMBER(M140))),"",IF(K140&lt;&gt;L140,"",J140*M140))</f>
        <v>0</v>
      </c>
      <c r="O140" s="25">
        <f>IF(N140="","",IFERROR(N140/INDEX(Recipes!$G$5:$G$204,MATCH(B140,Recipes!$A$5:$A$204,0)),""))</f>
        <v>0</v>
      </c>
      <c r="P140" s="30">
        <f>IF(J140="","",IF(K140="each",J140,J140/100))</f>
        <v>0</v>
      </c>
      <c r="Q140" s="30">
        <f>IFERROR(IF(P140="","",P140*INDEX(Ingredients!$P$5:$P$304,MATCH(D140,Ingredients!$B$5:$B$304,0))),"")</f>
        <v>0</v>
      </c>
      <c r="R140" s="45">
        <f>IFERROR(IF(P140="","",P140*INDEX(Ingredients!$Q$5:$Q$304,MATCH(D140,Ingredients!$B$5:$B$304,0))),"")</f>
        <v>0</v>
      </c>
      <c r="S140" s="45">
        <f>IFERROR(IF(P140="","",P140*INDEX(Ingredients!$R$5:$R$304,MATCH(D140,Ingredients!$B$5:$B$304,0))),"")</f>
        <v>0</v>
      </c>
      <c r="T140" s="45">
        <f>IFERROR(IF(P140="","",P140*INDEX(Ingredients!$S$5:$S$304,MATCH(D140,Ingredients!$B$5:$B$304,0))),"")</f>
        <v>0</v>
      </c>
      <c r="U140" s="45">
        <f>IFERROR(IF(P140="","",P140*INDEX(Ingredients!$T$5:$T$304,MATCH(D140,Ingredients!$B$5:$B$304,0))),"")</f>
        <v>0</v>
      </c>
      <c r="V140" s="17">
        <f>IF(D140="","",IFERROR(INDEX(Ingredients!$W$5:$W$304,MATCH(D140,Ingredients!$B$5:$B$304,0)),"Add to Ingredients"))</f>
        <v>0</v>
      </c>
      <c r="W140" s="17">
        <f>IF(D140="","",IFERROR(INDEX(Ingredients!$C$5:$C$304,MATCH(D140,Ingredients!$B$5:$B$304,0)),"Add to Ingredients"))</f>
        <v>0</v>
      </c>
      <c r="X140" s="45">
        <f>IFERROR(INDEX(Recipes!$AT$5:$AT$204,MATCH(B140,Recipes!$A$5:$A$204,0)),0)</f>
        <v>0</v>
      </c>
      <c r="Y140" s="45">
        <f>IF(OR(J140="",X140=0),"",J140*X140)</f>
        <v>0</v>
      </c>
      <c r="Z140" s="17">
        <f>IF(D140="","",B140&amp;"#"&amp;COUNTIFS($B$5:B140,B140))</f>
        <v>0</v>
      </c>
      <c r="AA140" s="17">
        <f>IF(D140="","",B140&amp;"|"&amp;D140)</f>
        <v>0</v>
      </c>
      <c r="AB140" s="31">
        <f>IF(D140="","",IF(B140="","Add - which recipe?",IF(COUNTIFS(Ingredients!$B$5:$B$304,D140)=0,"Missing - not in the Ingredients tab",IF(E140="","Add - no quantity",IF(F140="","Add - no unit",IF(K140&lt;&gt;L140,"Check - recipe in "&amp;K140&amp;", priced in "&amp;L140,IF(COUNTIFS($AA$5:$AA$1204,AA140)&gt;1,"Duplicate - same ingredient twice","OK")))))))</f>
        <v>0</v>
      </c>
    </row>
    <row r="141" spans="1:28">
      <c r="A141" s="39">
        <f>IF(D141="","","RL-"&amp;TEXT(ROW()-4,"0000"))</f>
        <v>0</v>
      </c>
      <c r="C141" s="17">
        <f>IF(B141="","",IFERROR(INDEX(Recipes!$B$5:$B$204,MATCH(B141,Recipes!$A$5:$A$204,0)),"Not found"))</f>
        <v>0</v>
      </c>
      <c r="J141" s="45">
        <f>IF(E141="","",IFERROR(E141*INDEX(UnitFactors,MATCH(F141,UnitNames,0)),""))</f>
        <v>0</v>
      </c>
      <c r="K141" s="17">
        <f>IF(F141="","",IFERROR(INDEX(UnitBases,MATCH(F141,UnitNames,0)),"?"))</f>
        <v>0</v>
      </c>
      <c r="L141" s="17">
        <f>IF(D141="","",IFERROR(INDEX(Ingredients!$G$5:$G$304,MATCH(D141,Ingredients!$B$5:$B$304,0)),"Add to Ingredients"))</f>
        <v>0</v>
      </c>
      <c r="M141" s="25">
        <f>IF(D141="","",IFERROR(INDEX(Ingredients!$J$5:$J$304,MATCH(D141,Ingredients!$B$5:$B$304,0)),"Add to Ingredients"))</f>
        <v>0</v>
      </c>
      <c r="N141" s="25">
        <f>IF(OR(J141="",M141="",NOT(ISNUMBER(M141))),"",IF(K141&lt;&gt;L141,"",J141*M141))</f>
        <v>0</v>
      </c>
      <c r="O141" s="25">
        <f>IF(N141="","",IFERROR(N141/INDEX(Recipes!$G$5:$G$204,MATCH(B141,Recipes!$A$5:$A$204,0)),""))</f>
        <v>0</v>
      </c>
      <c r="P141" s="30">
        <f>IF(J141="","",IF(K141="each",J141,J141/100))</f>
        <v>0</v>
      </c>
      <c r="Q141" s="30">
        <f>IFERROR(IF(P141="","",P141*INDEX(Ingredients!$P$5:$P$304,MATCH(D141,Ingredients!$B$5:$B$304,0))),"")</f>
        <v>0</v>
      </c>
      <c r="R141" s="45">
        <f>IFERROR(IF(P141="","",P141*INDEX(Ingredients!$Q$5:$Q$304,MATCH(D141,Ingredients!$B$5:$B$304,0))),"")</f>
        <v>0</v>
      </c>
      <c r="S141" s="45">
        <f>IFERROR(IF(P141="","",P141*INDEX(Ingredients!$R$5:$R$304,MATCH(D141,Ingredients!$B$5:$B$304,0))),"")</f>
        <v>0</v>
      </c>
      <c r="T141" s="45">
        <f>IFERROR(IF(P141="","",P141*INDEX(Ingredients!$S$5:$S$304,MATCH(D141,Ingredients!$B$5:$B$304,0))),"")</f>
        <v>0</v>
      </c>
      <c r="U141" s="45">
        <f>IFERROR(IF(P141="","",P141*INDEX(Ingredients!$T$5:$T$304,MATCH(D141,Ingredients!$B$5:$B$304,0))),"")</f>
        <v>0</v>
      </c>
      <c r="V141" s="17">
        <f>IF(D141="","",IFERROR(INDEX(Ingredients!$W$5:$W$304,MATCH(D141,Ingredients!$B$5:$B$304,0)),"Add to Ingredients"))</f>
        <v>0</v>
      </c>
      <c r="W141" s="17">
        <f>IF(D141="","",IFERROR(INDEX(Ingredients!$C$5:$C$304,MATCH(D141,Ingredients!$B$5:$B$304,0)),"Add to Ingredients"))</f>
        <v>0</v>
      </c>
      <c r="X141" s="45">
        <f>IFERROR(INDEX(Recipes!$AT$5:$AT$204,MATCH(B141,Recipes!$A$5:$A$204,0)),0)</f>
        <v>0</v>
      </c>
      <c r="Y141" s="45">
        <f>IF(OR(J141="",X141=0),"",J141*X141)</f>
        <v>0</v>
      </c>
      <c r="Z141" s="17">
        <f>IF(D141="","",B141&amp;"#"&amp;COUNTIFS($B$5:B141,B141))</f>
        <v>0</v>
      </c>
      <c r="AA141" s="17">
        <f>IF(D141="","",B141&amp;"|"&amp;D141)</f>
        <v>0</v>
      </c>
      <c r="AB141" s="31">
        <f>IF(D141="","",IF(B141="","Add - which recipe?",IF(COUNTIFS(Ingredients!$B$5:$B$304,D141)=0,"Missing - not in the Ingredients tab",IF(E141="","Add - no quantity",IF(F141="","Add - no unit",IF(K141&lt;&gt;L141,"Check - recipe in "&amp;K141&amp;", priced in "&amp;L141,IF(COUNTIFS($AA$5:$AA$1204,AA141)&gt;1,"Duplicate - same ingredient twice","OK")))))))</f>
        <v>0</v>
      </c>
    </row>
    <row r="142" spans="1:28">
      <c r="A142" s="39">
        <f>IF(D142="","","RL-"&amp;TEXT(ROW()-4,"0000"))</f>
        <v>0</v>
      </c>
      <c r="C142" s="17">
        <f>IF(B142="","",IFERROR(INDEX(Recipes!$B$5:$B$204,MATCH(B142,Recipes!$A$5:$A$204,0)),"Not found"))</f>
        <v>0</v>
      </c>
      <c r="J142" s="45">
        <f>IF(E142="","",IFERROR(E142*INDEX(UnitFactors,MATCH(F142,UnitNames,0)),""))</f>
        <v>0</v>
      </c>
      <c r="K142" s="17">
        <f>IF(F142="","",IFERROR(INDEX(UnitBases,MATCH(F142,UnitNames,0)),"?"))</f>
        <v>0</v>
      </c>
      <c r="L142" s="17">
        <f>IF(D142="","",IFERROR(INDEX(Ingredients!$G$5:$G$304,MATCH(D142,Ingredients!$B$5:$B$304,0)),"Add to Ingredients"))</f>
        <v>0</v>
      </c>
      <c r="M142" s="25">
        <f>IF(D142="","",IFERROR(INDEX(Ingredients!$J$5:$J$304,MATCH(D142,Ingredients!$B$5:$B$304,0)),"Add to Ingredients"))</f>
        <v>0</v>
      </c>
      <c r="N142" s="25">
        <f>IF(OR(J142="",M142="",NOT(ISNUMBER(M142))),"",IF(K142&lt;&gt;L142,"",J142*M142))</f>
        <v>0</v>
      </c>
      <c r="O142" s="25">
        <f>IF(N142="","",IFERROR(N142/INDEX(Recipes!$G$5:$G$204,MATCH(B142,Recipes!$A$5:$A$204,0)),""))</f>
        <v>0</v>
      </c>
      <c r="P142" s="30">
        <f>IF(J142="","",IF(K142="each",J142,J142/100))</f>
        <v>0</v>
      </c>
      <c r="Q142" s="30">
        <f>IFERROR(IF(P142="","",P142*INDEX(Ingredients!$P$5:$P$304,MATCH(D142,Ingredients!$B$5:$B$304,0))),"")</f>
        <v>0</v>
      </c>
      <c r="R142" s="45">
        <f>IFERROR(IF(P142="","",P142*INDEX(Ingredients!$Q$5:$Q$304,MATCH(D142,Ingredients!$B$5:$B$304,0))),"")</f>
        <v>0</v>
      </c>
      <c r="S142" s="45">
        <f>IFERROR(IF(P142="","",P142*INDEX(Ingredients!$R$5:$R$304,MATCH(D142,Ingredients!$B$5:$B$304,0))),"")</f>
        <v>0</v>
      </c>
      <c r="T142" s="45">
        <f>IFERROR(IF(P142="","",P142*INDEX(Ingredients!$S$5:$S$304,MATCH(D142,Ingredients!$B$5:$B$304,0))),"")</f>
        <v>0</v>
      </c>
      <c r="U142" s="45">
        <f>IFERROR(IF(P142="","",P142*INDEX(Ingredients!$T$5:$T$304,MATCH(D142,Ingredients!$B$5:$B$304,0))),"")</f>
        <v>0</v>
      </c>
      <c r="V142" s="17">
        <f>IF(D142="","",IFERROR(INDEX(Ingredients!$W$5:$W$304,MATCH(D142,Ingredients!$B$5:$B$304,0)),"Add to Ingredients"))</f>
        <v>0</v>
      </c>
      <c r="W142" s="17">
        <f>IF(D142="","",IFERROR(INDEX(Ingredients!$C$5:$C$304,MATCH(D142,Ingredients!$B$5:$B$304,0)),"Add to Ingredients"))</f>
        <v>0</v>
      </c>
      <c r="X142" s="45">
        <f>IFERROR(INDEX(Recipes!$AT$5:$AT$204,MATCH(B142,Recipes!$A$5:$A$204,0)),0)</f>
        <v>0</v>
      </c>
      <c r="Y142" s="45">
        <f>IF(OR(J142="",X142=0),"",J142*X142)</f>
        <v>0</v>
      </c>
      <c r="Z142" s="17">
        <f>IF(D142="","",B142&amp;"#"&amp;COUNTIFS($B$5:B142,B142))</f>
        <v>0</v>
      </c>
      <c r="AA142" s="17">
        <f>IF(D142="","",B142&amp;"|"&amp;D142)</f>
        <v>0</v>
      </c>
      <c r="AB142" s="31">
        <f>IF(D142="","",IF(B142="","Add - which recipe?",IF(COUNTIFS(Ingredients!$B$5:$B$304,D142)=0,"Missing - not in the Ingredients tab",IF(E142="","Add - no quantity",IF(F142="","Add - no unit",IF(K142&lt;&gt;L142,"Check - recipe in "&amp;K142&amp;", priced in "&amp;L142,IF(COUNTIFS($AA$5:$AA$1204,AA142)&gt;1,"Duplicate - same ingredient twice","OK")))))))</f>
        <v>0</v>
      </c>
    </row>
    <row r="143" spans="1:28">
      <c r="A143" s="39">
        <f>IF(D143="","","RL-"&amp;TEXT(ROW()-4,"0000"))</f>
        <v>0</v>
      </c>
      <c r="C143" s="17">
        <f>IF(B143="","",IFERROR(INDEX(Recipes!$B$5:$B$204,MATCH(B143,Recipes!$A$5:$A$204,0)),"Not found"))</f>
        <v>0</v>
      </c>
      <c r="J143" s="45">
        <f>IF(E143="","",IFERROR(E143*INDEX(UnitFactors,MATCH(F143,UnitNames,0)),""))</f>
        <v>0</v>
      </c>
      <c r="K143" s="17">
        <f>IF(F143="","",IFERROR(INDEX(UnitBases,MATCH(F143,UnitNames,0)),"?"))</f>
        <v>0</v>
      </c>
      <c r="L143" s="17">
        <f>IF(D143="","",IFERROR(INDEX(Ingredients!$G$5:$G$304,MATCH(D143,Ingredients!$B$5:$B$304,0)),"Add to Ingredients"))</f>
        <v>0</v>
      </c>
      <c r="M143" s="25">
        <f>IF(D143="","",IFERROR(INDEX(Ingredients!$J$5:$J$304,MATCH(D143,Ingredients!$B$5:$B$304,0)),"Add to Ingredients"))</f>
        <v>0</v>
      </c>
      <c r="N143" s="25">
        <f>IF(OR(J143="",M143="",NOT(ISNUMBER(M143))),"",IF(K143&lt;&gt;L143,"",J143*M143))</f>
        <v>0</v>
      </c>
      <c r="O143" s="25">
        <f>IF(N143="","",IFERROR(N143/INDEX(Recipes!$G$5:$G$204,MATCH(B143,Recipes!$A$5:$A$204,0)),""))</f>
        <v>0</v>
      </c>
      <c r="P143" s="30">
        <f>IF(J143="","",IF(K143="each",J143,J143/100))</f>
        <v>0</v>
      </c>
      <c r="Q143" s="30">
        <f>IFERROR(IF(P143="","",P143*INDEX(Ingredients!$P$5:$P$304,MATCH(D143,Ingredients!$B$5:$B$304,0))),"")</f>
        <v>0</v>
      </c>
      <c r="R143" s="45">
        <f>IFERROR(IF(P143="","",P143*INDEX(Ingredients!$Q$5:$Q$304,MATCH(D143,Ingredients!$B$5:$B$304,0))),"")</f>
        <v>0</v>
      </c>
      <c r="S143" s="45">
        <f>IFERROR(IF(P143="","",P143*INDEX(Ingredients!$R$5:$R$304,MATCH(D143,Ingredients!$B$5:$B$304,0))),"")</f>
        <v>0</v>
      </c>
      <c r="T143" s="45">
        <f>IFERROR(IF(P143="","",P143*INDEX(Ingredients!$S$5:$S$304,MATCH(D143,Ingredients!$B$5:$B$304,0))),"")</f>
        <v>0</v>
      </c>
      <c r="U143" s="45">
        <f>IFERROR(IF(P143="","",P143*INDEX(Ingredients!$T$5:$T$304,MATCH(D143,Ingredients!$B$5:$B$304,0))),"")</f>
        <v>0</v>
      </c>
      <c r="V143" s="17">
        <f>IF(D143="","",IFERROR(INDEX(Ingredients!$W$5:$W$304,MATCH(D143,Ingredients!$B$5:$B$304,0)),"Add to Ingredients"))</f>
        <v>0</v>
      </c>
      <c r="W143" s="17">
        <f>IF(D143="","",IFERROR(INDEX(Ingredients!$C$5:$C$304,MATCH(D143,Ingredients!$B$5:$B$304,0)),"Add to Ingredients"))</f>
        <v>0</v>
      </c>
      <c r="X143" s="45">
        <f>IFERROR(INDEX(Recipes!$AT$5:$AT$204,MATCH(B143,Recipes!$A$5:$A$204,0)),0)</f>
        <v>0</v>
      </c>
      <c r="Y143" s="45">
        <f>IF(OR(J143="",X143=0),"",J143*X143)</f>
        <v>0</v>
      </c>
      <c r="Z143" s="17">
        <f>IF(D143="","",B143&amp;"#"&amp;COUNTIFS($B$5:B143,B143))</f>
        <v>0</v>
      </c>
      <c r="AA143" s="17">
        <f>IF(D143="","",B143&amp;"|"&amp;D143)</f>
        <v>0</v>
      </c>
      <c r="AB143" s="31">
        <f>IF(D143="","",IF(B143="","Add - which recipe?",IF(COUNTIFS(Ingredients!$B$5:$B$304,D143)=0,"Missing - not in the Ingredients tab",IF(E143="","Add - no quantity",IF(F143="","Add - no unit",IF(K143&lt;&gt;L143,"Check - recipe in "&amp;K143&amp;", priced in "&amp;L143,IF(COUNTIFS($AA$5:$AA$1204,AA143)&gt;1,"Duplicate - same ingredient twice","OK")))))))</f>
        <v>0</v>
      </c>
    </row>
    <row r="144" spans="1:28">
      <c r="A144" s="39">
        <f>IF(D144="","","RL-"&amp;TEXT(ROW()-4,"0000"))</f>
        <v>0</v>
      </c>
      <c r="C144" s="17">
        <f>IF(B144="","",IFERROR(INDEX(Recipes!$B$5:$B$204,MATCH(B144,Recipes!$A$5:$A$204,0)),"Not found"))</f>
        <v>0</v>
      </c>
      <c r="J144" s="45">
        <f>IF(E144="","",IFERROR(E144*INDEX(UnitFactors,MATCH(F144,UnitNames,0)),""))</f>
        <v>0</v>
      </c>
      <c r="K144" s="17">
        <f>IF(F144="","",IFERROR(INDEX(UnitBases,MATCH(F144,UnitNames,0)),"?"))</f>
        <v>0</v>
      </c>
      <c r="L144" s="17">
        <f>IF(D144="","",IFERROR(INDEX(Ingredients!$G$5:$G$304,MATCH(D144,Ingredients!$B$5:$B$304,0)),"Add to Ingredients"))</f>
        <v>0</v>
      </c>
      <c r="M144" s="25">
        <f>IF(D144="","",IFERROR(INDEX(Ingredients!$J$5:$J$304,MATCH(D144,Ingredients!$B$5:$B$304,0)),"Add to Ingredients"))</f>
        <v>0</v>
      </c>
      <c r="N144" s="25">
        <f>IF(OR(J144="",M144="",NOT(ISNUMBER(M144))),"",IF(K144&lt;&gt;L144,"",J144*M144))</f>
        <v>0</v>
      </c>
      <c r="O144" s="25">
        <f>IF(N144="","",IFERROR(N144/INDEX(Recipes!$G$5:$G$204,MATCH(B144,Recipes!$A$5:$A$204,0)),""))</f>
        <v>0</v>
      </c>
      <c r="P144" s="30">
        <f>IF(J144="","",IF(K144="each",J144,J144/100))</f>
        <v>0</v>
      </c>
      <c r="Q144" s="30">
        <f>IFERROR(IF(P144="","",P144*INDEX(Ingredients!$P$5:$P$304,MATCH(D144,Ingredients!$B$5:$B$304,0))),"")</f>
        <v>0</v>
      </c>
      <c r="R144" s="45">
        <f>IFERROR(IF(P144="","",P144*INDEX(Ingredients!$Q$5:$Q$304,MATCH(D144,Ingredients!$B$5:$B$304,0))),"")</f>
        <v>0</v>
      </c>
      <c r="S144" s="45">
        <f>IFERROR(IF(P144="","",P144*INDEX(Ingredients!$R$5:$R$304,MATCH(D144,Ingredients!$B$5:$B$304,0))),"")</f>
        <v>0</v>
      </c>
      <c r="T144" s="45">
        <f>IFERROR(IF(P144="","",P144*INDEX(Ingredients!$S$5:$S$304,MATCH(D144,Ingredients!$B$5:$B$304,0))),"")</f>
        <v>0</v>
      </c>
      <c r="U144" s="45">
        <f>IFERROR(IF(P144="","",P144*INDEX(Ingredients!$T$5:$T$304,MATCH(D144,Ingredients!$B$5:$B$304,0))),"")</f>
        <v>0</v>
      </c>
      <c r="V144" s="17">
        <f>IF(D144="","",IFERROR(INDEX(Ingredients!$W$5:$W$304,MATCH(D144,Ingredients!$B$5:$B$304,0)),"Add to Ingredients"))</f>
        <v>0</v>
      </c>
      <c r="W144" s="17">
        <f>IF(D144="","",IFERROR(INDEX(Ingredients!$C$5:$C$304,MATCH(D144,Ingredients!$B$5:$B$304,0)),"Add to Ingredients"))</f>
        <v>0</v>
      </c>
      <c r="X144" s="45">
        <f>IFERROR(INDEX(Recipes!$AT$5:$AT$204,MATCH(B144,Recipes!$A$5:$A$204,0)),0)</f>
        <v>0</v>
      </c>
      <c r="Y144" s="45">
        <f>IF(OR(J144="",X144=0),"",J144*X144)</f>
        <v>0</v>
      </c>
      <c r="Z144" s="17">
        <f>IF(D144="","",B144&amp;"#"&amp;COUNTIFS($B$5:B144,B144))</f>
        <v>0</v>
      </c>
      <c r="AA144" s="17">
        <f>IF(D144="","",B144&amp;"|"&amp;D144)</f>
        <v>0</v>
      </c>
      <c r="AB144" s="31">
        <f>IF(D144="","",IF(B144="","Add - which recipe?",IF(COUNTIFS(Ingredients!$B$5:$B$304,D144)=0,"Missing - not in the Ingredients tab",IF(E144="","Add - no quantity",IF(F144="","Add - no unit",IF(K144&lt;&gt;L144,"Check - recipe in "&amp;K144&amp;", priced in "&amp;L144,IF(COUNTIFS($AA$5:$AA$1204,AA144)&gt;1,"Duplicate - same ingredient twice","OK")))))))</f>
        <v>0</v>
      </c>
    </row>
    <row r="145" spans="1:28">
      <c r="A145" s="39">
        <f>IF(D145="","","RL-"&amp;TEXT(ROW()-4,"0000"))</f>
        <v>0</v>
      </c>
      <c r="C145" s="17">
        <f>IF(B145="","",IFERROR(INDEX(Recipes!$B$5:$B$204,MATCH(B145,Recipes!$A$5:$A$204,0)),"Not found"))</f>
        <v>0</v>
      </c>
      <c r="J145" s="45">
        <f>IF(E145="","",IFERROR(E145*INDEX(UnitFactors,MATCH(F145,UnitNames,0)),""))</f>
        <v>0</v>
      </c>
      <c r="K145" s="17">
        <f>IF(F145="","",IFERROR(INDEX(UnitBases,MATCH(F145,UnitNames,0)),"?"))</f>
        <v>0</v>
      </c>
      <c r="L145" s="17">
        <f>IF(D145="","",IFERROR(INDEX(Ingredients!$G$5:$G$304,MATCH(D145,Ingredients!$B$5:$B$304,0)),"Add to Ingredients"))</f>
        <v>0</v>
      </c>
      <c r="M145" s="25">
        <f>IF(D145="","",IFERROR(INDEX(Ingredients!$J$5:$J$304,MATCH(D145,Ingredients!$B$5:$B$304,0)),"Add to Ingredients"))</f>
        <v>0</v>
      </c>
      <c r="N145" s="25">
        <f>IF(OR(J145="",M145="",NOT(ISNUMBER(M145))),"",IF(K145&lt;&gt;L145,"",J145*M145))</f>
        <v>0</v>
      </c>
      <c r="O145" s="25">
        <f>IF(N145="","",IFERROR(N145/INDEX(Recipes!$G$5:$G$204,MATCH(B145,Recipes!$A$5:$A$204,0)),""))</f>
        <v>0</v>
      </c>
      <c r="P145" s="30">
        <f>IF(J145="","",IF(K145="each",J145,J145/100))</f>
        <v>0</v>
      </c>
      <c r="Q145" s="30">
        <f>IFERROR(IF(P145="","",P145*INDEX(Ingredients!$P$5:$P$304,MATCH(D145,Ingredients!$B$5:$B$304,0))),"")</f>
        <v>0</v>
      </c>
      <c r="R145" s="45">
        <f>IFERROR(IF(P145="","",P145*INDEX(Ingredients!$Q$5:$Q$304,MATCH(D145,Ingredients!$B$5:$B$304,0))),"")</f>
        <v>0</v>
      </c>
      <c r="S145" s="45">
        <f>IFERROR(IF(P145="","",P145*INDEX(Ingredients!$R$5:$R$304,MATCH(D145,Ingredients!$B$5:$B$304,0))),"")</f>
        <v>0</v>
      </c>
      <c r="T145" s="45">
        <f>IFERROR(IF(P145="","",P145*INDEX(Ingredients!$S$5:$S$304,MATCH(D145,Ingredients!$B$5:$B$304,0))),"")</f>
        <v>0</v>
      </c>
      <c r="U145" s="45">
        <f>IFERROR(IF(P145="","",P145*INDEX(Ingredients!$T$5:$T$304,MATCH(D145,Ingredients!$B$5:$B$304,0))),"")</f>
        <v>0</v>
      </c>
      <c r="V145" s="17">
        <f>IF(D145="","",IFERROR(INDEX(Ingredients!$W$5:$W$304,MATCH(D145,Ingredients!$B$5:$B$304,0)),"Add to Ingredients"))</f>
        <v>0</v>
      </c>
      <c r="W145" s="17">
        <f>IF(D145="","",IFERROR(INDEX(Ingredients!$C$5:$C$304,MATCH(D145,Ingredients!$B$5:$B$304,0)),"Add to Ingredients"))</f>
        <v>0</v>
      </c>
      <c r="X145" s="45">
        <f>IFERROR(INDEX(Recipes!$AT$5:$AT$204,MATCH(B145,Recipes!$A$5:$A$204,0)),0)</f>
        <v>0</v>
      </c>
      <c r="Y145" s="45">
        <f>IF(OR(J145="",X145=0),"",J145*X145)</f>
        <v>0</v>
      </c>
      <c r="Z145" s="17">
        <f>IF(D145="","",B145&amp;"#"&amp;COUNTIFS($B$5:B145,B145))</f>
        <v>0</v>
      </c>
      <c r="AA145" s="17">
        <f>IF(D145="","",B145&amp;"|"&amp;D145)</f>
        <v>0</v>
      </c>
      <c r="AB145" s="31">
        <f>IF(D145="","",IF(B145="","Add - which recipe?",IF(COUNTIFS(Ingredients!$B$5:$B$304,D145)=0,"Missing - not in the Ingredients tab",IF(E145="","Add - no quantity",IF(F145="","Add - no unit",IF(K145&lt;&gt;L145,"Check - recipe in "&amp;K145&amp;", priced in "&amp;L145,IF(COUNTIFS($AA$5:$AA$1204,AA145)&gt;1,"Duplicate - same ingredient twice","OK")))))))</f>
        <v>0</v>
      </c>
    </row>
    <row r="146" spans="1:28">
      <c r="A146" s="39">
        <f>IF(D146="","","RL-"&amp;TEXT(ROW()-4,"0000"))</f>
        <v>0</v>
      </c>
      <c r="C146" s="17">
        <f>IF(B146="","",IFERROR(INDEX(Recipes!$B$5:$B$204,MATCH(B146,Recipes!$A$5:$A$204,0)),"Not found"))</f>
        <v>0</v>
      </c>
      <c r="J146" s="45">
        <f>IF(E146="","",IFERROR(E146*INDEX(UnitFactors,MATCH(F146,UnitNames,0)),""))</f>
        <v>0</v>
      </c>
      <c r="K146" s="17">
        <f>IF(F146="","",IFERROR(INDEX(UnitBases,MATCH(F146,UnitNames,0)),"?"))</f>
        <v>0</v>
      </c>
      <c r="L146" s="17">
        <f>IF(D146="","",IFERROR(INDEX(Ingredients!$G$5:$G$304,MATCH(D146,Ingredients!$B$5:$B$304,0)),"Add to Ingredients"))</f>
        <v>0</v>
      </c>
      <c r="M146" s="25">
        <f>IF(D146="","",IFERROR(INDEX(Ingredients!$J$5:$J$304,MATCH(D146,Ingredients!$B$5:$B$304,0)),"Add to Ingredients"))</f>
        <v>0</v>
      </c>
      <c r="N146" s="25">
        <f>IF(OR(J146="",M146="",NOT(ISNUMBER(M146))),"",IF(K146&lt;&gt;L146,"",J146*M146))</f>
        <v>0</v>
      </c>
      <c r="O146" s="25">
        <f>IF(N146="","",IFERROR(N146/INDEX(Recipes!$G$5:$G$204,MATCH(B146,Recipes!$A$5:$A$204,0)),""))</f>
        <v>0</v>
      </c>
      <c r="P146" s="30">
        <f>IF(J146="","",IF(K146="each",J146,J146/100))</f>
        <v>0</v>
      </c>
      <c r="Q146" s="30">
        <f>IFERROR(IF(P146="","",P146*INDEX(Ingredients!$P$5:$P$304,MATCH(D146,Ingredients!$B$5:$B$304,0))),"")</f>
        <v>0</v>
      </c>
      <c r="R146" s="45">
        <f>IFERROR(IF(P146="","",P146*INDEX(Ingredients!$Q$5:$Q$304,MATCH(D146,Ingredients!$B$5:$B$304,0))),"")</f>
        <v>0</v>
      </c>
      <c r="S146" s="45">
        <f>IFERROR(IF(P146="","",P146*INDEX(Ingredients!$R$5:$R$304,MATCH(D146,Ingredients!$B$5:$B$304,0))),"")</f>
        <v>0</v>
      </c>
      <c r="T146" s="45">
        <f>IFERROR(IF(P146="","",P146*INDEX(Ingredients!$S$5:$S$304,MATCH(D146,Ingredients!$B$5:$B$304,0))),"")</f>
        <v>0</v>
      </c>
      <c r="U146" s="45">
        <f>IFERROR(IF(P146="","",P146*INDEX(Ingredients!$T$5:$T$304,MATCH(D146,Ingredients!$B$5:$B$304,0))),"")</f>
        <v>0</v>
      </c>
      <c r="V146" s="17">
        <f>IF(D146="","",IFERROR(INDEX(Ingredients!$W$5:$W$304,MATCH(D146,Ingredients!$B$5:$B$304,0)),"Add to Ingredients"))</f>
        <v>0</v>
      </c>
      <c r="W146" s="17">
        <f>IF(D146="","",IFERROR(INDEX(Ingredients!$C$5:$C$304,MATCH(D146,Ingredients!$B$5:$B$304,0)),"Add to Ingredients"))</f>
        <v>0</v>
      </c>
      <c r="X146" s="45">
        <f>IFERROR(INDEX(Recipes!$AT$5:$AT$204,MATCH(B146,Recipes!$A$5:$A$204,0)),0)</f>
        <v>0</v>
      </c>
      <c r="Y146" s="45">
        <f>IF(OR(J146="",X146=0),"",J146*X146)</f>
        <v>0</v>
      </c>
      <c r="Z146" s="17">
        <f>IF(D146="","",B146&amp;"#"&amp;COUNTIFS($B$5:B146,B146))</f>
        <v>0</v>
      </c>
      <c r="AA146" s="17">
        <f>IF(D146="","",B146&amp;"|"&amp;D146)</f>
        <v>0</v>
      </c>
      <c r="AB146" s="31">
        <f>IF(D146="","",IF(B146="","Add - which recipe?",IF(COUNTIFS(Ingredients!$B$5:$B$304,D146)=0,"Missing - not in the Ingredients tab",IF(E146="","Add - no quantity",IF(F146="","Add - no unit",IF(K146&lt;&gt;L146,"Check - recipe in "&amp;K146&amp;", priced in "&amp;L146,IF(COUNTIFS($AA$5:$AA$1204,AA146)&gt;1,"Duplicate - same ingredient twice","OK")))))))</f>
        <v>0</v>
      </c>
    </row>
    <row r="147" spans="1:28">
      <c r="A147" s="39">
        <f>IF(D147="","","RL-"&amp;TEXT(ROW()-4,"0000"))</f>
        <v>0</v>
      </c>
      <c r="C147" s="17">
        <f>IF(B147="","",IFERROR(INDEX(Recipes!$B$5:$B$204,MATCH(B147,Recipes!$A$5:$A$204,0)),"Not found"))</f>
        <v>0</v>
      </c>
      <c r="J147" s="45">
        <f>IF(E147="","",IFERROR(E147*INDEX(UnitFactors,MATCH(F147,UnitNames,0)),""))</f>
        <v>0</v>
      </c>
      <c r="K147" s="17">
        <f>IF(F147="","",IFERROR(INDEX(UnitBases,MATCH(F147,UnitNames,0)),"?"))</f>
        <v>0</v>
      </c>
      <c r="L147" s="17">
        <f>IF(D147="","",IFERROR(INDEX(Ingredients!$G$5:$G$304,MATCH(D147,Ingredients!$B$5:$B$304,0)),"Add to Ingredients"))</f>
        <v>0</v>
      </c>
      <c r="M147" s="25">
        <f>IF(D147="","",IFERROR(INDEX(Ingredients!$J$5:$J$304,MATCH(D147,Ingredients!$B$5:$B$304,0)),"Add to Ingredients"))</f>
        <v>0</v>
      </c>
      <c r="N147" s="25">
        <f>IF(OR(J147="",M147="",NOT(ISNUMBER(M147))),"",IF(K147&lt;&gt;L147,"",J147*M147))</f>
        <v>0</v>
      </c>
      <c r="O147" s="25">
        <f>IF(N147="","",IFERROR(N147/INDEX(Recipes!$G$5:$G$204,MATCH(B147,Recipes!$A$5:$A$204,0)),""))</f>
        <v>0</v>
      </c>
      <c r="P147" s="30">
        <f>IF(J147="","",IF(K147="each",J147,J147/100))</f>
        <v>0</v>
      </c>
      <c r="Q147" s="30">
        <f>IFERROR(IF(P147="","",P147*INDEX(Ingredients!$P$5:$P$304,MATCH(D147,Ingredients!$B$5:$B$304,0))),"")</f>
        <v>0</v>
      </c>
      <c r="R147" s="45">
        <f>IFERROR(IF(P147="","",P147*INDEX(Ingredients!$Q$5:$Q$304,MATCH(D147,Ingredients!$B$5:$B$304,0))),"")</f>
        <v>0</v>
      </c>
      <c r="S147" s="45">
        <f>IFERROR(IF(P147="","",P147*INDEX(Ingredients!$R$5:$R$304,MATCH(D147,Ingredients!$B$5:$B$304,0))),"")</f>
        <v>0</v>
      </c>
      <c r="T147" s="45">
        <f>IFERROR(IF(P147="","",P147*INDEX(Ingredients!$S$5:$S$304,MATCH(D147,Ingredients!$B$5:$B$304,0))),"")</f>
        <v>0</v>
      </c>
      <c r="U147" s="45">
        <f>IFERROR(IF(P147="","",P147*INDEX(Ingredients!$T$5:$T$304,MATCH(D147,Ingredients!$B$5:$B$304,0))),"")</f>
        <v>0</v>
      </c>
      <c r="V147" s="17">
        <f>IF(D147="","",IFERROR(INDEX(Ingredients!$W$5:$W$304,MATCH(D147,Ingredients!$B$5:$B$304,0)),"Add to Ingredients"))</f>
        <v>0</v>
      </c>
      <c r="W147" s="17">
        <f>IF(D147="","",IFERROR(INDEX(Ingredients!$C$5:$C$304,MATCH(D147,Ingredients!$B$5:$B$304,0)),"Add to Ingredients"))</f>
        <v>0</v>
      </c>
      <c r="X147" s="45">
        <f>IFERROR(INDEX(Recipes!$AT$5:$AT$204,MATCH(B147,Recipes!$A$5:$A$204,0)),0)</f>
        <v>0</v>
      </c>
      <c r="Y147" s="45">
        <f>IF(OR(J147="",X147=0),"",J147*X147)</f>
        <v>0</v>
      </c>
      <c r="Z147" s="17">
        <f>IF(D147="","",B147&amp;"#"&amp;COUNTIFS($B$5:B147,B147))</f>
        <v>0</v>
      </c>
      <c r="AA147" s="17">
        <f>IF(D147="","",B147&amp;"|"&amp;D147)</f>
        <v>0</v>
      </c>
      <c r="AB147" s="31">
        <f>IF(D147="","",IF(B147="","Add - which recipe?",IF(COUNTIFS(Ingredients!$B$5:$B$304,D147)=0,"Missing - not in the Ingredients tab",IF(E147="","Add - no quantity",IF(F147="","Add - no unit",IF(K147&lt;&gt;L147,"Check - recipe in "&amp;K147&amp;", priced in "&amp;L147,IF(COUNTIFS($AA$5:$AA$1204,AA147)&gt;1,"Duplicate - same ingredient twice","OK")))))))</f>
        <v>0</v>
      </c>
    </row>
    <row r="148" spans="1:28">
      <c r="A148" s="39">
        <f>IF(D148="","","RL-"&amp;TEXT(ROW()-4,"0000"))</f>
        <v>0</v>
      </c>
      <c r="C148" s="17">
        <f>IF(B148="","",IFERROR(INDEX(Recipes!$B$5:$B$204,MATCH(B148,Recipes!$A$5:$A$204,0)),"Not found"))</f>
        <v>0</v>
      </c>
      <c r="J148" s="45">
        <f>IF(E148="","",IFERROR(E148*INDEX(UnitFactors,MATCH(F148,UnitNames,0)),""))</f>
        <v>0</v>
      </c>
      <c r="K148" s="17">
        <f>IF(F148="","",IFERROR(INDEX(UnitBases,MATCH(F148,UnitNames,0)),"?"))</f>
        <v>0</v>
      </c>
      <c r="L148" s="17">
        <f>IF(D148="","",IFERROR(INDEX(Ingredients!$G$5:$G$304,MATCH(D148,Ingredients!$B$5:$B$304,0)),"Add to Ingredients"))</f>
        <v>0</v>
      </c>
      <c r="M148" s="25">
        <f>IF(D148="","",IFERROR(INDEX(Ingredients!$J$5:$J$304,MATCH(D148,Ingredients!$B$5:$B$304,0)),"Add to Ingredients"))</f>
        <v>0</v>
      </c>
      <c r="N148" s="25">
        <f>IF(OR(J148="",M148="",NOT(ISNUMBER(M148))),"",IF(K148&lt;&gt;L148,"",J148*M148))</f>
        <v>0</v>
      </c>
      <c r="O148" s="25">
        <f>IF(N148="","",IFERROR(N148/INDEX(Recipes!$G$5:$G$204,MATCH(B148,Recipes!$A$5:$A$204,0)),""))</f>
        <v>0</v>
      </c>
      <c r="P148" s="30">
        <f>IF(J148="","",IF(K148="each",J148,J148/100))</f>
        <v>0</v>
      </c>
      <c r="Q148" s="30">
        <f>IFERROR(IF(P148="","",P148*INDEX(Ingredients!$P$5:$P$304,MATCH(D148,Ingredients!$B$5:$B$304,0))),"")</f>
        <v>0</v>
      </c>
      <c r="R148" s="45">
        <f>IFERROR(IF(P148="","",P148*INDEX(Ingredients!$Q$5:$Q$304,MATCH(D148,Ingredients!$B$5:$B$304,0))),"")</f>
        <v>0</v>
      </c>
      <c r="S148" s="45">
        <f>IFERROR(IF(P148="","",P148*INDEX(Ingredients!$R$5:$R$304,MATCH(D148,Ingredients!$B$5:$B$304,0))),"")</f>
        <v>0</v>
      </c>
      <c r="T148" s="45">
        <f>IFERROR(IF(P148="","",P148*INDEX(Ingredients!$S$5:$S$304,MATCH(D148,Ingredients!$B$5:$B$304,0))),"")</f>
        <v>0</v>
      </c>
      <c r="U148" s="45">
        <f>IFERROR(IF(P148="","",P148*INDEX(Ingredients!$T$5:$T$304,MATCH(D148,Ingredients!$B$5:$B$304,0))),"")</f>
        <v>0</v>
      </c>
      <c r="V148" s="17">
        <f>IF(D148="","",IFERROR(INDEX(Ingredients!$W$5:$W$304,MATCH(D148,Ingredients!$B$5:$B$304,0)),"Add to Ingredients"))</f>
        <v>0</v>
      </c>
      <c r="W148" s="17">
        <f>IF(D148="","",IFERROR(INDEX(Ingredients!$C$5:$C$304,MATCH(D148,Ingredients!$B$5:$B$304,0)),"Add to Ingredients"))</f>
        <v>0</v>
      </c>
      <c r="X148" s="45">
        <f>IFERROR(INDEX(Recipes!$AT$5:$AT$204,MATCH(B148,Recipes!$A$5:$A$204,0)),0)</f>
        <v>0</v>
      </c>
      <c r="Y148" s="45">
        <f>IF(OR(J148="",X148=0),"",J148*X148)</f>
        <v>0</v>
      </c>
      <c r="Z148" s="17">
        <f>IF(D148="","",B148&amp;"#"&amp;COUNTIFS($B$5:B148,B148))</f>
        <v>0</v>
      </c>
      <c r="AA148" s="17">
        <f>IF(D148="","",B148&amp;"|"&amp;D148)</f>
        <v>0</v>
      </c>
      <c r="AB148" s="31">
        <f>IF(D148="","",IF(B148="","Add - which recipe?",IF(COUNTIFS(Ingredients!$B$5:$B$304,D148)=0,"Missing - not in the Ingredients tab",IF(E148="","Add - no quantity",IF(F148="","Add - no unit",IF(K148&lt;&gt;L148,"Check - recipe in "&amp;K148&amp;", priced in "&amp;L148,IF(COUNTIFS($AA$5:$AA$1204,AA148)&gt;1,"Duplicate - same ingredient twice","OK")))))))</f>
        <v>0</v>
      </c>
    </row>
    <row r="149" spans="1:28">
      <c r="A149" s="39">
        <f>IF(D149="","","RL-"&amp;TEXT(ROW()-4,"0000"))</f>
        <v>0</v>
      </c>
      <c r="C149" s="17">
        <f>IF(B149="","",IFERROR(INDEX(Recipes!$B$5:$B$204,MATCH(B149,Recipes!$A$5:$A$204,0)),"Not found"))</f>
        <v>0</v>
      </c>
      <c r="J149" s="45">
        <f>IF(E149="","",IFERROR(E149*INDEX(UnitFactors,MATCH(F149,UnitNames,0)),""))</f>
        <v>0</v>
      </c>
      <c r="K149" s="17">
        <f>IF(F149="","",IFERROR(INDEX(UnitBases,MATCH(F149,UnitNames,0)),"?"))</f>
        <v>0</v>
      </c>
      <c r="L149" s="17">
        <f>IF(D149="","",IFERROR(INDEX(Ingredients!$G$5:$G$304,MATCH(D149,Ingredients!$B$5:$B$304,0)),"Add to Ingredients"))</f>
        <v>0</v>
      </c>
      <c r="M149" s="25">
        <f>IF(D149="","",IFERROR(INDEX(Ingredients!$J$5:$J$304,MATCH(D149,Ingredients!$B$5:$B$304,0)),"Add to Ingredients"))</f>
        <v>0</v>
      </c>
      <c r="N149" s="25">
        <f>IF(OR(J149="",M149="",NOT(ISNUMBER(M149))),"",IF(K149&lt;&gt;L149,"",J149*M149))</f>
        <v>0</v>
      </c>
      <c r="O149" s="25">
        <f>IF(N149="","",IFERROR(N149/INDEX(Recipes!$G$5:$G$204,MATCH(B149,Recipes!$A$5:$A$204,0)),""))</f>
        <v>0</v>
      </c>
      <c r="P149" s="30">
        <f>IF(J149="","",IF(K149="each",J149,J149/100))</f>
        <v>0</v>
      </c>
      <c r="Q149" s="30">
        <f>IFERROR(IF(P149="","",P149*INDEX(Ingredients!$P$5:$P$304,MATCH(D149,Ingredients!$B$5:$B$304,0))),"")</f>
        <v>0</v>
      </c>
      <c r="R149" s="45">
        <f>IFERROR(IF(P149="","",P149*INDEX(Ingredients!$Q$5:$Q$304,MATCH(D149,Ingredients!$B$5:$B$304,0))),"")</f>
        <v>0</v>
      </c>
      <c r="S149" s="45">
        <f>IFERROR(IF(P149="","",P149*INDEX(Ingredients!$R$5:$R$304,MATCH(D149,Ingredients!$B$5:$B$304,0))),"")</f>
        <v>0</v>
      </c>
      <c r="T149" s="45">
        <f>IFERROR(IF(P149="","",P149*INDEX(Ingredients!$S$5:$S$304,MATCH(D149,Ingredients!$B$5:$B$304,0))),"")</f>
        <v>0</v>
      </c>
      <c r="U149" s="45">
        <f>IFERROR(IF(P149="","",P149*INDEX(Ingredients!$T$5:$T$304,MATCH(D149,Ingredients!$B$5:$B$304,0))),"")</f>
        <v>0</v>
      </c>
      <c r="V149" s="17">
        <f>IF(D149="","",IFERROR(INDEX(Ingredients!$W$5:$W$304,MATCH(D149,Ingredients!$B$5:$B$304,0)),"Add to Ingredients"))</f>
        <v>0</v>
      </c>
      <c r="W149" s="17">
        <f>IF(D149="","",IFERROR(INDEX(Ingredients!$C$5:$C$304,MATCH(D149,Ingredients!$B$5:$B$304,0)),"Add to Ingredients"))</f>
        <v>0</v>
      </c>
      <c r="X149" s="45">
        <f>IFERROR(INDEX(Recipes!$AT$5:$AT$204,MATCH(B149,Recipes!$A$5:$A$204,0)),0)</f>
        <v>0</v>
      </c>
      <c r="Y149" s="45">
        <f>IF(OR(J149="",X149=0),"",J149*X149)</f>
        <v>0</v>
      </c>
      <c r="Z149" s="17">
        <f>IF(D149="","",B149&amp;"#"&amp;COUNTIFS($B$5:B149,B149))</f>
        <v>0</v>
      </c>
      <c r="AA149" s="17">
        <f>IF(D149="","",B149&amp;"|"&amp;D149)</f>
        <v>0</v>
      </c>
      <c r="AB149" s="31">
        <f>IF(D149="","",IF(B149="","Add - which recipe?",IF(COUNTIFS(Ingredients!$B$5:$B$304,D149)=0,"Missing - not in the Ingredients tab",IF(E149="","Add - no quantity",IF(F149="","Add - no unit",IF(K149&lt;&gt;L149,"Check - recipe in "&amp;K149&amp;", priced in "&amp;L149,IF(COUNTIFS($AA$5:$AA$1204,AA149)&gt;1,"Duplicate - same ingredient twice","OK")))))))</f>
        <v>0</v>
      </c>
    </row>
    <row r="150" spans="1:28">
      <c r="A150" s="39">
        <f>IF(D150="","","RL-"&amp;TEXT(ROW()-4,"0000"))</f>
        <v>0</v>
      </c>
      <c r="C150" s="17">
        <f>IF(B150="","",IFERROR(INDEX(Recipes!$B$5:$B$204,MATCH(B150,Recipes!$A$5:$A$204,0)),"Not found"))</f>
        <v>0</v>
      </c>
      <c r="J150" s="45">
        <f>IF(E150="","",IFERROR(E150*INDEX(UnitFactors,MATCH(F150,UnitNames,0)),""))</f>
        <v>0</v>
      </c>
      <c r="K150" s="17">
        <f>IF(F150="","",IFERROR(INDEX(UnitBases,MATCH(F150,UnitNames,0)),"?"))</f>
        <v>0</v>
      </c>
      <c r="L150" s="17">
        <f>IF(D150="","",IFERROR(INDEX(Ingredients!$G$5:$G$304,MATCH(D150,Ingredients!$B$5:$B$304,0)),"Add to Ingredients"))</f>
        <v>0</v>
      </c>
      <c r="M150" s="25">
        <f>IF(D150="","",IFERROR(INDEX(Ingredients!$J$5:$J$304,MATCH(D150,Ingredients!$B$5:$B$304,0)),"Add to Ingredients"))</f>
        <v>0</v>
      </c>
      <c r="N150" s="25">
        <f>IF(OR(J150="",M150="",NOT(ISNUMBER(M150))),"",IF(K150&lt;&gt;L150,"",J150*M150))</f>
        <v>0</v>
      </c>
      <c r="O150" s="25">
        <f>IF(N150="","",IFERROR(N150/INDEX(Recipes!$G$5:$G$204,MATCH(B150,Recipes!$A$5:$A$204,0)),""))</f>
        <v>0</v>
      </c>
      <c r="P150" s="30">
        <f>IF(J150="","",IF(K150="each",J150,J150/100))</f>
        <v>0</v>
      </c>
      <c r="Q150" s="30">
        <f>IFERROR(IF(P150="","",P150*INDEX(Ingredients!$P$5:$P$304,MATCH(D150,Ingredients!$B$5:$B$304,0))),"")</f>
        <v>0</v>
      </c>
      <c r="R150" s="45">
        <f>IFERROR(IF(P150="","",P150*INDEX(Ingredients!$Q$5:$Q$304,MATCH(D150,Ingredients!$B$5:$B$304,0))),"")</f>
        <v>0</v>
      </c>
      <c r="S150" s="45">
        <f>IFERROR(IF(P150="","",P150*INDEX(Ingredients!$R$5:$R$304,MATCH(D150,Ingredients!$B$5:$B$304,0))),"")</f>
        <v>0</v>
      </c>
      <c r="T150" s="45">
        <f>IFERROR(IF(P150="","",P150*INDEX(Ingredients!$S$5:$S$304,MATCH(D150,Ingredients!$B$5:$B$304,0))),"")</f>
        <v>0</v>
      </c>
      <c r="U150" s="45">
        <f>IFERROR(IF(P150="","",P150*INDEX(Ingredients!$T$5:$T$304,MATCH(D150,Ingredients!$B$5:$B$304,0))),"")</f>
        <v>0</v>
      </c>
      <c r="V150" s="17">
        <f>IF(D150="","",IFERROR(INDEX(Ingredients!$W$5:$W$304,MATCH(D150,Ingredients!$B$5:$B$304,0)),"Add to Ingredients"))</f>
        <v>0</v>
      </c>
      <c r="W150" s="17">
        <f>IF(D150="","",IFERROR(INDEX(Ingredients!$C$5:$C$304,MATCH(D150,Ingredients!$B$5:$B$304,0)),"Add to Ingredients"))</f>
        <v>0</v>
      </c>
      <c r="X150" s="45">
        <f>IFERROR(INDEX(Recipes!$AT$5:$AT$204,MATCH(B150,Recipes!$A$5:$A$204,0)),0)</f>
        <v>0</v>
      </c>
      <c r="Y150" s="45">
        <f>IF(OR(J150="",X150=0),"",J150*X150)</f>
        <v>0</v>
      </c>
      <c r="Z150" s="17">
        <f>IF(D150="","",B150&amp;"#"&amp;COUNTIFS($B$5:B150,B150))</f>
        <v>0</v>
      </c>
      <c r="AA150" s="17">
        <f>IF(D150="","",B150&amp;"|"&amp;D150)</f>
        <v>0</v>
      </c>
      <c r="AB150" s="31">
        <f>IF(D150="","",IF(B150="","Add - which recipe?",IF(COUNTIFS(Ingredients!$B$5:$B$304,D150)=0,"Missing - not in the Ingredients tab",IF(E150="","Add - no quantity",IF(F150="","Add - no unit",IF(K150&lt;&gt;L150,"Check - recipe in "&amp;K150&amp;", priced in "&amp;L150,IF(COUNTIFS($AA$5:$AA$1204,AA150)&gt;1,"Duplicate - same ingredient twice","OK")))))))</f>
        <v>0</v>
      </c>
    </row>
    <row r="151" spans="1:28">
      <c r="A151" s="39">
        <f>IF(D151="","","RL-"&amp;TEXT(ROW()-4,"0000"))</f>
        <v>0</v>
      </c>
      <c r="C151" s="17">
        <f>IF(B151="","",IFERROR(INDEX(Recipes!$B$5:$B$204,MATCH(B151,Recipes!$A$5:$A$204,0)),"Not found"))</f>
        <v>0</v>
      </c>
      <c r="J151" s="45">
        <f>IF(E151="","",IFERROR(E151*INDEX(UnitFactors,MATCH(F151,UnitNames,0)),""))</f>
        <v>0</v>
      </c>
      <c r="K151" s="17">
        <f>IF(F151="","",IFERROR(INDEX(UnitBases,MATCH(F151,UnitNames,0)),"?"))</f>
        <v>0</v>
      </c>
      <c r="L151" s="17">
        <f>IF(D151="","",IFERROR(INDEX(Ingredients!$G$5:$G$304,MATCH(D151,Ingredients!$B$5:$B$304,0)),"Add to Ingredients"))</f>
        <v>0</v>
      </c>
      <c r="M151" s="25">
        <f>IF(D151="","",IFERROR(INDEX(Ingredients!$J$5:$J$304,MATCH(D151,Ingredients!$B$5:$B$304,0)),"Add to Ingredients"))</f>
        <v>0</v>
      </c>
      <c r="N151" s="25">
        <f>IF(OR(J151="",M151="",NOT(ISNUMBER(M151))),"",IF(K151&lt;&gt;L151,"",J151*M151))</f>
        <v>0</v>
      </c>
      <c r="O151" s="25">
        <f>IF(N151="","",IFERROR(N151/INDEX(Recipes!$G$5:$G$204,MATCH(B151,Recipes!$A$5:$A$204,0)),""))</f>
        <v>0</v>
      </c>
      <c r="P151" s="30">
        <f>IF(J151="","",IF(K151="each",J151,J151/100))</f>
        <v>0</v>
      </c>
      <c r="Q151" s="30">
        <f>IFERROR(IF(P151="","",P151*INDEX(Ingredients!$P$5:$P$304,MATCH(D151,Ingredients!$B$5:$B$304,0))),"")</f>
        <v>0</v>
      </c>
      <c r="R151" s="45">
        <f>IFERROR(IF(P151="","",P151*INDEX(Ingredients!$Q$5:$Q$304,MATCH(D151,Ingredients!$B$5:$B$304,0))),"")</f>
        <v>0</v>
      </c>
      <c r="S151" s="45">
        <f>IFERROR(IF(P151="","",P151*INDEX(Ingredients!$R$5:$R$304,MATCH(D151,Ingredients!$B$5:$B$304,0))),"")</f>
        <v>0</v>
      </c>
      <c r="T151" s="45">
        <f>IFERROR(IF(P151="","",P151*INDEX(Ingredients!$S$5:$S$304,MATCH(D151,Ingredients!$B$5:$B$304,0))),"")</f>
        <v>0</v>
      </c>
      <c r="U151" s="45">
        <f>IFERROR(IF(P151="","",P151*INDEX(Ingredients!$T$5:$T$304,MATCH(D151,Ingredients!$B$5:$B$304,0))),"")</f>
        <v>0</v>
      </c>
      <c r="V151" s="17">
        <f>IF(D151="","",IFERROR(INDEX(Ingredients!$W$5:$W$304,MATCH(D151,Ingredients!$B$5:$B$304,0)),"Add to Ingredients"))</f>
        <v>0</v>
      </c>
      <c r="W151" s="17">
        <f>IF(D151="","",IFERROR(INDEX(Ingredients!$C$5:$C$304,MATCH(D151,Ingredients!$B$5:$B$304,0)),"Add to Ingredients"))</f>
        <v>0</v>
      </c>
      <c r="X151" s="45">
        <f>IFERROR(INDEX(Recipes!$AT$5:$AT$204,MATCH(B151,Recipes!$A$5:$A$204,0)),0)</f>
        <v>0</v>
      </c>
      <c r="Y151" s="45">
        <f>IF(OR(J151="",X151=0),"",J151*X151)</f>
        <v>0</v>
      </c>
      <c r="Z151" s="17">
        <f>IF(D151="","",B151&amp;"#"&amp;COUNTIFS($B$5:B151,B151))</f>
        <v>0</v>
      </c>
      <c r="AA151" s="17">
        <f>IF(D151="","",B151&amp;"|"&amp;D151)</f>
        <v>0</v>
      </c>
      <c r="AB151" s="31">
        <f>IF(D151="","",IF(B151="","Add - which recipe?",IF(COUNTIFS(Ingredients!$B$5:$B$304,D151)=0,"Missing - not in the Ingredients tab",IF(E151="","Add - no quantity",IF(F151="","Add - no unit",IF(K151&lt;&gt;L151,"Check - recipe in "&amp;K151&amp;", priced in "&amp;L151,IF(COUNTIFS($AA$5:$AA$1204,AA151)&gt;1,"Duplicate - same ingredient twice","OK")))))))</f>
        <v>0</v>
      </c>
    </row>
    <row r="152" spans="1:28">
      <c r="A152" s="39">
        <f>IF(D152="","","RL-"&amp;TEXT(ROW()-4,"0000"))</f>
        <v>0</v>
      </c>
      <c r="C152" s="17">
        <f>IF(B152="","",IFERROR(INDEX(Recipes!$B$5:$B$204,MATCH(B152,Recipes!$A$5:$A$204,0)),"Not found"))</f>
        <v>0</v>
      </c>
      <c r="J152" s="45">
        <f>IF(E152="","",IFERROR(E152*INDEX(UnitFactors,MATCH(F152,UnitNames,0)),""))</f>
        <v>0</v>
      </c>
      <c r="K152" s="17">
        <f>IF(F152="","",IFERROR(INDEX(UnitBases,MATCH(F152,UnitNames,0)),"?"))</f>
        <v>0</v>
      </c>
      <c r="L152" s="17">
        <f>IF(D152="","",IFERROR(INDEX(Ingredients!$G$5:$G$304,MATCH(D152,Ingredients!$B$5:$B$304,0)),"Add to Ingredients"))</f>
        <v>0</v>
      </c>
      <c r="M152" s="25">
        <f>IF(D152="","",IFERROR(INDEX(Ingredients!$J$5:$J$304,MATCH(D152,Ingredients!$B$5:$B$304,0)),"Add to Ingredients"))</f>
        <v>0</v>
      </c>
      <c r="N152" s="25">
        <f>IF(OR(J152="",M152="",NOT(ISNUMBER(M152))),"",IF(K152&lt;&gt;L152,"",J152*M152))</f>
        <v>0</v>
      </c>
      <c r="O152" s="25">
        <f>IF(N152="","",IFERROR(N152/INDEX(Recipes!$G$5:$G$204,MATCH(B152,Recipes!$A$5:$A$204,0)),""))</f>
        <v>0</v>
      </c>
      <c r="P152" s="30">
        <f>IF(J152="","",IF(K152="each",J152,J152/100))</f>
        <v>0</v>
      </c>
      <c r="Q152" s="30">
        <f>IFERROR(IF(P152="","",P152*INDEX(Ingredients!$P$5:$P$304,MATCH(D152,Ingredients!$B$5:$B$304,0))),"")</f>
        <v>0</v>
      </c>
      <c r="R152" s="45">
        <f>IFERROR(IF(P152="","",P152*INDEX(Ingredients!$Q$5:$Q$304,MATCH(D152,Ingredients!$B$5:$B$304,0))),"")</f>
        <v>0</v>
      </c>
      <c r="S152" s="45">
        <f>IFERROR(IF(P152="","",P152*INDEX(Ingredients!$R$5:$R$304,MATCH(D152,Ingredients!$B$5:$B$304,0))),"")</f>
        <v>0</v>
      </c>
      <c r="T152" s="45">
        <f>IFERROR(IF(P152="","",P152*INDEX(Ingredients!$S$5:$S$304,MATCH(D152,Ingredients!$B$5:$B$304,0))),"")</f>
        <v>0</v>
      </c>
      <c r="U152" s="45">
        <f>IFERROR(IF(P152="","",P152*INDEX(Ingredients!$T$5:$T$304,MATCH(D152,Ingredients!$B$5:$B$304,0))),"")</f>
        <v>0</v>
      </c>
      <c r="V152" s="17">
        <f>IF(D152="","",IFERROR(INDEX(Ingredients!$W$5:$W$304,MATCH(D152,Ingredients!$B$5:$B$304,0)),"Add to Ingredients"))</f>
        <v>0</v>
      </c>
      <c r="W152" s="17">
        <f>IF(D152="","",IFERROR(INDEX(Ingredients!$C$5:$C$304,MATCH(D152,Ingredients!$B$5:$B$304,0)),"Add to Ingredients"))</f>
        <v>0</v>
      </c>
      <c r="X152" s="45">
        <f>IFERROR(INDEX(Recipes!$AT$5:$AT$204,MATCH(B152,Recipes!$A$5:$A$204,0)),0)</f>
        <v>0</v>
      </c>
      <c r="Y152" s="45">
        <f>IF(OR(J152="",X152=0),"",J152*X152)</f>
        <v>0</v>
      </c>
      <c r="Z152" s="17">
        <f>IF(D152="","",B152&amp;"#"&amp;COUNTIFS($B$5:B152,B152))</f>
        <v>0</v>
      </c>
      <c r="AA152" s="17">
        <f>IF(D152="","",B152&amp;"|"&amp;D152)</f>
        <v>0</v>
      </c>
      <c r="AB152" s="31">
        <f>IF(D152="","",IF(B152="","Add - which recipe?",IF(COUNTIFS(Ingredients!$B$5:$B$304,D152)=0,"Missing - not in the Ingredients tab",IF(E152="","Add - no quantity",IF(F152="","Add - no unit",IF(K152&lt;&gt;L152,"Check - recipe in "&amp;K152&amp;", priced in "&amp;L152,IF(COUNTIFS($AA$5:$AA$1204,AA152)&gt;1,"Duplicate - same ingredient twice","OK")))))))</f>
        <v>0</v>
      </c>
    </row>
    <row r="153" spans="1:28">
      <c r="A153" s="39">
        <f>IF(D153="","","RL-"&amp;TEXT(ROW()-4,"0000"))</f>
        <v>0</v>
      </c>
      <c r="C153" s="17">
        <f>IF(B153="","",IFERROR(INDEX(Recipes!$B$5:$B$204,MATCH(B153,Recipes!$A$5:$A$204,0)),"Not found"))</f>
        <v>0</v>
      </c>
      <c r="J153" s="45">
        <f>IF(E153="","",IFERROR(E153*INDEX(UnitFactors,MATCH(F153,UnitNames,0)),""))</f>
        <v>0</v>
      </c>
      <c r="K153" s="17">
        <f>IF(F153="","",IFERROR(INDEX(UnitBases,MATCH(F153,UnitNames,0)),"?"))</f>
        <v>0</v>
      </c>
      <c r="L153" s="17">
        <f>IF(D153="","",IFERROR(INDEX(Ingredients!$G$5:$G$304,MATCH(D153,Ingredients!$B$5:$B$304,0)),"Add to Ingredients"))</f>
        <v>0</v>
      </c>
      <c r="M153" s="25">
        <f>IF(D153="","",IFERROR(INDEX(Ingredients!$J$5:$J$304,MATCH(D153,Ingredients!$B$5:$B$304,0)),"Add to Ingredients"))</f>
        <v>0</v>
      </c>
      <c r="N153" s="25">
        <f>IF(OR(J153="",M153="",NOT(ISNUMBER(M153))),"",IF(K153&lt;&gt;L153,"",J153*M153))</f>
        <v>0</v>
      </c>
      <c r="O153" s="25">
        <f>IF(N153="","",IFERROR(N153/INDEX(Recipes!$G$5:$G$204,MATCH(B153,Recipes!$A$5:$A$204,0)),""))</f>
        <v>0</v>
      </c>
      <c r="P153" s="30">
        <f>IF(J153="","",IF(K153="each",J153,J153/100))</f>
        <v>0</v>
      </c>
      <c r="Q153" s="30">
        <f>IFERROR(IF(P153="","",P153*INDEX(Ingredients!$P$5:$P$304,MATCH(D153,Ingredients!$B$5:$B$304,0))),"")</f>
        <v>0</v>
      </c>
      <c r="R153" s="45">
        <f>IFERROR(IF(P153="","",P153*INDEX(Ingredients!$Q$5:$Q$304,MATCH(D153,Ingredients!$B$5:$B$304,0))),"")</f>
        <v>0</v>
      </c>
      <c r="S153" s="45">
        <f>IFERROR(IF(P153="","",P153*INDEX(Ingredients!$R$5:$R$304,MATCH(D153,Ingredients!$B$5:$B$304,0))),"")</f>
        <v>0</v>
      </c>
      <c r="T153" s="45">
        <f>IFERROR(IF(P153="","",P153*INDEX(Ingredients!$S$5:$S$304,MATCH(D153,Ingredients!$B$5:$B$304,0))),"")</f>
        <v>0</v>
      </c>
      <c r="U153" s="45">
        <f>IFERROR(IF(P153="","",P153*INDEX(Ingredients!$T$5:$T$304,MATCH(D153,Ingredients!$B$5:$B$304,0))),"")</f>
        <v>0</v>
      </c>
      <c r="V153" s="17">
        <f>IF(D153="","",IFERROR(INDEX(Ingredients!$W$5:$W$304,MATCH(D153,Ingredients!$B$5:$B$304,0)),"Add to Ingredients"))</f>
        <v>0</v>
      </c>
      <c r="W153" s="17">
        <f>IF(D153="","",IFERROR(INDEX(Ingredients!$C$5:$C$304,MATCH(D153,Ingredients!$B$5:$B$304,0)),"Add to Ingredients"))</f>
        <v>0</v>
      </c>
      <c r="X153" s="45">
        <f>IFERROR(INDEX(Recipes!$AT$5:$AT$204,MATCH(B153,Recipes!$A$5:$A$204,0)),0)</f>
        <v>0</v>
      </c>
      <c r="Y153" s="45">
        <f>IF(OR(J153="",X153=0),"",J153*X153)</f>
        <v>0</v>
      </c>
      <c r="Z153" s="17">
        <f>IF(D153="","",B153&amp;"#"&amp;COUNTIFS($B$5:B153,B153))</f>
        <v>0</v>
      </c>
      <c r="AA153" s="17">
        <f>IF(D153="","",B153&amp;"|"&amp;D153)</f>
        <v>0</v>
      </c>
      <c r="AB153" s="31">
        <f>IF(D153="","",IF(B153="","Add - which recipe?",IF(COUNTIFS(Ingredients!$B$5:$B$304,D153)=0,"Missing - not in the Ingredients tab",IF(E153="","Add - no quantity",IF(F153="","Add - no unit",IF(K153&lt;&gt;L153,"Check - recipe in "&amp;K153&amp;", priced in "&amp;L153,IF(COUNTIFS($AA$5:$AA$1204,AA153)&gt;1,"Duplicate - same ingredient twice","OK")))))))</f>
        <v>0</v>
      </c>
    </row>
    <row r="154" spans="1:28">
      <c r="A154" s="39">
        <f>IF(D154="","","RL-"&amp;TEXT(ROW()-4,"0000"))</f>
        <v>0</v>
      </c>
      <c r="C154" s="17">
        <f>IF(B154="","",IFERROR(INDEX(Recipes!$B$5:$B$204,MATCH(B154,Recipes!$A$5:$A$204,0)),"Not found"))</f>
        <v>0</v>
      </c>
      <c r="J154" s="45">
        <f>IF(E154="","",IFERROR(E154*INDEX(UnitFactors,MATCH(F154,UnitNames,0)),""))</f>
        <v>0</v>
      </c>
      <c r="K154" s="17">
        <f>IF(F154="","",IFERROR(INDEX(UnitBases,MATCH(F154,UnitNames,0)),"?"))</f>
        <v>0</v>
      </c>
      <c r="L154" s="17">
        <f>IF(D154="","",IFERROR(INDEX(Ingredients!$G$5:$G$304,MATCH(D154,Ingredients!$B$5:$B$304,0)),"Add to Ingredients"))</f>
        <v>0</v>
      </c>
      <c r="M154" s="25">
        <f>IF(D154="","",IFERROR(INDEX(Ingredients!$J$5:$J$304,MATCH(D154,Ingredients!$B$5:$B$304,0)),"Add to Ingredients"))</f>
        <v>0</v>
      </c>
      <c r="N154" s="25">
        <f>IF(OR(J154="",M154="",NOT(ISNUMBER(M154))),"",IF(K154&lt;&gt;L154,"",J154*M154))</f>
        <v>0</v>
      </c>
      <c r="O154" s="25">
        <f>IF(N154="","",IFERROR(N154/INDEX(Recipes!$G$5:$G$204,MATCH(B154,Recipes!$A$5:$A$204,0)),""))</f>
        <v>0</v>
      </c>
      <c r="P154" s="30">
        <f>IF(J154="","",IF(K154="each",J154,J154/100))</f>
        <v>0</v>
      </c>
      <c r="Q154" s="30">
        <f>IFERROR(IF(P154="","",P154*INDEX(Ingredients!$P$5:$P$304,MATCH(D154,Ingredients!$B$5:$B$304,0))),"")</f>
        <v>0</v>
      </c>
      <c r="R154" s="45">
        <f>IFERROR(IF(P154="","",P154*INDEX(Ingredients!$Q$5:$Q$304,MATCH(D154,Ingredients!$B$5:$B$304,0))),"")</f>
        <v>0</v>
      </c>
      <c r="S154" s="45">
        <f>IFERROR(IF(P154="","",P154*INDEX(Ingredients!$R$5:$R$304,MATCH(D154,Ingredients!$B$5:$B$304,0))),"")</f>
        <v>0</v>
      </c>
      <c r="T154" s="45">
        <f>IFERROR(IF(P154="","",P154*INDEX(Ingredients!$S$5:$S$304,MATCH(D154,Ingredients!$B$5:$B$304,0))),"")</f>
        <v>0</v>
      </c>
      <c r="U154" s="45">
        <f>IFERROR(IF(P154="","",P154*INDEX(Ingredients!$T$5:$T$304,MATCH(D154,Ingredients!$B$5:$B$304,0))),"")</f>
        <v>0</v>
      </c>
      <c r="V154" s="17">
        <f>IF(D154="","",IFERROR(INDEX(Ingredients!$W$5:$W$304,MATCH(D154,Ingredients!$B$5:$B$304,0)),"Add to Ingredients"))</f>
        <v>0</v>
      </c>
      <c r="W154" s="17">
        <f>IF(D154="","",IFERROR(INDEX(Ingredients!$C$5:$C$304,MATCH(D154,Ingredients!$B$5:$B$304,0)),"Add to Ingredients"))</f>
        <v>0</v>
      </c>
      <c r="X154" s="45">
        <f>IFERROR(INDEX(Recipes!$AT$5:$AT$204,MATCH(B154,Recipes!$A$5:$A$204,0)),0)</f>
        <v>0</v>
      </c>
      <c r="Y154" s="45">
        <f>IF(OR(J154="",X154=0),"",J154*X154)</f>
        <v>0</v>
      </c>
      <c r="Z154" s="17">
        <f>IF(D154="","",B154&amp;"#"&amp;COUNTIFS($B$5:B154,B154))</f>
        <v>0</v>
      </c>
      <c r="AA154" s="17">
        <f>IF(D154="","",B154&amp;"|"&amp;D154)</f>
        <v>0</v>
      </c>
      <c r="AB154" s="31">
        <f>IF(D154="","",IF(B154="","Add - which recipe?",IF(COUNTIFS(Ingredients!$B$5:$B$304,D154)=0,"Missing - not in the Ingredients tab",IF(E154="","Add - no quantity",IF(F154="","Add - no unit",IF(K154&lt;&gt;L154,"Check - recipe in "&amp;K154&amp;", priced in "&amp;L154,IF(COUNTIFS($AA$5:$AA$1204,AA154)&gt;1,"Duplicate - same ingredient twice","OK")))))))</f>
        <v>0</v>
      </c>
    </row>
    <row r="155" spans="1:28">
      <c r="A155" s="39">
        <f>IF(D155="","","RL-"&amp;TEXT(ROW()-4,"0000"))</f>
        <v>0</v>
      </c>
      <c r="C155" s="17">
        <f>IF(B155="","",IFERROR(INDEX(Recipes!$B$5:$B$204,MATCH(B155,Recipes!$A$5:$A$204,0)),"Not found"))</f>
        <v>0</v>
      </c>
      <c r="J155" s="45">
        <f>IF(E155="","",IFERROR(E155*INDEX(UnitFactors,MATCH(F155,UnitNames,0)),""))</f>
        <v>0</v>
      </c>
      <c r="K155" s="17">
        <f>IF(F155="","",IFERROR(INDEX(UnitBases,MATCH(F155,UnitNames,0)),"?"))</f>
        <v>0</v>
      </c>
      <c r="L155" s="17">
        <f>IF(D155="","",IFERROR(INDEX(Ingredients!$G$5:$G$304,MATCH(D155,Ingredients!$B$5:$B$304,0)),"Add to Ingredients"))</f>
        <v>0</v>
      </c>
      <c r="M155" s="25">
        <f>IF(D155="","",IFERROR(INDEX(Ingredients!$J$5:$J$304,MATCH(D155,Ingredients!$B$5:$B$304,0)),"Add to Ingredients"))</f>
        <v>0</v>
      </c>
      <c r="N155" s="25">
        <f>IF(OR(J155="",M155="",NOT(ISNUMBER(M155))),"",IF(K155&lt;&gt;L155,"",J155*M155))</f>
        <v>0</v>
      </c>
      <c r="O155" s="25">
        <f>IF(N155="","",IFERROR(N155/INDEX(Recipes!$G$5:$G$204,MATCH(B155,Recipes!$A$5:$A$204,0)),""))</f>
        <v>0</v>
      </c>
      <c r="P155" s="30">
        <f>IF(J155="","",IF(K155="each",J155,J155/100))</f>
        <v>0</v>
      </c>
      <c r="Q155" s="30">
        <f>IFERROR(IF(P155="","",P155*INDEX(Ingredients!$P$5:$P$304,MATCH(D155,Ingredients!$B$5:$B$304,0))),"")</f>
        <v>0</v>
      </c>
      <c r="R155" s="45">
        <f>IFERROR(IF(P155="","",P155*INDEX(Ingredients!$Q$5:$Q$304,MATCH(D155,Ingredients!$B$5:$B$304,0))),"")</f>
        <v>0</v>
      </c>
      <c r="S155" s="45">
        <f>IFERROR(IF(P155="","",P155*INDEX(Ingredients!$R$5:$R$304,MATCH(D155,Ingredients!$B$5:$B$304,0))),"")</f>
        <v>0</v>
      </c>
      <c r="T155" s="45">
        <f>IFERROR(IF(P155="","",P155*INDEX(Ingredients!$S$5:$S$304,MATCH(D155,Ingredients!$B$5:$B$304,0))),"")</f>
        <v>0</v>
      </c>
      <c r="U155" s="45">
        <f>IFERROR(IF(P155="","",P155*INDEX(Ingredients!$T$5:$T$304,MATCH(D155,Ingredients!$B$5:$B$304,0))),"")</f>
        <v>0</v>
      </c>
      <c r="V155" s="17">
        <f>IF(D155="","",IFERROR(INDEX(Ingredients!$W$5:$W$304,MATCH(D155,Ingredients!$B$5:$B$304,0)),"Add to Ingredients"))</f>
        <v>0</v>
      </c>
      <c r="W155" s="17">
        <f>IF(D155="","",IFERROR(INDEX(Ingredients!$C$5:$C$304,MATCH(D155,Ingredients!$B$5:$B$304,0)),"Add to Ingredients"))</f>
        <v>0</v>
      </c>
      <c r="X155" s="45">
        <f>IFERROR(INDEX(Recipes!$AT$5:$AT$204,MATCH(B155,Recipes!$A$5:$A$204,0)),0)</f>
        <v>0</v>
      </c>
      <c r="Y155" s="45">
        <f>IF(OR(J155="",X155=0),"",J155*X155)</f>
        <v>0</v>
      </c>
      <c r="Z155" s="17">
        <f>IF(D155="","",B155&amp;"#"&amp;COUNTIFS($B$5:B155,B155))</f>
        <v>0</v>
      </c>
      <c r="AA155" s="17">
        <f>IF(D155="","",B155&amp;"|"&amp;D155)</f>
        <v>0</v>
      </c>
      <c r="AB155" s="31">
        <f>IF(D155="","",IF(B155="","Add - which recipe?",IF(COUNTIFS(Ingredients!$B$5:$B$304,D155)=0,"Missing - not in the Ingredients tab",IF(E155="","Add - no quantity",IF(F155="","Add - no unit",IF(K155&lt;&gt;L155,"Check - recipe in "&amp;K155&amp;", priced in "&amp;L155,IF(COUNTIFS($AA$5:$AA$1204,AA155)&gt;1,"Duplicate - same ingredient twice","OK")))))))</f>
        <v>0</v>
      </c>
    </row>
    <row r="156" spans="1:28">
      <c r="A156" s="39">
        <f>IF(D156="","","RL-"&amp;TEXT(ROW()-4,"0000"))</f>
        <v>0</v>
      </c>
      <c r="C156" s="17">
        <f>IF(B156="","",IFERROR(INDEX(Recipes!$B$5:$B$204,MATCH(B156,Recipes!$A$5:$A$204,0)),"Not found"))</f>
        <v>0</v>
      </c>
      <c r="J156" s="45">
        <f>IF(E156="","",IFERROR(E156*INDEX(UnitFactors,MATCH(F156,UnitNames,0)),""))</f>
        <v>0</v>
      </c>
      <c r="K156" s="17">
        <f>IF(F156="","",IFERROR(INDEX(UnitBases,MATCH(F156,UnitNames,0)),"?"))</f>
        <v>0</v>
      </c>
      <c r="L156" s="17">
        <f>IF(D156="","",IFERROR(INDEX(Ingredients!$G$5:$G$304,MATCH(D156,Ingredients!$B$5:$B$304,0)),"Add to Ingredients"))</f>
        <v>0</v>
      </c>
      <c r="M156" s="25">
        <f>IF(D156="","",IFERROR(INDEX(Ingredients!$J$5:$J$304,MATCH(D156,Ingredients!$B$5:$B$304,0)),"Add to Ingredients"))</f>
        <v>0</v>
      </c>
      <c r="N156" s="25">
        <f>IF(OR(J156="",M156="",NOT(ISNUMBER(M156))),"",IF(K156&lt;&gt;L156,"",J156*M156))</f>
        <v>0</v>
      </c>
      <c r="O156" s="25">
        <f>IF(N156="","",IFERROR(N156/INDEX(Recipes!$G$5:$G$204,MATCH(B156,Recipes!$A$5:$A$204,0)),""))</f>
        <v>0</v>
      </c>
      <c r="P156" s="30">
        <f>IF(J156="","",IF(K156="each",J156,J156/100))</f>
        <v>0</v>
      </c>
      <c r="Q156" s="30">
        <f>IFERROR(IF(P156="","",P156*INDEX(Ingredients!$P$5:$P$304,MATCH(D156,Ingredients!$B$5:$B$304,0))),"")</f>
        <v>0</v>
      </c>
      <c r="R156" s="45">
        <f>IFERROR(IF(P156="","",P156*INDEX(Ingredients!$Q$5:$Q$304,MATCH(D156,Ingredients!$B$5:$B$304,0))),"")</f>
        <v>0</v>
      </c>
      <c r="S156" s="45">
        <f>IFERROR(IF(P156="","",P156*INDEX(Ingredients!$R$5:$R$304,MATCH(D156,Ingredients!$B$5:$B$304,0))),"")</f>
        <v>0</v>
      </c>
      <c r="T156" s="45">
        <f>IFERROR(IF(P156="","",P156*INDEX(Ingredients!$S$5:$S$304,MATCH(D156,Ingredients!$B$5:$B$304,0))),"")</f>
        <v>0</v>
      </c>
      <c r="U156" s="45">
        <f>IFERROR(IF(P156="","",P156*INDEX(Ingredients!$T$5:$T$304,MATCH(D156,Ingredients!$B$5:$B$304,0))),"")</f>
        <v>0</v>
      </c>
      <c r="V156" s="17">
        <f>IF(D156="","",IFERROR(INDEX(Ingredients!$W$5:$W$304,MATCH(D156,Ingredients!$B$5:$B$304,0)),"Add to Ingredients"))</f>
        <v>0</v>
      </c>
      <c r="W156" s="17">
        <f>IF(D156="","",IFERROR(INDEX(Ingredients!$C$5:$C$304,MATCH(D156,Ingredients!$B$5:$B$304,0)),"Add to Ingredients"))</f>
        <v>0</v>
      </c>
      <c r="X156" s="45">
        <f>IFERROR(INDEX(Recipes!$AT$5:$AT$204,MATCH(B156,Recipes!$A$5:$A$204,0)),0)</f>
        <v>0</v>
      </c>
      <c r="Y156" s="45">
        <f>IF(OR(J156="",X156=0),"",J156*X156)</f>
        <v>0</v>
      </c>
      <c r="Z156" s="17">
        <f>IF(D156="","",B156&amp;"#"&amp;COUNTIFS($B$5:B156,B156))</f>
        <v>0</v>
      </c>
      <c r="AA156" s="17">
        <f>IF(D156="","",B156&amp;"|"&amp;D156)</f>
        <v>0</v>
      </c>
      <c r="AB156" s="31">
        <f>IF(D156="","",IF(B156="","Add - which recipe?",IF(COUNTIFS(Ingredients!$B$5:$B$304,D156)=0,"Missing - not in the Ingredients tab",IF(E156="","Add - no quantity",IF(F156="","Add - no unit",IF(K156&lt;&gt;L156,"Check - recipe in "&amp;K156&amp;", priced in "&amp;L156,IF(COUNTIFS($AA$5:$AA$1204,AA156)&gt;1,"Duplicate - same ingredient twice","OK")))))))</f>
        <v>0</v>
      </c>
    </row>
    <row r="157" spans="1:28">
      <c r="A157" s="39">
        <f>IF(D157="","","RL-"&amp;TEXT(ROW()-4,"0000"))</f>
        <v>0</v>
      </c>
      <c r="C157" s="17">
        <f>IF(B157="","",IFERROR(INDEX(Recipes!$B$5:$B$204,MATCH(B157,Recipes!$A$5:$A$204,0)),"Not found"))</f>
        <v>0</v>
      </c>
      <c r="J157" s="45">
        <f>IF(E157="","",IFERROR(E157*INDEX(UnitFactors,MATCH(F157,UnitNames,0)),""))</f>
        <v>0</v>
      </c>
      <c r="K157" s="17">
        <f>IF(F157="","",IFERROR(INDEX(UnitBases,MATCH(F157,UnitNames,0)),"?"))</f>
        <v>0</v>
      </c>
      <c r="L157" s="17">
        <f>IF(D157="","",IFERROR(INDEX(Ingredients!$G$5:$G$304,MATCH(D157,Ingredients!$B$5:$B$304,0)),"Add to Ingredients"))</f>
        <v>0</v>
      </c>
      <c r="M157" s="25">
        <f>IF(D157="","",IFERROR(INDEX(Ingredients!$J$5:$J$304,MATCH(D157,Ingredients!$B$5:$B$304,0)),"Add to Ingredients"))</f>
        <v>0</v>
      </c>
      <c r="N157" s="25">
        <f>IF(OR(J157="",M157="",NOT(ISNUMBER(M157))),"",IF(K157&lt;&gt;L157,"",J157*M157))</f>
        <v>0</v>
      </c>
      <c r="O157" s="25">
        <f>IF(N157="","",IFERROR(N157/INDEX(Recipes!$G$5:$G$204,MATCH(B157,Recipes!$A$5:$A$204,0)),""))</f>
        <v>0</v>
      </c>
      <c r="P157" s="30">
        <f>IF(J157="","",IF(K157="each",J157,J157/100))</f>
        <v>0</v>
      </c>
      <c r="Q157" s="30">
        <f>IFERROR(IF(P157="","",P157*INDEX(Ingredients!$P$5:$P$304,MATCH(D157,Ingredients!$B$5:$B$304,0))),"")</f>
        <v>0</v>
      </c>
      <c r="R157" s="45">
        <f>IFERROR(IF(P157="","",P157*INDEX(Ingredients!$Q$5:$Q$304,MATCH(D157,Ingredients!$B$5:$B$304,0))),"")</f>
        <v>0</v>
      </c>
      <c r="S157" s="45">
        <f>IFERROR(IF(P157="","",P157*INDEX(Ingredients!$R$5:$R$304,MATCH(D157,Ingredients!$B$5:$B$304,0))),"")</f>
        <v>0</v>
      </c>
      <c r="T157" s="45">
        <f>IFERROR(IF(P157="","",P157*INDEX(Ingredients!$S$5:$S$304,MATCH(D157,Ingredients!$B$5:$B$304,0))),"")</f>
        <v>0</v>
      </c>
      <c r="U157" s="45">
        <f>IFERROR(IF(P157="","",P157*INDEX(Ingredients!$T$5:$T$304,MATCH(D157,Ingredients!$B$5:$B$304,0))),"")</f>
        <v>0</v>
      </c>
      <c r="V157" s="17">
        <f>IF(D157="","",IFERROR(INDEX(Ingredients!$W$5:$W$304,MATCH(D157,Ingredients!$B$5:$B$304,0)),"Add to Ingredients"))</f>
        <v>0</v>
      </c>
      <c r="W157" s="17">
        <f>IF(D157="","",IFERROR(INDEX(Ingredients!$C$5:$C$304,MATCH(D157,Ingredients!$B$5:$B$304,0)),"Add to Ingredients"))</f>
        <v>0</v>
      </c>
      <c r="X157" s="45">
        <f>IFERROR(INDEX(Recipes!$AT$5:$AT$204,MATCH(B157,Recipes!$A$5:$A$204,0)),0)</f>
        <v>0</v>
      </c>
      <c r="Y157" s="45">
        <f>IF(OR(J157="",X157=0),"",J157*X157)</f>
        <v>0</v>
      </c>
      <c r="Z157" s="17">
        <f>IF(D157="","",B157&amp;"#"&amp;COUNTIFS($B$5:B157,B157))</f>
        <v>0</v>
      </c>
      <c r="AA157" s="17">
        <f>IF(D157="","",B157&amp;"|"&amp;D157)</f>
        <v>0</v>
      </c>
      <c r="AB157" s="31">
        <f>IF(D157="","",IF(B157="","Add - which recipe?",IF(COUNTIFS(Ingredients!$B$5:$B$304,D157)=0,"Missing - not in the Ingredients tab",IF(E157="","Add - no quantity",IF(F157="","Add - no unit",IF(K157&lt;&gt;L157,"Check - recipe in "&amp;K157&amp;", priced in "&amp;L157,IF(COUNTIFS($AA$5:$AA$1204,AA157)&gt;1,"Duplicate - same ingredient twice","OK")))))))</f>
        <v>0</v>
      </c>
    </row>
    <row r="158" spans="1:28">
      <c r="A158" s="39">
        <f>IF(D158="","","RL-"&amp;TEXT(ROW()-4,"0000"))</f>
        <v>0</v>
      </c>
      <c r="C158" s="17">
        <f>IF(B158="","",IFERROR(INDEX(Recipes!$B$5:$B$204,MATCH(B158,Recipes!$A$5:$A$204,0)),"Not found"))</f>
        <v>0</v>
      </c>
      <c r="J158" s="45">
        <f>IF(E158="","",IFERROR(E158*INDEX(UnitFactors,MATCH(F158,UnitNames,0)),""))</f>
        <v>0</v>
      </c>
      <c r="K158" s="17">
        <f>IF(F158="","",IFERROR(INDEX(UnitBases,MATCH(F158,UnitNames,0)),"?"))</f>
        <v>0</v>
      </c>
      <c r="L158" s="17">
        <f>IF(D158="","",IFERROR(INDEX(Ingredients!$G$5:$G$304,MATCH(D158,Ingredients!$B$5:$B$304,0)),"Add to Ingredients"))</f>
        <v>0</v>
      </c>
      <c r="M158" s="25">
        <f>IF(D158="","",IFERROR(INDEX(Ingredients!$J$5:$J$304,MATCH(D158,Ingredients!$B$5:$B$304,0)),"Add to Ingredients"))</f>
        <v>0</v>
      </c>
      <c r="N158" s="25">
        <f>IF(OR(J158="",M158="",NOT(ISNUMBER(M158))),"",IF(K158&lt;&gt;L158,"",J158*M158))</f>
        <v>0</v>
      </c>
      <c r="O158" s="25">
        <f>IF(N158="","",IFERROR(N158/INDEX(Recipes!$G$5:$G$204,MATCH(B158,Recipes!$A$5:$A$204,0)),""))</f>
        <v>0</v>
      </c>
      <c r="P158" s="30">
        <f>IF(J158="","",IF(K158="each",J158,J158/100))</f>
        <v>0</v>
      </c>
      <c r="Q158" s="30">
        <f>IFERROR(IF(P158="","",P158*INDEX(Ingredients!$P$5:$P$304,MATCH(D158,Ingredients!$B$5:$B$304,0))),"")</f>
        <v>0</v>
      </c>
      <c r="R158" s="45">
        <f>IFERROR(IF(P158="","",P158*INDEX(Ingredients!$Q$5:$Q$304,MATCH(D158,Ingredients!$B$5:$B$304,0))),"")</f>
        <v>0</v>
      </c>
      <c r="S158" s="45">
        <f>IFERROR(IF(P158="","",P158*INDEX(Ingredients!$R$5:$R$304,MATCH(D158,Ingredients!$B$5:$B$304,0))),"")</f>
        <v>0</v>
      </c>
      <c r="T158" s="45">
        <f>IFERROR(IF(P158="","",P158*INDEX(Ingredients!$S$5:$S$304,MATCH(D158,Ingredients!$B$5:$B$304,0))),"")</f>
        <v>0</v>
      </c>
      <c r="U158" s="45">
        <f>IFERROR(IF(P158="","",P158*INDEX(Ingredients!$T$5:$T$304,MATCH(D158,Ingredients!$B$5:$B$304,0))),"")</f>
        <v>0</v>
      </c>
      <c r="V158" s="17">
        <f>IF(D158="","",IFERROR(INDEX(Ingredients!$W$5:$W$304,MATCH(D158,Ingredients!$B$5:$B$304,0)),"Add to Ingredients"))</f>
        <v>0</v>
      </c>
      <c r="W158" s="17">
        <f>IF(D158="","",IFERROR(INDEX(Ingredients!$C$5:$C$304,MATCH(D158,Ingredients!$B$5:$B$304,0)),"Add to Ingredients"))</f>
        <v>0</v>
      </c>
      <c r="X158" s="45">
        <f>IFERROR(INDEX(Recipes!$AT$5:$AT$204,MATCH(B158,Recipes!$A$5:$A$204,0)),0)</f>
        <v>0</v>
      </c>
      <c r="Y158" s="45">
        <f>IF(OR(J158="",X158=0),"",J158*X158)</f>
        <v>0</v>
      </c>
      <c r="Z158" s="17">
        <f>IF(D158="","",B158&amp;"#"&amp;COUNTIFS($B$5:B158,B158))</f>
        <v>0</v>
      </c>
      <c r="AA158" s="17">
        <f>IF(D158="","",B158&amp;"|"&amp;D158)</f>
        <v>0</v>
      </c>
      <c r="AB158" s="31">
        <f>IF(D158="","",IF(B158="","Add - which recipe?",IF(COUNTIFS(Ingredients!$B$5:$B$304,D158)=0,"Missing - not in the Ingredients tab",IF(E158="","Add - no quantity",IF(F158="","Add - no unit",IF(K158&lt;&gt;L158,"Check - recipe in "&amp;K158&amp;", priced in "&amp;L158,IF(COUNTIFS($AA$5:$AA$1204,AA158)&gt;1,"Duplicate - same ingredient twice","OK")))))))</f>
        <v>0</v>
      </c>
    </row>
    <row r="159" spans="1:28">
      <c r="A159" s="39">
        <f>IF(D159="","","RL-"&amp;TEXT(ROW()-4,"0000"))</f>
        <v>0</v>
      </c>
      <c r="C159" s="17">
        <f>IF(B159="","",IFERROR(INDEX(Recipes!$B$5:$B$204,MATCH(B159,Recipes!$A$5:$A$204,0)),"Not found"))</f>
        <v>0</v>
      </c>
      <c r="J159" s="45">
        <f>IF(E159="","",IFERROR(E159*INDEX(UnitFactors,MATCH(F159,UnitNames,0)),""))</f>
        <v>0</v>
      </c>
      <c r="K159" s="17">
        <f>IF(F159="","",IFERROR(INDEX(UnitBases,MATCH(F159,UnitNames,0)),"?"))</f>
        <v>0</v>
      </c>
      <c r="L159" s="17">
        <f>IF(D159="","",IFERROR(INDEX(Ingredients!$G$5:$G$304,MATCH(D159,Ingredients!$B$5:$B$304,0)),"Add to Ingredients"))</f>
        <v>0</v>
      </c>
      <c r="M159" s="25">
        <f>IF(D159="","",IFERROR(INDEX(Ingredients!$J$5:$J$304,MATCH(D159,Ingredients!$B$5:$B$304,0)),"Add to Ingredients"))</f>
        <v>0</v>
      </c>
      <c r="N159" s="25">
        <f>IF(OR(J159="",M159="",NOT(ISNUMBER(M159))),"",IF(K159&lt;&gt;L159,"",J159*M159))</f>
        <v>0</v>
      </c>
      <c r="O159" s="25">
        <f>IF(N159="","",IFERROR(N159/INDEX(Recipes!$G$5:$G$204,MATCH(B159,Recipes!$A$5:$A$204,0)),""))</f>
        <v>0</v>
      </c>
      <c r="P159" s="30">
        <f>IF(J159="","",IF(K159="each",J159,J159/100))</f>
        <v>0</v>
      </c>
      <c r="Q159" s="30">
        <f>IFERROR(IF(P159="","",P159*INDEX(Ingredients!$P$5:$P$304,MATCH(D159,Ingredients!$B$5:$B$304,0))),"")</f>
        <v>0</v>
      </c>
      <c r="R159" s="45">
        <f>IFERROR(IF(P159="","",P159*INDEX(Ingredients!$Q$5:$Q$304,MATCH(D159,Ingredients!$B$5:$B$304,0))),"")</f>
        <v>0</v>
      </c>
      <c r="S159" s="45">
        <f>IFERROR(IF(P159="","",P159*INDEX(Ingredients!$R$5:$R$304,MATCH(D159,Ingredients!$B$5:$B$304,0))),"")</f>
        <v>0</v>
      </c>
      <c r="T159" s="45">
        <f>IFERROR(IF(P159="","",P159*INDEX(Ingredients!$S$5:$S$304,MATCH(D159,Ingredients!$B$5:$B$304,0))),"")</f>
        <v>0</v>
      </c>
      <c r="U159" s="45">
        <f>IFERROR(IF(P159="","",P159*INDEX(Ingredients!$T$5:$T$304,MATCH(D159,Ingredients!$B$5:$B$304,0))),"")</f>
        <v>0</v>
      </c>
      <c r="V159" s="17">
        <f>IF(D159="","",IFERROR(INDEX(Ingredients!$W$5:$W$304,MATCH(D159,Ingredients!$B$5:$B$304,0)),"Add to Ingredients"))</f>
        <v>0</v>
      </c>
      <c r="W159" s="17">
        <f>IF(D159="","",IFERROR(INDEX(Ingredients!$C$5:$C$304,MATCH(D159,Ingredients!$B$5:$B$304,0)),"Add to Ingredients"))</f>
        <v>0</v>
      </c>
      <c r="X159" s="45">
        <f>IFERROR(INDEX(Recipes!$AT$5:$AT$204,MATCH(B159,Recipes!$A$5:$A$204,0)),0)</f>
        <v>0</v>
      </c>
      <c r="Y159" s="45">
        <f>IF(OR(J159="",X159=0),"",J159*X159)</f>
        <v>0</v>
      </c>
      <c r="Z159" s="17">
        <f>IF(D159="","",B159&amp;"#"&amp;COUNTIFS($B$5:B159,B159))</f>
        <v>0</v>
      </c>
      <c r="AA159" s="17">
        <f>IF(D159="","",B159&amp;"|"&amp;D159)</f>
        <v>0</v>
      </c>
      <c r="AB159" s="31">
        <f>IF(D159="","",IF(B159="","Add - which recipe?",IF(COUNTIFS(Ingredients!$B$5:$B$304,D159)=0,"Missing - not in the Ingredients tab",IF(E159="","Add - no quantity",IF(F159="","Add - no unit",IF(K159&lt;&gt;L159,"Check - recipe in "&amp;K159&amp;", priced in "&amp;L159,IF(COUNTIFS($AA$5:$AA$1204,AA159)&gt;1,"Duplicate - same ingredient twice","OK")))))))</f>
        <v>0</v>
      </c>
    </row>
    <row r="160" spans="1:28">
      <c r="A160" s="39">
        <f>IF(D160="","","RL-"&amp;TEXT(ROW()-4,"0000"))</f>
        <v>0</v>
      </c>
      <c r="C160" s="17">
        <f>IF(B160="","",IFERROR(INDEX(Recipes!$B$5:$B$204,MATCH(B160,Recipes!$A$5:$A$204,0)),"Not found"))</f>
        <v>0</v>
      </c>
      <c r="J160" s="45">
        <f>IF(E160="","",IFERROR(E160*INDEX(UnitFactors,MATCH(F160,UnitNames,0)),""))</f>
        <v>0</v>
      </c>
      <c r="K160" s="17">
        <f>IF(F160="","",IFERROR(INDEX(UnitBases,MATCH(F160,UnitNames,0)),"?"))</f>
        <v>0</v>
      </c>
      <c r="L160" s="17">
        <f>IF(D160="","",IFERROR(INDEX(Ingredients!$G$5:$G$304,MATCH(D160,Ingredients!$B$5:$B$304,0)),"Add to Ingredients"))</f>
        <v>0</v>
      </c>
      <c r="M160" s="25">
        <f>IF(D160="","",IFERROR(INDEX(Ingredients!$J$5:$J$304,MATCH(D160,Ingredients!$B$5:$B$304,0)),"Add to Ingredients"))</f>
        <v>0</v>
      </c>
      <c r="N160" s="25">
        <f>IF(OR(J160="",M160="",NOT(ISNUMBER(M160))),"",IF(K160&lt;&gt;L160,"",J160*M160))</f>
        <v>0</v>
      </c>
      <c r="O160" s="25">
        <f>IF(N160="","",IFERROR(N160/INDEX(Recipes!$G$5:$G$204,MATCH(B160,Recipes!$A$5:$A$204,0)),""))</f>
        <v>0</v>
      </c>
      <c r="P160" s="30">
        <f>IF(J160="","",IF(K160="each",J160,J160/100))</f>
        <v>0</v>
      </c>
      <c r="Q160" s="30">
        <f>IFERROR(IF(P160="","",P160*INDEX(Ingredients!$P$5:$P$304,MATCH(D160,Ingredients!$B$5:$B$304,0))),"")</f>
        <v>0</v>
      </c>
      <c r="R160" s="45">
        <f>IFERROR(IF(P160="","",P160*INDEX(Ingredients!$Q$5:$Q$304,MATCH(D160,Ingredients!$B$5:$B$304,0))),"")</f>
        <v>0</v>
      </c>
      <c r="S160" s="45">
        <f>IFERROR(IF(P160="","",P160*INDEX(Ingredients!$R$5:$R$304,MATCH(D160,Ingredients!$B$5:$B$304,0))),"")</f>
        <v>0</v>
      </c>
      <c r="T160" s="45">
        <f>IFERROR(IF(P160="","",P160*INDEX(Ingredients!$S$5:$S$304,MATCH(D160,Ingredients!$B$5:$B$304,0))),"")</f>
        <v>0</v>
      </c>
      <c r="U160" s="45">
        <f>IFERROR(IF(P160="","",P160*INDEX(Ingredients!$T$5:$T$304,MATCH(D160,Ingredients!$B$5:$B$304,0))),"")</f>
        <v>0</v>
      </c>
      <c r="V160" s="17">
        <f>IF(D160="","",IFERROR(INDEX(Ingredients!$W$5:$W$304,MATCH(D160,Ingredients!$B$5:$B$304,0)),"Add to Ingredients"))</f>
        <v>0</v>
      </c>
      <c r="W160" s="17">
        <f>IF(D160="","",IFERROR(INDEX(Ingredients!$C$5:$C$304,MATCH(D160,Ingredients!$B$5:$B$304,0)),"Add to Ingredients"))</f>
        <v>0</v>
      </c>
      <c r="X160" s="45">
        <f>IFERROR(INDEX(Recipes!$AT$5:$AT$204,MATCH(B160,Recipes!$A$5:$A$204,0)),0)</f>
        <v>0</v>
      </c>
      <c r="Y160" s="45">
        <f>IF(OR(J160="",X160=0),"",J160*X160)</f>
        <v>0</v>
      </c>
      <c r="Z160" s="17">
        <f>IF(D160="","",B160&amp;"#"&amp;COUNTIFS($B$5:B160,B160))</f>
        <v>0</v>
      </c>
      <c r="AA160" s="17">
        <f>IF(D160="","",B160&amp;"|"&amp;D160)</f>
        <v>0</v>
      </c>
      <c r="AB160" s="31">
        <f>IF(D160="","",IF(B160="","Add - which recipe?",IF(COUNTIFS(Ingredients!$B$5:$B$304,D160)=0,"Missing - not in the Ingredients tab",IF(E160="","Add - no quantity",IF(F160="","Add - no unit",IF(K160&lt;&gt;L160,"Check - recipe in "&amp;K160&amp;", priced in "&amp;L160,IF(COUNTIFS($AA$5:$AA$1204,AA160)&gt;1,"Duplicate - same ingredient twice","OK")))))))</f>
        <v>0</v>
      </c>
    </row>
    <row r="161" spans="1:28">
      <c r="A161" s="39">
        <f>IF(D161="","","RL-"&amp;TEXT(ROW()-4,"0000"))</f>
        <v>0</v>
      </c>
      <c r="C161" s="17">
        <f>IF(B161="","",IFERROR(INDEX(Recipes!$B$5:$B$204,MATCH(B161,Recipes!$A$5:$A$204,0)),"Not found"))</f>
        <v>0</v>
      </c>
      <c r="J161" s="45">
        <f>IF(E161="","",IFERROR(E161*INDEX(UnitFactors,MATCH(F161,UnitNames,0)),""))</f>
        <v>0</v>
      </c>
      <c r="K161" s="17">
        <f>IF(F161="","",IFERROR(INDEX(UnitBases,MATCH(F161,UnitNames,0)),"?"))</f>
        <v>0</v>
      </c>
      <c r="L161" s="17">
        <f>IF(D161="","",IFERROR(INDEX(Ingredients!$G$5:$G$304,MATCH(D161,Ingredients!$B$5:$B$304,0)),"Add to Ingredients"))</f>
        <v>0</v>
      </c>
      <c r="M161" s="25">
        <f>IF(D161="","",IFERROR(INDEX(Ingredients!$J$5:$J$304,MATCH(D161,Ingredients!$B$5:$B$304,0)),"Add to Ingredients"))</f>
        <v>0</v>
      </c>
      <c r="N161" s="25">
        <f>IF(OR(J161="",M161="",NOT(ISNUMBER(M161))),"",IF(K161&lt;&gt;L161,"",J161*M161))</f>
        <v>0</v>
      </c>
      <c r="O161" s="25">
        <f>IF(N161="","",IFERROR(N161/INDEX(Recipes!$G$5:$G$204,MATCH(B161,Recipes!$A$5:$A$204,0)),""))</f>
        <v>0</v>
      </c>
      <c r="P161" s="30">
        <f>IF(J161="","",IF(K161="each",J161,J161/100))</f>
        <v>0</v>
      </c>
      <c r="Q161" s="30">
        <f>IFERROR(IF(P161="","",P161*INDEX(Ingredients!$P$5:$P$304,MATCH(D161,Ingredients!$B$5:$B$304,0))),"")</f>
        <v>0</v>
      </c>
      <c r="R161" s="45">
        <f>IFERROR(IF(P161="","",P161*INDEX(Ingredients!$Q$5:$Q$304,MATCH(D161,Ingredients!$B$5:$B$304,0))),"")</f>
        <v>0</v>
      </c>
      <c r="S161" s="45">
        <f>IFERROR(IF(P161="","",P161*INDEX(Ingredients!$R$5:$R$304,MATCH(D161,Ingredients!$B$5:$B$304,0))),"")</f>
        <v>0</v>
      </c>
      <c r="T161" s="45">
        <f>IFERROR(IF(P161="","",P161*INDEX(Ingredients!$S$5:$S$304,MATCH(D161,Ingredients!$B$5:$B$304,0))),"")</f>
        <v>0</v>
      </c>
      <c r="U161" s="45">
        <f>IFERROR(IF(P161="","",P161*INDEX(Ingredients!$T$5:$T$304,MATCH(D161,Ingredients!$B$5:$B$304,0))),"")</f>
        <v>0</v>
      </c>
      <c r="V161" s="17">
        <f>IF(D161="","",IFERROR(INDEX(Ingredients!$W$5:$W$304,MATCH(D161,Ingredients!$B$5:$B$304,0)),"Add to Ingredients"))</f>
        <v>0</v>
      </c>
      <c r="W161" s="17">
        <f>IF(D161="","",IFERROR(INDEX(Ingredients!$C$5:$C$304,MATCH(D161,Ingredients!$B$5:$B$304,0)),"Add to Ingredients"))</f>
        <v>0</v>
      </c>
      <c r="X161" s="45">
        <f>IFERROR(INDEX(Recipes!$AT$5:$AT$204,MATCH(B161,Recipes!$A$5:$A$204,0)),0)</f>
        <v>0</v>
      </c>
      <c r="Y161" s="45">
        <f>IF(OR(J161="",X161=0),"",J161*X161)</f>
        <v>0</v>
      </c>
      <c r="Z161" s="17">
        <f>IF(D161="","",B161&amp;"#"&amp;COUNTIFS($B$5:B161,B161))</f>
        <v>0</v>
      </c>
      <c r="AA161" s="17">
        <f>IF(D161="","",B161&amp;"|"&amp;D161)</f>
        <v>0</v>
      </c>
      <c r="AB161" s="31">
        <f>IF(D161="","",IF(B161="","Add - which recipe?",IF(COUNTIFS(Ingredients!$B$5:$B$304,D161)=0,"Missing - not in the Ingredients tab",IF(E161="","Add - no quantity",IF(F161="","Add - no unit",IF(K161&lt;&gt;L161,"Check - recipe in "&amp;K161&amp;", priced in "&amp;L161,IF(COUNTIFS($AA$5:$AA$1204,AA161)&gt;1,"Duplicate - same ingredient twice","OK")))))))</f>
        <v>0</v>
      </c>
    </row>
    <row r="162" spans="1:28">
      <c r="A162" s="39">
        <f>IF(D162="","","RL-"&amp;TEXT(ROW()-4,"0000"))</f>
        <v>0</v>
      </c>
      <c r="C162" s="17">
        <f>IF(B162="","",IFERROR(INDEX(Recipes!$B$5:$B$204,MATCH(B162,Recipes!$A$5:$A$204,0)),"Not found"))</f>
        <v>0</v>
      </c>
      <c r="J162" s="45">
        <f>IF(E162="","",IFERROR(E162*INDEX(UnitFactors,MATCH(F162,UnitNames,0)),""))</f>
        <v>0</v>
      </c>
      <c r="K162" s="17">
        <f>IF(F162="","",IFERROR(INDEX(UnitBases,MATCH(F162,UnitNames,0)),"?"))</f>
        <v>0</v>
      </c>
      <c r="L162" s="17">
        <f>IF(D162="","",IFERROR(INDEX(Ingredients!$G$5:$G$304,MATCH(D162,Ingredients!$B$5:$B$304,0)),"Add to Ingredients"))</f>
        <v>0</v>
      </c>
      <c r="M162" s="25">
        <f>IF(D162="","",IFERROR(INDEX(Ingredients!$J$5:$J$304,MATCH(D162,Ingredients!$B$5:$B$304,0)),"Add to Ingredients"))</f>
        <v>0</v>
      </c>
      <c r="N162" s="25">
        <f>IF(OR(J162="",M162="",NOT(ISNUMBER(M162))),"",IF(K162&lt;&gt;L162,"",J162*M162))</f>
        <v>0</v>
      </c>
      <c r="O162" s="25">
        <f>IF(N162="","",IFERROR(N162/INDEX(Recipes!$G$5:$G$204,MATCH(B162,Recipes!$A$5:$A$204,0)),""))</f>
        <v>0</v>
      </c>
      <c r="P162" s="30">
        <f>IF(J162="","",IF(K162="each",J162,J162/100))</f>
        <v>0</v>
      </c>
      <c r="Q162" s="30">
        <f>IFERROR(IF(P162="","",P162*INDEX(Ingredients!$P$5:$P$304,MATCH(D162,Ingredients!$B$5:$B$304,0))),"")</f>
        <v>0</v>
      </c>
      <c r="R162" s="45">
        <f>IFERROR(IF(P162="","",P162*INDEX(Ingredients!$Q$5:$Q$304,MATCH(D162,Ingredients!$B$5:$B$304,0))),"")</f>
        <v>0</v>
      </c>
      <c r="S162" s="45">
        <f>IFERROR(IF(P162="","",P162*INDEX(Ingredients!$R$5:$R$304,MATCH(D162,Ingredients!$B$5:$B$304,0))),"")</f>
        <v>0</v>
      </c>
      <c r="T162" s="45">
        <f>IFERROR(IF(P162="","",P162*INDEX(Ingredients!$S$5:$S$304,MATCH(D162,Ingredients!$B$5:$B$304,0))),"")</f>
        <v>0</v>
      </c>
      <c r="U162" s="45">
        <f>IFERROR(IF(P162="","",P162*INDEX(Ingredients!$T$5:$T$304,MATCH(D162,Ingredients!$B$5:$B$304,0))),"")</f>
        <v>0</v>
      </c>
      <c r="V162" s="17">
        <f>IF(D162="","",IFERROR(INDEX(Ingredients!$W$5:$W$304,MATCH(D162,Ingredients!$B$5:$B$304,0)),"Add to Ingredients"))</f>
        <v>0</v>
      </c>
      <c r="W162" s="17">
        <f>IF(D162="","",IFERROR(INDEX(Ingredients!$C$5:$C$304,MATCH(D162,Ingredients!$B$5:$B$304,0)),"Add to Ingredients"))</f>
        <v>0</v>
      </c>
      <c r="X162" s="45">
        <f>IFERROR(INDEX(Recipes!$AT$5:$AT$204,MATCH(B162,Recipes!$A$5:$A$204,0)),0)</f>
        <v>0</v>
      </c>
      <c r="Y162" s="45">
        <f>IF(OR(J162="",X162=0),"",J162*X162)</f>
        <v>0</v>
      </c>
      <c r="Z162" s="17">
        <f>IF(D162="","",B162&amp;"#"&amp;COUNTIFS($B$5:B162,B162))</f>
        <v>0</v>
      </c>
      <c r="AA162" s="17">
        <f>IF(D162="","",B162&amp;"|"&amp;D162)</f>
        <v>0</v>
      </c>
      <c r="AB162" s="31">
        <f>IF(D162="","",IF(B162="","Add - which recipe?",IF(COUNTIFS(Ingredients!$B$5:$B$304,D162)=0,"Missing - not in the Ingredients tab",IF(E162="","Add - no quantity",IF(F162="","Add - no unit",IF(K162&lt;&gt;L162,"Check - recipe in "&amp;K162&amp;", priced in "&amp;L162,IF(COUNTIFS($AA$5:$AA$1204,AA162)&gt;1,"Duplicate - same ingredient twice","OK")))))))</f>
        <v>0</v>
      </c>
    </row>
    <row r="163" spans="1:28">
      <c r="A163" s="39">
        <f>IF(D163="","","RL-"&amp;TEXT(ROW()-4,"0000"))</f>
        <v>0</v>
      </c>
      <c r="C163" s="17">
        <f>IF(B163="","",IFERROR(INDEX(Recipes!$B$5:$B$204,MATCH(B163,Recipes!$A$5:$A$204,0)),"Not found"))</f>
        <v>0</v>
      </c>
      <c r="J163" s="45">
        <f>IF(E163="","",IFERROR(E163*INDEX(UnitFactors,MATCH(F163,UnitNames,0)),""))</f>
        <v>0</v>
      </c>
      <c r="K163" s="17">
        <f>IF(F163="","",IFERROR(INDEX(UnitBases,MATCH(F163,UnitNames,0)),"?"))</f>
        <v>0</v>
      </c>
      <c r="L163" s="17">
        <f>IF(D163="","",IFERROR(INDEX(Ingredients!$G$5:$G$304,MATCH(D163,Ingredients!$B$5:$B$304,0)),"Add to Ingredients"))</f>
        <v>0</v>
      </c>
      <c r="M163" s="25">
        <f>IF(D163="","",IFERROR(INDEX(Ingredients!$J$5:$J$304,MATCH(D163,Ingredients!$B$5:$B$304,0)),"Add to Ingredients"))</f>
        <v>0</v>
      </c>
      <c r="N163" s="25">
        <f>IF(OR(J163="",M163="",NOT(ISNUMBER(M163))),"",IF(K163&lt;&gt;L163,"",J163*M163))</f>
        <v>0</v>
      </c>
      <c r="O163" s="25">
        <f>IF(N163="","",IFERROR(N163/INDEX(Recipes!$G$5:$G$204,MATCH(B163,Recipes!$A$5:$A$204,0)),""))</f>
        <v>0</v>
      </c>
      <c r="P163" s="30">
        <f>IF(J163="","",IF(K163="each",J163,J163/100))</f>
        <v>0</v>
      </c>
      <c r="Q163" s="30">
        <f>IFERROR(IF(P163="","",P163*INDEX(Ingredients!$P$5:$P$304,MATCH(D163,Ingredients!$B$5:$B$304,0))),"")</f>
        <v>0</v>
      </c>
      <c r="R163" s="45">
        <f>IFERROR(IF(P163="","",P163*INDEX(Ingredients!$Q$5:$Q$304,MATCH(D163,Ingredients!$B$5:$B$304,0))),"")</f>
        <v>0</v>
      </c>
      <c r="S163" s="45">
        <f>IFERROR(IF(P163="","",P163*INDEX(Ingredients!$R$5:$R$304,MATCH(D163,Ingredients!$B$5:$B$304,0))),"")</f>
        <v>0</v>
      </c>
      <c r="T163" s="45">
        <f>IFERROR(IF(P163="","",P163*INDEX(Ingredients!$S$5:$S$304,MATCH(D163,Ingredients!$B$5:$B$304,0))),"")</f>
        <v>0</v>
      </c>
      <c r="U163" s="45">
        <f>IFERROR(IF(P163="","",P163*INDEX(Ingredients!$T$5:$T$304,MATCH(D163,Ingredients!$B$5:$B$304,0))),"")</f>
        <v>0</v>
      </c>
      <c r="V163" s="17">
        <f>IF(D163="","",IFERROR(INDEX(Ingredients!$W$5:$W$304,MATCH(D163,Ingredients!$B$5:$B$304,0)),"Add to Ingredients"))</f>
        <v>0</v>
      </c>
      <c r="W163" s="17">
        <f>IF(D163="","",IFERROR(INDEX(Ingredients!$C$5:$C$304,MATCH(D163,Ingredients!$B$5:$B$304,0)),"Add to Ingredients"))</f>
        <v>0</v>
      </c>
      <c r="X163" s="45">
        <f>IFERROR(INDEX(Recipes!$AT$5:$AT$204,MATCH(B163,Recipes!$A$5:$A$204,0)),0)</f>
        <v>0</v>
      </c>
      <c r="Y163" s="45">
        <f>IF(OR(J163="",X163=0),"",J163*X163)</f>
        <v>0</v>
      </c>
      <c r="Z163" s="17">
        <f>IF(D163="","",B163&amp;"#"&amp;COUNTIFS($B$5:B163,B163))</f>
        <v>0</v>
      </c>
      <c r="AA163" s="17">
        <f>IF(D163="","",B163&amp;"|"&amp;D163)</f>
        <v>0</v>
      </c>
      <c r="AB163" s="31">
        <f>IF(D163="","",IF(B163="","Add - which recipe?",IF(COUNTIFS(Ingredients!$B$5:$B$304,D163)=0,"Missing - not in the Ingredients tab",IF(E163="","Add - no quantity",IF(F163="","Add - no unit",IF(K163&lt;&gt;L163,"Check - recipe in "&amp;K163&amp;", priced in "&amp;L163,IF(COUNTIFS($AA$5:$AA$1204,AA163)&gt;1,"Duplicate - same ingredient twice","OK")))))))</f>
        <v>0</v>
      </c>
    </row>
    <row r="164" spans="1:28">
      <c r="A164" s="39">
        <f>IF(D164="","","RL-"&amp;TEXT(ROW()-4,"0000"))</f>
        <v>0</v>
      </c>
      <c r="C164" s="17">
        <f>IF(B164="","",IFERROR(INDEX(Recipes!$B$5:$B$204,MATCH(B164,Recipes!$A$5:$A$204,0)),"Not found"))</f>
        <v>0</v>
      </c>
      <c r="J164" s="45">
        <f>IF(E164="","",IFERROR(E164*INDEX(UnitFactors,MATCH(F164,UnitNames,0)),""))</f>
        <v>0</v>
      </c>
      <c r="K164" s="17">
        <f>IF(F164="","",IFERROR(INDEX(UnitBases,MATCH(F164,UnitNames,0)),"?"))</f>
        <v>0</v>
      </c>
      <c r="L164" s="17">
        <f>IF(D164="","",IFERROR(INDEX(Ingredients!$G$5:$G$304,MATCH(D164,Ingredients!$B$5:$B$304,0)),"Add to Ingredients"))</f>
        <v>0</v>
      </c>
      <c r="M164" s="25">
        <f>IF(D164="","",IFERROR(INDEX(Ingredients!$J$5:$J$304,MATCH(D164,Ingredients!$B$5:$B$304,0)),"Add to Ingredients"))</f>
        <v>0</v>
      </c>
      <c r="N164" s="25">
        <f>IF(OR(J164="",M164="",NOT(ISNUMBER(M164))),"",IF(K164&lt;&gt;L164,"",J164*M164))</f>
        <v>0</v>
      </c>
      <c r="O164" s="25">
        <f>IF(N164="","",IFERROR(N164/INDEX(Recipes!$G$5:$G$204,MATCH(B164,Recipes!$A$5:$A$204,0)),""))</f>
        <v>0</v>
      </c>
      <c r="P164" s="30">
        <f>IF(J164="","",IF(K164="each",J164,J164/100))</f>
        <v>0</v>
      </c>
      <c r="Q164" s="30">
        <f>IFERROR(IF(P164="","",P164*INDEX(Ingredients!$P$5:$P$304,MATCH(D164,Ingredients!$B$5:$B$304,0))),"")</f>
        <v>0</v>
      </c>
      <c r="R164" s="45">
        <f>IFERROR(IF(P164="","",P164*INDEX(Ingredients!$Q$5:$Q$304,MATCH(D164,Ingredients!$B$5:$B$304,0))),"")</f>
        <v>0</v>
      </c>
      <c r="S164" s="45">
        <f>IFERROR(IF(P164="","",P164*INDEX(Ingredients!$R$5:$R$304,MATCH(D164,Ingredients!$B$5:$B$304,0))),"")</f>
        <v>0</v>
      </c>
      <c r="T164" s="45">
        <f>IFERROR(IF(P164="","",P164*INDEX(Ingredients!$S$5:$S$304,MATCH(D164,Ingredients!$B$5:$B$304,0))),"")</f>
        <v>0</v>
      </c>
      <c r="U164" s="45">
        <f>IFERROR(IF(P164="","",P164*INDEX(Ingredients!$T$5:$T$304,MATCH(D164,Ingredients!$B$5:$B$304,0))),"")</f>
        <v>0</v>
      </c>
      <c r="V164" s="17">
        <f>IF(D164="","",IFERROR(INDEX(Ingredients!$W$5:$W$304,MATCH(D164,Ingredients!$B$5:$B$304,0)),"Add to Ingredients"))</f>
        <v>0</v>
      </c>
      <c r="W164" s="17">
        <f>IF(D164="","",IFERROR(INDEX(Ingredients!$C$5:$C$304,MATCH(D164,Ingredients!$B$5:$B$304,0)),"Add to Ingredients"))</f>
        <v>0</v>
      </c>
      <c r="X164" s="45">
        <f>IFERROR(INDEX(Recipes!$AT$5:$AT$204,MATCH(B164,Recipes!$A$5:$A$204,0)),0)</f>
        <v>0</v>
      </c>
      <c r="Y164" s="45">
        <f>IF(OR(J164="",X164=0),"",J164*X164)</f>
        <v>0</v>
      </c>
      <c r="Z164" s="17">
        <f>IF(D164="","",B164&amp;"#"&amp;COUNTIFS($B$5:B164,B164))</f>
        <v>0</v>
      </c>
      <c r="AA164" s="17">
        <f>IF(D164="","",B164&amp;"|"&amp;D164)</f>
        <v>0</v>
      </c>
      <c r="AB164" s="31">
        <f>IF(D164="","",IF(B164="","Add - which recipe?",IF(COUNTIFS(Ingredients!$B$5:$B$304,D164)=0,"Missing - not in the Ingredients tab",IF(E164="","Add - no quantity",IF(F164="","Add - no unit",IF(K164&lt;&gt;L164,"Check - recipe in "&amp;K164&amp;", priced in "&amp;L164,IF(COUNTIFS($AA$5:$AA$1204,AA164)&gt;1,"Duplicate - same ingredient twice","OK")))))))</f>
        <v>0</v>
      </c>
    </row>
    <row r="165" spans="1:28">
      <c r="A165" s="39">
        <f>IF(D165="","","RL-"&amp;TEXT(ROW()-4,"0000"))</f>
        <v>0</v>
      </c>
      <c r="C165" s="17">
        <f>IF(B165="","",IFERROR(INDEX(Recipes!$B$5:$B$204,MATCH(B165,Recipes!$A$5:$A$204,0)),"Not found"))</f>
        <v>0</v>
      </c>
      <c r="J165" s="45">
        <f>IF(E165="","",IFERROR(E165*INDEX(UnitFactors,MATCH(F165,UnitNames,0)),""))</f>
        <v>0</v>
      </c>
      <c r="K165" s="17">
        <f>IF(F165="","",IFERROR(INDEX(UnitBases,MATCH(F165,UnitNames,0)),"?"))</f>
        <v>0</v>
      </c>
      <c r="L165" s="17">
        <f>IF(D165="","",IFERROR(INDEX(Ingredients!$G$5:$G$304,MATCH(D165,Ingredients!$B$5:$B$304,0)),"Add to Ingredients"))</f>
        <v>0</v>
      </c>
      <c r="M165" s="25">
        <f>IF(D165="","",IFERROR(INDEX(Ingredients!$J$5:$J$304,MATCH(D165,Ingredients!$B$5:$B$304,0)),"Add to Ingredients"))</f>
        <v>0</v>
      </c>
      <c r="N165" s="25">
        <f>IF(OR(J165="",M165="",NOT(ISNUMBER(M165))),"",IF(K165&lt;&gt;L165,"",J165*M165))</f>
        <v>0</v>
      </c>
      <c r="O165" s="25">
        <f>IF(N165="","",IFERROR(N165/INDEX(Recipes!$G$5:$G$204,MATCH(B165,Recipes!$A$5:$A$204,0)),""))</f>
        <v>0</v>
      </c>
      <c r="P165" s="30">
        <f>IF(J165="","",IF(K165="each",J165,J165/100))</f>
        <v>0</v>
      </c>
      <c r="Q165" s="30">
        <f>IFERROR(IF(P165="","",P165*INDEX(Ingredients!$P$5:$P$304,MATCH(D165,Ingredients!$B$5:$B$304,0))),"")</f>
        <v>0</v>
      </c>
      <c r="R165" s="45">
        <f>IFERROR(IF(P165="","",P165*INDEX(Ingredients!$Q$5:$Q$304,MATCH(D165,Ingredients!$B$5:$B$304,0))),"")</f>
        <v>0</v>
      </c>
      <c r="S165" s="45">
        <f>IFERROR(IF(P165="","",P165*INDEX(Ingredients!$R$5:$R$304,MATCH(D165,Ingredients!$B$5:$B$304,0))),"")</f>
        <v>0</v>
      </c>
      <c r="T165" s="45">
        <f>IFERROR(IF(P165="","",P165*INDEX(Ingredients!$S$5:$S$304,MATCH(D165,Ingredients!$B$5:$B$304,0))),"")</f>
        <v>0</v>
      </c>
      <c r="U165" s="45">
        <f>IFERROR(IF(P165="","",P165*INDEX(Ingredients!$T$5:$T$304,MATCH(D165,Ingredients!$B$5:$B$304,0))),"")</f>
        <v>0</v>
      </c>
      <c r="V165" s="17">
        <f>IF(D165="","",IFERROR(INDEX(Ingredients!$W$5:$W$304,MATCH(D165,Ingredients!$B$5:$B$304,0)),"Add to Ingredients"))</f>
        <v>0</v>
      </c>
      <c r="W165" s="17">
        <f>IF(D165="","",IFERROR(INDEX(Ingredients!$C$5:$C$304,MATCH(D165,Ingredients!$B$5:$B$304,0)),"Add to Ingredients"))</f>
        <v>0</v>
      </c>
      <c r="X165" s="45">
        <f>IFERROR(INDEX(Recipes!$AT$5:$AT$204,MATCH(B165,Recipes!$A$5:$A$204,0)),0)</f>
        <v>0</v>
      </c>
      <c r="Y165" s="45">
        <f>IF(OR(J165="",X165=0),"",J165*X165)</f>
        <v>0</v>
      </c>
      <c r="Z165" s="17">
        <f>IF(D165="","",B165&amp;"#"&amp;COUNTIFS($B$5:B165,B165))</f>
        <v>0</v>
      </c>
      <c r="AA165" s="17">
        <f>IF(D165="","",B165&amp;"|"&amp;D165)</f>
        <v>0</v>
      </c>
      <c r="AB165" s="31">
        <f>IF(D165="","",IF(B165="","Add - which recipe?",IF(COUNTIFS(Ingredients!$B$5:$B$304,D165)=0,"Missing - not in the Ingredients tab",IF(E165="","Add - no quantity",IF(F165="","Add - no unit",IF(K165&lt;&gt;L165,"Check - recipe in "&amp;K165&amp;", priced in "&amp;L165,IF(COUNTIFS($AA$5:$AA$1204,AA165)&gt;1,"Duplicate - same ingredient twice","OK")))))))</f>
        <v>0</v>
      </c>
    </row>
    <row r="166" spans="1:28">
      <c r="A166" s="39">
        <f>IF(D166="","","RL-"&amp;TEXT(ROW()-4,"0000"))</f>
        <v>0</v>
      </c>
      <c r="C166" s="17">
        <f>IF(B166="","",IFERROR(INDEX(Recipes!$B$5:$B$204,MATCH(B166,Recipes!$A$5:$A$204,0)),"Not found"))</f>
        <v>0</v>
      </c>
      <c r="J166" s="45">
        <f>IF(E166="","",IFERROR(E166*INDEX(UnitFactors,MATCH(F166,UnitNames,0)),""))</f>
        <v>0</v>
      </c>
      <c r="K166" s="17">
        <f>IF(F166="","",IFERROR(INDEX(UnitBases,MATCH(F166,UnitNames,0)),"?"))</f>
        <v>0</v>
      </c>
      <c r="L166" s="17">
        <f>IF(D166="","",IFERROR(INDEX(Ingredients!$G$5:$G$304,MATCH(D166,Ingredients!$B$5:$B$304,0)),"Add to Ingredients"))</f>
        <v>0</v>
      </c>
      <c r="M166" s="25">
        <f>IF(D166="","",IFERROR(INDEX(Ingredients!$J$5:$J$304,MATCH(D166,Ingredients!$B$5:$B$304,0)),"Add to Ingredients"))</f>
        <v>0</v>
      </c>
      <c r="N166" s="25">
        <f>IF(OR(J166="",M166="",NOT(ISNUMBER(M166))),"",IF(K166&lt;&gt;L166,"",J166*M166))</f>
        <v>0</v>
      </c>
      <c r="O166" s="25">
        <f>IF(N166="","",IFERROR(N166/INDEX(Recipes!$G$5:$G$204,MATCH(B166,Recipes!$A$5:$A$204,0)),""))</f>
        <v>0</v>
      </c>
      <c r="P166" s="30">
        <f>IF(J166="","",IF(K166="each",J166,J166/100))</f>
        <v>0</v>
      </c>
      <c r="Q166" s="30">
        <f>IFERROR(IF(P166="","",P166*INDEX(Ingredients!$P$5:$P$304,MATCH(D166,Ingredients!$B$5:$B$304,0))),"")</f>
        <v>0</v>
      </c>
      <c r="R166" s="45">
        <f>IFERROR(IF(P166="","",P166*INDEX(Ingredients!$Q$5:$Q$304,MATCH(D166,Ingredients!$B$5:$B$304,0))),"")</f>
        <v>0</v>
      </c>
      <c r="S166" s="45">
        <f>IFERROR(IF(P166="","",P166*INDEX(Ingredients!$R$5:$R$304,MATCH(D166,Ingredients!$B$5:$B$304,0))),"")</f>
        <v>0</v>
      </c>
      <c r="T166" s="45">
        <f>IFERROR(IF(P166="","",P166*INDEX(Ingredients!$S$5:$S$304,MATCH(D166,Ingredients!$B$5:$B$304,0))),"")</f>
        <v>0</v>
      </c>
      <c r="U166" s="45">
        <f>IFERROR(IF(P166="","",P166*INDEX(Ingredients!$T$5:$T$304,MATCH(D166,Ingredients!$B$5:$B$304,0))),"")</f>
        <v>0</v>
      </c>
      <c r="V166" s="17">
        <f>IF(D166="","",IFERROR(INDEX(Ingredients!$W$5:$W$304,MATCH(D166,Ingredients!$B$5:$B$304,0)),"Add to Ingredients"))</f>
        <v>0</v>
      </c>
      <c r="W166" s="17">
        <f>IF(D166="","",IFERROR(INDEX(Ingredients!$C$5:$C$304,MATCH(D166,Ingredients!$B$5:$B$304,0)),"Add to Ingredients"))</f>
        <v>0</v>
      </c>
      <c r="X166" s="45">
        <f>IFERROR(INDEX(Recipes!$AT$5:$AT$204,MATCH(B166,Recipes!$A$5:$A$204,0)),0)</f>
        <v>0</v>
      </c>
      <c r="Y166" s="45">
        <f>IF(OR(J166="",X166=0),"",J166*X166)</f>
        <v>0</v>
      </c>
      <c r="Z166" s="17">
        <f>IF(D166="","",B166&amp;"#"&amp;COUNTIFS($B$5:B166,B166))</f>
        <v>0</v>
      </c>
      <c r="AA166" s="17">
        <f>IF(D166="","",B166&amp;"|"&amp;D166)</f>
        <v>0</v>
      </c>
      <c r="AB166" s="31">
        <f>IF(D166="","",IF(B166="","Add - which recipe?",IF(COUNTIFS(Ingredients!$B$5:$B$304,D166)=0,"Missing - not in the Ingredients tab",IF(E166="","Add - no quantity",IF(F166="","Add - no unit",IF(K166&lt;&gt;L166,"Check - recipe in "&amp;K166&amp;", priced in "&amp;L166,IF(COUNTIFS($AA$5:$AA$1204,AA166)&gt;1,"Duplicate - same ingredient twice","OK")))))))</f>
        <v>0</v>
      </c>
    </row>
    <row r="167" spans="1:28">
      <c r="A167" s="39">
        <f>IF(D167="","","RL-"&amp;TEXT(ROW()-4,"0000"))</f>
        <v>0</v>
      </c>
      <c r="C167" s="17">
        <f>IF(B167="","",IFERROR(INDEX(Recipes!$B$5:$B$204,MATCH(B167,Recipes!$A$5:$A$204,0)),"Not found"))</f>
        <v>0</v>
      </c>
      <c r="J167" s="45">
        <f>IF(E167="","",IFERROR(E167*INDEX(UnitFactors,MATCH(F167,UnitNames,0)),""))</f>
        <v>0</v>
      </c>
      <c r="K167" s="17">
        <f>IF(F167="","",IFERROR(INDEX(UnitBases,MATCH(F167,UnitNames,0)),"?"))</f>
        <v>0</v>
      </c>
      <c r="L167" s="17">
        <f>IF(D167="","",IFERROR(INDEX(Ingredients!$G$5:$G$304,MATCH(D167,Ingredients!$B$5:$B$304,0)),"Add to Ingredients"))</f>
        <v>0</v>
      </c>
      <c r="M167" s="25">
        <f>IF(D167="","",IFERROR(INDEX(Ingredients!$J$5:$J$304,MATCH(D167,Ingredients!$B$5:$B$304,0)),"Add to Ingredients"))</f>
        <v>0</v>
      </c>
      <c r="N167" s="25">
        <f>IF(OR(J167="",M167="",NOT(ISNUMBER(M167))),"",IF(K167&lt;&gt;L167,"",J167*M167))</f>
        <v>0</v>
      </c>
      <c r="O167" s="25">
        <f>IF(N167="","",IFERROR(N167/INDEX(Recipes!$G$5:$G$204,MATCH(B167,Recipes!$A$5:$A$204,0)),""))</f>
        <v>0</v>
      </c>
      <c r="P167" s="30">
        <f>IF(J167="","",IF(K167="each",J167,J167/100))</f>
        <v>0</v>
      </c>
      <c r="Q167" s="30">
        <f>IFERROR(IF(P167="","",P167*INDEX(Ingredients!$P$5:$P$304,MATCH(D167,Ingredients!$B$5:$B$304,0))),"")</f>
        <v>0</v>
      </c>
      <c r="R167" s="45">
        <f>IFERROR(IF(P167="","",P167*INDEX(Ingredients!$Q$5:$Q$304,MATCH(D167,Ingredients!$B$5:$B$304,0))),"")</f>
        <v>0</v>
      </c>
      <c r="S167" s="45">
        <f>IFERROR(IF(P167="","",P167*INDEX(Ingredients!$R$5:$R$304,MATCH(D167,Ingredients!$B$5:$B$304,0))),"")</f>
        <v>0</v>
      </c>
      <c r="T167" s="45">
        <f>IFERROR(IF(P167="","",P167*INDEX(Ingredients!$S$5:$S$304,MATCH(D167,Ingredients!$B$5:$B$304,0))),"")</f>
        <v>0</v>
      </c>
      <c r="U167" s="45">
        <f>IFERROR(IF(P167="","",P167*INDEX(Ingredients!$T$5:$T$304,MATCH(D167,Ingredients!$B$5:$B$304,0))),"")</f>
        <v>0</v>
      </c>
      <c r="V167" s="17">
        <f>IF(D167="","",IFERROR(INDEX(Ingredients!$W$5:$W$304,MATCH(D167,Ingredients!$B$5:$B$304,0)),"Add to Ingredients"))</f>
        <v>0</v>
      </c>
      <c r="W167" s="17">
        <f>IF(D167="","",IFERROR(INDEX(Ingredients!$C$5:$C$304,MATCH(D167,Ingredients!$B$5:$B$304,0)),"Add to Ingredients"))</f>
        <v>0</v>
      </c>
      <c r="X167" s="45">
        <f>IFERROR(INDEX(Recipes!$AT$5:$AT$204,MATCH(B167,Recipes!$A$5:$A$204,0)),0)</f>
        <v>0</v>
      </c>
      <c r="Y167" s="45">
        <f>IF(OR(J167="",X167=0),"",J167*X167)</f>
        <v>0</v>
      </c>
      <c r="Z167" s="17">
        <f>IF(D167="","",B167&amp;"#"&amp;COUNTIFS($B$5:B167,B167))</f>
        <v>0</v>
      </c>
      <c r="AA167" s="17">
        <f>IF(D167="","",B167&amp;"|"&amp;D167)</f>
        <v>0</v>
      </c>
      <c r="AB167" s="31">
        <f>IF(D167="","",IF(B167="","Add - which recipe?",IF(COUNTIFS(Ingredients!$B$5:$B$304,D167)=0,"Missing - not in the Ingredients tab",IF(E167="","Add - no quantity",IF(F167="","Add - no unit",IF(K167&lt;&gt;L167,"Check - recipe in "&amp;K167&amp;", priced in "&amp;L167,IF(COUNTIFS($AA$5:$AA$1204,AA167)&gt;1,"Duplicate - same ingredient twice","OK")))))))</f>
        <v>0</v>
      </c>
    </row>
    <row r="168" spans="1:28">
      <c r="A168" s="39">
        <f>IF(D168="","","RL-"&amp;TEXT(ROW()-4,"0000"))</f>
        <v>0</v>
      </c>
      <c r="C168" s="17">
        <f>IF(B168="","",IFERROR(INDEX(Recipes!$B$5:$B$204,MATCH(B168,Recipes!$A$5:$A$204,0)),"Not found"))</f>
        <v>0</v>
      </c>
      <c r="J168" s="45">
        <f>IF(E168="","",IFERROR(E168*INDEX(UnitFactors,MATCH(F168,UnitNames,0)),""))</f>
        <v>0</v>
      </c>
      <c r="K168" s="17">
        <f>IF(F168="","",IFERROR(INDEX(UnitBases,MATCH(F168,UnitNames,0)),"?"))</f>
        <v>0</v>
      </c>
      <c r="L168" s="17">
        <f>IF(D168="","",IFERROR(INDEX(Ingredients!$G$5:$G$304,MATCH(D168,Ingredients!$B$5:$B$304,0)),"Add to Ingredients"))</f>
        <v>0</v>
      </c>
      <c r="M168" s="25">
        <f>IF(D168="","",IFERROR(INDEX(Ingredients!$J$5:$J$304,MATCH(D168,Ingredients!$B$5:$B$304,0)),"Add to Ingredients"))</f>
        <v>0</v>
      </c>
      <c r="N168" s="25">
        <f>IF(OR(J168="",M168="",NOT(ISNUMBER(M168))),"",IF(K168&lt;&gt;L168,"",J168*M168))</f>
        <v>0</v>
      </c>
      <c r="O168" s="25">
        <f>IF(N168="","",IFERROR(N168/INDEX(Recipes!$G$5:$G$204,MATCH(B168,Recipes!$A$5:$A$204,0)),""))</f>
        <v>0</v>
      </c>
      <c r="P168" s="30">
        <f>IF(J168="","",IF(K168="each",J168,J168/100))</f>
        <v>0</v>
      </c>
      <c r="Q168" s="30">
        <f>IFERROR(IF(P168="","",P168*INDEX(Ingredients!$P$5:$P$304,MATCH(D168,Ingredients!$B$5:$B$304,0))),"")</f>
        <v>0</v>
      </c>
      <c r="R168" s="45">
        <f>IFERROR(IF(P168="","",P168*INDEX(Ingredients!$Q$5:$Q$304,MATCH(D168,Ingredients!$B$5:$B$304,0))),"")</f>
        <v>0</v>
      </c>
      <c r="S168" s="45">
        <f>IFERROR(IF(P168="","",P168*INDEX(Ingredients!$R$5:$R$304,MATCH(D168,Ingredients!$B$5:$B$304,0))),"")</f>
        <v>0</v>
      </c>
      <c r="T168" s="45">
        <f>IFERROR(IF(P168="","",P168*INDEX(Ingredients!$S$5:$S$304,MATCH(D168,Ingredients!$B$5:$B$304,0))),"")</f>
        <v>0</v>
      </c>
      <c r="U168" s="45">
        <f>IFERROR(IF(P168="","",P168*INDEX(Ingredients!$T$5:$T$304,MATCH(D168,Ingredients!$B$5:$B$304,0))),"")</f>
        <v>0</v>
      </c>
      <c r="V168" s="17">
        <f>IF(D168="","",IFERROR(INDEX(Ingredients!$W$5:$W$304,MATCH(D168,Ingredients!$B$5:$B$304,0)),"Add to Ingredients"))</f>
        <v>0</v>
      </c>
      <c r="W168" s="17">
        <f>IF(D168="","",IFERROR(INDEX(Ingredients!$C$5:$C$304,MATCH(D168,Ingredients!$B$5:$B$304,0)),"Add to Ingredients"))</f>
        <v>0</v>
      </c>
      <c r="X168" s="45">
        <f>IFERROR(INDEX(Recipes!$AT$5:$AT$204,MATCH(B168,Recipes!$A$5:$A$204,0)),0)</f>
        <v>0</v>
      </c>
      <c r="Y168" s="45">
        <f>IF(OR(J168="",X168=0),"",J168*X168)</f>
        <v>0</v>
      </c>
      <c r="Z168" s="17">
        <f>IF(D168="","",B168&amp;"#"&amp;COUNTIFS($B$5:B168,B168))</f>
        <v>0</v>
      </c>
      <c r="AA168" s="17">
        <f>IF(D168="","",B168&amp;"|"&amp;D168)</f>
        <v>0</v>
      </c>
      <c r="AB168" s="31">
        <f>IF(D168="","",IF(B168="","Add - which recipe?",IF(COUNTIFS(Ingredients!$B$5:$B$304,D168)=0,"Missing - not in the Ingredients tab",IF(E168="","Add - no quantity",IF(F168="","Add - no unit",IF(K168&lt;&gt;L168,"Check - recipe in "&amp;K168&amp;", priced in "&amp;L168,IF(COUNTIFS($AA$5:$AA$1204,AA168)&gt;1,"Duplicate - same ingredient twice","OK")))))))</f>
        <v>0</v>
      </c>
    </row>
    <row r="169" spans="1:28">
      <c r="A169" s="39">
        <f>IF(D169="","","RL-"&amp;TEXT(ROW()-4,"0000"))</f>
        <v>0</v>
      </c>
      <c r="C169" s="17">
        <f>IF(B169="","",IFERROR(INDEX(Recipes!$B$5:$B$204,MATCH(B169,Recipes!$A$5:$A$204,0)),"Not found"))</f>
        <v>0</v>
      </c>
      <c r="J169" s="45">
        <f>IF(E169="","",IFERROR(E169*INDEX(UnitFactors,MATCH(F169,UnitNames,0)),""))</f>
        <v>0</v>
      </c>
      <c r="K169" s="17">
        <f>IF(F169="","",IFERROR(INDEX(UnitBases,MATCH(F169,UnitNames,0)),"?"))</f>
        <v>0</v>
      </c>
      <c r="L169" s="17">
        <f>IF(D169="","",IFERROR(INDEX(Ingredients!$G$5:$G$304,MATCH(D169,Ingredients!$B$5:$B$304,0)),"Add to Ingredients"))</f>
        <v>0</v>
      </c>
      <c r="M169" s="25">
        <f>IF(D169="","",IFERROR(INDEX(Ingredients!$J$5:$J$304,MATCH(D169,Ingredients!$B$5:$B$304,0)),"Add to Ingredients"))</f>
        <v>0</v>
      </c>
      <c r="N169" s="25">
        <f>IF(OR(J169="",M169="",NOT(ISNUMBER(M169))),"",IF(K169&lt;&gt;L169,"",J169*M169))</f>
        <v>0</v>
      </c>
      <c r="O169" s="25">
        <f>IF(N169="","",IFERROR(N169/INDEX(Recipes!$G$5:$G$204,MATCH(B169,Recipes!$A$5:$A$204,0)),""))</f>
        <v>0</v>
      </c>
      <c r="P169" s="30">
        <f>IF(J169="","",IF(K169="each",J169,J169/100))</f>
        <v>0</v>
      </c>
      <c r="Q169" s="30">
        <f>IFERROR(IF(P169="","",P169*INDEX(Ingredients!$P$5:$P$304,MATCH(D169,Ingredients!$B$5:$B$304,0))),"")</f>
        <v>0</v>
      </c>
      <c r="R169" s="45">
        <f>IFERROR(IF(P169="","",P169*INDEX(Ingredients!$Q$5:$Q$304,MATCH(D169,Ingredients!$B$5:$B$304,0))),"")</f>
        <v>0</v>
      </c>
      <c r="S169" s="45">
        <f>IFERROR(IF(P169="","",P169*INDEX(Ingredients!$R$5:$R$304,MATCH(D169,Ingredients!$B$5:$B$304,0))),"")</f>
        <v>0</v>
      </c>
      <c r="T169" s="45">
        <f>IFERROR(IF(P169="","",P169*INDEX(Ingredients!$S$5:$S$304,MATCH(D169,Ingredients!$B$5:$B$304,0))),"")</f>
        <v>0</v>
      </c>
      <c r="U169" s="45">
        <f>IFERROR(IF(P169="","",P169*INDEX(Ingredients!$T$5:$T$304,MATCH(D169,Ingredients!$B$5:$B$304,0))),"")</f>
        <v>0</v>
      </c>
      <c r="V169" s="17">
        <f>IF(D169="","",IFERROR(INDEX(Ingredients!$W$5:$W$304,MATCH(D169,Ingredients!$B$5:$B$304,0)),"Add to Ingredients"))</f>
        <v>0</v>
      </c>
      <c r="W169" s="17">
        <f>IF(D169="","",IFERROR(INDEX(Ingredients!$C$5:$C$304,MATCH(D169,Ingredients!$B$5:$B$304,0)),"Add to Ingredients"))</f>
        <v>0</v>
      </c>
      <c r="X169" s="45">
        <f>IFERROR(INDEX(Recipes!$AT$5:$AT$204,MATCH(B169,Recipes!$A$5:$A$204,0)),0)</f>
        <v>0</v>
      </c>
      <c r="Y169" s="45">
        <f>IF(OR(J169="",X169=0),"",J169*X169)</f>
        <v>0</v>
      </c>
      <c r="Z169" s="17">
        <f>IF(D169="","",B169&amp;"#"&amp;COUNTIFS($B$5:B169,B169))</f>
        <v>0</v>
      </c>
      <c r="AA169" s="17">
        <f>IF(D169="","",B169&amp;"|"&amp;D169)</f>
        <v>0</v>
      </c>
      <c r="AB169" s="31">
        <f>IF(D169="","",IF(B169="","Add - which recipe?",IF(COUNTIFS(Ingredients!$B$5:$B$304,D169)=0,"Missing - not in the Ingredients tab",IF(E169="","Add - no quantity",IF(F169="","Add - no unit",IF(K169&lt;&gt;L169,"Check - recipe in "&amp;K169&amp;", priced in "&amp;L169,IF(COUNTIFS($AA$5:$AA$1204,AA169)&gt;1,"Duplicate - same ingredient twice","OK")))))))</f>
        <v>0</v>
      </c>
    </row>
    <row r="170" spans="1:28">
      <c r="A170" s="39">
        <f>IF(D170="","","RL-"&amp;TEXT(ROW()-4,"0000"))</f>
        <v>0</v>
      </c>
      <c r="C170" s="17">
        <f>IF(B170="","",IFERROR(INDEX(Recipes!$B$5:$B$204,MATCH(B170,Recipes!$A$5:$A$204,0)),"Not found"))</f>
        <v>0</v>
      </c>
      <c r="J170" s="45">
        <f>IF(E170="","",IFERROR(E170*INDEX(UnitFactors,MATCH(F170,UnitNames,0)),""))</f>
        <v>0</v>
      </c>
      <c r="K170" s="17">
        <f>IF(F170="","",IFERROR(INDEX(UnitBases,MATCH(F170,UnitNames,0)),"?"))</f>
        <v>0</v>
      </c>
      <c r="L170" s="17">
        <f>IF(D170="","",IFERROR(INDEX(Ingredients!$G$5:$G$304,MATCH(D170,Ingredients!$B$5:$B$304,0)),"Add to Ingredients"))</f>
        <v>0</v>
      </c>
      <c r="M170" s="25">
        <f>IF(D170="","",IFERROR(INDEX(Ingredients!$J$5:$J$304,MATCH(D170,Ingredients!$B$5:$B$304,0)),"Add to Ingredients"))</f>
        <v>0</v>
      </c>
      <c r="N170" s="25">
        <f>IF(OR(J170="",M170="",NOT(ISNUMBER(M170))),"",IF(K170&lt;&gt;L170,"",J170*M170))</f>
        <v>0</v>
      </c>
      <c r="O170" s="25">
        <f>IF(N170="","",IFERROR(N170/INDEX(Recipes!$G$5:$G$204,MATCH(B170,Recipes!$A$5:$A$204,0)),""))</f>
        <v>0</v>
      </c>
      <c r="P170" s="30">
        <f>IF(J170="","",IF(K170="each",J170,J170/100))</f>
        <v>0</v>
      </c>
      <c r="Q170" s="30">
        <f>IFERROR(IF(P170="","",P170*INDEX(Ingredients!$P$5:$P$304,MATCH(D170,Ingredients!$B$5:$B$304,0))),"")</f>
        <v>0</v>
      </c>
      <c r="R170" s="45">
        <f>IFERROR(IF(P170="","",P170*INDEX(Ingredients!$Q$5:$Q$304,MATCH(D170,Ingredients!$B$5:$B$304,0))),"")</f>
        <v>0</v>
      </c>
      <c r="S170" s="45">
        <f>IFERROR(IF(P170="","",P170*INDEX(Ingredients!$R$5:$R$304,MATCH(D170,Ingredients!$B$5:$B$304,0))),"")</f>
        <v>0</v>
      </c>
      <c r="T170" s="45">
        <f>IFERROR(IF(P170="","",P170*INDEX(Ingredients!$S$5:$S$304,MATCH(D170,Ingredients!$B$5:$B$304,0))),"")</f>
        <v>0</v>
      </c>
      <c r="U170" s="45">
        <f>IFERROR(IF(P170="","",P170*INDEX(Ingredients!$T$5:$T$304,MATCH(D170,Ingredients!$B$5:$B$304,0))),"")</f>
        <v>0</v>
      </c>
      <c r="V170" s="17">
        <f>IF(D170="","",IFERROR(INDEX(Ingredients!$W$5:$W$304,MATCH(D170,Ingredients!$B$5:$B$304,0)),"Add to Ingredients"))</f>
        <v>0</v>
      </c>
      <c r="W170" s="17">
        <f>IF(D170="","",IFERROR(INDEX(Ingredients!$C$5:$C$304,MATCH(D170,Ingredients!$B$5:$B$304,0)),"Add to Ingredients"))</f>
        <v>0</v>
      </c>
      <c r="X170" s="45">
        <f>IFERROR(INDEX(Recipes!$AT$5:$AT$204,MATCH(B170,Recipes!$A$5:$A$204,0)),0)</f>
        <v>0</v>
      </c>
      <c r="Y170" s="45">
        <f>IF(OR(J170="",X170=0),"",J170*X170)</f>
        <v>0</v>
      </c>
      <c r="Z170" s="17">
        <f>IF(D170="","",B170&amp;"#"&amp;COUNTIFS($B$5:B170,B170))</f>
        <v>0</v>
      </c>
      <c r="AA170" s="17">
        <f>IF(D170="","",B170&amp;"|"&amp;D170)</f>
        <v>0</v>
      </c>
      <c r="AB170" s="31">
        <f>IF(D170="","",IF(B170="","Add - which recipe?",IF(COUNTIFS(Ingredients!$B$5:$B$304,D170)=0,"Missing - not in the Ingredients tab",IF(E170="","Add - no quantity",IF(F170="","Add - no unit",IF(K170&lt;&gt;L170,"Check - recipe in "&amp;K170&amp;", priced in "&amp;L170,IF(COUNTIFS($AA$5:$AA$1204,AA170)&gt;1,"Duplicate - same ingredient twice","OK")))))))</f>
        <v>0</v>
      </c>
    </row>
    <row r="171" spans="1:28">
      <c r="A171" s="39">
        <f>IF(D171="","","RL-"&amp;TEXT(ROW()-4,"0000"))</f>
        <v>0</v>
      </c>
      <c r="C171" s="17">
        <f>IF(B171="","",IFERROR(INDEX(Recipes!$B$5:$B$204,MATCH(B171,Recipes!$A$5:$A$204,0)),"Not found"))</f>
        <v>0</v>
      </c>
      <c r="J171" s="45">
        <f>IF(E171="","",IFERROR(E171*INDEX(UnitFactors,MATCH(F171,UnitNames,0)),""))</f>
        <v>0</v>
      </c>
      <c r="K171" s="17">
        <f>IF(F171="","",IFERROR(INDEX(UnitBases,MATCH(F171,UnitNames,0)),"?"))</f>
        <v>0</v>
      </c>
      <c r="L171" s="17">
        <f>IF(D171="","",IFERROR(INDEX(Ingredients!$G$5:$G$304,MATCH(D171,Ingredients!$B$5:$B$304,0)),"Add to Ingredients"))</f>
        <v>0</v>
      </c>
      <c r="M171" s="25">
        <f>IF(D171="","",IFERROR(INDEX(Ingredients!$J$5:$J$304,MATCH(D171,Ingredients!$B$5:$B$304,0)),"Add to Ingredients"))</f>
        <v>0</v>
      </c>
      <c r="N171" s="25">
        <f>IF(OR(J171="",M171="",NOT(ISNUMBER(M171))),"",IF(K171&lt;&gt;L171,"",J171*M171))</f>
        <v>0</v>
      </c>
      <c r="O171" s="25">
        <f>IF(N171="","",IFERROR(N171/INDEX(Recipes!$G$5:$G$204,MATCH(B171,Recipes!$A$5:$A$204,0)),""))</f>
        <v>0</v>
      </c>
      <c r="P171" s="30">
        <f>IF(J171="","",IF(K171="each",J171,J171/100))</f>
        <v>0</v>
      </c>
      <c r="Q171" s="30">
        <f>IFERROR(IF(P171="","",P171*INDEX(Ingredients!$P$5:$P$304,MATCH(D171,Ingredients!$B$5:$B$304,0))),"")</f>
        <v>0</v>
      </c>
      <c r="R171" s="45">
        <f>IFERROR(IF(P171="","",P171*INDEX(Ingredients!$Q$5:$Q$304,MATCH(D171,Ingredients!$B$5:$B$304,0))),"")</f>
        <v>0</v>
      </c>
      <c r="S171" s="45">
        <f>IFERROR(IF(P171="","",P171*INDEX(Ingredients!$R$5:$R$304,MATCH(D171,Ingredients!$B$5:$B$304,0))),"")</f>
        <v>0</v>
      </c>
      <c r="T171" s="45">
        <f>IFERROR(IF(P171="","",P171*INDEX(Ingredients!$S$5:$S$304,MATCH(D171,Ingredients!$B$5:$B$304,0))),"")</f>
        <v>0</v>
      </c>
      <c r="U171" s="45">
        <f>IFERROR(IF(P171="","",P171*INDEX(Ingredients!$T$5:$T$304,MATCH(D171,Ingredients!$B$5:$B$304,0))),"")</f>
        <v>0</v>
      </c>
      <c r="V171" s="17">
        <f>IF(D171="","",IFERROR(INDEX(Ingredients!$W$5:$W$304,MATCH(D171,Ingredients!$B$5:$B$304,0)),"Add to Ingredients"))</f>
        <v>0</v>
      </c>
      <c r="W171" s="17">
        <f>IF(D171="","",IFERROR(INDEX(Ingredients!$C$5:$C$304,MATCH(D171,Ingredients!$B$5:$B$304,0)),"Add to Ingredients"))</f>
        <v>0</v>
      </c>
      <c r="X171" s="45">
        <f>IFERROR(INDEX(Recipes!$AT$5:$AT$204,MATCH(B171,Recipes!$A$5:$A$204,0)),0)</f>
        <v>0</v>
      </c>
      <c r="Y171" s="45">
        <f>IF(OR(J171="",X171=0),"",J171*X171)</f>
        <v>0</v>
      </c>
      <c r="Z171" s="17">
        <f>IF(D171="","",B171&amp;"#"&amp;COUNTIFS($B$5:B171,B171))</f>
        <v>0</v>
      </c>
      <c r="AA171" s="17">
        <f>IF(D171="","",B171&amp;"|"&amp;D171)</f>
        <v>0</v>
      </c>
      <c r="AB171" s="31">
        <f>IF(D171="","",IF(B171="","Add - which recipe?",IF(COUNTIFS(Ingredients!$B$5:$B$304,D171)=0,"Missing - not in the Ingredients tab",IF(E171="","Add - no quantity",IF(F171="","Add - no unit",IF(K171&lt;&gt;L171,"Check - recipe in "&amp;K171&amp;", priced in "&amp;L171,IF(COUNTIFS($AA$5:$AA$1204,AA171)&gt;1,"Duplicate - same ingredient twice","OK")))))))</f>
        <v>0</v>
      </c>
    </row>
    <row r="172" spans="1:28">
      <c r="A172" s="39">
        <f>IF(D172="","","RL-"&amp;TEXT(ROW()-4,"0000"))</f>
        <v>0</v>
      </c>
      <c r="C172" s="17">
        <f>IF(B172="","",IFERROR(INDEX(Recipes!$B$5:$B$204,MATCH(B172,Recipes!$A$5:$A$204,0)),"Not found"))</f>
        <v>0</v>
      </c>
      <c r="J172" s="45">
        <f>IF(E172="","",IFERROR(E172*INDEX(UnitFactors,MATCH(F172,UnitNames,0)),""))</f>
        <v>0</v>
      </c>
      <c r="K172" s="17">
        <f>IF(F172="","",IFERROR(INDEX(UnitBases,MATCH(F172,UnitNames,0)),"?"))</f>
        <v>0</v>
      </c>
      <c r="L172" s="17">
        <f>IF(D172="","",IFERROR(INDEX(Ingredients!$G$5:$G$304,MATCH(D172,Ingredients!$B$5:$B$304,0)),"Add to Ingredients"))</f>
        <v>0</v>
      </c>
      <c r="M172" s="25">
        <f>IF(D172="","",IFERROR(INDEX(Ingredients!$J$5:$J$304,MATCH(D172,Ingredients!$B$5:$B$304,0)),"Add to Ingredients"))</f>
        <v>0</v>
      </c>
      <c r="N172" s="25">
        <f>IF(OR(J172="",M172="",NOT(ISNUMBER(M172))),"",IF(K172&lt;&gt;L172,"",J172*M172))</f>
        <v>0</v>
      </c>
      <c r="O172" s="25">
        <f>IF(N172="","",IFERROR(N172/INDEX(Recipes!$G$5:$G$204,MATCH(B172,Recipes!$A$5:$A$204,0)),""))</f>
        <v>0</v>
      </c>
      <c r="P172" s="30">
        <f>IF(J172="","",IF(K172="each",J172,J172/100))</f>
        <v>0</v>
      </c>
      <c r="Q172" s="30">
        <f>IFERROR(IF(P172="","",P172*INDEX(Ingredients!$P$5:$P$304,MATCH(D172,Ingredients!$B$5:$B$304,0))),"")</f>
        <v>0</v>
      </c>
      <c r="R172" s="45">
        <f>IFERROR(IF(P172="","",P172*INDEX(Ingredients!$Q$5:$Q$304,MATCH(D172,Ingredients!$B$5:$B$304,0))),"")</f>
        <v>0</v>
      </c>
      <c r="S172" s="45">
        <f>IFERROR(IF(P172="","",P172*INDEX(Ingredients!$R$5:$R$304,MATCH(D172,Ingredients!$B$5:$B$304,0))),"")</f>
        <v>0</v>
      </c>
      <c r="T172" s="45">
        <f>IFERROR(IF(P172="","",P172*INDEX(Ingredients!$S$5:$S$304,MATCH(D172,Ingredients!$B$5:$B$304,0))),"")</f>
        <v>0</v>
      </c>
      <c r="U172" s="45">
        <f>IFERROR(IF(P172="","",P172*INDEX(Ingredients!$T$5:$T$304,MATCH(D172,Ingredients!$B$5:$B$304,0))),"")</f>
        <v>0</v>
      </c>
      <c r="V172" s="17">
        <f>IF(D172="","",IFERROR(INDEX(Ingredients!$W$5:$W$304,MATCH(D172,Ingredients!$B$5:$B$304,0)),"Add to Ingredients"))</f>
        <v>0</v>
      </c>
      <c r="W172" s="17">
        <f>IF(D172="","",IFERROR(INDEX(Ingredients!$C$5:$C$304,MATCH(D172,Ingredients!$B$5:$B$304,0)),"Add to Ingredients"))</f>
        <v>0</v>
      </c>
      <c r="X172" s="45">
        <f>IFERROR(INDEX(Recipes!$AT$5:$AT$204,MATCH(B172,Recipes!$A$5:$A$204,0)),0)</f>
        <v>0</v>
      </c>
      <c r="Y172" s="45">
        <f>IF(OR(J172="",X172=0),"",J172*X172)</f>
        <v>0</v>
      </c>
      <c r="Z172" s="17">
        <f>IF(D172="","",B172&amp;"#"&amp;COUNTIFS($B$5:B172,B172))</f>
        <v>0</v>
      </c>
      <c r="AA172" s="17">
        <f>IF(D172="","",B172&amp;"|"&amp;D172)</f>
        <v>0</v>
      </c>
      <c r="AB172" s="31">
        <f>IF(D172="","",IF(B172="","Add - which recipe?",IF(COUNTIFS(Ingredients!$B$5:$B$304,D172)=0,"Missing - not in the Ingredients tab",IF(E172="","Add - no quantity",IF(F172="","Add - no unit",IF(K172&lt;&gt;L172,"Check - recipe in "&amp;K172&amp;", priced in "&amp;L172,IF(COUNTIFS($AA$5:$AA$1204,AA172)&gt;1,"Duplicate - same ingredient twice","OK")))))))</f>
        <v>0</v>
      </c>
    </row>
    <row r="173" spans="1:28">
      <c r="A173" s="39">
        <f>IF(D173="","","RL-"&amp;TEXT(ROW()-4,"0000"))</f>
        <v>0</v>
      </c>
      <c r="C173" s="17">
        <f>IF(B173="","",IFERROR(INDEX(Recipes!$B$5:$B$204,MATCH(B173,Recipes!$A$5:$A$204,0)),"Not found"))</f>
        <v>0</v>
      </c>
      <c r="J173" s="45">
        <f>IF(E173="","",IFERROR(E173*INDEX(UnitFactors,MATCH(F173,UnitNames,0)),""))</f>
        <v>0</v>
      </c>
      <c r="K173" s="17">
        <f>IF(F173="","",IFERROR(INDEX(UnitBases,MATCH(F173,UnitNames,0)),"?"))</f>
        <v>0</v>
      </c>
      <c r="L173" s="17">
        <f>IF(D173="","",IFERROR(INDEX(Ingredients!$G$5:$G$304,MATCH(D173,Ingredients!$B$5:$B$304,0)),"Add to Ingredients"))</f>
        <v>0</v>
      </c>
      <c r="M173" s="25">
        <f>IF(D173="","",IFERROR(INDEX(Ingredients!$J$5:$J$304,MATCH(D173,Ingredients!$B$5:$B$304,0)),"Add to Ingredients"))</f>
        <v>0</v>
      </c>
      <c r="N173" s="25">
        <f>IF(OR(J173="",M173="",NOT(ISNUMBER(M173))),"",IF(K173&lt;&gt;L173,"",J173*M173))</f>
        <v>0</v>
      </c>
      <c r="O173" s="25">
        <f>IF(N173="","",IFERROR(N173/INDEX(Recipes!$G$5:$G$204,MATCH(B173,Recipes!$A$5:$A$204,0)),""))</f>
        <v>0</v>
      </c>
      <c r="P173" s="30">
        <f>IF(J173="","",IF(K173="each",J173,J173/100))</f>
        <v>0</v>
      </c>
      <c r="Q173" s="30">
        <f>IFERROR(IF(P173="","",P173*INDEX(Ingredients!$P$5:$P$304,MATCH(D173,Ingredients!$B$5:$B$304,0))),"")</f>
        <v>0</v>
      </c>
      <c r="R173" s="45">
        <f>IFERROR(IF(P173="","",P173*INDEX(Ingredients!$Q$5:$Q$304,MATCH(D173,Ingredients!$B$5:$B$304,0))),"")</f>
        <v>0</v>
      </c>
      <c r="S173" s="45">
        <f>IFERROR(IF(P173="","",P173*INDEX(Ingredients!$R$5:$R$304,MATCH(D173,Ingredients!$B$5:$B$304,0))),"")</f>
        <v>0</v>
      </c>
      <c r="T173" s="45">
        <f>IFERROR(IF(P173="","",P173*INDEX(Ingredients!$S$5:$S$304,MATCH(D173,Ingredients!$B$5:$B$304,0))),"")</f>
        <v>0</v>
      </c>
      <c r="U173" s="45">
        <f>IFERROR(IF(P173="","",P173*INDEX(Ingredients!$T$5:$T$304,MATCH(D173,Ingredients!$B$5:$B$304,0))),"")</f>
        <v>0</v>
      </c>
      <c r="V173" s="17">
        <f>IF(D173="","",IFERROR(INDEX(Ingredients!$W$5:$W$304,MATCH(D173,Ingredients!$B$5:$B$304,0)),"Add to Ingredients"))</f>
        <v>0</v>
      </c>
      <c r="W173" s="17">
        <f>IF(D173="","",IFERROR(INDEX(Ingredients!$C$5:$C$304,MATCH(D173,Ingredients!$B$5:$B$304,0)),"Add to Ingredients"))</f>
        <v>0</v>
      </c>
      <c r="X173" s="45">
        <f>IFERROR(INDEX(Recipes!$AT$5:$AT$204,MATCH(B173,Recipes!$A$5:$A$204,0)),0)</f>
        <v>0</v>
      </c>
      <c r="Y173" s="45">
        <f>IF(OR(J173="",X173=0),"",J173*X173)</f>
        <v>0</v>
      </c>
      <c r="Z173" s="17">
        <f>IF(D173="","",B173&amp;"#"&amp;COUNTIFS($B$5:B173,B173))</f>
        <v>0</v>
      </c>
      <c r="AA173" s="17">
        <f>IF(D173="","",B173&amp;"|"&amp;D173)</f>
        <v>0</v>
      </c>
      <c r="AB173" s="31">
        <f>IF(D173="","",IF(B173="","Add - which recipe?",IF(COUNTIFS(Ingredients!$B$5:$B$304,D173)=0,"Missing - not in the Ingredients tab",IF(E173="","Add - no quantity",IF(F173="","Add - no unit",IF(K173&lt;&gt;L173,"Check - recipe in "&amp;K173&amp;", priced in "&amp;L173,IF(COUNTIFS($AA$5:$AA$1204,AA173)&gt;1,"Duplicate - same ingredient twice","OK")))))))</f>
        <v>0</v>
      </c>
    </row>
    <row r="174" spans="1:28">
      <c r="A174" s="39">
        <f>IF(D174="","","RL-"&amp;TEXT(ROW()-4,"0000"))</f>
        <v>0</v>
      </c>
      <c r="C174" s="17">
        <f>IF(B174="","",IFERROR(INDEX(Recipes!$B$5:$B$204,MATCH(B174,Recipes!$A$5:$A$204,0)),"Not found"))</f>
        <v>0</v>
      </c>
      <c r="J174" s="45">
        <f>IF(E174="","",IFERROR(E174*INDEX(UnitFactors,MATCH(F174,UnitNames,0)),""))</f>
        <v>0</v>
      </c>
      <c r="K174" s="17">
        <f>IF(F174="","",IFERROR(INDEX(UnitBases,MATCH(F174,UnitNames,0)),"?"))</f>
        <v>0</v>
      </c>
      <c r="L174" s="17">
        <f>IF(D174="","",IFERROR(INDEX(Ingredients!$G$5:$G$304,MATCH(D174,Ingredients!$B$5:$B$304,0)),"Add to Ingredients"))</f>
        <v>0</v>
      </c>
      <c r="M174" s="25">
        <f>IF(D174="","",IFERROR(INDEX(Ingredients!$J$5:$J$304,MATCH(D174,Ingredients!$B$5:$B$304,0)),"Add to Ingredients"))</f>
        <v>0</v>
      </c>
      <c r="N174" s="25">
        <f>IF(OR(J174="",M174="",NOT(ISNUMBER(M174))),"",IF(K174&lt;&gt;L174,"",J174*M174))</f>
        <v>0</v>
      </c>
      <c r="O174" s="25">
        <f>IF(N174="","",IFERROR(N174/INDEX(Recipes!$G$5:$G$204,MATCH(B174,Recipes!$A$5:$A$204,0)),""))</f>
        <v>0</v>
      </c>
      <c r="P174" s="30">
        <f>IF(J174="","",IF(K174="each",J174,J174/100))</f>
        <v>0</v>
      </c>
      <c r="Q174" s="30">
        <f>IFERROR(IF(P174="","",P174*INDEX(Ingredients!$P$5:$P$304,MATCH(D174,Ingredients!$B$5:$B$304,0))),"")</f>
        <v>0</v>
      </c>
      <c r="R174" s="45">
        <f>IFERROR(IF(P174="","",P174*INDEX(Ingredients!$Q$5:$Q$304,MATCH(D174,Ingredients!$B$5:$B$304,0))),"")</f>
        <v>0</v>
      </c>
      <c r="S174" s="45">
        <f>IFERROR(IF(P174="","",P174*INDEX(Ingredients!$R$5:$R$304,MATCH(D174,Ingredients!$B$5:$B$304,0))),"")</f>
        <v>0</v>
      </c>
      <c r="T174" s="45">
        <f>IFERROR(IF(P174="","",P174*INDEX(Ingredients!$S$5:$S$304,MATCH(D174,Ingredients!$B$5:$B$304,0))),"")</f>
        <v>0</v>
      </c>
      <c r="U174" s="45">
        <f>IFERROR(IF(P174="","",P174*INDEX(Ingredients!$T$5:$T$304,MATCH(D174,Ingredients!$B$5:$B$304,0))),"")</f>
        <v>0</v>
      </c>
      <c r="V174" s="17">
        <f>IF(D174="","",IFERROR(INDEX(Ingredients!$W$5:$W$304,MATCH(D174,Ingredients!$B$5:$B$304,0)),"Add to Ingredients"))</f>
        <v>0</v>
      </c>
      <c r="W174" s="17">
        <f>IF(D174="","",IFERROR(INDEX(Ingredients!$C$5:$C$304,MATCH(D174,Ingredients!$B$5:$B$304,0)),"Add to Ingredients"))</f>
        <v>0</v>
      </c>
      <c r="X174" s="45">
        <f>IFERROR(INDEX(Recipes!$AT$5:$AT$204,MATCH(B174,Recipes!$A$5:$A$204,0)),0)</f>
        <v>0</v>
      </c>
      <c r="Y174" s="45">
        <f>IF(OR(J174="",X174=0),"",J174*X174)</f>
        <v>0</v>
      </c>
      <c r="Z174" s="17">
        <f>IF(D174="","",B174&amp;"#"&amp;COUNTIFS($B$5:B174,B174))</f>
        <v>0</v>
      </c>
      <c r="AA174" s="17">
        <f>IF(D174="","",B174&amp;"|"&amp;D174)</f>
        <v>0</v>
      </c>
      <c r="AB174" s="31">
        <f>IF(D174="","",IF(B174="","Add - which recipe?",IF(COUNTIFS(Ingredients!$B$5:$B$304,D174)=0,"Missing - not in the Ingredients tab",IF(E174="","Add - no quantity",IF(F174="","Add - no unit",IF(K174&lt;&gt;L174,"Check - recipe in "&amp;K174&amp;", priced in "&amp;L174,IF(COUNTIFS($AA$5:$AA$1204,AA174)&gt;1,"Duplicate - same ingredient twice","OK")))))))</f>
        <v>0</v>
      </c>
    </row>
    <row r="175" spans="1:28">
      <c r="A175" s="39">
        <f>IF(D175="","","RL-"&amp;TEXT(ROW()-4,"0000"))</f>
        <v>0</v>
      </c>
      <c r="C175" s="17">
        <f>IF(B175="","",IFERROR(INDEX(Recipes!$B$5:$B$204,MATCH(B175,Recipes!$A$5:$A$204,0)),"Not found"))</f>
        <v>0</v>
      </c>
      <c r="J175" s="45">
        <f>IF(E175="","",IFERROR(E175*INDEX(UnitFactors,MATCH(F175,UnitNames,0)),""))</f>
        <v>0</v>
      </c>
      <c r="K175" s="17">
        <f>IF(F175="","",IFERROR(INDEX(UnitBases,MATCH(F175,UnitNames,0)),"?"))</f>
        <v>0</v>
      </c>
      <c r="L175" s="17">
        <f>IF(D175="","",IFERROR(INDEX(Ingredients!$G$5:$G$304,MATCH(D175,Ingredients!$B$5:$B$304,0)),"Add to Ingredients"))</f>
        <v>0</v>
      </c>
      <c r="M175" s="25">
        <f>IF(D175="","",IFERROR(INDEX(Ingredients!$J$5:$J$304,MATCH(D175,Ingredients!$B$5:$B$304,0)),"Add to Ingredients"))</f>
        <v>0</v>
      </c>
      <c r="N175" s="25">
        <f>IF(OR(J175="",M175="",NOT(ISNUMBER(M175))),"",IF(K175&lt;&gt;L175,"",J175*M175))</f>
        <v>0</v>
      </c>
      <c r="O175" s="25">
        <f>IF(N175="","",IFERROR(N175/INDEX(Recipes!$G$5:$G$204,MATCH(B175,Recipes!$A$5:$A$204,0)),""))</f>
        <v>0</v>
      </c>
      <c r="P175" s="30">
        <f>IF(J175="","",IF(K175="each",J175,J175/100))</f>
        <v>0</v>
      </c>
      <c r="Q175" s="30">
        <f>IFERROR(IF(P175="","",P175*INDEX(Ingredients!$P$5:$P$304,MATCH(D175,Ingredients!$B$5:$B$304,0))),"")</f>
        <v>0</v>
      </c>
      <c r="R175" s="45">
        <f>IFERROR(IF(P175="","",P175*INDEX(Ingredients!$Q$5:$Q$304,MATCH(D175,Ingredients!$B$5:$B$304,0))),"")</f>
        <v>0</v>
      </c>
      <c r="S175" s="45">
        <f>IFERROR(IF(P175="","",P175*INDEX(Ingredients!$R$5:$R$304,MATCH(D175,Ingredients!$B$5:$B$304,0))),"")</f>
        <v>0</v>
      </c>
      <c r="T175" s="45">
        <f>IFERROR(IF(P175="","",P175*INDEX(Ingredients!$S$5:$S$304,MATCH(D175,Ingredients!$B$5:$B$304,0))),"")</f>
        <v>0</v>
      </c>
      <c r="U175" s="45">
        <f>IFERROR(IF(P175="","",P175*INDEX(Ingredients!$T$5:$T$304,MATCH(D175,Ingredients!$B$5:$B$304,0))),"")</f>
        <v>0</v>
      </c>
      <c r="V175" s="17">
        <f>IF(D175="","",IFERROR(INDEX(Ingredients!$W$5:$W$304,MATCH(D175,Ingredients!$B$5:$B$304,0)),"Add to Ingredients"))</f>
        <v>0</v>
      </c>
      <c r="W175" s="17">
        <f>IF(D175="","",IFERROR(INDEX(Ingredients!$C$5:$C$304,MATCH(D175,Ingredients!$B$5:$B$304,0)),"Add to Ingredients"))</f>
        <v>0</v>
      </c>
      <c r="X175" s="45">
        <f>IFERROR(INDEX(Recipes!$AT$5:$AT$204,MATCH(B175,Recipes!$A$5:$A$204,0)),0)</f>
        <v>0</v>
      </c>
      <c r="Y175" s="45">
        <f>IF(OR(J175="",X175=0),"",J175*X175)</f>
        <v>0</v>
      </c>
      <c r="Z175" s="17">
        <f>IF(D175="","",B175&amp;"#"&amp;COUNTIFS($B$5:B175,B175))</f>
        <v>0</v>
      </c>
      <c r="AA175" s="17">
        <f>IF(D175="","",B175&amp;"|"&amp;D175)</f>
        <v>0</v>
      </c>
      <c r="AB175" s="31">
        <f>IF(D175="","",IF(B175="","Add - which recipe?",IF(COUNTIFS(Ingredients!$B$5:$B$304,D175)=0,"Missing - not in the Ingredients tab",IF(E175="","Add - no quantity",IF(F175="","Add - no unit",IF(K175&lt;&gt;L175,"Check - recipe in "&amp;K175&amp;", priced in "&amp;L175,IF(COUNTIFS($AA$5:$AA$1204,AA175)&gt;1,"Duplicate - same ingredient twice","OK")))))))</f>
        <v>0</v>
      </c>
    </row>
    <row r="176" spans="1:28">
      <c r="A176" s="39">
        <f>IF(D176="","","RL-"&amp;TEXT(ROW()-4,"0000"))</f>
        <v>0</v>
      </c>
      <c r="C176" s="17">
        <f>IF(B176="","",IFERROR(INDEX(Recipes!$B$5:$B$204,MATCH(B176,Recipes!$A$5:$A$204,0)),"Not found"))</f>
        <v>0</v>
      </c>
      <c r="J176" s="45">
        <f>IF(E176="","",IFERROR(E176*INDEX(UnitFactors,MATCH(F176,UnitNames,0)),""))</f>
        <v>0</v>
      </c>
      <c r="K176" s="17">
        <f>IF(F176="","",IFERROR(INDEX(UnitBases,MATCH(F176,UnitNames,0)),"?"))</f>
        <v>0</v>
      </c>
      <c r="L176" s="17">
        <f>IF(D176="","",IFERROR(INDEX(Ingredients!$G$5:$G$304,MATCH(D176,Ingredients!$B$5:$B$304,0)),"Add to Ingredients"))</f>
        <v>0</v>
      </c>
      <c r="M176" s="25">
        <f>IF(D176="","",IFERROR(INDEX(Ingredients!$J$5:$J$304,MATCH(D176,Ingredients!$B$5:$B$304,0)),"Add to Ingredients"))</f>
        <v>0</v>
      </c>
      <c r="N176" s="25">
        <f>IF(OR(J176="",M176="",NOT(ISNUMBER(M176))),"",IF(K176&lt;&gt;L176,"",J176*M176))</f>
        <v>0</v>
      </c>
      <c r="O176" s="25">
        <f>IF(N176="","",IFERROR(N176/INDEX(Recipes!$G$5:$G$204,MATCH(B176,Recipes!$A$5:$A$204,0)),""))</f>
        <v>0</v>
      </c>
      <c r="P176" s="30">
        <f>IF(J176="","",IF(K176="each",J176,J176/100))</f>
        <v>0</v>
      </c>
      <c r="Q176" s="30">
        <f>IFERROR(IF(P176="","",P176*INDEX(Ingredients!$P$5:$P$304,MATCH(D176,Ingredients!$B$5:$B$304,0))),"")</f>
        <v>0</v>
      </c>
      <c r="R176" s="45">
        <f>IFERROR(IF(P176="","",P176*INDEX(Ingredients!$Q$5:$Q$304,MATCH(D176,Ingredients!$B$5:$B$304,0))),"")</f>
        <v>0</v>
      </c>
      <c r="S176" s="45">
        <f>IFERROR(IF(P176="","",P176*INDEX(Ingredients!$R$5:$R$304,MATCH(D176,Ingredients!$B$5:$B$304,0))),"")</f>
        <v>0</v>
      </c>
      <c r="T176" s="45">
        <f>IFERROR(IF(P176="","",P176*INDEX(Ingredients!$S$5:$S$304,MATCH(D176,Ingredients!$B$5:$B$304,0))),"")</f>
        <v>0</v>
      </c>
      <c r="U176" s="45">
        <f>IFERROR(IF(P176="","",P176*INDEX(Ingredients!$T$5:$T$304,MATCH(D176,Ingredients!$B$5:$B$304,0))),"")</f>
        <v>0</v>
      </c>
      <c r="V176" s="17">
        <f>IF(D176="","",IFERROR(INDEX(Ingredients!$W$5:$W$304,MATCH(D176,Ingredients!$B$5:$B$304,0)),"Add to Ingredients"))</f>
        <v>0</v>
      </c>
      <c r="W176" s="17">
        <f>IF(D176="","",IFERROR(INDEX(Ingredients!$C$5:$C$304,MATCH(D176,Ingredients!$B$5:$B$304,0)),"Add to Ingredients"))</f>
        <v>0</v>
      </c>
      <c r="X176" s="45">
        <f>IFERROR(INDEX(Recipes!$AT$5:$AT$204,MATCH(B176,Recipes!$A$5:$A$204,0)),0)</f>
        <v>0</v>
      </c>
      <c r="Y176" s="45">
        <f>IF(OR(J176="",X176=0),"",J176*X176)</f>
        <v>0</v>
      </c>
      <c r="Z176" s="17">
        <f>IF(D176="","",B176&amp;"#"&amp;COUNTIFS($B$5:B176,B176))</f>
        <v>0</v>
      </c>
      <c r="AA176" s="17">
        <f>IF(D176="","",B176&amp;"|"&amp;D176)</f>
        <v>0</v>
      </c>
      <c r="AB176" s="31">
        <f>IF(D176="","",IF(B176="","Add - which recipe?",IF(COUNTIFS(Ingredients!$B$5:$B$304,D176)=0,"Missing - not in the Ingredients tab",IF(E176="","Add - no quantity",IF(F176="","Add - no unit",IF(K176&lt;&gt;L176,"Check - recipe in "&amp;K176&amp;", priced in "&amp;L176,IF(COUNTIFS($AA$5:$AA$1204,AA176)&gt;1,"Duplicate - same ingredient twice","OK")))))))</f>
        <v>0</v>
      </c>
    </row>
    <row r="177" spans="1:28">
      <c r="A177" s="39">
        <f>IF(D177="","","RL-"&amp;TEXT(ROW()-4,"0000"))</f>
        <v>0</v>
      </c>
      <c r="C177" s="17">
        <f>IF(B177="","",IFERROR(INDEX(Recipes!$B$5:$B$204,MATCH(B177,Recipes!$A$5:$A$204,0)),"Not found"))</f>
        <v>0</v>
      </c>
      <c r="J177" s="45">
        <f>IF(E177="","",IFERROR(E177*INDEX(UnitFactors,MATCH(F177,UnitNames,0)),""))</f>
        <v>0</v>
      </c>
      <c r="K177" s="17">
        <f>IF(F177="","",IFERROR(INDEX(UnitBases,MATCH(F177,UnitNames,0)),"?"))</f>
        <v>0</v>
      </c>
      <c r="L177" s="17">
        <f>IF(D177="","",IFERROR(INDEX(Ingredients!$G$5:$G$304,MATCH(D177,Ingredients!$B$5:$B$304,0)),"Add to Ingredients"))</f>
        <v>0</v>
      </c>
      <c r="M177" s="25">
        <f>IF(D177="","",IFERROR(INDEX(Ingredients!$J$5:$J$304,MATCH(D177,Ingredients!$B$5:$B$304,0)),"Add to Ingredients"))</f>
        <v>0</v>
      </c>
      <c r="N177" s="25">
        <f>IF(OR(J177="",M177="",NOT(ISNUMBER(M177))),"",IF(K177&lt;&gt;L177,"",J177*M177))</f>
        <v>0</v>
      </c>
      <c r="O177" s="25">
        <f>IF(N177="","",IFERROR(N177/INDEX(Recipes!$G$5:$G$204,MATCH(B177,Recipes!$A$5:$A$204,0)),""))</f>
        <v>0</v>
      </c>
      <c r="P177" s="30">
        <f>IF(J177="","",IF(K177="each",J177,J177/100))</f>
        <v>0</v>
      </c>
      <c r="Q177" s="30">
        <f>IFERROR(IF(P177="","",P177*INDEX(Ingredients!$P$5:$P$304,MATCH(D177,Ingredients!$B$5:$B$304,0))),"")</f>
        <v>0</v>
      </c>
      <c r="R177" s="45">
        <f>IFERROR(IF(P177="","",P177*INDEX(Ingredients!$Q$5:$Q$304,MATCH(D177,Ingredients!$B$5:$B$304,0))),"")</f>
        <v>0</v>
      </c>
      <c r="S177" s="45">
        <f>IFERROR(IF(P177="","",P177*INDEX(Ingredients!$R$5:$R$304,MATCH(D177,Ingredients!$B$5:$B$304,0))),"")</f>
        <v>0</v>
      </c>
      <c r="T177" s="45">
        <f>IFERROR(IF(P177="","",P177*INDEX(Ingredients!$S$5:$S$304,MATCH(D177,Ingredients!$B$5:$B$304,0))),"")</f>
        <v>0</v>
      </c>
      <c r="U177" s="45">
        <f>IFERROR(IF(P177="","",P177*INDEX(Ingredients!$T$5:$T$304,MATCH(D177,Ingredients!$B$5:$B$304,0))),"")</f>
        <v>0</v>
      </c>
      <c r="V177" s="17">
        <f>IF(D177="","",IFERROR(INDEX(Ingredients!$W$5:$W$304,MATCH(D177,Ingredients!$B$5:$B$304,0)),"Add to Ingredients"))</f>
        <v>0</v>
      </c>
      <c r="W177" s="17">
        <f>IF(D177="","",IFERROR(INDEX(Ingredients!$C$5:$C$304,MATCH(D177,Ingredients!$B$5:$B$304,0)),"Add to Ingredients"))</f>
        <v>0</v>
      </c>
      <c r="X177" s="45">
        <f>IFERROR(INDEX(Recipes!$AT$5:$AT$204,MATCH(B177,Recipes!$A$5:$A$204,0)),0)</f>
        <v>0</v>
      </c>
      <c r="Y177" s="45">
        <f>IF(OR(J177="",X177=0),"",J177*X177)</f>
        <v>0</v>
      </c>
      <c r="Z177" s="17">
        <f>IF(D177="","",B177&amp;"#"&amp;COUNTIFS($B$5:B177,B177))</f>
        <v>0</v>
      </c>
      <c r="AA177" s="17">
        <f>IF(D177="","",B177&amp;"|"&amp;D177)</f>
        <v>0</v>
      </c>
      <c r="AB177" s="31">
        <f>IF(D177="","",IF(B177="","Add - which recipe?",IF(COUNTIFS(Ingredients!$B$5:$B$304,D177)=0,"Missing - not in the Ingredients tab",IF(E177="","Add - no quantity",IF(F177="","Add - no unit",IF(K177&lt;&gt;L177,"Check - recipe in "&amp;K177&amp;", priced in "&amp;L177,IF(COUNTIFS($AA$5:$AA$1204,AA177)&gt;1,"Duplicate - same ingredient twice","OK")))))))</f>
        <v>0</v>
      </c>
    </row>
    <row r="178" spans="1:28">
      <c r="A178" s="39">
        <f>IF(D178="","","RL-"&amp;TEXT(ROW()-4,"0000"))</f>
        <v>0</v>
      </c>
      <c r="C178" s="17">
        <f>IF(B178="","",IFERROR(INDEX(Recipes!$B$5:$B$204,MATCH(B178,Recipes!$A$5:$A$204,0)),"Not found"))</f>
        <v>0</v>
      </c>
      <c r="J178" s="45">
        <f>IF(E178="","",IFERROR(E178*INDEX(UnitFactors,MATCH(F178,UnitNames,0)),""))</f>
        <v>0</v>
      </c>
      <c r="K178" s="17">
        <f>IF(F178="","",IFERROR(INDEX(UnitBases,MATCH(F178,UnitNames,0)),"?"))</f>
        <v>0</v>
      </c>
      <c r="L178" s="17">
        <f>IF(D178="","",IFERROR(INDEX(Ingredients!$G$5:$G$304,MATCH(D178,Ingredients!$B$5:$B$304,0)),"Add to Ingredients"))</f>
        <v>0</v>
      </c>
      <c r="M178" s="25">
        <f>IF(D178="","",IFERROR(INDEX(Ingredients!$J$5:$J$304,MATCH(D178,Ingredients!$B$5:$B$304,0)),"Add to Ingredients"))</f>
        <v>0</v>
      </c>
      <c r="N178" s="25">
        <f>IF(OR(J178="",M178="",NOT(ISNUMBER(M178))),"",IF(K178&lt;&gt;L178,"",J178*M178))</f>
        <v>0</v>
      </c>
      <c r="O178" s="25">
        <f>IF(N178="","",IFERROR(N178/INDEX(Recipes!$G$5:$G$204,MATCH(B178,Recipes!$A$5:$A$204,0)),""))</f>
        <v>0</v>
      </c>
      <c r="P178" s="30">
        <f>IF(J178="","",IF(K178="each",J178,J178/100))</f>
        <v>0</v>
      </c>
      <c r="Q178" s="30">
        <f>IFERROR(IF(P178="","",P178*INDEX(Ingredients!$P$5:$P$304,MATCH(D178,Ingredients!$B$5:$B$304,0))),"")</f>
        <v>0</v>
      </c>
      <c r="R178" s="45">
        <f>IFERROR(IF(P178="","",P178*INDEX(Ingredients!$Q$5:$Q$304,MATCH(D178,Ingredients!$B$5:$B$304,0))),"")</f>
        <v>0</v>
      </c>
      <c r="S178" s="45">
        <f>IFERROR(IF(P178="","",P178*INDEX(Ingredients!$R$5:$R$304,MATCH(D178,Ingredients!$B$5:$B$304,0))),"")</f>
        <v>0</v>
      </c>
      <c r="T178" s="45">
        <f>IFERROR(IF(P178="","",P178*INDEX(Ingredients!$S$5:$S$304,MATCH(D178,Ingredients!$B$5:$B$304,0))),"")</f>
        <v>0</v>
      </c>
      <c r="U178" s="45">
        <f>IFERROR(IF(P178="","",P178*INDEX(Ingredients!$T$5:$T$304,MATCH(D178,Ingredients!$B$5:$B$304,0))),"")</f>
        <v>0</v>
      </c>
      <c r="V178" s="17">
        <f>IF(D178="","",IFERROR(INDEX(Ingredients!$W$5:$W$304,MATCH(D178,Ingredients!$B$5:$B$304,0)),"Add to Ingredients"))</f>
        <v>0</v>
      </c>
      <c r="W178" s="17">
        <f>IF(D178="","",IFERROR(INDEX(Ingredients!$C$5:$C$304,MATCH(D178,Ingredients!$B$5:$B$304,0)),"Add to Ingredients"))</f>
        <v>0</v>
      </c>
      <c r="X178" s="45">
        <f>IFERROR(INDEX(Recipes!$AT$5:$AT$204,MATCH(B178,Recipes!$A$5:$A$204,0)),0)</f>
        <v>0</v>
      </c>
      <c r="Y178" s="45">
        <f>IF(OR(J178="",X178=0),"",J178*X178)</f>
        <v>0</v>
      </c>
      <c r="Z178" s="17">
        <f>IF(D178="","",B178&amp;"#"&amp;COUNTIFS($B$5:B178,B178))</f>
        <v>0</v>
      </c>
      <c r="AA178" s="17">
        <f>IF(D178="","",B178&amp;"|"&amp;D178)</f>
        <v>0</v>
      </c>
      <c r="AB178" s="31">
        <f>IF(D178="","",IF(B178="","Add - which recipe?",IF(COUNTIFS(Ingredients!$B$5:$B$304,D178)=0,"Missing - not in the Ingredients tab",IF(E178="","Add - no quantity",IF(F178="","Add - no unit",IF(K178&lt;&gt;L178,"Check - recipe in "&amp;K178&amp;", priced in "&amp;L178,IF(COUNTIFS($AA$5:$AA$1204,AA178)&gt;1,"Duplicate - same ingredient twice","OK")))))))</f>
        <v>0</v>
      </c>
    </row>
    <row r="179" spans="1:28">
      <c r="A179" s="39">
        <f>IF(D179="","","RL-"&amp;TEXT(ROW()-4,"0000"))</f>
        <v>0</v>
      </c>
      <c r="C179" s="17">
        <f>IF(B179="","",IFERROR(INDEX(Recipes!$B$5:$B$204,MATCH(B179,Recipes!$A$5:$A$204,0)),"Not found"))</f>
        <v>0</v>
      </c>
      <c r="J179" s="45">
        <f>IF(E179="","",IFERROR(E179*INDEX(UnitFactors,MATCH(F179,UnitNames,0)),""))</f>
        <v>0</v>
      </c>
      <c r="K179" s="17">
        <f>IF(F179="","",IFERROR(INDEX(UnitBases,MATCH(F179,UnitNames,0)),"?"))</f>
        <v>0</v>
      </c>
      <c r="L179" s="17">
        <f>IF(D179="","",IFERROR(INDEX(Ingredients!$G$5:$G$304,MATCH(D179,Ingredients!$B$5:$B$304,0)),"Add to Ingredients"))</f>
        <v>0</v>
      </c>
      <c r="M179" s="25">
        <f>IF(D179="","",IFERROR(INDEX(Ingredients!$J$5:$J$304,MATCH(D179,Ingredients!$B$5:$B$304,0)),"Add to Ingredients"))</f>
        <v>0</v>
      </c>
      <c r="N179" s="25">
        <f>IF(OR(J179="",M179="",NOT(ISNUMBER(M179))),"",IF(K179&lt;&gt;L179,"",J179*M179))</f>
        <v>0</v>
      </c>
      <c r="O179" s="25">
        <f>IF(N179="","",IFERROR(N179/INDEX(Recipes!$G$5:$G$204,MATCH(B179,Recipes!$A$5:$A$204,0)),""))</f>
        <v>0</v>
      </c>
      <c r="P179" s="30">
        <f>IF(J179="","",IF(K179="each",J179,J179/100))</f>
        <v>0</v>
      </c>
      <c r="Q179" s="30">
        <f>IFERROR(IF(P179="","",P179*INDEX(Ingredients!$P$5:$P$304,MATCH(D179,Ingredients!$B$5:$B$304,0))),"")</f>
        <v>0</v>
      </c>
      <c r="R179" s="45">
        <f>IFERROR(IF(P179="","",P179*INDEX(Ingredients!$Q$5:$Q$304,MATCH(D179,Ingredients!$B$5:$B$304,0))),"")</f>
        <v>0</v>
      </c>
      <c r="S179" s="45">
        <f>IFERROR(IF(P179="","",P179*INDEX(Ingredients!$R$5:$R$304,MATCH(D179,Ingredients!$B$5:$B$304,0))),"")</f>
        <v>0</v>
      </c>
      <c r="T179" s="45">
        <f>IFERROR(IF(P179="","",P179*INDEX(Ingredients!$S$5:$S$304,MATCH(D179,Ingredients!$B$5:$B$304,0))),"")</f>
        <v>0</v>
      </c>
      <c r="U179" s="45">
        <f>IFERROR(IF(P179="","",P179*INDEX(Ingredients!$T$5:$T$304,MATCH(D179,Ingredients!$B$5:$B$304,0))),"")</f>
        <v>0</v>
      </c>
      <c r="V179" s="17">
        <f>IF(D179="","",IFERROR(INDEX(Ingredients!$W$5:$W$304,MATCH(D179,Ingredients!$B$5:$B$304,0)),"Add to Ingredients"))</f>
        <v>0</v>
      </c>
      <c r="W179" s="17">
        <f>IF(D179="","",IFERROR(INDEX(Ingredients!$C$5:$C$304,MATCH(D179,Ingredients!$B$5:$B$304,0)),"Add to Ingredients"))</f>
        <v>0</v>
      </c>
      <c r="X179" s="45">
        <f>IFERROR(INDEX(Recipes!$AT$5:$AT$204,MATCH(B179,Recipes!$A$5:$A$204,0)),0)</f>
        <v>0</v>
      </c>
      <c r="Y179" s="45">
        <f>IF(OR(J179="",X179=0),"",J179*X179)</f>
        <v>0</v>
      </c>
      <c r="Z179" s="17">
        <f>IF(D179="","",B179&amp;"#"&amp;COUNTIFS($B$5:B179,B179))</f>
        <v>0</v>
      </c>
      <c r="AA179" s="17">
        <f>IF(D179="","",B179&amp;"|"&amp;D179)</f>
        <v>0</v>
      </c>
      <c r="AB179" s="31">
        <f>IF(D179="","",IF(B179="","Add - which recipe?",IF(COUNTIFS(Ingredients!$B$5:$B$304,D179)=0,"Missing - not in the Ingredients tab",IF(E179="","Add - no quantity",IF(F179="","Add - no unit",IF(K179&lt;&gt;L179,"Check - recipe in "&amp;K179&amp;", priced in "&amp;L179,IF(COUNTIFS($AA$5:$AA$1204,AA179)&gt;1,"Duplicate - same ingredient twice","OK")))))))</f>
        <v>0</v>
      </c>
    </row>
    <row r="180" spans="1:28">
      <c r="A180" s="39">
        <f>IF(D180="","","RL-"&amp;TEXT(ROW()-4,"0000"))</f>
        <v>0</v>
      </c>
      <c r="C180" s="17">
        <f>IF(B180="","",IFERROR(INDEX(Recipes!$B$5:$B$204,MATCH(B180,Recipes!$A$5:$A$204,0)),"Not found"))</f>
        <v>0</v>
      </c>
      <c r="J180" s="45">
        <f>IF(E180="","",IFERROR(E180*INDEX(UnitFactors,MATCH(F180,UnitNames,0)),""))</f>
        <v>0</v>
      </c>
      <c r="K180" s="17">
        <f>IF(F180="","",IFERROR(INDEX(UnitBases,MATCH(F180,UnitNames,0)),"?"))</f>
        <v>0</v>
      </c>
      <c r="L180" s="17">
        <f>IF(D180="","",IFERROR(INDEX(Ingredients!$G$5:$G$304,MATCH(D180,Ingredients!$B$5:$B$304,0)),"Add to Ingredients"))</f>
        <v>0</v>
      </c>
      <c r="M180" s="25">
        <f>IF(D180="","",IFERROR(INDEX(Ingredients!$J$5:$J$304,MATCH(D180,Ingredients!$B$5:$B$304,0)),"Add to Ingredients"))</f>
        <v>0</v>
      </c>
      <c r="N180" s="25">
        <f>IF(OR(J180="",M180="",NOT(ISNUMBER(M180))),"",IF(K180&lt;&gt;L180,"",J180*M180))</f>
        <v>0</v>
      </c>
      <c r="O180" s="25">
        <f>IF(N180="","",IFERROR(N180/INDEX(Recipes!$G$5:$G$204,MATCH(B180,Recipes!$A$5:$A$204,0)),""))</f>
        <v>0</v>
      </c>
      <c r="P180" s="30">
        <f>IF(J180="","",IF(K180="each",J180,J180/100))</f>
        <v>0</v>
      </c>
      <c r="Q180" s="30">
        <f>IFERROR(IF(P180="","",P180*INDEX(Ingredients!$P$5:$P$304,MATCH(D180,Ingredients!$B$5:$B$304,0))),"")</f>
        <v>0</v>
      </c>
      <c r="R180" s="45">
        <f>IFERROR(IF(P180="","",P180*INDEX(Ingredients!$Q$5:$Q$304,MATCH(D180,Ingredients!$B$5:$B$304,0))),"")</f>
        <v>0</v>
      </c>
      <c r="S180" s="45">
        <f>IFERROR(IF(P180="","",P180*INDEX(Ingredients!$R$5:$R$304,MATCH(D180,Ingredients!$B$5:$B$304,0))),"")</f>
        <v>0</v>
      </c>
      <c r="T180" s="45">
        <f>IFERROR(IF(P180="","",P180*INDEX(Ingredients!$S$5:$S$304,MATCH(D180,Ingredients!$B$5:$B$304,0))),"")</f>
        <v>0</v>
      </c>
      <c r="U180" s="45">
        <f>IFERROR(IF(P180="","",P180*INDEX(Ingredients!$T$5:$T$304,MATCH(D180,Ingredients!$B$5:$B$304,0))),"")</f>
        <v>0</v>
      </c>
      <c r="V180" s="17">
        <f>IF(D180="","",IFERROR(INDEX(Ingredients!$W$5:$W$304,MATCH(D180,Ingredients!$B$5:$B$304,0)),"Add to Ingredients"))</f>
        <v>0</v>
      </c>
      <c r="W180" s="17">
        <f>IF(D180="","",IFERROR(INDEX(Ingredients!$C$5:$C$304,MATCH(D180,Ingredients!$B$5:$B$304,0)),"Add to Ingredients"))</f>
        <v>0</v>
      </c>
      <c r="X180" s="45">
        <f>IFERROR(INDEX(Recipes!$AT$5:$AT$204,MATCH(B180,Recipes!$A$5:$A$204,0)),0)</f>
        <v>0</v>
      </c>
      <c r="Y180" s="45">
        <f>IF(OR(J180="",X180=0),"",J180*X180)</f>
        <v>0</v>
      </c>
      <c r="Z180" s="17">
        <f>IF(D180="","",B180&amp;"#"&amp;COUNTIFS($B$5:B180,B180))</f>
        <v>0</v>
      </c>
      <c r="AA180" s="17">
        <f>IF(D180="","",B180&amp;"|"&amp;D180)</f>
        <v>0</v>
      </c>
      <c r="AB180" s="31">
        <f>IF(D180="","",IF(B180="","Add - which recipe?",IF(COUNTIFS(Ingredients!$B$5:$B$304,D180)=0,"Missing - not in the Ingredients tab",IF(E180="","Add - no quantity",IF(F180="","Add - no unit",IF(K180&lt;&gt;L180,"Check - recipe in "&amp;K180&amp;", priced in "&amp;L180,IF(COUNTIFS($AA$5:$AA$1204,AA180)&gt;1,"Duplicate - same ingredient twice","OK")))))))</f>
        <v>0</v>
      </c>
    </row>
    <row r="181" spans="1:28">
      <c r="A181" s="39">
        <f>IF(D181="","","RL-"&amp;TEXT(ROW()-4,"0000"))</f>
        <v>0</v>
      </c>
      <c r="C181" s="17">
        <f>IF(B181="","",IFERROR(INDEX(Recipes!$B$5:$B$204,MATCH(B181,Recipes!$A$5:$A$204,0)),"Not found"))</f>
        <v>0</v>
      </c>
      <c r="J181" s="45">
        <f>IF(E181="","",IFERROR(E181*INDEX(UnitFactors,MATCH(F181,UnitNames,0)),""))</f>
        <v>0</v>
      </c>
      <c r="K181" s="17">
        <f>IF(F181="","",IFERROR(INDEX(UnitBases,MATCH(F181,UnitNames,0)),"?"))</f>
        <v>0</v>
      </c>
      <c r="L181" s="17">
        <f>IF(D181="","",IFERROR(INDEX(Ingredients!$G$5:$G$304,MATCH(D181,Ingredients!$B$5:$B$304,0)),"Add to Ingredients"))</f>
        <v>0</v>
      </c>
      <c r="M181" s="25">
        <f>IF(D181="","",IFERROR(INDEX(Ingredients!$J$5:$J$304,MATCH(D181,Ingredients!$B$5:$B$304,0)),"Add to Ingredients"))</f>
        <v>0</v>
      </c>
      <c r="N181" s="25">
        <f>IF(OR(J181="",M181="",NOT(ISNUMBER(M181))),"",IF(K181&lt;&gt;L181,"",J181*M181))</f>
        <v>0</v>
      </c>
      <c r="O181" s="25">
        <f>IF(N181="","",IFERROR(N181/INDEX(Recipes!$G$5:$G$204,MATCH(B181,Recipes!$A$5:$A$204,0)),""))</f>
        <v>0</v>
      </c>
      <c r="P181" s="30">
        <f>IF(J181="","",IF(K181="each",J181,J181/100))</f>
        <v>0</v>
      </c>
      <c r="Q181" s="30">
        <f>IFERROR(IF(P181="","",P181*INDEX(Ingredients!$P$5:$P$304,MATCH(D181,Ingredients!$B$5:$B$304,0))),"")</f>
        <v>0</v>
      </c>
      <c r="R181" s="45">
        <f>IFERROR(IF(P181="","",P181*INDEX(Ingredients!$Q$5:$Q$304,MATCH(D181,Ingredients!$B$5:$B$304,0))),"")</f>
        <v>0</v>
      </c>
      <c r="S181" s="45">
        <f>IFERROR(IF(P181="","",P181*INDEX(Ingredients!$R$5:$R$304,MATCH(D181,Ingredients!$B$5:$B$304,0))),"")</f>
        <v>0</v>
      </c>
      <c r="T181" s="45">
        <f>IFERROR(IF(P181="","",P181*INDEX(Ingredients!$S$5:$S$304,MATCH(D181,Ingredients!$B$5:$B$304,0))),"")</f>
        <v>0</v>
      </c>
      <c r="U181" s="45">
        <f>IFERROR(IF(P181="","",P181*INDEX(Ingredients!$T$5:$T$304,MATCH(D181,Ingredients!$B$5:$B$304,0))),"")</f>
        <v>0</v>
      </c>
      <c r="V181" s="17">
        <f>IF(D181="","",IFERROR(INDEX(Ingredients!$W$5:$W$304,MATCH(D181,Ingredients!$B$5:$B$304,0)),"Add to Ingredients"))</f>
        <v>0</v>
      </c>
      <c r="W181" s="17">
        <f>IF(D181="","",IFERROR(INDEX(Ingredients!$C$5:$C$304,MATCH(D181,Ingredients!$B$5:$B$304,0)),"Add to Ingredients"))</f>
        <v>0</v>
      </c>
      <c r="X181" s="45">
        <f>IFERROR(INDEX(Recipes!$AT$5:$AT$204,MATCH(B181,Recipes!$A$5:$A$204,0)),0)</f>
        <v>0</v>
      </c>
      <c r="Y181" s="45">
        <f>IF(OR(J181="",X181=0),"",J181*X181)</f>
        <v>0</v>
      </c>
      <c r="Z181" s="17">
        <f>IF(D181="","",B181&amp;"#"&amp;COUNTIFS($B$5:B181,B181))</f>
        <v>0</v>
      </c>
      <c r="AA181" s="17">
        <f>IF(D181="","",B181&amp;"|"&amp;D181)</f>
        <v>0</v>
      </c>
      <c r="AB181" s="31">
        <f>IF(D181="","",IF(B181="","Add - which recipe?",IF(COUNTIFS(Ingredients!$B$5:$B$304,D181)=0,"Missing - not in the Ingredients tab",IF(E181="","Add - no quantity",IF(F181="","Add - no unit",IF(K181&lt;&gt;L181,"Check - recipe in "&amp;K181&amp;", priced in "&amp;L181,IF(COUNTIFS($AA$5:$AA$1204,AA181)&gt;1,"Duplicate - same ingredient twice","OK")))))))</f>
        <v>0</v>
      </c>
    </row>
    <row r="182" spans="1:28">
      <c r="A182" s="39">
        <f>IF(D182="","","RL-"&amp;TEXT(ROW()-4,"0000"))</f>
        <v>0</v>
      </c>
      <c r="C182" s="17">
        <f>IF(B182="","",IFERROR(INDEX(Recipes!$B$5:$B$204,MATCH(B182,Recipes!$A$5:$A$204,0)),"Not found"))</f>
        <v>0</v>
      </c>
      <c r="J182" s="45">
        <f>IF(E182="","",IFERROR(E182*INDEX(UnitFactors,MATCH(F182,UnitNames,0)),""))</f>
        <v>0</v>
      </c>
      <c r="K182" s="17">
        <f>IF(F182="","",IFERROR(INDEX(UnitBases,MATCH(F182,UnitNames,0)),"?"))</f>
        <v>0</v>
      </c>
      <c r="L182" s="17">
        <f>IF(D182="","",IFERROR(INDEX(Ingredients!$G$5:$G$304,MATCH(D182,Ingredients!$B$5:$B$304,0)),"Add to Ingredients"))</f>
        <v>0</v>
      </c>
      <c r="M182" s="25">
        <f>IF(D182="","",IFERROR(INDEX(Ingredients!$J$5:$J$304,MATCH(D182,Ingredients!$B$5:$B$304,0)),"Add to Ingredients"))</f>
        <v>0</v>
      </c>
      <c r="N182" s="25">
        <f>IF(OR(J182="",M182="",NOT(ISNUMBER(M182))),"",IF(K182&lt;&gt;L182,"",J182*M182))</f>
        <v>0</v>
      </c>
      <c r="O182" s="25">
        <f>IF(N182="","",IFERROR(N182/INDEX(Recipes!$G$5:$G$204,MATCH(B182,Recipes!$A$5:$A$204,0)),""))</f>
        <v>0</v>
      </c>
      <c r="P182" s="30">
        <f>IF(J182="","",IF(K182="each",J182,J182/100))</f>
        <v>0</v>
      </c>
      <c r="Q182" s="30">
        <f>IFERROR(IF(P182="","",P182*INDEX(Ingredients!$P$5:$P$304,MATCH(D182,Ingredients!$B$5:$B$304,0))),"")</f>
        <v>0</v>
      </c>
      <c r="R182" s="45">
        <f>IFERROR(IF(P182="","",P182*INDEX(Ingredients!$Q$5:$Q$304,MATCH(D182,Ingredients!$B$5:$B$304,0))),"")</f>
        <v>0</v>
      </c>
      <c r="S182" s="45">
        <f>IFERROR(IF(P182="","",P182*INDEX(Ingredients!$R$5:$R$304,MATCH(D182,Ingredients!$B$5:$B$304,0))),"")</f>
        <v>0</v>
      </c>
      <c r="T182" s="45">
        <f>IFERROR(IF(P182="","",P182*INDEX(Ingredients!$S$5:$S$304,MATCH(D182,Ingredients!$B$5:$B$304,0))),"")</f>
        <v>0</v>
      </c>
      <c r="U182" s="45">
        <f>IFERROR(IF(P182="","",P182*INDEX(Ingredients!$T$5:$T$304,MATCH(D182,Ingredients!$B$5:$B$304,0))),"")</f>
        <v>0</v>
      </c>
      <c r="V182" s="17">
        <f>IF(D182="","",IFERROR(INDEX(Ingredients!$W$5:$W$304,MATCH(D182,Ingredients!$B$5:$B$304,0)),"Add to Ingredients"))</f>
        <v>0</v>
      </c>
      <c r="W182" s="17">
        <f>IF(D182="","",IFERROR(INDEX(Ingredients!$C$5:$C$304,MATCH(D182,Ingredients!$B$5:$B$304,0)),"Add to Ingredients"))</f>
        <v>0</v>
      </c>
      <c r="X182" s="45">
        <f>IFERROR(INDEX(Recipes!$AT$5:$AT$204,MATCH(B182,Recipes!$A$5:$A$204,0)),0)</f>
        <v>0</v>
      </c>
      <c r="Y182" s="45">
        <f>IF(OR(J182="",X182=0),"",J182*X182)</f>
        <v>0</v>
      </c>
      <c r="Z182" s="17">
        <f>IF(D182="","",B182&amp;"#"&amp;COUNTIFS($B$5:B182,B182))</f>
        <v>0</v>
      </c>
      <c r="AA182" s="17">
        <f>IF(D182="","",B182&amp;"|"&amp;D182)</f>
        <v>0</v>
      </c>
      <c r="AB182" s="31">
        <f>IF(D182="","",IF(B182="","Add - which recipe?",IF(COUNTIFS(Ingredients!$B$5:$B$304,D182)=0,"Missing - not in the Ingredients tab",IF(E182="","Add - no quantity",IF(F182="","Add - no unit",IF(K182&lt;&gt;L182,"Check - recipe in "&amp;K182&amp;", priced in "&amp;L182,IF(COUNTIFS($AA$5:$AA$1204,AA182)&gt;1,"Duplicate - same ingredient twice","OK")))))))</f>
        <v>0</v>
      </c>
    </row>
    <row r="183" spans="1:28">
      <c r="A183" s="39">
        <f>IF(D183="","","RL-"&amp;TEXT(ROW()-4,"0000"))</f>
        <v>0</v>
      </c>
      <c r="C183" s="17">
        <f>IF(B183="","",IFERROR(INDEX(Recipes!$B$5:$B$204,MATCH(B183,Recipes!$A$5:$A$204,0)),"Not found"))</f>
        <v>0</v>
      </c>
      <c r="J183" s="45">
        <f>IF(E183="","",IFERROR(E183*INDEX(UnitFactors,MATCH(F183,UnitNames,0)),""))</f>
        <v>0</v>
      </c>
      <c r="K183" s="17">
        <f>IF(F183="","",IFERROR(INDEX(UnitBases,MATCH(F183,UnitNames,0)),"?"))</f>
        <v>0</v>
      </c>
      <c r="L183" s="17">
        <f>IF(D183="","",IFERROR(INDEX(Ingredients!$G$5:$G$304,MATCH(D183,Ingredients!$B$5:$B$304,0)),"Add to Ingredients"))</f>
        <v>0</v>
      </c>
      <c r="M183" s="25">
        <f>IF(D183="","",IFERROR(INDEX(Ingredients!$J$5:$J$304,MATCH(D183,Ingredients!$B$5:$B$304,0)),"Add to Ingredients"))</f>
        <v>0</v>
      </c>
      <c r="N183" s="25">
        <f>IF(OR(J183="",M183="",NOT(ISNUMBER(M183))),"",IF(K183&lt;&gt;L183,"",J183*M183))</f>
        <v>0</v>
      </c>
      <c r="O183" s="25">
        <f>IF(N183="","",IFERROR(N183/INDEX(Recipes!$G$5:$G$204,MATCH(B183,Recipes!$A$5:$A$204,0)),""))</f>
        <v>0</v>
      </c>
      <c r="P183" s="30">
        <f>IF(J183="","",IF(K183="each",J183,J183/100))</f>
        <v>0</v>
      </c>
      <c r="Q183" s="30">
        <f>IFERROR(IF(P183="","",P183*INDEX(Ingredients!$P$5:$P$304,MATCH(D183,Ingredients!$B$5:$B$304,0))),"")</f>
        <v>0</v>
      </c>
      <c r="R183" s="45">
        <f>IFERROR(IF(P183="","",P183*INDEX(Ingredients!$Q$5:$Q$304,MATCH(D183,Ingredients!$B$5:$B$304,0))),"")</f>
        <v>0</v>
      </c>
      <c r="S183" s="45">
        <f>IFERROR(IF(P183="","",P183*INDEX(Ingredients!$R$5:$R$304,MATCH(D183,Ingredients!$B$5:$B$304,0))),"")</f>
        <v>0</v>
      </c>
      <c r="T183" s="45">
        <f>IFERROR(IF(P183="","",P183*INDEX(Ingredients!$S$5:$S$304,MATCH(D183,Ingredients!$B$5:$B$304,0))),"")</f>
        <v>0</v>
      </c>
      <c r="U183" s="45">
        <f>IFERROR(IF(P183="","",P183*INDEX(Ingredients!$T$5:$T$304,MATCH(D183,Ingredients!$B$5:$B$304,0))),"")</f>
        <v>0</v>
      </c>
      <c r="V183" s="17">
        <f>IF(D183="","",IFERROR(INDEX(Ingredients!$W$5:$W$304,MATCH(D183,Ingredients!$B$5:$B$304,0)),"Add to Ingredients"))</f>
        <v>0</v>
      </c>
      <c r="W183" s="17">
        <f>IF(D183="","",IFERROR(INDEX(Ingredients!$C$5:$C$304,MATCH(D183,Ingredients!$B$5:$B$304,0)),"Add to Ingredients"))</f>
        <v>0</v>
      </c>
      <c r="X183" s="45">
        <f>IFERROR(INDEX(Recipes!$AT$5:$AT$204,MATCH(B183,Recipes!$A$5:$A$204,0)),0)</f>
        <v>0</v>
      </c>
      <c r="Y183" s="45">
        <f>IF(OR(J183="",X183=0),"",J183*X183)</f>
        <v>0</v>
      </c>
      <c r="Z183" s="17">
        <f>IF(D183="","",B183&amp;"#"&amp;COUNTIFS($B$5:B183,B183))</f>
        <v>0</v>
      </c>
      <c r="AA183" s="17">
        <f>IF(D183="","",B183&amp;"|"&amp;D183)</f>
        <v>0</v>
      </c>
      <c r="AB183" s="31">
        <f>IF(D183="","",IF(B183="","Add - which recipe?",IF(COUNTIFS(Ingredients!$B$5:$B$304,D183)=0,"Missing - not in the Ingredients tab",IF(E183="","Add - no quantity",IF(F183="","Add - no unit",IF(K183&lt;&gt;L183,"Check - recipe in "&amp;K183&amp;", priced in "&amp;L183,IF(COUNTIFS($AA$5:$AA$1204,AA183)&gt;1,"Duplicate - same ingredient twice","OK")))))))</f>
        <v>0</v>
      </c>
    </row>
    <row r="184" spans="1:28">
      <c r="A184" s="39">
        <f>IF(D184="","","RL-"&amp;TEXT(ROW()-4,"0000"))</f>
        <v>0</v>
      </c>
      <c r="C184" s="17">
        <f>IF(B184="","",IFERROR(INDEX(Recipes!$B$5:$B$204,MATCH(B184,Recipes!$A$5:$A$204,0)),"Not found"))</f>
        <v>0</v>
      </c>
      <c r="J184" s="45">
        <f>IF(E184="","",IFERROR(E184*INDEX(UnitFactors,MATCH(F184,UnitNames,0)),""))</f>
        <v>0</v>
      </c>
      <c r="K184" s="17">
        <f>IF(F184="","",IFERROR(INDEX(UnitBases,MATCH(F184,UnitNames,0)),"?"))</f>
        <v>0</v>
      </c>
      <c r="L184" s="17">
        <f>IF(D184="","",IFERROR(INDEX(Ingredients!$G$5:$G$304,MATCH(D184,Ingredients!$B$5:$B$304,0)),"Add to Ingredients"))</f>
        <v>0</v>
      </c>
      <c r="M184" s="25">
        <f>IF(D184="","",IFERROR(INDEX(Ingredients!$J$5:$J$304,MATCH(D184,Ingredients!$B$5:$B$304,0)),"Add to Ingredients"))</f>
        <v>0</v>
      </c>
      <c r="N184" s="25">
        <f>IF(OR(J184="",M184="",NOT(ISNUMBER(M184))),"",IF(K184&lt;&gt;L184,"",J184*M184))</f>
        <v>0</v>
      </c>
      <c r="O184" s="25">
        <f>IF(N184="","",IFERROR(N184/INDEX(Recipes!$G$5:$G$204,MATCH(B184,Recipes!$A$5:$A$204,0)),""))</f>
        <v>0</v>
      </c>
      <c r="P184" s="30">
        <f>IF(J184="","",IF(K184="each",J184,J184/100))</f>
        <v>0</v>
      </c>
      <c r="Q184" s="30">
        <f>IFERROR(IF(P184="","",P184*INDEX(Ingredients!$P$5:$P$304,MATCH(D184,Ingredients!$B$5:$B$304,0))),"")</f>
        <v>0</v>
      </c>
      <c r="R184" s="45">
        <f>IFERROR(IF(P184="","",P184*INDEX(Ingredients!$Q$5:$Q$304,MATCH(D184,Ingredients!$B$5:$B$304,0))),"")</f>
        <v>0</v>
      </c>
      <c r="S184" s="45">
        <f>IFERROR(IF(P184="","",P184*INDEX(Ingredients!$R$5:$R$304,MATCH(D184,Ingredients!$B$5:$B$304,0))),"")</f>
        <v>0</v>
      </c>
      <c r="T184" s="45">
        <f>IFERROR(IF(P184="","",P184*INDEX(Ingredients!$S$5:$S$304,MATCH(D184,Ingredients!$B$5:$B$304,0))),"")</f>
        <v>0</v>
      </c>
      <c r="U184" s="45">
        <f>IFERROR(IF(P184="","",P184*INDEX(Ingredients!$T$5:$T$304,MATCH(D184,Ingredients!$B$5:$B$304,0))),"")</f>
        <v>0</v>
      </c>
      <c r="V184" s="17">
        <f>IF(D184="","",IFERROR(INDEX(Ingredients!$W$5:$W$304,MATCH(D184,Ingredients!$B$5:$B$304,0)),"Add to Ingredients"))</f>
        <v>0</v>
      </c>
      <c r="W184" s="17">
        <f>IF(D184="","",IFERROR(INDEX(Ingredients!$C$5:$C$304,MATCH(D184,Ingredients!$B$5:$B$304,0)),"Add to Ingredients"))</f>
        <v>0</v>
      </c>
      <c r="X184" s="45">
        <f>IFERROR(INDEX(Recipes!$AT$5:$AT$204,MATCH(B184,Recipes!$A$5:$A$204,0)),0)</f>
        <v>0</v>
      </c>
      <c r="Y184" s="45">
        <f>IF(OR(J184="",X184=0),"",J184*X184)</f>
        <v>0</v>
      </c>
      <c r="Z184" s="17">
        <f>IF(D184="","",B184&amp;"#"&amp;COUNTIFS($B$5:B184,B184))</f>
        <v>0</v>
      </c>
      <c r="AA184" s="17">
        <f>IF(D184="","",B184&amp;"|"&amp;D184)</f>
        <v>0</v>
      </c>
      <c r="AB184" s="31">
        <f>IF(D184="","",IF(B184="","Add - which recipe?",IF(COUNTIFS(Ingredients!$B$5:$B$304,D184)=0,"Missing - not in the Ingredients tab",IF(E184="","Add - no quantity",IF(F184="","Add - no unit",IF(K184&lt;&gt;L184,"Check - recipe in "&amp;K184&amp;", priced in "&amp;L184,IF(COUNTIFS($AA$5:$AA$1204,AA184)&gt;1,"Duplicate - same ingredient twice","OK")))))))</f>
        <v>0</v>
      </c>
    </row>
    <row r="185" spans="1:28">
      <c r="A185" s="39">
        <f>IF(D185="","","RL-"&amp;TEXT(ROW()-4,"0000"))</f>
        <v>0</v>
      </c>
      <c r="C185" s="17">
        <f>IF(B185="","",IFERROR(INDEX(Recipes!$B$5:$B$204,MATCH(B185,Recipes!$A$5:$A$204,0)),"Not found"))</f>
        <v>0</v>
      </c>
      <c r="J185" s="45">
        <f>IF(E185="","",IFERROR(E185*INDEX(UnitFactors,MATCH(F185,UnitNames,0)),""))</f>
        <v>0</v>
      </c>
      <c r="K185" s="17">
        <f>IF(F185="","",IFERROR(INDEX(UnitBases,MATCH(F185,UnitNames,0)),"?"))</f>
        <v>0</v>
      </c>
      <c r="L185" s="17">
        <f>IF(D185="","",IFERROR(INDEX(Ingredients!$G$5:$G$304,MATCH(D185,Ingredients!$B$5:$B$304,0)),"Add to Ingredients"))</f>
        <v>0</v>
      </c>
      <c r="M185" s="25">
        <f>IF(D185="","",IFERROR(INDEX(Ingredients!$J$5:$J$304,MATCH(D185,Ingredients!$B$5:$B$304,0)),"Add to Ingredients"))</f>
        <v>0</v>
      </c>
      <c r="N185" s="25">
        <f>IF(OR(J185="",M185="",NOT(ISNUMBER(M185))),"",IF(K185&lt;&gt;L185,"",J185*M185))</f>
        <v>0</v>
      </c>
      <c r="O185" s="25">
        <f>IF(N185="","",IFERROR(N185/INDEX(Recipes!$G$5:$G$204,MATCH(B185,Recipes!$A$5:$A$204,0)),""))</f>
        <v>0</v>
      </c>
      <c r="P185" s="30">
        <f>IF(J185="","",IF(K185="each",J185,J185/100))</f>
        <v>0</v>
      </c>
      <c r="Q185" s="30">
        <f>IFERROR(IF(P185="","",P185*INDEX(Ingredients!$P$5:$P$304,MATCH(D185,Ingredients!$B$5:$B$304,0))),"")</f>
        <v>0</v>
      </c>
      <c r="R185" s="45">
        <f>IFERROR(IF(P185="","",P185*INDEX(Ingredients!$Q$5:$Q$304,MATCH(D185,Ingredients!$B$5:$B$304,0))),"")</f>
        <v>0</v>
      </c>
      <c r="S185" s="45">
        <f>IFERROR(IF(P185="","",P185*INDEX(Ingredients!$R$5:$R$304,MATCH(D185,Ingredients!$B$5:$B$304,0))),"")</f>
        <v>0</v>
      </c>
      <c r="T185" s="45">
        <f>IFERROR(IF(P185="","",P185*INDEX(Ingredients!$S$5:$S$304,MATCH(D185,Ingredients!$B$5:$B$304,0))),"")</f>
        <v>0</v>
      </c>
      <c r="U185" s="45">
        <f>IFERROR(IF(P185="","",P185*INDEX(Ingredients!$T$5:$T$304,MATCH(D185,Ingredients!$B$5:$B$304,0))),"")</f>
        <v>0</v>
      </c>
      <c r="V185" s="17">
        <f>IF(D185="","",IFERROR(INDEX(Ingredients!$W$5:$W$304,MATCH(D185,Ingredients!$B$5:$B$304,0)),"Add to Ingredients"))</f>
        <v>0</v>
      </c>
      <c r="W185" s="17">
        <f>IF(D185="","",IFERROR(INDEX(Ingredients!$C$5:$C$304,MATCH(D185,Ingredients!$B$5:$B$304,0)),"Add to Ingredients"))</f>
        <v>0</v>
      </c>
      <c r="X185" s="45">
        <f>IFERROR(INDEX(Recipes!$AT$5:$AT$204,MATCH(B185,Recipes!$A$5:$A$204,0)),0)</f>
        <v>0</v>
      </c>
      <c r="Y185" s="45">
        <f>IF(OR(J185="",X185=0),"",J185*X185)</f>
        <v>0</v>
      </c>
      <c r="Z185" s="17">
        <f>IF(D185="","",B185&amp;"#"&amp;COUNTIFS($B$5:B185,B185))</f>
        <v>0</v>
      </c>
      <c r="AA185" s="17">
        <f>IF(D185="","",B185&amp;"|"&amp;D185)</f>
        <v>0</v>
      </c>
      <c r="AB185" s="31">
        <f>IF(D185="","",IF(B185="","Add - which recipe?",IF(COUNTIFS(Ingredients!$B$5:$B$304,D185)=0,"Missing - not in the Ingredients tab",IF(E185="","Add - no quantity",IF(F185="","Add - no unit",IF(K185&lt;&gt;L185,"Check - recipe in "&amp;K185&amp;", priced in "&amp;L185,IF(COUNTIFS($AA$5:$AA$1204,AA185)&gt;1,"Duplicate - same ingredient twice","OK")))))))</f>
        <v>0</v>
      </c>
    </row>
    <row r="186" spans="1:28">
      <c r="A186" s="39">
        <f>IF(D186="","","RL-"&amp;TEXT(ROW()-4,"0000"))</f>
        <v>0</v>
      </c>
      <c r="C186" s="17">
        <f>IF(B186="","",IFERROR(INDEX(Recipes!$B$5:$B$204,MATCH(B186,Recipes!$A$5:$A$204,0)),"Not found"))</f>
        <v>0</v>
      </c>
      <c r="J186" s="45">
        <f>IF(E186="","",IFERROR(E186*INDEX(UnitFactors,MATCH(F186,UnitNames,0)),""))</f>
        <v>0</v>
      </c>
      <c r="K186" s="17">
        <f>IF(F186="","",IFERROR(INDEX(UnitBases,MATCH(F186,UnitNames,0)),"?"))</f>
        <v>0</v>
      </c>
      <c r="L186" s="17">
        <f>IF(D186="","",IFERROR(INDEX(Ingredients!$G$5:$G$304,MATCH(D186,Ingredients!$B$5:$B$304,0)),"Add to Ingredients"))</f>
        <v>0</v>
      </c>
      <c r="M186" s="25">
        <f>IF(D186="","",IFERROR(INDEX(Ingredients!$J$5:$J$304,MATCH(D186,Ingredients!$B$5:$B$304,0)),"Add to Ingredients"))</f>
        <v>0</v>
      </c>
      <c r="N186" s="25">
        <f>IF(OR(J186="",M186="",NOT(ISNUMBER(M186))),"",IF(K186&lt;&gt;L186,"",J186*M186))</f>
        <v>0</v>
      </c>
      <c r="O186" s="25">
        <f>IF(N186="","",IFERROR(N186/INDEX(Recipes!$G$5:$G$204,MATCH(B186,Recipes!$A$5:$A$204,0)),""))</f>
        <v>0</v>
      </c>
      <c r="P186" s="30">
        <f>IF(J186="","",IF(K186="each",J186,J186/100))</f>
        <v>0</v>
      </c>
      <c r="Q186" s="30">
        <f>IFERROR(IF(P186="","",P186*INDEX(Ingredients!$P$5:$P$304,MATCH(D186,Ingredients!$B$5:$B$304,0))),"")</f>
        <v>0</v>
      </c>
      <c r="R186" s="45">
        <f>IFERROR(IF(P186="","",P186*INDEX(Ingredients!$Q$5:$Q$304,MATCH(D186,Ingredients!$B$5:$B$304,0))),"")</f>
        <v>0</v>
      </c>
      <c r="S186" s="45">
        <f>IFERROR(IF(P186="","",P186*INDEX(Ingredients!$R$5:$R$304,MATCH(D186,Ingredients!$B$5:$B$304,0))),"")</f>
        <v>0</v>
      </c>
      <c r="T186" s="45">
        <f>IFERROR(IF(P186="","",P186*INDEX(Ingredients!$S$5:$S$304,MATCH(D186,Ingredients!$B$5:$B$304,0))),"")</f>
        <v>0</v>
      </c>
      <c r="U186" s="45">
        <f>IFERROR(IF(P186="","",P186*INDEX(Ingredients!$T$5:$T$304,MATCH(D186,Ingredients!$B$5:$B$304,0))),"")</f>
        <v>0</v>
      </c>
      <c r="V186" s="17">
        <f>IF(D186="","",IFERROR(INDEX(Ingredients!$W$5:$W$304,MATCH(D186,Ingredients!$B$5:$B$304,0)),"Add to Ingredients"))</f>
        <v>0</v>
      </c>
      <c r="W186" s="17">
        <f>IF(D186="","",IFERROR(INDEX(Ingredients!$C$5:$C$304,MATCH(D186,Ingredients!$B$5:$B$304,0)),"Add to Ingredients"))</f>
        <v>0</v>
      </c>
      <c r="X186" s="45">
        <f>IFERROR(INDEX(Recipes!$AT$5:$AT$204,MATCH(B186,Recipes!$A$5:$A$204,0)),0)</f>
        <v>0</v>
      </c>
      <c r="Y186" s="45">
        <f>IF(OR(J186="",X186=0),"",J186*X186)</f>
        <v>0</v>
      </c>
      <c r="Z186" s="17">
        <f>IF(D186="","",B186&amp;"#"&amp;COUNTIFS($B$5:B186,B186))</f>
        <v>0</v>
      </c>
      <c r="AA186" s="17">
        <f>IF(D186="","",B186&amp;"|"&amp;D186)</f>
        <v>0</v>
      </c>
      <c r="AB186" s="31">
        <f>IF(D186="","",IF(B186="","Add - which recipe?",IF(COUNTIFS(Ingredients!$B$5:$B$304,D186)=0,"Missing - not in the Ingredients tab",IF(E186="","Add - no quantity",IF(F186="","Add - no unit",IF(K186&lt;&gt;L186,"Check - recipe in "&amp;K186&amp;", priced in "&amp;L186,IF(COUNTIFS($AA$5:$AA$1204,AA186)&gt;1,"Duplicate - same ingredient twice","OK")))))))</f>
        <v>0</v>
      </c>
    </row>
    <row r="187" spans="1:28">
      <c r="A187" s="39">
        <f>IF(D187="","","RL-"&amp;TEXT(ROW()-4,"0000"))</f>
        <v>0</v>
      </c>
      <c r="C187" s="17">
        <f>IF(B187="","",IFERROR(INDEX(Recipes!$B$5:$B$204,MATCH(B187,Recipes!$A$5:$A$204,0)),"Not found"))</f>
        <v>0</v>
      </c>
      <c r="J187" s="45">
        <f>IF(E187="","",IFERROR(E187*INDEX(UnitFactors,MATCH(F187,UnitNames,0)),""))</f>
        <v>0</v>
      </c>
      <c r="K187" s="17">
        <f>IF(F187="","",IFERROR(INDEX(UnitBases,MATCH(F187,UnitNames,0)),"?"))</f>
        <v>0</v>
      </c>
      <c r="L187" s="17">
        <f>IF(D187="","",IFERROR(INDEX(Ingredients!$G$5:$G$304,MATCH(D187,Ingredients!$B$5:$B$304,0)),"Add to Ingredients"))</f>
        <v>0</v>
      </c>
      <c r="M187" s="25">
        <f>IF(D187="","",IFERROR(INDEX(Ingredients!$J$5:$J$304,MATCH(D187,Ingredients!$B$5:$B$304,0)),"Add to Ingredients"))</f>
        <v>0</v>
      </c>
      <c r="N187" s="25">
        <f>IF(OR(J187="",M187="",NOT(ISNUMBER(M187))),"",IF(K187&lt;&gt;L187,"",J187*M187))</f>
        <v>0</v>
      </c>
      <c r="O187" s="25">
        <f>IF(N187="","",IFERROR(N187/INDEX(Recipes!$G$5:$G$204,MATCH(B187,Recipes!$A$5:$A$204,0)),""))</f>
        <v>0</v>
      </c>
      <c r="P187" s="30">
        <f>IF(J187="","",IF(K187="each",J187,J187/100))</f>
        <v>0</v>
      </c>
      <c r="Q187" s="30">
        <f>IFERROR(IF(P187="","",P187*INDEX(Ingredients!$P$5:$P$304,MATCH(D187,Ingredients!$B$5:$B$304,0))),"")</f>
        <v>0</v>
      </c>
      <c r="R187" s="45">
        <f>IFERROR(IF(P187="","",P187*INDEX(Ingredients!$Q$5:$Q$304,MATCH(D187,Ingredients!$B$5:$B$304,0))),"")</f>
        <v>0</v>
      </c>
      <c r="S187" s="45">
        <f>IFERROR(IF(P187="","",P187*INDEX(Ingredients!$R$5:$R$304,MATCH(D187,Ingredients!$B$5:$B$304,0))),"")</f>
        <v>0</v>
      </c>
      <c r="T187" s="45">
        <f>IFERROR(IF(P187="","",P187*INDEX(Ingredients!$S$5:$S$304,MATCH(D187,Ingredients!$B$5:$B$304,0))),"")</f>
        <v>0</v>
      </c>
      <c r="U187" s="45">
        <f>IFERROR(IF(P187="","",P187*INDEX(Ingredients!$T$5:$T$304,MATCH(D187,Ingredients!$B$5:$B$304,0))),"")</f>
        <v>0</v>
      </c>
      <c r="V187" s="17">
        <f>IF(D187="","",IFERROR(INDEX(Ingredients!$W$5:$W$304,MATCH(D187,Ingredients!$B$5:$B$304,0)),"Add to Ingredients"))</f>
        <v>0</v>
      </c>
      <c r="W187" s="17">
        <f>IF(D187="","",IFERROR(INDEX(Ingredients!$C$5:$C$304,MATCH(D187,Ingredients!$B$5:$B$304,0)),"Add to Ingredients"))</f>
        <v>0</v>
      </c>
      <c r="X187" s="45">
        <f>IFERROR(INDEX(Recipes!$AT$5:$AT$204,MATCH(B187,Recipes!$A$5:$A$204,0)),0)</f>
        <v>0</v>
      </c>
      <c r="Y187" s="45">
        <f>IF(OR(J187="",X187=0),"",J187*X187)</f>
        <v>0</v>
      </c>
      <c r="Z187" s="17">
        <f>IF(D187="","",B187&amp;"#"&amp;COUNTIFS($B$5:B187,B187))</f>
        <v>0</v>
      </c>
      <c r="AA187" s="17">
        <f>IF(D187="","",B187&amp;"|"&amp;D187)</f>
        <v>0</v>
      </c>
      <c r="AB187" s="31">
        <f>IF(D187="","",IF(B187="","Add - which recipe?",IF(COUNTIFS(Ingredients!$B$5:$B$304,D187)=0,"Missing - not in the Ingredients tab",IF(E187="","Add - no quantity",IF(F187="","Add - no unit",IF(K187&lt;&gt;L187,"Check - recipe in "&amp;K187&amp;", priced in "&amp;L187,IF(COUNTIFS($AA$5:$AA$1204,AA187)&gt;1,"Duplicate - same ingredient twice","OK")))))))</f>
        <v>0</v>
      </c>
    </row>
    <row r="188" spans="1:28">
      <c r="A188" s="39">
        <f>IF(D188="","","RL-"&amp;TEXT(ROW()-4,"0000"))</f>
        <v>0</v>
      </c>
      <c r="C188" s="17">
        <f>IF(B188="","",IFERROR(INDEX(Recipes!$B$5:$B$204,MATCH(B188,Recipes!$A$5:$A$204,0)),"Not found"))</f>
        <v>0</v>
      </c>
      <c r="J188" s="45">
        <f>IF(E188="","",IFERROR(E188*INDEX(UnitFactors,MATCH(F188,UnitNames,0)),""))</f>
        <v>0</v>
      </c>
      <c r="K188" s="17">
        <f>IF(F188="","",IFERROR(INDEX(UnitBases,MATCH(F188,UnitNames,0)),"?"))</f>
        <v>0</v>
      </c>
      <c r="L188" s="17">
        <f>IF(D188="","",IFERROR(INDEX(Ingredients!$G$5:$G$304,MATCH(D188,Ingredients!$B$5:$B$304,0)),"Add to Ingredients"))</f>
        <v>0</v>
      </c>
      <c r="M188" s="25">
        <f>IF(D188="","",IFERROR(INDEX(Ingredients!$J$5:$J$304,MATCH(D188,Ingredients!$B$5:$B$304,0)),"Add to Ingredients"))</f>
        <v>0</v>
      </c>
      <c r="N188" s="25">
        <f>IF(OR(J188="",M188="",NOT(ISNUMBER(M188))),"",IF(K188&lt;&gt;L188,"",J188*M188))</f>
        <v>0</v>
      </c>
      <c r="O188" s="25">
        <f>IF(N188="","",IFERROR(N188/INDEX(Recipes!$G$5:$G$204,MATCH(B188,Recipes!$A$5:$A$204,0)),""))</f>
        <v>0</v>
      </c>
      <c r="P188" s="30">
        <f>IF(J188="","",IF(K188="each",J188,J188/100))</f>
        <v>0</v>
      </c>
      <c r="Q188" s="30">
        <f>IFERROR(IF(P188="","",P188*INDEX(Ingredients!$P$5:$P$304,MATCH(D188,Ingredients!$B$5:$B$304,0))),"")</f>
        <v>0</v>
      </c>
      <c r="R188" s="45">
        <f>IFERROR(IF(P188="","",P188*INDEX(Ingredients!$Q$5:$Q$304,MATCH(D188,Ingredients!$B$5:$B$304,0))),"")</f>
        <v>0</v>
      </c>
      <c r="S188" s="45">
        <f>IFERROR(IF(P188="","",P188*INDEX(Ingredients!$R$5:$R$304,MATCH(D188,Ingredients!$B$5:$B$304,0))),"")</f>
        <v>0</v>
      </c>
      <c r="T188" s="45">
        <f>IFERROR(IF(P188="","",P188*INDEX(Ingredients!$S$5:$S$304,MATCH(D188,Ingredients!$B$5:$B$304,0))),"")</f>
        <v>0</v>
      </c>
      <c r="U188" s="45">
        <f>IFERROR(IF(P188="","",P188*INDEX(Ingredients!$T$5:$T$304,MATCH(D188,Ingredients!$B$5:$B$304,0))),"")</f>
        <v>0</v>
      </c>
      <c r="V188" s="17">
        <f>IF(D188="","",IFERROR(INDEX(Ingredients!$W$5:$W$304,MATCH(D188,Ingredients!$B$5:$B$304,0)),"Add to Ingredients"))</f>
        <v>0</v>
      </c>
      <c r="W188" s="17">
        <f>IF(D188="","",IFERROR(INDEX(Ingredients!$C$5:$C$304,MATCH(D188,Ingredients!$B$5:$B$304,0)),"Add to Ingredients"))</f>
        <v>0</v>
      </c>
      <c r="X188" s="45">
        <f>IFERROR(INDEX(Recipes!$AT$5:$AT$204,MATCH(B188,Recipes!$A$5:$A$204,0)),0)</f>
        <v>0</v>
      </c>
      <c r="Y188" s="45">
        <f>IF(OR(J188="",X188=0),"",J188*X188)</f>
        <v>0</v>
      </c>
      <c r="Z188" s="17">
        <f>IF(D188="","",B188&amp;"#"&amp;COUNTIFS($B$5:B188,B188))</f>
        <v>0</v>
      </c>
      <c r="AA188" s="17">
        <f>IF(D188="","",B188&amp;"|"&amp;D188)</f>
        <v>0</v>
      </c>
      <c r="AB188" s="31">
        <f>IF(D188="","",IF(B188="","Add - which recipe?",IF(COUNTIFS(Ingredients!$B$5:$B$304,D188)=0,"Missing - not in the Ingredients tab",IF(E188="","Add - no quantity",IF(F188="","Add - no unit",IF(K188&lt;&gt;L188,"Check - recipe in "&amp;K188&amp;", priced in "&amp;L188,IF(COUNTIFS($AA$5:$AA$1204,AA188)&gt;1,"Duplicate - same ingredient twice","OK")))))))</f>
        <v>0</v>
      </c>
    </row>
    <row r="189" spans="1:28">
      <c r="A189" s="39">
        <f>IF(D189="","","RL-"&amp;TEXT(ROW()-4,"0000"))</f>
        <v>0</v>
      </c>
      <c r="C189" s="17">
        <f>IF(B189="","",IFERROR(INDEX(Recipes!$B$5:$B$204,MATCH(B189,Recipes!$A$5:$A$204,0)),"Not found"))</f>
        <v>0</v>
      </c>
      <c r="J189" s="45">
        <f>IF(E189="","",IFERROR(E189*INDEX(UnitFactors,MATCH(F189,UnitNames,0)),""))</f>
        <v>0</v>
      </c>
      <c r="K189" s="17">
        <f>IF(F189="","",IFERROR(INDEX(UnitBases,MATCH(F189,UnitNames,0)),"?"))</f>
        <v>0</v>
      </c>
      <c r="L189" s="17">
        <f>IF(D189="","",IFERROR(INDEX(Ingredients!$G$5:$G$304,MATCH(D189,Ingredients!$B$5:$B$304,0)),"Add to Ingredients"))</f>
        <v>0</v>
      </c>
      <c r="M189" s="25">
        <f>IF(D189="","",IFERROR(INDEX(Ingredients!$J$5:$J$304,MATCH(D189,Ingredients!$B$5:$B$304,0)),"Add to Ingredients"))</f>
        <v>0</v>
      </c>
      <c r="N189" s="25">
        <f>IF(OR(J189="",M189="",NOT(ISNUMBER(M189))),"",IF(K189&lt;&gt;L189,"",J189*M189))</f>
        <v>0</v>
      </c>
      <c r="O189" s="25">
        <f>IF(N189="","",IFERROR(N189/INDEX(Recipes!$G$5:$G$204,MATCH(B189,Recipes!$A$5:$A$204,0)),""))</f>
        <v>0</v>
      </c>
      <c r="P189" s="30">
        <f>IF(J189="","",IF(K189="each",J189,J189/100))</f>
        <v>0</v>
      </c>
      <c r="Q189" s="30">
        <f>IFERROR(IF(P189="","",P189*INDEX(Ingredients!$P$5:$P$304,MATCH(D189,Ingredients!$B$5:$B$304,0))),"")</f>
        <v>0</v>
      </c>
      <c r="R189" s="45">
        <f>IFERROR(IF(P189="","",P189*INDEX(Ingredients!$Q$5:$Q$304,MATCH(D189,Ingredients!$B$5:$B$304,0))),"")</f>
        <v>0</v>
      </c>
      <c r="S189" s="45">
        <f>IFERROR(IF(P189="","",P189*INDEX(Ingredients!$R$5:$R$304,MATCH(D189,Ingredients!$B$5:$B$304,0))),"")</f>
        <v>0</v>
      </c>
      <c r="T189" s="45">
        <f>IFERROR(IF(P189="","",P189*INDEX(Ingredients!$S$5:$S$304,MATCH(D189,Ingredients!$B$5:$B$304,0))),"")</f>
        <v>0</v>
      </c>
      <c r="U189" s="45">
        <f>IFERROR(IF(P189="","",P189*INDEX(Ingredients!$T$5:$T$304,MATCH(D189,Ingredients!$B$5:$B$304,0))),"")</f>
        <v>0</v>
      </c>
      <c r="V189" s="17">
        <f>IF(D189="","",IFERROR(INDEX(Ingredients!$W$5:$W$304,MATCH(D189,Ingredients!$B$5:$B$304,0)),"Add to Ingredients"))</f>
        <v>0</v>
      </c>
      <c r="W189" s="17">
        <f>IF(D189="","",IFERROR(INDEX(Ingredients!$C$5:$C$304,MATCH(D189,Ingredients!$B$5:$B$304,0)),"Add to Ingredients"))</f>
        <v>0</v>
      </c>
      <c r="X189" s="45">
        <f>IFERROR(INDEX(Recipes!$AT$5:$AT$204,MATCH(B189,Recipes!$A$5:$A$204,0)),0)</f>
        <v>0</v>
      </c>
      <c r="Y189" s="45">
        <f>IF(OR(J189="",X189=0),"",J189*X189)</f>
        <v>0</v>
      </c>
      <c r="Z189" s="17">
        <f>IF(D189="","",B189&amp;"#"&amp;COUNTIFS($B$5:B189,B189))</f>
        <v>0</v>
      </c>
      <c r="AA189" s="17">
        <f>IF(D189="","",B189&amp;"|"&amp;D189)</f>
        <v>0</v>
      </c>
      <c r="AB189" s="31">
        <f>IF(D189="","",IF(B189="","Add - which recipe?",IF(COUNTIFS(Ingredients!$B$5:$B$304,D189)=0,"Missing - not in the Ingredients tab",IF(E189="","Add - no quantity",IF(F189="","Add - no unit",IF(K189&lt;&gt;L189,"Check - recipe in "&amp;K189&amp;", priced in "&amp;L189,IF(COUNTIFS($AA$5:$AA$1204,AA189)&gt;1,"Duplicate - same ingredient twice","OK")))))))</f>
        <v>0</v>
      </c>
    </row>
    <row r="190" spans="1:28">
      <c r="A190" s="39">
        <f>IF(D190="","","RL-"&amp;TEXT(ROW()-4,"0000"))</f>
        <v>0</v>
      </c>
      <c r="C190" s="17">
        <f>IF(B190="","",IFERROR(INDEX(Recipes!$B$5:$B$204,MATCH(B190,Recipes!$A$5:$A$204,0)),"Not found"))</f>
        <v>0</v>
      </c>
      <c r="J190" s="45">
        <f>IF(E190="","",IFERROR(E190*INDEX(UnitFactors,MATCH(F190,UnitNames,0)),""))</f>
        <v>0</v>
      </c>
      <c r="K190" s="17">
        <f>IF(F190="","",IFERROR(INDEX(UnitBases,MATCH(F190,UnitNames,0)),"?"))</f>
        <v>0</v>
      </c>
      <c r="L190" s="17">
        <f>IF(D190="","",IFERROR(INDEX(Ingredients!$G$5:$G$304,MATCH(D190,Ingredients!$B$5:$B$304,0)),"Add to Ingredients"))</f>
        <v>0</v>
      </c>
      <c r="M190" s="25">
        <f>IF(D190="","",IFERROR(INDEX(Ingredients!$J$5:$J$304,MATCH(D190,Ingredients!$B$5:$B$304,0)),"Add to Ingredients"))</f>
        <v>0</v>
      </c>
      <c r="N190" s="25">
        <f>IF(OR(J190="",M190="",NOT(ISNUMBER(M190))),"",IF(K190&lt;&gt;L190,"",J190*M190))</f>
        <v>0</v>
      </c>
      <c r="O190" s="25">
        <f>IF(N190="","",IFERROR(N190/INDEX(Recipes!$G$5:$G$204,MATCH(B190,Recipes!$A$5:$A$204,0)),""))</f>
        <v>0</v>
      </c>
      <c r="P190" s="30">
        <f>IF(J190="","",IF(K190="each",J190,J190/100))</f>
        <v>0</v>
      </c>
      <c r="Q190" s="30">
        <f>IFERROR(IF(P190="","",P190*INDEX(Ingredients!$P$5:$P$304,MATCH(D190,Ingredients!$B$5:$B$304,0))),"")</f>
        <v>0</v>
      </c>
      <c r="R190" s="45">
        <f>IFERROR(IF(P190="","",P190*INDEX(Ingredients!$Q$5:$Q$304,MATCH(D190,Ingredients!$B$5:$B$304,0))),"")</f>
        <v>0</v>
      </c>
      <c r="S190" s="45">
        <f>IFERROR(IF(P190="","",P190*INDEX(Ingredients!$R$5:$R$304,MATCH(D190,Ingredients!$B$5:$B$304,0))),"")</f>
        <v>0</v>
      </c>
      <c r="T190" s="45">
        <f>IFERROR(IF(P190="","",P190*INDEX(Ingredients!$S$5:$S$304,MATCH(D190,Ingredients!$B$5:$B$304,0))),"")</f>
        <v>0</v>
      </c>
      <c r="U190" s="45">
        <f>IFERROR(IF(P190="","",P190*INDEX(Ingredients!$T$5:$T$304,MATCH(D190,Ingredients!$B$5:$B$304,0))),"")</f>
        <v>0</v>
      </c>
      <c r="V190" s="17">
        <f>IF(D190="","",IFERROR(INDEX(Ingredients!$W$5:$W$304,MATCH(D190,Ingredients!$B$5:$B$304,0)),"Add to Ingredients"))</f>
        <v>0</v>
      </c>
      <c r="W190" s="17">
        <f>IF(D190="","",IFERROR(INDEX(Ingredients!$C$5:$C$304,MATCH(D190,Ingredients!$B$5:$B$304,0)),"Add to Ingredients"))</f>
        <v>0</v>
      </c>
      <c r="X190" s="45">
        <f>IFERROR(INDEX(Recipes!$AT$5:$AT$204,MATCH(B190,Recipes!$A$5:$A$204,0)),0)</f>
        <v>0</v>
      </c>
      <c r="Y190" s="45">
        <f>IF(OR(J190="",X190=0),"",J190*X190)</f>
        <v>0</v>
      </c>
      <c r="Z190" s="17">
        <f>IF(D190="","",B190&amp;"#"&amp;COUNTIFS($B$5:B190,B190))</f>
        <v>0</v>
      </c>
      <c r="AA190" s="17">
        <f>IF(D190="","",B190&amp;"|"&amp;D190)</f>
        <v>0</v>
      </c>
      <c r="AB190" s="31">
        <f>IF(D190="","",IF(B190="","Add - which recipe?",IF(COUNTIFS(Ingredients!$B$5:$B$304,D190)=0,"Missing - not in the Ingredients tab",IF(E190="","Add - no quantity",IF(F190="","Add - no unit",IF(K190&lt;&gt;L190,"Check - recipe in "&amp;K190&amp;", priced in "&amp;L190,IF(COUNTIFS($AA$5:$AA$1204,AA190)&gt;1,"Duplicate - same ingredient twice","OK")))))))</f>
        <v>0</v>
      </c>
    </row>
    <row r="191" spans="1:28">
      <c r="A191" s="39">
        <f>IF(D191="","","RL-"&amp;TEXT(ROW()-4,"0000"))</f>
        <v>0</v>
      </c>
      <c r="C191" s="17">
        <f>IF(B191="","",IFERROR(INDEX(Recipes!$B$5:$B$204,MATCH(B191,Recipes!$A$5:$A$204,0)),"Not found"))</f>
        <v>0</v>
      </c>
      <c r="J191" s="45">
        <f>IF(E191="","",IFERROR(E191*INDEX(UnitFactors,MATCH(F191,UnitNames,0)),""))</f>
        <v>0</v>
      </c>
      <c r="K191" s="17">
        <f>IF(F191="","",IFERROR(INDEX(UnitBases,MATCH(F191,UnitNames,0)),"?"))</f>
        <v>0</v>
      </c>
      <c r="L191" s="17">
        <f>IF(D191="","",IFERROR(INDEX(Ingredients!$G$5:$G$304,MATCH(D191,Ingredients!$B$5:$B$304,0)),"Add to Ingredients"))</f>
        <v>0</v>
      </c>
      <c r="M191" s="25">
        <f>IF(D191="","",IFERROR(INDEX(Ingredients!$J$5:$J$304,MATCH(D191,Ingredients!$B$5:$B$304,0)),"Add to Ingredients"))</f>
        <v>0</v>
      </c>
      <c r="N191" s="25">
        <f>IF(OR(J191="",M191="",NOT(ISNUMBER(M191))),"",IF(K191&lt;&gt;L191,"",J191*M191))</f>
        <v>0</v>
      </c>
      <c r="O191" s="25">
        <f>IF(N191="","",IFERROR(N191/INDEX(Recipes!$G$5:$G$204,MATCH(B191,Recipes!$A$5:$A$204,0)),""))</f>
        <v>0</v>
      </c>
      <c r="P191" s="30">
        <f>IF(J191="","",IF(K191="each",J191,J191/100))</f>
        <v>0</v>
      </c>
      <c r="Q191" s="30">
        <f>IFERROR(IF(P191="","",P191*INDEX(Ingredients!$P$5:$P$304,MATCH(D191,Ingredients!$B$5:$B$304,0))),"")</f>
        <v>0</v>
      </c>
      <c r="R191" s="45">
        <f>IFERROR(IF(P191="","",P191*INDEX(Ingredients!$Q$5:$Q$304,MATCH(D191,Ingredients!$B$5:$B$304,0))),"")</f>
        <v>0</v>
      </c>
      <c r="S191" s="45">
        <f>IFERROR(IF(P191="","",P191*INDEX(Ingredients!$R$5:$R$304,MATCH(D191,Ingredients!$B$5:$B$304,0))),"")</f>
        <v>0</v>
      </c>
      <c r="T191" s="45">
        <f>IFERROR(IF(P191="","",P191*INDEX(Ingredients!$S$5:$S$304,MATCH(D191,Ingredients!$B$5:$B$304,0))),"")</f>
        <v>0</v>
      </c>
      <c r="U191" s="45">
        <f>IFERROR(IF(P191="","",P191*INDEX(Ingredients!$T$5:$T$304,MATCH(D191,Ingredients!$B$5:$B$304,0))),"")</f>
        <v>0</v>
      </c>
      <c r="V191" s="17">
        <f>IF(D191="","",IFERROR(INDEX(Ingredients!$W$5:$W$304,MATCH(D191,Ingredients!$B$5:$B$304,0)),"Add to Ingredients"))</f>
        <v>0</v>
      </c>
      <c r="W191" s="17">
        <f>IF(D191="","",IFERROR(INDEX(Ingredients!$C$5:$C$304,MATCH(D191,Ingredients!$B$5:$B$304,0)),"Add to Ingredients"))</f>
        <v>0</v>
      </c>
      <c r="X191" s="45">
        <f>IFERROR(INDEX(Recipes!$AT$5:$AT$204,MATCH(B191,Recipes!$A$5:$A$204,0)),0)</f>
        <v>0</v>
      </c>
      <c r="Y191" s="45">
        <f>IF(OR(J191="",X191=0),"",J191*X191)</f>
        <v>0</v>
      </c>
      <c r="Z191" s="17">
        <f>IF(D191="","",B191&amp;"#"&amp;COUNTIFS($B$5:B191,B191))</f>
        <v>0</v>
      </c>
      <c r="AA191" s="17">
        <f>IF(D191="","",B191&amp;"|"&amp;D191)</f>
        <v>0</v>
      </c>
      <c r="AB191" s="31">
        <f>IF(D191="","",IF(B191="","Add - which recipe?",IF(COUNTIFS(Ingredients!$B$5:$B$304,D191)=0,"Missing - not in the Ingredients tab",IF(E191="","Add - no quantity",IF(F191="","Add - no unit",IF(K191&lt;&gt;L191,"Check - recipe in "&amp;K191&amp;", priced in "&amp;L191,IF(COUNTIFS($AA$5:$AA$1204,AA191)&gt;1,"Duplicate - same ingredient twice","OK")))))))</f>
        <v>0</v>
      </c>
    </row>
    <row r="192" spans="1:28">
      <c r="A192" s="39">
        <f>IF(D192="","","RL-"&amp;TEXT(ROW()-4,"0000"))</f>
        <v>0</v>
      </c>
      <c r="C192" s="17">
        <f>IF(B192="","",IFERROR(INDEX(Recipes!$B$5:$B$204,MATCH(B192,Recipes!$A$5:$A$204,0)),"Not found"))</f>
        <v>0</v>
      </c>
      <c r="J192" s="45">
        <f>IF(E192="","",IFERROR(E192*INDEX(UnitFactors,MATCH(F192,UnitNames,0)),""))</f>
        <v>0</v>
      </c>
      <c r="K192" s="17">
        <f>IF(F192="","",IFERROR(INDEX(UnitBases,MATCH(F192,UnitNames,0)),"?"))</f>
        <v>0</v>
      </c>
      <c r="L192" s="17">
        <f>IF(D192="","",IFERROR(INDEX(Ingredients!$G$5:$G$304,MATCH(D192,Ingredients!$B$5:$B$304,0)),"Add to Ingredients"))</f>
        <v>0</v>
      </c>
      <c r="M192" s="25">
        <f>IF(D192="","",IFERROR(INDEX(Ingredients!$J$5:$J$304,MATCH(D192,Ingredients!$B$5:$B$304,0)),"Add to Ingredients"))</f>
        <v>0</v>
      </c>
      <c r="N192" s="25">
        <f>IF(OR(J192="",M192="",NOT(ISNUMBER(M192))),"",IF(K192&lt;&gt;L192,"",J192*M192))</f>
        <v>0</v>
      </c>
      <c r="O192" s="25">
        <f>IF(N192="","",IFERROR(N192/INDEX(Recipes!$G$5:$G$204,MATCH(B192,Recipes!$A$5:$A$204,0)),""))</f>
        <v>0</v>
      </c>
      <c r="P192" s="30">
        <f>IF(J192="","",IF(K192="each",J192,J192/100))</f>
        <v>0</v>
      </c>
      <c r="Q192" s="30">
        <f>IFERROR(IF(P192="","",P192*INDEX(Ingredients!$P$5:$P$304,MATCH(D192,Ingredients!$B$5:$B$304,0))),"")</f>
        <v>0</v>
      </c>
      <c r="R192" s="45">
        <f>IFERROR(IF(P192="","",P192*INDEX(Ingredients!$Q$5:$Q$304,MATCH(D192,Ingredients!$B$5:$B$304,0))),"")</f>
        <v>0</v>
      </c>
      <c r="S192" s="45">
        <f>IFERROR(IF(P192="","",P192*INDEX(Ingredients!$R$5:$R$304,MATCH(D192,Ingredients!$B$5:$B$304,0))),"")</f>
        <v>0</v>
      </c>
      <c r="T192" s="45">
        <f>IFERROR(IF(P192="","",P192*INDEX(Ingredients!$S$5:$S$304,MATCH(D192,Ingredients!$B$5:$B$304,0))),"")</f>
        <v>0</v>
      </c>
      <c r="U192" s="45">
        <f>IFERROR(IF(P192="","",P192*INDEX(Ingredients!$T$5:$T$304,MATCH(D192,Ingredients!$B$5:$B$304,0))),"")</f>
        <v>0</v>
      </c>
      <c r="V192" s="17">
        <f>IF(D192="","",IFERROR(INDEX(Ingredients!$W$5:$W$304,MATCH(D192,Ingredients!$B$5:$B$304,0)),"Add to Ingredients"))</f>
        <v>0</v>
      </c>
      <c r="W192" s="17">
        <f>IF(D192="","",IFERROR(INDEX(Ingredients!$C$5:$C$304,MATCH(D192,Ingredients!$B$5:$B$304,0)),"Add to Ingredients"))</f>
        <v>0</v>
      </c>
      <c r="X192" s="45">
        <f>IFERROR(INDEX(Recipes!$AT$5:$AT$204,MATCH(B192,Recipes!$A$5:$A$204,0)),0)</f>
        <v>0</v>
      </c>
      <c r="Y192" s="45">
        <f>IF(OR(J192="",X192=0),"",J192*X192)</f>
        <v>0</v>
      </c>
      <c r="Z192" s="17">
        <f>IF(D192="","",B192&amp;"#"&amp;COUNTIFS($B$5:B192,B192))</f>
        <v>0</v>
      </c>
      <c r="AA192" s="17">
        <f>IF(D192="","",B192&amp;"|"&amp;D192)</f>
        <v>0</v>
      </c>
      <c r="AB192" s="31">
        <f>IF(D192="","",IF(B192="","Add - which recipe?",IF(COUNTIFS(Ingredients!$B$5:$B$304,D192)=0,"Missing - not in the Ingredients tab",IF(E192="","Add - no quantity",IF(F192="","Add - no unit",IF(K192&lt;&gt;L192,"Check - recipe in "&amp;K192&amp;", priced in "&amp;L192,IF(COUNTIFS($AA$5:$AA$1204,AA192)&gt;1,"Duplicate - same ingredient twice","OK")))))))</f>
        <v>0</v>
      </c>
    </row>
    <row r="193" spans="1:28">
      <c r="A193" s="39">
        <f>IF(D193="","","RL-"&amp;TEXT(ROW()-4,"0000"))</f>
        <v>0</v>
      </c>
      <c r="C193" s="17">
        <f>IF(B193="","",IFERROR(INDEX(Recipes!$B$5:$B$204,MATCH(B193,Recipes!$A$5:$A$204,0)),"Not found"))</f>
        <v>0</v>
      </c>
      <c r="J193" s="45">
        <f>IF(E193="","",IFERROR(E193*INDEX(UnitFactors,MATCH(F193,UnitNames,0)),""))</f>
        <v>0</v>
      </c>
      <c r="K193" s="17">
        <f>IF(F193="","",IFERROR(INDEX(UnitBases,MATCH(F193,UnitNames,0)),"?"))</f>
        <v>0</v>
      </c>
      <c r="L193" s="17">
        <f>IF(D193="","",IFERROR(INDEX(Ingredients!$G$5:$G$304,MATCH(D193,Ingredients!$B$5:$B$304,0)),"Add to Ingredients"))</f>
        <v>0</v>
      </c>
      <c r="M193" s="25">
        <f>IF(D193="","",IFERROR(INDEX(Ingredients!$J$5:$J$304,MATCH(D193,Ingredients!$B$5:$B$304,0)),"Add to Ingredients"))</f>
        <v>0</v>
      </c>
      <c r="N193" s="25">
        <f>IF(OR(J193="",M193="",NOT(ISNUMBER(M193))),"",IF(K193&lt;&gt;L193,"",J193*M193))</f>
        <v>0</v>
      </c>
      <c r="O193" s="25">
        <f>IF(N193="","",IFERROR(N193/INDEX(Recipes!$G$5:$G$204,MATCH(B193,Recipes!$A$5:$A$204,0)),""))</f>
        <v>0</v>
      </c>
      <c r="P193" s="30">
        <f>IF(J193="","",IF(K193="each",J193,J193/100))</f>
        <v>0</v>
      </c>
      <c r="Q193" s="30">
        <f>IFERROR(IF(P193="","",P193*INDEX(Ingredients!$P$5:$P$304,MATCH(D193,Ingredients!$B$5:$B$304,0))),"")</f>
        <v>0</v>
      </c>
      <c r="R193" s="45">
        <f>IFERROR(IF(P193="","",P193*INDEX(Ingredients!$Q$5:$Q$304,MATCH(D193,Ingredients!$B$5:$B$304,0))),"")</f>
        <v>0</v>
      </c>
      <c r="S193" s="45">
        <f>IFERROR(IF(P193="","",P193*INDEX(Ingredients!$R$5:$R$304,MATCH(D193,Ingredients!$B$5:$B$304,0))),"")</f>
        <v>0</v>
      </c>
      <c r="T193" s="45">
        <f>IFERROR(IF(P193="","",P193*INDEX(Ingredients!$S$5:$S$304,MATCH(D193,Ingredients!$B$5:$B$304,0))),"")</f>
        <v>0</v>
      </c>
      <c r="U193" s="45">
        <f>IFERROR(IF(P193="","",P193*INDEX(Ingredients!$T$5:$T$304,MATCH(D193,Ingredients!$B$5:$B$304,0))),"")</f>
        <v>0</v>
      </c>
      <c r="V193" s="17">
        <f>IF(D193="","",IFERROR(INDEX(Ingredients!$W$5:$W$304,MATCH(D193,Ingredients!$B$5:$B$304,0)),"Add to Ingredients"))</f>
        <v>0</v>
      </c>
      <c r="W193" s="17">
        <f>IF(D193="","",IFERROR(INDEX(Ingredients!$C$5:$C$304,MATCH(D193,Ingredients!$B$5:$B$304,0)),"Add to Ingredients"))</f>
        <v>0</v>
      </c>
      <c r="X193" s="45">
        <f>IFERROR(INDEX(Recipes!$AT$5:$AT$204,MATCH(B193,Recipes!$A$5:$A$204,0)),0)</f>
        <v>0</v>
      </c>
      <c r="Y193" s="45">
        <f>IF(OR(J193="",X193=0),"",J193*X193)</f>
        <v>0</v>
      </c>
      <c r="Z193" s="17">
        <f>IF(D193="","",B193&amp;"#"&amp;COUNTIFS($B$5:B193,B193))</f>
        <v>0</v>
      </c>
      <c r="AA193" s="17">
        <f>IF(D193="","",B193&amp;"|"&amp;D193)</f>
        <v>0</v>
      </c>
      <c r="AB193" s="31">
        <f>IF(D193="","",IF(B193="","Add - which recipe?",IF(COUNTIFS(Ingredients!$B$5:$B$304,D193)=0,"Missing - not in the Ingredients tab",IF(E193="","Add - no quantity",IF(F193="","Add - no unit",IF(K193&lt;&gt;L193,"Check - recipe in "&amp;K193&amp;", priced in "&amp;L193,IF(COUNTIFS($AA$5:$AA$1204,AA193)&gt;1,"Duplicate - same ingredient twice","OK")))))))</f>
        <v>0</v>
      </c>
    </row>
    <row r="194" spans="1:28">
      <c r="A194" s="39">
        <f>IF(D194="","","RL-"&amp;TEXT(ROW()-4,"0000"))</f>
        <v>0</v>
      </c>
      <c r="C194" s="17">
        <f>IF(B194="","",IFERROR(INDEX(Recipes!$B$5:$B$204,MATCH(B194,Recipes!$A$5:$A$204,0)),"Not found"))</f>
        <v>0</v>
      </c>
      <c r="J194" s="45">
        <f>IF(E194="","",IFERROR(E194*INDEX(UnitFactors,MATCH(F194,UnitNames,0)),""))</f>
        <v>0</v>
      </c>
      <c r="K194" s="17">
        <f>IF(F194="","",IFERROR(INDEX(UnitBases,MATCH(F194,UnitNames,0)),"?"))</f>
        <v>0</v>
      </c>
      <c r="L194" s="17">
        <f>IF(D194="","",IFERROR(INDEX(Ingredients!$G$5:$G$304,MATCH(D194,Ingredients!$B$5:$B$304,0)),"Add to Ingredients"))</f>
        <v>0</v>
      </c>
      <c r="M194" s="25">
        <f>IF(D194="","",IFERROR(INDEX(Ingredients!$J$5:$J$304,MATCH(D194,Ingredients!$B$5:$B$304,0)),"Add to Ingredients"))</f>
        <v>0</v>
      </c>
      <c r="N194" s="25">
        <f>IF(OR(J194="",M194="",NOT(ISNUMBER(M194))),"",IF(K194&lt;&gt;L194,"",J194*M194))</f>
        <v>0</v>
      </c>
      <c r="O194" s="25">
        <f>IF(N194="","",IFERROR(N194/INDEX(Recipes!$G$5:$G$204,MATCH(B194,Recipes!$A$5:$A$204,0)),""))</f>
        <v>0</v>
      </c>
      <c r="P194" s="30">
        <f>IF(J194="","",IF(K194="each",J194,J194/100))</f>
        <v>0</v>
      </c>
      <c r="Q194" s="30">
        <f>IFERROR(IF(P194="","",P194*INDEX(Ingredients!$P$5:$P$304,MATCH(D194,Ingredients!$B$5:$B$304,0))),"")</f>
        <v>0</v>
      </c>
      <c r="R194" s="45">
        <f>IFERROR(IF(P194="","",P194*INDEX(Ingredients!$Q$5:$Q$304,MATCH(D194,Ingredients!$B$5:$B$304,0))),"")</f>
        <v>0</v>
      </c>
      <c r="S194" s="45">
        <f>IFERROR(IF(P194="","",P194*INDEX(Ingredients!$R$5:$R$304,MATCH(D194,Ingredients!$B$5:$B$304,0))),"")</f>
        <v>0</v>
      </c>
      <c r="T194" s="45">
        <f>IFERROR(IF(P194="","",P194*INDEX(Ingredients!$S$5:$S$304,MATCH(D194,Ingredients!$B$5:$B$304,0))),"")</f>
        <v>0</v>
      </c>
      <c r="U194" s="45">
        <f>IFERROR(IF(P194="","",P194*INDEX(Ingredients!$T$5:$T$304,MATCH(D194,Ingredients!$B$5:$B$304,0))),"")</f>
        <v>0</v>
      </c>
      <c r="V194" s="17">
        <f>IF(D194="","",IFERROR(INDEX(Ingredients!$W$5:$W$304,MATCH(D194,Ingredients!$B$5:$B$304,0)),"Add to Ingredients"))</f>
        <v>0</v>
      </c>
      <c r="W194" s="17">
        <f>IF(D194="","",IFERROR(INDEX(Ingredients!$C$5:$C$304,MATCH(D194,Ingredients!$B$5:$B$304,0)),"Add to Ingredients"))</f>
        <v>0</v>
      </c>
      <c r="X194" s="45">
        <f>IFERROR(INDEX(Recipes!$AT$5:$AT$204,MATCH(B194,Recipes!$A$5:$A$204,0)),0)</f>
        <v>0</v>
      </c>
      <c r="Y194" s="45">
        <f>IF(OR(J194="",X194=0),"",J194*X194)</f>
        <v>0</v>
      </c>
      <c r="Z194" s="17">
        <f>IF(D194="","",B194&amp;"#"&amp;COUNTIFS($B$5:B194,B194))</f>
        <v>0</v>
      </c>
      <c r="AA194" s="17">
        <f>IF(D194="","",B194&amp;"|"&amp;D194)</f>
        <v>0</v>
      </c>
      <c r="AB194" s="31">
        <f>IF(D194="","",IF(B194="","Add - which recipe?",IF(COUNTIFS(Ingredients!$B$5:$B$304,D194)=0,"Missing - not in the Ingredients tab",IF(E194="","Add - no quantity",IF(F194="","Add - no unit",IF(K194&lt;&gt;L194,"Check - recipe in "&amp;K194&amp;", priced in "&amp;L194,IF(COUNTIFS($AA$5:$AA$1204,AA194)&gt;1,"Duplicate - same ingredient twice","OK")))))))</f>
        <v>0</v>
      </c>
    </row>
    <row r="195" spans="1:28">
      <c r="A195" s="39">
        <f>IF(D195="","","RL-"&amp;TEXT(ROW()-4,"0000"))</f>
        <v>0</v>
      </c>
      <c r="C195" s="17">
        <f>IF(B195="","",IFERROR(INDEX(Recipes!$B$5:$B$204,MATCH(B195,Recipes!$A$5:$A$204,0)),"Not found"))</f>
        <v>0</v>
      </c>
      <c r="J195" s="45">
        <f>IF(E195="","",IFERROR(E195*INDEX(UnitFactors,MATCH(F195,UnitNames,0)),""))</f>
        <v>0</v>
      </c>
      <c r="K195" s="17">
        <f>IF(F195="","",IFERROR(INDEX(UnitBases,MATCH(F195,UnitNames,0)),"?"))</f>
        <v>0</v>
      </c>
      <c r="L195" s="17">
        <f>IF(D195="","",IFERROR(INDEX(Ingredients!$G$5:$G$304,MATCH(D195,Ingredients!$B$5:$B$304,0)),"Add to Ingredients"))</f>
        <v>0</v>
      </c>
      <c r="M195" s="25">
        <f>IF(D195="","",IFERROR(INDEX(Ingredients!$J$5:$J$304,MATCH(D195,Ingredients!$B$5:$B$304,0)),"Add to Ingredients"))</f>
        <v>0</v>
      </c>
      <c r="N195" s="25">
        <f>IF(OR(J195="",M195="",NOT(ISNUMBER(M195))),"",IF(K195&lt;&gt;L195,"",J195*M195))</f>
        <v>0</v>
      </c>
      <c r="O195" s="25">
        <f>IF(N195="","",IFERROR(N195/INDEX(Recipes!$G$5:$G$204,MATCH(B195,Recipes!$A$5:$A$204,0)),""))</f>
        <v>0</v>
      </c>
      <c r="P195" s="30">
        <f>IF(J195="","",IF(K195="each",J195,J195/100))</f>
        <v>0</v>
      </c>
      <c r="Q195" s="30">
        <f>IFERROR(IF(P195="","",P195*INDEX(Ingredients!$P$5:$P$304,MATCH(D195,Ingredients!$B$5:$B$304,0))),"")</f>
        <v>0</v>
      </c>
      <c r="R195" s="45">
        <f>IFERROR(IF(P195="","",P195*INDEX(Ingredients!$Q$5:$Q$304,MATCH(D195,Ingredients!$B$5:$B$304,0))),"")</f>
        <v>0</v>
      </c>
      <c r="S195" s="45">
        <f>IFERROR(IF(P195="","",P195*INDEX(Ingredients!$R$5:$R$304,MATCH(D195,Ingredients!$B$5:$B$304,0))),"")</f>
        <v>0</v>
      </c>
      <c r="T195" s="45">
        <f>IFERROR(IF(P195="","",P195*INDEX(Ingredients!$S$5:$S$304,MATCH(D195,Ingredients!$B$5:$B$304,0))),"")</f>
        <v>0</v>
      </c>
      <c r="U195" s="45">
        <f>IFERROR(IF(P195="","",P195*INDEX(Ingredients!$T$5:$T$304,MATCH(D195,Ingredients!$B$5:$B$304,0))),"")</f>
        <v>0</v>
      </c>
      <c r="V195" s="17">
        <f>IF(D195="","",IFERROR(INDEX(Ingredients!$W$5:$W$304,MATCH(D195,Ingredients!$B$5:$B$304,0)),"Add to Ingredients"))</f>
        <v>0</v>
      </c>
      <c r="W195" s="17">
        <f>IF(D195="","",IFERROR(INDEX(Ingredients!$C$5:$C$304,MATCH(D195,Ingredients!$B$5:$B$304,0)),"Add to Ingredients"))</f>
        <v>0</v>
      </c>
      <c r="X195" s="45">
        <f>IFERROR(INDEX(Recipes!$AT$5:$AT$204,MATCH(B195,Recipes!$A$5:$A$204,0)),0)</f>
        <v>0</v>
      </c>
      <c r="Y195" s="45">
        <f>IF(OR(J195="",X195=0),"",J195*X195)</f>
        <v>0</v>
      </c>
      <c r="Z195" s="17">
        <f>IF(D195="","",B195&amp;"#"&amp;COUNTIFS($B$5:B195,B195))</f>
        <v>0</v>
      </c>
      <c r="AA195" s="17">
        <f>IF(D195="","",B195&amp;"|"&amp;D195)</f>
        <v>0</v>
      </c>
      <c r="AB195" s="31">
        <f>IF(D195="","",IF(B195="","Add - which recipe?",IF(COUNTIFS(Ingredients!$B$5:$B$304,D195)=0,"Missing - not in the Ingredients tab",IF(E195="","Add - no quantity",IF(F195="","Add - no unit",IF(K195&lt;&gt;L195,"Check - recipe in "&amp;K195&amp;", priced in "&amp;L195,IF(COUNTIFS($AA$5:$AA$1204,AA195)&gt;1,"Duplicate - same ingredient twice","OK")))))))</f>
        <v>0</v>
      </c>
    </row>
    <row r="196" spans="1:28">
      <c r="A196" s="39">
        <f>IF(D196="","","RL-"&amp;TEXT(ROW()-4,"0000"))</f>
        <v>0</v>
      </c>
      <c r="C196" s="17">
        <f>IF(B196="","",IFERROR(INDEX(Recipes!$B$5:$B$204,MATCH(B196,Recipes!$A$5:$A$204,0)),"Not found"))</f>
        <v>0</v>
      </c>
      <c r="J196" s="45">
        <f>IF(E196="","",IFERROR(E196*INDEX(UnitFactors,MATCH(F196,UnitNames,0)),""))</f>
        <v>0</v>
      </c>
      <c r="K196" s="17">
        <f>IF(F196="","",IFERROR(INDEX(UnitBases,MATCH(F196,UnitNames,0)),"?"))</f>
        <v>0</v>
      </c>
      <c r="L196" s="17">
        <f>IF(D196="","",IFERROR(INDEX(Ingredients!$G$5:$G$304,MATCH(D196,Ingredients!$B$5:$B$304,0)),"Add to Ingredients"))</f>
        <v>0</v>
      </c>
      <c r="M196" s="25">
        <f>IF(D196="","",IFERROR(INDEX(Ingredients!$J$5:$J$304,MATCH(D196,Ingredients!$B$5:$B$304,0)),"Add to Ingredients"))</f>
        <v>0</v>
      </c>
      <c r="N196" s="25">
        <f>IF(OR(J196="",M196="",NOT(ISNUMBER(M196))),"",IF(K196&lt;&gt;L196,"",J196*M196))</f>
        <v>0</v>
      </c>
      <c r="O196" s="25">
        <f>IF(N196="","",IFERROR(N196/INDEX(Recipes!$G$5:$G$204,MATCH(B196,Recipes!$A$5:$A$204,0)),""))</f>
        <v>0</v>
      </c>
      <c r="P196" s="30">
        <f>IF(J196="","",IF(K196="each",J196,J196/100))</f>
        <v>0</v>
      </c>
      <c r="Q196" s="30">
        <f>IFERROR(IF(P196="","",P196*INDEX(Ingredients!$P$5:$P$304,MATCH(D196,Ingredients!$B$5:$B$304,0))),"")</f>
        <v>0</v>
      </c>
      <c r="R196" s="45">
        <f>IFERROR(IF(P196="","",P196*INDEX(Ingredients!$Q$5:$Q$304,MATCH(D196,Ingredients!$B$5:$B$304,0))),"")</f>
        <v>0</v>
      </c>
      <c r="S196" s="45">
        <f>IFERROR(IF(P196="","",P196*INDEX(Ingredients!$R$5:$R$304,MATCH(D196,Ingredients!$B$5:$B$304,0))),"")</f>
        <v>0</v>
      </c>
      <c r="T196" s="45">
        <f>IFERROR(IF(P196="","",P196*INDEX(Ingredients!$S$5:$S$304,MATCH(D196,Ingredients!$B$5:$B$304,0))),"")</f>
        <v>0</v>
      </c>
      <c r="U196" s="45">
        <f>IFERROR(IF(P196="","",P196*INDEX(Ingredients!$T$5:$T$304,MATCH(D196,Ingredients!$B$5:$B$304,0))),"")</f>
        <v>0</v>
      </c>
      <c r="V196" s="17">
        <f>IF(D196="","",IFERROR(INDEX(Ingredients!$W$5:$W$304,MATCH(D196,Ingredients!$B$5:$B$304,0)),"Add to Ingredients"))</f>
        <v>0</v>
      </c>
      <c r="W196" s="17">
        <f>IF(D196="","",IFERROR(INDEX(Ingredients!$C$5:$C$304,MATCH(D196,Ingredients!$B$5:$B$304,0)),"Add to Ingredients"))</f>
        <v>0</v>
      </c>
      <c r="X196" s="45">
        <f>IFERROR(INDEX(Recipes!$AT$5:$AT$204,MATCH(B196,Recipes!$A$5:$A$204,0)),0)</f>
        <v>0</v>
      </c>
      <c r="Y196" s="45">
        <f>IF(OR(J196="",X196=0),"",J196*X196)</f>
        <v>0</v>
      </c>
      <c r="Z196" s="17">
        <f>IF(D196="","",B196&amp;"#"&amp;COUNTIFS($B$5:B196,B196))</f>
        <v>0</v>
      </c>
      <c r="AA196" s="17">
        <f>IF(D196="","",B196&amp;"|"&amp;D196)</f>
        <v>0</v>
      </c>
      <c r="AB196" s="31">
        <f>IF(D196="","",IF(B196="","Add - which recipe?",IF(COUNTIFS(Ingredients!$B$5:$B$304,D196)=0,"Missing - not in the Ingredients tab",IF(E196="","Add - no quantity",IF(F196="","Add - no unit",IF(K196&lt;&gt;L196,"Check - recipe in "&amp;K196&amp;", priced in "&amp;L196,IF(COUNTIFS($AA$5:$AA$1204,AA196)&gt;1,"Duplicate - same ingredient twice","OK")))))))</f>
        <v>0</v>
      </c>
    </row>
    <row r="197" spans="1:28">
      <c r="A197" s="39">
        <f>IF(D197="","","RL-"&amp;TEXT(ROW()-4,"0000"))</f>
        <v>0</v>
      </c>
      <c r="C197" s="17">
        <f>IF(B197="","",IFERROR(INDEX(Recipes!$B$5:$B$204,MATCH(B197,Recipes!$A$5:$A$204,0)),"Not found"))</f>
        <v>0</v>
      </c>
      <c r="J197" s="45">
        <f>IF(E197="","",IFERROR(E197*INDEX(UnitFactors,MATCH(F197,UnitNames,0)),""))</f>
        <v>0</v>
      </c>
      <c r="K197" s="17">
        <f>IF(F197="","",IFERROR(INDEX(UnitBases,MATCH(F197,UnitNames,0)),"?"))</f>
        <v>0</v>
      </c>
      <c r="L197" s="17">
        <f>IF(D197="","",IFERROR(INDEX(Ingredients!$G$5:$G$304,MATCH(D197,Ingredients!$B$5:$B$304,0)),"Add to Ingredients"))</f>
        <v>0</v>
      </c>
      <c r="M197" s="25">
        <f>IF(D197="","",IFERROR(INDEX(Ingredients!$J$5:$J$304,MATCH(D197,Ingredients!$B$5:$B$304,0)),"Add to Ingredients"))</f>
        <v>0</v>
      </c>
      <c r="N197" s="25">
        <f>IF(OR(J197="",M197="",NOT(ISNUMBER(M197))),"",IF(K197&lt;&gt;L197,"",J197*M197))</f>
        <v>0</v>
      </c>
      <c r="O197" s="25">
        <f>IF(N197="","",IFERROR(N197/INDEX(Recipes!$G$5:$G$204,MATCH(B197,Recipes!$A$5:$A$204,0)),""))</f>
        <v>0</v>
      </c>
      <c r="P197" s="30">
        <f>IF(J197="","",IF(K197="each",J197,J197/100))</f>
        <v>0</v>
      </c>
      <c r="Q197" s="30">
        <f>IFERROR(IF(P197="","",P197*INDEX(Ingredients!$P$5:$P$304,MATCH(D197,Ingredients!$B$5:$B$304,0))),"")</f>
        <v>0</v>
      </c>
      <c r="R197" s="45">
        <f>IFERROR(IF(P197="","",P197*INDEX(Ingredients!$Q$5:$Q$304,MATCH(D197,Ingredients!$B$5:$B$304,0))),"")</f>
        <v>0</v>
      </c>
      <c r="S197" s="45">
        <f>IFERROR(IF(P197="","",P197*INDEX(Ingredients!$R$5:$R$304,MATCH(D197,Ingredients!$B$5:$B$304,0))),"")</f>
        <v>0</v>
      </c>
      <c r="T197" s="45">
        <f>IFERROR(IF(P197="","",P197*INDEX(Ingredients!$S$5:$S$304,MATCH(D197,Ingredients!$B$5:$B$304,0))),"")</f>
        <v>0</v>
      </c>
      <c r="U197" s="45">
        <f>IFERROR(IF(P197="","",P197*INDEX(Ingredients!$T$5:$T$304,MATCH(D197,Ingredients!$B$5:$B$304,0))),"")</f>
        <v>0</v>
      </c>
      <c r="V197" s="17">
        <f>IF(D197="","",IFERROR(INDEX(Ingredients!$W$5:$W$304,MATCH(D197,Ingredients!$B$5:$B$304,0)),"Add to Ingredients"))</f>
        <v>0</v>
      </c>
      <c r="W197" s="17">
        <f>IF(D197="","",IFERROR(INDEX(Ingredients!$C$5:$C$304,MATCH(D197,Ingredients!$B$5:$B$304,0)),"Add to Ingredients"))</f>
        <v>0</v>
      </c>
      <c r="X197" s="45">
        <f>IFERROR(INDEX(Recipes!$AT$5:$AT$204,MATCH(B197,Recipes!$A$5:$A$204,0)),0)</f>
        <v>0</v>
      </c>
      <c r="Y197" s="45">
        <f>IF(OR(J197="",X197=0),"",J197*X197)</f>
        <v>0</v>
      </c>
      <c r="Z197" s="17">
        <f>IF(D197="","",B197&amp;"#"&amp;COUNTIFS($B$5:B197,B197))</f>
        <v>0</v>
      </c>
      <c r="AA197" s="17">
        <f>IF(D197="","",B197&amp;"|"&amp;D197)</f>
        <v>0</v>
      </c>
      <c r="AB197" s="31">
        <f>IF(D197="","",IF(B197="","Add - which recipe?",IF(COUNTIFS(Ingredients!$B$5:$B$304,D197)=0,"Missing - not in the Ingredients tab",IF(E197="","Add - no quantity",IF(F197="","Add - no unit",IF(K197&lt;&gt;L197,"Check - recipe in "&amp;K197&amp;", priced in "&amp;L197,IF(COUNTIFS($AA$5:$AA$1204,AA197)&gt;1,"Duplicate - same ingredient twice","OK")))))))</f>
        <v>0</v>
      </c>
    </row>
    <row r="198" spans="1:28">
      <c r="A198" s="39">
        <f>IF(D198="","","RL-"&amp;TEXT(ROW()-4,"0000"))</f>
        <v>0</v>
      </c>
      <c r="C198" s="17">
        <f>IF(B198="","",IFERROR(INDEX(Recipes!$B$5:$B$204,MATCH(B198,Recipes!$A$5:$A$204,0)),"Not found"))</f>
        <v>0</v>
      </c>
      <c r="J198" s="45">
        <f>IF(E198="","",IFERROR(E198*INDEX(UnitFactors,MATCH(F198,UnitNames,0)),""))</f>
        <v>0</v>
      </c>
      <c r="K198" s="17">
        <f>IF(F198="","",IFERROR(INDEX(UnitBases,MATCH(F198,UnitNames,0)),"?"))</f>
        <v>0</v>
      </c>
      <c r="L198" s="17">
        <f>IF(D198="","",IFERROR(INDEX(Ingredients!$G$5:$G$304,MATCH(D198,Ingredients!$B$5:$B$304,0)),"Add to Ingredients"))</f>
        <v>0</v>
      </c>
      <c r="M198" s="25">
        <f>IF(D198="","",IFERROR(INDEX(Ingredients!$J$5:$J$304,MATCH(D198,Ingredients!$B$5:$B$304,0)),"Add to Ingredients"))</f>
        <v>0</v>
      </c>
      <c r="N198" s="25">
        <f>IF(OR(J198="",M198="",NOT(ISNUMBER(M198))),"",IF(K198&lt;&gt;L198,"",J198*M198))</f>
        <v>0</v>
      </c>
      <c r="O198" s="25">
        <f>IF(N198="","",IFERROR(N198/INDEX(Recipes!$G$5:$G$204,MATCH(B198,Recipes!$A$5:$A$204,0)),""))</f>
        <v>0</v>
      </c>
      <c r="P198" s="30">
        <f>IF(J198="","",IF(K198="each",J198,J198/100))</f>
        <v>0</v>
      </c>
      <c r="Q198" s="30">
        <f>IFERROR(IF(P198="","",P198*INDEX(Ingredients!$P$5:$P$304,MATCH(D198,Ingredients!$B$5:$B$304,0))),"")</f>
        <v>0</v>
      </c>
      <c r="R198" s="45">
        <f>IFERROR(IF(P198="","",P198*INDEX(Ingredients!$Q$5:$Q$304,MATCH(D198,Ingredients!$B$5:$B$304,0))),"")</f>
        <v>0</v>
      </c>
      <c r="S198" s="45">
        <f>IFERROR(IF(P198="","",P198*INDEX(Ingredients!$R$5:$R$304,MATCH(D198,Ingredients!$B$5:$B$304,0))),"")</f>
        <v>0</v>
      </c>
      <c r="T198" s="45">
        <f>IFERROR(IF(P198="","",P198*INDEX(Ingredients!$S$5:$S$304,MATCH(D198,Ingredients!$B$5:$B$304,0))),"")</f>
        <v>0</v>
      </c>
      <c r="U198" s="45">
        <f>IFERROR(IF(P198="","",P198*INDEX(Ingredients!$T$5:$T$304,MATCH(D198,Ingredients!$B$5:$B$304,0))),"")</f>
        <v>0</v>
      </c>
      <c r="V198" s="17">
        <f>IF(D198="","",IFERROR(INDEX(Ingredients!$W$5:$W$304,MATCH(D198,Ingredients!$B$5:$B$304,0)),"Add to Ingredients"))</f>
        <v>0</v>
      </c>
      <c r="W198" s="17">
        <f>IF(D198="","",IFERROR(INDEX(Ingredients!$C$5:$C$304,MATCH(D198,Ingredients!$B$5:$B$304,0)),"Add to Ingredients"))</f>
        <v>0</v>
      </c>
      <c r="X198" s="45">
        <f>IFERROR(INDEX(Recipes!$AT$5:$AT$204,MATCH(B198,Recipes!$A$5:$A$204,0)),0)</f>
        <v>0</v>
      </c>
      <c r="Y198" s="45">
        <f>IF(OR(J198="",X198=0),"",J198*X198)</f>
        <v>0</v>
      </c>
      <c r="Z198" s="17">
        <f>IF(D198="","",B198&amp;"#"&amp;COUNTIFS($B$5:B198,B198))</f>
        <v>0</v>
      </c>
      <c r="AA198" s="17">
        <f>IF(D198="","",B198&amp;"|"&amp;D198)</f>
        <v>0</v>
      </c>
      <c r="AB198" s="31">
        <f>IF(D198="","",IF(B198="","Add - which recipe?",IF(COUNTIFS(Ingredients!$B$5:$B$304,D198)=0,"Missing - not in the Ingredients tab",IF(E198="","Add - no quantity",IF(F198="","Add - no unit",IF(K198&lt;&gt;L198,"Check - recipe in "&amp;K198&amp;", priced in "&amp;L198,IF(COUNTIFS($AA$5:$AA$1204,AA198)&gt;1,"Duplicate - same ingredient twice","OK")))))))</f>
        <v>0</v>
      </c>
    </row>
    <row r="199" spans="1:28">
      <c r="A199" s="39">
        <f>IF(D199="","","RL-"&amp;TEXT(ROW()-4,"0000"))</f>
        <v>0</v>
      </c>
      <c r="C199" s="17">
        <f>IF(B199="","",IFERROR(INDEX(Recipes!$B$5:$B$204,MATCH(B199,Recipes!$A$5:$A$204,0)),"Not found"))</f>
        <v>0</v>
      </c>
      <c r="J199" s="45">
        <f>IF(E199="","",IFERROR(E199*INDEX(UnitFactors,MATCH(F199,UnitNames,0)),""))</f>
        <v>0</v>
      </c>
      <c r="K199" s="17">
        <f>IF(F199="","",IFERROR(INDEX(UnitBases,MATCH(F199,UnitNames,0)),"?"))</f>
        <v>0</v>
      </c>
      <c r="L199" s="17">
        <f>IF(D199="","",IFERROR(INDEX(Ingredients!$G$5:$G$304,MATCH(D199,Ingredients!$B$5:$B$304,0)),"Add to Ingredients"))</f>
        <v>0</v>
      </c>
      <c r="M199" s="25">
        <f>IF(D199="","",IFERROR(INDEX(Ingredients!$J$5:$J$304,MATCH(D199,Ingredients!$B$5:$B$304,0)),"Add to Ingredients"))</f>
        <v>0</v>
      </c>
      <c r="N199" s="25">
        <f>IF(OR(J199="",M199="",NOT(ISNUMBER(M199))),"",IF(K199&lt;&gt;L199,"",J199*M199))</f>
        <v>0</v>
      </c>
      <c r="O199" s="25">
        <f>IF(N199="","",IFERROR(N199/INDEX(Recipes!$G$5:$G$204,MATCH(B199,Recipes!$A$5:$A$204,0)),""))</f>
        <v>0</v>
      </c>
      <c r="P199" s="30">
        <f>IF(J199="","",IF(K199="each",J199,J199/100))</f>
        <v>0</v>
      </c>
      <c r="Q199" s="30">
        <f>IFERROR(IF(P199="","",P199*INDEX(Ingredients!$P$5:$P$304,MATCH(D199,Ingredients!$B$5:$B$304,0))),"")</f>
        <v>0</v>
      </c>
      <c r="R199" s="45">
        <f>IFERROR(IF(P199="","",P199*INDEX(Ingredients!$Q$5:$Q$304,MATCH(D199,Ingredients!$B$5:$B$304,0))),"")</f>
        <v>0</v>
      </c>
      <c r="S199" s="45">
        <f>IFERROR(IF(P199="","",P199*INDEX(Ingredients!$R$5:$R$304,MATCH(D199,Ingredients!$B$5:$B$304,0))),"")</f>
        <v>0</v>
      </c>
      <c r="T199" s="45">
        <f>IFERROR(IF(P199="","",P199*INDEX(Ingredients!$S$5:$S$304,MATCH(D199,Ingredients!$B$5:$B$304,0))),"")</f>
        <v>0</v>
      </c>
      <c r="U199" s="45">
        <f>IFERROR(IF(P199="","",P199*INDEX(Ingredients!$T$5:$T$304,MATCH(D199,Ingredients!$B$5:$B$304,0))),"")</f>
        <v>0</v>
      </c>
      <c r="V199" s="17">
        <f>IF(D199="","",IFERROR(INDEX(Ingredients!$W$5:$W$304,MATCH(D199,Ingredients!$B$5:$B$304,0)),"Add to Ingredients"))</f>
        <v>0</v>
      </c>
      <c r="W199" s="17">
        <f>IF(D199="","",IFERROR(INDEX(Ingredients!$C$5:$C$304,MATCH(D199,Ingredients!$B$5:$B$304,0)),"Add to Ingredients"))</f>
        <v>0</v>
      </c>
      <c r="X199" s="45">
        <f>IFERROR(INDEX(Recipes!$AT$5:$AT$204,MATCH(B199,Recipes!$A$5:$A$204,0)),0)</f>
        <v>0</v>
      </c>
      <c r="Y199" s="45">
        <f>IF(OR(J199="",X199=0),"",J199*X199)</f>
        <v>0</v>
      </c>
      <c r="Z199" s="17">
        <f>IF(D199="","",B199&amp;"#"&amp;COUNTIFS($B$5:B199,B199))</f>
        <v>0</v>
      </c>
      <c r="AA199" s="17">
        <f>IF(D199="","",B199&amp;"|"&amp;D199)</f>
        <v>0</v>
      </c>
      <c r="AB199" s="31">
        <f>IF(D199="","",IF(B199="","Add - which recipe?",IF(COUNTIFS(Ingredients!$B$5:$B$304,D199)=0,"Missing - not in the Ingredients tab",IF(E199="","Add - no quantity",IF(F199="","Add - no unit",IF(K199&lt;&gt;L199,"Check - recipe in "&amp;K199&amp;", priced in "&amp;L199,IF(COUNTIFS($AA$5:$AA$1204,AA199)&gt;1,"Duplicate - same ingredient twice","OK")))))))</f>
        <v>0</v>
      </c>
    </row>
    <row r="200" spans="1:28">
      <c r="A200" s="39">
        <f>IF(D200="","","RL-"&amp;TEXT(ROW()-4,"0000"))</f>
        <v>0</v>
      </c>
      <c r="C200" s="17">
        <f>IF(B200="","",IFERROR(INDEX(Recipes!$B$5:$B$204,MATCH(B200,Recipes!$A$5:$A$204,0)),"Not found"))</f>
        <v>0</v>
      </c>
      <c r="J200" s="45">
        <f>IF(E200="","",IFERROR(E200*INDEX(UnitFactors,MATCH(F200,UnitNames,0)),""))</f>
        <v>0</v>
      </c>
      <c r="K200" s="17">
        <f>IF(F200="","",IFERROR(INDEX(UnitBases,MATCH(F200,UnitNames,0)),"?"))</f>
        <v>0</v>
      </c>
      <c r="L200" s="17">
        <f>IF(D200="","",IFERROR(INDEX(Ingredients!$G$5:$G$304,MATCH(D200,Ingredients!$B$5:$B$304,0)),"Add to Ingredients"))</f>
        <v>0</v>
      </c>
      <c r="M200" s="25">
        <f>IF(D200="","",IFERROR(INDEX(Ingredients!$J$5:$J$304,MATCH(D200,Ingredients!$B$5:$B$304,0)),"Add to Ingredients"))</f>
        <v>0</v>
      </c>
      <c r="N200" s="25">
        <f>IF(OR(J200="",M200="",NOT(ISNUMBER(M200))),"",IF(K200&lt;&gt;L200,"",J200*M200))</f>
        <v>0</v>
      </c>
      <c r="O200" s="25">
        <f>IF(N200="","",IFERROR(N200/INDEX(Recipes!$G$5:$G$204,MATCH(B200,Recipes!$A$5:$A$204,0)),""))</f>
        <v>0</v>
      </c>
      <c r="P200" s="30">
        <f>IF(J200="","",IF(K200="each",J200,J200/100))</f>
        <v>0</v>
      </c>
      <c r="Q200" s="30">
        <f>IFERROR(IF(P200="","",P200*INDEX(Ingredients!$P$5:$P$304,MATCH(D200,Ingredients!$B$5:$B$304,0))),"")</f>
        <v>0</v>
      </c>
      <c r="R200" s="45">
        <f>IFERROR(IF(P200="","",P200*INDEX(Ingredients!$Q$5:$Q$304,MATCH(D200,Ingredients!$B$5:$B$304,0))),"")</f>
        <v>0</v>
      </c>
      <c r="S200" s="45">
        <f>IFERROR(IF(P200="","",P200*INDEX(Ingredients!$R$5:$R$304,MATCH(D200,Ingredients!$B$5:$B$304,0))),"")</f>
        <v>0</v>
      </c>
      <c r="T200" s="45">
        <f>IFERROR(IF(P200="","",P200*INDEX(Ingredients!$S$5:$S$304,MATCH(D200,Ingredients!$B$5:$B$304,0))),"")</f>
        <v>0</v>
      </c>
      <c r="U200" s="45">
        <f>IFERROR(IF(P200="","",P200*INDEX(Ingredients!$T$5:$T$304,MATCH(D200,Ingredients!$B$5:$B$304,0))),"")</f>
        <v>0</v>
      </c>
      <c r="V200" s="17">
        <f>IF(D200="","",IFERROR(INDEX(Ingredients!$W$5:$W$304,MATCH(D200,Ingredients!$B$5:$B$304,0)),"Add to Ingredients"))</f>
        <v>0</v>
      </c>
      <c r="W200" s="17">
        <f>IF(D200="","",IFERROR(INDEX(Ingredients!$C$5:$C$304,MATCH(D200,Ingredients!$B$5:$B$304,0)),"Add to Ingredients"))</f>
        <v>0</v>
      </c>
      <c r="X200" s="45">
        <f>IFERROR(INDEX(Recipes!$AT$5:$AT$204,MATCH(B200,Recipes!$A$5:$A$204,0)),0)</f>
        <v>0</v>
      </c>
      <c r="Y200" s="45">
        <f>IF(OR(J200="",X200=0),"",J200*X200)</f>
        <v>0</v>
      </c>
      <c r="Z200" s="17">
        <f>IF(D200="","",B200&amp;"#"&amp;COUNTIFS($B$5:B200,B200))</f>
        <v>0</v>
      </c>
      <c r="AA200" s="17">
        <f>IF(D200="","",B200&amp;"|"&amp;D200)</f>
        <v>0</v>
      </c>
      <c r="AB200" s="31">
        <f>IF(D200="","",IF(B200="","Add - which recipe?",IF(COUNTIFS(Ingredients!$B$5:$B$304,D200)=0,"Missing - not in the Ingredients tab",IF(E200="","Add - no quantity",IF(F200="","Add - no unit",IF(K200&lt;&gt;L200,"Check - recipe in "&amp;K200&amp;", priced in "&amp;L200,IF(COUNTIFS($AA$5:$AA$1204,AA200)&gt;1,"Duplicate - same ingredient twice","OK")))))))</f>
        <v>0</v>
      </c>
    </row>
    <row r="201" spans="1:28">
      <c r="A201" s="39">
        <f>IF(D201="","","RL-"&amp;TEXT(ROW()-4,"0000"))</f>
        <v>0</v>
      </c>
      <c r="C201" s="17">
        <f>IF(B201="","",IFERROR(INDEX(Recipes!$B$5:$B$204,MATCH(B201,Recipes!$A$5:$A$204,0)),"Not found"))</f>
        <v>0</v>
      </c>
      <c r="J201" s="45">
        <f>IF(E201="","",IFERROR(E201*INDEX(UnitFactors,MATCH(F201,UnitNames,0)),""))</f>
        <v>0</v>
      </c>
      <c r="K201" s="17">
        <f>IF(F201="","",IFERROR(INDEX(UnitBases,MATCH(F201,UnitNames,0)),"?"))</f>
        <v>0</v>
      </c>
      <c r="L201" s="17">
        <f>IF(D201="","",IFERROR(INDEX(Ingredients!$G$5:$G$304,MATCH(D201,Ingredients!$B$5:$B$304,0)),"Add to Ingredients"))</f>
        <v>0</v>
      </c>
      <c r="M201" s="25">
        <f>IF(D201="","",IFERROR(INDEX(Ingredients!$J$5:$J$304,MATCH(D201,Ingredients!$B$5:$B$304,0)),"Add to Ingredients"))</f>
        <v>0</v>
      </c>
      <c r="N201" s="25">
        <f>IF(OR(J201="",M201="",NOT(ISNUMBER(M201))),"",IF(K201&lt;&gt;L201,"",J201*M201))</f>
        <v>0</v>
      </c>
      <c r="O201" s="25">
        <f>IF(N201="","",IFERROR(N201/INDEX(Recipes!$G$5:$G$204,MATCH(B201,Recipes!$A$5:$A$204,0)),""))</f>
        <v>0</v>
      </c>
      <c r="P201" s="30">
        <f>IF(J201="","",IF(K201="each",J201,J201/100))</f>
        <v>0</v>
      </c>
      <c r="Q201" s="30">
        <f>IFERROR(IF(P201="","",P201*INDEX(Ingredients!$P$5:$P$304,MATCH(D201,Ingredients!$B$5:$B$304,0))),"")</f>
        <v>0</v>
      </c>
      <c r="R201" s="45">
        <f>IFERROR(IF(P201="","",P201*INDEX(Ingredients!$Q$5:$Q$304,MATCH(D201,Ingredients!$B$5:$B$304,0))),"")</f>
        <v>0</v>
      </c>
      <c r="S201" s="45">
        <f>IFERROR(IF(P201="","",P201*INDEX(Ingredients!$R$5:$R$304,MATCH(D201,Ingredients!$B$5:$B$304,0))),"")</f>
        <v>0</v>
      </c>
      <c r="T201" s="45">
        <f>IFERROR(IF(P201="","",P201*INDEX(Ingredients!$S$5:$S$304,MATCH(D201,Ingredients!$B$5:$B$304,0))),"")</f>
        <v>0</v>
      </c>
      <c r="U201" s="45">
        <f>IFERROR(IF(P201="","",P201*INDEX(Ingredients!$T$5:$T$304,MATCH(D201,Ingredients!$B$5:$B$304,0))),"")</f>
        <v>0</v>
      </c>
      <c r="V201" s="17">
        <f>IF(D201="","",IFERROR(INDEX(Ingredients!$W$5:$W$304,MATCH(D201,Ingredients!$B$5:$B$304,0)),"Add to Ingredients"))</f>
        <v>0</v>
      </c>
      <c r="W201" s="17">
        <f>IF(D201="","",IFERROR(INDEX(Ingredients!$C$5:$C$304,MATCH(D201,Ingredients!$B$5:$B$304,0)),"Add to Ingredients"))</f>
        <v>0</v>
      </c>
      <c r="X201" s="45">
        <f>IFERROR(INDEX(Recipes!$AT$5:$AT$204,MATCH(B201,Recipes!$A$5:$A$204,0)),0)</f>
        <v>0</v>
      </c>
      <c r="Y201" s="45">
        <f>IF(OR(J201="",X201=0),"",J201*X201)</f>
        <v>0</v>
      </c>
      <c r="Z201" s="17">
        <f>IF(D201="","",B201&amp;"#"&amp;COUNTIFS($B$5:B201,B201))</f>
        <v>0</v>
      </c>
      <c r="AA201" s="17">
        <f>IF(D201="","",B201&amp;"|"&amp;D201)</f>
        <v>0</v>
      </c>
      <c r="AB201" s="31">
        <f>IF(D201="","",IF(B201="","Add - which recipe?",IF(COUNTIFS(Ingredients!$B$5:$B$304,D201)=0,"Missing - not in the Ingredients tab",IF(E201="","Add - no quantity",IF(F201="","Add - no unit",IF(K201&lt;&gt;L201,"Check - recipe in "&amp;K201&amp;", priced in "&amp;L201,IF(COUNTIFS($AA$5:$AA$1204,AA201)&gt;1,"Duplicate - same ingredient twice","OK")))))))</f>
        <v>0</v>
      </c>
    </row>
    <row r="202" spans="1:28">
      <c r="A202" s="39">
        <f>IF(D202="","","RL-"&amp;TEXT(ROW()-4,"0000"))</f>
        <v>0</v>
      </c>
      <c r="C202" s="17">
        <f>IF(B202="","",IFERROR(INDEX(Recipes!$B$5:$B$204,MATCH(B202,Recipes!$A$5:$A$204,0)),"Not found"))</f>
        <v>0</v>
      </c>
      <c r="J202" s="45">
        <f>IF(E202="","",IFERROR(E202*INDEX(UnitFactors,MATCH(F202,UnitNames,0)),""))</f>
        <v>0</v>
      </c>
      <c r="K202" s="17">
        <f>IF(F202="","",IFERROR(INDEX(UnitBases,MATCH(F202,UnitNames,0)),"?"))</f>
        <v>0</v>
      </c>
      <c r="L202" s="17">
        <f>IF(D202="","",IFERROR(INDEX(Ingredients!$G$5:$G$304,MATCH(D202,Ingredients!$B$5:$B$304,0)),"Add to Ingredients"))</f>
        <v>0</v>
      </c>
      <c r="M202" s="25">
        <f>IF(D202="","",IFERROR(INDEX(Ingredients!$J$5:$J$304,MATCH(D202,Ingredients!$B$5:$B$304,0)),"Add to Ingredients"))</f>
        <v>0</v>
      </c>
      <c r="N202" s="25">
        <f>IF(OR(J202="",M202="",NOT(ISNUMBER(M202))),"",IF(K202&lt;&gt;L202,"",J202*M202))</f>
        <v>0</v>
      </c>
      <c r="O202" s="25">
        <f>IF(N202="","",IFERROR(N202/INDEX(Recipes!$G$5:$G$204,MATCH(B202,Recipes!$A$5:$A$204,0)),""))</f>
        <v>0</v>
      </c>
      <c r="P202" s="30">
        <f>IF(J202="","",IF(K202="each",J202,J202/100))</f>
        <v>0</v>
      </c>
      <c r="Q202" s="30">
        <f>IFERROR(IF(P202="","",P202*INDEX(Ingredients!$P$5:$P$304,MATCH(D202,Ingredients!$B$5:$B$304,0))),"")</f>
        <v>0</v>
      </c>
      <c r="R202" s="45">
        <f>IFERROR(IF(P202="","",P202*INDEX(Ingredients!$Q$5:$Q$304,MATCH(D202,Ingredients!$B$5:$B$304,0))),"")</f>
        <v>0</v>
      </c>
      <c r="S202" s="45">
        <f>IFERROR(IF(P202="","",P202*INDEX(Ingredients!$R$5:$R$304,MATCH(D202,Ingredients!$B$5:$B$304,0))),"")</f>
        <v>0</v>
      </c>
      <c r="T202" s="45">
        <f>IFERROR(IF(P202="","",P202*INDEX(Ingredients!$S$5:$S$304,MATCH(D202,Ingredients!$B$5:$B$304,0))),"")</f>
        <v>0</v>
      </c>
      <c r="U202" s="45">
        <f>IFERROR(IF(P202="","",P202*INDEX(Ingredients!$T$5:$T$304,MATCH(D202,Ingredients!$B$5:$B$304,0))),"")</f>
        <v>0</v>
      </c>
      <c r="V202" s="17">
        <f>IF(D202="","",IFERROR(INDEX(Ingredients!$W$5:$W$304,MATCH(D202,Ingredients!$B$5:$B$304,0)),"Add to Ingredients"))</f>
        <v>0</v>
      </c>
      <c r="W202" s="17">
        <f>IF(D202="","",IFERROR(INDEX(Ingredients!$C$5:$C$304,MATCH(D202,Ingredients!$B$5:$B$304,0)),"Add to Ingredients"))</f>
        <v>0</v>
      </c>
      <c r="X202" s="45">
        <f>IFERROR(INDEX(Recipes!$AT$5:$AT$204,MATCH(B202,Recipes!$A$5:$A$204,0)),0)</f>
        <v>0</v>
      </c>
      <c r="Y202" s="45">
        <f>IF(OR(J202="",X202=0),"",J202*X202)</f>
        <v>0</v>
      </c>
      <c r="Z202" s="17">
        <f>IF(D202="","",B202&amp;"#"&amp;COUNTIFS($B$5:B202,B202))</f>
        <v>0</v>
      </c>
      <c r="AA202" s="17">
        <f>IF(D202="","",B202&amp;"|"&amp;D202)</f>
        <v>0</v>
      </c>
      <c r="AB202" s="31">
        <f>IF(D202="","",IF(B202="","Add - which recipe?",IF(COUNTIFS(Ingredients!$B$5:$B$304,D202)=0,"Missing - not in the Ingredients tab",IF(E202="","Add - no quantity",IF(F202="","Add - no unit",IF(K202&lt;&gt;L202,"Check - recipe in "&amp;K202&amp;", priced in "&amp;L202,IF(COUNTIFS($AA$5:$AA$1204,AA202)&gt;1,"Duplicate - same ingredient twice","OK")))))))</f>
        <v>0</v>
      </c>
    </row>
    <row r="203" spans="1:28">
      <c r="A203" s="39">
        <f>IF(D203="","","RL-"&amp;TEXT(ROW()-4,"0000"))</f>
        <v>0</v>
      </c>
      <c r="C203" s="17">
        <f>IF(B203="","",IFERROR(INDEX(Recipes!$B$5:$B$204,MATCH(B203,Recipes!$A$5:$A$204,0)),"Not found"))</f>
        <v>0</v>
      </c>
      <c r="J203" s="45">
        <f>IF(E203="","",IFERROR(E203*INDEX(UnitFactors,MATCH(F203,UnitNames,0)),""))</f>
        <v>0</v>
      </c>
      <c r="K203" s="17">
        <f>IF(F203="","",IFERROR(INDEX(UnitBases,MATCH(F203,UnitNames,0)),"?"))</f>
        <v>0</v>
      </c>
      <c r="L203" s="17">
        <f>IF(D203="","",IFERROR(INDEX(Ingredients!$G$5:$G$304,MATCH(D203,Ingredients!$B$5:$B$304,0)),"Add to Ingredients"))</f>
        <v>0</v>
      </c>
      <c r="M203" s="25">
        <f>IF(D203="","",IFERROR(INDEX(Ingredients!$J$5:$J$304,MATCH(D203,Ingredients!$B$5:$B$304,0)),"Add to Ingredients"))</f>
        <v>0</v>
      </c>
      <c r="N203" s="25">
        <f>IF(OR(J203="",M203="",NOT(ISNUMBER(M203))),"",IF(K203&lt;&gt;L203,"",J203*M203))</f>
        <v>0</v>
      </c>
      <c r="O203" s="25">
        <f>IF(N203="","",IFERROR(N203/INDEX(Recipes!$G$5:$G$204,MATCH(B203,Recipes!$A$5:$A$204,0)),""))</f>
        <v>0</v>
      </c>
      <c r="P203" s="30">
        <f>IF(J203="","",IF(K203="each",J203,J203/100))</f>
        <v>0</v>
      </c>
      <c r="Q203" s="30">
        <f>IFERROR(IF(P203="","",P203*INDEX(Ingredients!$P$5:$P$304,MATCH(D203,Ingredients!$B$5:$B$304,0))),"")</f>
        <v>0</v>
      </c>
      <c r="R203" s="45">
        <f>IFERROR(IF(P203="","",P203*INDEX(Ingredients!$Q$5:$Q$304,MATCH(D203,Ingredients!$B$5:$B$304,0))),"")</f>
        <v>0</v>
      </c>
      <c r="S203" s="45">
        <f>IFERROR(IF(P203="","",P203*INDEX(Ingredients!$R$5:$R$304,MATCH(D203,Ingredients!$B$5:$B$304,0))),"")</f>
        <v>0</v>
      </c>
      <c r="T203" s="45">
        <f>IFERROR(IF(P203="","",P203*INDEX(Ingredients!$S$5:$S$304,MATCH(D203,Ingredients!$B$5:$B$304,0))),"")</f>
        <v>0</v>
      </c>
      <c r="U203" s="45">
        <f>IFERROR(IF(P203="","",P203*INDEX(Ingredients!$T$5:$T$304,MATCH(D203,Ingredients!$B$5:$B$304,0))),"")</f>
        <v>0</v>
      </c>
      <c r="V203" s="17">
        <f>IF(D203="","",IFERROR(INDEX(Ingredients!$W$5:$W$304,MATCH(D203,Ingredients!$B$5:$B$304,0)),"Add to Ingredients"))</f>
        <v>0</v>
      </c>
      <c r="W203" s="17">
        <f>IF(D203="","",IFERROR(INDEX(Ingredients!$C$5:$C$304,MATCH(D203,Ingredients!$B$5:$B$304,0)),"Add to Ingredients"))</f>
        <v>0</v>
      </c>
      <c r="X203" s="45">
        <f>IFERROR(INDEX(Recipes!$AT$5:$AT$204,MATCH(B203,Recipes!$A$5:$A$204,0)),0)</f>
        <v>0</v>
      </c>
      <c r="Y203" s="45">
        <f>IF(OR(J203="",X203=0),"",J203*X203)</f>
        <v>0</v>
      </c>
      <c r="Z203" s="17">
        <f>IF(D203="","",B203&amp;"#"&amp;COUNTIFS($B$5:B203,B203))</f>
        <v>0</v>
      </c>
      <c r="AA203" s="17">
        <f>IF(D203="","",B203&amp;"|"&amp;D203)</f>
        <v>0</v>
      </c>
      <c r="AB203" s="31">
        <f>IF(D203="","",IF(B203="","Add - which recipe?",IF(COUNTIFS(Ingredients!$B$5:$B$304,D203)=0,"Missing - not in the Ingredients tab",IF(E203="","Add - no quantity",IF(F203="","Add - no unit",IF(K203&lt;&gt;L203,"Check - recipe in "&amp;K203&amp;", priced in "&amp;L203,IF(COUNTIFS($AA$5:$AA$1204,AA203)&gt;1,"Duplicate - same ingredient twice","OK")))))))</f>
        <v>0</v>
      </c>
    </row>
    <row r="204" spans="1:28">
      <c r="A204" s="39">
        <f>IF(D204="","","RL-"&amp;TEXT(ROW()-4,"0000"))</f>
        <v>0</v>
      </c>
      <c r="C204" s="17">
        <f>IF(B204="","",IFERROR(INDEX(Recipes!$B$5:$B$204,MATCH(B204,Recipes!$A$5:$A$204,0)),"Not found"))</f>
        <v>0</v>
      </c>
      <c r="J204" s="45">
        <f>IF(E204="","",IFERROR(E204*INDEX(UnitFactors,MATCH(F204,UnitNames,0)),""))</f>
        <v>0</v>
      </c>
      <c r="K204" s="17">
        <f>IF(F204="","",IFERROR(INDEX(UnitBases,MATCH(F204,UnitNames,0)),"?"))</f>
        <v>0</v>
      </c>
      <c r="L204" s="17">
        <f>IF(D204="","",IFERROR(INDEX(Ingredients!$G$5:$G$304,MATCH(D204,Ingredients!$B$5:$B$304,0)),"Add to Ingredients"))</f>
        <v>0</v>
      </c>
      <c r="M204" s="25">
        <f>IF(D204="","",IFERROR(INDEX(Ingredients!$J$5:$J$304,MATCH(D204,Ingredients!$B$5:$B$304,0)),"Add to Ingredients"))</f>
        <v>0</v>
      </c>
      <c r="N204" s="25">
        <f>IF(OR(J204="",M204="",NOT(ISNUMBER(M204))),"",IF(K204&lt;&gt;L204,"",J204*M204))</f>
        <v>0</v>
      </c>
      <c r="O204" s="25">
        <f>IF(N204="","",IFERROR(N204/INDEX(Recipes!$G$5:$G$204,MATCH(B204,Recipes!$A$5:$A$204,0)),""))</f>
        <v>0</v>
      </c>
      <c r="P204" s="30">
        <f>IF(J204="","",IF(K204="each",J204,J204/100))</f>
        <v>0</v>
      </c>
      <c r="Q204" s="30">
        <f>IFERROR(IF(P204="","",P204*INDEX(Ingredients!$P$5:$P$304,MATCH(D204,Ingredients!$B$5:$B$304,0))),"")</f>
        <v>0</v>
      </c>
      <c r="R204" s="45">
        <f>IFERROR(IF(P204="","",P204*INDEX(Ingredients!$Q$5:$Q$304,MATCH(D204,Ingredients!$B$5:$B$304,0))),"")</f>
        <v>0</v>
      </c>
      <c r="S204" s="45">
        <f>IFERROR(IF(P204="","",P204*INDEX(Ingredients!$R$5:$R$304,MATCH(D204,Ingredients!$B$5:$B$304,0))),"")</f>
        <v>0</v>
      </c>
      <c r="T204" s="45">
        <f>IFERROR(IF(P204="","",P204*INDEX(Ingredients!$S$5:$S$304,MATCH(D204,Ingredients!$B$5:$B$304,0))),"")</f>
        <v>0</v>
      </c>
      <c r="U204" s="45">
        <f>IFERROR(IF(P204="","",P204*INDEX(Ingredients!$T$5:$T$304,MATCH(D204,Ingredients!$B$5:$B$304,0))),"")</f>
        <v>0</v>
      </c>
      <c r="V204" s="17">
        <f>IF(D204="","",IFERROR(INDEX(Ingredients!$W$5:$W$304,MATCH(D204,Ingredients!$B$5:$B$304,0)),"Add to Ingredients"))</f>
        <v>0</v>
      </c>
      <c r="W204" s="17">
        <f>IF(D204="","",IFERROR(INDEX(Ingredients!$C$5:$C$304,MATCH(D204,Ingredients!$B$5:$B$304,0)),"Add to Ingredients"))</f>
        <v>0</v>
      </c>
      <c r="X204" s="45">
        <f>IFERROR(INDEX(Recipes!$AT$5:$AT$204,MATCH(B204,Recipes!$A$5:$A$204,0)),0)</f>
        <v>0</v>
      </c>
      <c r="Y204" s="45">
        <f>IF(OR(J204="",X204=0),"",J204*X204)</f>
        <v>0</v>
      </c>
      <c r="Z204" s="17">
        <f>IF(D204="","",B204&amp;"#"&amp;COUNTIFS($B$5:B204,B204))</f>
        <v>0</v>
      </c>
      <c r="AA204" s="17">
        <f>IF(D204="","",B204&amp;"|"&amp;D204)</f>
        <v>0</v>
      </c>
      <c r="AB204" s="31">
        <f>IF(D204="","",IF(B204="","Add - which recipe?",IF(COUNTIFS(Ingredients!$B$5:$B$304,D204)=0,"Missing - not in the Ingredients tab",IF(E204="","Add - no quantity",IF(F204="","Add - no unit",IF(K204&lt;&gt;L204,"Check - recipe in "&amp;K204&amp;", priced in "&amp;L204,IF(COUNTIFS($AA$5:$AA$1204,AA204)&gt;1,"Duplicate - same ingredient twice","OK")))))))</f>
        <v>0</v>
      </c>
    </row>
    <row r="205" spans="1:28">
      <c r="A205" s="39">
        <f>IF(D205="","","RL-"&amp;TEXT(ROW()-4,"0000"))</f>
        <v>0</v>
      </c>
      <c r="C205" s="17">
        <f>IF(B205="","",IFERROR(INDEX(Recipes!$B$5:$B$204,MATCH(B205,Recipes!$A$5:$A$204,0)),"Not found"))</f>
        <v>0</v>
      </c>
      <c r="J205" s="45">
        <f>IF(E205="","",IFERROR(E205*INDEX(UnitFactors,MATCH(F205,UnitNames,0)),""))</f>
        <v>0</v>
      </c>
      <c r="K205" s="17">
        <f>IF(F205="","",IFERROR(INDEX(UnitBases,MATCH(F205,UnitNames,0)),"?"))</f>
        <v>0</v>
      </c>
      <c r="L205" s="17">
        <f>IF(D205="","",IFERROR(INDEX(Ingredients!$G$5:$G$304,MATCH(D205,Ingredients!$B$5:$B$304,0)),"Add to Ingredients"))</f>
        <v>0</v>
      </c>
      <c r="M205" s="25">
        <f>IF(D205="","",IFERROR(INDEX(Ingredients!$J$5:$J$304,MATCH(D205,Ingredients!$B$5:$B$304,0)),"Add to Ingredients"))</f>
        <v>0</v>
      </c>
      <c r="N205" s="25">
        <f>IF(OR(J205="",M205="",NOT(ISNUMBER(M205))),"",IF(K205&lt;&gt;L205,"",J205*M205))</f>
        <v>0</v>
      </c>
      <c r="O205" s="25">
        <f>IF(N205="","",IFERROR(N205/INDEX(Recipes!$G$5:$G$204,MATCH(B205,Recipes!$A$5:$A$204,0)),""))</f>
        <v>0</v>
      </c>
      <c r="P205" s="30">
        <f>IF(J205="","",IF(K205="each",J205,J205/100))</f>
        <v>0</v>
      </c>
      <c r="Q205" s="30">
        <f>IFERROR(IF(P205="","",P205*INDEX(Ingredients!$P$5:$P$304,MATCH(D205,Ingredients!$B$5:$B$304,0))),"")</f>
        <v>0</v>
      </c>
      <c r="R205" s="45">
        <f>IFERROR(IF(P205="","",P205*INDEX(Ingredients!$Q$5:$Q$304,MATCH(D205,Ingredients!$B$5:$B$304,0))),"")</f>
        <v>0</v>
      </c>
      <c r="S205" s="45">
        <f>IFERROR(IF(P205="","",P205*INDEX(Ingredients!$R$5:$R$304,MATCH(D205,Ingredients!$B$5:$B$304,0))),"")</f>
        <v>0</v>
      </c>
      <c r="T205" s="45">
        <f>IFERROR(IF(P205="","",P205*INDEX(Ingredients!$S$5:$S$304,MATCH(D205,Ingredients!$B$5:$B$304,0))),"")</f>
        <v>0</v>
      </c>
      <c r="U205" s="45">
        <f>IFERROR(IF(P205="","",P205*INDEX(Ingredients!$T$5:$T$304,MATCH(D205,Ingredients!$B$5:$B$304,0))),"")</f>
        <v>0</v>
      </c>
      <c r="V205" s="17">
        <f>IF(D205="","",IFERROR(INDEX(Ingredients!$W$5:$W$304,MATCH(D205,Ingredients!$B$5:$B$304,0)),"Add to Ingredients"))</f>
        <v>0</v>
      </c>
      <c r="W205" s="17">
        <f>IF(D205="","",IFERROR(INDEX(Ingredients!$C$5:$C$304,MATCH(D205,Ingredients!$B$5:$B$304,0)),"Add to Ingredients"))</f>
        <v>0</v>
      </c>
      <c r="X205" s="45">
        <f>IFERROR(INDEX(Recipes!$AT$5:$AT$204,MATCH(B205,Recipes!$A$5:$A$204,0)),0)</f>
        <v>0</v>
      </c>
      <c r="Y205" s="45">
        <f>IF(OR(J205="",X205=0),"",J205*X205)</f>
        <v>0</v>
      </c>
      <c r="Z205" s="17">
        <f>IF(D205="","",B205&amp;"#"&amp;COUNTIFS($B$5:B205,B205))</f>
        <v>0</v>
      </c>
      <c r="AA205" s="17">
        <f>IF(D205="","",B205&amp;"|"&amp;D205)</f>
        <v>0</v>
      </c>
      <c r="AB205" s="31">
        <f>IF(D205="","",IF(B205="","Add - which recipe?",IF(COUNTIFS(Ingredients!$B$5:$B$304,D205)=0,"Missing - not in the Ingredients tab",IF(E205="","Add - no quantity",IF(F205="","Add - no unit",IF(K205&lt;&gt;L205,"Check - recipe in "&amp;K205&amp;", priced in "&amp;L205,IF(COUNTIFS($AA$5:$AA$1204,AA205)&gt;1,"Duplicate - same ingredient twice","OK")))))))</f>
        <v>0</v>
      </c>
    </row>
    <row r="206" spans="1:28">
      <c r="A206" s="39">
        <f>IF(D206="","","RL-"&amp;TEXT(ROW()-4,"0000"))</f>
        <v>0</v>
      </c>
      <c r="C206" s="17">
        <f>IF(B206="","",IFERROR(INDEX(Recipes!$B$5:$B$204,MATCH(B206,Recipes!$A$5:$A$204,0)),"Not found"))</f>
        <v>0</v>
      </c>
      <c r="J206" s="45">
        <f>IF(E206="","",IFERROR(E206*INDEX(UnitFactors,MATCH(F206,UnitNames,0)),""))</f>
        <v>0</v>
      </c>
      <c r="K206" s="17">
        <f>IF(F206="","",IFERROR(INDEX(UnitBases,MATCH(F206,UnitNames,0)),"?"))</f>
        <v>0</v>
      </c>
      <c r="L206" s="17">
        <f>IF(D206="","",IFERROR(INDEX(Ingredients!$G$5:$G$304,MATCH(D206,Ingredients!$B$5:$B$304,0)),"Add to Ingredients"))</f>
        <v>0</v>
      </c>
      <c r="M206" s="25">
        <f>IF(D206="","",IFERROR(INDEX(Ingredients!$J$5:$J$304,MATCH(D206,Ingredients!$B$5:$B$304,0)),"Add to Ingredients"))</f>
        <v>0</v>
      </c>
      <c r="N206" s="25">
        <f>IF(OR(J206="",M206="",NOT(ISNUMBER(M206))),"",IF(K206&lt;&gt;L206,"",J206*M206))</f>
        <v>0</v>
      </c>
      <c r="O206" s="25">
        <f>IF(N206="","",IFERROR(N206/INDEX(Recipes!$G$5:$G$204,MATCH(B206,Recipes!$A$5:$A$204,0)),""))</f>
        <v>0</v>
      </c>
      <c r="P206" s="30">
        <f>IF(J206="","",IF(K206="each",J206,J206/100))</f>
        <v>0</v>
      </c>
      <c r="Q206" s="30">
        <f>IFERROR(IF(P206="","",P206*INDEX(Ingredients!$P$5:$P$304,MATCH(D206,Ingredients!$B$5:$B$304,0))),"")</f>
        <v>0</v>
      </c>
      <c r="R206" s="45">
        <f>IFERROR(IF(P206="","",P206*INDEX(Ingredients!$Q$5:$Q$304,MATCH(D206,Ingredients!$B$5:$B$304,0))),"")</f>
        <v>0</v>
      </c>
      <c r="S206" s="45">
        <f>IFERROR(IF(P206="","",P206*INDEX(Ingredients!$R$5:$R$304,MATCH(D206,Ingredients!$B$5:$B$304,0))),"")</f>
        <v>0</v>
      </c>
      <c r="T206" s="45">
        <f>IFERROR(IF(P206="","",P206*INDEX(Ingredients!$S$5:$S$304,MATCH(D206,Ingredients!$B$5:$B$304,0))),"")</f>
        <v>0</v>
      </c>
      <c r="U206" s="45">
        <f>IFERROR(IF(P206="","",P206*INDEX(Ingredients!$T$5:$T$304,MATCH(D206,Ingredients!$B$5:$B$304,0))),"")</f>
        <v>0</v>
      </c>
      <c r="V206" s="17">
        <f>IF(D206="","",IFERROR(INDEX(Ingredients!$W$5:$W$304,MATCH(D206,Ingredients!$B$5:$B$304,0)),"Add to Ingredients"))</f>
        <v>0</v>
      </c>
      <c r="W206" s="17">
        <f>IF(D206="","",IFERROR(INDEX(Ingredients!$C$5:$C$304,MATCH(D206,Ingredients!$B$5:$B$304,0)),"Add to Ingredients"))</f>
        <v>0</v>
      </c>
      <c r="X206" s="45">
        <f>IFERROR(INDEX(Recipes!$AT$5:$AT$204,MATCH(B206,Recipes!$A$5:$A$204,0)),0)</f>
        <v>0</v>
      </c>
      <c r="Y206" s="45">
        <f>IF(OR(J206="",X206=0),"",J206*X206)</f>
        <v>0</v>
      </c>
      <c r="Z206" s="17">
        <f>IF(D206="","",B206&amp;"#"&amp;COUNTIFS($B$5:B206,B206))</f>
        <v>0</v>
      </c>
      <c r="AA206" s="17">
        <f>IF(D206="","",B206&amp;"|"&amp;D206)</f>
        <v>0</v>
      </c>
      <c r="AB206" s="31">
        <f>IF(D206="","",IF(B206="","Add - which recipe?",IF(COUNTIFS(Ingredients!$B$5:$B$304,D206)=0,"Missing - not in the Ingredients tab",IF(E206="","Add - no quantity",IF(F206="","Add - no unit",IF(K206&lt;&gt;L206,"Check - recipe in "&amp;K206&amp;", priced in "&amp;L206,IF(COUNTIFS($AA$5:$AA$1204,AA206)&gt;1,"Duplicate - same ingredient twice","OK")))))))</f>
        <v>0</v>
      </c>
    </row>
    <row r="207" spans="1:28">
      <c r="A207" s="39">
        <f>IF(D207="","","RL-"&amp;TEXT(ROW()-4,"0000"))</f>
        <v>0</v>
      </c>
      <c r="C207" s="17">
        <f>IF(B207="","",IFERROR(INDEX(Recipes!$B$5:$B$204,MATCH(B207,Recipes!$A$5:$A$204,0)),"Not found"))</f>
        <v>0</v>
      </c>
      <c r="J207" s="45">
        <f>IF(E207="","",IFERROR(E207*INDEX(UnitFactors,MATCH(F207,UnitNames,0)),""))</f>
        <v>0</v>
      </c>
      <c r="K207" s="17">
        <f>IF(F207="","",IFERROR(INDEX(UnitBases,MATCH(F207,UnitNames,0)),"?"))</f>
        <v>0</v>
      </c>
      <c r="L207" s="17">
        <f>IF(D207="","",IFERROR(INDEX(Ingredients!$G$5:$G$304,MATCH(D207,Ingredients!$B$5:$B$304,0)),"Add to Ingredients"))</f>
        <v>0</v>
      </c>
      <c r="M207" s="25">
        <f>IF(D207="","",IFERROR(INDEX(Ingredients!$J$5:$J$304,MATCH(D207,Ingredients!$B$5:$B$304,0)),"Add to Ingredients"))</f>
        <v>0</v>
      </c>
      <c r="N207" s="25">
        <f>IF(OR(J207="",M207="",NOT(ISNUMBER(M207))),"",IF(K207&lt;&gt;L207,"",J207*M207))</f>
        <v>0</v>
      </c>
      <c r="O207" s="25">
        <f>IF(N207="","",IFERROR(N207/INDEX(Recipes!$G$5:$G$204,MATCH(B207,Recipes!$A$5:$A$204,0)),""))</f>
        <v>0</v>
      </c>
      <c r="P207" s="30">
        <f>IF(J207="","",IF(K207="each",J207,J207/100))</f>
        <v>0</v>
      </c>
      <c r="Q207" s="30">
        <f>IFERROR(IF(P207="","",P207*INDEX(Ingredients!$P$5:$P$304,MATCH(D207,Ingredients!$B$5:$B$304,0))),"")</f>
        <v>0</v>
      </c>
      <c r="R207" s="45">
        <f>IFERROR(IF(P207="","",P207*INDEX(Ingredients!$Q$5:$Q$304,MATCH(D207,Ingredients!$B$5:$B$304,0))),"")</f>
        <v>0</v>
      </c>
      <c r="S207" s="45">
        <f>IFERROR(IF(P207="","",P207*INDEX(Ingredients!$R$5:$R$304,MATCH(D207,Ingredients!$B$5:$B$304,0))),"")</f>
        <v>0</v>
      </c>
      <c r="T207" s="45">
        <f>IFERROR(IF(P207="","",P207*INDEX(Ingredients!$S$5:$S$304,MATCH(D207,Ingredients!$B$5:$B$304,0))),"")</f>
        <v>0</v>
      </c>
      <c r="U207" s="45">
        <f>IFERROR(IF(P207="","",P207*INDEX(Ingredients!$T$5:$T$304,MATCH(D207,Ingredients!$B$5:$B$304,0))),"")</f>
        <v>0</v>
      </c>
      <c r="V207" s="17">
        <f>IF(D207="","",IFERROR(INDEX(Ingredients!$W$5:$W$304,MATCH(D207,Ingredients!$B$5:$B$304,0)),"Add to Ingredients"))</f>
        <v>0</v>
      </c>
      <c r="W207" s="17">
        <f>IF(D207="","",IFERROR(INDEX(Ingredients!$C$5:$C$304,MATCH(D207,Ingredients!$B$5:$B$304,0)),"Add to Ingredients"))</f>
        <v>0</v>
      </c>
      <c r="X207" s="45">
        <f>IFERROR(INDEX(Recipes!$AT$5:$AT$204,MATCH(B207,Recipes!$A$5:$A$204,0)),0)</f>
        <v>0</v>
      </c>
      <c r="Y207" s="45">
        <f>IF(OR(J207="",X207=0),"",J207*X207)</f>
        <v>0</v>
      </c>
      <c r="Z207" s="17">
        <f>IF(D207="","",B207&amp;"#"&amp;COUNTIFS($B$5:B207,B207))</f>
        <v>0</v>
      </c>
      <c r="AA207" s="17">
        <f>IF(D207="","",B207&amp;"|"&amp;D207)</f>
        <v>0</v>
      </c>
      <c r="AB207" s="31">
        <f>IF(D207="","",IF(B207="","Add - which recipe?",IF(COUNTIFS(Ingredients!$B$5:$B$304,D207)=0,"Missing - not in the Ingredients tab",IF(E207="","Add - no quantity",IF(F207="","Add - no unit",IF(K207&lt;&gt;L207,"Check - recipe in "&amp;K207&amp;", priced in "&amp;L207,IF(COUNTIFS($AA$5:$AA$1204,AA207)&gt;1,"Duplicate - same ingredient twice","OK")))))))</f>
        <v>0</v>
      </c>
    </row>
    <row r="208" spans="1:28">
      <c r="A208" s="39">
        <f>IF(D208="","","RL-"&amp;TEXT(ROW()-4,"0000"))</f>
        <v>0</v>
      </c>
      <c r="C208" s="17">
        <f>IF(B208="","",IFERROR(INDEX(Recipes!$B$5:$B$204,MATCH(B208,Recipes!$A$5:$A$204,0)),"Not found"))</f>
        <v>0</v>
      </c>
      <c r="J208" s="45">
        <f>IF(E208="","",IFERROR(E208*INDEX(UnitFactors,MATCH(F208,UnitNames,0)),""))</f>
        <v>0</v>
      </c>
      <c r="K208" s="17">
        <f>IF(F208="","",IFERROR(INDEX(UnitBases,MATCH(F208,UnitNames,0)),"?"))</f>
        <v>0</v>
      </c>
      <c r="L208" s="17">
        <f>IF(D208="","",IFERROR(INDEX(Ingredients!$G$5:$G$304,MATCH(D208,Ingredients!$B$5:$B$304,0)),"Add to Ingredients"))</f>
        <v>0</v>
      </c>
      <c r="M208" s="25">
        <f>IF(D208="","",IFERROR(INDEX(Ingredients!$J$5:$J$304,MATCH(D208,Ingredients!$B$5:$B$304,0)),"Add to Ingredients"))</f>
        <v>0</v>
      </c>
      <c r="N208" s="25">
        <f>IF(OR(J208="",M208="",NOT(ISNUMBER(M208))),"",IF(K208&lt;&gt;L208,"",J208*M208))</f>
        <v>0</v>
      </c>
      <c r="O208" s="25">
        <f>IF(N208="","",IFERROR(N208/INDEX(Recipes!$G$5:$G$204,MATCH(B208,Recipes!$A$5:$A$204,0)),""))</f>
        <v>0</v>
      </c>
      <c r="P208" s="30">
        <f>IF(J208="","",IF(K208="each",J208,J208/100))</f>
        <v>0</v>
      </c>
      <c r="Q208" s="30">
        <f>IFERROR(IF(P208="","",P208*INDEX(Ingredients!$P$5:$P$304,MATCH(D208,Ingredients!$B$5:$B$304,0))),"")</f>
        <v>0</v>
      </c>
      <c r="R208" s="45">
        <f>IFERROR(IF(P208="","",P208*INDEX(Ingredients!$Q$5:$Q$304,MATCH(D208,Ingredients!$B$5:$B$304,0))),"")</f>
        <v>0</v>
      </c>
      <c r="S208" s="45">
        <f>IFERROR(IF(P208="","",P208*INDEX(Ingredients!$R$5:$R$304,MATCH(D208,Ingredients!$B$5:$B$304,0))),"")</f>
        <v>0</v>
      </c>
      <c r="T208" s="45">
        <f>IFERROR(IF(P208="","",P208*INDEX(Ingredients!$S$5:$S$304,MATCH(D208,Ingredients!$B$5:$B$304,0))),"")</f>
        <v>0</v>
      </c>
      <c r="U208" s="45">
        <f>IFERROR(IF(P208="","",P208*INDEX(Ingredients!$T$5:$T$304,MATCH(D208,Ingredients!$B$5:$B$304,0))),"")</f>
        <v>0</v>
      </c>
      <c r="V208" s="17">
        <f>IF(D208="","",IFERROR(INDEX(Ingredients!$W$5:$W$304,MATCH(D208,Ingredients!$B$5:$B$304,0)),"Add to Ingredients"))</f>
        <v>0</v>
      </c>
      <c r="W208" s="17">
        <f>IF(D208="","",IFERROR(INDEX(Ingredients!$C$5:$C$304,MATCH(D208,Ingredients!$B$5:$B$304,0)),"Add to Ingredients"))</f>
        <v>0</v>
      </c>
      <c r="X208" s="45">
        <f>IFERROR(INDEX(Recipes!$AT$5:$AT$204,MATCH(B208,Recipes!$A$5:$A$204,0)),0)</f>
        <v>0</v>
      </c>
      <c r="Y208" s="45">
        <f>IF(OR(J208="",X208=0),"",J208*X208)</f>
        <v>0</v>
      </c>
      <c r="Z208" s="17">
        <f>IF(D208="","",B208&amp;"#"&amp;COUNTIFS($B$5:B208,B208))</f>
        <v>0</v>
      </c>
      <c r="AA208" s="17">
        <f>IF(D208="","",B208&amp;"|"&amp;D208)</f>
        <v>0</v>
      </c>
      <c r="AB208" s="31">
        <f>IF(D208="","",IF(B208="","Add - which recipe?",IF(COUNTIFS(Ingredients!$B$5:$B$304,D208)=0,"Missing - not in the Ingredients tab",IF(E208="","Add - no quantity",IF(F208="","Add - no unit",IF(K208&lt;&gt;L208,"Check - recipe in "&amp;K208&amp;", priced in "&amp;L208,IF(COUNTIFS($AA$5:$AA$1204,AA208)&gt;1,"Duplicate - same ingredient twice","OK")))))))</f>
        <v>0</v>
      </c>
    </row>
    <row r="209" spans="1:28">
      <c r="A209" s="39">
        <f>IF(D209="","","RL-"&amp;TEXT(ROW()-4,"0000"))</f>
        <v>0</v>
      </c>
      <c r="C209" s="17">
        <f>IF(B209="","",IFERROR(INDEX(Recipes!$B$5:$B$204,MATCH(B209,Recipes!$A$5:$A$204,0)),"Not found"))</f>
        <v>0</v>
      </c>
      <c r="J209" s="45">
        <f>IF(E209="","",IFERROR(E209*INDEX(UnitFactors,MATCH(F209,UnitNames,0)),""))</f>
        <v>0</v>
      </c>
      <c r="K209" s="17">
        <f>IF(F209="","",IFERROR(INDEX(UnitBases,MATCH(F209,UnitNames,0)),"?"))</f>
        <v>0</v>
      </c>
      <c r="L209" s="17">
        <f>IF(D209="","",IFERROR(INDEX(Ingredients!$G$5:$G$304,MATCH(D209,Ingredients!$B$5:$B$304,0)),"Add to Ingredients"))</f>
        <v>0</v>
      </c>
      <c r="M209" s="25">
        <f>IF(D209="","",IFERROR(INDEX(Ingredients!$J$5:$J$304,MATCH(D209,Ingredients!$B$5:$B$304,0)),"Add to Ingredients"))</f>
        <v>0</v>
      </c>
      <c r="N209" s="25">
        <f>IF(OR(J209="",M209="",NOT(ISNUMBER(M209))),"",IF(K209&lt;&gt;L209,"",J209*M209))</f>
        <v>0</v>
      </c>
      <c r="O209" s="25">
        <f>IF(N209="","",IFERROR(N209/INDEX(Recipes!$G$5:$G$204,MATCH(B209,Recipes!$A$5:$A$204,0)),""))</f>
        <v>0</v>
      </c>
      <c r="P209" s="30">
        <f>IF(J209="","",IF(K209="each",J209,J209/100))</f>
        <v>0</v>
      </c>
      <c r="Q209" s="30">
        <f>IFERROR(IF(P209="","",P209*INDEX(Ingredients!$P$5:$P$304,MATCH(D209,Ingredients!$B$5:$B$304,0))),"")</f>
        <v>0</v>
      </c>
      <c r="R209" s="45">
        <f>IFERROR(IF(P209="","",P209*INDEX(Ingredients!$Q$5:$Q$304,MATCH(D209,Ingredients!$B$5:$B$304,0))),"")</f>
        <v>0</v>
      </c>
      <c r="S209" s="45">
        <f>IFERROR(IF(P209="","",P209*INDEX(Ingredients!$R$5:$R$304,MATCH(D209,Ingredients!$B$5:$B$304,0))),"")</f>
        <v>0</v>
      </c>
      <c r="T209" s="45">
        <f>IFERROR(IF(P209="","",P209*INDEX(Ingredients!$S$5:$S$304,MATCH(D209,Ingredients!$B$5:$B$304,0))),"")</f>
        <v>0</v>
      </c>
      <c r="U209" s="45">
        <f>IFERROR(IF(P209="","",P209*INDEX(Ingredients!$T$5:$T$304,MATCH(D209,Ingredients!$B$5:$B$304,0))),"")</f>
        <v>0</v>
      </c>
      <c r="V209" s="17">
        <f>IF(D209="","",IFERROR(INDEX(Ingredients!$W$5:$W$304,MATCH(D209,Ingredients!$B$5:$B$304,0)),"Add to Ingredients"))</f>
        <v>0</v>
      </c>
      <c r="W209" s="17">
        <f>IF(D209="","",IFERROR(INDEX(Ingredients!$C$5:$C$304,MATCH(D209,Ingredients!$B$5:$B$304,0)),"Add to Ingredients"))</f>
        <v>0</v>
      </c>
      <c r="X209" s="45">
        <f>IFERROR(INDEX(Recipes!$AT$5:$AT$204,MATCH(B209,Recipes!$A$5:$A$204,0)),0)</f>
        <v>0</v>
      </c>
      <c r="Y209" s="45">
        <f>IF(OR(J209="",X209=0),"",J209*X209)</f>
        <v>0</v>
      </c>
      <c r="Z209" s="17">
        <f>IF(D209="","",B209&amp;"#"&amp;COUNTIFS($B$5:B209,B209))</f>
        <v>0</v>
      </c>
      <c r="AA209" s="17">
        <f>IF(D209="","",B209&amp;"|"&amp;D209)</f>
        <v>0</v>
      </c>
      <c r="AB209" s="31">
        <f>IF(D209="","",IF(B209="","Add - which recipe?",IF(COUNTIFS(Ingredients!$B$5:$B$304,D209)=0,"Missing - not in the Ingredients tab",IF(E209="","Add - no quantity",IF(F209="","Add - no unit",IF(K209&lt;&gt;L209,"Check - recipe in "&amp;K209&amp;", priced in "&amp;L209,IF(COUNTIFS($AA$5:$AA$1204,AA209)&gt;1,"Duplicate - same ingredient twice","OK")))))))</f>
        <v>0</v>
      </c>
    </row>
    <row r="210" spans="1:28">
      <c r="A210" s="39">
        <f>IF(D210="","","RL-"&amp;TEXT(ROW()-4,"0000"))</f>
        <v>0</v>
      </c>
      <c r="C210" s="17">
        <f>IF(B210="","",IFERROR(INDEX(Recipes!$B$5:$B$204,MATCH(B210,Recipes!$A$5:$A$204,0)),"Not found"))</f>
        <v>0</v>
      </c>
      <c r="J210" s="45">
        <f>IF(E210="","",IFERROR(E210*INDEX(UnitFactors,MATCH(F210,UnitNames,0)),""))</f>
        <v>0</v>
      </c>
      <c r="K210" s="17">
        <f>IF(F210="","",IFERROR(INDEX(UnitBases,MATCH(F210,UnitNames,0)),"?"))</f>
        <v>0</v>
      </c>
      <c r="L210" s="17">
        <f>IF(D210="","",IFERROR(INDEX(Ingredients!$G$5:$G$304,MATCH(D210,Ingredients!$B$5:$B$304,0)),"Add to Ingredients"))</f>
        <v>0</v>
      </c>
      <c r="M210" s="25">
        <f>IF(D210="","",IFERROR(INDEX(Ingredients!$J$5:$J$304,MATCH(D210,Ingredients!$B$5:$B$304,0)),"Add to Ingredients"))</f>
        <v>0</v>
      </c>
      <c r="N210" s="25">
        <f>IF(OR(J210="",M210="",NOT(ISNUMBER(M210))),"",IF(K210&lt;&gt;L210,"",J210*M210))</f>
        <v>0</v>
      </c>
      <c r="O210" s="25">
        <f>IF(N210="","",IFERROR(N210/INDEX(Recipes!$G$5:$G$204,MATCH(B210,Recipes!$A$5:$A$204,0)),""))</f>
        <v>0</v>
      </c>
      <c r="P210" s="30">
        <f>IF(J210="","",IF(K210="each",J210,J210/100))</f>
        <v>0</v>
      </c>
      <c r="Q210" s="30">
        <f>IFERROR(IF(P210="","",P210*INDEX(Ingredients!$P$5:$P$304,MATCH(D210,Ingredients!$B$5:$B$304,0))),"")</f>
        <v>0</v>
      </c>
      <c r="R210" s="45">
        <f>IFERROR(IF(P210="","",P210*INDEX(Ingredients!$Q$5:$Q$304,MATCH(D210,Ingredients!$B$5:$B$304,0))),"")</f>
        <v>0</v>
      </c>
      <c r="S210" s="45">
        <f>IFERROR(IF(P210="","",P210*INDEX(Ingredients!$R$5:$R$304,MATCH(D210,Ingredients!$B$5:$B$304,0))),"")</f>
        <v>0</v>
      </c>
      <c r="T210" s="45">
        <f>IFERROR(IF(P210="","",P210*INDEX(Ingredients!$S$5:$S$304,MATCH(D210,Ingredients!$B$5:$B$304,0))),"")</f>
        <v>0</v>
      </c>
      <c r="U210" s="45">
        <f>IFERROR(IF(P210="","",P210*INDEX(Ingredients!$T$5:$T$304,MATCH(D210,Ingredients!$B$5:$B$304,0))),"")</f>
        <v>0</v>
      </c>
      <c r="V210" s="17">
        <f>IF(D210="","",IFERROR(INDEX(Ingredients!$W$5:$W$304,MATCH(D210,Ingredients!$B$5:$B$304,0)),"Add to Ingredients"))</f>
        <v>0</v>
      </c>
      <c r="W210" s="17">
        <f>IF(D210="","",IFERROR(INDEX(Ingredients!$C$5:$C$304,MATCH(D210,Ingredients!$B$5:$B$304,0)),"Add to Ingredients"))</f>
        <v>0</v>
      </c>
      <c r="X210" s="45">
        <f>IFERROR(INDEX(Recipes!$AT$5:$AT$204,MATCH(B210,Recipes!$A$5:$A$204,0)),0)</f>
        <v>0</v>
      </c>
      <c r="Y210" s="45">
        <f>IF(OR(J210="",X210=0),"",J210*X210)</f>
        <v>0</v>
      </c>
      <c r="Z210" s="17">
        <f>IF(D210="","",B210&amp;"#"&amp;COUNTIFS($B$5:B210,B210))</f>
        <v>0</v>
      </c>
      <c r="AA210" s="17">
        <f>IF(D210="","",B210&amp;"|"&amp;D210)</f>
        <v>0</v>
      </c>
      <c r="AB210" s="31">
        <f>IF(D210="","",IF(B210="","Add - which recipe?",IF(COUNTIFS(Ingredients!$B$5:$B$304,D210)=0,"Missing - not in the Ingredients tab",IF(E210="","Add - no quantity",IF(F210="","Add - no unit",IF(K210&lt;&gt;L210,"Check - recipe in "&amp;K210&amp;", priced in "&amp;L210,IF(COUNTIFS($AA$5:$AA$1204,AA210)&gt;1,"Duplicate - same ingredient twice","OK")))))))</f>
        <v>0</v>
      </c>
    </row>
    <row r="211" spans="1:28">
      <c r="A211" s="39">
        <f>IF(D211="","","RL-"&amp;TEXT(ROW()-4,"0000"))</f>
        <v>0</v>
      </c>
      <c r="C211" s="17">
        <f>IF(B211="","",IFERROR(INDEX(Recipes!$B$5:$B$204,MATCH(B211,Recipes!$A$5:$A$204,0)),"Not found"))</f>
        <v>0</v>
      </c>
      <c r="J211" s="45">
        <f>IF(E211="","",IFERROR(E211*INDEX(UnitFactors,MATCH(F211,UnitNames,0)),""))</f>
        <v>0</v>
      </c>
      <c r="K211" s="17">
        <f>IF(F211="","",IFERROR(INDEX(UnitBases,MATCH(F211,UnitNames,0)),"?"))</f>
        <v>0</v>
      </c>
      <c r="L211" s="17">
        <f>IF(D211="","",IFERROR(INDEX(Ingredients!$G$5:$G$304,MATCH(D211,Ingredients!$B$5:$B$304,0)),"Add to Ingredients"))</f>
        <v>0</v>
      </c>
      <c r="M211" s="25">
        <f>IF(D211="","",IFERROR(INDEX(Ingredients!$J$5:$J$304,MATCH(D211,Ingredients!$B$5:$B$304,0)),"Add to Ingredients"))</f>
        <v>0</v>
      </c>
      <c r="N211" s="25">
        <f>IF(OR(J211="",M211="",NOT(ISNUMBER(M211))),"",IF(K211&lt;&gt;L211,"",J211*M211))</f>
        <v>0</v>
      </c>
      <c r="O211" s="25">
        <f>IF(N211="","",IFERROR(N211/INDEX(Recipes!$G$5:$G$204,MATCH(B211,Recipes!$A$5:$A$204,0)),""))</f>
        <v>0</v>
      </c>
      <c r="P211" s="30">
        <f>IF(J211="","",IF(K211="each",J211,J211/100))</f>
        <v>0</v>
      </c>
      <c r="Q211" s="30">
        <f>IFERROR(IF(P211="","",P211*INDEX(Ingredients!$P$5:$P$304,MATCH(D211,Ingredients!$B$5:$B$304,0))),"")</f>
        <v>0</v>
      </c>
      <c r="R211" s="45">
        <f>IFERROR(IF(P211="","",P211*INDEX(Ingredients!$Q$5:$Q$304,MATCH(D211,Ingredients!$B$5:$B$304,0))),"")</f>
        <v>0</v>
      </c>
      <c r="S211" s="45">
        <f>IFERROR(IF(P211="","",P211*INDEX(Ingredients!$R$5:$R$304,MATCH(D211,Ingredients!$B$5:$B$304,0))),"")</f>
        <v>0</v>
      </c>
      <c r="T211" s="45">
        <f>IFERROR(IF(P211="","",P211*INDEX(Ingredients!$S$5:$S$304,MATCH(D211,Ingredients!$B$5:$B$304,0))),"")</f>
        <v>0</v>
      </c>
      <c r="U211" s="45">
        <f>IFERROR(IF(P211="","",P211*INDEX(Ingredients!$T$5:$T$304,MATCH(D211,Ingredients!$B$5:$B$304,0))),"")</f>
        <v>0</v>
      </c>
      <c r="V211" s="17">
        <f>IF(D211="","",IFERROR(INDEX(Ingredients!$W$5:$W$304,MATCH(D211,Ingredients!$B$5:$B$304,0)),"Add to Ingredients"))</f>
        <v>0</v>
      </c>
      <c r="W211" s="17">
        <f>IF(D211="","",IFERROR(INDEX(Ingredients!$C$5:$C$304,MATCH(D211,Ingredients!$B$5:$B$304,0)),"Add to Ingredients"))</f>
        <v>0</v>
      </c>
      <c r="X211" s="45">
        <f>IFERROR(INDEX(Recipes!$AT$5:$AT$204,MATCH(B211,Recipes!$A$5:$A$204,0)),0)</f>
        <v>0</v>
      </c>
      <c r="Y211" s="45">
        <f>IF(OR(J211="",X211=0),"",J211*X211)</f>
        <v>0</v>
      </c>
      <c r="Z211" s="17">
        <f>IF(D211="","",B211&amp;"#"&amp;COUNTIFS($B$5:B211,B211))</f>
        <v>0</v>
      </c>
      <c r="AA211" s="17">
        <f>IF(D211="","",B211&amp;"|"&amp;D211)</f>
        <v>0</v>
      </c>
      <c r="AB211" s="31">
        <f>IF(D211="","",IF(B211="","Add - which recipe?",IF(COUNTIFS(Ingredients!$B$5:$B$304,D211)=0,"Missing - not in the Ingredients tab",IF(E211="","Add - no quantity",IF(F211="","Add - no unit",IF(K211&lt;&gt;L211,"Check - recipe in "&amp;K211&amp;", priced in "&amp;L211,IF(COUNTIFS($AA$5:$AA$1204,AA211)&gt;1,"Duplicate - same ingredient twice","OK")))))))</f>
        <v>0</v>
      </c>
    </row>
    <row r="212" spans="1:28">
      <c r="A212" s="39">
        <f>IF(D212="","","RL-"&amp;TEXT(ROW()-4,"0000"))</f>
        <v>0</v>
      </c>
      <c r="C212" s="17">
        <f>IF(B212="","",IFERROR(INDEX(Recipes!$B$5:$B$204,MATCH(B212,Recipes!$A$5:$A$204,0)),"Not found"))</f>
        <v>0</v>
      </c>
      <c r="J212" s="45">
        <f>IF(E212="","",IFERROR(E212*INDEX(UnitFactors,MATCH(F212,UnitNames,0)),""))</f>
        <v>0</v>
      </c>
      <c r="K212" s="17">
        <f>IF(F212="","",IFERROR(INDEX(UnitBases,MATCH(F212,UnitNames,0)),"?"))</f>
        <v>0</v>
      </c>
      <c r="L212" s="17">
        <f>IF(D212="","",IFERROR(INDEX(Ingredients!$G$5:$G$304,MATCH(D212,Ingredients!$B$5:$B$304,0)),"Add to Ingredients"))</f>
        <v>0</v>
      </c>
      <c r="M212" s="25">
        <f>IF(D212="","",IFERROR(INDEX(Ingredients!$J$5:$J$304,MATCH(D212,Ingredients!$B$5:$B$304,0)),"Add to Ingredients"))</f>
        <v>0</v>
      </c>
      <c r="N212" s="25">
        <f>IF(OR(J212="",M212="",NOT(ISNUMBER(M212))),"",IF(K212&lt;&gt;L212,"",J212*M212))</f>
        <v>0</v>
      </c>
      <c r="O212" s="25">
        <f>IF(N212="","",IFERROR(N212/INDEX(Recipes!$G$5:$G$204,MATCH(B212,Recipes!$A$5:$A$204,0)),""))</f>
        <v>0</v>
      </c>
      <c r="P212" s="30">
        <f>IF(J212="","",IF(K212="each",J212,J212/100))</f>
        <v>0</v>
      </c>
      <c r="Q212" s="30">
        <f>IFERROR(IF(P212="","",P212*INDEX(Ingredients!$P$5:$P$304,MATCH(D212,Ingredients!$B$5:$B$304,0))),"")</f>
        <v>0</v>
      </c>
      <c r="R212" s="45">
        <f>IFERROR(IF(P212="","",P212*INDEX(Ingredients!$Q$5:$Q$304,MATCH(D212,Ingredients!$B$5:$B$304,0))),"")</f>
        <v>0</v>
      </c>
      <c r="S212" s="45">
        <f>IFERROR(IF(P212="","",P212*INDEX(Ingredients!$R$5:$R$304,MATCH(D212,Ingredients!$B$5:$B$304,0))),"")</f>
        <v>0</v>
      </c>
      <c r="T212" s="45">
        <f>IFERROR(IF(P212="","",P212*INDEX(Ingredients!$S$5:$S$304,MATCH(D212,Ingredients!$B$5:$B$304,0))),"")</f>
        <v>0</v>
      </c>
      <c r="U212" s="45">
        <f>IFERROR(IF(P212="","",P212*INDEX(Ingredients!$T$5:$T$304,MATCH(D212,Ingredients!$B$5:$B$304,0))),"")</f>
        <v>0</v>
      </c>
      <c r="V212" s="17">
        <f>IF(D212="","",IFERROR(INDEX(Ingredients!$W$5:$W$304,MATCH(D212,Ingredients!$B$5:$B$304,0)),"Add to Ingredients"))</f>
        <v>0</v>
      </c>
      <c r="W212" s="17">
        <f>IF(D212="","",IFERROR(INDEX(Ingredients!$C$5:$C$304,MATCH(D212,Ingredients!$B$5:$B$304,0)),"Add to Ingredients"))</f>
        <v>0</v>
      </c>
      <c r="X212" s="45">
        <f>IFERROR(INDEX(Recipes!$AT$5:$AT$204,MATCH(B212,Recipes!$A$5:$A$204,0)),0)</f>
        <v>0</v>
      </c>
      <c r="Y212" s="45">
        <f>IF(OR(J212="",X212=0),"",J212*X212)</f>
        <v>0</v>
      </c>
      <c r="Z212" s="17">
        <f>IF(D212="","",B212&amp;"#"&amp;COUNTIFS($B$5:B212,B212))</f>
        <v>0</v>
      </c>
      <c r="AA212" s="17">
        <f>IF(D212="","",B212&amp;"|"&amp;D212)</f>
        <v>0</v>
      </c>
      <c r="AB212" s="31">
        <f>IF(D212="","",IF(B212="","Add - which recipe?",IF(COUNTIFS(Ingredients!$B$5:$B$304,D212)=0,"Missing - not in the Ingredients tab",IF(E212="","Add - no quantity",IF(F212="","Add - no unit",IF(K212&lt;&gt;L212,"Check - recipe in "&amp;K212&amp;", priced in "&amp;L212,IF(COUNTIFS($AA$5:$AA$1204,AA212)&gt;1,"Duplicate - same ingredient twice","OK")))))))</f>
        <v>0</v>
      </c>
    </row>
    <row r="213" spans="1:28">
      <c r="A213" s="39">
        <f>IF(D213="","","RL-"&amp;TEXT(ROW()-4,"0000"))</f>
        <v>0</v>
      </c>
      <c r="C213" s="17">
        <f>IF(B213="","",IFERROR(INDEX(Recipes!$B$5:$B$204,MATCH(B213,Recipes!$A$5:$A$204,0)),"Not found"))</f>
        <v>0</v>
      </c>
      <c r="J213" s="45">
        <f>IF(E213="","",IFERROR(E213*INDEX(UnitFactors,MATCH(F213,UnitNames,0)),""))</f>
        <v>0</v>
      </c>
      <c r="K213" s="17">
        <f>IF(F213="","",IFERROR(INDEX(UnitBases,MATCH(F213,UnitNames,0)),"?"))</f>
        <v>0</v>
      </c>
      <c r="L213" s="17">
        <f>IF(D213="","",IFERROR(INDEX(Ingredients!$G$5:$G$304,MATCH(D213,Ingredients!$B$5:$B$304,0)),"Add to Ingredients"))</f>
        <v>0</v>
      </c>
      <c r="M213" s="25">
        <f>IF(D213="","",IFERROR(INDEX(Ingredients!$J$5:$J$304,MATCH(D213,Ingredients!$B$5:$B$304,0)),"Add to Ingredients"))</f>
        <v>0</v>
      </c>
      <c r="N213" s="25">
        <f>IF(OR(J213="",M213="",NOT(ISNUMBER(M213))),"",IF(K213&lt;&gt;L213,"",J213*M213))</f>
        <v>0</v>
      </c>
      <c r="O213" s="25">
        <f>IF(N213="","",IFERROR(N213/INDEX(Recipes!$G$5:$G$204,MATCH(B213,Recipes!$A$5:$A$204,0)),""))</f>
        <v>0</v>
      </c>
      <c r="P213" s="30">
        <f>IF(J213="","",IF(K213="each",J213,J213/100))</f>
        <v>0</v>
      </c>
      <c r="Q213" s="30">
        <f>IFERROR(IF(P213="","",P213*INDEX(Ingredients!$P$5:$P$304,MATCH(D213,Ingredients!$B$5:$B$304,0))),"")</f>
        <v>0</v>
      </c>
      <c r="R213" s="45">
        <f>IFERROR(IF(P213="","",P213*INDEX(Ingredients!$Q$5:$Q$304,MATCH(D213,Ingredients!$B$5:$B$304,0))),"")</f>
        <v>0</v>
      </c>
      <c r="S213" s="45">
        <f>IFERROR(IF(P213="","",P213*INDEX(Ingredients!$R$5:$R$304,MATCH(D213,Ingredients!$B$5:$B$304,0))),"")</f>
        <v>0</v>
      </c>
      <c r="T213" s="45">
        <f>IFERROR(IF(P213="","",P213*INDEX(Ingredients!$S$5:$S$304,MATCH(D213,Ingredients!$B$5:$B$304,0))),"")</f>
        <v>0</v>
      </c>
      <c r="U213" s="45">
        <f>IFERROR(IF(P213="","",P213*INDEX(Ingredients!$T$5:$T$304,MATCH(D213,Ingredients!$B$5:$B$304,0))),"")</f>
        <v>0</v>
      </c>
      <c r="V213" s="17">
        <f>IF(D213="","",IFERROR(INDEX(Ingredients!$W$5:$W$304,MATCH(D213,Ingredients!$B$5:$B$304,0)),"Add to Ingredients"))</f>
        <v>0</v>
      </c>
      <c r="W213" s="17">
        <f>IF(D213="","",IFERROR(INDEX(Ingredients!$C$5:$C$304,MATCH(D213,Ingredients!$B$5:$B$304,0)),"Add to Ingredients"))</f>
        <v>0</v>
      </c>
      <c r="X213" s="45">
        <f>IFERROR(INDEX(Recipes!$AT$5:$AT$204,MATCH(B213,Recipes!$A$5:$A$204,0)),0)</f>
        <v>0</v>
      </c>
      <c r="Y213" s="45">
        <f>IF(OR(J213="",X213=0),"",J213*X213)</f>
        <v>0</v>
      </c>
      <c r="Z213" s="17">
        <f>IF(D213="","",B213&amp;"#"&amp;COUNTIFS($B$5:B213,B213))</f>
        <v>0</v>
      </c>
      <c r="AA213" s="17">
        <f>IF(D213="","",B213&amp;"|"&amp;D213)</f>
        <v>0</v>
      </c>
      <c r="AB213" s="31">
        <f>IF(D213="","",IF(B213="","Add - which recipe?",IF(COUNTIFS(Ingredients!$B$5:$B$304,D213)=0,"Missing - not in the Ingredients tab",IF(E213="","Add - no quantity",IF(F213="","Add - no unit",IF(K213&lt;&gt;L213,"Check - recipe in "&amp;K213&amp;", priced in "&amp;L213,IF(COUNTIFS($AA$5:$AA$1204,AA213)&gt;1,"Duplicate - same ingredient twice","OK")))))))</f>
        <v>0</v>
      </c>
    </row>
    <row r="214" spans="1:28">
      <c r="A214" s="39">
        <f>IF(D214="","","RL-"&amp;TEXT(ROW()-4,"0000"))</f>
        <v>0</v>
      </c>
      <c r="C214" s="17">
        <f>IF(B214="","",IFERROR(INDEX(Recipes!$B$5:$B$204,MATCH(B214,Recipes!$A$5:$A$204,0)),"Not found"))</f>
        <v>0</v>
      </c>
      <c r="J214" s="45">
        <f>IF(E214="","",IFERROR(E214*INDEX(UnitFactors,MATCH(F214,UnitNames,0)),""))</f>
        <v>0</v>
      </c>
      <c r="K214" s="17">
        <f>IF(F214="","",IFERROR(INDEX(UnitBases,MATCH(F214,UnitNames,0)),"?"))</f>
        <v>0</v>
      </c>
      <c r="L214" s="17">
        <f>IF(D214="","",IFERROR(INDEX(Ingredients!$G$5:$G$304,MATCH(D214,Ingredients!$B$5:$B$304,0)),"Add to Ingredients"))</f>
        <v>0</v>
      </c>
      <c r="M214" s="25">
        <f>IF(D214="","",IFERROR(INDEX(Ingredients!$J$5:$J$304,MATCH(D214,Ingredients!$B$5:$B$304,0)),"Add to Ingredients"))</f>
        <v>0</v>
      </c>
      <c r="N214" s="25">
        <f>IF(OR(J214="",M214="",NOT(ISNUMBER(M214))),"",IF(K214&lt;&gt;L214,"",J214*M214))</f>
        <v>0</v>
      </c>
      <c r="O214" s="25">
        <f>IF(N214="","",IFERROR(N214/INDEX(Recipes!$G$5:$G$204,MATCH(B214,Recipes!$A$5:$A$204,0)),""))</f>
        <v>0</v>
      </c>
      <c r="P214" s="30">
        <f>IF(J214="","",IF(K214="each",J214,J214/100))</f>
        <v>0</v>
      </c>
      <c r="Q214" s="30">
        <f>IFERROR(IF(P214="","",P214*INDEX(Ingredients!$P$5:$P$304,MATCH(D214,Ingredients!$B$5:$B$304,0))),"")</f>
        <v>0</v>
      </c>
      <c r="R214" s="45">
        <f>IFERROR(IF(P214="","",P214*INDEX(Ingredients!$Q$5:$Q$304,MATCH(D214,Ingredients!$B$5:$B$304,0))),"")</f>
        <v>0</v>
      </c>
      <c r="S214" s="45">
        <f>IFERROR(IF(P214="","",P214*INDEX(Ingredients!$R$5:$R$304,MATCH(D214,Ingredients!$B$5:$B$304,0))),"")</f>
        <v>0</v>
      </c>
      <c r="T214" s="45">
        <f>IFERROR(IF(P214="","",P214*INDEX(Ingredients!$S$5:$S$304,MATCH(D214,Ingredients!$B$5:$B$304,0))),"")</f>
        <v>0</v>
      </c>
      <c r="U214" s="45">
        <f>IFERROR(IF(P214="","",P214*INDEX(Ingredients!$T$5:$T$304,MATCH(D214,Ingredients!$B$5:$B$304,0))),"")</f>
        <v>0</v>
      </c>
      <c r="V214" s="17">
        <f>IF(D214="","",IFERROR(INDEX(Ingredients!$W$5:$W$304,MATCH(D214,Ingredients!$B$5:$B$304,0)),"Add to Ingredients"))</f>
        <v>0</v>
      </c>
      <c r="W214" s="17">
        <f>IF(D214="","",IFERROR(INDEX(Ingredients!$C$5:$C$304,MATCH(D214,Ingredients!$B$5:$B$304,0)),"Add to Ingredients"))</f>
        <v>0</v>
      </c>
      <c r="X214" s="45">
        <f>IFERROR(INDEX(Recipes!$AT$5:$AT$204,MATCH(B214,Recipes!$A$5:$A$204,0)),0)</f>
        <v>0</v>
      </c>
      <c r="Y214" s="45">
        <f>IF(OR(J214="",X214=0),"",J214*X214)</f>
        <v>0</v>
      </c>
      <c r="Z214" s="17">
        <f>IF(D214="","",B214&amp;"#"&amp;COUNTIFS($B$5:B214,B214))</f>
        <v>0</v>
      </c>
      <c r="AA214" s="17">
        <f>IF(D214="","",B214&amp;"|"&amp;D214)</f>
        <v>0</v>
      </c>
      <c r="AB214" s="31">
        <f>IF(D214="","",IF(B214="","Add - which recipe?",IF(COUNTIFS(Ingredients!$B$5:$B$304,D214)=0,"Missing - not in the Ingredients tab",IF(E214="","Add - no quantity",IF(F214="","Add - no unit",IF(K214&lt;&gt;L214,"Check - recipe in "&amp;K214&amp;", priced in "&amp;L214,IF(COUNTIFS($AA$5:$AA$1204,AA214)&gt;1,"Duplicate - same ingredient twice","OK")))))))</f>
        <v>0</v>
      </c>
    </row>
    <row r="215" spans="1:28">
      <c r="A215" s="39">
        <f>IF(D215="","","RL-"&amp;TEXT(ROW()-4,"0000"))</f>
        <v>0</v>
      </c>
      <c r="C215" s="17">
        <f>IF(B215="","",IFERROR(INDEX(Recipes!$B$5:$B$204,MATCH(B215,Recipes!$A$5:$A$204,0)),"Not found"))</f>
        <v>0</v>
      </c>
      <c r="J215" s="45">
        <f>IF(E215="","",IFERROR(E215*INDEX(UnitFactors,MATCH(F215,UnitNames,0)),""))</f>
        <v>0</v>
      </c>
      <c r="K215" s="17">
        <f>IF(F215="","",IFERROR(INDEX(UnitBases,MATCH(F215,UnitNames,0)),"?"))</f>
        <v>0</v>
      </c>
      <c r="L215" s="17">
        <f>IF(D215="","",IFERROR(INDEX(Ingredients!$G$5:$G$304,MATCH(D215,Ingredients!$B$5:$B$304,0)),"Add to Ingredients"))</f>
        <v>0</v>
      </c>
      <c r="M215" s="25">
        <f>IF(D215="","",IFERROR(INDEX(Ingredients!$J$5:$J$304,MATCH(D215,Ingredients!$B$5:$B$304,0)),"Add to Ingredients"))</f>
        <v>0</v>
      </c>
      <c r="N215" s="25">
        <f>IF(OR(J215="",M215="",NOT(ISNUMBER(M215))),"",IF(K215&lt;&gt;L215,"",J215*M215))</f>
        <v>0</v>
      </c>
      <c r="O215" s="25">
        <f>IF(N215="","",IFERROR(N215/INDEX(Recipes!$G$5:$G$204,MATCH(B215,Recipes!$A$5:$A$204,0)),""))</f>
        <v>0</v>
      </c>
      <c r="P215" s="30">
        <f>IF(J215="","",IF(K215="each",J215,J215/100))</f>
        <v>0</v>
      </c>
      <c r="Q215" s="30">
        <f>IFERROR(IF(P215="","",P215*INDEX(Ingredients!$P$5:$P$304,MATCH(D215,Ingredients!$B$5:$B$304,0))),"")</f>
        <v>0</v>
      </c>
      <c r="R215" s="45">
        <f>IFERROR(IF(P215="","",P215*INDEX(Ingredients!$Q$5:$Q$304,MATCH(D215,Ingredients!$B$5:$B$304,0))),"")</f>
        <v>0</v>
      </c>
      <c r="S215" s="45">
        <f>IFERROR(IF(P215="","",P215*INDEX(Ingredients!$R$5:$R$304,MATCH(D215,Ingredients!$B$5:$B$304,0))),"")</f>
        <v>0</v>
      </c>
      <c r="T215" s="45">
        <f>IFERROR(IF(P215="","",P215*INDEX(Ingredients!$S$5:$S$304,MATCH(D215,Ingredients!$B$5:$B$304,0))),"")</f>
        <v>0</v>
      </c>
      <c r="U215" s="45">
        <f>IFERROR(IF(P215="","",P215*INDEX(Ingredients!$T$5:$T$304,MATCH(D215,Ingredients!$B$5:$B$304,0))),"")</f>
        <v>0</v>
      </c>
      <c r="V215" s="17">
        <f>IF(D215="","",IFERROR(INDEX(Ingredients!$W$5:$W$304,MATCH(D215,Ingredients!$B$5:$B$304,0)),"Add to Ingredients"))</f>
        <v>0</v>
      </c>
      <c r="W215" s="17">
        <f>IF(D215="","",IFERROR(INDEX(Ingredients!$C$5:$C$304,MATCH(D215,Ingredients!$B$5:$B$304,0)),"Add to Ingredients"))</f>
        <v>0</v>
      </c>
      <c r="X215" s="45">
        <f>IFERROR(INDEX(Recipes!$AT$5:$AT$204,MATCH(B215,Recipes!$A$5:$A$204,0)),0)</f>
        <v>0</v>
      </c>
      <c r="Y215" s="45">
        <f>IF(OR(J215="",X215=0),"",J215*X215)</f>
        <v>0</v>
      </c>
      <c r="Z215" s="17">
        <f>IF(D215="","",B215&amp;"#"&amp;COUNTIFS($B$5:B215,B215))</f>
        <v>0</v>
      </c>
      <c r="AA215" s="17">
        <f>IF(D215="","",B215&amp;"|"&amp;D215)</f>
        <v>0</v>
      </c>
      <c r="AB215" s="31">
        <f>IF(D215="","",IF(B215="","Add - which recipe?",IF(COUNTIFS(Ingredients!$B$5:$B$304,D215)=0,"Missing - not in the Ingredients tab",IF(E215="","Add - no quantity",IF(F215="","Add - no unit",IF(K215&lt;&gt;L215,"Check - recipe in "&amp;K215&amp;", priced in "&amp;L215,IF(COUNTIFS($AA$5:$AA$1204,AA215)&gt;1,"Duplicate - same ingredient twice","OK")))))))</f>
        <v>0</v>
      </c>
    </row>
    <row r="216" spans="1:28">
      <c r="A216" s="39">
        <f>IF(D216="","","RL-"&amp;TEXT(ROW()-4,"0000"))</f>
        <v>0</v>
      </c>
      <c r="C216" s="17">
        <f>IF(B216="","",IFERROR(INDEX(Recipes!$B$5:$B$204,MATCH(B216,Recipes!$A$5:$A$204,0)),"Not found"))</f>
        <v>0</v>
      </c>
      <c r="J216" s="45">
        <f>IF(E216="","",IFERROR(E216*INDEX(UnitFactors,MATCH(F216,UnitNames,0)),""))</f>
        <v>0</v>
      </c>
      <c r="K216" s="17">
        <f>IF(F216="","",IFERROR(INDEX(UnitBases,MATCH(F216,UnitNames,0)),"?"))</f>
        <v>0</v>
      </c>
      <c r="L216" s="17">
        <f>IF(D216="","",IFERROR(INDEX(Ingredients!$G$5:$G$304,MATCH(D216,Ingredients!$B$5:$B$304,0)),"Add to Ingredients"))</f>
        <v>0</v>
      </c>
      <c r="M216" s="25">
        <f>IF(D216="","",IFERROR(INDEX(Ingredients!$J$5:$J$304,MATCH(D216,Ingredients!$B$5:$B$304,0)),"Add to Ingredients"))</f>
        <v>0</v>
      </c>
      <c r="N216" s="25">
        <f>IF(OR(J216="",M216="",NOT(ISNUMBER(M216))),"",IF(K216&lt;&gt;L216,"",J216*M216))</f>
        <v>0</v>
      </c>
      <c r="O216" s="25">
        <f>IF(N216="","",IFERROR(N216/INDEX(Recipes!$G$5:$G$204,MATCH(B216,Recipes!$A$5:$A$204,0)),""))</f>
        <v>0</v>
      </c>
      <c r="P216" s="30">
        <f>IF(J216="","",IF(K216="each",J216,J216/100))</f>
        <v>0</v>
      </c>
      <c r="Q216" s="30">
        <f>IFERROR(IF(P216="","",P216*INDEX(Ingredients!$P$5:$P$304,MATCH(D216,Ingredients!$B$5:$B$304,0))),"")</f>
        <v>0</v>
      </c>
      <c r="R216" s="45">
        <f>IFERROR(IF(P216="","",P216*INDEX(Ingredients!$Q$5:$Q$304,MATCH(D216,Ingredients!$B$5:$B$304,0))),"")</f>
        <v>0</v>
      </c>
      <c r="S216" s="45">
        <f>IFERROR(IF(P216="","",P216*INDEX(Ingredients!$R$5:$R$304,MATCH(D216,Ingredients!$B$5:$B$304,0))),"")</f>
        <v>0</v>
      </c>
      <c r="T216" s="45">
        <f>IFERROR(IF(P216="","",P216*INDEX(Ingredients!$S$5:$S$304,MATCH(D216,Ingredients!$B$5:$B$304,0))),"")</f>
        <v>0</v>
      </c>
      <c r="U216" s="45">
        <f>IFERROR(IF(P216="","",P216*INDEX(Ingredients!$T$5:$T$304,MATCH(D216,Ingredients!$B$5:$B$304,0))),"")</f>
        <v>0</v>
      </c>
      <c r="V216" s="17">
        <f>IF(D216="","",IFERROR(INDEX(Ingredients!$W$5:$W$304,MATCH(D216,Ingredients!$B$5:$B$304,0)),"Add to Ingredients"))</f>
        <v>0</v>
      </c>
      <c r="W216" s="17">
        <f>IF(D216="","",IFERROR(INDEX(Ingredients!$C$5:$C$304,MATCH(D216,Ingredients!$B$5:$B$304,0)),"Add to Ingredients"))</f>
        <v>0</v>
      </c>
      <c r="X216" s="45">
        <f>IFERROR(INDEX(Recipes!$AT$5:$AT$204,MATCH(B216,Recipes!$A$5:$A$204,0)),0)</f>
        <v>0</v>
      </c>
      <c r="Y216" s="45">
        <f>IF(OR(J216="",X216=0),"",J216*X216)</f>
        <v>0</v>
      </c>
      <c r="Z216" s="17">
        <f>IF(D216="","",B216&amp;"#"&amp;COUNTIFS($B$5:B216,B216))</f>
        <v>0</v>
      </c>
      <c r="AA216" s="17">
        <f>IF(D216="","",B216&amp;"|"&amp;D216)</f>
        <v>0</v>
      </c>
      <c r="AB216" s="31">
        <f>IF(D216="","",IF(B216="","Add - which recipe?",IF(COUNTIFS(Ingredients!$B$5:$B$304,D216)=0,"Missing - not in the Ingredients tab",IF(E216="","Add - no quantity",IF(F216="","Add - no unit",IF(K216&lt;&gt;L216,"Check - recipe in "&amp;K216&amp;", priced in "&amp;L216,IF(COUNTIFS($AA$5:$AA$1204,AA216)&gt;1,"Duplicate - same ingredient twice","OK")))))))</f>
        <v>0</v>
      </c>
    </row>
    <row r="217" spans="1:28">
      <c r="A217" s="39">
        <f>IF(D217="","","RL-"&amp;TEXT(ROW()-4,"0000"))</f>
        <v>0</v>
      </c>
      <c r="C217" s="17">
        <f>IF(B217="","",IFERROR(INDEX(Recipes!$B$5:$B$204,MATCH(B217,Recipes!$A$5:$A$204,0)),"Not found"))</f>
        <v>0</v>
      </c>
      <c r="J217" s="45">
        <f>IF(E217="","",IFERROR(E217*INDEX(UnitFactors,MATCH(F217,UnitNames,0)),""))</f>
        <v>0</v>
      </c>
      <c r="K217" s="17">
        <f>IF(F217="","",IFERROR(INDEX(UnitBases,MATCH(F217,UnitNames,0)),"?"))</f>
        <v>0</v>
      </c>
      <c r="L217" s="17">
        <f>IF(D217="","",IFERROR(INDEX(Ingredients!$G$5:$G$304,MATCH(D217,Ingredients!$B$5:$B$304,0)),"Add to Ingredients"))</f>
        <v>0</v>
      </c>
      <c r="M217" s="25">
        <f>IF(D217="","",IFERROR(INDEX(Ingredients!$J$5:$J$304,MATCH(D217,Ingredients!$B$5:$B$304,0)),"Add to Ingredients"))</f>
        <v>0</v>
      </c>
      <c r="N217" s="25">
        <f>IF(OR(J217="",M217="",NOT(ISNUMBER(M217))),"",IF(K217&lt;&gt;L217,"",J217*M217))</f>
        <v>0</v>
      </c>
      <c r="O217" s="25">
        <f>IF(N217="","",IFERROR(N217/INDEX(Recipes!$G$5:$G$204,MATCH(B217,Recipes!$A$5:$A$204,0)),""))</f>
        <v>0</v>
      </c>
      <c r="P217" s="30">
        <f>IF(J217="","",IF(K217="each",J217,J217/100))</f>
        <v>0</v>
      </c>
      <c r="Q217" s="30">
        <f>IFERROR(IF(P217="","",P217*INDEX(Ingredients!$P$5:$P$304,MATCH(D217,Ingredients!$B$5:$B$304,0))),"")</f>
        <v>0</v>
      </c>
      <c r="R217" s="45">
        <f>IFERROR(IF(P217="","",P217*INDEX(Ingredients!$Q$5:$Q$304,MATCH(D217,Ingredients!$B$5:$B$304,0))),"")</f>
        <v>0</v>
      </c>
      <c r="S217" s="45">
        <f>IFERROR(IF(P217="","",P217*INDEX(Ingredients!$R$5:$R$304,MATCH(D217,Ingredients!$B$5:$B$304,0))),"")</f>
        <v>0</v>
      </c>
      <c r="T217" s="45">
        <f>IFERROR(IF(P217="","",P217*INDEX(Ingredients!$S$5:$S$304,MATCH(D217,Ingredients!$B$5:$B$304,0))),"")</f>
        <v>0</v>
      </c>
      <c r="U217" s="45">
        <f>IFERROR(IF(P217="","",P217*INDEX(Ingredients!$T$5:$T$304,MATCH(D217,Ingredients!$B$5:$B$304,0))),"")</f>
        <v>0</v>
      </c>
      <c r="V217" s="17">
        <f>IF(D217="","",IFERROR(INDEX(Ingredients!$W$5:$W$304,MATCH(D217,Ingredients!$B$5:$B$304,0)),"Add to Ingredients"))</f>
        <v>0</v>
      </c>
      <c r="W217" s="17">
        <f>IF(D217="","",IFERROR(INDEX(Ingredients!$C$5:$C$304,MATCH(D217,Ingredients!$B$5:$B$304,0)),"Add to Ingredients"))</f>
        <v>0</v>
      </c>
      <c r="X217" s="45">
        <f>IFERROR(INDEX(Recipes!$AT$5:$AT$204,MATCH(B217,Recipes!$A$5:$A$204,0)),0)</f>
        <v>0</v>
      </c>
      <c r="Y217" s="45">
        <f>IF(OR(J217="",X217=0),"",J217*X217)</f>
        <v>0</v>
      </c>
      <c r="Z217" s="17">
        <f>IF(D217="","",B217&amp;"#"&amp;COUNTIFS($B$5:B217,B217))</f>
        <v>0</v>
      </c>
      <c r="AA217" s="17">
        <f>IF(D217="","",B217&amp;"|"&amp;D217)</f>
        <v>0</v>
      </c>
      <c r="AB217" s="31">
        <f>IF(D217="","",IF(B217="","Add - which recipe?",IF(COUNTIFS(Ingredients!$B$5:$B$304,D217)=0,"Missing - not in the Ingredients tab",IF(E217="","Add - no quantity",IF(F217="","Add - no unit",IF(K217&lt;&gt;L217,"Check - recipe in "&amp;K217&amp;", priced in "&amp;L217,IF(COUNTIFS($AA$5:$AA$1204,AA217)&gt;1,"Duplicate - same ingredient twice","OK")))))))</f>
        <v>0</v>
      </c>
    </row>
    <row r="218" spans="1:28">
      <c r="A218" s="39">
        <f>IF(D218="","","RL-"&amp;TEXT(ROW()-4,"0000"))</f>
        <v>0</v>
      </c>
      <c r="C218" s="17">
        <f>IF(B218="","",IFERROR(INDEX(Recipes!$B$5:$B$204,MATCH(B218,Recipes!$A$5:$A$204,0)),"Not found"))</f>
        <v>0</v>
      </c>
      <c r="J218" s="45">
        <f>IF(E218="","",IFERROR(E218*INDEX(UnitFactors,MATCH(F218,UnitNames,0)),""))</f>
        <v>0</v>
      </c>
      <c r="K218" s="17">
        <f>IF(F218="","",IFERROR(INDEX(UnitBases,MATCH(F218,UnitNames,0)),"?"))</f>
        <v>0</v>
      </c>
      <c r="L218" s="17">
        <f>IF(D218="","",IFERROR(INDEX(Ingredients!$G$5:$G$304,MATCH(D218,Ingredients!$B$5:$B$304,0)),"Add to Ingredients"))</f>
        <v>0</v>
      </c>
      <c r="M218" s="25">
        <f>IF(D218="","",IFERROR(INDEX(Ingredients!$J$5:$J$304,MATCH(D218,Ingredients!$B$5:$B$304,0)),"Add to Ingredients"))</f>
        <v>0</v>
      </c>
      <c r="N218" s="25">
        <f>IF(OR(J218="",M218="",NOT(ISNUMBER(M218))),"",IF(K218&lt;&gt;L218,"",J218*M218))</f>
        <v>0</v>
      </c>
      <c r="O218" s="25">
        <f>IF(N218="","",IFERROR(N218/INDEX(Recipes!$G$5:$G$204,MATCH(B218,Recipes!$A$5:$A$204,0)),""))</f>
        <v>0</v>
      </c>
      <c r="P218" s="30">
        <f>IF(J218="","",IF(K218="each",J218,J218/100))</f>
        <v>0</v>
      </c>
      <c r="Q218" s="30">
        <f>IFERROR(IF(P218="","",P218*INDEX(Ingredients!$P$5:$P$304,MATCH(D218,Ingredients!$B$5:$B$304,0))),"")</f>
        <v>0</v>
      </c>
      <c r="R218" s="45">
        <f>IFERROR(IF(P218="","",P218*INDEX(Ingredients!$Q$5:$Q$304,MATCH(D218,Ingredients!$B$5:$B$304,0))),"")</f>
        <v>0</v>
      </c>
      <c r="S218" s="45">
        <f>IFERROR(IF(P218="","",P218*INDEX(Ingredients!$R$5:$R$304,MATCH(D218,Ingredients!$B$5:$B$304,0))),"")</f>
        <v>0</v>
      </c>
      <c r="T218" s="45">
        <f>IFERROR(IF(P218="","",P218*INDEX(Ingredients!$S$5:$S$304,MATCH(D218,Ingredients!$B$5:$B$304,0))),"")</f>
        <v>0</v>
      </c>
      <c r="U218" s="45">
        <f>IFERROR(IF(P218="","",P218*INDEX(Ingredients!$T$5:$T$304,MATCH(D218,Ingredients!$B$5:$B$304,0))),"")</f>
        <v>0</v>
      </c>
      <c r="V218" s="17">
        <f>IF(D218="","",IFERROR(INDEX(Ingredients!$W$5:$W$304,MATCH(D218,Ingredients!$B$5:$B$304,0)),"Add to Ingredients"))</f>
        <v>0</v>
      </c>
      <c r="W218" s="17">
        <f>IF(D218="","",IFERROR(INDEX(Ingredients!$C$5:$C$304,MATCH(D218,Ingredients!$B$5:$B$304,0)),"Add to Ingredients"))</f>
        <v>0</v>
      </c>
      <c r="X218" s="45">
        <f>IFERROR(INDEX(Recipes!$AT$5:$AT$204,MATCH(B218,Recipes!$A$5:$A$204,0)),0)</f>
        <v>0</v>
      </c>
      <c r="Y218" s="45">
        <f>IF(OR(J218="",X218=0),"",J218*X218)</f>
        <v>0</v>
      </c>
      <c r="Z218" s="17">
        <f>IF(D218="","",B218&amp;"#"&amp;COUNTIFS($B$5:B218,B218))</f>
        <v>0</v>
      </c>
      <c r="AA218" s="17">
        <f>IF(D218="","",B218&amp;"|"&amp;D218)</f>
        <v>0</v>
      </c>
      <c r="AB218" s="31">
        <f>IF(D218="","",IF(B218="","Add - which recipe?",IF(COUNTIFS(Ingredients!$B$5:$B$304,D218)=0,"Missing - not in the Ingredients tab",IF(E218="","Add - no quantity",IF(F218="","Add - no unit",IF(K218&lt;&gt;L218,"Check - recipe in "&amp;K218&amp;", priced in "&amp;L218,IF(COUNTIFS($AA$5:$AA$1204,AA218)&gt;1,"Duplicate - same ingredient twice","OK")))))))</f>
        <v>0</v>
      </c>
    </row>
    <row r="219" spans="1:28">
      <c r="A219" s="39">
        <f>IF(D219="","","RL-"&amp;TEXT(ROW()-4,"0000"))</f>
        <v>0</v>
      </c>
      <c r="C219" s="17">
        <f>IF(B219="","",IFERROR(INDEX(Recipes!$B$5:$B$204,MATCH(B219,Recipes!$A$5:$A$204,0)),"Not found"))</f>
        <v>0</v>
      </c>
      <c r="J219" s="45">
        <f>IF(E219="","",IFERROR(E219*INDEX(UnitFactors,MATCH(F219,UnitNames,0)),""))</f>
        <v>0</v>
      </c>
      <c r="K219" s="17">
        <f>IF(F219="","",IFERROR(INDEX(UnitBases,MATCH(F219,UnitNames,0)),"?"))</f>
        <v>0</v>
      </c>
      <c r="L219" s="17">
        <f>IF(D219="","",IFERROR(INDEX(Ingredients!$G$5:$G$304,MATCH(D219,Ingredients!$B$5:$B$304,0)),"Add to Ingredients"))</f>
        <v>0</v>
      </c>
      <c r="M219" s="25">
        <f>IF(D219="","",IFERROR(INDEX(Ingredients!$J$5:$J$304,MATCH(D219,Ingredients!$B$5:$B$304,0)),"Add to Ingredients"))</f>
        <v>0</v>
      </c>
      <c r="N219" s="25">
        <f>IF(OR(J219="",M219="",NOT(ISNUMBER(M219))),"",IF(K219&lt;&gt;L219,"",J219*M219))</f>
        <v>0</v>
      </c>
      <c r="O219" s="25">
        <f>IF(N219="","",IFERROR(N219/INDEX(Recipes!$G$5:$G$204,MATCH(B219,Recipes!$A$5:$A$204,0)),""))</f>
        <v>0</v>
      </c>
      <c r="P219" s="30">
        <f>IF(J219="","",IF(K219="each",J219,J219/100))</f>
        <v>0</v>
      </c>
      <c r="Q219" s="30">
        <f>IFERROR(IF(P219="","",P219*INDEX(Ingredients!$P$5:$P$304,MATCH(D219,Ingredients!$B$5:$B$304,0))),"")</f>
        <v>0</v>
      </c>
      <c r="R219" s="45">
        <f>IFERROR(IF(P219="","",P219*INDEX(Ingredients!$Q$5:$Q$304,MATCH(D219,Ingredients!$B$5:$B$304,0))),"")</f>
        <v>0</v>
      </c>
      <c r="S219" s="45">
        <f>IFERROR(IF(P219="","",P219*INDEX(Ingredients!$R$5:$R$304,MATCH(D219,Ingredients!$B$5:$B$304,0))),"")</f>
        <v>0</v>
      </c>
      <c r="T219" s="45">
        <f>IFERROR(IF(P219="","",P219*INDEX(Ingredients!$S$5:$S$304,MATCH(D219,Ingredients!$B$5:$B$304,0))),"")</f>
        <v>0</v>
      </c>
      <c r="U219" s="45">
        <f>IFERROR(IF(P219="","",P219*INDEX(Ingredients!$T$5:$T$304,MATCH(D219,Ingredients!$B$5:$B$304,0))),"")</f>
        <v>0</v>
      </c>
      <c r="V219" s="17">
        <f>IF(D219="","",IFERROR(INDEX(Ingredients!$W$5:$W$304,MATCH(D219,Ingredients!$B$5:$B$304,0)),"Add to Ingredients"))</f>
        <v>0</v>
      </c>
      <c r="W219" s="17">
        <f>IF(D219="","",IFERROR(INDEX(Ingredients!$C$5:$C$304,MATCH(D219,Ingredients!$B$5:$B$304,0)),"Add to Ingredients"))</f>
        <v>0</v>
      </c>
      <c r="X219" s="45">
        <f>IFERROR(INDEX(Recipes!$AT$5:$AT$204,MATCH(B219,Recipes!$A$5:$A$204,0)),0)</f>
        <v>0</v>
      </c>
      <c r="Y219" s="45">
        <f>IF(OR(J219="",X219=0),"",J219*X219)</f>
        <v>0</v>
      </c>
      <c r="Z219" s="17">
        <f>IF(D219="","",B219&amp;"#"&amp;COUNTIFS($B$5:B219,B219))</f>
        <v>0</v>
      </c>
      <c r="AA219" s="17">
        <f>IF(D219="","",B219&amp;"|"&amp;D219)</f>
        <v>0</v>
      </c>
      <c r="AB219" s="31">
        <f>IF(D219="","",IF(B219="","Add - which recipe?",IF(COUNTIFS(Ingredients!$B$5:$B$304,D219)=0,"Missing - not in the Ingredients tab",IF(E219="","Add - no quantity",IF(F219="","Add - no unit",IF(K219&lt;&gt;L219,"Check - recipe in "&amp;K219&amp;", priced in "&amp;L219,IF(COUNTIFS($AA$5:$AA$1204,AA219)&gt;1,"Duplicate - same ingredient twice","OK")))))))</f>
        <v>0</v>
      </c>
    </row>
    <row r="220" spans="1:28">
      <c r="A220" s="39">
        <f>IF(D220="","","RL-"&amp;TEXT(ROW()-4,"0000"))</f>
        <v>0</v>
      </c>
      <c r="C220" s="17">
        <f>IF(B220="","",IFERROR(INDEX(Recipes!$B$5:$B$204,MATCH(B220,Recipes!$A$5:$A$204,0)),"Not found"))</f>
        <v>0</v>
      </c>
      <c r="J220" s="45">
        <f>IF(E220="","",IFERROR(E220*INDEX(UnitFactors,MATCH(F220,UnitNames,0)),""))</f>
        <v>0</v>
      </c>
      <c r="K220" s="17">
        <f>IF(F220="","",IFERROR(INDEX(UnitBases,MATCH(F220,UnitNames,0)),"?"))</f>
        <v>0</v>
      </c>
      <c r="L220" s="17">
        <f>IF(D220="","",IFERROR(INDEX(Ingredients!$G$5:$G$304,MATCH(D220,Ingredients!$B$5:$B$304,0)),"Add to Ingredients"))</f>
        <v>0</v>
      </c>
      <c r="M220" s="25">
        <f>IF(D220="","",IFERROR(INDEX(Ingredients!$J$5:$J$304,MATCH(D220,Ingredients!$B$5:$B$304,0)),"Add to Ingredients"))</f>
        <v>0</v>
      </c>
      <c r="N220" s="25">
        <f>IF(OR(J220="",M220="",NOT(ISNUMBER(M220))),"",IF(K220&lt;&gt;L220,"",J220*M220))</f>
        <v>0</v>
      </c>
      <c r="O220" s="25">
        <f>IF(N220="","",IFERROR(N220/INDEX(Recipes!$G$5:$G$204,MATCH(B220,Recipes!$A$5:$A$204,0)),""))</f>
        <v>0</v>
      </c>
      <c r="P220" s="30">
        <f>IF(J220="","",IF(K220="each",J220,J220/100))</f>
        <v>0</v>
      </c>
      <c r="Q220" s="30">
        <f>IFERROR(IF(P220="","",P220*INDEX(Ingredients!$P$5:$P$304,MATCH(D220,Ingredients!$B$5:$B$304,0))),"")</f>
        <v>0</v>
      </c>
      <c r="R220" s="45">
        <f>IFERROR(IF(P220="","",P220*INDEX(Ingredients!$Q$5:$Q$304,MATCH(D220,Ingredients!$B$5:$B$304,0))),"")</f>
        <v>0</v>
      </c>
      <c r="S220" s="45">
        <f>IFERROR(IF(P220="","",P220*INDEX(Ingredients!$R$5:$R$304,MATCH(D220,Ingredients!$B$5:$B$304,0))),"")</f>
        <v>0</v>
      </c>
      <c r="T220" s="45">
        <f>IFERROR(IF(P220="","",P220*INDEX(Ingredients!$S$5:$S$304,MATCH(D220,Ingredients!$B$5:$B$304,0))),"")</f>
        <v>0</v>
      </c>
      <c r="U220" s="45">
        <f>IFERROR(IF(P220="","",P220*INDEX(Ingredients!$T$5:$T$304,MATCH(D220,Ingredients!$B$5:$B$304,0))),"")</f>
        <v>0</v>
      </c>
      <c r="V220" s="17">
        <f>IF(D220="","",IFERROR(INDEX(Ingredients!$W$5:$W$304,MATCH(D220,Ingredients!$B$5:$B$304,0)),"Add to Ingredients"))</f>
        <v>0</v>
      </c>
      <c r="W220" s="17">
        <f>IF(D220="","",IFERROR(INDEX(Ingredients!$C$5:$C$304,MATCH(D220,Ingredients!$B$5:$B$304,0)),"Add to Ingredients"))</f>
        <v>0</v>
      </c>
      <c r="X220" s="45">
        <f>IFERROR(INDEX(Recipes!$AT$5:$AT$204,MATCH(B220,Recipes!$A$5:$A$204,0)),0)</f>
        <v>0</v>
      </c>
      <c r="Y220" s="45">
        <f>IF(OR(J220="",X220=0),"",J220*X220)</f>
        <v>0</v>
      </c>
      <c r="Z220" s="17">
        <f>IF(D220="","",B220&amp;"#"&amp;COUNTIFS($B$5:B220,B220))</f>
        <v>0</v>
      </c>
      <c r="AA220" s="17">
        <f>IF(D220="","",B220&amp;"|"&amp;D220)</f>
        <v>0</v>
      </c>
      <c r="AB220" s="31">
        <f>IF(D220="","",IF(B220="","Add - which recipe?",IF(COUNTIFS(Ingredients!$B$5:$B$304,D220)=0,"Missing - not in the Ingredients tab",IF(E220="","Add - no quantity",IF(F220="","Add - no unit",IF(K220&lt;&gt;L220,"Check - recipe in "&amp;K220&amp;", priced in "&amp;L220,IF(COUNTIFS($AA$5:$AA$1204,AA220)&gt;1,"Duplicate - same ingredient twice","OK")))))))</f>
        <v>0</v>
      </c>
    </row>
    <row r="221" spans="1:28">
      <c r="A221" s="39">
        <f>IF(D221="","","RL-"&amp;TEXT(ROW()-4,"0000"))</f>
        <v>0</v>
      </c>
      <c r="C221" s="17">
        <f>IF(B221="","",IFERROR(INDEX(Recipes!$B$5:$B$204,MATCH(B221,Recipes!$A$5:$A$204,0)),"Not found"))</f>
        <v>0</v>
      </c>
      <c r="J221" s="45">
        <f>IF(E221="","",IFERROR(E221*INDEX(UnitFactors,MATCH(F221,UnitNames,0)),""))</f>
        <v>0</v>
      </c>
      <c r="K221" s="17">
        <f>IF(F221="","",IFERROR(INDEX(UnitBases,MATCH(F221,UnitNames,0)),"?"))</f>
        <v>0</v>
      </c>
      <c r="L221" s="17">
        <f>IF(D221="","",IFERROR(INDEX(Ingredients!$G$5:$G$304,MATCH(D221,Ingredients!$B$5:$B$304,0)),"Add to Ingredients"))</f>
        <v>0</v>
      </c>
      <c r="M221" s="25">
        <f>IF(D221="","",IFERROR(INDEX(Ingredients!$J$5:$J$304,MATCH(D221,Ingredients!$B$5:$B$304,0)),"Add to Ingredients"))</f>
        <v>0</v>
      </c>
      <c r="N221" s="25">
        <f>IF(OR(J221="",M221="",NOT(ISNUMBER(M221))),"",IF(K221&lt;&gt;L221,"",J221*M221))</f>
        <v>0</v>
      </c>
      <c r="O221" s="25">
        <f>IF(N221="","",IFERROR(N221/INDEX(Recipes!$G$5:$G$204,MATCH(B221,Recipes!$A$5:$A$204,0)),""))</f>
        <v>0</v>
      </c>
      <c r="P221" s="30">
        <f>IF(J221="","",IF(K221="each",J221,J221/100))</f>
        <v>0</v>
      </c>
      <c r="Q221" s="30">
        <f>IFERROR(IF(P221="","",P221*INDEX(Ingredients!$P$5:$P$304,MATCH(D221,Ingredients!$B$5:$B$304,0))),"")</f>
        <v>0</v>
      </c>
      <c r="R221" s="45">
        <f>IFERROR(IF(P221="","",P221*INDEX(Ingredients!$Q$5:$Q$304,MATCH(D221,Ingredients!$B$5:$B$304,0))),"")</f>
        <v>0</v>
      </c>
      <c r="S221" s="45">
        <f>IFERROR(IF(P221="","",P221*INDEX(Ingredients!$R$5:$R$304,MATCH(D221,Ingredients!$B$5:$B$304,0))),"")</f>
        <v>0</v>
      </c>
      <c r="T221" s="45">
        <f>IFERROR(IF(P221="","",P221*INDEX(Ingredients!$S$5:$S$304,MATCH(D221,Ingredients!$B$5:$B$304,0))),"")</f>
        <v>0</v>
      </c>
      <c r="U221" s="45">
        <f>IFERROR(IF(P221="","",P221*INDEX(Ingredients!$T$5:$T$304,MATCH(D221,Ingredients!$B$5:$B$304,0))),"")</f>
        <v>0</v>
      </c>
      <c r="V221" s="17">
        <f>IF(D221="","",IFERROR(INDEX(Ingredients!$W$5:$W$304,MATCH(D221,Ingredients!$B$5:$B$304,0)),"Add to Ingredients"))</f>
        <v>0</v>
      </c>
      <c r="W221" s="17">
        <f>IF(D221="","",IFERROR(INDEX(Ingredients!$C$5:$C$304,MATCH(D221,Ingredients!$B$5:$B$304,0)),"Add to Ingredients"))</f>
        <v>0</v>
      </c>
      <c r="X221" s="45">
        <f>IFERROR(INDEX(Recipes!$AT$5:$AT$204,MATCH(B221,Recipes!$A$5:$A$204,0)),0)</f>
        <v>0</v>
      </c>
      <c r="Y221" s="45">
        <f>IF(OR(J221="",X221=0),"",J221*X221)</f>
        <v>0</v>
      </c>
      <c r="Z221" s="17">
        <f>IF(D221="","",B221&amp;"#"&amp;COUNTIFS($B$5:B221,B221))</f>
        <v>0</v>
      </c>
      <c r="AA221" s="17">
        <f>IF(D221="","",B221&amp;"|"&amp;D221)</f>
        <v>0</v>
      </c>
      <c r="AB221" s="31">
        <f>IF(D221="","",IF(B221="","Add - which recipe?",IF(COUNTIFS(Ingredients!$B$5:$B$304,D221)=0,"Missing - not in the Ingredients tab",IF(E221="","Add - no quantity",IF(F221="","Add - no unit",IF(K221&lt;&gt;L221,"Check - recipe in "&amp;K221&amp;", priced in "&amp;L221,IF(COUNTIFS($AA$5:$AA$1204,AA221)&gt;1,"Duplicate - same ingredient twice","OK")))))))</f>
        <v>0</v>
      </c>
    </row>
    <row r="222" spans="1:28">
      <c r="A222" s="39">
        <f>IF(D222="","","RL-"&amp;TEXT(ROW()-4,"0000"))</f>
        <v>0</v>
      </c>
      <c r="C222" s="17">
        <f>IF(B222="","",IFERROR(INDEX(Recipes!$B$5:$B$204,MATCH(B222,Recipes!$A$5:$A$204,0)),"Not found"))</f>
        <v>0</v>
      </c>
      <c r="J222" s="45">
        <f>IF(E222="","",IFERROR(E222*INDEX(UnitFactors,MATCH(F222,UnitNames,0)),""))</f>
        <v>0</v>
      </c>
      <c r="K222" s="17">
        <f>IF(F222="","",IFERROR(INDEX(UnitBases,MATCH(F222,UnitNames,0)),"?"))</f>
        <v>0</v>
      </c>
      <c r="L222" s="17">
        <f>IF(D222="","",IFERROR(INDEX(Ingredients!$G$5:$G$304,MATCH(D222,Ingredients!$B$5:$B$304,0)),"Add to Ingredients"))</f>
        <v>0</v>
      </c>
      <c r="M222" s="25">
        <f>IF(D222="","",IFERROR(INDEX(Ingredients!$J$5:$J$304,MATCH(D222,Ingredients!$B$5:$B$304,0)),"Add to Ingredients"))</f>
        <v>0</v>
      </c>
      <c r="N222" s="25">
        <f>IF(OR(J222="",M222="",NOT(ISNUMBER(M222))),"",IF(K222&lt;&gt;L222,"",J222*M222))</f>
        <v>0</v>
      </c>
      <c r="O222" s="25">
        <f>IF(N222="","",IFERROR(N222/INDEX(Recipes!$G$5:$G$204,MATCH(B222,Recipes!$A$5:$A$204,0)),""))</f>
        <v>0</v>
      </c>
      <c r="P222" s="30">
        <f>IF(J222="","",IF(K222="each",J222,J222/100))</f>
        <v>0</v>
      </c>
      <c r="Q222" s="30">
        <f>IFERROR(IF(P222="","",P222*INDEX(Ingredients!$P$5:$P$304,MATCH(D222,Ingredients!$B$5:$B$304,0))),"")</f>
        <v>0</v>
      </c>
      <c r="R222" s="45">
        <f>IFERROR(IF(P222="","",P222*INDEX(Ingredients!$Q$5:$Q$304,MATCH(D222,Ingredients!$B$5:$B$304,0))),"")</f>
        <v>0</v>
      </c>
      <c r="S222" s="45">
        <f>IFERROR(IF(P222="","",P222*INDEX(Ingredients!$R$5:$R$304,MATCH(D222,Ingredients!$B$5:$B$304,0))),"")</f>
        <v>0</v>
      </c>
      <c r="T222" s="45">
        <f>IFERROR(IF(P222="","",P222*INDEX(Ingredients!$S$5:$S$304,MATCH(D222,Ingredients!$B$5:$B$304,0))),"")</f>
        <v>0</v>
      </c>
      <c r="U222" s="45">
        <f>IFERROR(IF(P222="","",P222*INDEX(Ingredients!$T$5:$T$304,MATCH(D222,Ingredients!$B$5:$B$304,0))),"")</f>
        <v>0</v>
      </c>
      <c r="V222" s="17">
        <f>IF(D222="","",IFERROR(INDEX(Ingredients!$W$5:$W$304,MATCH(D222,Ingredients!$B$5:$B$304,0)),"Add to Ingredients"))</f>
        <v>0</v>
      </c>
      <c r="W222" s="17">
        <f>IF(D222="","",IFERROR(INDEX(Ingredients!$C$5:$C$304,MATCH(D222,Ingredients!$B$5:$B$304,0)),"Add to Ingredients"))</f>
        <v>0</v>
      </c>
      <c r="X222" s="45">
        <f>IFERROR(INDEX(Recipes!$AT$5:$AT$204,MATCH(B222,Recipes!$A$5:$A$204,0)),0)</f>
        <v>0</v>
      </c>
      <c r="Y222" s="45">
        <f>IF(OR(J222="",X222=0),"",J222*X222)</f>
        <v>0</v>
      </c>
      <c r="Z222" s="17">
        <f>IF(D222="","",B222&amp;"#"&amp;COUNTIFS($B$5:B222,B222))</f>
        <v>0</v>
      </c>
      <c r="AA222" s="17">
        <f>IF(D222="","",B222&amp;"|"&amp;D222)</f>
        <v>0</v>
      </c>
      <c r="AB222" s="31">
        <f>IF(D222="","",IF(B222="","Add - which recipe?",IF(COUNTIFS(Ingredients!$B$5:$B$304,D222)=0,"Missing - not in the Ingredients tab",IF(E222="","Add - no quantity",IF(F222="","Add - no unit",IF(K222&lt;&gt;L222,"Check - recipe in "&amp;K222&amp;", priced in "&amp;L222,IF(COUNTIFS($AA$5:$AA$1204,AA222)&gt;1,"Duplicate - same ingredient twice","OK")))))))</f>
        <v>0</v>
      </c>
    </row>
    <row r="223" spans="1:28">
      <c r="A223" s="39">
        <f>IF(D223="","","RL-"&amp;TEXT(ROW()-4,"0000"))</f>
        <v>0</v>
      </c>
      <c r="C223" s="17">
        <f>IF(B223="","",IFERROR(INDEX(Recipes!$B$5:$B$204,MATCH(B223,Recipes!$A$5:$A$204,0)),"Not found"))</f>
        <v>0</v>
      </c>
      <c r="J223" s="45">
        <f>IF(E223="","",IFERROR(E223*INDEX(UnitFactors,MATCH(F223,UnitNames,0)),""))</f>
        <v>0</v>
      </c>
      <c r="K223" s="17">
        <f>IF(F223="","",IFERROR(INDEX(UnitBases,MATCH(F223,UnitNames,0)),"?"))</f>
        <v>0</v>
      </c>
      <c r="L223" s="17">
        <f>IF(D223="","",IFERROR(INDEX(Ingredients!$G$5:$G$304,MATCH(D223,Ingredients!$B$5:$B$304,0)),"Add to Ingredients"))</f>
        <v>0</v>
      </c>
      <c r="M223" s="25">
        <f>IF(D223="","",IFERROR(INDEX(Ingredients!$J$5:$J$304,MATCH(D223,Ingredients!$B$5:$B$304,0)),"Add to Ingredients"))</f>
        <v>0</v>
      </c>
      <c r="N223" s="25">
        <f>IF(OR(J223="",M223="",NOT(ISNUMBER(M223))),"",IF(K223&lt;&gt;L223,"",J223*M223))</f>
        <v>0</v>
      </c>
      <c r="O223" s="25">
        <f>IF(N223="","",IFERROR(N223/INDEX(Recipes!$G$5:$G$204,MATCH(B223,Recipes!$A$5:$A$204,0)),""))</f>
        <v>0</v>
      </c>
      <c r="P223" s="30">
        <f>IF(J223="","",IF(K223="each",J223,J223/100))</f>
        <v>0</v>
      </c>
      <c r="Q223" s="30">
        <f>IFERROR(IF(P223="","",P223*INDEX(Ingredients!$P$5:$P$304,MATCH(D223,Ingredients!$B$5:$B$304,0))),"")</f>
        <v>0</v>
      </c>
      <c r="R223" s="45">
        <f>IFERROR(IF(P223="","",P223*INDEX(Ingredients!$Q$5:$Q$304,MATCH(D223,Ingredients!$B$5:$B$304,0))),"")</f>
        <v>0</v>
      </c>
      <c r="S223" s="45">
        <f>IFERROR(IF(P223="","",P223*INDEX(Ingredients!$R$5:$R$304,MATCH(D223,Ingredients!$B$5:$B$304,0))),"")</f>
        <v>0</v>
      </c>
      <c r="T223" s="45">
        <f>IFERROR(IF(P223="","",P223*INDEX(Ingredients!$S$5:$S$304,MATCH(D223,Ingredients!$B$5:$B$304,0))),"")</f>
        <v>0</v>
      </c>
      <c r="U223" s="45">
        <f>IFERROR(IF(P223="","",P223*INDEX(Ingredients!$T$5:$T$304,MATCH(D223,Ingredients!$B$5:$B$304,0))),"")</f>
        <v>0</v>
      </c>
      <c r="V223" s="17">
        <f>IF(D223="","",IFERROR(INDEX(Ingredients!$W$5:$W$304,MATCH(D223,Ingredients!$B$5:$B$304,0)),"Add to Ingredients"))</f>
        <v>0</v>
      </c>
      <c r="W223" s="17">
        <f>IF(D223="","",IFERROR(INDEX(Ingredients!$C$5:$C$304,MATCH(D223,Ingredients!$B$5:$B$304,0)),"Add to Ingredients"))</f>
        <v>0</v>
      </c>
      <c r="X223" s="45">
        <f>IFERROR(INDEX(Recipes!$AT$5:$AT$204,MATCH(B223,Recipes!$A$5:$A$204,0)),0)</f>
        <v>0</v>
      </c>
      <c r="Y223" s="45">
        <f>IF(OR(J223="",X223=0),"",J223*X223)</f>
        <v>0</v>
      </c>
      <c r="Z223" s="17">
        <f>IF(D223="","",B223&amp;"#"&amp;COUNTIFS($B$5:B223,B223))</f>
        <v>0</v>
      </c>
      <c r="AA223" s="17">
        <f>IF(D223="","",B223&amp;"|"&amp;D223)</f>
        <v>0</v>
      </c>
      <c r="AB223" s="31">
        <f>IF(D223="","",IF(B223="","Add - which recipe?",IF(COUNTIFS(Ingredients!$B$5:$B$304,D223)=0,"Missing - not in the Ingredients tab",IF(E223="","Add - no quantity",IF(F223="","Add - no unit",IF(K223&lt;&gt;L223,"Check - recipe in "&amp;K223&amp;", priced in "&amp;L223,IF(COUNTIFS($AA$5:$AA$1204,AA223)&gt;1,"Duplicate - same ingredient twice","OK")))))))</f>
        <v>0</v>
      </c>
    </row>
    <row r="224" spans="1:28">
      <c r="A224" s="39">
        <f>IF(D224="","","RL-"&amp;TEXT(ROW()-4,"0000"))</f>
        <v>0</v>
      </c>
      <c r="C224" s="17">
        <f>IF(B224="","",IFERROR(INDEX(Recipes!$B$5:$B$204,MATCH(B224,Recipes!$A$5:$A$204,0)),"Not found"))</f>
        <v>0</v>
      </c>
      <c r="J224" s="45">
        <f>IF(E224="","",IFERROR(E224*INDEX(UnitFactors,MATCH(F224,UnitNames,0)),""))</f>
        <v>0</v>
      </c>
      <c r="K224" s="17">
        <f>IF(F224="","",IFERROR(INDEX(UnitBases,MATCH(F224,UnitNames,0)),"?"))</f>
        <v>0</v>
      </c>
      <c r="L224" s="17">
        <f>IF(D224="","",IFERROR(INDEX(Ingredients!$G$5:$G$304,MATCH(D224,Ingredients!$B$5:$B$304,0)),"Add to Ingredients"))</f>
        <v>0</v>
      </c>
      <c r="M224" s="25">
        <f>IF(D224="","",IFERROR(INDEX(Ingredients!$J$5:$J$304,MATCH(D224,Ingredients!$B$5:$B$304,0)),"Add to Ingredients"))</f>
        <v>0</v>
      </c>
      <c r="N224" s="25">
        <f>IF(OR(J224="",M224="",NOT(ISNUMBER(M224))),"",IF(K224&lt;&gt;L224,"",J224*M224))</f>
        <v>0</v>
      </c>
      <c r="O224" s="25">
        <f>IF(N224="","",IFERROR(N224/INDEX(Recipes!$G$5:$G$204,MATCH(B224,Recipes!$A$5:$A$204,0)),""))</f>
        <v>0</v>
      </c>
      <c r="P224" s="30">
        <f>IF(J224="","",IF(K224="each",J224,J224/100))</f>
        <v>0</v>
      </c>
      <c r="Q224" s="30">
        <f>IFERROR(IF(P224="","",P224*INDEX(Ingredients!$P$5:$P$304,MATCH(D224,Ingredients!$B$5:$B$304,0))),"")</f>
        <v>0</v>
      </c>
      <c r="R224" s="45">
        <f>IFERROR(IF(P224="","",P224*INDEX(Ingredients!$Q$5:$Q$304,MATCH(D224,Ingredients!$B$5:$B$304,0))),"")</f>
        <v>0</v>
      </c>
      <c r="S224" s="45">
        <f>IFERROR(IF(P224="","",P224*INDEX(Ingredients!$R$5:$R$304,MATCH(D224,Ingredients!$B$5:$B$304,0))),"")</f>
        <v>0</v>
      </c>
      <c r="T224" s="45">
        <f>IFERROR(IF(P224="","",P224*INDEX(Ingredients!$S$5:$S$304,MATCH(D224,Ingredients!$B$5:$B$304,0))),"")</f>
        <v>0</v>
      </c>
      <c r="U224" s="45">
        <f>IFERROR(IF(P224="","",P224*INDEX(Ingredients!$T$5:$T$304,MATCH(D224,Ingredients!$B$5:$B$304,0))),"")</f>
        <v>0</v>
      </c>
      <c r="V224" s="17">
        <f>IF(D224="","",IFERROR(INDEX(Ingredients!$W$5:$W$304,MATCH(D224,Ingredients!$B$5:$B$304,0)),"Add to Ingredients"))</f>
        <v>0</v>
      </c>
      <c r="W224" s="17">
        <f>IF(D224="","",IFERROR(INDEX(Ingredients!$C$5:$C$304,MATCH(D224,Ingredients!$B$5:$B$304,0)),"Add to Ingredients"))</f>
        <v>0</v>
      </c>
      <c r="X224" s="45">
        <f>IFERROR(INDEX(Recipes!$AT$5:$AT$204,MATCH(B224,Recipes!$A$5:$A$204,0)),0)</f>
        <v>0</v>
      </c>
      <c r="Y224" s="45">
        <f>IF(OR(J224="",X224=0),"",J224*X224)</f>
        <v>0</v>
      </c>
      <c r="Z224" s="17">
        <f>IF(D224="","",B224&amp;"#"&amp;COUNTIFS($B$5:B224,B224))</f>
        <v>0</v>
      </c>
      <c r="AA224" s="17">
        <f>IF(D224="","",B224&amp;"|"&amp;D224)</f>
        <v>0</v>
      </c>
      <c r="AB224" s="31">
        <f>IF(D224="","",IF(B224="","Add - which recipe?",IF(COUNTIFS(Ingredients!$B$5:$B$304,D224)=0,"Missing - not in the Ingredients tab",IF(E224="","Add - no quantity",IF(F224="","Add - no unit",IF(K224&lt;&gt;L224,"Check - recipe in "&amp;K224&amp;", priced in "&amp;L224,IF(COUNTIFS($AA$5:$AA$1204,AA224)&gt;1,"Duplicate - same ingredient twice","OK")))))))</f>
        <v>0</v>
      </c>
    </row>
    <row r="225" spans="1:28">
      <c r="A225" s="39">
        <f>IF(D225="","","RL-"&amp;TEXT(ROW()-4,"0000"))</f>
        <v>0</v>
      </c>
      <c r="C225" s="17">
        <f>IF(B225="","",IFERROR(INDEX(Recipes!$B$5:$B$204,MATCH(B225,Recipes!$A$5:$A$204,0)),"Not found"))</f>
        <v>0</v>
      </c>
      <c r="J225" s="45">
        <f>IF(E225="","",IFERROR(E225*INDEX(UnitFactors,MATCH(F225,UnitNames,0)),""))</f>
        <v>0</v>
      </c>
      <c r="K225" s="17">
        <f>IF(F225="","",IFERROR(INDEX(UnitBases,MATCH(F225,UnitNames,0)),"?"))</f>
        <v>0</v>
      </c>
      <c r="L225" s="17">
        <f>IF(D225="","",IFERROR(INDEX(Ingredients!$G$5:$G$304,MATCH(D225,Ingredients!$B$5:$B$304,0)),"Add to Ingredients"))</f>
        <v>0</v>
      </c>
      <c r="M225" s="25">
        <f>IF(D225="","",IFERROR(INDEX(Ingredients!$J$5:$J$304,MATCH(D225,Ingredients!$B$5:$B$304,0)),"Add to Ingredients"))</f>
        <v>0</v>
      </c>
      <c r="N225" s="25">
        <f>IF(OR(J225="",M225="",NOT(ISNUMBER(M225))),"",IF(K225&lt;&gt;L225,"",J225*M225))</f>
        <v>0</v>
      </c>
      <c r="O225" s="25">
        <f>IF(N225="","",IFERROR(N225/INDEX(Recipes!$G$5:$G$204,MATCH(B225,Recipes!$A$5:$A$204,0)),""))</f>
        <v>0</v>
      </c>
      <c r="P225" s="30">
        <f>IF(J225="","",IF(K225="each",J225,J225/100))</f>
        <v>0</v>
      </c>
      <c r="Q225" s="30">
        <f>IFERROR(IF(P225="","",P225*INDEX(Ingredients!$P$5:$P$304,MATCH(D225,Ingredients!$B$5:$B$304,0))),"")</f>
        <v>0</v>
      </c>
      <c r="R225" s="45">
        <f>IFERROR(IF(P225="","",P225*INDEX(Ingredients!$Q$5:$Q$304,MATCH(D225,Ingredients!$B$5:$B$304,0))),"")</f>
        <v>0</v>
      </c>
      <c r="S225" s="45">
        <f>IFERROR(IF(P225="","",P225*INDEX(Ingredients!$R$5:$R$304,MATCH(D225,Ingredients!$B$5:$B$304,0))),"")</f>
        <v>0</v>
      </c>
      <c r="T225" s="45">
        <f>IFERROR(IF(P225="","",P225*INDEX(Ingredients!$S$5:$S$304,MATCH(D225,Ingredients!$B$5:$B$304,0))),"")</f>
        <v>0</v>
      </c>
      <c r="U225" s="45">
        <f>IFERROR(IF(P225="","",P225*INDEX(Ingredients!$T$5:$T$304,MATCH(D225,Ingredients!$B$5:$B$304,0))),"")</f>
        <v>0</v>
      </c>
      <c r="V225" s="17">
        <f>IF(D225="","",IFERROR(INDEX(Ingredients!$W$5:$W$304,MATCH(D225,Ingredients!$B$5:$B$304,0)),"Add to Ingredients"))</f>
        <v>0</v>
      </c>
      <c r="W225" s="17">
        <f>IF(D225="","",IFERROR(INDEX(Ingredients!$C$5:$C$304,MATCH(D225,Ingredients!$B$5:$B$304,0)),"Add to Ingredients"))</f>
        <v>0</v>
      </c>
      <c r="X225" s="45">
        <f>IFERROR(INDEX(Recipes!$AT$5:$AT$204,MATCH(B225,Recipes!$A$5:$A$204,0)),0)</f>
        <v>0</v>
      </c>
      <c r="Y225" s="45">
        <f>IF(OR(J225="",X225=0),"",J225*X225)</f>
        <v>0</v>
      </c>
      <c r="Z225" s="17">
        <f>IF(D225="","",B225&amp;"#"&amp;COUNTIFS($B$5:B225,B225))</f>
        <v>0</v>
      </c>
      <c r="AA225" s="17">
        <f>IF(D225="","",B225&amp;"|"&amp;D225)</f>
        <v>0</v>
      </c>
      <c r="AB225" s="31">
        <f>IF(D225="","",IF(B225="","Add - which recipe?",IF(COUNTIFS(Ingredients!$B$5:$B$304,D225)=0,"Missing - not in the Ingredients tab",IF(E225="","Add - no quantity",IF(F225="","Add - no unit",IF(K225&lt;&gt;L225,"Check - recipe in "&amp;K225&amp;", priced in "&amp;L225,IF(COUNTIFS($AA$5:$AA$1204,AA225)&gt;1,"Duplicate - same ingredient twice","OK")))))))</f>
        <v>0</v>
      </c>
    </row>
    <row r="226" spans="1:28">
      <c r="A226" s="39">
        <f>IF(D226="","","RL-"&amp;TEXT(ROW()-4,"0000"))</f>
        <v>0</v>
      </c>
      <c r="C226" s="17">
        <f>IF(B226="","",IFERROR(INDEX(Recipes!$B$5:$B$204,MATCH(B226,Recipes!$A$5:$A$204,0)),"Not found"))</f>
        <v>0</v>
      </c>
      <c r="J226" s="45">
        <f>IF(E226="","",IFERROR(E226*INDEX(UnitFactors,MATCH(F226,UnitNames,0)),""))</f>
        <v>0</v>
      </c>
      <c r="K226" s="17">
        <f>IF(F226="","",IFERROR(INDEX(UnitBases,MATCH(F226,UnitNames,0)),"?"))</f>
        <v>0</v>
      </c>
      <c r="L226" s="17">
        <f>IF(D226="","",IFERROR(INDEX(Ingredients!$G$5:$G$304,MATCH(D226,Ingredients!$B$5:$B$304,0)),"Add to Ingredients"))</f>
        <v>0</v>
      </c>
      <c r="M226" s="25">
        <f>IF(D226="","",IFERROR(INDEX(Ingredients!$J$5:$J$304,MATCH(D226,Ingredients!$B$5:$B$304,0)),"Add to Ingredients"))</f>
        <v>0</v>
      </c>
      <c r="N226" s="25">
        <f>IF(OR(J226="",M226="",NOT(ISNUMBER(M226))),"",IF(K226&lt;&gt;L226,"",J226*M226))</f>
        <v>0</v>
      </c>
      <c r="O226" s="25">
        <f>IF(N226="","",IFERROR(N226/INDEX(Recipes!$G$5:$G$204,MATCH(B226,Recipes!$A$5:$A$204,0)),""))</f>
        <v>0</v>
      </c>
      <c r="P226" s="30">
        <f>IF(J226="","",IF(K226="each",J226,J226/100))</f>
        <v>0</v>
      </c>
      <c r="Q226" s="30">
        <f>IFERROR(IF(P226="","",P226*INDEX(Ingredients!$P$5:$P$304,MATCH(D226,Ingredients!$B$5:$B$304,0))),"")</f>
        <v>0</v>
      </c>
      <c r="R226" s="45">
        <f>IFERROR(IF(P226="","",P226*INDEX(Ingredients!$Q$5:$Q$304,MATCH(D226,Ingredients!$B$5:$B$304,0))),"")</f>
        <v>0</v>
      </c>
      <c r="S226" s="45">
        <f>IFERROR(IF(P226="","",P226*INDEX(Ingredients!$R$5:$R$304,MATCH(D226,Ingredients!$B$5:$B$304,0))),"")</f>
        <v>0</v>
      </c>
      <c r="T226" s="45">
        <f>IFERROR(IF(P226="","",P226*INDEX(Ingredients!$S$5:$S$304,MATCH(D226,Ingredients!$B$5:$B$304,0))),"")</f>
        <v>0</v>
      </c>
      <c r="U226" s="45">
        <f>IFERROR(IF(P226="","",P226*INDEX(Ingredients!$T$5:$T$304,MATCH(D226,Ingredients!$B$5:$B$304,0))),"")</f>
        <v>0</v>
      </c>
      <c r="V226" s="17">
        <f>IF(D226="","",IFERROR(INDEX(Ingredients!$W$5:$W$304,MATCH(D226,Ingredients!$B$5:$B$304,0)),"Add to Ingredients"))</f>
        <v>0</v>
      </c>
      <c r="W226" s="17">
        <f>IF(D226="","",IFERROR(INDEX(Ingredients!$C$5:$C$304,MATCH(D226,Ingredients!$B$5:$B$304,0)),"Add to Ingredients"))</f>
        <v>0</v>
      </c>
      <c r="X226" s="45">
        <f>IFERROR(INDEX(Recipes!$AT$5:$AT$204,MATCH(B226,Recipes!$A$5:$A$204,0)),0)</f>
        <v>0</v>
      </c>
      <c r="Y226" s="45">
        <f>IF(OR(J226="",X226=0),"",J226*X226)</f>
        <v>0</v>
      </c>
      <c r="Z226" s="17">
        <f>IF(D226="","",B226&amp;"#"&amp;COUNTIFS($B$5:B226,B226))</f>
        <v>0</v>
      </c>
      <c r="AA226" s="17">
        <f>IF(D226="","",B226&amp;"|"&amp;D226)</f>
        <v>0</v>
      </c>
      <c r="AB226" s="31">
        <f>IF(D226="","",IF(B226="","Add - which recipe?",IF(COUNTIFS(Ingredients!$B$5:$B$304,D226)=0,"Missing - not in the Ingredients tab",IF(E226="","Add - no quantity",IF(F226="","Add - no unit",IF(K226&lt;&gt;L226,"Check - recipe in "&amp;K226&amp;", priced in "&amp;L226,IF(COUNTIFS($AA$5:$AA$1204,AA226)&gt;1,"Duplicate - same ingredient twice","OK")))))))</f>
        <v>0</v>
      </c>
    </row>
    <row r="227" spans="1:28">
      <c r="A227" s="39">
        <f>IF(D227="","","RL-"&amp;TEXT(ROW()-4,"0000"))</f>
        <v>0</v>
      </c>
      <c r="C227" s="17">
        <f>IF(B227="","",IFERROR(INDEX(Recipes!$B$5:$B$204,MATCH(B227,Recipes!$A$5:$A$204,0)),"Not found"))</f>
        <v>0</v>
      </c>
      <c r="J227" s="45">
        <f>IF(E227="","",IFERROR(E227*INDEX(UnitFactors,MATCH(F227,UnitNames,0)),""))</f>
        <v>0</v>
      </c>
      <c r="K227" s="17">
        <f>IF(F227="","",IFERROR(INDEX(UnitBases,MATCH(F227,UnitNames,0)),"?"))</f>
        <v>0</v>
      </c>
      <c r="L227" s="17">
        <f>IF(D227="","",IFERROR(INDEX(Ingredients!$G$5:$G$304,MATCH(D227,Ingredients!$B$5:$B$304,0)),"Add to Ingredients"))</f>
        <v>0</v>
      </c>
      <c r="M227" s="25">
        <f>IF(D227="","",IFERROR(INDEX(Ingredients!$J$5:$J$304,MATCH(D227,Ingredients!$B$5:$B$304,0)),"Add to Ingredients"))</f>
        <v>0</v>
      </c>
      <c r="N227" s="25">
        <f>IF(OR(J227="",M227="",NOT(ISNUMBER(M227))),"",IF(K227&lt;&gt;L227,"",J227*M227))</f>
        <v>0</v>
      </c>
      <c r="O227" s="25">
        <f>IF(N227="","",IFERROR(N227/INDEX(Recipes!$G$5:$G$204,MATCH(B227,Recipes!$A$5:$A$204,0)),""))</f>
        <v>0</v>
      </c>
      <c r="P227" s="30">
        <f>IF(J227="","",IF(K227="each",J227,J227/100))</f>
        <v>0</v>
      </c>
      <c r="Q227" s="30">
        <f>IFERROR(IF(P227="","",P227*INDEX(Ingredients!$P$5:$P$304,MATCH(D227,Ingredients!$B$5:$B$304,0))),"")</f>
        <v>0</v>
      </c>
      <c r="R227" s="45">
        <f>IFERROR(IF(P227="","",P227*INDEX(Ingredients!$Q$5:$Q$304,MATCH(D227,Ingredients!$B$5:$B$304,0))),"")</f>
        <v>0</v>
      </c>
      <c r="S227" s="45">
        <f>IFERROR(IF(P227="","",P227*INDEX(Ingredients!$R$5:$R$304,MATCH(D227,Ingredients!$B$5:$B$304,0))),"")</f>
        <v>0</v>
      </c>
      <c r="T227" s="45">
        <f>IFERROR(IF(P227="","",P227*INDEX(Ingredients!$S$5:$S$304,MATCH(D227,Ingredients!$B$5:$B$304,0))),"")</f>
        <v>0</v>
      </c>
      <c r="U227" s="45">
        <f>IFERROR(IF(P227="","",P227*INDEX(Ingredients!$T$5:$T$304,MATCH(D227,Ingredients!$B$5:$B$304,0))),"")</f>
        <v>0</v>
      </c>
      <c r="V227" s="17">
        <f>IF(D227="","",IFERROR(INDEX(Ingredients!$W$5:$W$304,MATCH(D227,Ingredients!$B$5:$B$304,0)),"Add to Ingredients"))</f>
        <v>0</v>
      </c>
      <c r="W227" s="17">
        <f>IF(D227="","",IFERROR(INDEX(Ingredients!$C$5:$C$304,MATCH(D227,Ingredients!$B$5:$B$304,0)),"Add to Ingredients"))</f>
        <v>0</v>
      </c>
      <c r="X227" s="45">
        <f>IFERROR(INDEX(Recipes!$AT$5:$AT$204,MATCH(B227,Recipes!$A$5:$A$204,0)),0)</f>
        <v>0</v>
      </c>
      <c r="Y227" s="45">
        <f>IF(OR(J227="",X227=0),"",J227*X227)</f>
        <v>0</v>
      </c>
      <c r="Z227" s="17">
        <f>IF(D227="","",B227&amp;"#"&amp;COUNTIFS($B$5:B227,B227))</f>
        <v>0</v>
      </c>
      <c r="AA227" s="17">
        <f>IF(D227="","",B227&amp;"|"&amp;D227)</f>
        <v>0</v>
      </c>
      <c r="AB227" s="31">
        <f>IF(D227="","",IF(B227="","Add - which recipe?",IF(COUNTIFS(Ingredients!$B$5:$B$304,D227)=0,"Missing - not in the Ingredients tab",IF(E227="","Add - no quantity",IF(F227="","Add - no unit",IF(K227&lt;&gt;L227,"Check - recipe in "&amp;K227&amp;", priced in "&amp;L227,IF(COUNTIFS($AA$5:$AA$1204,AA227)&gt;1,"Duplicate - same ingredient twice","OK")))))))</f>
        <v>0</v>
      </c>
    </row>
    <row r="228" spans="1:28">
      <c r="A228" s="39">
        <f>IF(D228="","","RL-"&amp;TEXT(ROW()-4,"0000"))</f>
        <v>0</v>
      </c>
      <c r="C228" s="17">
        <f>IF(B228="","",IFERROR(INDEX(Recipes!$B$5:$B$204,MATCH(B228,Recipes!$A$5:$A$204,0)),"Not found"))</f>
        <v>0</v>
      </c>
      <c r="J228" s="45">
        <f>IF(E228="","",IFERROR(E228*INDEX(UnitFactors,MATCH(F228,UnitNames,0)),""))</f>
        <v>0</v>
      </c>
      <c r="K228" s="17">
        <f>IF(F228="","",IFERROR(INDEX(UnitBases,MATCH(F228,UnitNames,0)),"?"))</f>
        <v>0</v>
      </c>
      <c r="L228" s="17">
        <f>IF(D228="","",IFERROR(INDEX(Ingredients!$G$5:$G$304,MATCH(D228,Ingredients!$B$5:$B$304,0)),"Add to Ingredients"))</f>
        <v>0</v>
      </c>
      <c r="M228" s="25">
        <f>IF(D228="","",IFERROR(INDEX(Ingredients!$J$5:$J$304,MATCH(D228,Ingredients!$B$5:$B$304,0)),"Add to Ingredients"))</f>
        <v>0</v>
      </c>
      <c r="N228" s="25">
        <f>IF(OR(J228="",M228="",NOT(ISNUMBER(M228))),"",IF(K228&lt;&gt;L228,"",J228*M228))</f>
        <v>0</v>
      </c>
      <c r="O228" s="25">
        <f>IF(N228="","",IFERROR(N228/INDEX(Recipes!$G$5:$G$204,MATCH(B228,Recipes!$A$5:$A$204,0)),""))</f>
        <v>0</v>
      </c>
      <c r="P228" s="30">
        <f>IF(J228="","",IF(K228="each",J228,J228/100))</f>
        <v>0</v>
      </c>
      <c r="Q228" s="30">
        <f>IFERROR(IF(P228="","",P228*INDEX(Ingredients!$P$5:$P$304,MATCH(D228,Ingredients!$B$5:$B$304,0))),"")</f>
        <v>0</v>
      </c>
      <c r="R228" s="45">
        <f>IFERROR(IF(P228="","",P228*INDEX(Ingredients!$Q$5:$Q$304,MATCH(D228,Ingredients!$B$5:$B$304,0))),"")</f>
        <v>0</v>
      </c>
      <c r="S228" s="45">
        <f>IFERROR(IF(P228="","",P228*INDEX(Ingredients!$R$5:$R$304,MATCH(D228,Ingredients!$B$5:$B$304,0))),"")</f>
        <v>0</v>
      </c>
      <c r="T228" s="45">
        <f>IFERROR(IF(P228="","",P228*INDEX(Ingredients!$S$5:$S$304,MATCH(D228,Ingredients!$B$5:$B$304,0))),"")</f>
        <v>0</v>
      </c>
      <c r="U228" s="45">
        <f>IFERROR(IF(P228="","",P228*INDEX(Ingredients!$T$5:$T$304,MATCH(D228,Ingredients!$B$5:$B$304,0))),"")</f>
        <v>0</v>
      </c>
      <c r="V228" s="17">
        <f>IF(D228="","",IFERROR(INDEX(Ingredients!$W$5:$W$304,MATCH(D228,Ingredients!$B$5:$B$304,0)),"Add to Ingredients"))</f>
        <v>0</v>
      </c>
      <c r="W228" s="17">
        <f>IF(D228="","",IFERROR(INDEX(Ingredients!$C$5:$C$304,MATCH(D228,Ingredients!$B$5:$B$304,0)),"Add to Ingredients"))</f>
        <v>0</v>
      </c>
      <c r="X228" s="45">
        <f>IFERROR(INDEX(Recipes!$AT$5:$AT$204,MATCH(B228,Recipes!$A$5:$A$204,0)),0)</f>
        <v>0</v>
      </c>
      <c r="Y228" s="45">
        <f>IF(OR(J228="",X228=0),"",J228*X228)</f>
        <v>0</v>
      </c>
      <c r="Z228" s="17">
        <f>IF(D228="","",B228&amp;"#"&amp;COUNTIFS($B$5:B228,B228))</f>
        <v>0</v>
      </c>
      <c r="AA228" s="17">
        <f>IF(D228="","",B228&amp;"|"&amp;D228)</f>
        <v>0</v>
      </c>
      <c r="AB228" s="31">
        <f>IF(D228="","",IF(B228="","Add - which recipe?",IF(COUNTIFS(Ingredients!$B$5:$B$304,D228)=0,"Missing - not in the Ingredients tab",IF(E228="","Add - no quantity",IF(F228="","Add - no unit",IF(K228&lt;&gt;L228,"Check - recipe in "&amp;K228&amp;", priced in "&amp;L228,IF(COUNTIFS($AA$5:$AA$1204,AA228)&gt;1,"Duplicate - same ingredient twice","OK")))))))</f>
        <v>0</v>
      </c>
    </row>
    <row r="229" spans="1:28">
      <c r="A229" s="39">
        <f>IF(D229="","","RL-"&amp;TEXT(ROW()-4,"0000"))</f>
        <v>0</v>
      </c>
      <c r="C229" s="17">
        <f>IF(B229="","",IFERROR(INDEX(Recipes!$B$5:$B$204,MATCH(B229,Recipes!$A$5:$A$204,0)),"Not found"))</f>
        <v>0</v>
      </c>
      <c r="J229" s="45">
        <f>IF(E229="","",IFERROR(E229*INDEX(UnitFactors,MATCH(F229,UnitNames,0)),""))</f>
        <v>0</v>
      </c>
      <c r="K229" s="17">
        <f>IF(F229="","",IFERROR(INDEX(UnitBases,MATCH(F229,UnitNames,0)),"?"))</f>
        <v>0</v>
      </c>
      <c r="L229" s="17">
        <f>IF(D229="","",IFERROR(INDEX(Ingredients!$G$5:$G$304,MATCH(D229,Ingredients!$B$5:$B$304,0)),"Add to Ingredients"))</f>
        <v>0</v>
      </c>
      <c r="M229" s="25">
        <f>IF(D229="","",IFERROR(INDEX(Ingredients!$J$5:$J$304,MATCH(D229,Ingredients!$B$5:$B$304,0)),"Add to Ingredients"))</f>
        <v>0</v>
      </c>
      <c r="N229" s="25">
        <f>IF(OR(J229="",M229="",NOT(ISNUMBER(M229))),"",IF(K229&lt;&gt;L229,"",J229*M229))</f>
        <v>0</v>
      </c>
      <c r="O229" s="25">
        <f>IF(N229="","",IFERROR(N229/INDEX(Recipes!$G$5:$G$204,MATCH(B229,Recipes!$A$5:$A$204,0)),""))</f>
        <v>0</v>
      </c>
      <c r="P229" s="30">
        <f>IF(J229="","",IF(K229="each",J229,J229/100))</f>
        <v>0</v>
      </c>
      <c r="Q229" s="30">
        <f>IFERROR(IF(P229="","",P229*INDEX(Ingredients!$P$5:$P$304,MATCH(D229,Ingredients!$B$5:$B$304,0))),"")</f>
        <v>0</v>
      </c>
      <c r="R229" s="45">
        <f>IFERROR(IF(P229="","",P229*INDEX(Ingredients!$Q$5:$Q$304,MATCH(D229,Ingredients!$B$5:$B$304,0))),"")</f>
        <v>0</v>
      </c>
      <c r="S229" s="45">
        <f>IFERROR(IF(P229="","",P229*INDEX(Ingredients!$R$5:$R$304,MATCH(D229,Ingredients!$B$5:$B$304,0))),"")</f>
        <v>0</v>
      </c>
      <c r="T229" s="45">
        <f>IFERROR(IF(P229="","",P229*INDEX(Ingredients!$S$5:$S$304,MATCH(D229,Ingredients!$B$5:$B$304,0))),"")</f>
        <v>0</v>
      </c>
      <c r="U229" s="45">
        <f>IFERROR(IF(P229="","",P229*INDEX(Ingredients!$T$5:$T$304,MATCH(D229,Ingredients!$B$5:$B$304,0))),"")</f>
        <v>0</v>
      </c>
      <c r="V229" s="17">
        <f>IF(D229="","",IFERROR(INDEX(Ingredients!$W$5:$W$304,MATCH(D229,Ingredients!$B$5:$B$304,0)),"Add to Ingredients"))</f>
        <v>0</v>
      </c>
      <c r="W229" s="17">
        <f>IF(D229="","",IFERROR(INDEX(Ingredients!$C$5:$C$304,MATCH(D229,Ingredients!$B$5:$B$304,0)),"Add to Ingredients"))</f>
        <v>0</v>
      </c>
      <c r="X229" s="45">
        <f>IFERROR(INDEX(Recipes!$AT$5:$AT$204,MATCH(B229,Recipes!$A$5:$A$204,0)),0)</f>
        <v>0</v>
      </c>
      <c r="Y229" s="45">
        <f>IF(OR(J229="",X229=0),"",J229*X229)</f>
        <v>0</v>
      </c>
      <c r="Z229" s="17">
        <f>IF(D229="","",B229&amp;"#"&amp;COUNTIFS($B$5:B229,B229))</f>
        <v>0</v>
      </c>
      <c r="AA229" s="17">
        <f>IF(D229="","",B229&amp;"|"&amp;D229)</f>
        <v>0</v>
      </c>
      <c r="AB229" s="31">
        <f>IF(D229="","",IF(B229="","Add - which recipe?",IF(COUNTIFS(Ingredients!$B$5:$B$304,D229)=0,"Missing - not in the Ingredients tab",IF(E229="","Add - no quantity",IF(F229="","Add - no unit",IF(K229&lt;&gt;L229,"Check - recipe in "&amp;K229&amp;", priced in "&amp;L229,IF(COUNTIFS($AA$5:$AA$1204,AA229)&gt;1,"Duplicate - same ingredient twice","OK")))))))</f>
        <v>0</v>
      </c>
    </row>
    <row r="230" spans="1:28">
      <c r="A230" s="39">
        <f>IF(D230="","","RL-"&amp;TEXT(ROW()-4,"0000"))</f>
        <v>0</v>
      </c>
      <c r="C230" s="17">
        <f>IF(B230="","",IFERROR(INDEX(Recipes!$B$5:$B$204,MATCH(B230,Recipes!$A$5:$A$204,0)),"Not found"))</f>
        <v>0</v>
      </c>
      <c r="J230" s="45">
        <f>IF(E230="","",IFERROR(E230*INDEX(UnitFactors,MATCH(F230,UnitNames,0)),""))</f>
        <v>0</v>
      </c>
      <c r="K230" s="17">
        <f>IF(F230="","",IFERROR(INDEX(UnitBases,MATCH(F230,UnitNames,0)),"?"))</f>
        <v>0</v>
      </c>
      <c r="L230" s="17">
        <f>IF(D230="","",IFERROR(INDEX(Ingredients!$G$5:$G$304,MATCH(D230,Ingredients!$B$5:$B$304,0)),"Add to Ingredients"))</f>
        <v>0</v>
      </c>
      <c r="M230" s="25">
        <f>IF(D230="","",IFERROR(INDEX(Ingredients!$J$5:$J$304,MATCH(D230,Ingredients!$B$5:$B$304,0)),"Add to Ingredients"))</f>
        <v>0</v>
      </c>
      <c r="N230" s="25">
        <f>IF(OR(J230="",M230="",NOT(ISNUMBER(M230))),"",IF(K230&lt;&gt;L230,"",J230*M230))</f>
        <v>0</v>
      </c>
      <c r="O230" s="25">
        <f>IF(N230="","",IFERROR(N230/INDEX(Recipes!$G$5:$G$204,MATCH(B230,Recipes!$A$5:$A$204,0)),""))</f>
        <v>0</v>
      </c>
      <c r="P230" s="30">
        <f>IF(J230="","",IF(K230="each",J230,J230/100))</f>
        <v>0</v>
      </c>
      <c r="Q230" s="30">
        <f>IFERROR(IF(P230="","",P230*INDEX(Ingredients!$P$5:$P$304,MATCH(D230,Ingredients!$B$5:$B$304,0))),"")</f>
        <v>0</v>
      </c>
      <c r="R230" s="45">
        <f>IFERROR(IF(P230="","",P230*INDEX(Ingredients!$Q$5:$Q$304,MATCH(D230,Ingredients!$B$5:$B$304,0))),"")</f>
        <v>0</v>
      </c>
      <c r="S230" s="45">
        <f>IFERROR(IF(P230="","",P230*INDEX(Ingredients!$R$5:$R$304,MATCH(D230,Ingredients!$B$5:$B$304,0))),"")</f>
        <v>0</v>
      </c>
      <c r="T230" s="45">
        <f>IFERROR(IF(P230="","",P230*INDEX(Ingredients!$S$5:$S$304,MATCH(D230,Ingredients!$B$5:$B$304,0))),"")</f>
        <v>0</v>
      </c>
      <c r="U230" s="45">
        <f>IFERROR(IF(P230="","",P230*INDEX(Ingredients!$T$5:$T$304,MATCH(D230,Ingredients!$B$5:$B$304,0))),"")</f>
        <v>0</v>
      </c>
      <c r="V230" s="17">
        <f>IF(D230="","",IFERROR(INDEX(Ingredients!$W$5:$W$304,MATCH(D230,Ingredients!$B$5:$B$304,0)),"Add to Ingredients"))</f>
        <v>0</v>
      </c>
      <c r="W230" s="17">
        <f>IF(D230="","",IFERROR(INDEX(Ingredients!$C$5:$C$304,MATCH(D230,Ingredients!$B$5:$B$304,0)),"Add to Ingredients"))</f>
        <v>0</v>
      </c>
      <c r="X230" s="45">
        <f>IFERROR(INDEX(Recipes!$AT$5:$AT$204,MATCH(B230,Recipes!$A$5:$A$204,0)),0)</f>
        <v>0</v>
      </c>
      <c r="Y230" s="45">
        <f>IF(OR(J230="",X230=0),"",J230*X230)</f>
        <v>0</v>
      </c>
      <c r="Z230" s="17">
        <f>IF(D230="","",B230&amp;"#"&amp;COUNTIFS($B$5:B230,B230))</f>
        <v>0</v>
      </c>
      <c r="AA230" s="17">
        <f>IF(D230="","",B230&amp;"|"&amp;D230)</f>
        <v>0</v>
      </c>
      <c r="AB230" s="31">
        <f>IF(D230="","",IF(B230="","Add - which recipe?",IF(COUNTIFS(Ingredients!$B$5:$B$304,D230)=0,"Missing - not in the Ingredients tab",IF(E230="","Add - no quantity",IF(F230="","Add - no unit",IF(K230&lt;&gt;L230,"Check - recipe in "&amp;K230&amp;", priced in "&amp;L230,IF(COUNTIFS($AA$5:$AA$1204,AA230)&gt;1,"Duplicate - same ingredient twice","OK")))))))</f>
        <v>0</v>
      </c>
    </row>
    <row r="231" spans="1:28">
      <c r="A231" s="39">
        <f>IF(D231="","","RL-"&amp;TEXT(ROW()-4,"0000"))</f>
        <v>0</v>
      </c>
      <c r="C231" s="17">
        <f>IF(B231="","",IFERROR(INDEX(Recipes!$B$5:$B$204,MATCH(B231,Recipes!$A$5:$A$204,0)),"Not found"))</f>
        <v>0</v>
      </c>
      <c r="J231" s="45">
        <f>IF(E231="","",IFERROR(E231*INDEX(UnitFactors,MATCH(F231,UnitNames,0)),""))</f>
        <v>0</v>
      </c>
      <c r="K231" s="17">
        <f>IF(F231="","",IFERROR(INDEX(UnitBases,MATCH(F231,UnitNames,0)),"?"))</f>
        <v>0</v>
      </c>
      <c r="L231" s="17">
        <f>IF(D231="","",IFERROR(INDEX(Ingredients!$G$5:$G$304,MATCH(D231,Ingredients!$B$5:$B$304,0)),"Add to Ingredients"))</f>
        <v>0</v>
      </c>
      <c r="M231" s="25">
        <f>IF(D231="","",IFERROR(INDEX(Ingredients!$J$5:$J$304,MATCH(D231,Ingredients!$B$5:$B$304,0)),"Add to Ingredients"))</f>
        <v>0</v>
      </c>
      <c r="N231" s="25">
        <f>IF(OR(J231="",M231="",NOT(ISNUMBER(M231))),"",IF(K231&lt;&gt;L231,"",J231*M231))</f>
        <v>0</v>
      </c>
      <c r="O231" s="25">
        <f>IF(N231="","",IFERROR(N231/INDEX(Recipes!$G$5:$G$204,MATCH(B231,Recipes!$A$5:$A$204,0)),""))</f>
        <v>0</v>
      </c>
      <c r="P231" s="30">
        <f>IF(J231="","",IF(K231="each",J231,J231/100))</f>
        <v>0</v>
      </c>
      <c r="Q231" s="30">
        <f>IFERROR(IF(P231="","",P231*INDEX(Ingredients!$P$5:$P$304,MATCH(D231,Ingredients!$B$5:$B$304,0))),"")</f>
        <v>0</v>
      </c>
      <c r="R231" s="45">
        <f>IFERROR(IF(P231="","",P231*INDEX(Ingredients!$Q$5:$Q$304,MATCH(D231,Ingredients!$B$5:$B$304,0))),"")</f>
        <v>0</v>
      </c>
      <c r="S231" s="45">
        <f>IFERROR(IF(P231="","",P231*INDEX(Ingredients!$R$5:$R$304,MATCH(D231,Ingredients!$B$5:$B$304,0))),"")</f>
        <v>0</v>
      </c>
      <c r="T231" s="45">
        <f>IFERROR(IF(P231="","",P231*INDEX(Ingredients!$S$5:$S$304,MATCH(D231,Ingredients!$B$5:$B$304,0))),"")</f>
        <v>0</v>
      </c>
      <c r="U231" s="45">
        <f>IFERROR(IF(P231="","",P231*INDEX(Ingredients!$T$5:$T$304,MATCH(D231,Ingredients!$B$5:$B$304,0))),"")</f>
        <v>0</v>
      </c>
      <c r="V231" s="17">
        <f>IF(D231="","",IFERROR(INDEX(Ingredients!$W$5:$W$304,MATCH(D231,Ingredients!$B$5:$B$304,0)),"Add to Ingredients"))</f>
        <v>0</v>
      </c>
      <c r="W231" s="17">
        <f>IF(D231="","",IFERROR(INDEX(Ingredients!$C$5:$C$304,MATCH(D231,Ingredients!$B$5:$B$304,0)),"Add to Ingredients"))</f>
        <v>0</v>
      </c>
      <c r="X231" s="45">
        <f>IFERROR(INDEX(Recipes!$AT$5:$AT$204,MATCH(B231,Recipes!$A$5:$A$204,0)),0)</f>
        <v>0</v>
      </c>
      <c r="Y231" s="45">
        <f>IF(OR(J231="",X231=0),"",J231*X231)</f>
        <v>0</v>
      </c>
      <c r="Z231" s="17">
        <f>IF(D231="","",B231&amp;"#"&amp;COUNTIFS($B$5:B231,B231))</f>
        <v>0</v>
      </c>
      <c r="AA231" s="17">
        <f>IF(D231="","",B231&amp;"|"&amp;D231)</f>
        <v>0</v>
      </c>
      <c r="AB231" s="31">
        <f>IF(D231="","",IF(B231="","Add - which recipe?",IF(COUNTIFS(Ingredients!$B$5:$B$304,D231)=0,"Missing - not in the Ingredients tab",IF(E231="","Add - no quantity",IF(F231="","Add - no unit",IF(K231&lt;&gt;L231,"Check - recipe in "&amp;K231&amp;", priced in "&amp;L231,IF(COUNTIFS($AA$5:$AA$1204,AA231)&gt;1,"Duplicate - same ingredient twice","OK")))))))</f>
        <v>0</v>
      </c>
    </row>
    <row r="232" spans="1:28">
      <c r="A232" s="39">
        <f>IF(D232="","","RL-"&amp;TEXT(ROW()-4,"0000"))</f>
        <v>0</v>
      </c>
      <c r="C232" s="17">
        <f>IF(B232="","",IFERROR(INDEX(Recipes!$B$5:$B$204,MATCH(B232,Recipes!$A$5:$A$204,0)),"Not found"))</f>
        <v>0</v>
      </c>
      <c r="J232" s="45">
        <f>IF(E232="","",IFERROR(E232*INDEX(UnitFactors,MATCH(F232,UnitNames,0)),""))</f>
        <v>0</v>
      </c>
      <c r="K232" s="17">
        <f>IF(F232="","",IFERROR(INDEX(UnitBases,MATCH(F232,UnitNames,0)),"?"))</f>
        <v>0</v>
      </c>
      <c r="L232" s="17">
        <f>IF(D232="","",IFERROR(INDEX(Ingredients!$G$5:$G$304,MATCH(D232,Ingredients!$B$5:$B$304,0)),"Add to Ingredients"))</f>
        <v>0</v>
      </c>
      <c r="M232" s="25">
        <f>IF(D232="","",IFERROR(INDEX(Ingredients!$J$5:$J$304,MATCH(D232,Ingredients!$B$5:$B$304,0)),"Add to Ingredients"))</f>
        <v>0</v>
      </c>
      <c r="N232" s="25">
        <f>IF(OR(J232="",M232="",NOT(ISNUMBER(M232))),"",IF(K232&lt;&gt;L232,"",J232*M232))</f>
        <v>0</v>
      </c>
      <c r="O232" s="25">
        <f>IF(N232="","",IFERROR(N232/INDEX(Recipes!$G$5:$G$204,MATCH(B232,Recipes!$A$5:$A$204,0)),""))</f>
        <v>0</v>
      </c>
      <c r="P232" s="30">
        <f>IF(J232="","",IF(K232="each",J232,J232/100))</f>
        <v>0</v>
      </c>
      <c r="Q232" s="30">
        <f>IFERROR(IF(P232="","",P232*INDEX(Ingredients!$P$5:$P$304,MATCH(D232,Ingredients!$B$5:$B$304,0))),"")</f>
        <v>0</v>
      </c>
      <c r="R232" s="45">
        <f>IFERROR(IF(P232="","",P232*INDEX(Ingredients!$Q$5:$Q$304,MATCH(D232,Ingredients!$B$5:$B$304,0))),"")</f>
        <v>0</v>
      </c>
      <c r="S232" s="45">
        <f>IFERROR(IF(P232="","",P232*INDEX(Ingredients!$R$5:$R$304,MATCH(D232,Ingredients!$B$5:$B$304,0))),"")</f>
        <v>0</v>
      </c>
      <c r="T232" s="45">
        <f>IFERROR(IF(P232="","",P232*INDEX(Ingredients!$S$5:$S$304,MATCH(D232,Ingredients!$B$5:$B$304,0))),"")</f>
        <v>0</v>
      </c>
      <c r="U232" s="45">
        <f>IFERROR(IF(P232="","",P232*INDEX(Ingredients!$T$5:$T$304,MATCH(D232,Ingredients!$B$5:$B$304,0))),"")</f>
        <v>0</v>
      </c>
      <c r="V232" s="17">
        <f>IF(D232="","",IFERROR(INDEX(Ingredients!$W$5:$W$304,MATCH(D232,Ingredients!$B$5:$B$304,0)),"Add to Ingredients"))</f>
        <v>0</v>
      </c>
      <c r="W232" s="17">
        <f>IF(D232="","",IFERROR(INDEX(Ingredients!$C$5:$C$304,MATCH(D232,Ingredients!$B$5:$B$304,0)),"Add to Ingredients"))</f>
        <v>0</v>
      </c>
      <c r="X232" s="45">
        <f>IFERROR(INDEX(Recipes!$AT$5:$AT$204,MATCH(B232,Recipes!$A$5:$A$204,0)),0)</f>
        <v>0</v>
      </c>
      <c r="Y232" s="45">
        <f>IF(OR(J232="",X232=0),"",J232*X232)</f>
        <v>0</v>
      </c>
      <c r="Z232" s="17">
        <f>IF(D232="","",B232&amp;"#"&amp;COUNTIFS($B$5:B232,B232))</f>
        <v>0</v>
      </c>
      <c r="AA232" s="17">
        <f>IF(D232="","",B232&amp;"|"&amp;D232)</f>
        <v>0</v>
      </c>
      <c r="AB232" s="31">
        <f>IF(D232="","",IF(B232="","Add - which recipe?",IF(COUNTIFS(Ingredients!$B$5:$B$304,D232)=0,"Missing - not in the Ingredients tab",IF(E232="","Add - no quantity",IF(F232="","Add - no unit",IF(K232&lt;&gt;L232,"Check - recipe in "&amp;K232&amp;", priced in "&amp;L232,IF(COUNTIFS($AA$5:$AA$1204,AA232)&gt;1,"Duplicate - same ingredient twice","OK")))))))</f>
        <v>0</v>
      </c>
    </row>
    <row r="233" spans="1:28">
      <c r="A233" s="39">
        <f>IF(D233="","","RL-"&amp;TEXT(ROW()-4,"0000"))</f>
        <v>0</v>
      </c>
      <c r="C233" s="17">
        <f>IF(B233="","",IFERROR(INDEX(Recipes!$B$5:$B$204,MATCH(B233,Recipes!$A$5:$A$204,0)),"Not found"))</f>
        <v>0</v>
      </c>
      <c r="J233" s="45">
        <f>IF(E233="","",IFERROR(E233*INDEX(UnitFactors,MATCH(F233,UnitNames,0)),""))</f>
        <v>0</v>
      </c>
      <c r="K233" s="17">
        <f>IF(F233="","",IFERROR(INDEX(UnitBases,MATCH(F233,UnitNames,0)),"?"))</f>
        <v>0</v>
      </c>
      <c r="L233" s="17">
        <f>IF(D233="","",IFERROR(INDEX(Ingredients!$G$5:$G$304,MATCH(D233,Ingredients!$B$5:$B$304,0)),"Add to Ingredients"))</f>
        <v>0</v>
      </c>
      <c r="M233" s="25">
        <f>IF(D233="","",IFERROR(INDEX(Ingredients!$J$5:$J$304,MATCH(D233,Ingredients!$B$5:$B$304,0)),"Add to Ingredients"))</f>
        <v>0</v>
      </c>
      <c r="N233" s="25">
        <f>IF(OR(J233="",M233="",NOT(ISNUMBER(M233))),"",IF(K233&lt;&gt;L233,"",J233*M233))</f>
        <v>0</v>
      </c>
      <c r="O233" s="25">
        <f>IF(N233="","",IFERROR(N233/INDEX(Recipes!$G$5:$G$204,MATCH(B233,Recipes!$A$5:$A$204,0)),""))</f>
        <v>0</v>
      </c>
      <c r="P233" s="30">
        <f>IF(J233="","",IF(K233="each",J233,J233/100))</f>
        <v>0</v>
      </c>
      <c r="Q233" s="30">
        <f>IFERROR(IF(P233="","",P233*INDEX(Ingredients!$P$5:$P$304,MATCH(D233,Ingredients!$B$5:$B$304,0))),"")</f>
        <v>0</v>
      </c>
      <c r="R233" s="45">
        <f>IFERROR(IF(P233="","",P233*INDEX(Ingredients!$Q$5:$Q$304,MATCH(D233,Ingredients!$B$5:$B$304,0))),"")</f>
        <v>0</v>
      </c>
      <c r="S233" s="45">
        <f>IFERROR(IF(P233="","",P233*INDEX(Ingredients!$R$5:$R$304,MATCH(D233,Ingredients!$B$5:$B$304,0))),"")</f>
        <v>0</v>
      </c>
      <c r="T233" s="45">
        <f>IFERROR(IF(P233="","",P233*INDEX(Ingredients!$S$5:$S$304,MATCH(D233,Ingredients!$B$5:$B$304,0))),"")</f>
        <v>0</v>
      </c>
      <c r="U233" s="45">
        <f>IFERROR(IF(P233="","",P233*INDEX(Ingredients!$T$5:$T$304,MATCH(D233,Ingredients!$B$5:$B$304,0))),"")</f>
        <v>0</v>
      </c>
      <c r="V233" s="17">
        <f>IF(D233="","",IFERROR(INDEX(Ingredients!$W$5:$W$304,MATCH(D233,Ingredients!$B$5:$B$304,0)),"Add to Ingredients"))</f>
        <v>0</v>
      </c>
      <c r="W233" s="17">
        <f>IF(D233="","",IFERROR(INDEX(Ingredients!$C$5:$C$304,MATCH(D233,Ingredients!$B$5:$B$304,0)),"Add to Ingredients"))</f>
        <v>0</v>
      </c>
      <c r="X233" s="45">
        <f>IFERROR(INDEX(Recipes!$AT$5:$AT$204,MATCH(B233,Recipes!$A$5:$A$204,0)),0)</f>
        <v>0</v>
      </c>
      <c r="Y233" s="45">
        <f>IF(OR(J233="",X233=0),"",J233*X233)</f>
        <v>0</v>
      </c>
      <c r="Z233" s="17">
        <f>IF(D233="","",B233&amp;"#"&amp;COUNTIFS($B$5:B233,B233))</f>
        <v>0</v>
      </c>
      <c r="AA233" s="17">
        <f>IF(D233="","",B233&amp;"|"&amp;D233)</f>
        <v>0</v>
      </c>
      <c r="AB233" s="31">
        <f>IF(D233="","",IF(B233="","Add - which recipe?",IF(COUNTIFS(Ingredients!$B$5:$B$304,D233)=0,"Missing - not in the Ingredients tab",IF(E233="","Add - no quantity",IF(F233="","Add - no unit",IF(K233&lt;&gt;L233,"Check - recipe in "&amp;K233&amp;", priced in "&amp;L233,IF(COUNTIFS($AA$5:$AA$1204,AA233)&gt;1,"Duplicate - same ingredient twice","OK")))))))</f>
        <v>0</v>
      </c>
    </row>
    <row r="234" spans="1:28">
      <c r="A234" s="39">
        <f>IF(D234="","","RL-"&amp;TEXT(ROW()-4,"0000"))</f>
        <v>0</v>
      </c>
      <c r="C234" s="17">
        <f>IF(B234="","",IFERROR(INDEX(Recipes!$B$5:$B$204,MATCH(B234,Recipes!$A$5:$A$204,0)),"Not found"))</f>
        <v>0</v>
      </c>
      <c r="J234" s="45">
        <f>IF(E234="","",IFERROR(E234*INDEX(UnitFactors,MATCH(F234,UnitNames,0)),""))</f>
        <v>0</v>
      </c>
      <c r="K234" s="17">
        <f>IF(F234="","",IFERROR(INDEX(UnitBases,MATCH(F234,UnitNames,0)),"?"))</f>
        <v>0</v>
      </c>
      <c r="L234" s="17">
        <f>IF(D234="","",IFERROR(INDEX(Ingredients!$G$5:$G$304,MATCH(D234,Ingredients!$B$5:$B$304,0)),"Add to Ingredients"))</f>
        <v>0</v>
      </c>
      <c r="M234" s="25">
        <f>IF(D234="","",IFERROR(INDEX(Ingredients!$J$5:$J$304,MATCH(D234,Ingredients!$B$5:$B$304,0)),"Add to Ingredients"))</f>
        <v>0</v>
      </c>
      <c r="N234" s="25">
        <f>IF(OR(J234="",M234="",NOT(ISNUMBER(M234))),"",IF(K234&lt;&gt;L234,"",J234*M234))</f>
        <v>0</v>
      </c>
      <c r="O234" s="25">
        <f>IF(N234="","",IFERROR(N234/INDEX(Recipes!$G$5:$G$204,MATCH(B234,Recipes!$A$5:$A$204,0)),""))</f>
        <v>0</v>
      </c>
      <c r="P234" s="30">
        <f>IF(J234="","",IF(K234="each",J234,J234/100))</f>
        <v>0</v>
      </c>
      <c r="Q234" s="30">
        <f>IFERROR(IF(P234="","",P234*INDEX(Ingredients!$P$5:$P$304,MATCH(D234,Ingredients!$B$5:$B$304,0))),"")</f>
        <v>0</v>
      </c>
      <c r="R234" s="45">
        <f>IFERROR(IF(P234="","",P234*INDEX(Ingredients!$Q$5:$Q$304,MATCH(D234,Ingredients!$B$5:$B$304,0))),"")</f>
        <v>0</v>
      </c>
      <c r="S234" s="45">
        <f>IFERROR(IF(P234="","",P234*INDEX(Ingredients!$R$5:$R$304,MATCH(D234,Ingredients!$B$5:$B$304,0))),"")</f>
        <v>0</v>
      </c>
      <c r="T234" s="45">
        <f>IFERROR(IF(P234="","",P234*INDEX(Ingredients!$S$5:$S$304,MATCH(D234,Ingredients!$B$5:$B$304,0))),"")</f>
        <v>0</v>
      </c>
      <c r="U234" s="45">
        <f>IFERROR(IF(P234="","",P234*INDEX(Ingredients!$T$5:$T$304,MATCH(D234,Ingredients!$B$5:$B$304,0))),"")</f>
        <v>0</v>
      </c>
      <c r="V234" s="17">
        <f>IF(D234="","",IFERROR(INDEX(Ingredients!$W$5:$W$304,MATCH(D234,Ingredients!$B$5:$B$304,0)),"Add to Ingredients"))</f>
        <v>0</v>
      </c>
      <c r="W234" s="17">
        <f>IF(D234="","",IFERROR(INDEX(Ingredients!$C$5:$C$304,MATCH(D234,Ingredients!$B$5:$B$304,0)),"Add to Ingredients"))</f>
        <v>0</v>
      </c>
      <c r="X234" s="45">
        <f>IFERROR(INDEX(Recipes!$AT$5:$AT$204,MATCH(B234,Recipes!$A$5:$A$204,0)),0)</f>
        <v>0</v>
      </c>
      <c r="Y234" s="45">
        <f>IF(OR(J234="",X234=0),"",J234*X234)</f>
        <v>0</v>
      </c>
      <c r="Z234" s="17">
        <f>IF(D234="","",B234&amp;"#"&amp;COUNTIFS($B$5:B234,B234))</f>
        <v>0</v>
      </c>
      <c r="AA234" s="17">
        <f>IF(D234="","",B234&amp;"|"&amp;D234)</f>
        <v>0</v>
      </c>
      <c r="AB234" s="31">
        <f>IF(D234="","",IF(B234="","Add - which recipe?",IF(COUNTIFS(Ingredients!$B$5:$B$304,D234)=0,"Missing - not in the Ingredients tab",IF(E234="","Add - no quantity",IF(F234="","Add - no unit",IF(K234&lt;&gt;L234,"Check - recipe in "&amp;K234&amp;", priced in "&amp;L234,IF(COUNTIFS($AA$5:$AA$1204,AA234)&gt;1,"Duplicate - same ingredient twice","OK")))))))</f>
        <v>0</v>
      </c>
    </row>
    <row r="235" spans="1:28">
      <c r="A235" s="39">
        <f>IF(D235="","","RL-"&amp;TEXT(ROW()-4,"0000"))</f>
        <v>0</v>
      </c>
      <c r="C235" s="17">
        <f>IF(B235="","",IFERROR(INDEX(Recipes!$B$5:$B$204,MATCH(B235,Recipes!$A$5:$A$204,0)),"Not found"))</f>
        <v>0</v>
      </c>
      <c r="J235" s="45">
        <f>IF(E235="","",IFERROR(E235*INDEX(UnitFactors,MATCH(F235,UnitNames,0)),""))</f>
        <v>0</v>
      </c>
      <c r="K235" s="17">
        <f>IF(F235="","",IFERROR(INDEX(UnitBases,MATCH(F235,UnitNames,0)),"?"))</f>
        <v>0</v>
      </c>
      <c r="L235" s="17">
        <f>IF(D235="","",IFERROR(INDEX(Ingredients!$G$5:$G$304,MATCH(D235,Ingredients!$B$5:$B$304,0)),"Add to Ingredients"))</f>
        <v>0</v>
      </c>
      <c r="M235" s="25">
        <f>IF(D235="","",IFERROR(INDEX(Ingredients!$J$5:$J$304,MATCH(D235,Ingredients!$B$5:$B$304,0)),"Add to Ingredients"))</f>
        <v>0</v>
      </c>
      <c r="N235" s="25">
        <f>IF(OR(J235="",M235="",NOT(ISNUMBER(M235))),"",IF(K235&lt;&gt;L235,"",J235*M235))</f>
        <v>0</v>
      </c>
      <c r="O235" s="25">
        <f>IF(N235="","",IFERROR(N235/INDEX(Recipes!$G$5:$G$204,MATCH(B235,Recipes!$A$5:$A$204,0)),""))</f>
        <v>0</v>
      </c>
      <c r="P235" s="30">
        <f>IF(J235="","",IF(K235="each",J235,J235/100))</f>
        <v>0</v>
      </c>
      <c r="Q235" s="30">
        <f>IFERROR(IF(P235="","",P235*INDEX(Ingredients!$P$5:$P$304,MATCH(D235,Ingredients!$B$5:$B$304,0))),"")</f>
        <v>0</v>
      </c>
      <c r="R235" s="45">
        <f>IFERROR(IF(P235="","",P235*INDEX(Ingredients!$Q$5:$Q$304,MATCH(D235,Ingredients!$B$5:$B$304,0))),"")</f>
        <v>0</v>
      </c>
      <c r="S235" s="45">
        <f>IFERROR(IF(P235="","",P235*INDEX(Ingredients!$R$5:$R$304,MATCH(D235,Ingredients!$B$5:$B$304,0))),"")</f>
        <v>0</v>
      </c>
      <c r="T235" s="45">
        <f>IFERROR(IF(P235="","",P235*INDEX(Ingredients!$S$5:$S$304,MATCH(D235,Ingredients!$B$5:$B$304,0))),"")</f>
        <v>0</v>
      </c>
      <c r="U235" s="45">
        <f>IFERROR(IF(P235="","",P235*INDEX(Ingredients!$T$5:$T$304,MATCH(D235,Ingredients!$B$5:$B$304,0))),"")</f>
        <v>0</v>
      </c>
      <c r="V235" s="17">
        <f>IF(D235="","",IFERROR(INDEX(Ingredients!$W$5:$W$304,MATCH(D235,Ingredients!$B$5:$B$304,0)),"Add to Ingredients"))</f>
        <v>0</v>
      </c>
      <c r="W235" s="17">
        <f>IF(D235="","",IFERROR(INDEX(Ingredients!$C$5:$C$304,MATCH(D235,Ingredients!$B$5:$B$304,0)),"Add to Ingredients"))</f>
        <v>0</v>
      </c>
      <c r="X235" s="45">
        <f>IFERROR(INDEX(Recipes!$AT$5:$AT$204,MATCH(B235,Recipes!$A$5:$A$204,0)),0)</f>
        <v>0</v>
      </c>
      <c r="Y235" s="45">
        <f>IF(OR(J235="",X235=0),"",J235*X235)</f>
        <v>0</v>
      </c>
      <c r="Z235" s="17">
        <f>IF(D235="","",B235&amp;"#"&amp;COUNTIFS($B$5:B235,B235))</f>
        <v>0</v>
      </c>
      <c r="AA235" s="17">
        <f>IF(D235="","",B235&amp;"|"&amp;D235)</f>
        <v>0</v>
      </c>
      <c r="AB235" s="31">
        <f>IF(D235="","",IF(B235="","Add - which recipe?",IF(COUNTIFS(Ingredients!$B$5:$B$304,D235)=0,"Missing - not in the Ingredients tab",IF(E235="","Add - no quantity",IF(F235="","Add - no unit",IF(K235&lt;&gt;L235,"Check - recipe in "&amp;K235&amp;", priced in "&amp;L235,IF(COUNTIFS($AA$5:$AA$1204,AA235)&gt;1,"Duplicate - same ingredient twice","OK")))))))</f>
        <v>0</v>
      </c>
    </row>
    <row r="236" spans="1:28">
      <c r="A236" s="39">
        <f>IF(D236="","","RL-"&amp;TEXT(ROW()-4,"0000"))</f>
        <v>0</v>
      </c>
      <c r="C236" s="17">
        <f>IF(B236="","",IFERROR(INDEX(Recipes!$B$5:$B$204,MATCH(B236,Recipes!$A$5:$A$204,0)),"Not found"))</f>
        <v>0</v>
      </c>
      <c r="J236" s="45">
        <f>IF(E236="","",IFERROR(E236*INDEX(UnitFactors,MATCH(F236,UnitNames,0)),""))</f>
        <v>0</v>
      </c>
      <c r="K236" s="17">
        <f>IF(F236="","",IFERROR(INDEX(UnitBases,MATCH(F236,UnitNames,0)),"?"))</f>
        <v>0</v>
      </c>
      <c r="L236" s="17">
        <f>IF(D236="","",IFERROR(INDEX(Ingredients!$G$5:$G$304,MATCH(D236,Ingredients!$B$5:$B$304,0)),"Add to Ingredients"))</f>
        <v>0</v>
      </c>
      <c r="M236" s="25">
        <f>IF(D236="","",IFERROR(INDEX(Ingredients!$J$5:$J$304,MATCH(D236,Ingredients!$B$5:$B$304,0)),"Add to Ingredients"))</f>
        <v>0</v>
      </c>
      <c r="N236" s="25">
        <f>IF(OR(J236="",M236="",NOT(ISNUMBER(M236))),"",IF(K236&lt;&gt;L236,"",J236*M236))</f>
        <v>0</v>
      </c>
      <c r="O236" s="25">
        <f>IF(N236="","",IFERROR(N236/INDEX(Recipes!$G$5:$G$204,MATCH(B236,Recipes!$A$5:$A$204,0)),""))</f>
        <v>0</v>
      </c>
      <c r="P236" s="30">
        <f>IF(J236="","",IF(K236="each",J236,J236/100))</f>
        <v>0</v>
      </c>
      <c r="Q236" s="30">
        <f>IFERROR(IF(P236="","",P236*INDEX(Ingredients!$P$5:$P$304,MATCH(D236,Ingredients!$B$5:$B$304,0))),"")</f>
        <v>0</v>
      </c>
      <c r="R236" s="45">
        <f>IFERROR(IF(P236="","",P236*INDEX(Ingredients!$Q$5:$Q$304,MATCH(D236,Ingredients!$B$5:$B$304,0))),"")</f>
        <v>0</v>
      </c>
      <c r="S236" s="45">
        <f>IFERROR(IF(P236="","",P236*INDEX(Ingredients!$R$5:$R$304,MATCH(D236,Ingredients!$B$5:$B$304,0))),"")</f>
        <v>0</v>
      </c>
      <c r="T236" s="45">
        <f>IFERROR(IF(P236="","",P236*INDEX(Ingredients!$S$5:$S$304,MATCH(D236,Ingredients!$B$5:$B$304,0))),"")</f>
        <v>0</v>
      </c>
      <c r="U236" s="45">
        <f>IFERROR(IF(P236="","",P236*INDEX(Ingredients!$T$5:$T$304,MATCH(D236,Ingredients!$B$5:$B$304,0))),"")</f>
        <v>0</v>
      </c>
      <c r="V236" s="17">
        <f>IF(D236="","",IFERROR(INDEX(Ingredients!$W$5:$W$304,MATCH(D236,Ingredients!$B$5:$B$304,0)),"Add to Ingredients"))</f>
        <v>0</v>
      </c>
      <c r="W236" s="17">
        <f>IF(D236="","",IFERROR(INDEX(Ingredients!$C$5:$C$304,MATCH(D236,Ingredients!$B$5:$B$304,0)),"Add to Ingredients"))</f>
        <v>0</v>
      </c>
      <c r="X236" s="45">
        <f>IFERROR(INDEX(Recipes!$AT$5:$AT$204,MATCH(B236,Recipes!$A$5:$A$204,0)),0)</f>
        <v>0</v>
      </c>
      <c r="Y236" s="45">
        <f>IF(OR(J236="",X236=0),"",J236*X236)</f>
        <v>0</v>
      </c>
      <c r="Z236" s="17">
        <f>IF(D236="","",B236&amp;"#"&amp;COUNTIFS($B$5:B236,B236))</f>
        <v>0</v>
      </c>
      <c r="AA236" s="17">
        <f>IF(D236="","",B236&amp;"|"&amp;D236)</f>
        <v>0</v>
      </c>
      <c r="AB236" s="31">
        <f>IF(D236="","",IF(B236="","Add - which recipe?",IF(COUNTIFS(Ingredients!$B$5:$B$304,D236)=0,"Missing - not in the Ingredients tab",IF(E236="","Add - no quantity",IF(F236="","Add - no unit",IF(K236&lt;&gt;L236,"Check - recipe in "&amp;K236&amp;", priced in "&amp;L236,IF(COUNTIFS($AA$5:$AA$1204,AA236)&gt;1,"Duplicate - same ingredient twice","OK")))))))</f>
        <v>0</v>
      </c>
    </row>
    <row r="237" spans="1:28">
      <c r="A237" s="39">
        <f>IF(D237="","","RL-"&amp;TEXT(ROW()-4,"0000"))</f>
        <v>0</v>
      </c>
      <c r="C237" s="17">
        <f>IF(B237="","",IFERROR(INDEX(Recipes!$B$5:$B$204,MATCH(B237,Recipes!$A$5:$A$204,0)),"Not found"))</f>
        <v>0</v>
      </c>
      <c r="J237" s="45">
        <f>IF(E237="","",IFERROR(E237*INDEX(UnitFactors,MATCH(F237,UnitNames,0)),""))</f>
        <v>0</v>
      </c>
      <c r="K237" s="17">
        <f>IF(F237="","",IFERROR(INDEX(UnitBases,MATCH(F237,UnitNames,0)),"?"))</f>
        <v>0</v>
      </c>
      <c r="L237" s="17">
        <f>IF(D237="","",IFERROR(INDEX(Ingredients!$G$5:$G$304,MATCH(D237,Ingredients!$B$5:$B$304,0)),"Add to Ingredients"))</f>
        <v>0</v>
      </c>
      <c r="M237" s="25">
        <f>IF(D237="","",IFERROR(INDEX(Ingredients!$J$5:$J$304,MATCH(D237,Ingredients!$B$5:$B$304,0)),"Add to Ingredients"))</f>
        <v>0</v>
      </c>
      <c r="N237" s="25">
        <f>IF(OR(J237="",M237="",NOT(ISNUMBER(M237))),"",IF(K237&lt;&gt;L237,"",J237*M237))</f>
        <v>0</v>
      </c>
      <c r="O237" s="25">
        <f>IF(N237="","",IFERROR(N237/INDEX(Recipes!$G$5:$G$204,MATCH(B237,Recipes!$A$5:$A$204,0)),""))</f>
        <v>0</v>
      </c>
      <c r="P237" s="30">
        <f>IF(J237="","",IF(K237="each",J237,J237/100))</f>
        <v>0</v>
      </c>
      <c r="Q237" s="30">
        <f>IFERROR(IF(P237="","",P237*INDEX(Ingredients!$P$5:$P$304,MATCH(D237,Ingredients!$B$5:$B$304,0))),"")</f>
        <v>0</v>
      </c>
      <c r="R237" s="45">
        <f>IFERROR(IF(P237="","",P237*INDEX(Ingredients!$Q$5:$Q$304,MATCH(D237,Ingredients!$B$5:$B$304,0))),"")</f>
        <v>0</v>
      </c>
      <c r="S237" s="45">
        <f>IFERROR(IF(P237="","",P237*INDEX(Ingredients!$R$5:$R$304,MATCH(D237,Ingredients!$B$5:$B$304,0))),"")</f>
        <v>0</v>
      </c>
      <c r="T237" s="45">
        <f>IFERROR(IF(P237="","",P237*INDEX(Ingredients!$S$5:$S$304,MATCH(D237,Ingredients!$B$5:$B$304,0))),"")</f>
        <v>0</v>
      </c>
      <c r="U237" s="45">
        <f>IFERROR(IF(P237="","",P237*INDEX(Ingredients!$T$5:$T$304,MATCH(D237,Ingredients!$B$5:$B$304,0))),"")</f>
        <v>0</v>
      </c>
      <c r="V237" s="17">
        <f>IF(D237="","",IFERROR(INDEX(Ingredients!$W$5:$W$304,MATCH(D237,Ingredients!$B$5:$B$304,0)),"Add to Ingredients"))</f>
        <v>0</v>
      </c>
      <c r="W237" s="17">
        <f>IF(D237="","",IFERROR(INDEX(Ingredients!$C$5:$C$304,MATCH(D237,Ingredients!$B$5:$B$304,0)),"Add to Ingredients"))</f>
        <v>0</v>
      </c>
      <c r="X237" s="45">
        <f>IFERROR(INDEX(Recipes!$AT$5:$AT$204,MATCH(B237,Recipes!$A$5:$A$204,0)),0)</f>
        <v>0</v>
      </c>
      <c r="Y237" s="45">
        <f>IF(OR(J237="",X237=0),"",J237*X237)</f>
        <v>0</v>
      </c>
      <c r="Z237" s="17">
        <f>IF(D237="","",B237&amp;"#"&amp;COUNTIFS($B$5:B237,B237))</f>
        <v>0</v>
      </c>
      <c r="AA237" s="17">
        <f>IF(D237="","",B237&amp;"|"&amp;D237)</f>
        <v>0</v>
      </c>
      <c r="AB237" s="31">
        <f>IF(D237="","",IF(B237="","Add - which recipe?",IF(COUNTIFS(Ingredients!$B$5:$B$304,D237)=0,"Missing - not in the Ingredients tab",IF(E237="","Add - no quantity",IF(F237="","Add - no unit",IF(K237&lt;&gt;L237,"Check - recipe in "&amp;K237&amp;", priced in "&amp;L237,IF(COUNTIFS($AA$5:$AA$1204,AA237)&gt;1,"Duplicate - same ingredient twice","OK")))))))</f>
        <v>0</v>
      </c>
    </row>
    <row r="238" spans="1:28">
      <c r="A238" s="39">
        <f>IF(D238="","","RL-"&amp;TEXT(ROW()-4,"0000"))</f>
        <v>0</v>
      </c>
      <c r="C238" s="17">
        <f>IF(B238="","",IFERROR(INDEX(Recipes!$B$5:$B$204,MATCH(B238,Recipes!$A$5:$A$204,0)),"Not found"))</f>
        <v>0</v>
      </c>
      <c r="J238" s="45">
        <f>IF(E238="","",IFERROR(E238*INDEX(UnitFactors,MATCH(F238,UnitNames,0)),""))</f>
        <v>0</v>
      </c>
      <c r="K238" s="17">
        <f>IF(F238="","",IFERROR(INDEX(UnitBases,MATCH(F238,UnitNames,0)),"?"))</f>
        <v>0</v>
      </c>
      <c r="L238" s="17">
        <f>IF(D238="","",IFERROR(INDEX(Ingredients!$G$5:$G$304,MATCH(D238,Ingredients!$B$5:$B$304,0)),"Add to Ingredients"))</f>
        <v>0</v>
      </c>
      <c r="M238" s="25">
        <f>IF(D238="","",IFERROR(INDEX(Ingredients!$J$5:$J$304,MATCH(D238,Ingredients!$B$5:$B$304,0)),"Add to Ingredients"))</f>
        <v>0</v>
      </c>
      <c r="N238" s="25">
        <f>IF(OR(J238="",M238="",NOT(ISNUMBER(M238))),"",IF(K238&lt;&gt;L238,"",J238*M238))</f>
        <v>0</v>
      </c>
      <c r="O238" s="25">
        <f>IF(N238="","",IFERROR(N238/INDEX(Recipes!$G$5:$G$204,MATCH(B238,Recipes!$A$5:$A$204,0)),""))</f>
        <v>0</v>
      </c>
      <c r="P238" s="30">
        <f>IF(J238="","",IF(K238="each",J238,J238/100))</f>
        <v>0</v>
      </c>
      <c r="Q238" s="30">
        <f>IFERROR(IF(P238="","",P238*INDEX(Ingredients!$P$5:$P$304,MATCH(D238,Ingredients!$B$5:$B$304,0))),"")</f>
        <v>0</v>
      </c>
      <c r="R238" s="45">
        <f>IFERROR(IF(P238="","",P238*INDEX(Ingredients!$Q$5:$Q$304,MATCH(D238,Ingredients!$B$5:$B$304,0))),"")</f>
        <v>0</v>
      </c>
      <c r="S238" s="45">
        <f>IFERROR(IF(P238="","",P238*INDEX(Ingredients!$R$5:$R$304,MATCH(D238,Ingredients!$B$5:$B$304,0))),"")</f>
        <v>0</v>
      </c>
      <c r="T238" s="45">
        <f>IFERROR(IF(P238="","",P238*INDEX(Ingredients!$S$5:$S$304,MATCH(D238,Ingredients!$B$5:$B$304,0))),"")</f>
        <v>0</v>
      </c>
      <c r="U238" s="45">
        <f>IFERROR(IF(P238="","",P238*INDEX(Ingredients!$T$5:$T$304,MATCH(D238,Ingredients!$B$5:$B$304,0))),"")</f>
        <v>0</v>
      </c>
      <c r="V238" s="17">
        <f>IF(D238="","",IFERROR(INDEX(Ingredients!$W$5:$W$304,MATCH(D238,Ingredients!$B$5:$B$304,0)),"Add to Ingredients"))</f>
        <v>0</v>
      </c>
      <c r="W238" s="17">
        <f>IF(D238="","",IFERROR(INDEX(Ingredients!$C$5:$C$304,MATCH(D238,Ingredients!$B$5:$B$304,0)),"Add to Ingredients"))</f>
        <v>0</v>
      </c>
      <c r="X238" s="45">
        <f>IFERROR(INDEX(Recipes!$AT$5:$AT$204,MATCH(B238,Recipes!$A$5:$A$204,0)),0)</f>
        <v>0</v>
      </c>
      <c r="Y238" s="45">
        <f>IF(OR(J238="",X238=0),"",J238*X238)</f>
        <v>0</v>
      </c>
      <c r="Z238" s="17">
        <f>IF(D238="","",B238&amp;"#"&amp;COUNTIFS($B$5:B238,B238))</f>
        <v>0</v>
      </c>
      <c r="AA238" s="17">
        <f>IF(D238="","",B238&amp;"|"&amp;D238)</f>
        <v>0</v>
      </c>
      <c r="AB238" s="31">
        <f>IF(D238="","",IF(B238="","Add - which recipe?",IF(COUNTIFS(Ingredients!$B$5:$B$304,D238)=0,"Missing - not in the Ingredients tab",IF(E238="","Add - no quantity",IF(F238="","Add - no unit",IF(K238&lt;&gt;L238,"Check - recipe in "&amp;K238&amp;", priced in "&amp;L238,IF(COUNTIFS($AA$5:$AA$1204,AA238)&gt;1,"Duplicate - same ingredient twice","OK")))))))</f>
        <v>0</v>
      </c>
    </row>
    <row r="239" spans="1:28">
      <c r="A239" s="39">
        <f>IF(D239="","","RL-"&amp;TEXT(ROW()-4,"0000"))</f>
        <v>0</v>
      </c>
      <c r="C239" s="17">
        <f>IF(B239="","",IFERROR(INDEX(Recipes!$B$5:$B$204,MATCH(B239,Recipes!$A$5:$A$204,0)),"Not found"))</f>
        <v>0</v>
      </c>
      <c r="J239" s="45">
        <f>IF(E239="","",IFERROR(E239*INDEX(UnitFactors,MATCH(F239,UnitNames,0)),""))</f>
        <v>0</v>
      </c>
      <c r="K239" s="17">
        <f>IF(F239="","",IFERROR(INDEX(UnitBases,MATCH(F239,UnitNames,0)),"?"))</f>
        <v>0</v>
      </c>
      <c r="L239" s="17">
        <f>IF(D239="","",IFERROR(INDEX(Ingredients!$G$5:$G$304,MATCH(D239,Ingredients!$B$5:$B$304,0)),"Add to Ingredients"))</f>
        <v>0</v>
      </c>
      <c r="M239" s="25">
        <f>IF(D239="","",IFERROR(INDEX(Ingredients!$J$5:$J$304,MATCH(D239,Ingredients!$B$5:$B$304,0)),"Add to Ingredients"))</f>
        <v>0</v>
      </c>
      <c r="N239" s="25">
        <f>IF(OR(J239="",M239="",NOT(ISNUMBER(M239))),"",IF(K239&lt;&gt;L239,"",J239*M239))</f>
        <v>0</v>
      </c>
      <c r="O239" s="25">
        <f>IF(N239="","",IFERROR(N239/INDEX(Recipes!$G$5:$G$204,MATCH(B239,Recipes!$A$5:$A$204,0)),""))</f>
        <v>0</v>
      </c>
      <c r="P239" s="30">
        <f>IF(J239="","",IF(K239="each",J239,J239/100))</f>
        <v>0</v>
      </c>
      <c r="Q239" s="30">
        <f>IFERROR(IF(P239="","",P239*INDEX(Ingredients!$P$5:$P$304,MATCH(D239,Ingredients!$B$5:$B$304,0))),"")</f>
        <v>0</v>
      </c>
      <c r="R239" s="45">
        <f>IFERROR(IF(P239="","",P239*INDEX(Ingredients!$Q$5:$Q$304,MATCH(D239,Ingredients!$B$5:$B$304,0))),"")</f>
        <v>0</v>
      </c>
      <c r="S239" s="45">
        <f>IFERROR(IF(P239="","",P239*INDEX(Ingredients!$R$5:$R$304,MATCH(D239,Ingredients!$B$5:$B$304,0))),"")</f>
        <v>0</v>
      </c>
      <c r="T239" s="45">
        <f>IFERROR(IF(P239="","",P239*INDEX(Ingredients!$S$5:$S$304,MATCH(D239,Ingredients!$B$5:$B$304,0))),"")</f>
        <v>0</v>
      </c>
      <c r="U239" s="45">
        <f>IFERROR(IF(P239="","",P239*INDEX(Ingredients!$T$5:$T$304,MATCH(D239,Ingredients!$B$5:$B$304,0))),"")</f>
        <v>0</v>
      </c>
      <c r="V239" s="17">
        <f>IF(D239="","",IFERROR(INDEX(Ingredients!$W$5:$W$304,MATCH(D239,Ingredients!$B$5:$B$304,0)),"Add to Ingredients"))</f>
        <v>0</v>
      </c>
      <c r="W239" s="17">
        <f>IF(D239="","",IFERROR(INDEX(Ingredients!$C$5:$C$304,MATCH(D239,Ingredients!$B$5:$B$304,0)),"Add to Ingredients"))</f>
        <v>0</v>
      </c>
      <c r="X239" s="45">
        <f>IFERROR(INDEX(Recipes!$AT$5:$AT$204,MATCH(B239,Recipes!$A$5:$A$204,0)),0)</f>
        <v>0</v>
      </c>
      <c r="Y239" s="45">
        <f>IF(OR(J239="",X239=0),"",J239*X239)</f>
        <v>0</v>
      </c>
      <c r="Z239" s="17">
        <f>IF(D239="","",B239&amp;"#"&amp;COUNTIFS($B$5:B239,B239))</f>
        <v>0</v>
      </c>
      <c r="AA239" s="17">
        <f>IF(D239="","",B239&amp;"|"&amp;D239)</f>
        <v>0</v>
      </c>
      <c r="AB239" s="31">
        <f>IF(D239="","",IF(B239="","Add - which recipe?",IF(COUNTIFS(Ingredients!$B$5:$B$304,D239)=0,"Missing - not in the Ingredients tab",IF(E239="","Add - no quantity",IF(F239="","Add - no unit",IF(K239&lt;&gt;L239,"Check - recipe in "&amp;K239&amp;", priced in "&amp;L239,IF(COUNTIFS($AA$5:$AA$1204,AA239)&gt;1,"Duplicate - same ingredient twice","OK")))))))</f>
        <v>0</v>
      </c>
    </row>
    <row r="240" spans="1:28">
      <c r="A240" s="39">
        <f>IF(D240="","","RL-"&amp;TEXT(ROW()-4,"0000"))</f>
        <v>0</v>
      </c>
      <c r="C240" s="17">
        <f>IF(B240="","",IFERROR(INDEX(Recipes!$B$5:$B$204,MATCH(B240,Recipes!$A$5:$A$204,0)),"Not found"))</f>
        <v>0</v>
      </c>
      <c r="J240" s="45">
        <f>IF(E240="","",IFERROR(E240*INDEX(UnitFactors,MATCH(F240,UnitNames,0)),""))</f>
        <v>0</v>
      </c>
      <c r="K240" s="17">
        <f>IF(F240="","",IFERROR(INDEX(UnitBases,MATCH(F240,UnitNames,0)),"?"))</f>
        <v>0</v>
      </c>
      <c r="L240" s="17">
        <f>IF(D240="","",IFERROR(INDEX(Ingredients!$G$5:$G$304,MATCH(D240,Ingredients!$B$5:$B$304,0)),"Add to Ingredients"))</f>
        <v>0</v>
      </c>
      <c r="M240" s="25">
        <f>IF(D240="","",IFERROR(INDEX(Ingredients!$J$5:$J$304,MATCH(D240,Ingredients!$B$5:$B$304,0)),"Add to Ingredients"))</f>
        <v>0</v>
      </c>
      <c r="N240" s="25">
        <f>IF(OR(J240="",M240="",NOT(ISNUMBER(M240))),"",IF(K240&lt;&gt;L240,"",J240*M240))</f>
        <v>0</v>
      </c>
      <c r="O240" s="25">
        <f>IF(N240="","",IFERROR(N240/INDEX(Recipes!$G$5:$G$204,MATCH(B240,Recipes!$A$5:$A$204,0)),""))</f>
        <v>0</v>
      </c>
      <c r="P240" s="30">
        <f>IF(J240="","",IF(K240="each",J240,J240/100))</f>
        <v>0</v>
      </c>
      <c r="Q240" s="30">
        <f>IFERROR(IF(P240="","",P240*INDEX(Ingredients!$P$5:$P$304,MATCH(D240,Ingredients!$B$5:$B$304,0))),"")</f>
        <v>0</v>
      </c>
      <c r="R240" s="45">
        <f>IFERROR(IF(P240="","",P240*INDEX(Ingredients!$Q$5:$Q$304,MATCH(D240,Ingredients!$B$5:$B$304,0))),"")</f>
        <v>0</v>
      </c>
      <c r="S240" s="45">
        <f>IFERROR(IF(P240="","",P240*INDEX(Ingredients!$R$5:$R$304,MATCH(D240,Ingredients!$B$5:$B$304,0))),"")</f>
        <v>0</v>
      </c>
      <c r="T240" s="45">
        <f>IFERROR(IF(P240="","",P240*INDEX(Ingredients!$S$5:$S$304,MATCH(D240,Ingredients!$B$5:$B$304,0))),"")</f>
        <v>0</v>
      </c>
      <c r="U240" s="45">
        <f>IFERROR(IF(P240="","",P240*INDEX(Ingredients!$T$5:$T$304,MATCH(D240,Ingredients!$B$5:$B$304,0))),"")</f>
        <v>0</v>
      </c>
      <c r="V240" s="17">
        <f>IF(D240="","",IFERROR(INDEX(Ingredients!$W$5:$W$304,MATCH(D240,Ingredients!$B$5:$B$304,0)),"Add to Ingredients"))</f>
        <v>0</v>
      </c>
      <c r="W240" s="17">
        <f>IF(D240="","",IFERROR(INDEX(Ingredients!$C$5:$C$304,MATCH(D240,Ingredients!$B$5:$B$304,0)),"Add to Ingredients"))</f>
        <v>0</v>
      </c>
      <c r="X240" s="45">
        <f>IFERROR(INDEX(Recipes!$AT$5:$AT$204,MATCH(B240,Recipes!$A$5:$A$204,0)),0)</f>
        <v>0</v>
      </c>
      <c r="Y240" s="45">
        <f>IF(OR(J240="",X240=0),"",J240*X240)</f>
        <v>0</v>
      </c>
      <c r="Z240" s="17">
        <f>IF(D240="","",B240&amp;"#"&amp;COUNTIFS($B$5:B240,B240))</f>
        <v>0</v>
      </c>
      <c r="AA240" s="17">
        <f>IF(D240="","",B240&amp;"|"&amp;D240)</f>
        <v>0</v>
      </c>
      <c r="AB240" s="31">
        <f>IF(D240="","",IF(B240="","Add - which recipe?",IF(COUNTIFS(Ingredients!$B$5:$B$304,D240)=0,"Missing - not in the Ingredients tab",IF(E240="","Add - no quantity",IF(F240="","Add - no unit",IF(K240&lt;&gt;L240,"Check - recipe in "&amp;K240&amp;", priced in "&amp;L240,IF(COUNTIFS($AA$5:$AA$1204,AA240)&gt;1,"Duplicate - same ingredient twice","OK")))))))</f>
        <v>0</v>
      </c>
    </row>
    <row r="241" spans="1:28">
      <c r="A241" s="39">
        <f>IF(D241="","","RL-"&amp;TEXT(ROW()-4,"0000"))</f>
        <v>0</v>
      </c>
      <c r="C241" s="17">
        <f>IF(B241="","",IFERROR(INDEX(Recipes!$B$5:$B$204,MATCH(B241,Recipes!$A$5:$A$204,0)),"Not found"))</f>
        <v>0</v>
      </c>
      <c r="J241" s="45">
        <f>IF(E241="","",IFERROR(E241*INDEX(UnitFactors,MATCH(F241,UnitNames,0)),""))</f>
        <v>0</v>
      </c>
      <c r="K241" s="17">
        <f>IF(F241="","",IFERROR(INDEX(UnitBases,MATCH(F241,UnitNames,0)),"?"))</f>
        <v>0</v>
      </c>
      <c r="L241" s="17">
        <f>IF(D241="","",IFERROR(INDEX(Ingredients!$G$5:$G$304,MATCH(D241,Ingredients!$B$5:$B$304,0)),"Add to Ingredients"))</f>
        <v>0</v>
      </c>
      <c r="M241" s="25">
        <f>IF(D241="","",IFERROR(INDEX(Ingredients!$J$5:$J$304,MATCH(D241,Ingredients!$B$5:$B$304,0)),"Add to Ingredients"))</f>
        <v>0</v>
      </c>
      <c r="N241" s="25">
        <f>IF(OR(J241="",M241="",NOT(ISNUMBER(M241))),"",IF(K241&lt;&gt;L241,"",J241*M241))</f>
        <v>0</v>
      </c>
      <c r="O241" s="25">
        <f>IF(N241="","",IFERROR(N241/INDEX(Recipes!$G$5:$G$204,MATCH(B241,Recipes!$A$5:$A$204,0)),""))</f>
        <v>0</v>
      </c>
      <c r="P241" s="30">
        <f>IF(J241="","",IF(K241="each",J241,J241/100))</f>
        <v>0</v>
      </c>
      <c r="Q241" s="30">
        <f>IFERROR(IF(P241="","",P241*INDEX(Ingredients!$P$5:$P$304,MATCH(D241,Ingredients!$B$5:$B$304,0))),"")</f>
        <v>0</v>
      </c>
      <c r="R241" s="45">
        <f>IFERROR(IF(P241="","",P241*INDEX(Ingredients!$Q$5:$Q$304,MATCH(D241,Ingredients!$B$5:$B$304,0))),"")</f>
        <v>0</v>
      </c>
      <c r="S241" s="45">
        <f>IFERROR(IF(P241="","",P241*INDEX(Ingredients!$R$5:$R$304,MATCH(D241,Ingredients!$B$5:$B$304,0))),"")</f>
        <v>0</v>
      </c>
      <c r="T241" s="45">
        <f>IFERROR(IF(P241="","",P241*INDEX(Ingredients!$S$5:$S$304,MATCH(D241,Ingredients!$B$5:$B$304,0))),"")</f>
        <v>0</v>
      </c>
      <c r="U241" s="45">
        <f>IFERROR(IF(P241="","",P241*INDEX(Ingredients!$T$5:$T$304,MATCH(D241,Ingredients!$B$5:$B$304,0))),"")</f>
        <v>0</v>
      </c>
      <c r="V241" s="17">
        <f>IF(D241="","",IFERROR(INDEX(Ingredients!$W$5:$W$304,MATCH(D241,Ingredients!$B$5:$B$304,0)),"Add to Ingredients"))</f>
        <v>0</v>
      </c>
      <c r="W241" s="17">
        <f>IF(D241="","",IFERROR(INDEX(Ingredients!$C$5:$C$304,MATCH(D241,Ingredients!$B$5:$B$304,0)),"Add to Ingredients"))</f>
        <v>0</v>
      </c>
      <c r="X241" s="45">
        <f>IFERROR(INDEX(Recipes!$AT$5:$AT$204,MATCH(B241,Recipes!$A$5:$A$204,0)),0)</f>
        <v>0</v>
      </c>
      <c r="Y241" s="45">
        <f>IF(OR(J241="",X241=0),"",J241*X241)</f>
        <v>0</v>
      </c>
      <c r="Z241" s="17">
        <f>IF(D241="","",B241&amp;"#"&amp;COUNTIFS($B$5:B241,B241))</f>
        <v>0</v>
      </c>
      <c r="AA241" s="17">
        <f>IF(D241="","",B241&amp;"|"&amp;D241)</f>
        <v>0</v>
      </c>
      <c r="AB241" s="31">
        <f>IF(D241="","",IF(B241="","Add - which recipe?",IF(COUNTIFS(Ingredients!$B$5:$B$304,D241)=0,"Missing - not in the Ingredients tab",IF(E241="","Add - no quantity",IF(F241="","Add - no unit",IF(K241&lt;&gt;L241,"Check - recipe in "&amp;K241&amp;", priced in "&amp;L241,IF(COUNTIFS($AA$5:$AA$1204,AA241)&gt;1,"Duplicate - same ingredient twice","OK")))))))</f>
        <v>0</v>
      </c>
    </row>
    <row r="242" spans="1:28">
      <c r="A242" s="39">
        <f>IF(D242="","","RL-"&amp;TEXT(ROW()-4,"0000"))</f>
        <v>0</v>
      </c>
      <c r="C242" s="17">
        <f>IF(B242="","",IFERROR(INDEX(Recipes!$B$5:$B$204,MATCH(B242,Recipes!$A$5:$A$204,0)),"Not found"))</f>
        <v>0</v>
      </c>
      <c r="J242" s="45">
        <f>IF(E242="","",IFERROR(E242*INDEX(UnitFactors,MATCH(F242,UnitNames,0)),""))</f>
        <v>0</v>
      </c>
      <c r="K242" s="17">
        <f>IF(F242="","",IFERROR(INDEX(UnitBases,MATCH(F242,UnitNames,0)),"?"))</f>
        <v>0</v>
      </c>
      <c r="L242" s="17">
        <f>IF(D242="","",IFERROR(INDEX(Ingredients!$G$5:$G$304,MATCH(D242,Ingredients!$B$5:$B$304,0)),"Add to Ingredients"))</f>
        <v>0</v>
      </c>
      <c r="M242" s="25">
        <f>IF(D242="","",IFERROR(INDEX(Ingredients!$J$5:$J$304,MATCH(D242,Ingredients!$B$5:$B$304,0)),"Add to Ingredients"))</f>
        <v>0</v>
      </c>
      <c r="N242" s="25">
        <f>IF(OR(J242="",M242="",NOT(ISNUMBER(M242))),"",IF(K242&lt;&gt;L242,"",J242*M242))</f>
        <v>0</v>
      </c>
      <c r="O242" s="25">
        <f>IF(N242="","",IFERROR(N242/INDEX(Recipes!$G$5:$G$204,MATCH(B242,Recipes!$A$5:$A$204,0)),""))</f>
        <v>0</v>
      </c>
      <c r="P242" s="30">
        <f>IF(J242="","",IF(K242="each",J242,J242/100))</f>
        <v>0</v>
      </c>
      <c r="Q242" s="30">
        <f>IFERROR(IF(P242="","",P242*INDEX(Ingredients!$P$5:$P$304,MATCH(D242,Ingredients!$B$5:$B$304,0))),"")</f>
        <v>0</v>
      </c>
      <c r="R242" s="45">
        <f>IFERROR(IF(P242="","",P242*INDEX(Ingredients!$Q$5:$Q$304,MATCH(D242,Ingredients!$B$5:$B$304,0))),"")</f>
        <v>0</v>
      </c>
      <c r="S242" s="45">
        <f>IFERROR(IF(P242="","",P242*INDEX(Ingredients!$R$5:$R$304,MATCH(D242,Ingredients!$B$5:$B$304,0))),"")</f>
        <v>0</v>
      </c>
      <c r="T242" s="45">
        <f>IFERROR(IF(P242="","",P242*INDEX(Ingredients!$S$5:$S$304,MATCH(D242,Ingredients!$B$5:$B$304,0))),"")</f>
        <v>0</v>
      </c>
      <c r="U242" s="45">
        <f>IFERROR(IF(P242="","",P242*INDEX(Ingredients!$T$5:$T$304,MATCH(D242,Ingredients!$B$5:$B$304,0))),"")</f>
        <v>0</v>
      </c>
      <c r="V242" s="17">
        <f>IF(D242="","",IFERROR(INDEX(Ingredients!$W$5:$W$304,MATCH(D242,Ingredients!$B$5:$B$304,0)),"Add to Ingredients"))</f>
        <v>0</v>
      </c>
      <c r="W242" s="17">
        <f>IF(D242="","",IFERROR(INDEX(Ingredients!$C$5:$C$304,MATCH(D242,Ingredients!$B$5:$B$304,0)),"Add to Ingredients"))</f>
        <v>0</v>
      </c>
      <c r="X242" s="45">
        <f>IFERROR(INDEX(Recipes!$AT$5:$AT$204,MATCH(B242,Recipes!$A$5:$A$204,0)),0)</f>
        <v>0</v>
      </c>
      <c r="Y242" s="45">
        <f>IF(OR(J242="",X242=0),"",J242*X242)</f>
        <v>0</v>
      </c>
      <c r="Z242" s="17">
        <f>IF(D242="","",B242&amp;"#"&amp;COUNTIFS($B$5:B242,B242))</f>
        <v>0</v>
      </c>
      <c r="AA242" s="17">
        <f>IF(D242="","",B242&amp;"|"&amp;D242)</f>
        <v>0</v>
      </c>
      <c r="AB242" s="31">
        <f>IF(D242="","",IF(B242="","Add - which recipe?",IF(COUNTIFS(Ingredients!$B$5:$B$304,D242)=0,"Missing - not in the Ingredients tab",IF(E242="","Add - no quantity",IF(F242="","Add - no unit",IF(K242&lt;&gt;L242,"Check - recipe in "&amp;K242&amp;", priced in "&amp;L242,IF(COUNTIFS($AA$5:$AA$1204,AA242)&gt;1,"Duplicate - same ingredient twice","OK")))))))</f>
        <v>0</v>
      </c>
    </row>
    <row r="243" spans="1:28">
      <c r="A243" s="39">
        <f>IF(D243="","","RL-"&amp;TEXT(ROW()-4,"0000"))</f>
        <v>0</v>
      </c>
      <c r="C243" s="17">
        <f>IF(B243="","",IFERROR(INDEX(Recipes!$B$5:$B$204,MATCH(B243,Recipes!$A$5:$A$204,0)),"Not found"))</f>
        <v>0</v>
      </c>
      <c r="J243" s="45">
        <f>IF(E243="","",IFERROR(E243*INDEX(UnitFactors,MATCH(F243,UnitNames,0)),""))</f>
        <v>0</v>
      </c>
      <c r="K243" s="17">
        <f>IF(F243="","",IFERROR(INDEX(UnitBases,MATCH(F243,UnitNames,0)),"?"))</f>
        <v>0</v>
      </c>
      <c r="L243" s="17">
        <f>IF(D243="","",IFERROR(INDEX(Ingredients!$G$5:$G$304,MATCH(D243,Ingredients!$B$5:$B$304,0)),"Add to Ingredients"))</f>
        <v>0</v>
      </c>
      <c r="M243" s="25">
        <f>IF(D243="","",IFERROR(INDEX(Ingredients!$J$5:$J$304,MATCH(D243,Ingredients!$B$5:$B$304,0)),"Add to Ingredients"))</f>
        <v>0</v>
      </c>
      <c r="N243" s="25">
        <f>IF(OR(J243="",M243="",NOT(ISNUMBER(M243))),"",IF(K243&lt;&gt;L243,"",J243*M243))</f>
        <v>0</v>
      </c>
      <c r="O243" s="25">
        <f>IF(N243="","",IFERROR(N243/INDEX(Recipes!$G$5:$G$204,MATCH(B243,Recipes!$A$5:$A$204,0)),""))</f>
        <v>0</v>
      </c>
      <c r="P243" s="30">
        <f>IF(J243="","",IF(K243="each",J243,J243/100))</f>
        <v>0</v>
      </c>
      <c r="Q243" s="30">
        <f>IFERROR(IF(P243="","",P243*INDEX(Ingredients!$P$5:$P$304,MATCH(D243,Ingredients!$B$5:$B$304,0))),"")</f>
        <v>0</v>
      </c>
      <c r="R243" s="45">
        <f>IFERROR(IF(P243="","",P243*INDEX(Ingredients!$Q$5:$Q$304,MATCH(D243,Ingredients!$B$5:$B$304,0))),"")</f>
        <v>0</v>
      </c>
      <c r="S243" s="45">
        <f>IFERROR(IF(P243="","",P243*INDEX(Ingredients!$R$5:$R$304,MATCH(D243,Ingredients!$B$5:$B$304,0))),"")</f>
        <v>0</v>
      </c>
      <c r="T243" s="45">
        <f>IFERROR(IF(P243="","",P243*INDEX(Ingredients!$S$5:$S$304,MATCH(D243,Ingredients!$B$5:$B$304,0))),"")</f>
        <v>0</v>
      </c>
      <c r="U243" s="45">
        <f>IFERROR(IF(P243="","",P243*INDEX(Ingredients!$T$5:$T$304,MATCH(D243,Ingredients!$B$5:$B$304,0))),"")</f>
        <v>0</v>
      </c>
      <c r="V243" s="17">
        <f>IF(D243="","",IFERROR(INDEX(Ingredients!$W$5:$W$304,MATCH(D243,Ingredients!$B$5:$B$304,0)),"Add to Ingredients"))</f>
        <v>0</v>
      </c>
      <c r="W243" s="17">
        <f>IF(D243="","",IFERROR(INDEX(Ingredients!$C$5:$C$304,MATCH(D243,Ingredients!$B$5:$B$304,0)),"Add to Ingredients"))</f>
        <v>0</v>
      </c>
      <c r="X243" s="45">
        <f>IFERROR(INDEX(Recipes!$AT$5:$AT$204,MATCH(B243,Recipes!$A$5:$A$204,0)),0)</f>
        <v>0</v>
      </c>
      <c r="Y243" s="45">
        <f>IF(OR(J243="",X243=0),"",J243*X243)</f>
        <v>0</v>
      </c>
      <c r="Z243" s="17">
        <f>IF(D243="","",B243&amp;"#"&amp;COUNTIFS($B$5:B243,B243))</f>
        <v>0</v>
      </c>
      <c r="AA243" s="17">
        <f>IF(D243="","",B243&amp;"|"&amp;D243)</f>
        <v>0</v>
      </c>
      <c r="AB243" s="31">
        <f>IF(D243="","",IF(B243="","Add - which recipe?",IF(COUNTIFS(Ingredients!$B$5:$B$304,D243)=0,"Missing - not in the Ingredients tab",IF(E243="","Add - no quantity",IF(F243="","Add - no unit",IF(K243&lt;&gt;L243,"Check - recipe in "&amp;K243&amp;", priced in "&amp;L243,IF(COUNTIFS($AA$5:$AA$1204,AA243)&gt;1,"Duplicate - same ingredient twice","OK")))))))</f>
        <v>0</v>
      </c>
    </row>
    <row r="244" spans="1:28">
      <c r="A244" s="39">
        <f>IF(D244="","","RL-"&amp;TEXT(ROW()-4,"0000"))</f>
        <v>0</v>
      </c>
      <c r="C244" s="17">
        <f>IF(B244="","",IFERROR(INDEX(Recipes!$B$5:$B$204,MATCH(B244,Recipes!$A$5:$A$204,0)),"Not found"))</f>
        <v>0</v>
      </c>
      <c r="J244" s="45">
        <f>IF(E244="","",IFERROR(E244*INDEX(UnitFactors,MATCH(F244,UnitNames,0)),""))</f>
        <v>0</v>
      </c>
      <c r="K244" s="17">
        <f>IF(F244="","",IFERROR(INDEX(UnitBases,MATCH(F244,UnitNames,0)),"?"))</f>
        <v>0</v>
      </c>
      <c r="L244" s="17">
        <f>IF(D244="","",IFERROR(INDEX(Ingredients!$G$5:$G$304,MATCH(D244,Ingredients!$B$5:$B$304,0)),"Add to Ingredients"))</f>
        <v>0</v>
      </c>
      <c r="M244" s="25">
        <f>IF(D244="","",IFERROR(INDEX(Ingredients!$J$5:$J$304,MATCH(D244,Ingredients!$B$5:$B$304,0)),"Add to Ingredients"))</f>
        <v>0</v>
      </c>
      <c r="N244" s="25">
        <f>IF(OR(J244="",M244="",NOT(ISNUMBER(M244))),"",IF(K244&lt;&gt;L244,"",J244*M244))</f>
        <v>0</v>
      </c>
      <c r="O244" s="25">
        <f>IF(N244="","",IFERROR(N244/INDEX(Recipes!$G$5:$G$204,MATCH(B244,Recipes!$A$5:$A$204,0)),""))</f>
        <v>0</v>
      </c>
      <c r="P244" s="30">
        <f>IF(J244="","",IF(K244="each",J244,J244/100))</f>
        <v>0</v>
      </c>
      <c r="Q244" s="30">
        <f>IFERROR(IF(P244="","",P244*INDEX(Ingredients!$P$5:$P$304,MATCH(D244,Ingredients!$B$5:$B$304,0))),"")</f>
        <v>0</v>
      </c>
      <c r="R244" s="45">
        <f>IFERROR(IF(P244="","",P244*INDEX(Ingredients!$Q$5:$Q$304,MATCH(D244,Ingredients!$B$5:$B$304,0))),"")</f>
        <v>0</v>
      </c>
      <c r="S244" s="45">
        <f>IFERROR(IF(P244="","",P244*INDEX(Ingredients!$R$5:$R$304,MATCH(D244,Ingredients!$B$5:$B$304,0))),"")</f>
        <v>0</v>
      </c>
      <c r="T244" s="45">
        <f>IFERROR(IF(P244="","",P244*INDEX(Ingredients!$S$5:$S$304,MATCH(D244,Ingredients!$B$5:$B$304,0))),"")</f>
        <v>0</v>
      </c>
      <c r="U244" s="45">
        <f>IFERROR(IF(P244="","",P244*INDEX(Ingredients!$T$5:$T$304,MATCH(D244,Ingredients!$B$5:$B$304,0))),"")</f>
        <v>0</v>
      </c>
      <c r="V244" s="17">
        <f>IF(D244="","",IFERROR(INDEX(Ingredients!$W$5:$W$304,MATCH(D244,Ingredients!$B$5:$B$304,0)),"Add to Ingredients"))</f>
        <v>0</v>
      </c>
      <c r="W244" s="17">
        <f>IF(D244="","",IFERROR(INDEX(Ingredients!$C$5:$C$304,MATCH(D244,Ingredients!$B$5:$B$304,0)),"Add to Ingredients"))</f>
        <v>0</v>
      </c>
      <c r="X244" s="45">
        <f>IFERROR(INDEX(Recipes!$AT$5:$AT$204,MATCH(B244,Recipes!$A$5:$A$204,0)),0)</f>
        <v>0</v>
      </c>
      <c r="Y244" s="45">
        <f>IF(OR(J244="",X244=0),"",J244*X244)</f>
        <v>0</v>
      </c>
      <c r="Z244" s="17">
        <f>IF(D244="","",B244&amp;"#"&amp;COUNTIFS($B$5:B244,B244))</f>
        <v>0</v>
      </c>
      <c r="AA244" s="17">
        <f>IF(D244="","",B244&amp;"|"&amp;D244)</f>
        <v>0</v>
      </c>
      <c r="AB244" s="31">
        <f>IF(D244="","",IF(B244="","Add - which recipe?",IF(COUNTIFS(Ingredients!$B$5:$B$304,D244)=0,"Missing - not in the Ingredients tab",IF(E244="","Add - no quantity",IF(F244="","Add - no unit",IF(K244&lt;&gt;L244,"Check - recipe in "&amp;K244&amp;", priced in "&amp;L244,IF(COUNTIFS($AA$5:$AA$1204,AA244)&gt;1,"Duplicate - same ingredient twice","OK")))))))</f>
        <v>0</v>
      </c>
    </row>
    <row r="245" spans="1:28">
      <c r="A245" s="39">
        <f>IF(D245="","","RL-"&amp;TEXT(ROW()-4,"0000"))</f>
        <v>0</v>
      </c>
      <c r="C245" s="17">
        <f>IF(B245="","",IFERROR(INDEX(Recipes!$B$5:$B$204,MATCH(B245,Recipes!$A$5:$A$204,0)),"Not found"))</f>
        <v>0</v>
      </c>
      <c r="J245" s="45">
        <f>IF(E245="","",IFERROR(E245*INDEX(UnitFactors,MATCH(F245,UnitNames,0)),""))</f>
        <v>0</v>
      </c>
      <c r="K245" s="17">
        <f>IF(F245="","",IFERROR(INDEX(UnitBases,MATCH(F245,UnitNames,0)),"?"))</f>
        <v>0</v>
      </c>
      <c r="L245" s="17">
        <f>IF(D245="","",IFERROR(INDEX(Ingredients!$G$5:$G$304,MATCH(D245,Ingredients!$B$5:$B$304,0)),"Add to Ingredients"))</f>
        <v>0</v>
      </c>
      <c r="M245" s="25">
        <f>IF(D245="","",IFERROR(INDEX(Ingredients!$J$5:$J$304,MATCH(D245,Ingredients!$B$5:$B$304,0)),"Add to Ingredients"))</f>
        <v>0</v>
      </c>
      <c r="N245" s="25">
        <f>IF(OR(J245="",M245="",NOT(ISNUMBER(M245))),"",IF(K245&lt;&gt;L245,"",J245*M245))</f>
        <v>0</v>
      </c>
      <c r="O245" s="25">
        <f>IF(N245="","",IFERROR(N245/INDEX(Recipes!$G$5:$G$204,MATCH(B245,Recipes!$A$5:$A$204,0)),""))</f>
        <v>0</v>
      </c>
      <c r="P245" s="30">
        <f>IF(J245="","",IF(K245="each",J245,J245/100))</f>
        <v>0</v>
      </c>
      <c r="Q245" s="30">
        <f>IFERROR(IF(P245="","",P245*INDEX(Ingredients!$P$5:$P$304,MATCH(D245,Ingredients!$B$5:$B$304,0))),"")</f>
        <v>0</v>
      </c>
      <c r="R245" s="45">
        <f>IFERROR(IF(P245="","",P245*INDEX(Ingredients!$Q$5:$Q$304,MATCH(D245,Ingredients!$B$5:$B$304,0))),"")</f>
        <v>0</v>
      </c>
      <c r="S245" s="45">
        <f>IFERROR(IF(P245="","",P245*INDEX(Ingredients!$R$5:$R$304,MATCH(D245,Ingredients!$B$5:$B$304,0))),"")</f>
        <v>0</v>
      </c>
      <c r="T245" s="45">
        <f>IFERROR(IF(P245="","",P245*INDEX(Ingredients!$S$5:$S$304,MATCH(D245,Ingredients!$B$5:$B$304,0))),"")</f>
        <v>0</v>
      </c>
      <c r="U245" s="45">
        <f>IFERROR(IF(P245="","",P245*INDEX(Ingredients!$T$5:$T$304,MATCH(D245,Ingredients!$B$5:$B$304,0))),"")</f>
        <v>0</v>
      </c>
      <c r="V245" s="17">
        <f>IF(D245="","",IFERROR(INDEX(Ingredients!$W$5:$W$304,MATCH(D245,Ingredients!$B$5:$B$304,0)),"Add to Ingredients"))</f>
        <v>0</v>
      </c>
      <c r="W245" s="17">
        <f>IF(D245="","",IFERROR(INDEX(Ingredients!$C$5:$C$304,MATCH(D245,Ingredients!$B$5:$B$304,0)),"Add to Ingredients"))</f>
        <v>0</v>
      </c>
      <c r="X245" s="45">
        <f>IFERROR(INDEX(Recipes!$AT$5:$AT$204,MATCH(B245,Recipes!$A$5:$A$204,0)),0)</f>
        <v>0</v>
      </c>
      <c r="Y245" s="45">
        <f>IF(OR(J245="",X245=0),"",J245*X245)</f>
        <v>0</v>
      </c>
      <c r="Z245" s="17">
        <f>IF(D245="","",B245&amp;"#"&amp;COUNTIFS($B$5:B245,B245))</f>
        <v>0</v>
      </c>
      <c r="AA245" s="17">
        <f>IF(D245="","",B245&amp;"|"&amp;D245)</f>
        <v>0</v>
      </c>
      <c r="AB245" s="31">
        <f>IF(D245="","",IF(B245="","Add - which recipe?",IF(COUNTIFS(Ingredients!$B$5:$B$304,D245)=0,"Missing - not in the Ingredients tab",IF(E245="","Add - no quantity",IF(F245="","Add - no unit",IF(K245&lt;&gt;L245,"Check - recipe in "&amp;K245&amp;", priced in "&amp;L245,IF(COUNTIFS($AA$5:$AA$1204,AA245)&gt;1,"Duplicate - same ingredient twice","OK")))))))</f>
        <v>0</v>
      </c>
    </row>
    <row r="246" spans="1:28">
      <c r="A246" s="39">
        <f>IF(D246="","","RL-"&amp;TEXT(ROW()-4,"0000"))</f>
        <v>0</v>
      </c>
      <c r="C246" s="17">
        <f>IF(B246="","",IFERROR(INDEX(Recipes!$B$5:$B$204,MATCH(B246,Recipes!$A$5:$A$204,0)),"Not found"))</f>
        <v>0</v>
      </c>
      <c r="J246" s="45">
        <f>IF(E246="","",IFERROR(E246*INDEX(UnitFactors,MATCH(F246,UnitNames,0)),""))</f>
        <v>0</v>
      </c>
      <c r="K246" s="17">
        <f>IF(F246="","",IFERROR(INDEX(UnitBases,MATCH(F246,UnitNames,0)),"?"))</f>
        <v>0</v>
      </c>
      <c r="L246" s="17">
        <f>IF(D246="","",IFERROR(INDEX(Ingredients!$G$5:$G$304,MATCH(D246,Ingredients!$B$5:$B$304,0)),"Add to Ingredients"))</f>
        <v>0</v>
      </c>
      <c r="M246" s="25">
        <f>IF(D246="","",IFERROR(INDEX(Ingredients!$J$5:$J$304,MATCH(D246,Ingredients!$B$5:$B$304,0)),"Add to Ingredients"))</f>
        <v>0</v>
      </c>
      <c r="N246" s="25">
        <f>IF(OR(J246="",M246="",NOT(ISNUMBER(M246))),"",IF(K246&lt;&gt;L246,"",J246*M246))</f>
        <v>0</v>
      </c>
      <c r="O246" s="25">
        <f>IF(N246="","",IFERROR(N246/INDEX(Recipes!$G$5:$G$204,MATCH(B246,Recipes!$A$5:$A$204,0)),""))</f>
        <v>0</v>
      </c>
      <c r="P246" s="30">
        <f>IF(J246="","",IF(K246="each",J246,J246/100))</f>
        <v>0</v>
      </c>
      <c r="Q246" s="30">
        <f>IFERROR(IF(P246="","",P246*INDEX(Ingredients!$P$5:$P$304,MATCH(D246,Ingredients!$B$5:$B$304,0))),"")</f>
        <v>0</v>
      </c>
      <c r="R246" s="45">
        <f>IFERROR(IF(P246="","",P246*INDEX(Ingredients!$Q$5:$Q$304,MATCH(D246,Ingredients!$B$5:$B$304,0))),"")</f>
        <v>0</v>
      </c>
      <c r="S246" s="45">
        <f>IFERROR(IF(P246="","",P246*INDEX(Ingredients!$R$5:$R$304,MATCH(D246,Ingredients!$B$5:$B$304,0))),"")</f>
        <v>0</v>
      </c>
      <c r="T246" s="45">
        <f>IFERROR(IF(P246="","",P246*INDEX(Ingredients!$S$5:$S$304,MATCH(D246,Ingredients!$B$5:$B$304,0))),"")</f>
        <v>0</v>
      </c>
      <c r="U246" s="45">
        <f>IFERROR(IF(P246="","",P246*INDEX(Ingredients!$T$5:$T$304,MATCH(D246,Ingredients!$B$5:$B$304,0))),"")</f>
        <v>0</v>
      </c>
      <c r="V246" s="17">
        <f>IF(D246="","",IFERROR(INDEX(Ingredients!$W$5:$W$304,MATCH(D246,Ingredients!$B$5:$B$304,0)),"Add to Ingredients"))</f>
        <v>0</v>
      </c>
      <c r="W246" s="17">
        <f>IF(D246="","",IFERROR(INDEX(Ingredients!$C$5:$C$304,MATCH(D246,Ingredients!$B$5:$B$304,0)),"Add to Ingredients"))</f>
        <v>0</v>
      </c>
      <c r="X246" s="45">
        <f>IFERROR(INDEX(Recipes!$AT$5:$AT$204,MATCH(B246,Recipes!$A$5:$A$204,0)),0)</f>
        <v>0</v>
      </c>
      <c r="Y246" s="45">
        <f>IF(OR(J246="",X246=0),"",J246*X246)</f>
        <v>0</v>
      </c>
      <c r="Z246" s="17">
        <f>IF(D246="","",B246&amp;"#"&amp;COUNTIFS($B$5:B246,B246))</f>
        <v>0</v>
      </c>
      <c r="AA246" s="17">
        <f>IF(D246="","",B246&amp;"|"&amp;D246)</f>
        <v>0</v>
      </c>
      <c r="AB246" s="31">
        <f>IF(D246="","",IF(B246="","Add - which recipe?",IF(COUNTIFS(Ingredients!$B$5:$B$304,D246)=0,"Missing - not in the Ingredients tab",IF(E246="","Add - no quantity",IF(F246="","Add - no unit",IF(K246&lt;&gt;L246,"Check - recipe in "&amp;K246&amp;", priced in "&amp;L246,IF(COUNTIFS($AA$5:$AA$1204,AA246)&gt;1,"Duplicate - same ingredient twice","OK")))))))</f>
        <v>0</v>
      </c>
    </row>
    <row r="247" spans="1:28">
      <c r="A247" s="39">
        <f>IF(D247="","","RL-"&amp;TEXT(ROW()-4,"0000"))</f>
        <v>0</v>
      </c>
      <c r="C247" s="17">
        <f>IF(B247="","",IFERROR(INDEX(Recipes!$B$5:$B$204,MATCH(B247,Recipes!$A$5:$A$204,0)),"Not found"))</f>
        <v>0</v>
      </c>
      <c r="J247" s="45">
        <f>IF(E247="","",IFERROR(E247*INDEX(UnitFactors,MATCH(F247,UnitNames,0)),""))</f>
        <v>0</v>
      </c>
      <c r="K247" s="17">
        <f>IF(F247="","",IFERROR(INDEX(UnitBases,MATCH(F247,UnitNames,0)),"?"))</f>
        <v>0</v>
      </c>
      <c r="L247" s="17">
        <f>IF(D247="","",IFERROR(INDEX(Ingredients!$G$5:$G$304,MATCH(D247,Ingredients!$B$5:$B$304,0)),"Add to Ingredients"))</f>
        <v>0</v>
      </c>
      <c r="M247" s="25">
        <f>IF(D247="","",IFERROR(INDEX(Ingredients!$J$5:$J$304,MATCH(D247,Ingredients!$B$5:$B$304,0)),"Add to Ingredients"))</f>
        <v>0</v>
      </c>
      <c r="N247" s="25">
        <f>IF(OR(J247="",M247="",NOT(ISNUMBER(M247))),"",IF(K247&lt;&gt;L247,"",J247*M247))</f>
        <v>0</v>
      </c>
      <c r="O247" s="25">
        <f>IF(N247="","",IFERROR(N247/INDEX(Recipes!$G$5:$G$204,MATCH(B247,Recipes!$A$5:$A$204,0)),""))</f>
        <v>0</v>
      </c>
      <c r="P247" s="30">
        <f>IF(J247="","",IF(K247="each",J247,J247/100))</f>
        <v>0</v>
      </c>
      <c r="Q247" s="30">
        <f>IFERROR(IF(P247="","",P247*INDEX(Ingredients!$P$5:$P$304,MATCH(D247,Ingredients!$B$5:$B$304,0))),"")</f>
        <v>0</v>
      </c>
      <c r="R247" s="45">
        <f>IFERROR(IF(P247="","",P247*INDEX(Ingredients!$Q$5:$Q$304,MATCH(D247,Ingredients!$B$5:$B$304,0))),"")</f>
        <v>0</v>
      </c>
      <c r="S247" s="45">
        <f>IFERROR(IF(P247="","",P247*INDEX(Ingredients!$R$5:$R$304,MATCH(D247,Ingredients!$B$5:$B$304,0))),"")</f>
        <v>0</v>
      </c>
      <c r="T247" s="45">
        <f>IFERROR(IF(P247="","",P247*INDEX(Ingredients!$S$5:$S$304,MATCH(D247,Ingredients!$B$5:$B$304,0))),"")</f>
        <v>0</v>
      </c>
      <c r="U247" s="45">
        <f>IFERROR(IF(P247="","",P247*INDEX(Ingredients!$T$5:$T$304,MATCH(D247,Ingredients!$B$5:$B$304,0))),"")</f>
        <v>0</v>
      </c>
      <c r="V247" s="17">
        <f>IF(D247="","",IFERROR(INDEX(Ingredients!$W$5:$W$304,MATCH(D247,Ingredients!$B$5:$B$304,0)),"Add to Ingredients"))</f>
        <v>0</v>
      </c>
      <c r="W247" s="17">
        <f>IF(D247="","",IFERROR(INDEX(Ingredients!$C$5:$C$304,MATCH(D247,Ingredients!$B$5:$B$304,0)),"Add to Ingredients"))</f>
        <v>0</v>
      </c>
      <c r="X247" s="45">
        <f>IFERROR(INDEX(Recipes!$AT$5:$AT$204,MATCH(B247,Recipes!$A$5:$A$204,0)),0)</f>
        <v>0</v>
      </c>
      <c r="Y247" s="45">
        <f>IF(OR(J247="",X247=0),"",J247*X247)</f>
        <v>0</v>
      </c>
      <c r="Z247" s="17">
        <f>IF(D247="","",B247&amp;"#"&amp;COUNTIFS($B$5:B247,B247))</f>
        <v>0</v>
      </c>
      <c r="AA247" s="17">
        <f>IF(D247="","",B247&amp;"|"&amp;D247)</f>
        <v>0</v>
      </c>
      <c r="AB247" s="31">
        <f>IF(D247="","",IF(B247="","Add - which recipe?",IF(COUNTIFS(Ingredients!$B$5:$B$304,D247)=0,"Missing - not in the Ingredients tab",IF(E247="","Add - no quantity",IF(F247="","Add - no unit",IF(K247&lt;&gt;L247,"Check - recipe in "&amp;K247&amp;", priced in "&amp;L247,IF(COUNTIFS($AA$5:$AA$1204,AA247)&gt;1,"Duplicate - same ingredient twice","OK")))))))</f>
        <v>0</v>
      </c>
    </row>
    <row r="248" spans="1:28">
      <c r="A248" s="39">
        <f>IF(D248="","","RL-"&amp;TEXT(ROW()-4,"0000"))</f>
        <v>0</v>
      </c>
      <c r="C248" s="17">
        <f>IF(B248="","",IFERROR(INDEX(Recipes!$B$5:$B$204,MATCH(B248,Recipes!$A$5:$A$204,0)),"Not found"))</f>
        <v>0</v>
      </c>
      <c r="J248" s="45">
        <f>IF(E248="","",IFERROR(E248*INDEX(UnitFactors,MATCH(F248,UnitNames,0)),""))</f>
        <v>0</v>
      </c>
      <c r="K248" s="17">
        <f>IF(F248="","",IFERROR(INDEX(UnitBases,MATCH(F248,UnitNames,0)),"?"))</f>
        <v>0</v>
      </c>
      <c r="L248" s="17">
        <f>IF(D248="","",IFERROR(INDEX(Ingredients!$G$5:$G$304,MATCH(D248,Ingredients!$B$5:$B$304,0)),"Add to Ingredients"))</f>
        <v>0</v>
      </c>
      <c r="M248" s="25">
        <f>IF(D248="","",IFERROR(INDEX(Ingredients!$J$5:$J$304,MATCH(D248,Ingredients!$B$5:$B$304,0)),"Add to Ingredients"))</f>
        <v>0</v>
      </c>
      <c r="N248" s="25">
        <f>IF(OR(J248="",M248="",NOT(ISNUMBER(M248))),"",IF(K248&lt;&gt;L248,"",J248*M248))</f>
        <v>0</v>
      </c>
      <c r="O248" s="25">
        <f>IF(N248="","",IFERROR(N248/INDEX(Recipes!$G$5:$G$204,MATCH(B248,Recipes!$A$5:$A$204,0)),""))</f>
        <v>0</v>
      </c>
      <c r="P248" s="30">
        <f>IF(J248="","",IF(K248="each",J248,J248/100))</f>
        <v>0</v>
      </c>
      <c r="Q248" s="30">
        <f>IFERROR(IF(P248="","",P248*INDEX(Ingredients!$P$5:$P$304,MATCH(D248,Ingredients!$B$5:$B$304,0))),"")</f>
        <v>0</v>
      </c>
      <c r="R248" s="45">
        <f>IFERROR(IF(P248="","",P248*INDEX(Ingredients!$Q$5:$Q$304,MATCH(D248,Ingredients!$B$5:$B$304,0))),"")</f>
        <v>0</v>
      </c>
      <c r="S248" s="45">
        <f>IFERROR(IF(P248="","",P248*INDEX(Ingredients!$R$5:$R$304,MATCH(D248,Ingredients!$B$5:$B$304,0))),"")</f>
        <v>0</v>
      </c>
      <c r="T248" s="45">
        <f>IFERROR(IF(P248="","",P248*INDEX(Ingredients!$S$5:$S$304,MATCH(D248,Ingredients!$B$5:$B$304,0))),"")</f>
        <v>0</v>
      </c>
      <c r="U248" s="45">
        <f>IFERROR(IF(P248="","",P248*INDEX(Ingredients!$T$5:$T$304,MATCH(D248,Ingredients!$B$5:$B$304,0))),"")</f>
        <v>0</v>
      </c>
      <c r="V248" s="17">
        <f>IF(D248="","",IFERROR(INDEX(Ingredients!$W$5:$W$304,MATCH(D248,Ingredients!$B$5:$B$304,0)),"Add to Ingredients"))</f>
        <v>0</v>
      </c>
      <c r="W248" s="17">
        <f>IF(D248="","",IFERROR(INDEX(Ingredients!$C$5:$C$304,MATCH(D248,Ingredients!$B$5:$B$304,0)),"Add to Ingredients"))</f>
        <v>0</v>
      </c>
      <c r="X248" s="45">
        <f>IFERROR(INDEX(Recipes!$AT$5:$AT$204,MATCH(B248,Recipes!$A$5:$A$204,0)),0)</f>
        <v>0</v>
      </c>
      <c r="Y248" s="45">
        <f>IF(OR(J248="",X248=0),"",J248*X248)</f>
        <v>0</v>
      </c>
      <c r="Z248" s="17">
        <f>IF(D248="","",B248&amp;"#"&amp;COUNTIFS($B$5:B248,B248))</f>
        <v>0</v>
      </c>
      <c r="AA248" s="17">
        <f>IF(D248="","",B248&amp;"|"&amp;D248)</f>
        <v>0</v>
      </c>
      <c r="AB248" s="31">
        <f>IF(D248="","",IF(B248="","Add - which recipe?",IF(COUNTIFS(Ingredients!$B$5:$B$304,D248)=0,"Missing - not in the Ingredients tab",IF(E248="","Add - no quantity",IF(F248="","Add - no unit",IF(K248&lt;&gt;L248,"Check - recipe in "&amp;K248&amp;", priced in "&amp;L248,IF(COUNTIFS($AA$5:$AA$1204,AA248)&gt;1,"Duplicate - same ingredient twice","OK")))))))</f>
        <v>0</v>
      </c>
    </row>
    <row r="249" spans="1:28">
      <c r="A249" s="39">
        <f>IF(D249="","","RL-"&amp;TEXT(ROW()-4,"0000"))</f>
        <v>0</v>
      </c>
      <c r="C249" s="17">
        <f>IF(B249="","",IFERROR(INDEX(Recipes!$B$5:$B$204,MATCH(B249,Recipes!$A$5:$A$204,0)),"Not found"))</f>
        <v>0</v>
      </c>
      <c r="J249" s="45">
        <f>IF(E249="","",IFERROR(E249*INDEX(UnitFactors,MATCH(F249,UnitNames,0)),""))</f>
        <v>0</v>
      </c>
      <c r="K249" s="17">
        <f>IF(F249="","",IFERROR(INDEX(UnitBases,MATCH(F249,UnitNames,0)),"?"))</f>
        <v>0</v>
      </c>
      <c r="L249" s="17">
        <f>IF(D249="","",IFERROR(INDEX(Ingredients!$G$5:$G$304,MATCH(D249,Ingredients!$B$5:$B$304,0)),"Add to Ingredients"))</f>
        <v>0</v>
      </c>
      <c r="M249" s="25">
        <f>IF(D249="","",IFERROR(INDEX(Ingredients!$J$5:$J$304,MATCH(D249,Ingredients!$B$5:$B$304,0)),"Add to Ingredients"))</f>
        <v>0</v>
      </c>
      <c r="N249" s="25">
        <f>IF(OR(J249="",M249="",NOT(ISNUMBER(M249))),"",IF(K249&lt;&gt;L249,"",J249*M249))</f>
        <v>0</v>
      </c>
      <c r="O249" s="25">
        <f>IF(N249="","",IFERROR(N249/INDEX(Recipes!$G$5:$G$204,MATCH(B249,Recipes!$A$5:$A$204,0)),""))</f>
        <v>0</v>
      </c>
      <c r="P249" s="30">
        <f>IF(J249="","",IF(K249="each",J249,J249/100))</f>
        <v>0</v>
      </c>
      <c r="Q249" s="30">
        <f>IFERROR(IF(P249="","",P249*INDEX(Ingredients!$P$5:$P$304,MATCH(D249,Ingredients!$B$5:$B$304,0))),"")</f>
        <v>0</v>
      </c>
      <c r="R249" s="45">
        <f>IFERROR(IF(P249="","",P249*INDEX(Ingredients!$Q$5:$Q$304,MATCH(D249,Ingredients!$B$5:$B$304,0))),"")</f>
        <v>0</v>
      </c>
      <c r="S249" s="45">
        <f>IFERROR(IF(P249="","",P249*INDEX(Ingredients!$R$5:$R$304,MATCH(D249,Ingredients!$B$5:$B$304,0))),"")</f>
        <v>0</v>
      </c>
      <c r="T249" s="45">
        <f>IFERROR(IF(P249="","",P249*INDEX(Ingredients!$S$5:$S$304,MATCH(D249,Ingredients!$B$5:$B$304,0))),"")</f>
        <v>0</v>
      </c>
      <c r="U249" s="45">
        <f>IFERROR(IF(P249="","",P249*INDEX(Ingredients!$T$5:$T$304,MATCH(D249,Ingredients!$B$5:$B$304,0))),"")</f>
        <v>0</v>
      </c>
      <c r="V249" s="17">
        <f>IF(D249="","",IFERROR(INDEX(Ingredients!$W$5:$W$304,MATCH(D249,Ingredients!$B$5:$B$304,0)),"Add to Ingredients"))</f>
        <v>0</v>
      </c>
      <c r="W249" s="17">
        <f>IF(D249="","",IFERROR(INDEX(Ingredients!$C$5:$C$304,MATCH(D249,Ingredients!$B$5:$B$304,0)),"Add to Ingredients"))</f>
        <v>0</v>
      </c>
      <c r="X249" s="45">
        <f>IFERROR(INDEX(Recipes!$AT$5:$AT$204,MATCH(B249,Recipes!$A$5:$A$204,0)),0)</f>
        <v>0</v>
      </c>
      <c r="Y249" s="45">
        <f>IF(OR(J249="",X249=0),"",J249*X249)</f>
        <v>0</v>
      </c>
      <c r="Z249" s="17">
        <f>IF(D249="","",B249&amp;"#"&amp;COUNTIFS($B$5:B249,B249))</f>
        <v>0</v>
      </c>
      <c r="AA249" s="17">
        <f>IF(D249="","",B249&amp;"|"&amp;D249)</f>
        <v>0</v>
      </c>
      <c r="AB249" s="31">
        <f>IF(D249="","",IF(B249="","Add - which recipe?",IF(COUNTIFS(Ingredients!$B$5:$B$304,D249)=0,"Missing - not in the Ingredients tab",IF(E249="","Add - no quantity",IF(F249="","Add - no unit",IF(K249&lt;&gt;L249,"Check - recipe in "&amp;K249&amp;", priced in "&amp;L249,IF(COUNTIFS($AA$5:$AA$1204,AA249)&gt;1,"Duplicate - same ingredient twice","OK")))))))</f>
        <v>0</v>
      </c>
    </row>
    <row r="250" spans="1:28">
      <c r="A250" s="39">
        <f>IF(D250="","","RL-"&amp;TEXT(ROW()-4,"0000"))</f>
        <v>0</v>
      </c>
      <c r="C250" s="17">
        <f>IF(B250="","",IFERROR(INDEX(Recipes!$B$5:$B$204,MATCH(B250,Recipes!$A$5:$A$204,0)),"Not found"))</f>
        <v>0</v>
      </c>
      <c r="J250" s="45">
        <f>IF(E250="","",IFERROR(E250*INDEX(UnitFactors,MATCH(F250,UnitNames,0)),""))</f>
        <v>0</v>
      </c>
      <c r="K250" s="17">
        <f>IF(F250="","",IFERROR(INDEX(UnitBases,MATCH(F250,UnitNames,0)),"?"))</f>
        <v>0</v>
      </c>
      <c r="L250" s="17">
        <f>IF(D250="","",IFERROR(INDEX(Ingredients!$G$5:$G$304,MATCH(D250,Ingredients!$B$5:$B$304,0)),"Add to Ingredients"))</f>
        <v>0</v>
      </c>
      <c r="M250" s="25">
        <f>IF(D250="","",IFERROR(INDEX(Ingredients!$J$5:$J$304,MATCH(D250,Ingredients!$B$5:$B$304,0)),"Add to Ingredients"))</f>
        <v>0</v>
      </c>
      <c r="N250" s="25">
        <f>IF(OR(J250="",M250="",NOT(ISNUMBER(M250))),"",IF(K250&lt;&gt;L250,"",J250*M250))</f>
        <v>0</v>
      </c>
      <c r="O250" s="25">
        <f>IF(N250="","",IFERROR(N250/INDEX(Recipes!$G$5:$G$204,MATCH(B250,Recipes!$A$5:$A$204,0)),""))</f>
        <v>0</v>
      </c>
      <c r="P250" s="30">
        <f>IF(J250="","",IF(K250="each",J250,J250/100))</f>
        <v>0</v>
      </c>
      <c r="Q250" s="30">
        <f>IFERROR(IF(P250="","",P250*INDEX(Ingredients!$P$5:$P$304,MATCH(D250,Ingredients!$B$5:$B$304,0))),"")</f>
        <v>0</v>
      </c>
      <c r="R250" s="45">
        <f>IFERROR(IF(P250="","",P250*INDEX(Ingredients!$Q$5:$Q$304,MATCH(D250,Ingredients!$B$5:$B$304,0))),"")</f>
        <v>0</v>
      </c>
      <c r="S250" s="45">
        <f>IFERROR(IF(P250="","",P250*INDEX(Ingredients!$R$5:$R$304,MATCH(D250,Ingredients!$B$5:$B$304,0))),"")</f>
        <v>0</v>
      </c>
      <c r="T250" s="45">
        <f>IFERROR(IF(P250="","",P250*INDEX(Ingredients!$S$5:$S$304,MATCH(D250,Ingredients!$B$5:$B$304,0))),"")</f>
        <v>0</v>
      </c>
      <c r="U250" s="45">
        <f>IFERROR(IF(P250="","",P250*INDEX(Ingredients!$T$5:$T$304,MATCH(D250,Ingredients!$B$5:$B$304,0))),"")</f>
        <v>0</v>
      </c>
      <c r="V250" s="17">
        <f>IF(D250="","",IFERROR(INDEX(Ingredients!$W$5:$W$304,MATCH(D250,Ingredients!$B$5:$B$304,0)),"Add to Ingredients"))</f>
        <v>0</v>
      </c>
      <c r="W250" s="17">
        <f>IF(D250="","",IFERROR(INDEX(Ingredients!$C$5:$C$304,MATCH(D250,Ingredients!$B$5:$B$304,0)),"Add to Ingredients"))</f>
        <v>0</v>
      </c>
      <c r="X250" s="45">
        <f>IFERROR(INDEX(Recipes!$AT$5:$AT$204,MATCH(B250,Recipes!$A$5:$A$204,0)),0)</f>
        <v>0</v>
      </c>
      <c r="Y250" s="45">
        <f>IF(OR(J250="",X250=0),"",J250*X250)</f>
        <v>0</v>
      </c>
      <c r="Z250" s="17">
        <f>IF(D250="","",B250&amp;"#"&amp;COUNTIFS($B$5:B250,B250))</f>
        <v>0</v>
      </c>
      <c r="AA250" s="17">
        <f>IF(D250="","",B250&amp;"|"&amp;D250)</f>
        <v>0</v>
      </c>
      <c r="AB250" s="31">
        <f>IF(D250="","",IF(B250="","Add - which recipe?",IF(COUNTIFS(Ingredients!$B$5:$B$304,D250)=0,"Missing - not in the Ingredients tab",IF(E250="","Add - no quantity",IF(F250="","Add - no unit",IF(K250&lt;&gt;L250,"Check - recipe in "&amp;K250&amp;", priced in "&amp;L250,IF(COUNTIFS($AA$5:$AA$1204,AA250)&gt;1,"Duplicate - same ingredient twice","OK")))))))</f>
        <v>0</v>
      </c>
    </row>
    <row r="251" spans="1:28">
      <c r="A251" s="39">
        <f>IF(D251="","","RL-"&amp;TEXT(ROW()-4,"0000"))</f>
        <v>0</v>
      </c>
      <c r="C251" s="17">
        <f>IF(B251="","",IFERROR(INDEX(Recipes!$B$5:$B$204,MATCH(B251,Recipes!$A$5:$A$204,0)),"Not found"))</f>
        <v>0</v>
      </c>
      <c r="J251" s="45">
        <f>IF(E251="","",IFERROR(E251*INDEX(UnitFactors,MATCH(F251,UnitNames,0)),""))</f>
        <v>0</v>
      </c>
      <c r="K251" s="17">
        <f>IF(F251="","",IFERROR(INDEX(UnitBases,MATCH(F251,UnitNames,0)),"?"))</f>
        <v>0</v>
      </c>
      <c r="L251" s="17">
        <f>IF(D251="","",IFERROR(INDEX(Ingredients!$G$5:$G$304,MATCH(D251,Ingredients!$B$5:$B$304,0)),"Add to Ingredients"))</f>
        <v>0</v>
      </c>
      <c r="M251" s="25">
        <f>IF(D251="","",IFERROR(INDEX(Ingredients!$J$5:$J$304,MATCH(D251,Ingredients!$B$5:$B$304,0)),"Add to Ingredients"))</f>
        <v>0</v>
      </c>
      <c r="N251" s="25">
        <f>IF(OR(J251="",M251="",NOT(ISNUMBER(M251))),"",IF(K251&lt;&gt;L251,"",J251*M251))</f>
        <v>0</v>
      </c>
      <c r="O251" s="25">
        <f>IF(N251="","",IFERROR(N251/INDEX(Recipes!$G$5:$G$204,MATCH(B251,Recipes!$A$5:$A$204,0)),""))</f>
        <v>0</v>
      </c>
      <c r="P251" s="30">
        <f>IF(J251="","",IF(K251="each",J251,J251/100))</f>
        <v>0</v>
      </c>
      <c r="Q251" s="30">
        <f>IFERROR(IF(P251="","",P251*INDEX(Ingredients!$P$5:$P$304,MATCH(D251,Ingredients!$B$5:$B$304,0))),"")</f>
        <v>0</v>
      </c>
      <c r="R251" s="45">
        <f>IFERROR(IF(P251="","",P251*INDEX(Ingredients!$Q$5:$Q$304,MATCH(D251,Ingredients!$B$5:$B$304,0))),"")</f>
        <v>0</v>
      </c>
      <c r="S251" s="45">
        <f>IFERROR(IF(P251="","",P251*INDEX(Ingredients!$R$5:$R$304,MATCH(D251,Ingredients!$B$5:$B$304,0))),"")</f>
        <v>0</v>
      </c>
      <c r="T251" s="45">
        <f>IFERROR(IF(P251="","",P251*INDEX(Ingredients!$S$5:$S$304,MATCH(D251,Ingredients!$B$5:$B$304,0))),"")</f>
        <v>0</v>
      </c>
      <c r="U251" s="45">
        <f>IFERROR(IF(P251="","",P251*INDEX(Ingredients!$T$5:$T$304,MATCH(D251,Ingredients!$B$5:$B$304,0))),"")</f>
        <v>0</v>
      </c>
      <c r="V251" s="17">
        <f>IF(D251="","",IFERROR(INDEX(Ingredients!$W$5:$W$304,MATCH(D251,Ingredients!$B$5:$B$304,0)),"Add to Ingredients"))</f>
        <v>0</v>
      </c>
      <c r="W251" s="17">
        <f>IF(D251="","",IFERROR(INDEX(Ingredients!$C$5:$C$304,MATCH(D251,Ingredients!$B$5:$B$304,0)),"Add to Ingredients"))</f>
        <v>0</v>
      </c>
      <c r="X251" s="45">
        <f>IFERROR(INDEX(Recipes!$AT$5:$AT$204,MATCH(B251,Recipes!$A$5:$A$204,0)),0)</f>
        <v>0</v>
      </c>
      <c r="Y251" s="45">
        <f>IF(OR(J251="",X251=0),"",J251*X251)</f>
        <v>0</v>
      </c>
      <c r="Z251" s="17">
        <f>IF(D251="","",B251&amp;"#"&amp;COUNTIFS($B$5:B251,B251))</f>
        <v>0</v>
      </c>
      <c r="AA251" s="17">
        <f>IF(D251="","",B251&amp;"|"&amp;D251)</f>
        <v>0</v>
      </c>
      <c r="AB251" s="31">
        <f>IF(D251="","",IF(B251="","Add - which recipe?",IF(COUNTIFS(Ingredients!$B$5:$B$304,D251)=0,"Missing - not in the Ingredients tab",IF(E251="","Add - no quantity",IF(F251="","Add - no unit",IF(K251&lt;&gt;L251,"Check - recipe in "&amp;K251&amp;", priced in "&amp;L251,IF(COUNTIFS($AA$5:$AA$1204,AA251)&gt;1,"Duplicate - same ingredient twice","OK")))))))</f>
        <v>0</v>
      </c>
    </row>
    <row r="252" spans="1:28">
      <c r="A252" s="39">
        <f>IF(D252="","","RL-"&amp;TEXT(ROW()-4,"0000"))</f>
        <v>0</v>
      </c>
      <c r="C252" s="17">
        <f>IF(B252="","",IFERROR(INDEX(Recipes!$B$5:$B$204,MATCH(B252,Recipes!$A$5:$A$204,0)),"Not found"))</f>
        <v>0</v>
      </c>
      <c r="J252" s="45">
        <f>IF(E252="","",IFERROR(E252*INDEX(UnitFactors,MATCH(F252,UnitNames,0)),""))</f>
        <v>0</v>
      </c>
      <c r="K252" s="17">
        <f>IF(F252="","",IFERROR(INDEX(UnitBases,MATCH(F252,UnitNames,0)),"?"))</f>
        <v>0</v>
      </c>
      <c r="L252" s="17">
        <f>IF(D252="","",IFERROR(INDEX(Ingredients!$G$5:$G$304,MATCH(D252,Ingredients!$B$5:$B$304,0)),"Add to Ingredients"))</f>
        <v>0</v>
      </c>
      <c r="M252" s="25">
        <f>IF(D252="","",IFERROR(INDEX(Ingredients!$J$5:$J$304,MATCH(D252,Ingredients!$B$5:$B$304,0)),"Add to Ingredients"))</f>
        <v>0</v>
      </c>
      <c r="N252" s="25">
        <f>IF(OR(J252="",M252="",NOT(ISNUMBER(M252))),"",IF(K252&lt;&gt;L252,"",J252*M252))</f>
        <v>0</v>
      </c>
      <c r="O252" s="25">
        <f>IF(N252="","",IFERROR(N252/INDEX(Recipes!$G$5:$G$204,MATCH(B252,Recipes!$A$5:$A$204,0)),""))</f>
        <v>0</v>
      </c>
      <c r="P252" s="30">
        <f>IF(J252="","",IF(K252="each",J252,J252/100))</f>
        <v>0</v>
      </c>
      <c r="Q252" s="30">
        <f>IFERROR(IF(P252="","",P252*INDEX(Ingredients!$P$5:$P$304,MATCH(D252,Ingredients!$B$5:$B$304,0))),"")</f>
        <v>0</v>
      </c>
      <c r="R252" s="45">
        <f>IFERROR(IF(P252="","",P252*INDEX(Ingredients!$Q$5:$Q$304,MATCH(D252,Ingredients!$B$5:$B$304,0))),"")</f>
        <v>0</v>
      </c>
      <c r="S252" s="45">
        <f>IFERROR(IF(P252="","",P252*INDEX(Ingredients!$R$5:$R$304,MATCH(D252,Ingredients!$B$5:$B$304,0))),"")</f>
        <v>0</v>
      </c>
      <c r="T252" s="45">
        <f>IFERROR(IF(P252="","",P252*INDEX(Ingredients!$S$5:$S$304,MATCH(D252,Ingredients!$B$5:$B$304,0))),"")</f>
        <v>0</v>
      </c>
      <c r="U252" s="45">
        <f>IFERROR(IF(P252="","",P252*INDEX(Ingredients!$T$5:$T$304,MATCH(D252,Ingredients!$B$5:$B$304,0))),"")</f>
        <v>0</v>
      </c>
      <c r="V252" s="17">
        <f>IF(D252="","",IFERROR(INDEX(Ingredients!$W$5:$W$304,MATCH(D252,Ingredients!$B$5:$B$304,0)),"Add to Ingredients"))</f>
        <v>0</v>
      </c>
      <c r="W252" s="17">
        <f>IF(D252="","",IFERROR(INDEX(Ingredients!$C$5:$C$304,MATCH(D252,Ingredients!$B$5:$B$304,0)),"Add to Ingredients"))</f>
        <v>0</v>
      </c>
      <c r="X252" s="45">
        <f>IFERROR(INDEX(Recipes!$AT$5:$AT$204,MATCH(B252,Recipes!$A$5:$A$204,0)),0)</f>
        <v>0</v>
      </c>
      <c r="Y252" s="45">
        <f>IF(OR(J252="",X252=0),"",J252*X252)</f>
        <v>0</v>
      </c>
      <c r="Z252" s="17">
        <f>IF(D252="","",B252&amp;"#"&amp;COUNTIFS($B$5:B252,B252))</f>
        <v>0</v>
      </c>
      <c r="AA252" s="17">
        <f>IF(D252="","",B252&amp;"|"&amp;D252)</f>
        <v>0</v>
      </c>
      <c r="AB252" s="31">
        <f>IF(D252="","",IF(B252="","Add - which recipe?",IF(COUNTIFS(Ingredients!$B$5:$B$304,D252)=0,"Missing - not in the Ingredients tab",IF(E252="","Add - no quantity",IF(F252="","Add - no unit",IF(K252&lt;&gt;L252,"Check - recipe in "&amp;K252&amp;", priced in "&amp;L252,IF(COUNTIFS($AA$5:$AA$1204,AA252)&gt;1,"Duplicate - same ingredient twice","OK")))))))</f>
        <v>0</v>
      </c>
    </row>
    <row r="253" spans="1:28">
      <c r="A253" s="39">
        <f>IF(D253="","","RL-"&amp;TEXT(ROW()-4,"0000"))</f>
        <v>0</v>
      </c>
      <c r="C253" s="17">
        <f>IF(B253="","",IFERROR(INDEX(Recipes!$B$5:$B$204,MATCH(B253,Recipes!$A$5:$A$204,0)),"Not found"))</f>
        <v>0</v>
      </c>
      <c r="J253" s="45">
        <f>IF(E253="","",IFERROR(E253*INDEX(UnitFactors,MATCH(F253,UnitNames,0)),""))</f>
        <v>0</v>
      </c>
      <c r="K253" s="17">
        <f>IF(F253="","",IFERROR(INDEX(UnitBases,MATCH(F253,UnitNames,0)),"?"))</f>
        <v>0</v>
      </c>
      <c r="L253" s="17">
        <f>IF(D253="","",IFERROR(INDEX(Ingredients!$G$5:$G$304,MATCH(D253,Ingredients!$B$5:$B$304,0)),"Add to Ingredients"))</f>
        <v>0</v>
      </c>
      <c r="M253" s="25">
        <f>IF(D253="","",IFERROR(INDEX(Ingredients!$J$5:$J$304,MATCH(D253,Ingredients!$B$5:$B$304,0)),"Add to Ingredients"))</f>
        <v>0</v>
      </c>
      <c r="N253" s="25">
        <f>IF(OR(J253="",M253="",NOT(ISNUMBER(M253))),"",IF(K253&lt;&gt;L253,"",J253*M253))</f>
        <v>0</v>
      </c>
      <c r="O253" s="25">
        <f>IF(N253="","",IFERROR(N253/INDEX(Recipes!$G$5:$G$204,MATCH(B253,Recipes!$A$5:$A$204,0)),""))</f>
        <v>0</v>
      </c>
      <c r="P253" s="30">
        <f>IF(J253="","",IF(K253="each",J253,J253/100))</f>
        <v>0</v>
      </c>
      <c r="Q253" s="30">
        <f>IFERROR(IF(P253="","",P253*INDEX(Ingredients!$P$5:$P$304,MATCH(D253,Ingredients!$B$5:$B$304,0))),"")</f>
        <v>0</v>
      </c>
      <c r="R253" s="45">
        <f>IFERROR(IF(P253="","",P253*INDEX(Ingredients!$Q$5:$Q$304,MATCH(D253,Ingredients!$B$5:$B$304,0))),"")</f>
        <v>0</v>
      </c>
      <c r="S253" s="45">
        <f>IFERROR(IF(P253="","",P253*INDEX(Ingredients!$R$5:$R$304,MATCH(D253,Ingredients!$B$5:$B$304,0))),"")</f>
        <v>0</v>
      </c>
      <c r="T253" s="45">
        <f>IFERROR(IF(P253="","",P253*INDEX(Ingredients!$S$5:$S$304,MATCH(D253,Ingredients!$B$5:$B$304,0))),"")</f>
        <v>0</v>
      </c>
      <c r="U253" s="45">
        <f>IFERROR(IF(P253="","",P253*INDEX(Ingredients!$T$5:$T$304,MATCH(D253,Ingredients!$B$5:$B$304,0))),"")</f>
        <v>0</v>
      </c>
      <c r="V253" s="17">
        <f>IF(D253="","",IFERROR(INDEX(Ingredients!$W$5:$W$304,MATCH(D253,Ingredients!$B$5:$B$304,0)),"Add to Ingredients"))</f>
        <v>0</v>
      </c>
      <c r="W253" s="17">
        <f>IF(D253="","",IFERROR(INDEX(Ingredients!$C$5:$C$304,MATCH(D253,Ingredients!$B$5:$B$304,0)),"Add to Ingredients"))</f>
        <v>0</v>
      </c>
      <c r="X253" s="45">
        <f>IFERROR(INDEX(Recipes!$AT$5:$AT$204,MATCH(B253,Recipes!$A$5:$A$204,0)),0)</f>
        <v>0</v>
      </c>
      <c r="Y253" s="45">
        <f>IF(OR(J253="",X253=0),"",J253*X253)</f>
        <v>0</v>
      </c>
      <c r="Z253" s="17">
        <f>IF(D253="","",B253&amp;"#"&amp;COUNTIFS($B$5:B253,B253))</f>
        <v>0</v>
      </c>
      <c r="AA253" s="17">
        <f>IF(D253="","",B253&amp;"|"&amp;D253)</f>
        <v>0</v>
      </c>
      <c r="AB253" s="31">
        <f>IF(D253="","",IF(B253="","Add - which recipe?",IF(COUNTIFS(Ingredients!$B$5:$B$304,D253)=0,"Missing - not in the Ingredients tab",IF(E253="","Add - no quantity",IF(F253="","Add - no unit",IF(K253&lt;&gt;L253,"Check - recipe in "&amp;K253&amp;", priced in "&amp;L253,IF(COUNTIFS($AA$5:$AA$1204,AA253)&gt;1,"Duplicate - same ingredient twice","OK")))))))</f>
        <v>0</v>
      </c>
    </row>
    <row r="254" spans="1:28">
      <c r="A254" s="39">
        <f>IF(D254="","","RL-"&amp;TEXT(ROW()-4,"0000"))</f>
        <v>0</v>
      </c>
      <c r="C254" s="17">
        <f>IF(B254="","",IFERROR(INDEX(Recipes!$B$5:$B$204,MATCH(B254,Recipes!$A$5:$A$204,0)),"Not found"))</f>
        <v>0</v>
      </c>
      <c r="J254" s="45">
        <f>IF(E254="","",IFERROR(E254*INDEX(UnitFactors,MATCH(F254,UnitNames,0)),""))</f>
        <v>0</v>
      </c>
      <c r="K254" s="17">
        <f>IF(F254="","",IFERROR(INDEX(UnitBases,MATCH(F254,UnitNames,0)),"?"))</f>
        <v>0</v>
      </c>
      <c r="L254" s="17">
        <f>IF(D254="","",IFERROR(INDEX(Ingredients!$G$5:$G$304,MATCH(D254,Ingredients!$B$5:$B$304,0)),"Add to Ingredients"))</f>
        <v>0</v>
      </c>
      <c r="M254" s="25">
        <f>IF(D254="","",IFERROR(INDEX(Ingredients!$J$5:$J$304,MATCH(D254,Ingredients!$B$5:$B$304,0)),"Add to Ingredients"))</f>
        <v>0</v>
      </c>
      <c r="N254" s="25">
        <f>IF(OR(J254="",M254="",NOT(ISNUMBER(M254))),"",IF(K254&lt;&gt;L254,"",J254*M254))</f>
        <v>0</v>
      </c>
      <c r="O254" s="25">
        <f>IF(N254="","",IFERROR(N254/INDEX(Recipes!$G$5:$G$204,MATCH(B254,Recipes!$A$5:$A$204,0)),""))</f>
        <v>0</v>
      </c>
      <c r="P254" s="30">
        <f>IF(J254="","",IF(K254="each",J254,J254/100))</f>
        <v>0</v>
      </c>
      <c r="Q254" s="30">
        <f>IFERROR(IF(P254="","",P254*INDEX(Ingredients!$P$5:$P$304,MATCH(D254,Ingredients!$B$5:$B$304,0))),"")</f>
        <v>0</v>
      </c>
      <c r="R254" s="45">
        <f>IFERROR(IF(P254="","",P254*INDEX(Ingredients!$Q$5:$Q$304,MATCH(D254,Ingredients!$B$5:$B$304,0))),"")</f>
        <v>0</v>
      </c>
      <c r="S254" s="45">
        <f>IFERROR(IF(P254="","",P254*INDEX(Ingredients!$R$5:$R$304,MATCH(D254,Ingredients!$B$5:$B$304,0))),"")</f>
        <v>0</v>
      </c>
      <c r="T254" s="45">
        <f>IFERROR(IF(P254="","",P254*INDEX(Ingredients!$S$5:$S$304,MATCH(D254,Ingredients!$B$5:$B$304,0))),"")</f>
        <v>0</v>
      </c>
      <c r="U254" s="45">
        <f>IFERROR(IF(P254="","",P254*INDEX(Ingredients!$T$5:$T$304,MATCH(D254,Ingredients!$B$5:$B$304,0))),"")</f>
        <v>0</v>
      </c>
      <c r="V254" s="17">
        <f>IF(D254="","",IFERROR(INDEX(Ingredients!$W$5:$W$304,MATCH(D254,Ingredients!$B$5:$B$304,0)),"Add to Ingredients"))</f>
        <v>0</v>
      </c>
      <c r="W254" s="17">
        <f>IF(D254="","",IFERROR(INDEX(Ingredients!$C$5:$C$304,MATCH(D254,Ingredients!$B$5:$B$304,0)),"Add to Ingredients"))</f>
        <v>0</v>
      </c>
      <c r="X254" s="45">
        <f>IFERROR(INDEX(Recipes!$AT$5:$AT$204,MATCH(B254,Recipes!$A$5:$A$204,0)),0)</f>
        <v>0</v>
      </c>
      <c r="Y254" s="45">
        <f>IF(OR(J254="",X254=0),"",J254*X254)</f>
        <v>0</v>
      </c>
      <c r="Z254" s="17">
        <f>IF(D254="","",B254&amp;"#"&amp;COUNTIFS($B$5:B254,B254))</f>
        <v>0</v>
      </c>
      <c r="AA254" s="17">
        <f>IF(D254="","",B254&amp;"|"&amp;D254)</f>
        <v>0</v>
      </c>
      <c r="AB254" s="31">
        <f>IF(D254="","",IF(B254="","Add - which recipe?",IF(COUNTIFS(Ingredients!$B$5:$B$304,D254)=0,"Missing - not in the Ingredients tab",IF(E254="","Add - no quantity",IF(F254="","Add - no unit",IF(K254&lt;&gt;L254,"Check - recipe in "&amp;K254&amp;", priced in "&amp;L254,IF(COUNTIFS($AA$5:$AA$1204,AA254)&gt;1,"Duplicate - same ingredient twice","OK")))))))</f>
        <v>0</v>
      </c>
    </row>
    <row r="255" spans="1:28">
      <c r="A255" s="39">
        <f>IF(D255="","","RL-"&amp;TEXT(ROW()-4,"0000"))</f>
        <v>0</v>
      </c>
      <c r="C255" s="17">
        <f>IF(B255="","",IFERROR(INDEX(Recipes!$B$5:$B$204,MATCH(B255,Recipes!$A$5:$A$204,0)),"Not found"))</f>
        <v>0</v>
      </c>
      <c r="J255" s="45">
        <f>IF(E255="","",IFERROR(E255*INDEX(UnitFactors,MATCH(F255,UnitNames,0)),""))</f>
        <v>0</v>
      </c>
      <c r="K255" s="17">
        <f>IF(F255="","",IFERROR(INDEX(UnitBases,MATCH(F255,UnitNames,0)),"?"))</f>
        <v>0</v>
      </c>
      <c r="L255" s="17">
        <f>IF(D255="","",IFERROR(INDEX(Ingredients!$G$5:$G$304,MATCH(D255,Ingredients!$B$5:$B$304,0)),"Add to Ingredients"))</f>
        <v>0</v>
      </c>
      <c r="M255" s="25">
        <f>IF(D255="","",IFERROR(INDEX(Ingredients!$J$5:$J$304,MATCH(D255,Ingredients!$B$5:$B$304,0)),"Add to Ingredients"))</f>
        <v>0</v>
      </c>
      <c r="N255" s="25">
        <f>IF(OR(J255="",M255="",NOT(ISNUMBER(M255))),"",IF(K255&lt;&gt;L255,"",J255*M255))</f>
        <v>0</v>
      </c>
      <c r="O255" s="25">
        <f>IF(N255="","",IFERROR(N255/INDEX(Recipes!$G$5:$G$204,MATCH(B255,Recipes!$A$5:$A$204,0)),""))</f>
        <v>0</v>
      </c>
      <c r="P255" s="30">
        <f>IF(J255="","",IF(K255="each",J255,J255/100))</f>
        <v>0</v>
      </c>
      <c r="Q255" s="30">
        <f>IFERROR(IF(P255="","",P255*INDEX(Ingredients!$P$5:$P$304,MATCH(D255,Ingredients!$B$5:$B$304,0))),"")</f>
        <v>0</v>
      </c>
      <c r="R255" s="45">
        <f>IFERROR(IF(P255="","",P255*INDEX(Ingredients!$Q$5:$Q$304,MATCH(D255,Ingredients!$B$5:$B$304,0))),"")</f>
        <v>0</v>
      </c>
      <c r="S255" s="45">
        <f>IFERROR(IF(P255="","",P255*INDEX(Ingredients!$R$5:$R$304,MATCH(D255,Ingredients!$B$5:$B$304,0))),"")</f>
        <v>0</v>
      </c>
      <c r="T255" s="45">
        <f>IFERROR(IF(P255="","",P255*INDEX(Ingredients!$S$5:$S$304,MATCH(D255,Ingredients!$B$5:$B$304,0))),"")</f>
        <v>0</v>
      </c>
      <c r="U255" s="45">
        <f>IFERROR(IF(P255="","",P255*INDEX(Ingredients!$T$5:$T$304,MATCH(D255,Ingredients!$B$5:$B$304,0))),"")</f>
        <v>0</v>
      </c>
      <c r="V255" s="17">
        <f>IF(D255="","",IFERROR(INDEX(Ingredients!$W$5:$W$304,MATCH(D255,Ingredients!$B$5:$B$304,0)),"Add to Ingredients"))</f>
        <v>0</v>
      </c>
      <c r="W255" s="17">
        <f>IF(D255="","",IFERROR(INDEX(Ingredients!$C$5:$C$304,MATCH(D255,Ingredients!$B$5:$B$304,0)),"Add to Ingredients"))</f>
        <v>0</v>
      </c>
      <c r="X255" s="45">
        <f>IFERROR(INDEX(Recipes!$AT$5:$AT$204,MATCH(B255,Recipes!$A$5:$A$204,0)),0)</f>
        <v>0</v>
      </c>
      <c r="Y255" s="45">
        <f>IF(OR(J255="",X255=0),"",J255*X255)</f>
        <v>0</v>
      </c>
      <c r="Z255" s="17">
        <f>IF(D255="","",B255&amp;"#"&amp;COUNTIFS($B$5:B255,B255))</f>
        <v>0</v>
      </c>
      <c r="AA255" s="17">
        <f>IF(D255="","",B255&amp;"|"&amp;D255)</f>
        <v>0</v>
      </c>
      <c r="AB255" s="31">
        <f>IF(D255="","",IF(B255="","Add - which recipe?",IF(COUNTIFS(Ingredients!$B$5:$B$304,D255)=0,"Missing - not in the Ingredients tab",IF(E255="","Add - no quantity",IF(F255="","Add - no unit",IF(K255&lt;&gt;L255,"Check - recipe in "&amp;K255&amp;", priced in "&amp;L255,IF(COUNTIFS($AA$5:$AA$1204,AA255)&gt;1,"Duplicate - same ingredient twice","OK")))))))</f>
        <v>0</v>
      </c>
    </row>
    <row r="256" spans="1:28">
      <c r="A256" s="39">
        <f>IF(D256="","","RL-"&amp;TEXT(ROW()-4,"0000"))</f>
        <v>0</v>
      </c>
      <c r="C256" s="17">
        <f>IF(B256="","",IFERROR(INDEX(Recipes!$B$5:$B$204,MATCH(B256,Recipes!$A$5:$A$204,0)),"Not found"))</f>
        <v>0</v>
      </c>
      <c r="J256" s="45">
        <f>IF(E256="","",IFERROR(E256*INDEX(UnitFactors,MATCH(F256,UnitNames,0)),""))</f>
        <v>0</v>
      </c>
      <c r="K256" s="17">
        <f>IF(F256="","",IFERROR(INDEX(UnitBases,MATCH(F256,UnitNames,0)),"?"))</f>
        <v>0</v>
      </c>
      <c r="L256" s="17">
        <f>IF(D256="","",IFERROR(INDEX(Ingredients!$G$5:$G$304,MATCH(D256,Ingredients!$B$5:$B$304,0)),"Add to Ingredients"))</f>
        <v>0</v>
      </c>
      <c r="M256" s="25">
        <f>IF(D256="","",IFERROR(INDEX(Ingredients!$J$5:$J$304,MATCH(D256,Ingredients!$B$5:$B$304,0)),"Add to Ingredients"))</f>
        <v>0</v>
      </c>
      <c r="N256" s="25">
        <f>IF(OR(J256="",M256="",NOT(ISNUMBER(M256))),"",IF(K256&lt;&gt;L256,"",J256*M256))</f>
        <v>0</v>
      </c>
      <c r="O256" s="25">
        <f>IF(N256="","",IFERROR(N256/INDEX(Recipes!$G$5:$G$204,MATCH(B256,Recipes!$A$5:$A$204,0)),""))</f>
        <v>0</v>
      </c>
      <c r="P256" s="30">
        <f>IF(J256="","",IF(K256="each",J256,J256/100))</f>
        <v>0</v>
      </c>
      <c r="Q256" s="30">
        <f>IFERROR(IF(P256="","",P256*INDEX(Ingredients!$P$5:$P$304,MATCH(D256,Ingredients!$B$5:$B$304,0))),"")</f>
        <v>0</v>
      </c>
      <c r="R256" s="45">
        <f>IFERROR(IF(P256="","",P256*INDEX(Ingredients!$Q$5:$Q$304,MATCH(D256,Ingredients!$B$5:$B$304,0))),"")</f>
        <v>0</v>
      </c>
      <c r="S256" s="45">
        <f>IFERROR(IF(P256="","",P256*INDEX(Ingredients!$R$5:$R$304,MATCH(D256,Ingredients!$B$5:$B$304,0))),"")</f>
        <v>0</v>
      </c>
      <c r="T256" s="45">
        <f>IFERROR(IF(P256="","",P256*INDEX(Ingredients!$S$5:$S$304,MATCH(D256,Ingredients!$B$5:$B$304,0))),"")</f>
        <v>0</v>
      </c>
      <c r="U256" s="45">
        <f>IFERROR(IF(P256="","",P256*INDEX(Ingredients!$T$5:$T$304,MATCH(D256,Ingredients!$B$5:$B$304,0))),"")</f>
        <v>0</v>
      </c>
      <c r="V256" s="17">
        <f>IF(D256="","",IFERROR(INDEX(Ingredients!$W$5:$W$304,MATCH(D256,Ingredients!$B$5:$B$304,0)),"Add to Ingredients"))</f>
        <v>0</v>
      </c>
      <c r="W256" s="17">
        <f>IF(D256="","",IFERROR(INDEX(Ingredients!$C$5:$C$304,MATCH(D256,Ingredients!$B$5:$B$304,0)),"Add to Ingredients"))</f>
        <v>0</v>
      </c>
      <c r="X256" s="45">
        <f>IFERROR(INDEX(Recipes!$AT$5:$AT$204,MATCH(B256,Recipes!$A$5:$A$204,0)),0)</f>
        <v>0</v>
      </c>
      <c r="Y256" s="45">
        <f>IF(OR(J256="",X256=0),"",J256*X256)</f>
        <v>0</v>
      </c>
      <c r="Z256" s="17">
        <f>IF(D256="","",B256&amp;"#"&amp;COUNTIFS($B$5:B256,B256))</f>
        <v>0</v>
      </c>
      <c r="AA256" s="17">
        <f>IF(D256="","",B256&amp;"|"&amp;D256)</f>
        <v>0</v>
      </c>
      <c r="AB256" s="31">
        <f>IF(D256="","",IF(B256="","Add - which recipe?",IF(COUNTIFS(Ingredients!$B$5:$B$304,D256)=0,"Missing - not in the Ingredients tab",IF(E256="","Add - no quantity",IF(F256="","Add - no unit",IF(K256&lt;&gt;L256,"Check - recipe in "&amp;K256&amp;", priced in "&amp;L256,IF(COUNTIFS($AA$5:$AA$1204,AA256)&gt;1,"Duplicate - same ingredient twice","OK")))))))</f>
        <v>0</v>
      </c>
    </row>
    <row r="257" spans="1:28">
      <c r="A257" s="39">
        <f>IF(D257="","","RL-"&amp;TEXT(ROW()-4,"0000"))</f>
        <v>0</v>
      </c>
      <c r="C257" s="17">
        <f>IF(B257="","",IFERROR(INDEX(Recipes!$B$5:$B$204,MATCH(B257,Recipes!$A$5:$A$204,0)),"Not found"))</f>
        <v>0</v>
      </c>
      <c r="J257" s="45">
        <f>IF(E257="","",IFERROR(E257*INDEX(UnitFactors,MATCH(F257,UnitNames,0)),""))</f>
        <v>0</v>
      </c>
      <c r="K257" s="17">
        <f>IF(F257="","",IFERROR(INDEX(UnitBases,MATCH(F257,UnitNames,0)),"?"))</f>
        <v>0</v>
      </c>
      <c r="L257" s="17">
        <f>IF(D257="","",IFERROR(INDEX(Ingredients!$G$5:$G$304,MATCH(D257,Ingredients!$B$5:$B$304,0)),"Add to Ingredients"))</f>
        <v>0</v>
      </c>
      <c r="M257" s="25">
        <f>IF(D257="","",IFERROR(INDEX(Ingredients!$J$5:$J$304,MATCH(D257,Ingredients!$B$5:$B$304,0)),"Add to Ingredients"))</f>
        <v>0</v>
      </c>
      <c r="N257" s="25">
        <f>IF(OR(J257="",M257="",NOT(ISNUMBER(M257))),"",IF(K257&lt;&gt;L257,"",J257*M257))</f>
        <v>0</v>
      </c>
      <c r="O257" s="25">
        <f>IF(N257="","",IFERROR(N257/INDEX(Recipes!$G$5:$G$204,MATCH(B257,Recipes!$A$5:$A$204,0)),""))</f>
        <v>0</v>
      </c>
      <c r="P257" s="30">
        <f>IF(J257="","",IF(K257="each",J257,J257/100))</f>
        <v>0</v>
      </c>
      <c r="Q257" s="30">
        <f>IFERROR(IF(P257="","",P257*INDEX(Ingredients!$P$5:$P$304,MATCH(D257,Ingredients!$B$5:$B$304,0))),"")</f>
        <v>0</v>
      </c>
      <c r="R257" s="45">
        <f>IFERROR(IF(P257="","",P257*INDEX(Ingredients!$Q$5:$Q$304,MATCH(D257,Ingredients!$B$5:$B$304,0))),"")</f>
        <v>0</v>
      </c>
      <c r="S257" s="45">
        <f>IFERROR(IF(P257="","",P257*INDEX(Ingredients!$R$5:$R$304,MATCH(D257,Ingredients!$B$5:$B$304,0))),"")</f>
        <v>0</v>
      </c>
      <c r="T257" s="45">
        <f>IFERROR(IF(P257="","",P257*INDEX(Ingredients!$S$5:$S$304,MATCH(D257,Ingredients!$B$5:$B$304,0))),"")</f>
        <v>0</v>
      </c>
      <c r="U257" s="45">
        <f>IFERROR(IF(P257="","",P257*INDEX(Ingredients!$T$5:$T$304,MATCH(D257,Ingredients!$B$5:$B$304,0))),"")</f>
        <v>0</v>
      </c>
      <c r="V257" s="17">
        <f>IF(D257="","",IFERROR(INDEX(Ingredients!$W$5:$W$304,MATCH(D257,Ingredients!$B$5:$B$304,0)),"Add to Ingredients"))</f>
        <v>0</v>
      </c>
      <c r="W257" s="17">
        <f>IF(D257="","",IFERROR(INDEX(Ingredients!$C$5:$C$304,MATCH(D257,Ingredients!$B$5:$B$304,0)),"Add to Ingredients"))</f>
        <v>0</v>
      </c>
      <c r="X257" s="45">
        <f>IFERROR(INDEX(Recipes!$AT$5:$AT$204,MATCH(B257,Recipes!$A$5:$A$204,0)),0)</f>
        <v>0</v>
      </c>
      <c r="Y257" s="45">
        <f>IF(OR(J257="",X257=0),"",J257*X257)</f>
        <v>0</v>
      </c>
      <c r="Z257" s="17">
        <f>IF(D257="","",B257&amp;"#"&amp;COUNTIFS($B$5:B257,B257))</f>
        <v>0</v>
      </c>
      <c r="AA257" s="17">
        <f>IF(D257="","",B257&amp;"|"&amp;D257)</f>
        <v>0</v>
      </c>
      <c r="AB257" s="31">
        <f>IF(D257="","",IF(B257="","Add - which recipe?",IF(COUNTIFS(Ingredients!$B$5:$B$304,D257)=0,"Missing - not in the Ingredients tab",IF(E257="","Add - no quantity",IF(F257="","Add - no unit",IF(K257&lt;&gt;L257,"Check - recipe in "&amp;K257&amp;", priced in "&amp;L257,IF(COUNTIFS($AA$5:$AA$1204,AA257)&gt;1,"Duplicate - same ingredient twice","OK")))))))</f>
        <v>0</v>
      </c>
    </row>
    <row r="258" spans="1:28">
      <c r="A258" s="39">
        <f>IF(D258="","","RL-"&amp;TEXT(ROW()-4,"0000"))</f>
        <v>0</v>
      </c>
      <c r="C258" s="17">
        <f>IF(B258="","",IFERROR(INDEX(Recipes!$B$5:$B$204,MATCH(B258,Recipes!$A$5:$A$204,0)),"Not found"))</f>
        <v>0</v>
      </c>
      <c r="J258" s="45">
        <f>IF(E258="","",IFERROR(E258*INDEX(UnitFactors,MATCH(F258,UnitNames,0)),""))</f>
        <v>0</v>
      </c>
      <c r="K258" s="17">
        <f>IF(F258="","",IFERROR(INDEX(UnitBases,MATCH(F258,UnitNames,0)),"?"))</f>
        <v>0</v>
      </c>
      <c r="L258" s="17">
        <f>IF(D258="","",IFERROR(INDEX(Ingredients!$G$5:$G$304,MATCH(D258,Ingredients!$B$5:$B$304,0)),"Add to Ingredients"))</f>
        <v>0</v>
      </c>
      <c r="M258" s="25">
        <f>IF(D258="","",IFERROR(INDEX(Ingredients!$J$5:$J$304,MATCH(D258,Ingredients!$B$5:$B$304,0)),"Add to Ingredients"))</f>
        <v>0</v>
      </c>
      <c r="N258" s="25">
        <f>IF(OR(J258="",M258="",NOT(ISNUMBER(M258))),"",IF(K258&lt;&gt;L258,"",J258*M258))</f>
        <v>0</v>
      </c>
      <c r="O258" s="25">
        <f>IF(N258="","",IFERROR(N258/INDEX(Recipes!$G$5:$G$204,MATCH(B258,Recipes!$A$5:$A$204,0)),""))</f>
        <v>0</v>
      </c>
      <c r="P258" s="30">
        <f>IF(J258="","",IF(K258="each",J258,J258/100))</f>
        <v>0</v>
      </c>
      <c r="Q258" s="30">
        <f>IFERROR(IF(P258="","",P258*INDEX(Ingredients!$P$5:$P$304,MATCH(D258,Ingredients!$B$5:$B$304,0))),"")</f>
        <v>0</v>
      </c>
      <c r="R258" s="45">
        <f>IFERROR(IF(P258="","",P258*INDEX(Ingredients!$Q$5:$Q$304,MATCH(D258,Ingredients!$B$5:$B$304,0))),"")</f>
        <v>0</v>
      </c>
      <c r="S258" s="45">
        <f>IFERROR(IF(P258="","",P258*INDEX(Ingredients!$R$5:$R$304,MATCH(D258,Ingredients!$B$5:$B$304,0))),"")</f>
        <v>0</v>
      </c>
      <c r="T258" s="45">
        <f>IFERROR(IF(P258="","",P258*INDEX(Ingredients!$S$5:$S$304,MATCH(D258,Ingredients!$B$5:$B$304,0))),"")</f>
        <v>0</v>
      </c>
      <c r="U258" s="45">
        <f>IFERROR(IF(P258="","",P258*INDEX(Ingredients!$T$5:$T$304,MATCH(D258,Ingredients!$B$5:$B$304,0))),"")</f>
        <v>0</v>
      </c>
      <c r="V258" s="17">
        <f>IF(D258="","",IFERROR(INDEX(Ingredients!$W$5:$W$304,MATCH(D258,Ingredients!$B$5:$B$304,0)),"Add to Ingredients"))</f>
        <v>0</v>
      </c>
      <c r="W258" s="17">
        <f>IF(D258="","",IFERROR(INDEX(Ingredients!$C$5:$C$304,MATCH(D258,Ingredients!$B$5:$B$304,0)),"Add to Ingredients"))</f>
        <v>0</v>
      </c>
      <c r="X258" s="45">
        <f>IFERROR(INDEX(Recipes!$AT$5:$AT$204,MATCH(B258,Recipes!$A$5:$A$204,0)),0)</f>
        <v>0</v>
      </c>
      <c r="Y258" s="45">
        <f>IF(OR(J258="",X258=0),"",J258*X258)</f>
        <v>0</v>
      </c>
      <c r="Z258" s="17">
        <f>IF(D258="","",B258&amp;"#"&amp;COUNTIFS($B$5:B258,B258))</f>
        <v>0</v>
      </c>
      <c r="AA258" s="17">
        <f>IF(D258="","",B258&amp;"|"&amp;D258)</f>
        <v>0</v>
      </c>
      <c r="AB258" s="31">
        <f>IF(D258="","",IF(B258="","Add - which recipe?",IF(COUNTIFS(Ingredients!$B$5:$B$304,D258)=0,"Missing - not in the Ingredients tab",IF(E258="","Add - no quantity",IF(F258="","Add - no unit",IF(K258&lt;&gt;L258,"Check - recipe in "&amp;K258&amp;", priced in "&amp;L258,IF(COUNTIFS($AA$5:$AA$1204,AA258)&gt;1,"Duplicate - same ingredient twice","OK")))))))</f>
        <v>0</v>
      </c>
    </row>
    <row r="259" spans="1:28">
      <c r="A259" s="39">
        <f>IF(D259="","","RL-"&amp;TEXT(ROW()-4,"0000"))</f>
        <v>0</v>
      </c>
      <c r="C259" s="17">
        <f>IF(B259="","",IFERROR(INDEX(Recipes!$B$5:$B$204,MATCH(B259,Recipes!$A$5:$A$204,0)),"Not found"))</f>
        <v>0</v>
      </c>
      <c r="J259" s="45">
        <f>IF(E259="","",IFERROR(E259*INDEX(UnitFactors,MATCH(F259,UnitNames,0)),""))</f>
        <v>0</v>
      </c>
      <c r="K259" s="17">
        <f>IF(F259="","",IFERROR(INDEX(UnitBases,MATCH(F259,UnitNames,0)),"?"))</f>
        <v>0</v>
      </c>
      <c r="L259" s="17">
        <f>IF(D259="","",IFERROR(INDEX(Ingredients!$G$5:$G$304,MATCH(D259,Ingredients!$B$5:$B$304,0)),"Add to Ingredients"))</f>
        <v>0</v>
      </c>
      <c r="M259" s="25">
        <f>IF(D259="","",IFERROR(INDEX(Ingredients!$J$5:$J$304,MATCH(D259,Ingredients!$B$5:$B$304,0)),"Add to Ingredients"))</f>
        <v>0</v>
      </c>
      <c r="N259" s="25">
        <f>IF(OR(J259="",M259="",NOT(ISNUMBER(M259))),"",IF(K259&lt;&gt;L259,"",J259*M259))</f>
        <v>0</v>
      </c>
      <c r="O259" s="25">
        <f>IF(N259="","",IFERROR(N259/INDEX(Recipes!$G$5:$G$204,MATCH(B259,Recipes!$A$5:$A$204,0)),""))</f>
        <v>0</v>
      </c>
      <c r="P259" s="30">
        <f>IF(J259="","",IF(K259="each",J259,J259/100))</f>
        <v>0</v>
      </c>
      <c r="Q259" s="30">
        <f>IFERROR(IF(P259="","",P259*INDEX(Ingredients!$P$5:$P$304,MATCH(D259,Ingredients!$B$5:$B$304,0))),"")</f>
        <v>0</v>
      </c>
      <c r="R259" s="45">
        <f>IFERROR(IF(P259="","",P259*INDEX(Ingredients!$Q$5:$Q$304,MATCH(D259,Ingredients!$B$5:$B$304,0))),"")</f>
        <v>0</v>
      </c>
      <c r="S259" s="45">
        <f>IFERROR(IF(P259="","",P259*INDEX(Ingredients!$R$5:$R$304,MATCH(D259,Ingredients!$B$5:$B$304,0))),"")</f>
        <v>0</v>
      </c>
      <c r="T259" s="45">
        <f>IFERROR(IF(P259="","",P259*INDEX(Ingredients!$S$5:$S$304,MATCH(D259,Ingredients!$B$5:$B$304,0))),"")</f>
        <v>0</v>
      </c>
      <c r="U259" s="45">
        <f>IFERROR(IF(P259="","",P259*INDEX(Ingredients!$T$5:$T$304,MATCH(D259,Ingredients!$B$5:$B$304,0))),"")</f>
        <v>0</v>
      </c>
      <c r="V259" s="17">
        <f>IF(D259="","",IFERROR(INDEX(Ingredients!$W$5:$W$304,MATCH(D259,Ingredients!$B$5:$B$304,0)),"Add to Ingredients"))</f>
        <v>0</v>
      </c>
      <c r="W259" s="17">
        <f>IF(D259="","",IFERROR(INDEX(Ingredients!$C$5:$C$304,MATCH(D259,Ingredients!$B$5:$B$304,0)),"Add to Ingredients"))</f>
        <v>0</v>
      </c>
      <c r="X259" s="45">
        <f>IFERROR(INDEX(Recipes!$AT$5:$AT$204,MATCH(B259,Recipes!$A$5:$A$204,0)),0)</f>
        <v>0</v>
      </c>
      <c r="Y259" s="45">
        <f>IF(OR(J259="",X259=0),"",J259*X259)</f>
        <v>0</v>
      </c>
      <c r="Z259" s="17">
        <f>IF(D259="","",B259&amp;"#"&amp;COUNTIFS($B$5:B259,B259))</f>
        <v>0</v>
      </c>
      <c r="AA259" s="17">
        <f>IF(D259="","",B259&amp;"|"&amp;D259)</f>
        <v>0</v>
      </c>
      <c r="AB259" s="31">
        <f>IF(D259="","",IF(B259="","Add - which recipe?",IF(COUNTIFS(Ingredients!$B$5:$B$304,D259)=0,"Missing - not in the Ingredients tab",IF(E259="","Add - no quantity",IF(F259="","Add - no unit",IF(K259&lt;&gt;L259,"Check - recipe in "&amp;K259&amp;", priced in "&amp;L259,IF(COUNTIFS($AA$5:$AA$1204,AA259)&gt;1,"Duplicate - same ingredient twice","OK")))))))</f>
        <v>0</v>
      </c>
    </row>
    <row r="260" spans="1:28">
      <c r="A260" s="39">
        <f>IF(D260="","","RL-"&amp;TEXT(ROW()-4,"0000"))</f>
        <v>0</v>
      </c>
      <c r="C260" s="17">
        <f>IF(B260="","",IFERROR(INDEX(Recipes!$B$5:$B$204,MATCH(B260,Recipes!$A$5:$A$204,0)),"Not found"))</f>
        <v>0</v>
      </c>
      <c r="J260" s="45">
        <f>IF(E260="","",IFERROR(E260*INDEX(UnitFactors,MATCH(F260,UnitNames,0)),""))</f>
        <v>0</v>
      </c>
      <c r="K260" s="17">
        <f>IF(F260="","",IFERROR(INDEX(UnitBases,MATCH(F260,UnitNames,0)),"?"))</f>
        <v>0</v>
      </c>
      <c r="L260" s="17">
        <f>IF(D260="","",IFERROR(INDEX(Ingredients!$G$5:$G$304,MATCH(D260,Ingredients!$B$5:$B$304,0)),"Add to Ingredients"))</f>
        <v>0</v>
      </c>
      <c r="M260" s="25">
        <f>IF(D260="","",IFERROR(INDEX(Ingredients!$J$5:$J$304,MATCH(D260,Ingredients!$B$5:$B$304,0)),"Add to Ingredients"))</f>
        <v>0</v>
      </c>
      <c r="N260" s="25">
        <f>IF(OR(J260="",M260="",NOT(ISNUMBER(M260))),"",IF(K260&lt;&gt;L260,"",J260*M260))</f>
        <v>0</v>
      </c>
      <c r="O260" s="25">
        <f>IF(N260="","",IFERROR(N260/INDEX(Recipes!$G$5:$G$204,MATCH(B260,Recipes!$A$5:$A$204,0)),""))</f>
        <v>0</v>
      </c>
      <c r="P260" s="30">
        <f>IF(J260="","",IF(K260="each",J260,J260/100))</f>
        <v>0</v>
      </c>
      <c r="Q260" s="30">
        <f>IFERROR(IF(P260="","",P260*INDEX(Ingredients!$P$5:$P$304,MATCH(D260,Ingredients!$B$5:$B$304,0))),"")</f>
        <v>0</v>
      </c>
      <c r="R260" s="45">
        <f>IFERROR(IF(P260="","",P260*INDEX(Ingredients!$Q$5:$Q$304,MATCH(D260,Ingredients!$B$5:$B$304,0))),"")</f>
        <v>0</v>
      </c>
      <c r="S260" s="45">
        <f>IFERROR(IF(P260="","",P260*INDEX(Ingredients!$R$5:$R$304,MATCH(D260,Ingredients!$B$5:$B$304,0))),"")</f>
        <v>0</v>
      </c>
      <c r="T260" s="45">
        <f>IFERROR(IF(P260="","",P260*INDEX(Ingredients!$S$5:$S$304,MATCH(D260,Ingredients!$B$5:$B$304,0))),"")</f>
        <v>0</v>
      </c>
      <c r="U260" s="45">
        <f>IFERROR(IF(P260="","",P260*INDEX(Ingredients!$T$5:$T$304,MATCH(D260,Ingredients!$B$5:$B$304,0))),"")</f>
        <v>0</v>
      </c>
      <c r="V260" s="17">
        <f>IF(D260="","",IFERROR(INDEX(Ingredients!$W$5:$W$304,MATCH(D260,Ingredients!$B$5:$B$304,0)),"Add to Ingredients"))</f>
        <v>0</v>
      </c>
      <c r="W260" s="17">
        <f>IF(D260="","",IFERROR(INDEX(Ingredients!$C$5:$C$304,MATCH(D260,Ingredients!$B$5:$B$304,0)),"Add to Ingredients"))</f>
        <v>0</v>
      </c>
      <c r="X260" s="45">
        <f>IFERROR(INDEX(Recipes!$AT$5:$AT$204,MATCH(B260,Recipes!$A$5:$A$204,0)),0)</f>
        <v>0</v>
      </c>
      <c r="Y260" s="45">
        <f>IF(OR(J260="",X260=0),"",J260*X260)</f>
        <v>0</v>
      </c>
      <c r="Z260" s="17">
        <f>IF(D260="","",B260&amp;"#"&amp;COUNTIFS($B$5:B260,B260))</f>
        <v>0</v>
      </c>
      <c r="AA260" s="17">
        <f>IF(D260="","",B260&amp;"|"&amp;D260)</f>
        <v>0</v>
      </c>
      <c r="AB260" s="31">
        <f>IF(D260="","",IF(B260="","Add - which recipe?",IF(COUNTIFS(Ingredients!$B$5:$B$304,D260)=0,"Missing - not in the Ingredients tab",IF(E260="","Add - no quantity",IF(F260="","Add - no unit",IF(K260&lt;&gt;L260,"Check - recipe in "&amp;K260&amp;", priced in "&amp;L260,IF(COUNTIFS($AA$5:$AA$1204,AA260)&gt;1,"Duplicate - same ingredient twice","OK")))))))</f>
        <v>0</v>
      </c>
    </row>
    <row r="261" spans="1:28">
      <c r="A261" s="39">
        <f>IF(D261="","","RL-"&amp;TEXT(ROW()-4,"0000"))</f>
        <v>0</v>
      </c>
      <c r="C261" s="17">
        <f>IF(B261="","",IFERROR(INDEX(Recipes!$B$5:$B$204,MATCH(B261,Recipes!$A$5:$A$204,0)),"Not found"))</f>
        <v>0</v>
      </c>
      <c r="J261" s="45">
        <f>IF(E261="","",IFERROR(E261*INDEX(UnitFactors,MATCH(F261,UnitNames,0)),""))</f>
        <v>0</v>
      </c>
      <c r="K261" s="17">
        <f>IF(F261="","",IFERROR(INDEX(UnitBases,MATCH(F261,UnitNames,0)),"?"))</f>
        <v>0</v>
      </c>
      <c r="L261" s="17">
        <f>IF(D261="","",IFERROR(INDEX(Ingredients!$G$5:$G$304,MATCH(D261,Ingredients!$B$5:$B$304,0)),"Add to Ingredients"))</f>
        <v>0</v>
      </c>
      <c r="M261" s="25">
        <f>IF(D261="","",IFERROR(INDEX(Ingredients!$J$5:$J$304,MATCH(D261,Ingredients!$B$5:$B$304,0)),"Add to Ingredients"))</f>
        <v>0</v>
      </c>
      <c r="N261" s="25">
        <f>IF(OR(J261="",M261="",NOT(ISNUMBER(M261))),"",IF(K261&lt;&gt;L261,"",J261*M261))</f>
        <v>0</v>
      </c>
      <c r="O261" s="25">
        <f>IF(N261="","",IFERROR(N261/INDEX(Recipes!$G$5:$G$204,MATCH(B261,Recipes!$A$5:$A$204,0)),""))</f>
        <v>0</v>
      </c>
      <c r="P261" s="30">
        <f>IF(J261="","",IF(K261="each",J261,J261/100))</f>
        <v>0</v>
      </c>
      <c r="Q261" s="30">
        <f>IFERROR(IF(P261="","",P261*INDEX(Ingredients!$P$5:$P$304,MATCH(D261,Ingredients!$B$5:$B$304,0))),"")</f>
        <v>0</v>
      </c>
      <c r="R261" s="45">
        <f>IFERROR(IF(P261="","",P261*INDEX(Ingredients!$Q$5:$Q$304,MATCH(D261,Ingredients!$B$5:$B$304,0))),"")</f>
        <v>0</v>
      </c>
      <c r="S261" s="45">
        <f>IFERROR(IF(P261="","",P261*INDEX(Ingredients!$R$5:$R$304,MATCH(D261,Ingredients!$B$5:$B$304,0))),"")</f>
        <v>0</v>
      </c>
      <c r="T261" s="45">
        <f>IFERROR(IF(P261="","",P261*INDEX(Ingredients!$S$5:$S$304,MATCH(D261,Ingredients!$B$5:$B$304,0))),"")</f>
        <v>0</v>
      </c>
      <c r="U261" s="45">
        <f>IFERROR(IF(P261="","",P261*INDEX(Ingredients!$T$5:$T$304,MATCH(D261,Ingredients!$B$5:$B$304,0))),"")</f>
        <v>0</v>
      </c>
      <c r="V261" s="17">
        <f>IF(D261="","",IFERROR(INDEX(Ingredients!$W$5:$W$304,MATCH(D261,Ingredients!$B$5:$B$304,0)),"Add to Ingredients"))</f>
        <v>0</v>
      </c>
      <c r="W261" s="17">
        <f>IF(D261="","",IFERROR(INDEX(Ingredients!$C$5:$C$304,MATCH(D261,Ingredients!$B$5:$B$304,0)),"Add to Ingredients"))</f>
        <v>0</v>
      </c>
      <c r="X261" s="45">
        <f>IFERROR(INDEX(Recipes!$AT$5:$AT$204,MATCH(B261,Recipes!$A$5:$A$204,0)),0)</f>
        <v>0</v>
      </c>
      <c r="Y261" s="45">
        <f>IF(OR(J261="",X261=0),"",J261*X261)</f>
        <v>0</v>
      </c>
      <c r="Z261" s="17">
        <f>IF(D261="","",B261&amp;"#"&amp;COUNTIFS($B$5:B261,B261))</f>
        <v>0</v>
      </c>
      <c r="AA261" s="17">
        <f>IF(D261="","",B261&amp;"|"&amp;D261)</f>
        <v>0</v>
      </c>
      <c r="AB261" s="31">
        <f>IF(D261="","",IF(B261="","Add - which recipe?",IF(COUNTIFS(Ingredients!$B$5:$B$304,D261)=0,"Missing - not in the Ingredients tab",IF(E261="","Add - no quantity",IF(F261="","Add - no unit",IF(K261&lt;&gt;L261,"Check - recipe in "&amp;K261&amp;", priced in "&amp;L261,IF(COUNTIFS($AA$5:$AA$1204,AA261)&gt;1,"Duplicate - same ingredient twice","OK")))))))</f>
        <v>0</v>
      </c>
    </row>
    <row r="262" spans="1:28">
      <c r="A262" s="39">
        <f>IF(D262="","","RL-"&amp;TEXT(ROW()-4,"0000"))</f>
        <v>0</v>
      </c>
      <c r="C262" s="17">
        <f>IF(B262="","",IFERROR(INDEX(Recipes!$B$5:$B$204,MATCH(B262,Recipes!$A$5:$A$204,0)),"Not found"))</f>
        <v>0</v>
      </c>
      <c r="J262" s="45">
        <f>IF(E262="","",IFERROR(E262*INDEX(UnitFactors,MATCH(F262,UnitNames,0)),""))</f>
        <v>0</v>
      </c>
      <c r="K262" s="17">
        <f>IF(F262="","",IFERROR(INDEX(UnitBases,MATCH(F262,UnitNames,0)),"?"))</f>
        <v>0</v>
      </c>
      <c r="L262" s="17">
        <f>IF(D262="","",IFERROR(INDEX(Ingredients!$G$5:$G$304,MATCH(D262,Ingredients!$B$5:$B$304,0)),"Add to Ingredients"))</f>
        <v>0</v>
      </c>
      <c r="M262" s="25">
        <f>IF(D262="","",IFERROR(INDEX(Ingredients!$J$5:$J$304,MATCH(D262,Ingredients!$B$5:$B$304,0)),"Add to Ingredients"))</f>
        <v>0</v>
      </c>
      <c r="N262" s="25">
        <f>IF(OR(J262="",M262="",NOT(ISNUMBER(M262))),"",IF(K262&lt;&gt;L262,"",J262*M262))</f>
        <v>0</v>
      </c>
      <c r="O262" s="25">
        <f>IF(N262="","",IFERROR(N262/INDEX(Recipes!$G$5:$G$204,MATCH(B262,Recipes!$A$5:$A$204,0)),""))</f>
        <v>0</v>
      </c>
      <c r="P262" s="30">
        <f>IF(J262="","",IF(K262="each",J262,J262/100))</f>
        <v>0</v>
      </c>
      <c r="Q262" s="30">
        <f>IFERROR(IF(P262="","",P262*INDEX(Ingredients!$P$5:$P$304,MATCH(D262,Ingredients!$B$5:$B$304,0))),"")</f>
        <v>0</v>
      </c>
      <c r="R262" s="45">
        <f>IFERROR(IF(P262="","",P262*INDEX(Ingredients!$Q$5:$Q$304,MATCH(D262,Ingredients!$B$5:$B$304,0))),"")</f>
        <v>0</v>
      </c>
      <c r="S262" s="45">
        <f>IFERROR(IF(P262="","",P262*INDEX(Ingredients!$R$5:$R$304,MATCH(D262,Ingredients!$B$5:$B$304,0))),"")</f>
        <v>0</v>
      </c>
      <c r="T262" s="45">
        <f>IFERROR(IF(P262="","",P262*INDEX(Ingredients!$S$5:$S$304,MATCH(D262,Ingredients!$B$5:$B$304,0))),"")</f>
        <v>0</v>
      </c>
      <c r="U262" s="45">
        <f>IFERROR(IF(P262="","",P262*INDEX(Ingredients!$T$5:$T$304,MATCH(D262,Ingredients!$B$5:$B$304,0))),"")</f>
        <v>0</v>
      </c>
      <c r="V262" s="17">
        <f>IF(D262="","",IFERROR(INDEX(Ingredients!$W$5:$W$304,MATCH(D262,Ingredients!$B$5:$B$304,0)),"Add to Ingredients"))</f>
        <v>0</v>
      </c>
      <c r="W262" s="17">
        <f>IF(D262="","",IFERROR(INDEX(Ingredients!$C$5:$C$304,MATCH(D262,Ingredients!$B$5:$B$304,0)),"Add to Ingredients"))</f>
        <v>0</v>
      </c>
      <c r="X262" s="45">
        <f>IFERROR(INDEX(Recipes!$AT$5:$AT$204,MATCH(B262,Recipes!$A$5:$A$204,0)),0)</f>
        <v>0</v>
      </c>
      <c r="Y262" s="45">
        <f>IF(OR(J262="",X262=0),"",J262*X262)</f>
        <v>0</v>
      </c>
      <c r="Z262" s="17">
        <f>IF(D262="","",B262&amp;"#"&amp;COUNTIFS($B$5:B262,B262))</f>
        <v>0</v>
      </c>
      <c r="AA262" s="17">
        <f>IF(D262="","",B262&amp;"|"&amp;D262)</f>
        <v>0</v>
      </c>
      <c r="AB262" s="31">
        <f>IF(D262="","",IF(B262="","Add - which recipe?",IF(COUNTIFS(Ingredients!$B$5:$B$304,D262)=0,"Missing - not in the Ingredients tab",IF(E262="","Add - no quantity",IF(F262="","Add - no unit",IF(K262&lt;&gt;L262,"Check - recipe in "&amp;K262&amp;", priced in "&amp;L262,IF(COUNTIFS($AA$5:$AA$1204,AA262)&gt;1,"Duplicate - same ingredient twice","OK")))))))</f>
        <v>0</v>
      </c>
    </row>
    <row r="263" spans="1:28">
      <c r="A263" s="39">
        <f>IF(D263="","","RL-"&amp;TEXT(ROW()-4,"0000"))</f>
        <v>0</v>
      </c>
      <c r="C263" s="17">
        <f>IF(B263="","",IFERROR(INDEX(Recipes!$B$5:$B$204,MATCH(B263,Recipes!$A$5:$A$204,0)),"Not found"))</f>
        <v>0</v>
      </c>
      <c r="J263" s="45">
        <f>IF(E263="","",IFERROR(E263*INDEX(UnitFactors,MATCH(F263,UnitNames,0)),""))</f>
        <v>0</v>
      </c>
      <c r="K263" s="17">
        <f>IF(F263="","",IFERROR(INDEX(UnitBases,MATCH(F263,UnitNames,0)),"?"))</f>
        <v>0</v>
      </c>
      <c r="L263" s="17">
        <f>IF(D263="","",IFERROR(INDEX(Ingredients!$G$5:$G$304,MATCH(D263,Ingredients!$B$5:$B$304,0)),"Add to Ingredients"))</f>
        <v>0</v>
      </c>
      <c r="M263" s="25">
        <f>IF(D263="","",IFERROR(INDEX(Ingredients!$J$5:$J$304,MATCH(D263,Ingredients!$B$5:$B$304,0)),"Add to Ingredients"))</f>
        <v>0</v>
      </c>
      <c r="N263" s="25">
        <f>IF(OR(J263="",M263="",NOT(ISNUMBER(M263))),"",IF(K263&lt;&gt;L263,"",J263*M263))</f>
        <v>0</v>
      </c>
      <c r="O263" s="25">
        <f>IF(N263="","",IFERROR(N263/INDEX(Recipes!$G$5:$G$204,MATCH(B263,Recipes!$A$5:$A$204,0)),""))</f>
        <v>0</v>
      </c>
      <c r="P263" s="30">
        <f>IF(J263="","",IF(K263="each",J263,J263/100))</f>
        <v>0</v>
      </c>
      <c r="Q263" s="30">
        <f>IFERROR(IF(P263="","",P263*INDEX(Ingredients!$P$5:$P$304,MATCH(D263,Ingredients!$B$5:$B$304,0))),"")</f>
        <v>0</v>
      </c>
      <c r="R263" s="45">
        <f>IFERROR(IF(P263="","",P263*INDEX(Ingredients!$Q$5:$Q$304,MATCH(D263,Ingredients!$B$5:$B$304,0))),"")</f>
        <v>0</v>
      </c>
      <c r="S263" s="45">
        <f>IFERROR(IF(P263="","",P263*INDEX(Ingredients!$R$5:$R$304,MATCH(D263,Ingredients!$B$5:$B$304,0))),"")</f>
        <v>0</v>
      </c>
      <c r="T263" s="45">
        <f>IFERROR(IF(P263="","",P263*INDEX(Ingredients!$S$5:$S$304,MATCH(D263,Ingredients!$B$5:$B$304,0))),"")</f>
        <v>0</v>
      </c>
      <c r="U263" s="45">
        <f>IFERROR(IF(P263="","",P263*INDEX(Ingredients!$T$5:$T$304,MATCH(D263,Ingredients!$B$5:$B$304,0))),"")</f>
        <v>0</v>
      </c>
      <c r="V263" s="17">
        <f>IF(D263="","",IFERROR(INDEX(Ingredients!$W$5:$W$304,MATCH(D263,Ingredients!$B$5:$B$304,0)),"Add to Ingredients"))</f>
        <v>0</v>
      </c>
      <c r="W263" s="17">
        <f>IF(D263="","",IFERROR(INDEX(Ingredients!$C$5:$C$304,MATCH(D263,Ingredients!$B$5:$B$304,0)),"Add to Ingredients"))</f>
        <v>0</v>
      </c>
      <c r="X263" s="45">
        <f>IFERROR(INDEX(Recipes!$AT$5:$AT$204,MATCH(B263,Recipes!$A$5:$A$204,0)),0)</f>
        <v>0</v>
      </c>
      <c r="Y263" s="45">
        <f>IF(OR(J263="",X263=0),"",J263*X263)</f>
        <v>0</v>
      </c>
      <c r="Z263" s="17">
        <f>IF(D263="","",B263&amp;"#"&amp;COUNTIFS($B$5:B263,B263))</f>
        <v>0</v>
      </c>
      <c r="AA263" s="17">
        <f>IF(D263="","",B263&amp;"|"&amp;D263)</f>
        <v>0</v>
      </c>
      <c r="AB263" s="31">
        <f>IF(D263="","",IF(B263="","Add - which recipe?",IF(COUNTIFS(Ingredients!$B$5:$B$304,D263)=0,"Missing - not in the Ingredients tab",IF(E263="","Add - no quantity",IF(F263="","Add - no unit",IF(K263&lt;&gt;L263,"Check - recipe in "&amp;K263&amp;", priced in "&amp;L263,IF(COUNTIFS($AA$5:$AA$1204,AA263)&gt;1,"Duplicate - same ingredient twice","OK")))))))</f>
        <v>0</v>
      </c>
    </row>
    <row r="264" spans="1:28">
      <c r="A264" s="39">
        <f>IF(D264="","","RL-"&amp;TEXT(ROW()-4,"0000"))</f>
        <v>0</v>
      </c>
      <c r="C264" s="17">
        <f>IF(B264="","",IFERROR(INDEX(Recipes!$B$5:$B$204,MATCH(B264,Recipes!$A$5:$A$204,0)),"Not found"))</f>
        <v>0</v>
      </c>
      <c r="J264" s="45">
        <f>IF(E264="","",IFERROR(E264*INDEX(UnitFactors,MATCH(F264,UnitNames,0)),""))</f>
        <v>0</v>
      </c>
      <c r="K264" s="17">
        <f>IF(F264="","",IFERROR(INDEX(UnitBases,MATCH(F264,UnitNames,0)),"?"))</f>
        <v>0</v>
      </c>
      <c r="L264" s="17">
        <f>IF(D264="","",IFERROR(INDEX(Ingredients!$G$5:$G$304,MATCH(D264,Ingredients!$B$5:$B$304,0)),"Add to Ingredients"))</f>
        <v>0</v>
      </c>
      <c r="M264" s="25">
        <f>IF(D264="","",IFERROR(INDEX(Ingredients!$J$5:$J$304,MATCH(D264,Ingredients!$B$5:$B$304,0)),"Add to Ingredients"))</f>
        <v>0</v>
      </c>
      <c r="N264" s="25">
        <f>IF(OR(J264="",M264="",NOT(ISNUMBER(M264))),"",IF(K264&lt;&gt;L264,"",J264*M264))</f>
        <v>0</v>
      </c>
      <c r="O264" s="25">
        <f>IF(N264="","",IFERROR(N264/INDEX(Recipes!$G$5:$G$204,MATCH(B264,Recipes!$A$5:$A$204,0)),""))</f>
        <v>0</v>
      </c>
      <c r="P264" s="30">
        <f>IF(J264="","",IF(K264="each",J264,J264/100))</f>
        <v>0</v>
      </c>
      <c r="Q264" s="30">
        <f>IFERROR(IF(P264="","",P264*INDEX(Ingredients!$P$5:$P$304,MATCH(D264,Ingredients!$B$5:$B$304,0))),"")</f>
        <v>0</v>
      </c>
      <c r="R264" s="45">
        <f>IFERROR(IF(P264="","",P264*INDEX(Ingredients!$Q$5:$Q$304,MATCH(D264,Ingredients!$B$5:$B$304,0))),"")</f>
        <v>0</v>
      </c>
      <c r="S264" s="45">
        <f>IFERROR(IF(P264="","",P264*INDEX(Ingredients!$R$5:$R$304,MATCH(D264,Ingredients!$B$5:$B$304,0))),"")</f>
        <v>0</v>
      </c>
      <c r="T264" s="45">
        <f>IFERROR(IF(P264="","",P264*INDEX(Ingredients!$S$5:$S$304,MATCH(D264,Ingredients!$B$5:$B$304,0))),"")</f>
        <v>0</v>
      </c>
      <c r="U264" s="45">
        <f>IFERROR(IF(P264="","",P264*INDEX(Ingredients!$T$5:$T$304,MATCH(D264,Ingredients!$B$5:$B$304,0))),"")</f>
        <v>0</v>
      </c>
      <c r="V264" s="17">
        <f>IF(D264="","",IFERROR(INDEX(Ingredients!$W$5:$W$304,MATCH(D264,Ingredients!$B$5:$B$304,0)),"Add to Ingredients"))</f>
        <v>0</v>
      </c>
      <c r="W264" s="17">
        <f>IF(D264="","",IFERROR(INDEX(Ingredients!$C$5:$C$304,MATCH(D264,Ingredients!$B$5:$B$304,0)),"Add to Ingredients"))</f>
        <v>0</v>
      </c>
      <c r="X264" s="45">
        <f>IFERROR(INDEX(Recipes!$AT$5:$AT$204,MATCH(B264,Recipes!$A$5:$A$204,0)),0)</f>
        <v>0</v>
      </c>
      <c r="Y264" s="45">
        <f>IF(OR(J264="",X264=0),"",J264*X264)</f>
        <v>0</v>
      </c>
      <c r="Z264" s="17">
        <f>IF(D264="","",B264&amp;"#"&amp;COUNTIFS($B$5:B264,B264))</f>
        <v>0</v>
      </c>
      <c r="AA264" s="17">
        <f>IF(D264="","",B264&amp;"|"&amp;D264)</f>
        <v>0</v>
      </c>
      <c r="AB264" s="31">
        <f>IF(D264="","",IF(B264="","Add - which recipe?",IF(COUNTIFS(Ingredients!$B$5:$B$304,D264)=0,"Missing - not in the Ingredients tab",IF(E264="","Add - no quantity",IF(F264="","Add - no unit",IF(K264&lt;&gt;L264,"Check - recipe in "&amp;K264&amp;", priced in "&amp;L264,IF(COUNTIFS($AA$5:$AA$1204,AA264)&gt;1,"Duplicate - same ingredient twice","OK")))))))</f>
        <v>0</v>
      </c>
    </row>
    <row r="265" spans="1:28">
      <c r="A265" s="39">
        <f>IF(D265="","","RL-"&amp;TEXT(ROW()-4,"0000"))</f>
        <v>0</v>
      </c>
      <c r="C265" s="17">
        <f>IF(B265="","",IFERROR(INDEX(Recipes!$B$5:$B$204,MATCH(B265,Recipes!$A$5:$A$204,0)),"Not found"))</f>
        <v>0</v>
      </c>
      <c r="J265" s="45">
        <f>IF(E265="","",IFERROR(E265*INDEX(UnitFactors,MATCH(F265,UnitNames,0)),""))</f>
        <v>0</v>
      </c>
      <c r="K265" s="17">
        <f>IF(F265="","",IFERROR(INDEX(UnitBases,MATCH(F265,UnitNames,0)),"?"))</f>
        <v>0</v>
      </c>
      <c r="L265" s="17">
        <f>IF(D265="","",IFERROR(INDEX(Ingredients!$G$5:$G$304,MATCH(D265,Ingredients!$B$5:$B$304,0)),"Add to Ingredients"))</f>
        <v>0</v>
      </c>
      <c r="M265" s="25">
        <f>IF(D265="","",IFERROR(INDEX(Ingredients!$J$5:$J$304,MATCH(D265,Ingredients!$B$5:$B$304,0)),"Add to Ingredients"))</f>
        <v>0</v>
      </c>
      <c r="N265" s="25">
        <f>IF(OR(J265="",M265="",NOT(ISNUMBER(M265))),"",IF(K265&lt;&gt;L265,"",J265*M265))</f>
        <v>0</v>
      </c>
      <c r="O265" s="25">
        <f>IF(N265="","",IFERROR(N265/INDEX(Recipes!$G$5:$G$204,MATCH(B265,Recipes!$A$5:$A$204,0)),""))</f>
        <v>0</v>
      </c>
      <c r="P265" s="30">
        <f>IF(J265="","",IF(K265="each",J265,J265/100))</f>
        <v>0</v>
      </c>
      <c r="Q265" s="30">
        <f>IFERROR(IF(P265="","",P265*INDEX(Ingredients!$P$5:$P$304,MATCH(D265,Ingredients!$B$5:$B$304,0))),"")</f>
        <v>0</v>
      </c>
      <c r="R265" s="45">
        <f>IFERROR(IF(P265="","",P265*INDEX(Ingredients!$Q$5:$Q$304,MATCH(D265,Ingredients!$B$5:$B$304,0))),"")</f>
        <v>0</v>
      </c>
      <c r="S265" s="45">
        <f>IFERROR(IF(P265="","",P265*INDEX(Ingredients!$R$5:$R$304,MATCH(D265,Ingredients!$B$5:$B$304,0))),"")</f>
        <v>0</v>
      </c>
      <c r="T265" s="45">
        <f>IFERROR(IF(P265="","",P265*INDEX(Ingredients!$S$5:$S$304,MATCH(D265,Ingredients!$B$5:$B$304,0))),"")</f>
        <v>0</v>
      </c>
      <c r="U265" s="45">
        <f>IFERROR(IF(P265="","",P265*INDEX(Ingredients!$T$5:$T$304,MATCH(D265,Ingredients!$B$5:$B$304,0))),"")</f>
        <v>0</v>
      </c>
      <c r="V265" s="17">
        <f>IF(D265="","",IFERROR(INDEX(Ingredients!$W$5:$W$304,MATCH(D265,Ingredients!$B$5:$B$304,0)),"Add to Ingredients"))</f>
        <v>0</v>
      </c>
      <c r="W265" s="17">
        <f>IF(D265="","",IFERROR(INDEX(Ingredients!$C$5:$C$304,MATCH(D265,Ingredients!$B$5:$B$304,0)),"Add to Ingredients"))</f>
        <v>0</v>
      </c>
      <c r="X265" s="45">
        <f>IFERROR(INDEX(Recipes!$AT$5:$AT$204,MATCH(B265,Recipes!$A$5:$A$204,0)),0)</f>
        <v>0</v>
      </c>
      <c r="Y265" s="45">
        <f>IF(OR(J265="",X265=0),"",J265*X265)</f>
        <v>0</v>
      </c>
      <c r="Z265" s="17">
        <f>IF(D265="","",B265&amp;"#"&amp;COUNTIFS($B$5:B265,B265))</f>
        <v>0</v>
      </c>
      <c r="AA265" s="17">
        <f>IF(D265="","",B265&amp;"|"&amp;D265)</f>
        <v>0</v>
      </c>
      <c r="AB265" s="31">
        <f>IF(D265="","",IF(B265="","Add - which recipe?",IF(COUNTIFS(Ingredients!$B$5:$B$304,D265)=0,"Missing - not in the Ingredients tab",IF(E265="","Add - no quantity",IF(F265="","Add - no unit",IF(K265&lt;&gt;L265,"Check - recipe in "&amp;K265&amp;", priced in "&amp;L265,IF(COUNTIFS($AA$5:$AA$1204,AA265)&gt;1,"Duplicate - same ingredient twice","OK")))))))</f>
        <v>0</v>
      </c>
    </row>
    <row r="266" spans="1:28">
      <c r="A266" s="39">
        <f>IF(D266="","","RL-"&amp;TEXT(ROW()-4,"0000"))</f>
        <v>0</v>
      </c>
      <c r="C266" s="17">
        <f>IF(B266="","",IFERROR(INDEX(Recipes!$B$5:$B$204,MATCH(B266,Recipes!$A$5:$A$204,0)),"Not found"))</f>
        <v>0</v>
      </c>
      <c r="J266" s="45">
        <f>IF(E266="","",IFERROR(E266*INDEX(UnitFactors,MATCH(F266,UnitNames,0)),""))</f>
        <v>0</v>
      </c>
      <c r="K266" s="17">
        <f>IF(F266="","",IFERROR(INDEX(UnitBases,MATCH(F266,UnitNames,0)),"?"))</f>
        <v>0</v>
      </c>
      <c r="L266" s="17">
        <f>IF(D266="","",IFERROR(INDEX(Ingredients!$G$5:$G$304,MATCH(D266,Ingredients!$B$5:$B$304,0)),"Add to Ingredients"))</f>
        <v>0</v>
      </c>
      <c r="M266" s="25">
        <f>IF(D266="","",IFERROR(INDEX(Ingredients!$J$5:$J$304,MATCH(D266,Ingredients!$B$5:$B$304,0)),"Add to Ingredients"))</f>
        <v>0</v>
      </c>
      <c r="N266" s="25">
        <f>IF(OR(J266="",M266="",NOT(ISNUMBER(M266))),"",IF(K266&lt;&gt;L266,"",J266*M266))</f>
        <v>0</v>
      </c>
      <c r="O266" s="25">
        <f>IF(N266="","",IFERROR(N266/INDEX(Recipes!$G$5:$G$204,MATCH(B266,Recipes!$A$5:$A$204,0)),""))</f>
        <v>0</v>
      </c>
      <c r="P266" s="30">
        <f>IF(J266="","",IF(K266="each",J266,J266/100))</f>
        <v>0</v>
      </c>
      <c r="Q266" s="30">
        <f>IFERROR(IF(P266="","",P266*INDEX(Ingredients!$P$5:$P$304,MATCH(D266,Ingredients!$B$5:$B$304,0))),"")</f>
        <v>0</v>
      </c>
      <c r="R266" s="45">
        <f>IFERROR(IF(P266="","",P266*INDEX(Ingredients!$Q$5:$Q$304,MATCH(D266,Ingredients!$B$5:$B$304,0))),"")</f>
        <v>0</v>
      </c>
      <c r="S266" s="45">
        <f>IFERROR(IF(P266="","",P266*INDEX(Ingredients!$R$5:$R$304,MATCH(D266,Ingredients!$B$5:$B$304,0))),"")</f>
        <v>0</v>
      </c>
      <c r="T266" s="45">
        <f>IFERROR(IF(P266="","",P266*INDEX(Ingredients!$S$5:$S$304,MATCH(D266,Ingredients!$B$5:$B$304,0))),"")</f>
        <v>0</v>
      </c>
      <c r="U266" s="45">
        <f>IFERROR(IF(P266="","",P266*INDEX(Ingredients!$T$5:$T$304,MATCH(D266,Ingredients!$B$5:$B$304,0))),"")</f>
        <v>0</v>
      </c>
      <c r="V266" s="17">
        <f>IF(D266="","",IFERROR(INDEX(Ingredients!$W$5:$W$304,MATCH(D266,Ingredients!$B$5:$B$304,0)),"Add to Ingredients"))</f>
        <v>0</v>
      </c>
      <c r="W266" s="17">
        <f>IF(D266="","",IFERROR(INDEX(Ingredients!$C$5:$C$304,MATCH(D266,Ingredients!$B$5:$B$304,0)),"Add to Ingredients"))</f>
        <v>0</v>
      </c>
      <c r="X266" s="45">
        <f>IFERROR(INDEX(Recipes!$AT$5:$AT$204,MATCH(B266,Recipes!$A$5:$A$204,0)),0)</f>
        <v>0</v>
      </c>
      <c r="Y266" s="45">
        <f>IF(OR(J266="",X266=0),"",J266*X266)</f>
        <v>0</v>
      </c>
      <c r="Z266" s="17">
        <f>IF(D266="","",B266&amp;"#"&amp;COUNTIFS($B$5:B266,B266))</f>
        <v>0</v>
      </c>
      <c r="AA266" s="17">
        <f>IF(D266="","",B266&amp;"|"&amp;D266)</f>
        <v>0</v>
      </c>
      <c r="AB266" s="31">
        <f>IF(D266="","",IF(B266="","Add - which recipe?",IF(COUNTIFS(Ingredients!$B$5:$B$304,D266)=0,"Missing - not in the Ingredients tab",IF(E266="","Add - no quantity",IF(F266="","Add - no unit",IF(K266&lt;&gt;L266,"Check - recipe in "&amp;K266&amp;", priced in "&amp;L266,IF(COUNTIFS($AA$5:$AA$1204,AA266)&gt;1,"Duplicate - same ingredient twice","OK")))))))</f>
        <v>0</v>
      </c>
    </row>
    <row r="267" spans="1:28">
      <c r="A267" s="39">
        <f>IF(D267="","","RL-"&amp;TEXT(ROW()-4,"0000"))</f>
        <v>0</v>
      </c>
      <c r="C267" s="17">
        <f>IF(B267="","",IFERROR(INDEX(Recipes!$B$5:$B$204,MATCH(B267,Recipes!$A$5:$A$204,0)),"Not found"))</f>
        <v>0</v>
      </c>
      <c r="J267" s="45">
        <f>IF(E267="","",IFERROR(E267*INDEX(UnitFactors,MATCH(F267,UnitNames,0)),""))</f>
        <v>0</v>
      </c>
      <c r="K267" s="17">
        <f>IF(F267="","",IFERROR(INDEX(UnitBases,MATCH(F267,UnitNames,0)),"?"))</f>
        <v>0</v>
      </c>
      <c r="L267" s="17">
        <f>IF(D267="","",IFERROR(INDEX(Ingredients!$G$5:$G$304,MATCH(D267,Ingredients!$B$5:$B$304,0)),"Add to Ingredients"))</f>
        <v>0</v>
      </c>
      <c r="M267" s="25">
        <f>IF(D267="","",IFERROR(INDEX(Ingredients!$J$5:$J$304,MATCH(D267,Ingredients!$B$5:$B$304,0)),"Add to Ingredients"))</f>
        <v>0</v>
      </c>
      <c r="N267" s="25">
        <f>IF(OR(J267="",M267="",NOT(ISNUMBER(M267))),"",IF(K267&lt;&gt;L267,"",J267*M267))</f>
        <v>0</v>
      </c>
      <c r="O267" s="25">
        <f>IF(N267="","",IFERROR(N267/INDEX(Recipes!$G$5:$G$204,MATCH(B267,Recipes!$A$5:$A$204,0)),""))</f>
        <v>0</v>
      </c>
      <c r="P267" s="30">
        <f>IF(J267="","",IF(K267="each",J267,J267/100))</f>
        <v>0</v>
      </c>
      <c r="Q267" s="30">
        <f>IFERROR(IF(P267="","",P267*INDEX(Ingredients!$P$5:$P$304,MATCH(D267,Ingredients!$B$5:$B$304,0))),"")</f>
        <v>0</v>
      </c>
      <c r="R267" s="45">
        <f>IFERROR(IF(P267="","",P267*INDEX(Ingredients!$Q$5:$Q$304,MATCH(D267,Ingredients!$B$5:$B$304,0))),"")</f>
        <v>0</v>
      </c>
      <c r="S267" s="45">
        <f>IFERROR(IF(P267="","",P267*INDEX(Ingredients!$R$5:$R$304,MATCH(D267,Ingredients!$B$5:$B$304,0))),"")</f>
        <v>0</v>
      </c>
      <c r="T267" s="45">
        <f>IFERROR(IF(P267="","",P267*INDEX(Ingredients!$S$5:$S$304,MATCH(D267,Ingredients!$B$5:$B$304,0))),"")</f>
        <v>0</v>
      </c>
      <c r="U267" s="45">
        <f>IFERROR(IF(P267="","",P267*INDEX(Ingredients!$T$5:$T$304,MATCH(D267,Ingredients!$B$5:$B$304,0))),"")</f>
        <v>0</v>
      </c>
      <c r="V267" s="17">
        <f>IF(D267="","",IFERROR(INDEX(Ingredients!$W$5:$W$304,MATCH(D267,Ingredients!$B$5:$B$304,0)),"Add to Ingredients"))</f>
        <v>0</v>
      </c>
      <c r="W267" s="17">
        <f>IF(D267="","",IFERROR(INDEX(Ingredients!$C$5:$C$304,MATCH(D267,Ingredients!$B$5:$B$304,0)),"Add to Ingredients"))</f>
        <v>0</v>
      </c>
      <c r="X267" s="45">
        <f>IFERROR(INDEX(Recipes!$AT$5:$AT$204,MATCH(B267,Recipes!$A$5:$A$204,0)),0)</f>
        <v>0</v>
      </c>
      <c r="Y267" s="45">
        <f>IF(OR(J267="",X267=0),"",J267*X267)</f>
        <v>0</v>
      </c>
      <c r="Z267" s="17">
        <f>IF(D267="","",B267&amp;"#"&amp;COUNTIFS($B$5:B267,B267))</f>
        <v>0</v>
      </c>
      <c r="AA267" s="17">
        <f>IF(D267="","",B267&amp;"|"&amp;D267)</f>
        <v>0</v>
      </c>
      <c r="AB267" s="31">
        <f>IF(D267="","",IF(B267="","Add - which recipe?",IF(COUNTIFS(Ingredients!$B$5:$B$304,D267)=0,"Missing - not in the Ingredients tab",IF(E267="","Add - no quantity",IF(F267="","Add - no unit",IF(K267&lt;&gt;L267,"Check - recipe in "&amp;K267&amp;", priced in "&amp;L267,IF(COUNTIFS($AA$5:$AA$1204,AA267)&gt;1,"Duplicate - same ingredient twice","OK")))))))</f>
        <v>0</v>
      </c>
    </row>
    <row r="268" spans="1:28">
      <c r="A268" s="39">
        <f>IF(D268="","","RL-"&amp;TEXT(ROW()-4,"0000"))</f>
        <v>0</v>
      </c>
      <c r="C268" s="17">
        <f>IF(B268="","",IFERROR(INDEX(Recipes!$B$5:$B$204,MATCH(B268,Recipes!$A$5:$A$204,0)),"Not found"))</f>
        <v>0</v>
      </c>
      <c r="J268" s="45">
        <f>IF(E268="","",IFERROR(E268*INDEX(UnitFactors,MATCH(F268,UnitNames,0)),""))</f>
        <v>0</v>
      </c>
      <c r="K268" s="17">
        <f>IF(F268="","",IFERROR(INDEX(UnitBases,MATCH(F268,UnitNames,0)),"?"))</f>
        <v>0</v>
      </c>
      <c r="L268" s="17">
        <f>IF(D268="","",IFERROR(INDEX(Ingredients!$G$5:$G$304,MATCH(D268,Ingredients!$B$5:$B$304,0)),"Add to Ingredients"))</f>
        <v>0</v>
      </c>
      <c r="M268" s="25">
        <f>IF(D268="","",IFERROR(INDEX(Ingredients!$J$5:$J$304,MATCH(D268,Ingredients!$B$5:$B$304,0)),"Add to Ingredients"))</f>
        <v>0</v>
      </c>
      <c r="N268" s="25">
        <f>IF(OR(J268="",M268="",NOT(ISNUMBER(M268))),"",IF(K268&lt;&gt;L268,"",J268*M268))</f>
        <v>0</v>
      </c>
      <c r="O268" s="25">
        <f>IF(N268="","",IFERROR(N268/INDEX(Recipes!$G$5:$G$204,MATCH(B268,Recipes!$A$5:$A$204,0)),""))</f>
        <v>0</v>
      </c>
      <c r="P268" s="30">
        <f>IF(J268="","",IF(K268="each",J268,J268/100))</f>
        <v>0</v>
      </c>
      <c r="Q268" s="30">
        <f>IFERROR(IF(P268="","",P268*INDEX(Ingredients!$P$5:$P$304,MATCH(D268,Ingredients!$B$5:$B$304,0))),"")</f>
        <v>0</v>
      </c>
      <c r="R268" s="45">
        <f>IFERROR(IF(P268="","",P268*INDEX(Ingredients!$Q$5:$Q$304,MATCH(D268,Ingredients!$B$5:$B$304,0))),"")</f>
        <v>0</v>
      </c>
      <c r="S268" s="45">
        <f>IFERROR(IF(P268="","",P268*INDEX(Ingredients!$R$5:$R$304,MATCH(D268,Ingredients!$B$5:$B$304,0))),"")</f>
        <v>0</v>
      </c>
      <c r="T268" s="45">
        <f>IFERROR(IF(P268="","",P268*INDEX(Ingredients!$S$5:$S$304,MATCH(D268,Ingredients!$B$5:$B$304,0))),"")</f>
        <v>0</v>
      </c>
      <c r="U268" s="45">
        <f>IFERROR(IF(P268="","",P268*INDEX(Ingredients!$T$5:$T$304,MATCH(D268,Ingredients!$B$5:$B$304,0))),"")</f>
        <v>0</v>
      </c>
      <c r="V268" s="17">
        <f>IF(D268="","",IFERROR(INDEX(Ingredients!$W$5:$W$304,MATCH(D268,Ingredients!$B$5:$B$304,0)),"Add to Ingredients"))</f>
        <v>0</v>
      </c>
      <c r="W268" s="17">
        <f>IF(D268="","",IFERROR(INDEX(Ingredients!$C$5:$C$304,MATCH(D268,Ingredients!$B$5:$B$304,0)),"Add to Ingredients"))</f>
        <v>0</v>
      </c>
      <c r="X268" s="45">
        <f>IFERROR(INDEX(Recipes!$AT$5:$AT$204,MATCH(B268,Recipes!$A$5:$A$204,0)),0)</f>
        <v>0</v>
      </c>
      <c r="Y268" s="45">
        <f>IF(OR(J268="",X268=0),"",J268*X268)</f>
        <v>0</v>
      </c>
      <c r="Z268" s="17">
        <f>IF(D268="","",B268&amp;"#"&amp;COUNTIFS($B$5:B268,B268))</f>
        <v>0</v>
      </c>
      <c r="AA268" s="17">
        <f>IF(D268="","",B268&amp;"|"&amp;D268)</f>
        <v>0</v>
      </c>
      <c r="AB268" s="31">
        <f>IF(D268="","",IF(B268="","Add - which recipe?",IF(COUNTIFS(Ingredients!$B$5:$B$304,D268)=0,"Missing - not in the Ingredients tab",IF(E268="","Add - no quantity",IF(F268="","Add - no unit",IF(K268&lt;&gt;L268,"Check - recipe in "&amp;K268&amp;", priced in "&amp;L268,IF(COUNTIFS($AA$5:$AA$1204,AA268)&gt;1,"Duplicate - same ingredient twice","OK")))))))</f>
        <v>0</v>
      </c>
    </row>
    <row r="269" spans="1:28">
      <c r="A269" s="39">
        <f>IF(D269="","","RL-"&amp;TEXT(ROW()-4,"0000"))</f>
        <v>0</v>
      </c>
      <c r="C269" s="17">
        <f>IF(B269="","",IFERROR(INDEX(Recipes!$B$5:$B$204,MATCH(B269,Recipes!$A$5:$A$204,0)),"Not found"))</f>
        <v>0</v>
      </c>
      <c r="J269" s="45">
        <f>IF(E269="","",IFERROR(E269*INDEX(UnitFactors,MATCH(F269,UnitNames,0)),""))</f>
        <v>0</v>
      </c>
      <c r="K269" s="17">
        <f>IF(F269="","",IFERROR(INDEX(UnitBases,MATCH(F269,UnitNames,0)),"?"))</f>
        <v>0</v>
      </c>
      <c r="L269" s="17">
        <f>IF(D269="","",IFERROR(INDEX(Ingredients!$G$5:$G$304,MATCH(D269,Ingredients!$B$5:$B$304,0)),"Add to Ingredients"))</f>
        <v>0</v>
      </c>
      <c r="M269" s="25">
        <f>IF(D269="","",IFERROR(INDEX(Ingredients!$J$5:$J$304,MATCH(D269,Ingredients!$B$5:$B$304,0)),"Add to Ingredients"))</f>
        <v>0</v>
      </c>
      <c r="N269" s="25">
        <f>IF(OR(J269="",M269="",NOT(ISNUMBER(M269))),"",IF(K269&lt;&gt;L269,"",J269*M269))</f>
        <v>0</v>
      </c>
      <c r="O269" s="25">
        <f>IF(N269="","",IFERROR(N269/INDEX(Recipes!$G$5:$G$204,MATCH(B269,Recipes!$A$5:$A$204,0)),""))</f>
        <v>0</v>
      </c>
      <c r="P269" s="30">
        <f>IF(J269="","",IF(K269="each",J269,J269/100))</f>
        <v>0</v>
      </c>
      <c r="Q269" s="30">
        <f>IFERROR(IF(P269="","",P269*INDEX(Ingredients!$P$5:$P$304,MATCH(D269,Ingredients!$B$5:$B$304,0))),"")</f>
        <v>0</v>
      </c>
      <c r="R269" s="45">
        <f>IFERROR(IF(P269="","",P269*INDEX(Ingredients!$Q$5:$Q$304,MATCH(D269,Ingredients!$B$5:$B$304,0))),"")</f>
        <v>0</v>
      </c>
      <c r="S269" s="45">
        <f>IFERROR(IF(P269="","",P269*INDEX(Ingredients!$R$5:$R$304,MATCH(D269,Ingredients!$B$5:$B$304,0))),"")</f>
        <v>0</v>
      </c>
      <c r="T269" s="45">
        <f>IFERROR(IF(P269="","",P269*INDEX(Ingredients!$S$5:$S$304,MATCH(D269,Ingredients!$B$5:$B$304,0))),"")</f>
        <v>0</v>
      </c>
      <c r="U269" s="45">
        <f>IFERROR(IF(P269="","",P269*INDEX(Ingredients!$T$5:$T$304,MATCH(D269,Ingredients!$B$5:$B$304,0))),"")</f>
        <v>0</v>
      </c>
      <c r="V269" s="17">
        <f>IF(D269="","",IFERROR(INDEX(Ingredients!$W$5:$W$304,MATCH(D269,Ingredients!$B$5:$B$304,0)),"Add to Ingredients"))</f>
        <v>0</v>
      </c>
      <c r="W269" s="17">
        <f>IF(D269="","",IFERROR(INDEX(Ingredients!$C$5:$C$304,MATCH(D269,Ingredients!$B$5:$B$304,0)),"Add to Ingredients"))</f>
        <v>0</v>
      </c>
      <c r="X269" s="45">
        <f>IFERROR(INDEX(Recipes!$AT$5:$AT$204,MATCH(B269,Recipes!$A$5:$A$204,0)),0)</f>
        <v>0</v>
      </c>
      <c r="Y269" s="45">
        <f>IF(OR(J269="",X269=0),"",J269*X269)</f>
        <v>0</v>
      </c>
      <c r="Z269" s="17">
        <f>IF(D269="","",B269&amp;"#"&amp;COUNTIFS($B$5:B269,B269))</f>
        <v>0</v>
      </c>
      <c r="AA269" s="17">
        <f>IF(D269="","",B269&amp;"|"&amp;D269)</f>
        <v>0</v>
      </c>
      <c r="AB269" s="31">
        <f>IF(D269="","",IF(B269="","Add - which recipe?",IF(COUNTIFS(Ingredients!$B$5:$B$304,D269)=0,"Missing - not in the Ingredients tab",IF(E269="","Add - no quantity",IF(F269="","Add - no unit",IF(K269&lt;&gt;L269,"Check - recipe in "&amp;K269&amp;", priced in "&amp;L269,IF(COUNTIFS($AA$5:$AA$1204,AA269)&gt;1,"Duplicate - same ingredient twice","OK")))))))</f>
        <v>0</v>
      </c>
    </row>
    <row r="270" spans="1:28">
      <c r="A270" s="39">
        <f>IF(D270="","","RL-"&amp;TEXT(ROW()-4,"0000"))</f>
        <v>0</v>
      </c>
      <c r="C270" s="17">
        <f>IF(B270="","",IFERROR(INDEX(Recipes!$B$5:$B$204,MATCH(B270,Recipes!$A$5:$A$204,0)),"Not found"))</f>
        <v>0</v>
      </c>
      <c r="J270" s="45">
        <f>IF(E270="","",IFERROR(E270*INDEX(UnitFactors,MATCH(F270,UnitNames,0)),""))</f>
        <v>0</v>
      </c>
      <c r="K270" s="17">
        <f>IF(F270="","",IFERROR(INDEX(UnitBases,MATCH(F270,UnitNames,0)),"?"))</f>
        <v>0</v>
      </c>
      <c r="L270" s="17">
        <f>IF(D270="","",IFERROR(INDEX(Ingredients!$G$5:$G$304,MATCH(D270,Ingredients!$B$5:$B$304,0)),"Add to Ingredients"))</f>
        <v>0</v>
      </c>
      <c r="M270" s="25">
        <f>IF(D270="","",IFERROR(INDEX(Ingredients!$J$5:$J$304,MATCH(D270,Ingredients!$B$5:$B$304,0)),"Add to Ingredients"))</f>
        <v>0</v>
      </c>
      <c r="N270" s="25">
        <f>IF(OR(J270="",M270="",NOT(ISNUMBER(M270))),"",IF(K270&lt;&gt;L270,"",J270*M270))</f>
        <v>0</v>
      </c>
      <c r="O270" s="25">
        <f>IF(N270="","",IFERROR(N270/INDEX(Recipes!$G$5:$G$204,MATCH(B270,Recipes!$A$5:$A$204,0)),""))</f>
        <v>0</v>
      </c>
      <c r="P270" s="30">
        <f>IF(J270="","",IF(K270="each",J270,J270/100))</f>
        <v>0</v>
      </c>
      <c r="Q270" s="30">
        <f>IFERROR(IF(P270="","",P270*INDEX(Ingredients!$P$5:$P$304,MATCH(D270,Ingredients!$B$5:$B$304,0))),"")</f>
        <v>0</v>
      </c>
      <c r="R270" s="45">
        <f>IFERROR(IF(P270="","",P270*INDEX(Ingredients!$Q$5:$Q$304,MATCH(D270,Ingredients!$B$5:$B$304,0))),"")</f>
        <v>0</v>
      </c>
      <c r="S270" s="45">
        <f>IFERROR(IF(P270="","",P270*INDEX(Ingredients!$R$5:$R$304,MATCH(D270,Ingredients!$B$5:$B$304,0))),"")</f>
        <v>0</v>
      </c>
      <c r="T270" s="45">
        <f>IFERROR(IF(P270="","",P270*INDEX(Ingredients!$S$5:$S$304,MATCH(D270,Ingredients!$B$5:$B$304,0))),"")</f>
        <v>0</v>
      </c>
      <c r="U270" s="45">
        <f>IFERROR(IF(P270="","",P270*INDEX(Ingredients!$T$5:$T$304,MATCH(D270,Ingredients!$B$5:$B$304,0))),"")</f>
        <v>0</v>
      </c>
      <c r="V270" s="17">
        <f>IF(D270="","",IFERROR(INDEX(Ingredients!$W$5:$W$304,MATCH(D270,Ingredients!$B$5:$B$304,0)),"Add to Ingredients"))</f>
        <v>0</v>
      </c>
      <c r="W270" s="17">
        <f>IF(D270="","",IFERROR(INDEX(Ingredients!$C$5:$C$304,MATCH(D270,Ingredients!$B$5:$B$304,0)),"Add to Ingredients"))</f>
        <v>0</v>
      </c>
      <c r="X270" s="45">
        <f>IFERROR(INDEX(Recipes!$AT$5:$AT$204,MATCH(B270,Recipes!$A$5:$A$204,0)),0)</f>
        <v>0</v>
      </c>
      <c r="Y270" s="45">
        <f>IF(OR(J270="",X270=0),"",J270*X270)</f>
        <v>0</v>
      </c>
      <c r="Z270" s="17">
        <f>IF(D270="","",B270&amp;"#"&amp;COUNTIFS($B$5:B270,B270))</f>
        <v>0</v>
      </c>
      <c r="AA270" s="17">
        <f>IF(D270="","",B270&amp;"|"&amp;D270)</f>
        <v>0</v>
      </c>
      <c r="AB270" s="31">
        <f>IF(D270="","",IF(B270="","Add - which recipe?",IF(COUNTIFS(Ingredients!$B$5:$B$304,D270)=0,"Missing - not in the Ingredients tab",IF(E270="","Add - no quantity",IF(F270="","Add - no unit",IF(K270&lt;&gt;L270,"Check - recipe in "&amp;K270&amp;", priced in "&amp;L270,IF(COUNTIFS($AA$5:$AA$1204,AA270)&gt;1,"Duplicate - same ingredient twice","OK")))))))</f>
        <v>0</v>
      </c>
    </row>
    <row r="271" spans="1:28">
      <c r="A271" s="39">
        <f>IF(D271="","","RL-"&amp;TEXT(ROW()-4,"0000"))</f>
        <v>0</v>
      </c>
      <c r="C271" s="17">
        <f>IF(B271="","",IFERROR(INDEX(Recipes!$B$5:$B$204,MATCH(B271,Recipes!$A$5:$A$204,0)),"Not found"))</f>
        <v>0</v>
      </c>
      <c r="J271" s="45">
        <f>IF(E271="","",IFERROR(E271*INDEX(UnitFactors,MATCH(F271,UnitNames,0)),""))</f>
        <v>0</v>
      </c>
      <c r="K271" s="17">
        <f>IF(F271="","",IFERROR(INDEX(UnitBases,MATCH(F271,UnitNames,0)),"?"))</f>
        <v>0</v>
      </c>
      <c r="L271" s="17">
        <f>IF(D271="","",IFERROR(INDEX(Ingredients!$G$5:$G$304,MATCH(D271,Ingredients!$B$5:$B$304,0)),"Add to Ingredients"))</f>
        <v>0</v>
      </c>
      <c r="M271" s="25">
        <f>IF(D271="","",IFERROR(INDEX(Ingredients!$J$5:$J$304,MATCH(D271,Ingredients!$B$5:$B$304,0)),"Add to Ingredients"))</f>
        <v>0</v>
      </c>
      <c r="N271" s="25">
        <f>IF(OR(J271="",M271="",NOT(ISNUMBER(M271))),"",IF(K271&lt;&gt;L271,"",J271*M271))</f>
        <v>0</v>
      </c>
      <c r="O271" s="25">
        <f>IF(N271="","",IFERROR(N271/INDEX(Recipes!$G$5:$G$204,MATCH(B271,Recipes!$A$5:$A$204,0)),""))</f>
        <v>0</v>
      </c>
      <c r="P271" s="30">
        <f>IF(J271="","",IF(K271="each",J271,J271/100))</f>
        <v>0</v>
      </c>
      <c r="Q271" s="30">
        <f>IFERROR(IF(P271="","",P271*INDEX(Ingredients!$P$5:$P$304,MATCH(D271,Ingredients!$B$5:$B$304,0))),"")</f>
        <v>0</v>
      </c>
      <c r="R271" s="45">
        <f>IFERROR(IF(P271="","",P271*INDEX(Ingredients!$Q$5:$Q$304,MATCH(D271,Ingredients!$B$5:$B$304,0))),"")</f>
        <v>0</v>
      </c>
      <c r="S271" s="45">
        <f>IFERROR(IF(P271="","",P271*INDEX(Ingredients!$R$5:$R$304,MATCH(D271,Ingredients!$B$5:$B$304,0))),"")</f>
        <v>0</v>
      </c>
      <c r="T271" s="45">
        <f>IFERROR(IF(P271="","",P271*INDEX(Ingredients!$S$5:$S$304,MATCH(D271,Ingredients!$B$5:$B$304,0))),"")</f>
        <v>0</v>
      </c>
      <c r="U271" s="45">
        <f>IFERROR(IF(P271="","",P271*INDEX(Ingredients!$T$5:$T$304,MATCH(D271,Ingredients!$B$5:$B$304,0))),"")</f>
        <v>0</v>
      </c>
      <c r="V271" s="17">
        <f>IF(D271="","",IFERROR(INDEX(Ingredients!$W$5:$W$304,MATCH(D271,Ingredients!$B$5:$B$304,0)),"Add to Ingredients"))</f>
        <v>0</v>
      </c>
      <c r="W271" s="17">
        <f>IF(D271="","",IFERROR(INDEX(Ingredients!$C$5:$C$304,MATCH(D271,Ingredients!$B$5:$B$304,0)),"Add to Ingredients"))</f>
        <v>0</v>
      </c>
      <c r="X271" s="45">
        <f>IFERROR(INDEX(Recipes!$AT$5:$AT$204,MATCH(B271,Recipes!$A$5:$A$204,0)),0)</f>
        <v>0</v>
      </c>
      <c r="Y271" s="45">
        <f>IF(OR(J271="",X271=0),"",J271*X271)</f>
        <v>0</v>
      </c>
      <c r="Z271" s="17">
        <f>IF(D271="","",B271&amp;"#"&amp;COUNTIFS($B$5:B271,B271))</f>
        <v>0</v>
      </c>
      <c r="AA271" s="17">
        <f>IF(D271="","",B271&amp;"|"&amp;D271)</f>
        <v>0</v>
      </c>
      <c r="AB271" s="31">
        <f>IF(D271="","",IF(B271="","Add - which recipe?",IF(COUNTIFS(Ingredients!$B$5:$B$304,D271)=0,"Missing - not in the Ingredients tab",IF(E271="","Add - no quantity",IF(F271="","Add - no unit",IF(K271&lt;&gt;L271,"Check - recipe in "&amp;K271&amp;", priced in "&amp;L271,IF(COUNTIFS($AA$5:$AA$1204,AA271)&gt;1,"Duplicate - same ingredient twice","OK")))))))</f>
        <v>0</v>
      </c>
    </row>
    <row r="272" spans="1:28">
      <c r="A272" s="39">
        <f>IF(D272="","","RL-"&amp;TEXT(ROW()-4,"0000"))</f>
        <v>0</v>
      </c>
      <c r="C272" s="17">
        <f>IF(B272="","",IFERROR(INDEX(Recipes!$B$5:$B$204,MATCH(B272,Recipes!$A$5:$A$204,0)),"Not found"))</f>
        <v>0</v>
      </c>
      <c r="J272" s="45">
        <f>IF(E272="","",IFERROR(E272*INDEX(UnitFactors,MATCH(F272,UnitNames,0)),""))</f>
        <v>0</v>
      </c>
      <c r="K272" s="17">
        <f>IF(F272="","",IFERROR(INDEX(UnitBases,MATCH(F272,UnitNames,0)),"?"))</f>
        <v>0</v>
      </c>
      <c r="L272" s="17">
        <f>IF(D272="","",IFERROR(INDEX(Ingredients!$G$5:$G$304,MATCH(D272,Ingredients!$B$5:$B$304,0)),"Add to Ingredients"))</f>
        <v>0</v>
      </c>
      <c r="M272" s="25">
        <f>IF(D272="","",IFERROR(INDEX(Ingredients!$J$5:$J$304,MATCH(D272,Ingredients!$B$5:$B$304,0)),"Add to Ingredients"))</f>
        <v>0</v>
      </c>
      <c r="N272" s="25">
        <f>IF(OR(J272="",M272="",NOT(ISNUMBER(M272))),"",IF(K272&lt;&gt;L272,"",J272*M272))</f>
        <v>0</v>
      </c>
      <c r="O272" s="25">
        <f>IF(N272="","",IFERROR(N272/INDEX(Recipes!$G$5:$G$204,MATCH(B272,Recipes!$A$5:$A$204,0)),""))</f>
        <v>0</v>
      </c>
      <c r="P272" s="30">
        <f>IF(J272="","",IF(K272="each",J272,J272/100))</f>
        <v>0</v>
      </c>
      <c r="Q272" s="30">
        <f>IFERROR(IF(P272="","",P272*INDEX(Ingredients!$P$5:$P$304,MATCH(D272,Ingredients!$B$5:$B$304,0))),"")</f>
        <v>0</v>
      </c>
      <c r="R272" s="45">
        <f>IFERROR(IF(P272="","",P272*INDEX(Ingredients!$Q$5:$Q$304,MATCH(D272,Ingredients!$B$5:$B$304,0))),"")</f>
        <v>0</v>
      </c>
      <c r="S272" s="45">
        <f>IFERROR(IF(P272="","",P272*INDEX(Ingredients!$R$5:$R$304,MATCH(D272,Ingredients!$B$5:$B$304,0))),"")</f>
        <v>0</v>
      </c>
      <c r="T272" s="45">
        <f>IFERROR(IF(P272="","",P272*INDEX(Ingredients!$S$5:$S$304,MATCH(D272,Ingredients!$B$5:$B$304,0))),"")</f>
        <v>0</v>
      </c>
      <c r="U272" s="45">
        <f>IFERROR(IF(P272="","",P272*INDEX(Ingredients!$T$5:$T$304,MATCH(D272,Ingredients!$B$5:$B$304,0))),"")</f>
        <v>0</v>
      </c>
      <c r="V272" s="17">
        <f>IF(D272="","",IFERROR(INDEX(Ingredients!$W$5:$W$304,MATCH(D272,Ingredients!$B$5:$B$304,0)),"Add to Ingredients"))</f>
        <v>0</v>
      </c>
      <c r="W272" s="17">
        <f>IF(D272="","",IFERROR(INDEX(Ingredients!$C$5:$C$304,MATCH(D272,Ingredients!$B$5:$B$304,0)),"Add to Ingredients"))</f>
        <v>0</v>
      </c>
      <c r="X272" s="45">
        <f>IFERROR(INDEX(Recipes!$AT$5:$AT$204,MATCH(B272,Recipes!$A$5:$A$204,0)),0)</f>
        <v>0</v>
      </c>
      <c r="Y272" s="45">
        <f>IF(OR(J272="",X272=0),"",J272*X272)</f>
        <v>0</v>
      </c>
      <c r="Z272" s="17">
        <f>IF(D272="","",B272&amp;"#"&amp;COUNTIFS($B$5:B272,B272))</f>
        <v>0</v>
      </c>
      <c r="AA272" s="17">
        <f>IF(D272="","",B272&amp;"|"&amp;D272)</f>
        <v>0</v>
      </c>
      <c r="AB272" s="31">
        <f>IF(D272="","",IF(B272="","Add - which recipe?",IF(COUNTIFS(Ingredients!$B$5:$B$304,D272)=0,"Missing - not in the Ingredients tab",IF(E272="","Add - no quantity",IF(F272="","Add - no unit",IF(K272&lt;&gt;L272,"Check - recipe in "&amp;K272&amp;", priced in "&amp;L272,IF(COUNTIFS($AA$5:$AA$1204,AA272)&gt;1,"Duplicate - same ingredient twice","OK")))))))</f>
        <v>0</v>
      </c>
    </row>
    <row r="273" spans="1:28">
      <c r="A273" s="39">
        <f>IF(D273="","","RL-"&amp;TEXT(ROW()-4,"0000"))</f>
        <v>0</v>
      </c>
      <c r="C273" s="17">
        <f>IF(B273="","",IFERROR(INDEX(Recipes!$B$5:$B$204,MATCH(B273,Recipes!$A$5:$A$204,0)),"Not found"))</f>
        <v>0</v>
      </c>
      <c r="J273" s="45">
        <f>IF(E273="","",IFERROR(E273*INDEX(UnitFactors,MATCH(F273,UnitNames,0)),""))</f>
        <v>0</v>
      </c>
      <c r="K273" s="17">
        <f>IF(F273="","",IFERROR(INDEX(UnitBases,MATCH(F273,UnitNames,0)),"?"))</f>
        <v>0</v>
      </c>
      <c r="L273" s="17">
        <f>IF(D273="","",IFERROR(INDEX(Ingredients!$G$5:$G$304,MATCH(D273,Ingredients!$B$5:$B$304,0)),"Add to Ingredients"))</f>
        <v>0</v>
      </c>
      <c r="M273" s="25">
        <f>IF(D273="","",IFERROR(INDEX(Ingredients!$J$5:$J$304,MATCH(D273,Ingredients!$B$5:$B$304,0)),"Add to Ingredients"))</f>
        <v>0</v>
      </c>
      <c r="N273" s="25">
        <f>IF(OR(J273="",M273="",NOT(ISNUMBER(M273))),"",IF(K273&lt;&gt;L273,"",J273*M273))</f>
        <v>0</v>
      </c>
      <c r="O273" s="25">
        <f>IF(N273="","",IFERROR(N273/INDEX(Recipes!$G$5:$G$204,MATCH(B273,Recipes!$A$5:$A$204,0)),""))</f>
        <v>0</v>
      </c>
      <c r="P273" s="30">
        <f>IF(J273="","",IF(K273="each",J273,J273/100))</f>
        <v>0</v>
      </c>
      <c r="Q273" s="30">
        <f>IFERROR(IF(P273="","",P273*INDEX(Ingredients!$P$5:$P$304,MATCH(D273,Ingredients!$B$5:$B$304,0))),"")</f>
        <v>0</v>
      </c>
      <c r="R273" s="45">
        <f>IFERROR(IF(P273="","",P273*INDEX(Ingredients!$Q$5:$Q$304,MATCH(D273,Ingredients!$B$5:$B$304,0))),"")</f>
        <v>0</v>
      </c>
      <c r="S273" s="45">
        <f>IFERROR(IF(P273="","",P273*INDEX(Ingredients!$R$5:$R$304,MATCH(D273,Ingredients!$B$5:$B$304,0))),"")</f>
        <v>0</v>
      </c>
      <c r="T273" s="45">
        <f>IFERROR(IF(P273="","",P273*INDEX(Ingredients!$S$5:$S$304,MATCH(D273,Ingredients!$B$5:$B$304,0))),"")</f>
        <v>0</v>
      </c>
      <c r="U273" s="45">
        <f>IFERROR(IF(P273="","",P273*INDEX(Ingredients!$T$5:$T$304,MATCH(D273,Ingredients!$B$5:$B$304,0))),"")</f>
        <v>0</v>
      </c>
      <c r="V273" s="17">
        <f>IF(D273="","",IFERROR(INDEX(Ingredients!$W$5:$W$304,MATCH(D273,Ingredients!$B$5:$B$304,0)),"Add to Ingredients"))</f>
        <v>0</v>
      </c>
      <c r="W273" s="17">
        <f>IF(D273="","",IFERROR(INDEX(Ingredients!$C$5:$C$304,MATCH(D273,Ingredients!$B$5:$B$304,0)),"Add to Ingredients"))</f>
        <v>0</v>
      </c>
      <c r="X273" s="45">
        <f>IFERROR(INDEX(Recipes!$AT$5:$AT$204,MATCH(B273,Recipes!$A$5:$A$204,0)),0)</f>
        <v>0</v>
      </c>
      <c r="Y273" s="45">
        <f>IF(OR(J273="",X273=0),"",J273*X273)</f>
        <v>0</v>
      </c>
      <c r="Z273" s="17">
        <f>IF(D273="","",B273&amp;"#"&amp;COUNTIFS($B$5:B273,B273))</f>
        <v>0</v>
      </c>
      <c r="AA273" s="17">
        <f>IF(D273="","",B273&amp;"|"&amp;D273)</f>
        <v>0</v>
      </c>
      <c r="AB273" s="31">
        <f>IF(D273="","",IF(B273="","Add - which recipe?",IF(COUNTIFS(Ingredients!$B$5:$B$304,D273)=0,"Missing - not in the Ingredients tab",IF(E273="","Add - no quantity",IF(F273="","Add - no unit",IF(K273&lt;&gt;L273,"Check - recipe in "&amp;K273&amp;", priced in "&amp;L273,IF(COUNTIFS($AA$5:$AA$1204,AA273)&gt;1,"Duplicate - same ingredient twice","OK")))))))</f>
        <v>0</v>
      </c>
    </row>
    <row r="274" spans="1:28">
      <c r="A274" s="39">
        <f>IF(D274="","","RL-"&amp;TEXT(ROW()-4,"0000"))</f>
        <v>0</v>
      </c>
      <c r="C274" s="17">
        <f>IF(B274="","",IFERROR(INDEX(Recipes!$B$5:$B$204,MATCH(B274,Recipes!$A$5:$A$204,0)),"Not found"))</f>
        <v>0</v>
      </c>
      <c r="J274" s="45">
        <f>IF(E274="","",IFERROR(E274*INDEX(UnitFactors,MATCH(F274,UnitNames,0)),""))</f>
        <v>0</v>
      </c>
      <c r="K274" s="17">
        <f>IF(F274="","",IFERROR(INDEX(UnitBases,MATCH(F274,UnitNames,0)),"?"))</f>
        <v>0</v>
      </c>
      <c r="L274" s="17">
        <f>IF(D274="","",IFERROR(INDEX(Ingredients!$G$5:$G$304,MATCH(D274,Ingredients!$B$5:$B$304,0)),"Add to Ingredients"))</f>
        <v>0</v>
      </c>
      <c r="M274" s="25">
        <f>IF(D274="","",IFERROR(INDEX(Ingredients!$J$5:$J$304,MATCH(D274,Ingredients!$B$5:$B$304,0)),"Add to Ingredients"))</f>
        <v>0</v>
      </c>
      <c r="N274" s="25">
        <f>IF(OR(J274="",M274="",NOT(ISNUMBER(M274))),"",IF(K274&lt;&gt;L274,"",J274*M274))</f>
        <v>0</v>
      </c>
      <c r="O274" s="25">
        <f>IF(N274="","",IFERROR(N274/INDEX(Recipes!$G$5:$G$204,MATCH(B274,Recipes!$A$5:$A$204,0)),""))</f>
        <v>0</v>
      </c>
      <c r="P274" s="30">
        <f>IF(J274="","",IF(K274="each",J274,J274/100))</f>
        <v>0</v>
      </c>
      <c r="Q274" s="30">
        <f>IFERROR(IF(P274="","",P274*INDEX(Ingredients!$P$5:$P$304,MATCH(D274,Ingredients!$B$5:$B$304,0))),"")</f>
        <v>0</v>
      </c>
      <c r="R274" s="45">
        <f>IFERROR(IF(P274="","",P274*INDEX(Ingredients!$Q$5:$Q$304,MATCH(D274,Ingredients!$B$5:$B$304,0))),"")</f>
        <v>0</v>
      </c>
      <c r="S274" s="45">
        <f>IFERROR(IF(P274="","",P274*INDEX(Ingredients!$R$5:$R$304,MATCH(D274,Ingredients!$B$5:$B$304,0))),"")</f>
        <v>0</v>
      </c>
      <c r="T274" s="45">
        <f>IFERROR(IF(P274="","",P274*INDEX(Ingredients!$S$5:$S$304,MATCH(D274,Ingredients!$B$5:$B$304,0))),"")</f>
        <v>0</v>
      </c>
      <c r="U274" s="45">
        <f>IFERROR(IF(P274="","",P274*INDEX(Ingredients!$T$5:$T$304,MATCH(D274,Ingredients!$B$5:$B$304,0))),"")</f>
        <v>0</v>
      </c>
      <c r="V274" s="17">
        <f>IF(D274="","",IFERROR(INDEX(Ingredients!$W$5:$W$304,MATCH(D274,Ingredients!$B$5:$B$304,0)),"Add to Ingredients"))</f>
        <v>0</v>
      </c>
      <c r="W274" s="17">
        <f>IF(D274="","",IFERROR(INDEX(Ingredients!$C$5:$C$304,MATCH(D274,Ingredients!$B$5:$B$304,0)),"Add to Ingredients"))</f>
        <v>0</v>
      </c>
      <c r="X274" s="45">
        <f>IFERROR(INDEX(Recipes!$AT$5:$AT$204,MATCH(B274,Recipes!$A$5:$A$204,0)),0)</f>
        <v>0</v>
      </c>
      <c r="Y274" s="45">
        <f>IF(OR(J274="",X274=0),"",J274*X274)</f>
        <v>0</v>
      </c>
      <c r="Z274" s="17">
        <f>IF(D274="","",B274&amp;"#"&amp;COUNTIFS($B$5:B274,B274))</f>
        <v>0</v>
      </c>
      <c r="AA274" s="17">
        <f>IF(D274="","",B274&amp;"|"&amp;D274)</f>
        <v>0</v>
      </c>
      <c r="AB274" s="31">
        <f>IF(D274="","",IF(B274="","Add - which recipe?",IF(COUNTIFS(Ingredients!$B$5:$B$304,D274)=0,"Missing - not in the Ingredients tab",IF(E274="","Add - no quantity",IF(F274="","Add - no unit",IF(K274&lt;&gt;L274,"Check - recipe in "&amp;K274&amp;", priced in "&amp;L274,IF(COUNTIFS($AA$5:$AA$1204,AA274)&gt;1,"Duplicate - same ingredient twice","OK")))))))</f>
        <v>0</v>
      </c>
    </row>
    <row r="275" spans="1:28">
      <c r="A275" s="39">
        <f>IF(D275="","","RL-"&amp;TEXT(ROW()-4,"0000"))</f>
        <v>0</v>
      </c>
      <c r="C275" s="17">
        <f>IF(B275="","",IFERROR(INDEX(Recipes!$B$5:$B$204,MATCH(B275,Recipes!$A$5:$A$204,0)),"Not found"))</f>
        <v>0</v>
      </c>
      <c r="J275" s="45">
        <f>IF(E275="","",IFERROR(E275*INDEX(UnitFactors,MATCH(F275,UnitNames,0)),""))</f>
        <v>0</v>
      </c>
      <c r="K275" s="17">
        <f>IF(F275="","",IFERROR(INDEX(UnitBases,MATCH(F275,UnitNames,0)),"?"))</f>
        <v>0</v>
      </c>
      <c r="L275" s="17">
        <f>IF(D275="","",IFERROR(INDEX(Ingredients!$G$5:$G$304,MATCH(D275,Ingredients!$B$5:$B$304,0)),"Add to Ingredients"))</f>
        <v>0</v>
      </c>
      <c r="M275" s="25">
        <f>IF(D275="","",IFERROR(INDEX(Ingredients!$J$5:$J$304,MATCH(D275,Ingredients!$B$5:$B$304,0)),"Add to Ingredients"))</f>
        <v>0</v>
      </c>
      <c r="N275" s="25">
        <f>IF(OR(J275="",M275="",NOT(ISNUMBER(M275))),"",IF(K275&lt;&gt;L275,"",J275*M275))</f>
        <v>0</v>
      </c>
      <c r="O275" s="25">
        <f>IF(N275="","",IFERROR(N275/INDEX(Recipes!$G$5:$G$204,MATCH(B275,Recipes!$A$5:$A$204,0)),""))</f>
        <v>0</v>
      </c>
      <c r="P275" s="30">
        <f>IF(J275="","",IF(K275="each",J275,J275/100))</f>
        <v>0</v>
      </c>
      <c r="Q275" s="30">
        <f>IFERROR(IF(P275="","",P275*INDEX(Ingredients!$P$5:$P$304,MATCH(D275,Ingredients!$B$5:$B$304,0))),"")</f>
        <v>0</v>
      </c>
      <c r="R275" s="45">
        <f>IFERROR(IF(P275="","",P275*INDEX(Ingredients!$Q$5:$Q$304,MATCH(D275,Ingredients!$B$5:$B$304,0))),"")</f>
        <v>0</v>
      </c>
      <c r="S275" s="45">
        <f>IFERROR(IF(P275="","",P275*INDEX(Ingredients!$R$5:$R$304,MATCH(D275,Ingredients!$B$5:$B$304,0))),"")</f>
        <v>0</v>
      </c>
      <c r="T275" s="45">
        <f>IFERROR(IF(P275="","",P275*INDEX(Ingredients!$S$5:$S$304,MATCH(D275,Ingredients!$B$5:$B$304,0))),"")</f>
        <v>0</v>
      </c>
      <c r="U275" s="45">
        <f>IFERROR(IF(P275="","",P275*INDEX(Ingredients!$T$5:$T$304,MATCH(D275,Ingredients!$B$5:$B$304,0))),"")</f>
        <v>0</v>
      </c>
      <c r="V275" s="17">
        <f>IF(D275="","",IFERROR(INDEX(Ingredients!$W$5:$W$304,MATCH(D275,Ingredients!$B$5:$B$304,0)),"Add to Ingredients"))</f>
        <v>0</v>
      </c>
      <c r="W275" s="17">
        <f>IF(D275="","",IFERROR(INDEX(Ingredients!$C$5:$C$304,MATCH(D275,Ingredients!$B$5:$B$304,0)),"Add to Ingredients"))</f>
        <v>0</v>
      </c>
      <c r="X275" s="45">
        <f>IFERROR(INDEX(Recipes!$AT$5:$AT$204,MATCH(B275,Recipes!$A$5:$A$204,0)),0)</f>
        <v>0</v>
      </c>
      <c r="Y275" s="45">
        <f>IF(OR(J275="",X275=0),"",J275*X275)</f>
        <v>0</v>
      </c>
      <c r="Z275" s="17">
        <f>IF(D275="","",B275&amp;"#"&amp;COUNTIFS($B$5:B275,B275))</f>
        <v>0</v>
      </c>
      <c r="AA275" s="17">
        <f>IF(D275="","",B275&amp;"|"&amp;D275)</f>
        <v>0</v>
      </c>
      <c r="AB275" s="31">
        <f>IF(D275="","",IF(B275="","Add - which recipe?",IF(COUNTIFS(Ingredients!$B$5:$B$304,D275)=0,"Missing - not in the Ingredients tab",IF(E275="","Add - no quantity",IF(F275="","Add - no unit",IF(K275&lt;&gt;L275,"Check - recipe in "&amp;K275&amp;", priced in "&amp;L275,IF(COUNTIFS($AA$5:$AA$1204,AA275)&gt;1,"Duplicate - same ingredient twice","OK")))))))</f>
        <v>0</v>
      </c>
    </row>
    <row r="276" spans="1:28">
      <c r="A276" s="39">
        <f>IF(D276="","","RL-"&amp;TEXT(ROW()-4,"0000"))</f>
        <v>0</v>
      </c>
      <c r="C276" s="17">
        <f>IF(B276="","",IFERROR(INDEX(Recipes!$B$5:$B$204,MATCH(B276,Recipes!$A$5:$A$204,0)),"Not found"))</f>
        <v>0</v>
      </c>
      <c r="J276" s="45">
        <f>IF(E276="","",IFERROR(E276*INDEX(UnitFactors,MATCH(F276,UnitNames,0)),""))</f>
        <v>0</v>
      </c>
      <c r="K276" s="17">
        <f>IF(F276="","",IFERROR(INDEX(UnitBases,MATCH(F276,UnitNames,0)),"?"))</f>
        <v>0</v>
      </c>
      <c r="L276" s="17">
        <f>IF(D276="","",IFERROR(INDEX(Ingredients!$G$5:$G$304,MATCH(D276,Ingredients!$B$5:$B$304,0)),"Add to Ingredients"))</f>
        <v>0</v>
      </c>
      <c r="M276" s="25">
        <f>IF(D276="","",IFERROR(INDEX(Ingredients!$J$5:$J$304,MATCH(D276,Ingredients!$B$5:$B$304,0)),"Add to Ingredients"))</f>
        <v>0</v>
      </c>
      <c r="N276" s="25">
        <f>IF(OR(J276="",M276="",NOT(ISNUMBER(M276))),"",IF(K276&lt;&gt;L276,"",J276*M276))</f>
        <v>0</v>
      </c>
      <c r="O276" s="25">
        <f>IF(N276="","",IFERROR(N276/INDEX(Recipes!$G$5:$G$204,MATCH(B276,Recipes!$A$5:$A$204,0)),""))</f>
        <v>0</v>
      </c>
      <c r="P276" s="30">
        <f>IF(J276="","",IF(K276="each",J276,J276/100))</f>
        <v>0</v>
      </c>
      <c r="Q276" s="30">
        <f>IFERROR(IF(P276="","",P276*INDEX(Ingredients!$P$5:$P$304,MATCH(D276,Ingredients!$B$5:$B$304,0))),"")</f>
        <v>0</v>
      </c>
      <c r="R276" s="45">
        <f>IFERROR(IF(P276="","",P276*INDEX(Ingredients!$Q$5:$Q$304,MATCH(D276,Ingredients!$B$5:$B$304,0))),"")</f>
        <v>0</v>
      </c>
      <c r="S276" s="45">
        <f>IFERROR(IF(P276="","",P276*INDEX(Ingredients!$R$5:$R$304,MATCH(D276,Ingredients!$B$5:$B$304,0))),"")</f>
        <v>0</v>
      </c>
      <c r="T276" s="45">
        <f>IFERROR(IF(P276="","",P276*INDEX(Ingredients!$S$5:$S$304,MATCH(D276,Ingredients!$B$5:$B$304,0))),"")</f>
        <v>0</v>
      </c>
      <c r="U276" s="45">
        <f>IFERROR(IF(P276="","",P276*INDEX(Ingredients!$T$5:$T$304,MATCH(D276,Ingredients!$B$5:$B$304,0))),"")</f>
        <v>0</v>
      </c>
      <c r="V276" s="17">
        <f>IF(D276="","",IFERROR(INDEX(Ingredients!$W$5:$W$304,MATCH(D276,Ingredients!$B$5:$B$304,0)),"Add to Ingredients"))</f>
        <v>0</v>
      </c>
      <c r="W276" s="17">
        <f>IF(D276="","",IFERROR(INDEX(Ingredients!$C$5:$C$304,MATCH(D276,Ingredients!$B$5:$B$304,0)),"Add to Ingredients"))</f>
        <v>0</v>
      </c>
      <c r="X276" s="45">
        <f>IFERROR(INDEX(Recipes!$AT$5:$AT$204,MATCH(B276,Recipes!$A$5:$A$204,0)),0)</f>
        <v>0</v>
      </c>
      <c r="Y276" s="45">
        <f>IF(OR(J276="",X276=0),"",J276*X276)</f>
        <v>0</v>
      </c>
      <c r="Z276" s="17">
        <f>IF(D276="","",B276&amp;"#"&amp;COUNTIFS($B$5:B276,B276))</f>
        <v>0</v>
      </c>
      <c r="AA276" s="17">
        <f>IF(D276="","",B276&amp;"|"&amp;D276)</f>
        <v>0</v>
      </c>
      <c r="AB276" s="31">
        <f>IF(D276="","",IF(B276="","Add - which recipe?",IF(COUNTIFS(Ingredients!$B$5:$B$304,D276)=0,"Missing - not in the Ingredients tab",IF(E276="","Add - no quantity",IF(F276="","Add - no unit",IF(K276&lt;&gt;L276,"Check - recipe in "&amp;K276&amp;", priced in "&amp;L276,IF(COUNTIFS($AA$5:$AA$1204,AA276)&gt;1,"Duplicate - same ingredient twice","OK")))))))</f>
        <v>0</v>
      </c>
    </row>
    <row r="277" spans="1:28">
      <c r="A277" s="39">
        <f>IF(D277="","","RL-"&amp;TEXT(ROW()-4,"0000"))</f>
        <v>0</v>
      </c>
      <c r="C277" s="17">
        <f>IF(B277="","",IFERROR(INDEX(Recipes!$B$5:$B$204,MATCH(B277,Recipes!$A$5:$A$204,0)),"Not found"))</f>
        <v>0</v>
      </c>
      <c r="J277" s="45">
        <f>IF(E277="","",IFERROR(E277*INDEX(UnitFactors,MATCH(F277,UnitNames,0)),""))</f>
        <v>0</v>
      </c>
      <c r="K277" s="17">
        <f>IF(F277="","",IFERROR(INDEX(UnitBases,MATCH(F277,UnitNames,0)),"?"))</f>
        <v>0</v>
      </c>
      <c r="L277" s="17">
        <f>IF(D277="","",IFERROR(INDEX(Ingredients!$G$5:$G$304,MATCH(D277,Ingredients!$B$5:$B$304,0)),"Add to Ingredients"))</f>
        <v>0</v>
      </c>
      <c r="M277" s="25">
        <f>IF(D277="","",IFERROR(INDEX(Ingredients!$J$5:$J$304,MATCH(D277,Ingredients!$B$5:$B$304,0)),"Add to Ingredients"))</f>
        <v>0</v>
      </c>
      <c r="N277" s="25">
        <f>IF(OR(J277="",M277="",NOT(ISNUMBER(M277))),"",IF(K277&lt;&gt;L277,"",J277*M277))</f>
        <v>0</v>
      </c>
      <c r="O277" s="25">
        <f>IF(N277="","",IFERROR(N277/INDEX(Recipes!$G$5:$G$204,MATCH(B277,Recipes!$A$5:$A$204,0)),""))</f>
        <v>0</v>
      </c>
      <c r="P277" s="30">
        <f>IF(J277="","",IF(K277="each",J277,J277/100))</f>
        <v>0</v>
      </c>
      <c r="Q277" s="30">
        <f>IFERROR(IF(P277="","",P277*INDEX(Ingredients!$P$5:$P$304,MATCH(D277,Ingredients!$B$5:$B$304,0))),"")</f>
        <v>0</v>
      </c>
      <c r="R277" s="45">
        <f>IFERROR(IF(P277="","",P277*INDEX(Ingredients!$Q$5:$Q$304,MATCH(D277,Ingredients!$B$5:$B$304,0))),"")</f>
        <v>0</v>
      </c>
      <c r="S277" s="45">
        <f>IFERROR(IF(P277="","",P277*INDEX(Ingredients!$R$5:$R$304,MATCH(D277,Ingredients!$B$5:$B$304,0))),"")</f>
        <v>0</v>
      </c>
      <c r="T277" s="45">
        <f>IFERROR(IF(P277="","",P277*INDEX(Ingredients!$S$5:$S$304,MATCH(D277,Ingredients!$B$5:$B$304,0))),"")</f>
        <v>0</v>
      </c>
      <c r="U277" s="45">
        <f>IFERROR(IF(P277="","",P277*INDEX(Ingredients!$T$5:$T$304,MATCH(D277,Ingredients!$B$5:$B$304,0))),"")</f>
        <v>0</v>
      </c>
      <c r="V277" s="17">
        <f>IF(D277="","",IFERROR(INDEX(Ingredients!$W$5:$W$304,MATCH(D277,Ingredients!$B$5:$B$304,0)),"Add to Ingredients"))</f>
        <v>0</v>
      </c>
      <c r="W277" s="17">
        <f>IF(D277="","",IFERROR(INDEX(Ingredients!$C$5:$C$304,MATCH(D277,Ingredients!$B$5:$B$304,0)),"Add to Ingredients"))</f>
        <v>0</v>
      </c>
      <c r="X277" s="45">
        <f>IFERROR(INDEX(Recipes!$AT$5:$AT$204,MATCH(B277,Recipes!$A$5:$A$204,0)),0)</f>
        <v>0</v>
      </c>
      <c r="Y277" s="45">
        <f>IF(OR(J277="",X277=0),"",J277*X277)</f>
        <v>0</v>
      </c>
      <c r="Z277" s="17">
        <f>IF(D277="","",B277&amp;"#"&amp;COUNTIFS($B$5:B277,B277))</f>
        <v>0</v>
      </c>
      <c r="AA277" s="17">
        <f>IF(D277="","",B277&amp;"|"&amp;D277)</f>
        <v>0</v>
      </c>
      <c r="AB277" s="31">
        <f>IF(D277="","",IF(B277="","Add - which recipe?",IF(COUNTIFS(Ingredients!$B$5:$B$304,D277)=0,"Missing - not in the Ingredients tab",IF(E277="","Add - no quantity",IF(F277="","Add - no unit",IF(K277&lt;&gt;L277,"Check - recipe in "&amp;K277&amp;", priced in "&amp;L277,IF(COUNTIFS($AA$5:$AA$1204,AA277)&gt;1,"Duplicate - same ingredient twice","OK")))))))</f>
        <v>0</v>
      </c>
    </row>
    <row r="278" spans="1:28">
      <c r="A278" s="39">
        <f>IF(D278="","","RL-"&amp;TEXT(ROW()-4,"0000"))</f>
        <v>0</v>
      </c>
      <c r="C278" s="17">
        <f>IF(B278="","",IFERROR(INDEX(Recipes!$B$5:$B$204,MATCH(B278,Recipes!$A$5:$A$204,0)),"Not found"))</f>
        <v>0</v>
      </c>
      <c r="J278" s="45">
        <f>IF(E278="","",IFERROR(E278*INDEX(UnitFactors,MATCH(F278,UnitNames,0)),""))</f>
        <v>0</v>
      </c>
      <c r="K278" s="17">
        <f>IF(F278="","",IFERROR(INDEX(UnitBases,MATCH(F278,UnitNames,0)),"?"))</f>
        <v>0</v>
      </c>
      <c r="L278" s="17">
        <f>IF(D278="","",IFERROR(INDEX(Ingredients!$G$5:$G$304,MATCH(D278,Ingredients!$B$5:$B$304,0)),"Add to Ingredients"))</f>
        <v>0</v>
      </c>
      <c r="M278" s="25">
        <f>IF(D278="","",IFERROR(INDEX(Ingredients!$J$5:$J$304,MATCH(D278,Ingredients!$B$5:$B$304,0)),"Add to Ingredients"))</f>
        <v>0</v>
      </c>
      <c r="N278" s="25">
        <f>IF(OR(J278="",M278="",NOT(ISNUMBER(M278))),"",IF(K278&lt;&gt;L278,"",J278*M278))</f>
        <v>0</v>
      </c>
      <c r="O278" s="25">
        <f>IF(N278="","",IFERROR(N278/INDEX(Recipes!$G$5:$G$204,MATCH(B278,Recipes!$A$5:$A$204,0)),""))</f>
        <v>0</v>
      </c>
      <c r="P278" s="30">
        <f>IF(J278="","",IF(K278="each",J278,J278/100))</f>
        <v>0</v>
      </c>
      <c r="Q278" s="30">
        <f>IFERROR(IF(P278="","",P278*INDEX(Ingredients!$P$5:$P$304,MATCH(D278,Ingredients!$B$5:$B$304,0))),"")</f>
        <v>0</v>
      </c>
      <c r="R278" s="45">
        <f>IFERROR(IF(P278="","",P278*INDEX(Ingredients!$Q$5:$Q$304,MATCH(D278,Ingredients!$B$5:$B$304,0))),"")</f>
        <v>0</v>
      </c>
      <c r="S278" s="45">
        <f>IFERROR(IF(P278="","",P278*INDEX(Ingredients!$R$5:$R$304,MATCH(D278,Ingredients!$B$5:$B$304,0))),"")</f>
        <v>0</v>
      </c>
      <c r="T278" s="45">
        <f>IFERROR(IF(P278="","",P278*INDEX(Ingredients!$S$5:$S$304,MATCH(D278,Ingredients!$B$5:$B$304,0))),"")</f>
        <v>0</v>
      </c>
      <c r="U278" s="45">
        <f>IFERROR(IF(P278="","",P278*INDEX(Ingredients!$T$5:$T$304,MATCH(D278,Ingredients!$B$5:$B$304,0))),"")</f>
        <v>0</v>
      </c>
      <c r="V278" s="17">
        <f>IF(D278="","",IFERROR(INDEX(Ingredients!$W$5:$W$304,MATCH(D278,Ingredients!$B$5:$B$304,0)),"Add to Ingredients"))</f>
        <v>0</v>
      </c>
      <c r="W278" s="17">
        <f>IF(D278="","",IFERROR(INDEX(Ingredients!$C$5:$C$304,MATCH(D278,Ingredients!$B$5:$B$304,0)),"Add to Ingredients"))</f>
        <v>0</v>
      </c>
      <c r="X278" s="45">
        <f>IFERROR(INDEX(Recipes!$AT$5:$AT$204,MATCH(B278,Recipes!$A$5:$A$204,0)),0)</f>
        <v>0</v>
      </c>
      <c r="Y278" s="45">
        <f>IF(OR(J278="",X278=0),"",J278*X278)</f>
        <v>0</v>
      </c>
      <c r="Z278" s="17">
        <f>IF(D278="","",B278&amp;"#"&amp;COUNTIFS($B$5:B278,B278))</f>
        <v>0</v>
      </c>
      <c r="AA278" s="17">
        <f>IF(D278="","",B278&amp;"|"&amp;D278)</f>
        <v>0</v>
      </c>
      <c r="AB278" s="31">
        <f>IF(D278="","",IF(B278="","Add - which recipe?",IF(COUNTIFS(Ingredients!$B$5:$B$304,D278)=0,"Missing - not in the Ingredients tab",IF(E278="","Add - no quantity",IF(F278="","Add - no unit",IF(K278&lt;&gt;L278,"Check - recipe in "&amp;K278&amp;", priced in "&amp;L278,IF(COUNTIFS($AA$5:$AA$1204,AA278)&gt;1,"Duplicate - same ingredient twice","OK")))))))</f>
        <v>0</v>
      </c>
    </row>
    <row r="279" spans="1:28">
      <c r="A279" s="39">
        <f>IF(D279="","","RL-"&amp;TEXT(ROW()-4,"0000"))</f>
        <v>0</v>
      </c>
      <c r="C279" s="17">
        <f>IF(B279="","",IFERROR(INDEX(Recipes!$B$5:$B$204,MATCH(B279,Recipes!$A$5:$A$204,0)),"Not found"))</f>
        <v>0</v>
      </c>
      <c r="J279" s="45">
        <f>IF(E279="","",IFERROR(E279*INDEX(UnitFactors,MATCH(F279,UnitNames,0)),""))</f>
        <v>0</v>
      </c>
      <c r="K279" s="17">
        <f>IF(F279="","",IFERROR(INDEX(UnitBases,MATCH(F279,UnitNames,0)),"?"))</f>
        <v>0</v>
      </c>
      <c r="L279" s="17">
        <f>IF(D279="","",IFERROR(INDEX(Ingredients!$G$5:$G$304,MATCH(D279,Ingredients!$B$5:$B$304,0)),"Add to Ingredients"))</f>
        <v>0</v>
      </c>
      <c r="M279" s="25">
        <f>IF(D279="","",IFERROR(INDEX(Ingredients!$J$5:$J$304,MATCH(D279,Ingredients!$B$5:$B$304,0)),"Add to Ingredients"))</f>
        <v>0</v>
      </c>
      <c r="N279" s="25">
        <f>IF(OR(J279="",M279="",NOT(ISNUMBER(M279))),"",IF(K279&lt;&gt;L279,"",J279*M279))</f>
        <v>0</v>
      </c>
      <c r="O279" s="25">
        <f>IF(N279="","",IFERROR(N279/INDEX(Recipes!$G$5:$G$204,MATCH(B279,Recipes!$A$5:$A$204,0)),""))</f>
        <v>0</v>
      </c>
      <c r="P279" s="30">
        <f>IF(J279="","",IF(K279="each",J279,J279/100))</f>
        <v>0</v>
      </c>
      <c r="Q279" s="30">
        <f>IFERROR(IF(P279="","",P279*INDEX(Ingredients!$P$5:$P$304,MATCH(D279,Ingredients!$B$5:$B$304,0))),"")</f>
        <v>0</v>
      </c>
      <c r="R279" s="45">
        <f>IFERROR(IF(P279="","",P279*INDEX(Ingredients!$Q$5:$Q$304,MATCH(D279,Ingredients!$B$5:$B$304,0))),"")</f>
        <v>0</v>
      </c>
      <c r="S279" s="45">
        <f>IFERROR(IF(P279="","",P279*INDEX(Ingredients!$R$5:$R$304,MATCH(D279,Ingredients!$B$5:$B$304,0))),"")</f>
        <v>0</v>
      </c>
      <c r="T279" s="45">
        <f>IFERROR(IF(P279="","",P279*INDEX(Ingredients!$S$5:$S$304,MATCH(D279,Ingredients!$B$5:$B$304,0))),"")</f>
        <v>0</v>
      </c>
      <c r="U279" s="45">
        <f>IFERROR(IF(P279="","",P279*INDEX(Ingredients!$T$5:$T$304,MATCH(D279,Ingredients!$B$5:$B$304,0))),"")</f>
        <v>0</v>
      </c>
      <c r="V279" s="17">
        <f>IF(D279="","",IFERROR(INDEX(Ingredients!$W$5:$W$304,MATCH(D279,Ingredients!$B$5:$B$304,0)),"Add to Ingredients"))</f>
        <v>0</v>
      </c>
      <c r="W279" s="17">
        <f>IF(D279="","",IFERROR(INDEX(Ingredients!$C$5:$C$304,MATCH(D279,Ingredients!$B$5:$B$304,0)),"Add to Ingredients"))</f>
        <v>0</v>
      </c>
      <c r="X279" s="45">
        <f>IFERROR(INDEX(Recipes!$AT$5:$AT$204,MATCH(B279,Recipes!$A$5:$A$204,0)),0)</f>
        <v>0</v>
      </c>
      <c r="Y279" s="45">
        <f>IF(OR(J279="",X279=0),"",J279*X279)</f>
        <v>0</v>
      </c>
      <c r="Z279" s="17">
        <f>IF(D279="","",B279&amp;"#"&amp;COUNTIFS($B$5:B279,B279))</f>
        <v>0</v>
      </c>
      <c r="AA279" s="17">
        <f>IF(D279="","",B279&amp;"|"&amp;D279)</f>
        <v>0</v>
      </c>
      <c r="AB279" s="31">
        <f>IF(D279="","",IF(B279="","Add - which recipe?",IF(COUNTIFS(Ingredients!$B$5:$B$304,D279)=0,"Missing - not in the Ingredients tab",IF(E279="","Add - no quantity",IF(F279="","Add - no unit",IF(K279&lt;&gt;L279,"Check - recipe in "&amp;K279&amp;", priced in "&amp;L279,IF(COUNTIFS($AA$5:$AA$1204,AA279)&gt;1,"Duplicate - same ingredient twice","OK")))))))</f>
        <v>0</v>
      </c>
    </row>
    <row r="280" spans="1:28">
      <c r="A280" s="39">
        <f>IF(D280="","","RL-"&amp;TEXT(ROW()-4,"0000"))</f>
        <v>0</v>
      </c>
      <c r="C280" s="17">
        <f>IF(B280="","",IFERROR(INDEX(Recipes!$B$5:$B$204,MATCH(B280,Recipes!$A$5:$A$204,0)),"Not found"))</f>
        <v>0</v>
      </c>
      <c r="J280" s="45">
        <f>IF(E280="","",IFERROR(E280*INDEX(UnitFactors,MATCH(F280,UnitNames,0)),""))</f>
        <v>0</v>
      </c>
      <c r="K280" s="17">
        <f>IF(F280="","",IFERROR(INDEX(UnitBases,MATCH(F280,UnitNames,0)),"?"))</f>
        <v>0</v>
      </c>
      <c r="L280" s="17">
        <f>IF(D280="","",IFERROR(INDEX(Ingredients!$G$5:$G$304,MATCH(D280,Ingredients!$B$5:$B$304,0)),"Add to Ingredients"))</f>
        <v>0</v>
      </c>
      <c r="M280" s="25">
        <f>IF(D280="","",IFERROR(INDEX(Ingredients!$J$5:$J$304,MATCH(D280,Ingredients!$B$5:$B$304,0)),"Add to Ingredients"))</f>
        <v>0</v>
      </c>
      <c r="N280" s="25">
        <f>IF(OR(J280="",M280="",NOT(ISNUMBER(M280))),"",IF(K280&lt;&gt;L280,"",J280*M280))</f>
        <v>0</v>
      </c>
      <c r="O280" s="25">
        <f>IF(N280="","",IFERROR(N280/INDEX(Recipes!$G$5:$G$204,MATCH(B280,Recipes!$A$5:$A$204,0)),""))</f>
        <v>0</v>
      </c>
      <c r="P280" s="30">
        <f>IF(J280="","",IF(K280="each",J280,J280/100))</f>
        <v>0</v>
      </c>
      <c r="Q280" s="30">
        <f>IFERROR(IF(P280="","",P280*INDEX(Ingredients!$P$5:$P$304,MATCH(D280,Ingredients!$B$5:$B$304,0))),"")</f>
        <v>0</v>
      </c>
      <c r="R280" s="45">
        <f>IFERROR(IF(P280="","",P280*INDEX(Ingredients!$Q$5:$Q$304,MATCH(D280,Ingredients!$B$5:$B$304,0))),"")</f>
        <v>0</v>
      </c>
      <c r="S280" s="45">
        <f>IFERROR(IF(P280="","",P280*INDEX(Ingredients!$R$5:$R$304,MATCH(D280,Ingredients!$B$5:$B$304,0))),"")</f>
        <v>0</v>
      </c>
      <c r="T280" s="45">
        <f>IFERROR(IF(P280="","",P280*INDEX(Ingredients!$S$5:$S$304,MATCH(D280,Ingredients!$B$5:$B$304,0))),"")</f>
        <v>0</v>
      </c>
      <c r="U280" s="45">
        <f>IFERROR(IF(P280="","",P280*INDEX(Ingredients!$T$5:$T$304,MATCH(D280,Ingredients!$B$5:$B$304,0))),"")</f>
        <v>0</v>
      </c>
      <c r="V280" s="17">
        <f>IF(D280="","",IFERROR(INDEX(Ingredients!$W$5:$W$304,MATCH(D280,Ingredients!$B$5:$B$304,0)),"Add to Ingredients"))</f>
        <v>0</v>
      </c>
      <c r="W280" s="17">
        <f>IF(D280="","",IFERROR(INDEX(Ingredients!$C$5:$C$304,MATCH(D280,Ingredients!$B$5:$B$304,0)),"Add to Ingredients"))</f>
        <v>0</v>
      </c>
      <c r="X280" s="45">
        <f>IFERROR(INDEX(Recipes!$AT$5:$AT$204,MATCH(B280,Recipes!$A$5:$A$204,0)),0)</f>
        <v>0</v>
      </c>
      <c r="Y280" s="45">
        <f>IF(OR(J280="",X280=0),"",J280*X280)</f>
        <v>0</v>
      </c>
      <c r="Z280" s="17">
        <f>IF(D280="","",B280&amp;"#"&amp;COUNTIFS($B$5:B280,B280))</f>
        <v>0</v>
      </c>
      <c r="AA280" s="17">
        <f>IF(D280="","",B280&amp;"|"&amp;D280)</f>
        <v>0</v>
      </c>
      <c r="AB280" s="31">
        <f>IF(D280="","",IF(B280="","Add - which recipe?",IF(COUNTIFS(Ingredients!$B$5:$B$304,D280)=0,"Missing - not in the Ingredients tab",IF(E280="","Add - no quantity",IF(F280="","Add - no unit",IF(K280&lt;&gt;L280,"Check - recipe in "&amp;K280&amp;", priced in "&amp;L280,IF(COUNTIFS($AA$5:$AA$1204,AA280)&gt;1,"Duplicate - same ingredient twice","OK")))))))</f>
        <v>0</v>
      </c>
    </row>
    <row r="281" spans="1:28">
      <c r="A281" s="39">
        <f>IF(D281="","","RL-"&amp;TEXT(ROW()-4,"0000"))</f>
        <v>0</v>
      </c>
      <c r="C281" s="17">
        <f>IF(B281="","",IFERROR(INDEX(Recipes!$B$5:$B$204,MATCH(B281,Recipes!$A$5:$A$204,0)),"Not found"))</f>
        <v>0</v>
      </c>
      <c r="J281" s="45">
        <f>IF(E281="","",IFERROR(E281*INDEX(UnitFactors,MATCH(F281,UnitNames,0)),""))</f>
        <v>0</v>
      </c>
      <c r="K281" s="17">
        <f>IF(F281="","",IFERROR(INDEX(UnitBases,MATCH(F281,UnitNames,0)),"?"))</f>
        <v>0</v>
      </c>
      <c r="L281" s="17">
        <f>IF(D281="","",IFERROR(INDEX(Ingredients!$G$5:$G$304,MATCH(D281,Ingredients!$B$5:$B$304,0)),"Add to Ingredients"))</f>
        <v>0</v>
      </c>
      <c r="M281" s="25">
        <f>IF(D281="","",IFERROR(INDEX(Ingredients!$J$5:$J$304,MATCH(D281,Ingredients!$B$5:$B$304,0)),"Add to Ingredients"))</f>
        <v>0</v>
      </c>
      <c r="N281" s="25">
        <f>IF(OR(J281="",M281="",NOT(ISNUMBER(M281))),"",IF(K281&lt;&gt;L281,"",J281*M281))</f>
        <v>0</v>
      </c>
      <c r="O281" s="25">
        <f>IF(N281="","",IFERROR(N281/INDEX(Recipes!$G$5:$G$204,MATCH(B281,Recipes!$A$5:$A$204,0)),""))</f>
        <v>0</v>
      </c>
      <c r="P281" s="30">
        <f>IF(J281="","",IF(K281="each",J281,J281/100))</f>
        <v>0</v>
      </c>
      <c r="Q281" s="30">
        <f>IFERROR(IF(P281="","",P281*INDEX(Ingredients!$P$5:$P$304,MATCH(D281,Ingredients!$B$5:$B$304,0))),"")</f>
        <v>0</v>
      </c>
      <c r="R281" s="45">
        <f>IFERROR(IF(P281="","",P281*INDEX(Ingredients!$Q$5:$Q$304,MATCH(D281,Ingredients!$B$5:$B$304,0))),"")</f>
        <v>0</v>
      </c>
      <c r="S281" s="45">
        <f>IFERROR(IF(P281="","",P281*INDEX(Ingredients!$R$5:$R$304,MATCH(D281,Ingredients!$B$5:$B$304,0))),"")</f>
        <v>0</v>
      </c>
      <c r="T281" s="45">
        <f>IFERROR(IF(P281="","",P281*INDEX(Ingredients!$S$5:$S$304,MATCH(D281,Ingredients!$B$5:$B$304,0))),"")</f>
        <v>0</v>
      </c>
      <c r="U281" s="45">
        <f>IFERROR(IF(P281="","",P281*INDEX(Ingredients!$T$5:$T$304,MATCH(D281,Ingredients!$B$5:$B$304,0))),"")</f>
        <v>0</v>
      </c>
      <c r="V281" s="17">
        <f>IF(D281="","",IFERROR(INDEX(Ingredients!$W$5:$W$304,MATCH(D281,Ingredients!$B$5:$B$304,0)),"Add to Ingredients"))</f>
        <v>0</v>
      </c>
      <c r="W281" s="17">
        <f>IF(D281="","",IFERROR(INDEX(Ingredients!$C$5:$C$304,MATCH(D281,Ingredients!$B$5:$B$304,0)),"Add to Ingredients"))</f>
        <v>0</v>
      </c>
      <c r="X281" s="45">
        <f>IFERROR(INDEX(Recipes!$AT$5:$AT$204,MATCH(B281,Recipes!$A$5:$A$204,0)),0)</f>
        <v>0</v>
      </c>
      <c r="Y281" s="45">
        <f>IF(OR(J281="",X281=0),"",J281*X281)</f>
        <v>0</v>
      </c>
      <c r="Z281" s="17">
        <f>IF(D281="","",B281&amp;"#"&amp;COUNTIFS($B$5:B281,B281))</f>
        <v>0</v>
      </c>
      <c r="AA281" s="17">
        <f>IF(D281="","",B281&amp;"|"&amp;D281)</f>
        <v>0</v>
      </c>
      <c r="AB281" s="31">
        <f>IF(D281="","",IF(B281="","Add - which recipe?",IF(COUNTIFS(Ingredients!$B$5:$B$304,D281)=0,"Missing - not in the Ingredients tab",IF(E281="","Add - no quantity",IF(F281="","Add - no unit",IF(K281&lt;&gt;L281,"Check - recipe in "&amp;K281&amp;", priced in "&amp;L281,IF(COUNTIFS($AA$5:$AA$1204,AA281)&gt;1,"Duplicate - same ingredient twice","OK")))))))</f>
        <v>0</v>
      </c>
    </row>
    <row r="282" spans="1:28">
      <c r="A282" s="39">
        <f>IF(D282="","","RL-"&amp;TEXT(ROW()-4,"0000"))</f>
        <v>0</v>
      </c>
      <c r="C282" s="17">
        <f>IF(B282="","",IFERROR(INDEX(Recipes!$B$5:$B$204,MATCH(B282,Recipes!$A$5:$A$204,0)),"Not found"))</f>
        <v>0</v>
      </c>
      <c r="J282" s="45">
        <f>IF(E282="","",IFERROR(E282*INDEX(UnitFactors,MATCH(F282,UnitNames,0)),""))</f>
        <v>0</v>
      </c>
      <c r="K282" s="17">
        <f>IF(F282="","",IFERROR(INDEX(UnitBases,MATCH(F282,UnitNames,0)),"?"))</f>
        <v>0</v>
      </c>
      <c r="L282" s="17">
        <f>IF(D282="","",IFERROR(INDEX(Ingredients!$G$5:$G$304,MATCH(D282,Ingredients!$B$5:$B$304,0)),"Add to Ingredients"))</f>
        <v>0</v>
      </c>
      <c r="M282" s="25">
        <f>IF(D282="","",IFERROR(INDEX(Ingredients!$J$5:$J$304,MATCH(D282,Ingredients!$B$5:$B$304,0)),"Add to Ingredients"))</f>
        <v>0</v>
      </c>
      <c r="N282" s="25">
        <f>IF(OR(J282="",M282="",NOT(ISNUMBER(M282))),"",IF(K282&lt;&gt;L282,"",J282*M282))</f>
        <v>0</v>
      </c>
      <c r="O282" s="25">
        <f>IF(N282="","",IFERROR(N282/INDEX(Recipes!$G$5:$G$204,MATCH(B282,Recipes!$A$5:$A$204,0)),""))</f>
        <v>0</v>
      </c>
      <c r="P282" s="30">
        <f>IF(J282="","",IF(K282="each",J282,J282/100))</f>
        <v>0</v>
      </c>
      <c r="Q282" s="30">
        <f>IFERROR(IF(P282="","",P282*INDEX(Ingredients!$P$5:$P$304,MATCH(D282,Ingredients!$B$5:$B$304,0))),"")</f>
        <v>0</v>
      </c>
      <c r="R282" s="45">
        <f>IFERROR(IF(P282="","",P282*INDEX(Ingredients!$Q$5:$Q$304,MATCH(D282,Ingredients!$B$5:$B$304,0))),"")</f>
        <v>0</v>
      </c>
      <c r="S282" s="45">
        <f>IFERROR(IF(P282="","",P282*INDEX(Ingredients!$R$5:$R$304,MATCH(D282,Ingredients!$B$5:$B$304,0))),"")</f>
        <v>0</v>
      </c>
      <c r="T282" s="45">
        <f>IFERROR(IF(P282="","",P282*INDEX(Ingredients!$S$5:$S$304,MATCH(D282,Ingredients!$B$5:$B$304,0))),"")</f>
        <v>0</v>
      </c>
      <c r="U282" s="45">
        <f>IFERROR(IF(P282="","",P282*INDEX(Ingredients!$T$5:$T$304,MATCH(D282,Ingredients!$B$5:$B$304,0))),"")</f>
        <v>0</v>
      </c>
      <c r="V282" s="17">
        <f>IF(D282="","",IFERROR(INDEX(Ingredients!$W$5:$W$304,MATCH(D282,Ingredients!$B$5:$B$304,0)),"Add to Ingredients"))</f>
        <v>0</v>
      </c>
      <c r="W282" s="17">
        <f>IF(D282="","",IFERROR(INDEX(Ingredients!$C$5:$C$304,MATCH(D282,Ingredients!$B$5:$B$304,0)),"Add to Ingredients"))</f>
        <v>0</v>
      </c>
      <c r="X282" s="45">
        <f>IFERROR(INDEX(Recipes!$AT$5:$AT$204,MATCH(B282,Recipes!$A$5:$A$204,0)),0)</f>
        <v>0</v>
      </c>
      <c r="Y282" s="45">
        <f>IF(OR(J282="",X282=0),"",J282*X282)</f>
        <v>0</v>
      </c>
      <c r="Z282" s="17">
        <f>IF(D282="","",B282&amp;"#"&amp;COUNTIFS($B$5:B282,B282))</f>
        <v>0</v>
      </c>
      <c r="AA282" s="17">
        <f>IF(D282="","",B282&amp;"|"&amp;D282)</f>
        <v>0</v>
      </c>
      <c r="AB282" s="31">
        <f>IF(D282="","",IF(B282="","Add - which recipe?",IF(COUNTIFS(Ingredients!$B$5:$B$304,D282)=0,"Missing - not in the Ingredients tab",IF(E282="","Add - no quantity",IF(F282="","Add - no unit",IF(K282&lt;&gt;L282,"Check - recipe in "&amp;K282&amp;", priced in "&amp;L282,IF(COUNTIFS($AA$5:$AA$1204,AA282)&gt;1,"Duplicate - same ingredient twice","OK")))))))</f>
        <v>0</v>
      </c>
    </row>
    <row r="283" spans="1:28">
      <c r="A283" s="39">
        <f>IF(D283="","","RL-"&amp;TEXT(ROW()-4,"0000"))</f>
        <v>0</v>
      </c>
      <c r="C283" s="17">
        <f>IF(B283="","",IFERROR(INDEX(Recipes!$B$5:$B$204,MATCH(B283,Recipes!$A$5:$A$204,0)),"Not found"))</f>
        <v>0</v>
      </c>
      <c r="J283" s="45">
        <f>IF(E283="","",IFERROR(E283*INDEX(UnitFactors,MATCH(F283,UnitNames,0)),""))</f>
        <v>0</v>
      </c>
      <c r="K283" s="17">
        <f>IF(F283="","",IFERROR(INDEX(UnitBases,MATCH(F283,UnitNames,0)),"?"))</f>
        <v>0</v>
      </c>
      <c r="L283" s="17">
        <f>IF(D283="","",IFERROR(INDEX(Ingredients!$G$5:$G$304,MATCH(D283,Ingredients!$B$5:$B$304,0)),"Add to Ingredients"))</f>
        <v>0</v>
      </c>
      <c r="M283" s="25">
        <f>IF(D283="","",IFERROR(INDEX(Ingredients!$J$5:$J$304,MATCH(D283,Ingredients!$B$5:$B$304,0)),"Add to Ingredients"))</f>
        <v>0</v>
      </c>
      <c r="N283" s="25">
        <f>IF(OR(J283="",M283="",NOT(ISNUMBER(M283))),"",IF(K283&lt;&gt;L283,"",J283*M283))</f>
        <v>0</v>
      </c>
      <c r="O283" s="25">
        <f>IF(N283="","",IFERROR(N283/INDEX(Recipes!$G$5:$G$204,MATCH(B283,Recipes!$A$5:$A$204,0)),""))</f>
        <v>0</v>
      </c>
      <c r="P283" s="30">
        <f>IF(J283="","",IF(K283="each",J283,J283/100))</f>
        <v>0</v>
      </c>
      <c r="Q283" s="30">
        <f>IFERROR(IF(P283="","",P283*INDEX(Ingredients!$P$5:$P$304,MATCH(D283,Ingredients!$B$5:$B$304,0))),"")</f>
        <v>0</v>
      </c>
      <c r="R283" s="45">
        <f>IFERROR(IF(P283="","",P283*INDEX(Ingredients!$Q$5:$Q$304,MATCH(D283,Ingredients!$B$5:$B$304,0))),"")</f>
        <v>0</v>
      </c>
      <c r="S283" s="45">
        <f>IFERROR(IF(P283="","",P283*INDEX(Ingredients!$R$5:$R$304,MATCH(D283,Ingredients!$B$5:$B$304,0))),"")</f>
        <v>0</v>
      </c>
      <c r="T283" s="45">
        <f>IFERROR(IF(P283="","",P283*INDEX(Ingredients!$S$5:$S$304,MATCH(D283,Ingredients!$B$5:$B$304,0))),"")</f>
        <v>0</v>
      </c>
      <c r="U283" s="45">
        <f>IFERROR(IF(P283="","",P283*INDEX(Ingredients!$T$5:$T$304,MATCH(D283,Ingredients!$B$5:$B$304,0))),"")</f>
        <v>0</v>
      </c>
      <c r="V283" s="17">
        <f>IF(D283="","",IFERROR(INDEX(Ingredients!$W$5:$W$304,MATCH(D283,Ingredients!$B$5:$B$304,0)),"Add to Ingredients"))</f>
        <v>0</v>
      </c>
      <c r="W283" s="17">
        <f>IF(D283="","",IFERROR(INDEX(Ingredients!$C$5:$C$304,MATCH(D283,Ingredients!$B$5:$B$304,0)),"Add to Ingredients"))</f>
        <v>0</v>
      </c>
      <c r="X283" s="45">
        <f>IFERROR(INDEX(Recipes!$AT$5:$AT$204,MATCH(B283,Recipes!$A$5:$A$204,0)),0)</f>
        <v>0</v>
      </c>
      <c r="Y283" s="45">
        <f>IF(OR(J283="",X283=0),"",J283*X283)</f>
        <v>0</v>
      </c>
      <c r="Z283" s="17">
        <f>IF(D283="","",B283&amp;"#"&amp;COUNTIFS($B$5:B283,B283))</f>
        <v>0</v>
      </c>
      <c r="AA283" s="17">
        <f>IF(D283="","",B283&amp;"|"&amp;D283)</f>
        <v>0</v>
      </c>
      <c r="AB283" s="31">
        <f>IF(D283="","",IF(B283="","Add - which recipe?",IF(COUNTIFS(Ingredients!$B$5:$B$304,D283)=0,"Missing - not in the Ingredients tab",IF(E283="","Add - no quantity",IF(F283="","Add - no unit",IF(K283&lt;&gt;L283,"Check - recipe in "&amp;K283&amp;", priced in "&amp;L283,IF(COUNTIFS($AA$5:$AA$1204,AA283)&gt;1,"Duplicate - same ingredient twice","OK")))))))</f>
        <v>0</v>
      </c>
    </row>
    <row r="284" spans="1:28">
      <c r="A284" s="39">
        <f>IF(D284="","","RL-"&amp;TEXT(ROW()-4,"0000"))</f>
        <v>0</v>
      </c>
      <c r="C284" s="17">
        <f>IF(B284="","",IFERROR(INDEX(Recipes!$B$5:$B$204,MATCH(B284,Recipes!$A$5:$A$204,0)),"Not found"))</f>
        <v>0</v>
      </c>
      <c r="J284" s="45">
        <f>IF(E284="","",IFERROR(E284*INDEX(UnitFactors,MATCH(F284,UnitNames,0)),""))</f>
        <v>0</v>
      </c>
      <c r="K284" s="17">
        <f>IF(F284="","",IFERROR(INDEX(UnitBases,MATCH(F284,UnitNames,0)),"?"))</f>
        <v>0</v>
      </c>
      <c r="L284" s="17">
        <f>IF(D284="","",IFERROR(INDEX(Ingredients!$G$5:$G$304,MATCH(D284,Ingredients!$B$5:$B$304,0)),"Add to Ingredients"))</f>
        <v>0</v>
      </c>
      <c r="M284" s="25">
        <f>IF(D284="","",IFERROR(INDEX(Ingredients!$J$5:$J$304,MATCH(D284,Ingredients!$B$5:$B$304,0)),"Add to Ingredients"))</f>
        <v>0</v>
      </c>
      <c r="N284" s="25">
        <f>IF(OR(J284="",M284="",NOT(ISNUMBER(M284))),"",IF(K284&lt;&gt;L284,"",J284*M284))</f>
        <v>0</v>
      </c>
      <c r="O284" s="25">
        <f>IF(N284="","",IFERROR(N284/INDEX(Recipes!$G$5:$G$204,MATCH(B284,Recipes!$A$5:$A$204,0)),""))</f>
        <v>0</v>
      </c>
      <c r="P284" s="30">
        <f>IF(J284="","",IF(K284="each",J284,J284/100))</f>
        <v>0</v>
      </c>
      <c r="Q284" s="30">
        <f>IFERROR(IF(P284="","",P284*INDEX(Ingredients!$P$5:$P$304,MATCH(D284,Ingredients!$B$5:$B$304,0))),"")</f>
        <v>0</v>
      </c>
      <c r="R284" s="45">
        <f>IFERROR(IF(P284="","",P284*INDEX(Ingredients!$Q$5:$Q$304,MATCH(D284,Ingredients!$B$5:$B$304,0))),"")</f>
        <v>0</v>
      </c>
      <c r="S284" s="45">
        <f>IFERROR(IF(P284="","",P284*INDEX(Ingredients!$R$5:$R$304,MATCH(D284,Ingredients!$B$5:$B$304,0))),"")</f>
        <v>0</v>
      </c>
      <c r="T284" s="45">
        <f>IFERROR(IF(P284="","",P284*INDEX(Ingredients!$S$5:$S$304,MATCH(D284,Ingredients!$B$5:$B$304,0))),"")</f>
        <v>0</v>
      </c>
      <c r="U284" s="45">
        <f>IFERROR(IF(P284="","",P284*INDEX(Ingredients!$T$5:$T$304,MATCH(D284,Ingredients!$B$5:$B$304,0))),"")</f>
        <v>0</v>
      </c>
      <c r="V284" s="17">
        <f>IF(D284="","",IFERROR(INDEX(Ingredients!$W$5:$W$304,MATCH(D284,Ingredients!$B$5:$B$304,0)),"Add to Ingredients"))</f>
        <v>0</v>
      </c>
      <c r="W284" s="17">
        <f>IF(D284="","",IFERROR(INDEX(Ingredients!$C$5:$C$304,MATCH(D284,Ingredients!$B$5:$B$304,0)),"Add to Ingredients"))</f>
        <v>0</v>
      </c>
      <c r="X284" s="45">
        <f>IFERROR(INDEX(Recipes!$AT$5:$AT$204,MATCH(B284,Recipes!$A$5:$A$204,0)),0)</f>
        <v>0</v>
      </c>
      <c r="Y284" s="45">
        <f>IF(OR(J284="",X284=0),"",J284*X284)</f>
        <v>0</v>
      </c>
      <c r="Z284" s="17">
        <f>IF(D284="","",B284&amp;"#"&amp;COUNTIFS($B$5:B284,B284))</f>
        <v>0</v>
      </c>
      <c r="AA284" s="17">
        <f>IF(D284="","",B284&amp;"|"&amp;D284)</f>
        <v>0</v>
      </c>
      <c r="AB284" s="31">
        <f>IF(D284="","",IF(B284="","Add - which recipe?",IF(COUNTIFS(Ingredients!$B$5:$B$304,D284)=0,"Missing - not in the Ingredients tab",IF(E284="","Add - no quantity",IF(F284="","Add - no unit",IF(K284&lt;&gt;L284,"Check - recipe in "&amp;K284&amp;", priced in "&amp;L284,IF(COUNTIFS($AA$5:$AA$1204,AA284)&gt;1,"Duplicate - same ingredient twice","OK")))))))</f>
        <v>0</v>
      </c>
    </row>
    <row r="285" spans="1:28">
      <c r="A285" s="39">
        <f>IF(D285="","","RL-"&amp;TEXT(ROW()-4,"0000"))</f>
        <v>0</v>
      </c>
      <c r="C285" s="17">
        <f>IF(B285="","",IFERROR(INDEX(Recipes!$B$5:$B$204,MATCH(B285,Recipes!$A$5:$A$204,0)),"Not found"))</f>
        <v>0</v>
      </c>
      <c r="J285" s="45">
        <f>IF(E285="","",IFERROR(E285*INDEX(UnitFactors,MATCH(F285,UnitNames,0)),""))</f>
        <v>0</v>
      </c>
      <c r="K285" s="17">
        <f>IF(F285="","",IFERROR(INDEX(UnitBases,MATCH(F285,UnitNames,0)),"?"))</f>
        <v>0</v>
      </c>
      <c r="L285" s="17">
        <f>IF(D285="","",IFERROR(INDEX(Ingredients!$G$5:$G$304,MATCH(D285,Ingredients!$B$5:$B$304,0)),"Add to Ingredients"))</f>
        <v>0</v>
      </c>
      <c r="M285" s="25">
        <f>IF(D285="","",IFERROR(INDEX(Ingredients!$J$5:$J$304,MATCH(D285,Ingredients!$B$5:$B$304,0)),"Add to Ingredients"))</f>
        <v>0</v>
      </c>
      <c r="N285" s="25">
        <f>IF(OR(J285="",M285="",NOT(ISNUMBER(M285))),"",IF(K285&lt;&gt;L285,"",J285*M285))</f>
        <v>0</v>
      </c>
      <c r="O285" s="25">
        <f>IF(N285="","",IFERROR(N285/INDEX(Recipes!$G$5:$G$204,MATCH(B285,Recipes!$A$5:$A$204,0)),""))</f>
        <v>0</v>
      </c>
      <c r="P285" s="30">
        <f>IF(J285="","",IF(K285="each",J285,J285/100))</f>
        <v>0</v>
      </c>
      <c r="Q285" s="30">
        <f>IFERROR(IF(P285="","",P285*INDEX(Ingredients!$P$5:$P$304,MATCH(D285,Ingredients!$B$5:$B$304,0))),"")</f>
        <v>0</v>
      </c>
      <c r="R285" s="45">
        <f>IFERROR(IF(P285="","",P285*INDEX(Ingredients!$Q$5:$Q$304,MATCH(D285,Ingredients!$B$5:$B$304,0))),"")</f>
        <v>0</v>
      </c>
      <c r="S285" s="45">
        <f>IFERROR(IF(P285="","",P285*INDEX(Ingredients!$R$5:$R$304,MATCH(D285,Ingredients!$B$5:$B$304,0))),"")</f>
        <v>0</v>
      </c>
      <c r="T285" s="45">
        <f>IFERROR(IF(P285="","",P285*INDEX(Ingredients!$S$5:$S$304,MATCH(D285,Ingredients!$B$5:$B$304,0))),"")</f>
        <v>0</v>
      </c>
      <c r="U285" s="45">
        <f>IFERROR(IF(P285="","",P285*INDEX(Ingredients!$T$5:$T$304,MATCH(D285,Ingredients!$B$5:$B$304,0))),"")</f>
        <v>0</v>
      </c>
      <c r="V285" s="17">
        <f>IF(D285="","",IFERROR(INDEX(Ingredients!$W$5:$W$304,MATCH(D285,Ingredients!$B$5:$B$304,0)),"Add to Ingredients"))</f>
        <v>0</v>
      </c>
      <c r="W285" s="17">
        <f>IF(D285="","",IFERROR(INDEX(Ingredients!$C$5:$C$304,MATCH(D285,Ingredients!$B$5:$B$304,0)),"Add to Ingredients"))</f>
        <v>0</v>
      </c>
      <c r="X285" s="45">
        <f>IFERROR(INDEX(Recipes!$AT$5:$AT$204,MATCH(B285,Recipes!$A$5:$A$204,0)),0)</f>
        <v>0</v>
      </c>
      <c r="Y285" s="45">
        <f>IF(OR(J285="",X285=0),"",J285*X285)</f>
        <v>0</v>
      </c>
      <c r="Z285" s="17">
        <f>IF(D285="","",B285&amp;"#"&amp;COUNTIFS($B$5:B285,B285))</f>
        <v>0</v>
      </c>
      <c r="AA285" s="17">
        <f>IF(D285="","",B285&amp;"|"&amp;D285)</f>
        <v>0</v>
      </c>
      <c r="AB285" s="31">
        <f>IF(D285="","",IF(B285="","Add - which recipe?",IF(COUNTIFS(Ingredients!$B$5:$B$304,D285)=0,"Missing - not in the Ingredients tab",IF(E285="","Add - no quantity",IF(F285="","Add - no unit",IF(K285&lt;&gt;L285,"Check - recipe in "&amp;K285&amp;", priced in "&amp;L285,IF(COUNTIFS($AA$5:$AA$1204,AA285)&gt;1,"Duplicate - same ingredient twice","OK")))))))</f>
        <v>0</v>
      </c>
    </row>
    <row r="286" spans="1:28">
      <c r="A286" s="39">
        <f>IF(D286="","","RL-"&amp;TEXT(ROW()-4,"0000"))</f>
        <v>0</v>
      </c>
      <c r="C286" s="17">
        <f>IF(B286="","",IFERROR(INDEX(Recipes!$B$5:$B$204,MATCH(B286,Recipes!$A$5:$A$204,0)),"Not found"))</f>
        <v>0</v>
      </c>
      <c r="J286" s="45">
        <f>IF(E286="","",IFERROR(E286*INDEX(UnitFactors,MATCH(F286,UnitNames,0)),""))</f>
        <v>0</v>
      </c>
      <c r="K286" s="17">
        <f>IF(F286="","",IFERROR(INDEX(UnitBases,MATCH(F286,UnitNames,0)),"?"))</f>
        <v>0</v>
      </c>
      <c r="L286" s="17">
        <f>IF(D286="","",IFERROR(INDEX(Ingredients!$G$5:$G$304,MATCH(D286,Ingredients!$B$5:$B$304,0)),"Add to Ingredients"))</f>
        <v>0</v>
      </c>
      <c r="M286" s="25">
        <f>IF(D286="","",IFERROR(INDEX(Ingredients!$J$5:$J$304,MATCH(D286,Ingredients!$B$5:$B$304,0)),"Add to Ingredients"))</f>
        <v>0</v>
      </c>
      <c r="N286" s="25">
        <f>IF(OR(J286="",M286="",NOT(ISNUMBER(M286))),"",IF(K286&lt;&gt;L286,"",J286*M286))</f>
        <v>0</v>
      </c>
      <c r="O286" s="25">
        <f>IF(N286="","",IFERROR(N286/INDEX(Recipes!$G$5:$G$204,MATCH(B286,Recipes!$A$5:$A$204,0)),""))</f>
        <v>0</v>
      </c>
      <c r="P286" s="30">
        <f>IF(J286="","",IF(K286="each",J286,J286/100))</f>
        <v>0</v>
      </c>
      <c r="Q286" s="30">
        <f>IFERROR(IF(P286="","",P286*INDEX(Ingredients!$P$5:$P$304,MATCH(D286,Ingredients!$B$5:$B$304,0))),"")</f>
        <v>0</v>
      </c>
      <c r="R286" s="45">
        <f>IFERROR(IF(P286="","",P286*INDEX(Ingredients!$Q$5:$Q$304,MATCH(D286,Ingredients!$B$5:$B$304,0))),"")</f>
        <v>0</v>
      </c>
      <c r="S286" s="45">
        <f>IFERROR(IF(P286="","",P286*INDEX(Ingredients!$R$5:$R$304,MATCH(D286,Ingredients!$B$5:$B$304,0))),"")</f>
        <v>0</v>
      </c>
      <c r="T286" s="45">
        <f>IFERROR(IF(P286="","",P286*INDEX(Ingredients!$S$5:$S$304,MATCH(D286,Ingredients!$B$5:$B$304,0))),"")</f>
        <v>0</v>
      </c>
      <c r="U286" s="45">
        <f>IFERROR(IF(P286="","",P286*INDEX(Ingredients!$T$5:$T$304,MATCH(D286,Ingredients!$B$5:$B$304,0))),"")</f>
        <v>0</v>
      </c>
      <c r="V286" s="17">
        <f>IF(D286="","",IFERROR(INDEX(Ingredients!$W$5:$W$304,MATCH(D286,Ingredients!$B$5:$B$304,0)),"Add to Ingredients"))</f>
        <v>0</v>
      </c>
      <c r="W286" s="17">
        <f>IF(D286="","",IFERROR(INDEX(Ingredients!$C$5:$C$304,MATCH(D286,Ingredients!$B$5:$B$304,0)),"Add to Ingredients"))</f>
        <v>0</v>
      </c>
      <c r="X286" s="45">
        <f>IFERROR(INDEX(Recipes!$AT$5:$AT$204,MATCH(B286,Recipes!$A$5:$A$204,0)),0)</f>
        <v>0</v>
      </c>
      <c r="Y286" s="45">
        <f>IF(OR(J286="",X286=0),"",J286*X286)</f>
        <v>0</v>
      </c>
      <c r="Z286" s="17">
        <f>IF(D286="","",B286&amp;"#"&amp;COUNTIFS($B$5:B286,B286))</f>
        <v>0</v>
      </c>
      <c r="AA286" s="17">
        <f>IF(D286="","",B286&amp;"|"&amp;D286)</f>
        <v>0</v>
      </c>
      <c r="AB286" s="31">
        <f>IF(D286="","",IF(B286="","Add - which recipe?",IF(COUNTIFS(Ingredients!$B$5:$B$304,D286)=0,"Missing - not in the Ingredients tab",IF(E286="","Add - no quantity",IF(F286="","Add - no unit",IF(K286&lt;&gt;L286,"Check - recipe in "&amp;K286&amp;", priced in "&amp;L286,IF(COUNTIFS($AA$5:$AA$1204,AA286)&gt;1,"Duplicate - same ingredient twice","OK")))))))</f>
        <v>0</v>
      </c>
    </row>
    <row r="287" spans="1:28">
      <c r="A287" s="39">
        <f>IF(D287="","","RL-"&amp;TEXT(ROW()-4,"0000"))</f>
        <v>0</v>
      </c>
      <c r="C287" s="17">
        <f>IF(B287="","",IFERROR(INDEX(Recipes!$B$5:$B$204,MATCH(B287,Recipes!$A$5:$A$204,0)),"Not found"))</f>
        <v>0</v>
      </c>
      <c r="J287" s="45">
        <f>IF(E287="","",IFERROR(E287*INDEX(UnitFactors,MATCH(F287,UnitNames,0)),""))</f>
        <v>0</v>
      </c>
      <c r="K287" s="17">
        <f>IF(F287="","",IFERROR(INDEX(UnitBases,MATCH(F287,UnitNames,0)),"?"))</f>
        <v>0</v>
      </c>
      <c r="L287" s="17">
        <f>IF(D287="","",IFERROR(INDEX(Ingredients!$G$5:$G$304,MATCH(D287,Ingredients!$B$5:$B$304,0)),"Add to Ingredients"))</f>
        <v>0</v>
      </c>
      <c r="M287" s="25">
        <f>IF(D287="","",IFERROR(INDEX(Ingredients!$J$5:$J$304,MATCH(D287,Ingredients!$B$5:$B$304,0)),"Add to Ingredients"))</f>
        <v>0</v>
      </c>
      <c r="N287" s="25">
        <f>IF(OR(J287="",M287="",NOT(ISNUMBER(M287))),"",IF(K287&lt;&gt;L287,"",J287*M287))</f>
        <v>0</v>
      </c>
      <c r="O287" s="25">
        <f>IF(N287="","",IFERROR(N287/INDEX(Recipes!$G$5:$G$204,MATCH(B287,Recipes!$A$5:$A$204,0)),""))</f>
        <v>0</v>
      </c>
      <c r="P287" s="30">
        <f>IF(J287="","",IF(K287="each",J287,J287/100))</f>
        <v>0</v>
      </c>
      <c r="Q287" s="30">
        <f>IFERROR(IF(P287="","",P287*INDEX(Ingredients!$P$5:$P$304,MATCH(D287,Ingredients!$B$5:$B$304,0))),"")</f>
        <v>0</v>
      </c>
      <c r="R287" s="45">
        <f>IFERROR(IF(P287="","",P287*INDEX(Ingredients!$Q$5:$Q$304,MATCH(D287,Ingredients!$B$5:$B$304,0))),"")</f>
        <v>0</v>
      </c>
      <c r="S287" s="45">
        <f>IFERROR(IF(P287="","",P287*INDEX(Ingredients!$R$5:$R$304,MATCH(D287,Ingredients!$B$5:$B$304,0))),"")</f>
        <v>0</v>
      </c>
      <c r="T287" s="45">
        <f>IFERROR(IF(P287="","",P287*INDEX(Ingredients!$S$5:$S$304,MATCH(D287,Ingredients!$B$5:$B$304,0))),"")</f>
        <v>0</v>
      </c>
      <c r="U287" s="45">
        <f>IFERROR(IF(P287="","",P287*INDEX(Ingredients!$T$5:$T$304,MATCH(D287,Ingredients!$B$5:$B$304,0))),"")</f>
        <v>0</v>
      </c>
      <c r="V287" s="17">
        <f>IF(D287="","",IFERROR(INDEX(Ingredients!$W$5:$W$304,MATCH(D287,Ingredients!$B$5:$B$304,0)),"Add to Ingredients"))</f>
        <v>0</v>
      </c>
      <c r="W287" s="17">
        <f>IF(D287="","",IFERROR(INDEX(Ingredients!$C$5:$C$304,MATCH(D287,Ingredients!$B$5:$B$304,0)),"Add to Ingredients"))</f>
        <v>0</v>
      </c>
      <c r="X287" s="45">
        <f>IFERROR(INDEX(Recipes!$AT$5:$AT$204,MATCH(B287,Recipes!$A$5:$A$204,0)),0)</f>
        <v>0</v>
      </c>
      <c r="Y287" s="45">
        <f>IF(OR(J287="",X287=0),"",J287*X287)</f>
        <v>0</v>
      </c>
      <c r="Z287" s="17">
        <f>IF(D287="","",B287&amp;"#"&amp;COUNTIFS($B$5:B287,B287))</f>
        <v>0</v>
      </c>
      <c r="AA287" s="17">
        <f>IF(D287="","",B287&amp;"|"&amp;D287)</f>
        <v>0</v>
      </c>
      <c r="AB287" s="31">
        <f>IF(D287="","",IF(B287="","Add - which recipe?",IF(COUNTIFS(Ingredients!$B$5:$B$304,D287)=0,"Missing - not in the Ingredients tab",IF(E287="","Add - no quantity",IF(F287="","Add - no unit",IF(K287&lt;&gt;L287,"Check - recipe in "&amp;K287&amp;", priced in "&amp;L287,IF(COUNTIFS($AA$5:$AA$1204,AA287)&gt;1,"Duplicate - same ingredient twice","OK")))))))</f>
        <v>0</v>
      </c>
    </row>
    <row r="288" spans="1:28">
      <c r="A288" s="39">
        <f>IF(D288="","","RL-"&amp;TEXT(ROW()-4,"0000"))</f>
        <v>0</v>
      </c>
      <c r="C288" s="17">
        <f>IF(B288="","",IFERROR(INDEX(Recipes!$B$5:$B$204,MATCH(B288,Recipes!$A$5:$A$204,0)),"Not found"))</f>
        <v>0</v>
      </c>
      <c r="J288" s="45">
        <f>IF(E288="","",IFERROR(E288*INDEX(UnitFactors,MATCH(F288,UnitNames,0)),""))</f>
        <v>0</v>
      </c>
      <c r="K288" s="17">
        <f>IF(F288="","",IFERROR(INDEX(UnitBases,MATCH(F288,UnitNames,0)),"?"))</f>
        <v>0</v>
      </c>
      <c r="L288" s="17">
        <f>IF(D288="","",IFERROR(INDEX(Ingredients!$G$5:$G$304,MATCH(D288,Ingredients!$B$5:$B$304,0)),"Add to Ingredients"))</f>
        <v>0</v>
      </c>
      <c r="M288" s="25">
        <f>IF(D288="","",IFERROR(INDEX(Ingredients!$J$5:$J$304,MATCH(D288,Ingredients!$B$5:$B$304,0)),"Add to Ingredients"))</f>
        <v>0</v>
      </c>
      <c r="N288" s="25">
        <f>IF(OR(J288="",M288="",NOT(ISNUMBER(M288))),"",IF(K288&lt;&gt;L288,"",J288*M288))</f>
        <v>0</v>
      </c>
      <c r="O288" s="25">
        <f>IF(N288="","",IFERROR(N288/INDEX(Recipes!$G$5:$G$204,MATCH(B288,Recipes!$A$5:$A$204,0)),""))</f>
        <v>0</v>
      </c>
      <c r="P288" s="30">
        <f>IF(J288="","",IF(K288="each",J288,J288/100))</f>
        <v>0</v>
      </c>
      <c r="Q288" s="30">
        <f>IFERROR(IF(P288="","",P288*INDEX(Ingredients!$P$5:$P$304,MATCH(D288,Ingredients!$B$5:$B$304,0))),"")</f>
        <v>0</v>
      </c>
      <c r="R288" s="45">
        <f>IFERROR(IF(P288="","",P288*INDEX(Ingredients!$Q$5:$Q$304,MATCH(D288,Ingredients!$B$5:$B$304,0))),"")</f>
        <v>0</v>
      </c>
      <c r="S288" s="45">
        <f>IFERROR(IF(P288="","",P288*INDEX(Ingredients!$R$5:$R$304,MATCH(D288,Ingredients!$B$5:$B$304,0))),"")</f>
        <v>0</v>
      </c>
      <c r="T288" s="45">
        <f>IFERROR(IF(P288="","",P288*INDEX(Ingredients!$S$5:$S$304,MATCH(D288,Ingredients!$B$5:$B$304,0))),"")</f>
        <v>0</v>
      </c>
      <c r="U288" s="45">
        <f>IFERROR(IF(P288="","",P288*INDEX(Ingredients!$T$5:$T$304,MATCH(D288,Ingredients!$B$5:$B$304,0))),"")</f>
        <v>0</v>
      </c>
      <c r="V288" s="17">
        <f>IF(D288="","",IFERROR(INDEX(Ingredients!$W$5:$W$304,MATCH(D288,Ingredients!$B$5:$B$304,0)),"Add to Ingredients"))</f>
        <v>0</v>
      </c>
      <c r="W288" s="17">
        <f>IF(D288="","",IFERROR(INDEX(Ingredients!$C$5:$C$304,MATCH(D288,Ingredients!$B$5:$B$304,0)),"Add to Ingredients"))</f>
        <v>0</v>
      </c>
      <c r="X288" s="45">
        <f>IFERROR(INDEX(Recipes!$AT$5:$AT$204,MATCH(B288,Recipes!$A$5:$A$204,0)),0)</f>
        <v>0</v>
      </c>
      <c r="Y288" s="45">
        <f>IF(OR(J288="",X288=0),"",J288*X288)</f>
        <v>0</v>
      </c>
      <c r="Z288" s="17">
        <f>IF(D288="","",B288&amp;"#"&amp;COUNTIFS($B$5:B288,B288))</f>
        <v>0</v>
      </c>
      <c r="AA288" s="17">
        <f>IF(D288="","",B288&amp;"|"&amp;D288)</f>
        <v>0</v>
      </c>
      <c r="AB288" s="31">
        <f>IF(D288="","",IF(B288="","Add - which recipe?",IF(COUNTIFS(Ingredients!$B$5:$B$304,D288)=0,"Missing - not in the Ingredients tab",IF(E288="","Add - no quantity",IF(F288="","Add - no unit",IF(K288&lt;&gt;L288,"Check - recipe in "&amp;K288&amp;", priced in "&amp;L288,IF(COUNTIFS($AA$5:$AA$1204,AA288)&gt;1,"Duplicate - same ingredient twice","OK")))))))</f>
        <v>0</v>
      </c>
    </row>
    <row r="289" spans="1:28">
      <c r="A289" s="39">
        <f>IF(D289="","","RL-"&amp;TEXT(ROW()-4,"0000"))</f>
        <v>0</v>
      </c>
      <c r="C289" s="17">
        <f>IF(B289="","",IFERROR(INDEX(Recipes!$B$5:$B$204,MATCH(B289,Recipes!$A$5:$A$204,0)),"Not found"))</f>
        <v>0</v>
      </c>
      <c r="J289" s="45">
        <f>IF(E289="","",IFERROR(E289*INDEX(UnitFactors,MATCH(F289,UnitNames,0)),""))</f>
        <v>0</v>
      </c>
      <c r="K289" s="17">
        <f>IF(F289="","",IFERROR(INDEX(UnitBases,MATCH(F289,UnitNames,0)),"?"))</f>
        <v>0</v>
      </c>
      <c r="L289" s="17">
        <f>IF(D289="","",IFERROR(INDEX(Ingredients!$G$5:$G$304,MATCH(D289,Ingredients!$B$5:$B$304,0)),"Add to Ingredients"))</f>
        <v>0</v>
      </c>
      <c r="M289" s="25">
        <f>IF(D289="","",IFERROR(INDEX(Ingredients!$J$5:$J$304,MATCH(D289,Ingredients!$B$5:$B$304,0)),"Add to Ingredients"))</f>
        <v>0</v>
      </c>
      <c r="N289" s="25">
        <f>IF(OR(J289="",M289="",NOT(ISNUMBER(M289))),"",IF(K289&lt;&gt;L289,"",J289*M289))</f>
        <v>0</v>
      </c>
      <c r="O289" s="25">
        <f>IF(N289="","",IFERROR(N289/INDEX(Recipes!$G$5:$G$204,MATCH(B289,Recipes!$A$5:$A$204,0)),""))</f>
        <v>0</v>
      </c>
      <c r="P289" s="30">
        <f>IF(J289="","",IF(K289="each",J289,J289/100))</f>
        <v>0</v>
      </c>
      <c r="Q289" s="30">
        <f>IFERROR(IF(P289="","",P289*INDEX(Ingredients!$P$5:$P$304,MATCH(D289,Ingredients!$B$5:$B$304,0))),"")</f>
        <v>0</v>
      </c>
      <c r="R289" s="45">
        <f>IFERROR(IF(P289="","",P289*INDEX(Ingredients!$Q$5:$Q$304,MATCH(D289,Ingredients!$B$5:$B$304,0))),"")</f>
        <v>0</v>
      </c>
      <c r="S289" s="45">
        <f>IFERROR(IF(P289="","",P289*INDEX(Ingredients!$R$5:$R$304,MATCH(D289,Ingredients!$B$5:$B$304,0))),"")</f>
        <v>0</v>
      </c>
      <c r="T289" s="45">
        <f>IFERROR(IF(P289="","",P289*INDEX(Ingredients!$S$5:$S$304,MATCH(D289,Ingredients!$B$5:$B$304,0))),"")</f>
        <v>0</v>
      </c>
      <c r="U289" s="45">
        <f>IFERROR(IF(P289="","",P289*INDEX(Ingredients!$T$5:$T$304,MATCH(D289,Ingredients!$B$5:$B$304,0))),"")</f>
        <v>0</v>
      </c>
      <c r="V289" s="17">
        <f>IF(D289="","",IFERROR(INDEX(Ingredients!$W$5:$W$304,MATCH(D289,Ingredients!$B$5:$B$304,0)),"Add to Ingredients"))</f>
        <v>0</v>
      </c>
      <c r="W289" s="17">
        <f>IF(D289="","",IFERROR(INDEX(Ingredients!$C$5:$C$304,MATCH(D289,Ingredients!$B$5:$B$304,0)),"Add to Ingredients"))</f>
        <v>0</v>
      </c>
      <c r="X289" s="45">
        <f>IFERROR(INDEX(Recipes!$AT$5:$AT$204,MATCH(B289,Recipes!$A$5:$A$204,0)),0)</f>
        <v>0</v>
      </c>
      <c r="Y289" s="45">
        <f>IF(OR(J289="",X289=0),"",J289*X289)</f>
        <v>0</v>
      </c>
      <c r="Z289" s="17">
        <f>IF(D289="","",B289&amp;"#"&amp;COUNTIFS($B$5:B289,B289))</f>
        <v>0</v>
      </c>
      <c r="AA289" s="17">
        <f>IF(D289="","",B289&amp;"|"&amp;D289)</f>
        <v>0</v>
      </c>
      <c r="AB289" s="31">
        <f>IF(D289="","",IF(B289="","Add - which recipe?",IF(COUNTIFS(Ingredients!$B$5:$B$304,D289)=0,"Missing - not in the Ingredients tab",IF(E289="","Add - no quantity",IF(F289="","Add - no unit",IF(K289&lt;&gt;L289,"Check - recipe in "&amp;K289&amp;", priced in "&amp;L289,IF(COUNTIFS($AA$5:$AA$1204,AA289)&gt;1,"Duplicate - same ingredient twice","OK")))))))</f>
        <v>0</v>
      </c>
    </row>
    <row r="290" spans="1:28">
      <c r="A290" s="39">
        <f>IF(D290="","","RL-"&amp;TEXT(ROW()-4,"0000"))</f>
        <v>0</v>
      </c>
      <c r="C290" s="17">
        <f>IF(B290="","",IFERROR(INDEX(Recipes!$B$5:$B$204,MATCH(B290,Recipes!$A$5:$A$204,0)),"Not found"))</f>
        <v>0</v>
      </c>
      <c r="J290" s="45">
        <f>IF(E290="","",IFERROR(E290*INDEX(UnitFactors,MATCH(F290,UnitNames,0)),""))</f>
        <v>0</v>
      </c>
      <c r="K290" s="17">
        <f>IF(F290="","",IFERROR(INDEX(UnitBases,MATCH(F290,UnitNames,0)),"?"))</f>
        <v>0</v>
      </c>
      <c r="L290" s="17">
        <f>IF(D290="","",IFERROR(INDEX(Ingredients!$G$5:$G$304,MATCH(D290,Ingredients!$B$5:$B$304,0)),"Add to Ingredients"))</f>
        <v>0</v>
      </c>
      <c r="M290" s="25">
        <f>IF(D290="","",IFERROR(INDEX(Ingredients!$J$5:$J$304,MATCH(D290,Ingredients!$B$5:$B$304,0)),"Add to Ingredients"))</f>
        <v>0</v>
      </c>
      <c r="N290" s="25">
        <f>IF(OR(J290="",M290="",NOT(ISNUMBER(M290))),"",IF(K290&lt;&gt;L290,"",J290*M290))</f>
        <v>0</v>
      </c>
      <c r="O290" s="25">
        <f>IF(N290="","",IFERROR(N290/INDEX(Recipes!$G$5:$G$204,MATCH(B290,Recipes!$A$5:$A$204,0)),""))</f>
        <v>0</v>
      </c>
      <c r="P290" s="30">
        <f>IF(J290="","",IF(K290="each",J290,J290/100))</f>
        <v>0</v>
      </c>
      <c r="Q290" s="30">
        <f>IFERROR(IF(P290="","",P290*INDEX(Ingredients!$P$5:$P$304,MATCH(D290,Ingredients!$B$5:$B$304,0))),"")</f>
        <v>0</v>
      </c>
      <c r="R290" s="45">
        <f>IFERROR(IF(P290="","",P290*INDEX(Ingredients!$Q$5:$Q$304,MATCH(D290,Ingredients!$B$5:$B$304,0))),"")</f>
        <v>0</v>
      </c>
      <c r="S290" s="45">
        <f>IFERROR(IF(P290="","",P290*INDEX(Ingredients!$R$5:$R$304,MATCH(D290,Ingredients!$B$5:$B$304,0))),"")</f>
        <v>0</v>
      </c>
      <c r="T290" s="45">
        <f>IFERROR(IF(P290="","",P290*INDEX(Ingredients!$S$5:$S$304,MATCH(D290,Ingredients!$B$5:$B$304,0))),"")</f>
        <v>0</v>
      </c>
      <c r="U290" s="45">
        <f>IFERROR(IF(P290="","",P290*INDEX(Ingredients!$T$5:$T$304,MATCH(D290,Ingredients!$B$5:$B$304,0))),"")</f>
        <v>0</v>
      </c>
      <c r="V290" s="17">
        <f>IF(D290="","",IFERROR(INDEX(Ingredients!$W$5:$W$304,MATCH(D290,Ingredients!$B$5:$B$304,0)),"Add to Ingredients"))</f>
        <v>0</v>
      </c>
      <c r="W290" s="17">
        <f>IF(D290="","",IFERROR(INDEX(Ingredients!$C$5:$C$304,MATCH(D290,Ingredients!$B$5:$B$304,0)),"Add to Ingredients"))</f>
        <v>0</v>
      </c>
      <c r="X290" s="45">
        <f>IFERROR(INDEX(Recipes!$AT$5:$AT$204,MATCH(B290,Recipes!$A$5:$A$204,0)),0)</f>
        <v>0</v>
      </c>
      <c r="Y290" s="45">
        <f>IF(OR(J290="",X290=0),"",J290*X290)</f>
        <v>0</v>
      </c>
      <c r="Z290" s="17">
        <f>IF(D290="","",B290&amp;"#"&amp;COUNTIFS($B$5:B290,B290))</f>
        <v>0</v>
      </c>
      <c r="AA290" s="17">
        <f>IF(D290="","",B290&amp;"|"&amp;D290)</f>
        <v>0</v>
      </c>
      <c r="AB290" s="31">
        <f>IF(D290="","",IF(B290="","Add - which recipe?",IF(COUNTIFS(Ingredients!$B$5:$B$304,D290)=0,"Missing - not in the Ingredients tab",IF(E290="","Add - no quantity",IF(F290="","Add - no unit",IF(K290&lt;&gt;L290,"Check - recipe in "&amp;K290&amp;", priced in "&amp;L290,IF(COUNTIFS($AA$5:$AA$1204,AA290)&gt;1,"Duplicate - same ingredient twice","OK")))))))</f>
        <v>0</v>
      </c>
    </row>
    <row r="291" spans="1:28">
      <c r="A291" s="39">
        <f>IF(D291="","","RL-"&amp;TEXT(ROW()-4,"0000"))</f>
        <v>0</v>
      </c>
      <c r="C291" s="17">
        <f>IF(B291="","",IFERROR(INDEX(Recipes!$B$5:$B$204,MATCH(B291,Recipes!$A$5:$A$204,0)),"Not found"))</f>
        <v>0</v>
      </c>
      <c r="J291" s="45">
        <f>IF(E291="","",IFERROR(E291*INDEX(UnitFactors,MATCH(F291,UnitNames,0)),""))</f>
        <v>0</v>
      </c>
      <c r="K291" s="17">
        <f>IF(F291="","",IFERROR(INDEX(UnitBases,MATCH(F291,UnitNames,0)),"?"))</f>
        <v>0</v>
      </c>
      <c r="L291" s="17">
        <f>IF(D291="","",IFERROR(INDEX(Ingredients!$G$5:$G$304,MATCH(D291,Ingredients!$B$5:$B$304,0)),"Add to Ingredients"))</f>
        <v>0</v>
      </c>
      <c r="M291" s="25">
        <f>IF(D291="","",IFERROR(INDEX(Ingredients!$J$5:$J$304,MATCH(D291,Ingredients!$B$5:$B$304,0)),"Add to Ingredients"))</f>
        <v>0</v>
      </c>
      <c r="N291" s="25">
        <f>IF(OR(J291="",M291="",NOT(ISNUMBER(M291))),"",IF(K291&lt;&gt;L291,"",J291*M291))</f>
        <v>0</v>
      </c>
      <c r="O291" s="25">
        <f>IF(N291="","",IFERROR(N291/INDEX(Recipes!$G$5:$G$204,MATCH(B291,Recipes!$A$5:$A$204,0)),""))</f>
        <v>0</v>
      </c>
      <c r="P291" s="30">
        <f>IF(J291="","",IF(K291="each",J291,J291/100))</f>
        <v>0</v>
      </c>
      <c r="Q291" s="30">
        <f>IFERROR(IF(P291="","",P291*INDEX(Ingredients!$P$5:$P$304,MATCH(D291,Ingredients!$B$5:$B$304,0))),"")</f>
        <v>0</v>
      </c>
      <c r="R291" s="45">
        <f>IFERROR(IF(P291="","",P291*INDEX(Ingredients!$Q$5:$Q$304,MATCH(D291,Ingredients!$B$5:$B$304,0))),"")</f>
        <v>0</v>
      </c>
      <c r="S291" s="45">
        <f>IFERROR(IF(P291="","",P291*INDEX(Ingredients!$R$5:$R$304,MATCH(D291,Ingredients!$B$5:$B$304,0))),"")</f>
        <v>0</v>
      </c>
      <c r="T291" s="45">
        <f>IFERROR(IF(P291="","",P291*INDEX(Ingredients!$S$5:$S$304,MATCH(D291,Ingredients!$B$5:$B$304,0))),"")</f>
        <v>0</v>
      </c>
      <c r="U291" s="45">
        <f>IFERROR(IF(P291="","",P291*INDEX(Ingredients!$T$5:$T$304,MATCH(D291,Ingredients!$B$5:$B$304,0))),"")</f>
        <v>0</v>
      </c>
      <c r="V291" s="17">
        <f>IF(D291="","",IFERROR(INDEX(Ingredients!$W$5:$W$304,MATCH(D291,Ingredients!$B$5:$B$304,0)),"Add to Ingredients"))</f>
        <v>0</v>
      </c>
      <c r="W291" s="17">
        <f>IF(D291="","",IFERROR(INDEX(Ingredients!$C$5:$C$304,MATCH(D291,Ingredients!$B$5:$B$304,0)),"Add to Ingredients"))</f>
        <v>0</v>
      </c>
      <c r="X291" s="45">
        <f>IFERROR(INDEX(Recipes!$AT$5:$AT$204,MATCH(B291,Recipes!$A$5:$A$204,0)),0)</f>
        <v>0</v>
      </c>
      <c r="Y291" s="45">
        <f>IF(OR(J291="",X291=0),"",J291*X291)</f>
        <v>0</v>
      </c>
      <c r="Z291" s="17">
        <f>IF(D291="","",B291&amp;"#"&amp;COUNTIFS($B$5:B291,B291))</f>
        <v>0</v>
      </c>
      <c r="AA291" s="17">
        <f>IF(D291="","",B291&amp;"|"&amp;D291)</f>
        <v>0</v>
      </c>
      <c r="AB291" s="31">
        <f>IF(D291="","",IF(B291="","Add - which recipe?",IF(COUNTIFS(Ingredients!$B$5:$B$304,D291)=0,"Missing - not in the Ingredients tab",IF(E291="","Add - no quantity",IF(F291="","Add - no unit",IF(K291&lt;&gt;L291,"Check - recipe in "&amp;K291&amp;", priced in "&amp;L291,IF(COUNTIFS($AA$5:$AA$1204,AA291)&gt;1,"Duplicate - same ingredient twice","OK")))))))</f>
        <v>0</v>
      </c>
    </row>
    <row r="292" spans="1:28">
      <c r="A292" s="39">
        <f>IF(D292="","","RL-"&amp;TEXT(ROW()-4,"0000"))</f>
        <v>0</v>
      </c>
      <c r="C292" s="17">
        <f>IF(B292="","",IFERROR(INDEX(Recipes!$B$5:$B$204,MATCH(B292,Recipes!$A$5:$A$204,0)),"Not found"))</f>
        <v>0</v>
      </c>
      <c r="J292" s="45">
        <f>IF(E292="","",IFERROR(E292*INDEX(UnitFactors,MATCH(F292,UnitNames,0)),""))</f>
        <v>0</v>
      </c>
      <c r="K292" s="17">
        <f>IF(F292="","",IFERROR(INDEX(UnitBases,MATCH(F292,UnitNames,0)),"?"))</f>
        <v>0</v>
      </c>
      <c r="L292" s="17">
        <f>IF(D292="","",IFERROR(INDEX(Ingredients!$G$5:$G$304,MATCH(D292,Ingredients!$B$5:$B$304,0)),"Add to Ingredients"))</f>
        <v>0</v>
      </c>
      <c r="M292" s="25">
        <f>IF(D292="","",IFERROR(INDEX(Ingredients!$J$5:$J$304,MATCH(D292,Ingredients!$B$5:$B$304,0)),"Add to Ingredients"))</f>
        <v>0</v>
      </c>
      <c r="N292" s="25">
        <f>IF(OR(J292="",M292="",NOT(ISNUMBER(M292))),"",IF(K292&lt;&gt;L292,"",J292*M292))</f>
        <v>0</v>
      </c>
      <c r="O292" s="25">
        <f>IF(N292="","",IFERROR(N292/INDEX(Recipes!$G$5:$G$204,MATCH(B292,Recipes!$A$5:$A$204,0)),""))</f>
        <v>0</v>
      </c>
      <c r="P292" s="30">
        <f>IF(J292="","",IF(K292="each",J292,J292/100))</f>
        <v>0</v>
      </c>
      <c r="Q292" s="30">
        <f>IFERROR(IF(P292="","",P292*INDEX(Ingredients!$P$5:$P$304,MATCH(D292,Ingredients!$B$5:$B$304,0))),"")</f>
        <v>0</v>
      </c>
      <c r="R292" s="45">
        <f>IFERROR(IF(P292="","",P292*INDEX(Ingredients!$Q$5:$Q$304,MATCH(D292,Ingredients!$B$5:$B$304,0))),"")</f>
        <v>0</v>
      </c>
      <c r="S292" s="45">
        <f>IFERROR(IF(P292="","",P292*INDEX(Ingredients!$R$5:$R$304,MATCH(D292,Ingredients!$B$5:$B$304,0))),"")</f>
        <v>0</v>
      </c>
      <c r="T292" s="45">
        <f>IFERROR(IF(P292="","",P292*INDEX(Ingredients!$S$5:$S$304,MATCH(D292,Ingredients!$B$5:$B$304,0))),"")</f>
        <v>0</v>
      </c>
      <c r="U292" s="45">
        <f>IFERROR(IF(P292="","",P292*INDEX(Ingredients!$T$5:$T$304,MATCH(D292,Ingredients!$B$5:$B$304,0))),"")</f>
        <v>0</v>
      </c>
      <c r="V292" s="17">
        <f>IF(D292="","",IFERROR(INDEX(Ingredients!$W$5:$W$304,MATCH(D292,Ingredients!$B$5:$B$304,0)),"Add to Ingredients"))</f>
        <v>0</v>
      </c>
      <c r="W292" s="17">
        <f>IF(D292="","",IFERROR(INDEX(Ingredients!$C$5:$C$304,MATCH(D292,Ingredients!$B$5:$B$304,0)),"Add to Ingredients"))</f>
        <v>0</v>
      </c>
      <c r="X292" s="45">
        <f>IFERROR(INDEX(Recipes!$AT$5:$AT$204,MATCH(B292,Recipes!$A$5:$A$204,0)),0)</f>
        <v>0</v>
      </c>
      <c r="Y292" s="45">
        <f>IF(OR(J292="",X292=0),"",J292*X292)</f>
        <v>0</v>
      </c>
      <c r="Z292" s="17">
        <f>IF(D292="","",B292&amp;"#"&amp;COUNTIFS($B$5:B292,B292))</f>
        <v>0</v>
      </c>
      <c r="AA292" s="17">
        <f>IF(D292="","",B292&amp;"|"&amp;D292)</f>
        <v>0</v>
      </c>
      <c r="AB292" s="31">
        <f>IF(D292="","",IF(B292="","Add - which recipe?",IF(COUNTIFS(Ingredients!$B$5:$B$304,D292)=0,"Missing - not in the Ingredients tab",IF(E292="","Add - no quantity",IF(F292="","Add - no unit",IF(K292&lt;&gt;L292,"Check - recipe in "&amp;K292&amp;", priced in "&amp;L292,IF(COUNTIFS($AA$5:$AA$1204,AA292)&gt;1,"Duplicate - same ingredient twice","OK")))))))</f>
        <v>0</v>
      </c>
    </row>
    <row r="293" spans="1:28">
      <c r="A293" s="39">
        <f>IF(D293="","","RL-"&amp;TEXT(ROW()-4,"0000"))</f>
        <v>0</v>
      </c>
      <c r="C293" s="17">
        <f>IF(B293="","",IFERROR(INDEX(Recipes!$B$5:$B$204,MATCH(B293,Recipes!$A$5:$A$204,0)),"Not found"))</f>
        <v>0</v>
      </c>
      <c r="J293" s="45">
        <f>IF(E293="","",IFERROR(E293*INDEX(UnitFactors,MATCH(F293,UnitNames,0)),""))</f>
        <v>0</v>
      </c>
      <c r="K293" s="17">
        <f>IF(F293="","",IFERROR(INDEX(UnitBases,MATCH(F293,UnitNames,0)),"?"))</f>
        <v>0</v>
      </c>
      <c r="L293" s="17">
        <f>IF(D293="","",IFERROR(INDEX(Ingredients!$G$5:$G$304,MATCH(D293,Ingredients!$B$5:$B$304,0)),"Add to Ingredients"))</f>
        <v>0</v>
      </c>
      <c r="M293" s="25">
        <f>IF(D293="","",IFERROR(INDEX(Ingredients!$J$5:$J$304,MATCH(D293,Ingredients!$B$5:$B$304,0)),"Add to Ingredients"))</f>
        <v>0</v>
      </c>
      <c r="N293" s="25">
        <f>IF(OR(J293="",M293="",NOT(ISNUMBER(M293))),"",IF(K293&lt;&gt;L293,"",J293*M293))</f>
        <v>0</v>
      </c>
      <c r="O293" s="25">
        <f>IF(N293="","",IFERROR(N293/INDEX(Recipes!$G$5:$G$204,MATCH(B293,Recipes!$A$5:$A$204,0)),""))</f>
        <v>0</v>
      </c>
      <c r="P293" s="30">
        <f>IF(J293="","",IF(K293="each",J293,J293/100))</f>
        <v>0</v>
      </c>
      <c r="Q293" s="30">
        <f>IFERROR(IF(P293="","",P293*INDEX(Ingredients!$P$5:$P$304,MATCH(D293,Ingredients!$B$5:$B$304,0))),"")</f>
        <v>0</v>
      </c>
      <c r="R293" s="45">
        <f>IFERROR(IF(P293="","",P293*INDEX(Ingredients!$Q$5:$Q$304,MATCH(D293,Ingredients!$B$5:$B$304,0))),"")</f>
        <v>0</v>
      </c>
      <c r="S293" s="45">
        <f>IFERROR(IF(P293="","",P293*INDEX(Ingredients!$R$5:$R$304,MATCH(D293,Ingredients!$B$5:$B$304,0))),"")</f>
        <v>0</v>
      </c>
      <c r="T293" s="45">
        <f>IFERROR(IF(P293="","",P293*INDEX(Ingredients!$S$5:$S$304,MATCH(D293,Ingredients!$B$5:$B$304,0))),"")</f>
        <v>0</v>
      </c>
      <c r="U293" s="45">
        <f>IFERROR(IF(P293="","",P293*INDEX(Ingredients!$T$5:$T$304,MATCH(D293,Ingredients!$B$5:$B$304,0))),"")</f>
        <v>0</v>
      </c>
      <c r="V293" s="17">
        <f>IF(D293="","",IFERROR(INDEX(Ingredients!$W$5:$W$304,MATCH(D293,Ingredients!$B$5:$B$304,0)),"Add to Ingredients"))</f>
        <v>0</v>
      </c>
      <c r="W293" s="17">
        <f>IF(D293="","",IFERROR(INDEX(Ingredients!$C$5:$C$304,MATCH(D293,Ingredients!$B$5:$B$304,0)),"Add to Ingredients"))</f>
        <v>0</v>
      </c>
      <c r="X293" s="45">
        <f>IFERROR(INDEX(Recipes!$AT$5:$AT$204,MATCH(B293,Recipes!$A$5:$A$204,0)),0)</f>
        <v>0</v>
      </c>
      <c r="Y293" s="45">
        <f>IF(OR(J293="",X293=0),"",J293*X293)</f>
        <v>0</v>
      </c>
      <c r="Z293" s="17">
        <f>IF(D293="","",B293&amp;"#"&amp;COUNTIFS($B$5:B293,B293))</f>
        <v>0</v>
      </c>
      <c r="AA293" s="17">
        <f>IF(D293="","",B293&amp;"|"&amp;D293)</f>
        <v>0</v>
      </c>
      <c r="AB293" s="31">
        <f>IF(D293="","",IF(B293="","Add - which recipe?",IF(COUNTIFS(Ingredients!$B$5:$B$304,D293)=0,"Missing - not in the Ingredients tab",IF(E293="","Add - no quantity",IF(F293="","Add - no unit",IF(K293&lt;&gt;L293,"Check - recipe in "&amp;K293&amp;", priced in "&amp;L293,IF(COUNTIFS($AA$5:$AA$1204,AA293)&gt;1,"Duplicate - same ingredient twice","OK")))))))</f>
        <v>0</v>
      </c>
    </row>
    <row r="294" spans="1:28">
      <c r="A294" s="39">
        <f>IF(D294="","","RL-"&amp;TEXT(ROW()-4,"0000"))</f>
        <v>0</v>
      </c>
      <c r="C294" s="17">
        <f>IF(B294="","",IFERROR(INDEX(Recipes!$B$5:$B$204,MATCH(B294,Recipes!$A$5:$A$204,0)),"Not found"))</f>
        <v>0</v>
      </c>
      <c r="J294" s="45">
        <f>IF(E294="","",IFERROR(E294*INDEX(UnitFactors,MATCH(F294,UnitNames,0)),""))</f>
        <v>0</v>
      </c>
      <c r="K294" s="17">
        <f>IF(F294="","",IFERROR(INDEX(UnitBases,MATCH(F294,UnitNames,0)),"?"))</f>
        <v>0</v>
      </c>
      <c r="L294" s="17">
        <f>IF(D294="","",IFERROR(INDEX(Ingredients!$G$5:$G$304,MATCH(D294,Ingredients!$B$5:$B$304,0)),"Add to Ingredients"))</f>
        <v>0</v>
      </c>
      <c r="M294" s="25">
        <f>IF(D294="","",IFERROR(INDEX(Ingredients!$J$5:$J$304,MATCH(D294,Ingredients!$B$5:$B$304,0)),"Add to Ingredients"))</f>
        <v>0</v>
      </c>
      <c r="N294" s="25">
        <f>IF(OR(J294="",M294="",NOT(ISNUMBER(M294))),"",IF(K294&lt;&gt;L294,"",J294*M294))</f>
        <v>0</v>
      </c>
      <c r="O294" s="25">
        <f>IF(N294="","",IFERROR(N294/INDEX(Recipes!$G$5:$G$204,MATCH(B294,Recipes!$A$5:$A$204,0)),""))</f>
        <v>0</v>
      </c>
      <c r="P294" s="30">
        <f>IF(J294="","",IF(K294="each",J294,J294/100))</f>
        <v>0</v>
      </c>
      <c r="Q294" s="30">
        <f>IFERROR(IF(P294="","",P294*INDEX(Ingredients!$P$5:$P$304,MATCH(D294,Ingredients!$B$5:$B$304,0))),"")</f>
        <v>0</v>
      </c>
      <c r="R294" s="45">
        <f>IFERROR(IF(P294="","",P294*INDEX(Ingredients!$Q$5:$Q$304,MATCH(D294,Ingredients!$B$5:$B$304,0))),"")</f>
        <v>0</v>
      </c>
      <c r="S294" s="45">
        <f>IFERROR(IF(P294="","",P294*INDEX(Ingredients!$R$5:$R$304,MATCH(D294,Ingredients!$B$5:$B$304,0))),"")</f>
        <v>0</v>
      </c>
      <c r="T294" s="45">
        <f>IFERROR(IF(P294="","",P294*INDEX(Ingredients!$S$5:$S$304,MATCH(D294,Ingredients!$B$5:$B$304,0))),"")</f>
        <v>0</v>
      </c>
      <c r="U294" s="45">
        <f>IFERROR(IF(P294="","",P294*INDEX(Ingredients!$T$5:$T$304,MATCH(D294,Ingredients!$B$5:$B$304,0))),"")</f>
        <v>0</v>
      </c>
      <c r="V294" s="17">
        <f>IF(D294="","",IFERROR(INDEX(Ingredients!$W$5:$W$304,MATCH(D294,Ingredients!$B$5:$B$304,0)),"Add to Ingredients"))</f>
        <v>0</v>
      </c>
      <c r="W294" s="17">
        <f>IF(D294="","",IFERROR(INDEX(Ingredients!$C$5:$C$304,MATCH(D294,Ingredients!$B$5:$B$304,0)),"Add to Ingredients"))</f>
        <v>0</v>
      </c>
      <c r="X294" s="45">
        <f>IFERROR(INDEX(Recipes!$AT$5:$AT$204,MATCH(B294,Recipes!$A$5:$A$204,0)),0)</f>
        <v>0</v>
      </c>
      <c r="Y294" s="45">
        <f>IF(OR(J294="",X294=0),"",J294*X294)</f>
        <v>0</v>
      </c>
      <c r="Z294" s="17">
        <f>IF(D294="","",B294&amp;"#"&amp;COUNTIFS($B$5:B294,B294))</f>
        <v>0</v>
      </c>
      <c r="AA294" s="17">
        <f>IF(D294="","",B294&amp;"|"&amp;D294)</f>
        <v>0</v>
      </c>
      <c r="AB294" s="31">
        <f>IF(D294="","",IF(B294="","Add - which recipe?",IF(COUNTIFS(Ingredients!$B$5:$B$304,D294)=0,"Missing - not in the Ingredients tab",IF(E294="","Add - no quantity",IF(F294="","Add - no unit",IF(K294&lt;&gt;L294,"Check - recipe in "&amp;K294&amp;", priced in "&amp;L294,IF(COUNTIFS($AA$5:$AA$1204,AA294)&gt;1,"Duplicate - same ingredient twice","OK")))))))</f>
        <v>0</v>
      </c>
    </row>
    <row r="295" spans="1:28">
      <c r="A295" s="39">
        <f>IF(D295="","","RL-"&amp;TEXT(ROW()-4,"0000"))</f>
        <v>0</v>
      </c>
      <c r="C295" s="17">
        <f>IF(B295="","",IFERROR(INDEX(Recipes!$B$5:$B$204,MATCH(B295,Recipes!$A$5:$A$204,0)),"Not found"))</f>
        <v>0</v>
      </c>
      <c r="J295" s="45">
        <f>IF(E295="","",IFERROR(E295*INDEX(UnitFactors,MATCH(F295,UnitNames,0)),""))</f>
        <v>0</v>
      </c>
      <c r="K295" s="17">
        <f>IF(F295="","",IFERROR(INDEX(UnitBases,MATCH(F295,UnitNames,0)),"?"))</f>
        <v>0</v>
      </c>
      <c r="L295" s="17">
        <f>IF(D295="","",IFERROR(INDEX(Ingredients!$G$5:$G$304,MATCH(D295,Ingredients!$B$5:$B$304,0)),"Add to Ingredients"))</f>
        <v>0</v>
      </c>
      <c r="M295" s="25">
        <f>IF(D295="","",IFERROR(INDEX(Ingredients!$J$5:$J$304,MATCH(D295,Ingredients!$B$5:$B$304,0)),"Add to Ingredients"))</f>
        <v>0</v>
      </c>
      <c r="N295" s="25">
        <f>IF(OR(J295="",M295="",NOT(ISNUMBER(M295))),"",IF(K295&lt;&gt;L295,"",J295*M295))</f>
        <v>0</v>
      </c>
      <c r="O295" s="25">
        <f>IF(N295="","",IFERROR(N295/INDEX(Recipes!$G$5:$G$204,MATCH(B295,Recipes!$A$5:$A$204,0)),""))</f>
        <v>0</v>
      </c>
      <c r="P295" s="30">
        <f>IF(J295="","",IF(K295="each",J295,J295/100))</f>
        <v>0</v>
      </c>
      <c r="Q295" s="30">
        <f>IFERROR(IF(P295="","",P295*INDEX(Ingredients!$P$5:$P$304,MATCH(D295,Ingredients!$B$5:$B$304,0))),"")</f>
        <v>0</v>
      </c>
      <c r="R295" s="45">
        <f>IFERROR(IF(P295="","",P295*INDEX(Ingredients!$Q$5:$Q$304,MATCH(D295,Ingredients!$B$5:$B$304,0))),"")</f>
        <v>0</v>
      </c>
      <c r="S295" s="45">
        <f>IFERROR(IF(P295="","",P295*INDEX(Ingredients!$R$5:$R$304,MATCH(D295,Ingredients!$B$5:$B$304,0))),"")</f>
        <v>0</v>
      </c>
      <c r="T295" s="45">
        <f>IFERROR(IF(P295="","",P295*INDEX(Ingredients!$S$5:$S$304,MATCH(D295,Ingredients!$B$5:$B$304,0))),"")</f>
        <v>0</v>
      </c>
      <c r="U295" s="45">
        <f>IFERROR(IF(P295="","",P295*INDEX(Ingredients!$T$5:$T$304,MATCH(D295,Ingredients!$B$5:$B$304,0))),"")</f>
        <v>0</v>
      </c>
      <c r="V295" s="17">
        <f>IF(D295="","",IFERROR(INDEX(Ingredients!$W$5:$W$304,MATCH(D295,Ingredients!$B$5:$B$304,0)),"Add to Ingredients"))</f>
        <v>0</v>
      </c>
      <c r="W295" s="17">
        <f>IF(D295="","",IFERROR(INDEX(Ingredients!$C$5:$C$304,MATCH(D295,Ingredients!$B$5:$B$304,0)),"Add to Ingredients"))</f>
        <v>0</v>
      </c>
      <c r="X295" s="45">
        <f>IFERROR(INDEX(Recipes!$AT$5:$AT$204,MATCH(B295,Recipes!$A$5:$A$204,0)),0)</f>
        <v>0</v>
      </c>
      <c r="Y295" s="45">
        <f>IF(OR(J295="",X295=0),"",J295*X295)</f>
        <v>0</v>
      </c>
      <c r="Z295" s="17">
        <f>IF(D295="","",B295&amp;"#"&amp;COUNTIFS($B$5:B295,B295))</f>
        <v>0</v>
      </c>
      <c r="AA295" s="17">
        <f>IF(D295="","",B295&amp;"|"&amp;D295)</f>
        <v>0</v>
      </c>
      <c r="AB295" s="31">
        <f>IF(D295="","",IF(B295="","Add - which recipe?",IF(COUNTIFS(Ingredients!$B$5:$B$304,D295)=0,"Missing - not in the Ingredients tab",IF(E295="","Add - no quantity",IF(F295="","Add - no unit",IF(K295&lt;&gt;L295,"Check - recipe in "&amp;K295&amp;", priced in "&amp;L295,IF(COUNTIFS($AA$5:$AA$1204,AA295)&gt;1,"Duplicate - same ingredient twice","OK")))))))</f>
        <v>0</v>
      </c>
    </row>
    <row r="296" spans="1:28">
      <c r="A296" s="39">
        <f>IF(D296="","","RL-"&amp;TEXT(ROW()-4,"0000"))</f>
        <v>0</v>
      </c>
      <c r="C296" s="17">
        <f>IF(B296="","",IFERROR(INDEX(Recipes!$B$5:$B$204,MATCH(B296,Recipes!$A$5:$A$204,0)),"Not found"))</f>
        <v>0</v>
      </c>
      <c r="J296" s="45">
        <f>IF(E296="","",IFERROR(E296*INDEX(UnitFactors,MATCH(F296,UnitNames,0)),""))</f>
        <v>0</v>
      </c>
      <c r="K296" s="17">
        <f>IF(F296="","",IFERROR(INDEX(UnitBases,MATCH(F296,UnitNames,0)),"?"))</f>
        <v>0</v>
      </c>
      <c r="L296" s="17">
        <f>IF(D296="","",IFERROR(INDEX(Ingredients!$G$5:$G$304,MATCH(D296,Ingredients!$B$5:$B$304,0)),"Add to Ingredients"))</f>
        <v>0</v>
      </c>
      <c r="M296" s="25">
        <f>IF(D296="","",IFERROR(INDEX(Ingredients!$J$5:$J$304,MATCH(D296,Ingredients!$B$5:$B$304,0)),"Add to Ingredients"))</f>
        <v>0</v>
      </c>
      <c r="N296" s="25">
        <f>IF(OR(J296="",M296="",NOT(ISNUMBER(M296))),"",IF(K296&lt;&gt;L296,"",J296*M296))</f>
        <v>0</v>
      </c>
      <c r="O296" s="25">
        <f>IF(N296="","",IFERROR(N296/INDEX(Recipes!$G$5:$G$204,MATCH(B296,Recipes!$A$5:$A$204,0)),""))</f>
        <v>0</v>
      </c>
      <c r="P296" s="30">
        <f>IF(J296="","",IF(K296="each",J296,J296/100))</f>
        <v>0</v>
      </c>
      <c r="Q296" s="30">
        <f>IFERROR(IF(P296="","",P296*INDEX(Ingredients!$P$5:$P$304,MATCH(D296,Ingredients!$B$5:$B$304,0))),"")</f>
        <v>0</v>
      </c>
      <c r="R296" s="45">
        <f>IFERROR(IF(P296="","",P296*INDEX(Ingredients!$Q$5:$Q$304,MATCH(D296,Ingredients!$B$5:$B$304,0))),"")</f>
        <v>0</v>
      </c>
      <c r="S296" s="45">
        <f>IFERROR(IF(P296="","",P296*INDEX(Ingredients!$R$5:$R$304,MATCH(D296,Ingredients!$B$5:$B$304,0))),"")</f>
        <v>0</v>
      </c>
      <c r="T296" s="45">
        <f>IFERROR(IF(P296="","",P296*INDEX(Ingredients!$S$5:$S$304,MATCH(D296,Ingredients!$B$5:$B$304,0))),"")</f>
        <v>0</v>
      </c>
      <c r="U296" s="45">
        <f>IFERROR(IF(P296="","",P296*INDEX(Ingredients!$T$5:$T$304,MATCH(D296,Ingredients!$B$5:$B$304,0))),"")</f>
        <v>0</v>
      </c>
      <c r="V296" s="17">
        <f>IF(D296="","",IFERROR(INDEX(Ingredients!$W$5:$W$304,MATCH(D296,Ingredients!$B$5:$B$304,0)),"Add to Ingredients"))</f>
        <v>0</v>
      </c>
      <c r="W296" s="17">
        <f>IF(D296="","",IFERROR(INDEX(Ingredients!$C$5:$C$304,MATCH(D296,Ingredients!$B$5:$B$304,0)),"Add to Ingredients"))</f>
        <v>0</v>
      </c>
      <c r="X296" s="45">
        <f>IFERROR(INDEX(Recipes!$AT$5:$AT$204,MATCH(B296,Recipes!$A$5:$A$204,0)),0)</f>
        <v>0</v>
      </c>
      <c r="Y296" s="45">
        <f>IF(OR(J296="",X296=0),"",J296*X296)</f>
        <v>0</v>
      </c>
      <c r="Z296" s="17">
        <f>IF(D296="","",B296&amp;"#"&amp;COUNTIFS($B$5:B296,B296))</f>
        <v>0</v>
      </c>
      <c r="AA296" s="17">
        <f>IF(D296="","",B296&amp;"|"&amp;D296)</f>
        <v>0</v>
      </c>
      <c r="AB296" s="31">
        <f>IF(D296="","",IF(B296="","Add - which recipe?",IF(COUNTIFS(Ingredients!$B$5:$B$304,D296)=0,"Missing - not in the Ingredients tab",IF(E296="","Add - no quantity",IF(F296="","Add - no unit",IF(K296&lt;&gt;L296,"Check - recipe in "&amp;K296&amp;", priced in "&amp;L296,IF(COUNTIFS($AA$5:$AA$1204,AA296)&gt;1,"Duplicate - same ingredient twice","OK")))))))</f>
        <v>0</v>
      </c>
    </row>
    <row r="297" spans="1:28">
      <c r="A297" s="39">
        <f>IF(D297="","","RL-"&amp;TEXT(ROW()-4,"0000"))</f>
        <v>0</v>
      </c>
      <c r="C297" s="17">
        <f>IF(B297="","",IFERROR(INDEX(Recipes!$B$5:$B$204,MATCH(B297,Recipes!$A$5:$A$204,0)),"Not found"))</f>
        <v>0</v>
      </c>
      <c r="J297" s="45">
        <f>IF(E297="","",IFERROR(E297*INDEX(UnitFactors,MATCH(F297,UnitNames,0)),""))</f>
        <v>0</v>
      </c>
      <c r="K297" s="17">
        <f>IF(F297="","",IFERROR(INDEX(UnitBases,MATCH(F297,UnitNames,0)),"?"))</f>
        <v>0</v>
      </c>
      <c r="L297" s="17">
        <f>IF(D297="","",IFERROR(INDEX(Ingredients!$G$5:$G$304,MATCH(D297,Ingredients!$B$5:$B$304,0)),"Add to Ingredients"))</f>
        <v>0</v>
      </c>
      <c r="M297" s="25">
        <f>IF(D297="","",IFERROR(INDEX(Ingredients!$J$5:$J$304,MATCH(D297,Ingredients!$B$5:$B$304,0)),"Add to Ingredients"))</f>
        <v>0</v>
      </c>
      <c r="N297" s="25">
        <f>IF(OR(J297="",M297="",NOT(ISNUMBER(M297))),"",IF(K297&lt;&gt;L297,"",J297*M297))</f>
        <v>0</v>
      </c>
      <c r="O297" s="25">
        <f>IF(N297="","",IFERROR(N297/INDEX(Recipes!$G$5:$G$204,MATCH(B297,Recipes!$A$5:$A$204,0)),""))</f>
        <v>0</v>
      </c>
      <c r="P297" s="30">
        <f>IF(J297="","",IF(K297="each",J297,J297/100))</f>
        <v>0</v>
      </c>
      <c r="Q297" s="30">
        <f>IFERROR(IF(P297="","",P297*INDEX(Ingredients!$P$5:$P$304,MATCH(D297,Ingredients!$B$5:$B$304,0))),"")</f>
        <v>0</v>
      </c>
      <c r="R297" s="45">
        <f>IFERROR(IF(P297="","",P297*INDEX(Ingredients!$Q$5:$Q$304,MATCH(D297,Ingredients!$B$5:$B$304,0))),"")</f>
        <v>0</v>
      </c>
      <c r="S297" s="45">
        <f>IFERROR(IF(P297="","",P297*INDEX(Ingredients!$R$5:$R$304,MATCH(D297,Ingredients!$B$5:$B$304,0))),"")</f>
        <v>0</v>
      </c>
      <c r="T297" s="45">
        <f>IFERROR(IF(P297="","",P297*INDEX(Ingredients!$S$5:$S$304,MATCH(D297,Ingredients!$B$5:$B$304,0))),"")</f>
        <v>0</v>
      </c>
      <c r="U297" s="45">
        <f>IFERROR(IF(P297="","",P297*INDEX(Ingredients!$T$5:$T$304,MATCH(D297,Ingredients!$B$5:$B$304,0))),"")</f>
        <v>0</v>
      </c>
      <c r="V297" s="17">
        <f>IF(D297="","",IFERROR(INDEX(Ingredients!$W$5:$W$304,MATCH(D297,Ingredients!$B$5:$B$304,0)),"Add to Ingredients"))</f>
        <v>0</v>
      </c>
      <c r="W297" s="17">
        <f>IF(D297="","",IFERROR(INDEX(Ingredients!$C$5:$C$304,MATCH(D297,Ingredients!$B$5:$B$304,0)),"Add to Ingredients"))</f>
        <v>0</v>
      </c>
      <c r="X297" s="45">
        <f>IFERROR(INDEX(Recipes!$AT$5:$AT$204,MATCH(B297,Recipes!$A$5:$A$204,0)),0)</f>
        <v>0</v>
      </c>
      <c r="Y297" s="45">
        <f>IF(OR(J297="",X297=0),"",J297*X297)</f>
        <v>0</v>
      </c>
      <c r="Z297" s="17">
        <f>IF(D297="","",B297&amp;"#"&amp;COUNTIFS($B$5:B297,B297))</f>
        <v>0</v>
      </c>
      <c r="AA297" s="17">
        <f>IF(D297="","",B297&amp;"|"&amp;D297)</f>
        <v>0</v>
      </c>
      <c r="AB297" s="31">
        <f>IF(D297="","",IF(B297="","Add - which recipe?",IF(COUNTIFS(Ingredients!$B$5:$B$304,D297)=0,"Missing - not in the Ingredients tab",IF(E297="","Add - no quantity",IF(F297="","Add - no unit",IF(K297&lt;&gt;L297,"Check - recipe in "&amp;K297&amp;", priced in "&amp;L297,IF(COUNTIFS($AA$5:$AA$1204,AA297)&gt;1,"Duplicate - same ingredient twice","OK")))))))</f>
        <v>0</v>
      </c>
    </row>
    <row r="298" spans="1:28">
      <c r="A298" s="39">
        <f>IF(D298="","","RL-"&amp;TEXT(ROW()-4,"0000"))</f>
        <v>0</v>
      </c>
      <c r="C298" s="17">
        <f>IF(B298="","",IFERROR(INDEX(Recipes!$B$5:$B$204,MATCH(B298,Recipes!$A$5:$A$204,0)),"Not found"))</f>
        <v>0</v>
      </c>
      <c r="J298" s="45">
        <f>IF(E298="","",IFERROR(E298*INDEX(UnitFactors,MATCH(F298,UnitNames,0)),""))</f>
        <v>0</v>
      </c>
      <c r="K298" s="17">
        <f>IF(F298="","",IFERROR(INDEX(UnitBases,MATCH(F298,UnitNames,0)),"?"))</f>
        <v>0</v>
      </c>
      <c r="L298" s="17">
        <f>IF(D298="","",IFERROR(INDEX(Ingredients!$G$5:$G$304,MATCH(D298,Ingredients!$B$5:$B$304,0)),"Add to Ingredients"))</f>
        <v>0</v>
      </c>
      <c r="M298" s="25">
        <f>IF(D298="","",IFERROR(INDEX(Ingredients!$J$5:$J$304,MATCH(D298,Ingredients!$B$5:$B$304,0)),"Add to Ingredients"))</f>
        <v>0</v>
      </c>
      <c r="N298" s="25">
        <f>IF(OR(J298="",M298="",NOT(ISNUMBER(M298))),"",IF(K298&lt;&gt;L298,"",J298*M298))</f>
        <v>0</v>
      </c>
      <c r="O298" s="25">
        <f>IF(N298="","",IFERROR(N298/INDEX(Recipes!$G$5:$G$204,MATCH(B298,Recipes!$A$5:$A$204,0)),""))</f>
        <v>0</v>
      </c>
      <c r="P298" s="30">
        <f>IF(J298="","",IF(K298="each",J298,J298/100))</f>
        <v>0</v>
      </c>
      <c r="Q298" s="30">
        <f>IFERROR(IF(P298="","",P298*INDEX(Ingredients!$P$5:$P$304,MATCH(D298,Ingredients!$B$5:$B$304,0))),"")</f>
        <v>0</v>
      </c>
      <c r="R298" s="45">
        <f>IFERROR(IF(P298="","",P298*INDEX(Ingredients!$Q$5:$Q$304,MATCH(D298,Ingredients!$B$5:$B$304,0))),"")</f>
        <v>0</v>
      </c>
      <c r="S298" s="45">
        <f>IFERROR(IF(P298="","",P298*INDEX(Ingredients!$R$5:$R$304,MATCH(D298,Ingredients!$B$5:$B$304,0))),"")</f>
        <v>0</v>
      </c>
      <c r="T298" s="45">
        <f>IFERROR(IF(P298="","",P298*INDEX(Ingredients!$S$5:$S$304,MATCH(D298,Ingredients!$B$5:$B$304,0))),"")</f>
        <v>0</v>
      </c>
      <c r="U298" s="45">
        <f>IFERROR(IF(P298="","",P298*INDEX(Ingredients!$T$5:$T$304,MATCH(D298,Ingredients!$B$5:$B$304,0))),"")</f>
        <v>0</v>
      </c>
      <c r="V298" s="17">
        <f>IF(D298="","",IFERROR(INDEX(Ingredients!$W$5:$W$304,MATCH(D298,Ingredients!$B$5:$B$304,0)),"Add to Ingredients"))</f>
        <v>0</v>
      </c>
      <c r="W298" s="17">
        <f>IF(D298="","",IFERROR(INDEX(Ingredients!$C$5:$C$304,MATCH(D298,Ingredients!$B$5:$B$304,0)),"Add to Ingredients"))</f>
        <v>0</v>
      </c>
      <c r="X298" s="45">
        <f>IFERROR(INDEX(Recipes!$AT$5:$AT$204,MATCH(B298,Recipes!$A$5:$A$204,0)),0)</f>
        <v>0</v>
      </c>
      <c r="Y298" s="45">
        <f>IF(OR(J298="",X298=0),"",J298*X298)</f>
        <v>0</v>
      </c>
      <c r="Z298" s="17">
        <f>IF(D298="","",B298&amp;"#"&amp;COUNTIFS($B$5:B298,B298))</f>
        <v>0</v>
      </c>
      <c r="AA298" s="17">
        <f>IF(D298="","",B298&amp;"|"&amp;D298)</f>
        <v>0</v>
      </c>
      <c r="AB298" s="31">
        <f>IF(D298="","",IF(B298="","Add - which recipe?",IF(COUNTIFS(Ingredients!$B$5:$B$304,D298)=0,"Missing - not in the Ingredients tab",IF(E298="","Add - no quantity",IF(F298="","Add - no unit",IF(K298&lt;&gt;L298,"Check - recipe in "&amp;K298&amp;", priced in "&amp;L298,IF(COUNTIFS($AA$5:$AA$1204,AA298)&gt;1,"Duplicate - same ingredient twice","OK")))))))</f>
        <v>0</v>
      </c>
    </row>
    <row r="299" spans="1:28">
      <c r="A299" s="39">
        <f>IF(D299="","","RL-"&amp;TEXT(ROW()-4,"0000"))</f>
        <v>0</v>
      </c>
      <c r="C299" s="17">
        <f>IF(B299="","",IFERROR(INDEX(Recipes!$B$5:$B$204,MATCH(B299,Recipes!$A$5:$A$204,0)),"Not found"))</f>
        <v>0</v>
      </c>
      <c r="J299" s="45">
        <f>IF(E299="","",IFERROR(E299*INDEX(UnitFactors,MATCH(F299,UnitNames,0)),""))</f>
        <v>0</v>
      </c>
      <c r="K299" s="17">
        <f>IF(F299="","",IFERROR(INDEX(UnitBases,MATCH(F299,UnitNames,0)),"?"))</f>
        <v>0</v>
      </c>
      <c r="L299" s="17">
        <f>IF(D299="","",IFERROR(INDEX(Ingredients!$G$5:$G$304,MATCH(D299,Ingredients!$B$5:$B$304,0)),"Add to Ingredients"))</f>
        <v>0</v>
      </c>
      <c r="M299" s="25">
        <f>IF(D299="","",IFERROR(INDEX(Ingredients!$J$5:$J$304,MATCH(D299,Ingredients!$B$5:$B$304,0)),"Add to Ingredients"))</f>
        <v>0</v>
      </c>
      <c r="N299" s="25">
        <f>IF(OR(J299="",M299="",NOT(ISNUMBER(M299))),"",IF(K299&lt;&gt;L299,"",J299*M299))</f>
        <v>0</v>
      </c>
      <c r="O299" s="25">
        <f>IF(N299="","",IFERROR(N299/INDEX(Recipes!$G$5:$G$204,MATCH(B299,Recipes!$A$5:$A$204,0)),""))</f>
        <v>0</v>
      </c>
      <c r="P299" s="30">
        <f>IF(J299="","",IF(K299="each",J299,J299/100))</f>
        <v>0</v>
      </c>
      <c r="Q299" s="30">
        <f>IFERROR(IF(P299="","",P299*INDEX(Ingredients!$P$5:$P$304,MATCH(D299,Ingredients!$B$5:$B$304,0))),"")</f>
        <v>0</v>
      </c>
      <c r="R299" s="45">
        <f>IFERROR(IF(P299="","",P299*INDEX(Ingredients!$Q$5:$Q$304,MATCH(D299,Ingredients!$B$5:$B$304,0))),"")</f>
        <v>0</v>
      </c>
      <c r="S299" s="45">
        <f>IFERROR(IF(P299="","",P299*INDEX(Ingredients!$R$5:$R$304,MATCH(D299,Ingredients!$B$5:$B$304,0))),"")</f>
        <v>0</v>
      </c>
      <c r="T299" s="45">
        <f>IFERROR(IF(P299="","",P299*INDEX(Ingredients!$S$5:$S$304,MATCH(D299,Ingredients!$B$5:$B$304,0))),"")</f>
        <v>0</v>
      </c>
      <c r="U299" s="45">
        <f>IFERROR(IF(P299="","",P299*INDEX(Ingredients!$T$5:$T$304,MATCH(D299,Ingredients!$B$5:$B$304,0))),"")</f>
        <v>0</v>
      </c>
      <c r="V299" s="17">
        <f>IF(D299="","",IFERROR(INDEX(Ingredients!$W$5:$W$304,MATCH(D299,Ingredients!$B$5:$B$304,0)),"Add to Ingredients"))</f>
        <v>0</v>
      </c>
      <c r="W299" s="17">
        <f>IF(D299="","",IFERROR(INDEX(Ingredients!$C$5:$C$304,MATCH(D299,Ingredients!$B$5:$B$304,0)),"Add to Ingredients"))</f>
        <v>0</v>
      </c>
      <c r="X299" s="45">
        <f>IFERROR(INDEX(Recipes!$AT$5:$AT$204,MATCH(B299,Recipes!$A$5:$A$204,0)),0)</f>
        <v>0</v>
      </c>
      <c r="Y299" s="45">
        <f>IF(OR(J299="",X299=0),"",J299*X299)</f>
        <v>0</v>
      </c>
      <c r="Z299" s="17">
        <f>IF(D299="","",B299&amp;"#"&amp;COUNTIFS($B$5:B299,B299))</f>
        <v>0</v>
      </c>
      <c r="AA299" s="17">
        <f>IF(D299="","",B299&amp;"|"&amp;D299)</f>
        <v>0</v>
      </c>
      <c r="AB299" s="31">
        <f>IF(D299="","",IF(B299="","Add - which recipe?",IF(COUNTIFS(Ingredients!$B$5:$B$304,D299)=0,"Missing - not in the Ingredients tab",IF(E299="","Add - no quantity",IF(F299="","Add - no unit",IF(K299&lt;&gt;L299,"Check - recipe in "&amp;K299&amp;", priced in "&amp;L299,IF(COUNTIFS($AA$5:$AA$1204,AA299)&gt;1,"Duplicate - same ingredient twice","OK")))))))</f>
        <v>0</v>
      </c>
    </row>
    <row r="300" spans="1:28">
      <c r="A300" s="39">
        <f>IF(D300="","","RL-"&amp;TEXT(ROW()-4,"0000"))</f>
        <v>0</v>
      </c>
      <c r="C300" s="17">
        <f>IF(B300="","",IFERROR(INDEX(Recipes!$B$5:$B$204,MATCH(B300,Recipes!$A$5:$A$204,0)),"Not found"))</f>
        <v>0</v>
      </c>
      <c r="J300" s="45">
        <f>IF(E300="","",IFERROR(E300*INDEX(UnitFactors,MATCH(F300,UnitNames,0)),""))</f>
        <v>0</v>
      </c>
      <c r="K300" s="17">
        <f>IF(F300="","",IFERROR(INDEX(UnitBases,MATCH(F300,UnitNames,0)),"?"))</f>
        <v>0</v>
      </c>
      <c r="L300" s="17">
        <f>IF(D300="","",IFERROR(INDEX(Ingredients!$G$5:$G$304,MATCH(D300,Ingredients!$B$5:$B$304,0)),"Add to Ingredients"))</f>
        <v>0</v>
      </c>
      <c r="M300" s="25">
        <f>IF(D300="","",IFERROR(INDEX(Ingredients!$J$5:$J$304,MATCH(D300,Ingredients!$B$5:$B$304,0)),"Add to Ingredients"))</f>
        <v>0</v>
      </c>
      <c r="N300" s="25">
        <f>IF(OR(J300="",M300="",NOT(ISNUMBER(M300))),"",IF(K300&lt;&gt;L300,"",J300*M300))</f>
        <v>0</v>
      </c>
      <c r="O300" s="25">
        <f>IF(N300="","",IFERROR(N300/INDEX(Recipes!$G$5:$G$204,MATCH(B300,Recipes!$A$5:$A$204,0)),""))</f>
        <v>0</v>
      </c>
      <c r="P300" s="30">
        <f>IF(J300="","",IF(K300="each",J300,J300/100))</f>
        <v>0</v>
      </c>
      <c r="Q300" s="30">
        <f>IFERROR(IF(P300="","",P300*INDEX(Ingredients!$P$5:$P$304,MATCH(D300,Ingredients!$B$5:$B$304,0))),"")</f>
        <v>0</v>
      </c>
      <c r="R300" s="45">
        <f>IFERROR(IF(P300="","",P300*INDEX(Ingredients!$Q$5:$Q$304,MATCH(D300,Ingredients!$B$5:$B$304,0))),"")</f>
        <v>0</v>
      </c>
      <c r="S300" s="45">
        <f>IFERROR(IF(P300="","",P300*INDEX(Ingredients!$R$5:$R$304,MATCH(D300,Ingredients!$B$5:$B$304,0))),"")</f>
        <v>0</v>
      </c>
      <c r="T300" s="45">
        <f>IFERROR(IF(P300="","",P300*INDEX(Ingredients!$S$5:$S$304,MATCH(D300,Ingredients!$B$5:$B$304,0))),"")</f>
        <v>0</v>
      </c>
      <c r="U300" s="45">
        <f>IFERROR(IF(P300="","",P300*INDEX(Ingredients!$T$5:$T$304,MATCH(D300,Ingredients!$B$5:$B$304,0))),"")</f>
        <v>0</v>
      </c>
      <c r="V300" s="17">
        <f>IF(D300="","",IFERROR(INDEX(Ingredients!$W$5:$W$304,MATCH(D300,Ingredients!$B$5:$B$304,0)),"Add to Ingredients"))</f>
        <v>0</v>
      </c>
      <c r="W300" s="17">
        <f>IF(D300="","",IFERROR(INDEX(Ingredients!$C$5:$C$304,MATCH(D300,Ingredients!$B$5:$B$304,0)),"Add to Ingredients"))</f>
        <v>0</v>
      </c>
      <c r="X300" s="45">
        <f>IFERROR(INDEX(Recipes!$AT$5:$AT$204,MATCH(B300,Recipes!$A$5:$A$204,0)),0)</f>
        <v>0</v>
      </c>
      <c r="Y300" s="45">
        <f>IF(OR(J300="",X300=0),"",J300*X300)</f>
        <v>0</v>
      </c>
      <c r="Z300" s="17">
        <f>IF(D300="","",B300&amp;"#"&amp;COUNTIFS($B$5:B300,B300))</f>
        <v>0</v>
      </c>
      <c r="AA300" s="17">
        <f>IF(D300="","",B300&amp;"|"&amp;D300)</f>
        <v>0</v>
      </c>
      <c r="AB300" s="31">
        <f>IF(D300="","",IF(B300="","Add - which recipe?",IF(COUNTIFS(Ingredients!$B$5:$B$304,D300)=0,"Missing - not in the Ingredients tab",IF(E300="","Add - no quantity",IF(F300="","Add - no unit",IF(K300&lt;&gt;L300,"Check - recipe in "&amp;K300&amp;", priced in "&amp;L300,IF(COUNTIFS($AA$5:$AA$1204,AA300)&gt;1,"Duplicate - same ingredient twice","OK")))))))</f>
        <v>0</v>
      </c>
    </row>
    <row r="301" spans="1:28">
      <c r="A301" s="39">
        <f>IF(D301="","","RL-"&amp;TEXT(ROW()-4,"0000"))</f>
        <v>0</v>
      </c>
      <c r="C301" s="17">
        <f>IF(B301="","",IFERROR(INDEX(Recipes!$B$5:$B$204,MATCH(B301,Recipes!$A$5:$A$204,0)),"Not found"))</f>
        <v>0</v>
      </c>
      <c r="J301" s="45">
        <f>IF(E301="","",IFERROR(E301*INDEX(UnitFactors,MATCH(F301,UnitNames,0)),""))</f>
        <v>0</v>
      </c>
      <c r="K301" s="17">
        <f>IF(F301="","",IFERROR(INDEX(UnitBases,MATCH(F301,UnitNames,0)),"?"))</f>
        <v>0</v>
      </c>
      <c r="L301" s="17">
        <f>IF(D301="","",IFERROR(INDEX(Ingredients!$G$5:$G$304,MATCH(D301,Ingredients!$B$5:$B$304,0)),"Add to Ingredients"))</f>
        <v>0</v>
      </c>
      <c r="M301" s="25">
        <f>IF(D301="","",IFERROR(INDEX(Ingredients!$J$5:$J$304,MATCH(D301,Ingredients!$B$5:$B$304,0)),"Add to Ingredients"))</f>
        <v>0</v>
      </c>
      <c r="N301" s="25">
        <f>IF(OR(J301="",M301="",NOT(ISNUMBER(M301))),"",IF(K301&lt;&gt;L301,"",J301*M301))</f>
        <v>0</v>
      </c>
      <c r="O301" s="25">
        <f>IF(N301="","",IFERROR(N301/INDEX(Recipes!$G$5:$G$204,MATCH(B301,Recipes!$A$5:$A$204,0)),""))</f>
        <v>0</v>
      </c>
      <c r="P301" s="30">
        <f>IF(J301="","",IF(K301="each",J301,J301/100))</f>
        <v>0</v>
      </c>
      <c r="Q301" s="30">
        <f>IFERROR(IF(P301="","",P301*INDEX(Ingredients!$P$5:$P$304,MATCH(D301,Ingredients!$B$5:$B$304,0))),"")</f>
        <v>0</v>
      </c>
      <c r="R301" s="45">
        <f>IFERROR(IF(P301="","",P301*INDEX(Ingredients!$Q$5:$Q$304,MATCH(D301,Ingredients!$B$5:$B$304,0))),"")</f>
        <v>0</v>
      </c>
      <c r="S301" s="45">
        <f>IFERROR(IF(P301="","",P301*INDEX(Ingredients!$R$5:$R$304,MATCH(D301,Ingredients!$B$5:$B$304,0))),"")</f>
        <v>0</v>
      </c>
      <c r="T301" s="45">
        <f>IFERROR(IF(P301="","",P301*INDEX(Ingredients!$S$5:$S$304,MATCH(D301,Ingredients!$B$5:$B$304,0))),"")</f>
        <v>0</v>
      </c>
      <c r="U301" s="45">
        <f>IFERROR(IF(P301="","",P301*INDEX(Ingredients!$T$5:$T$304,MATCH(D301,Ingredients!$B$5:$B$304,0))),"")</f>
        <v>0</v>
      </c>
      <c r="V301" s="17">
        <f>IF(D301="","",IFERROR(INDEX(Ingredients!$W$5:$W$304,MATCH(D301,Ingredients!$B$5:$B$304,0)),"Add to Ingredients"))</f>
        <v>0</v>
      </c>
      <c r="W301" s="17">
        <f>IF(D301="","",IFERROR(INDEX(Ingredients!$C$5:$C$304,MATCH(D301,Ingredients!$B$5:$B$304,0)),"Add to Ingredients"))</f>
        <v>0</v>
      </c>
      <c r="X301" s="45">
        <f>IFERROR(INDEX(Recipes!$AT$5:$AT$204,MATCH(B301,Recipes!$A$5:$A$204,0)),0)</f>
        <v>0</v>
      </c>
      <c r="Y301" s="45">
        <f>IF(OR(J301="",X301=0),"",J301*X301)</f>
        <v>0</v>
      </c>
      <c r="Z301" s="17">
        <f>IF(D301="","",B301&amp;"#"&amp;COUNTIFS($B$5:B301,B301))</f>
        <v>0</v>
      </c>
      <c r="AA301" s="17">
        <f>IF(D301="","",B301&amp;"|"&amp;D301)</f>
        <v>0</v>
      </c>
      <c r="AB301" s="31">
        <f>IF(D301="","",IF(B301="","Add - which recipe?",IF(COUNTIFS(Ingredients!$B$5:$B$304,D301)=0,"Missing - not in the Ingredients tab",IF(E301="","Add - no quantity",IF(F301="","Add - no unit",IF(K301&lt;&gt;L301,"Check - recipe in "&amp;K301&amp;", priced in "&amp;L301,IF(COUNTIFS($AA$5:$AA$1204,AA301)&gt;1,"Duplicate - same ingredient twice","OK")))))))</f>
        <v>0</v>
      </c>
    </row>
    <row r="302" spans="1:28">
      <c r="A302" s="39">
        <f>IF(D302="","","RL-"&amp;TEXT(ROW()-4,"0000"))</f>
        <v>0</v>
      </c>
      <c r="C302" s="17">
        <f>IF(B302="","",IFERROR(INDEX(Recipes!$B$5:$B$204,MATCH(B302,Recipes!$A$5:$A$204,0)),"Not found"))</f>
        <v>0</v>
      </c>
      <c r="J302" s="45">
        <f>IF(E302="","",IFERROR(E302*INDEX(UnitFactors,MATCH(F302,UnitNames,0)),""))</f>
        <v>0</v>
      </c>
      <c r="K302" s="17">
        <f>IF(F302="","",IFERROR(INDEX(UnitBases,MATCH(F302,UnitNames,0)),"?"))</f>
        <v>0</v>
      </c>
      <c r="L302" s="17">
        <f>IF(D302="","",IFERROR(INDEX(Ingredients!$G$5:$G$304,MATCH(D302,Ingredients!$B$5:$B$304,0)),"Add to Ingredients"))</f>
        <v>0</v>
      </c>
      <c r="M302" s="25">
        <f>IF(D302="","",IFERROR(INDEX(Ingredients!$J$5:$J$304,MATCH(D302,Ingredients!$B$5:$B$304,0)),"Add to Ingredients"))</f>
        <v>0</v>
      </c>
      <c r="N302" s="25">
        <f>IF(OR(J302="",M302="",NOT(ISNUMBER(M302))),"",IF(K302&lt;&gt;L302,"",J302*M302))</f>
        <v>0</v>
      </c>
      <c r="O302" s="25">
        <f>IF(N302="","",IFERROR(N302/INDEX(Recipes!$G$5:$G$204,MATCH(B302,Recipes!$A$5:$A$204,0)),""))</f>
        <v>0</v>
      </c>
      <c r="P302" s="30">
        <f>IF(J302="","",IF(K302="each",J302,J302/100))</f>
        <v>0</v>
      </c>
      <c r="Q302" s="30">
        <f>IFERROR(IF(P302="","",P302*INDEX(Ingredients!$P$5:$P$304,MATCH(D302,Ingredients!$B$5:$B$304,0))),"")</f>
        <v>0</v>
      </c>
      <c r="R302" s="45">
        <f>IFERROR(IF(P302="","",P302*INDEX(Ingredients!$Q$5:$Q$304,MATCH(D302,Ingredients!$B$5:$B$304,0))),"")</f>
        <v>0</v>
      </c>
      <c r="S302" s="45">
        <f>IFERROR(IF(P302="","",P302*INDEX(Ingredients!$R$5:$R$304,MATCH(D302,Ingredients!$B$5:$B$304,0))),"")</f>
        <v>0</v>
      </c>
      <c r="T302" s="45">
        <f>IFERROR(IF(P302="","",P302*INDEX(Ingredients!$S$5:$S$304,MATCH(D302,Ingredients!$B$5:$B$304,0))),"")</f>
        <v>0</v>
      </c>
      <c r="U302" s="45">
        <f>IFERROR(IF(P302="","",P302*INDEX(Ingredients!$T$5:$T$304,MATCH(D302,Ingredients!$B$5:$B$304,0))),"")</f>
        <v>0</v>
      </c>
      <c r="V302" s="17">
        <f>IF(D302="","",IFERROR(INDEX(Ingredients!$W$5:$W$304,MATCH(D302,Ingredients!$B$5:$B$304,0)),"Add to Ingredients"))</f>
        <v>0</v>
      </c>
      <c r="W302" s="17">
        <f>IF(D302="","",IFERROR(INDEX(Ingredients!$C$5:$C$304,MATCH(D302,Ingredients!$B$5:$B$304,0)),"Add to Ingredients"))</f>
        <v>0</v>
      </c>
      <c r="X302" s="45">
        <f>IFERROR(INDEX(Recipes!$AT$5:$AT$204,MATCH(B302,Recipes!$A$5:$A$204,0)),0)</f>
        <v>0</v>
      </c>
      <c r="Y302" s="45">
        <f>IF(OR(J302="",X302=0),"",J302*X302)</f>
        <v>0</v>
      </c>
      <c r="Z302" s="17">
        <f>IF(D302="","",B302&amp;"#"&amp;COUNTIFS($B$5:B302,B302))</f>
        <v>0</v>
      </c>
      <c r="AA302" s="17">
        <f>IF(D302="","",B302&amp;"|"&amp;D302)</f>
        <v>0</v>
      </c>
      <c r="AB302" s="31">
        <f>IF(D302="","",IF(B302="","Add - which recipe?",IF(COUNTIFS(Ingredients!$B$5:$B$304,D302)=0,"Missing - not in the Ingredients tab",IF(E302="","Add - no quantity",IF(F302="","Add - no unit",IF(K302&lt;&gt;L302,"Check - recipe in "&amp;K302&amp;", priced in "&amp;L302,IF(COUNTIFS($AA$5:$AA$1204,AA302)&gt;1,"Duplicate - same ingredient twice","OK")))))))</f>
        <v>0</v>
      </c>
    </row>
    <row r="303" spans="1:28">
      <c r="A303" s="39">
        <f>IF(D303="","","RL-"&amp;TEXT(ROW()-4,"0000"))</f>
        <v>0</v>
      </c>
      <c r="C303" s="17">
        <f>IF(B303="","",IFERROR(INDEX(Recipes!$B$5:$B$204,MATCH(B303,Recipes!$A$5:$A$204,0)),"Not found"))</f>
        <v>0</v>
      </c>
      <c r="J303" s="45">
        <f>IF(E303="","",IFERROR(E303*INDEX(UnitFactors,MATCH(F303,UnitNames,0)),""))</f>
        <v>0</v>
      </c>
      <c r="K303" s="17">
        <f>IF(F303="","",IFERROR(INDEX(UnitBases,MATCH(F303,UnitNames,0)),"?"))</f>
        <v>0</v>
      </c>
      <c r="L303" s="17">
        <f>IF(D303="","",IFERROR(INDEX(Ingredients!$G$5:$G$304,MATCH(D303,Ingredients!$B$5:$B$304,0)),"Add to Ingredients"))</f>
        <v>0</v>
      </c>
      <c r="M303" s="25">
        <f>IF(D303="","",IFERROR(INDEX(Ingredients!$J$5:$J$304,MATCH(D303,Ingredients!$B$5:$B$304,0)),"Add to Ingredients"))</f>
        <v>0</v>
      </c>
      <c r="N303" s="25">
        <f>IF(OR(J303="",M303="",NOT(ISNUMBER(M303))),"",IF(K303&lt;&gt;L303,"",J303*M303))</f>
        <v>0</v>
      </c>
      <c r="O303" s="25">
        <f>IF(N303="","",IFERROR(N303/INDEX(Recipes!$G$5:$G$204,MATCH(B303,Recipes!$A$5:$A$204,0)),""))</f>
        <v>0</v>
      </c>
      <c r="P303" s="30">
        <f>IF(J303="","",IF(K303="each",J303,J303/100))</f>
        <v>0</v>
      </c>
      <c r="Q303" s="30">
        <f>IFERROR(IF(P303="","",P303*INDEX(Ingredients!$P$5:$P$304,MATCH(D303,Ingredients!$B$5:$B$304,0))),"")</f>
        <v>0</v>
      </c>
      <c r="R303" s="45">
        <f>IFERROR(IF(P303="","",P303*INDEX(Ingredients!$Q$5:$Q$304,MATCH(D303,Ingredients!$B$5:$B$304,0))),"")</f>
        <v>0</v>
      </c>
      <c r="S303" s="45">
        <f>IFERROR(IF(P303="","",P303*INDEX(Ingredients!$R$5:$R$304,MATCH(D303,Ingredients!$B$5:$B$304,0))),"")</f>
        <v>0</v>
      </c>
      <c r="T303" s="45">
        <f>IFERROR(IF(P303="","",P303*INDEX(Ingredients!$S$5:$S$304,MATCH(D303,Ingredients!$B$5:$B$304,0))),"")</f>
        <v>0</v>
      </c>
      <c r="U303" s="45">
        <f>IFERROR(IF(P303="","",P303*INDEX(Ingredients!$T$5:$T$304,MATCH(D303,Ingredients!$B$5:$B$304,0))),"")</f>
        <v>0</v>
      </c>
      <c r="V303" s="17">
        <f>IF(D303="","",IFERROR(INDEX(Ingredients!$W$5:$W$304,MATCH(D303,Ingredients!$B$5:$B$304,0)),"Add to Ingredients"))</f>
        <v>0</v>
      </c>
      <c r="W303" s="17">
        <f>IF(D303="","",IFERROR(INDEX(Ingredients!$C$5:$C$304,MATCH(D303,Ingredients!$B$5:$B$304,0)),"Add to Ingredients"))</f>
        <v>0</v>
      </c>
      <c r="X303" s="45">
        <f>IFERROR(INDEX(Recipes!$AT$5:$AT$204,MATCH(B303,Recipes!$A$5:$A$204,0)),0)</f>
        <v>0</v>
      </c>
      <c r="Y303" s="45">
        <f>IF(OR(J303="",X303=0),"",J303*X303)</f>
        <v>0</v>
      </c>
      <c r="Z303" s="17">
        <f>IF(D303="","",B303&amp;"#"&amp;COUNTIFS($B$5:B303,B303))</f>
        <v>0</v>
      </c>
      <c r="AA303" s="17">
        <f>IF(D303="","",B303&amp;"|"&amp;D303)</f>
        <v>0</v>
      </c>
      <c r="AB303" s="31">
        <f>IF(D303="","",IF(B303="","Add - which recipe?",IF(COUNTIFS(Ingredients!$B$5:$B$304,D303)=0,"Missing - not in the Ingredients tab",IF(E303="","Add - no quantity",IF(F303="","Add - no unit",IF(K303&lt;&gt;L303,"Check - recipe in "&amp;K303&amp;", priced in "&amp;L303,IF(COUNTIFS($AA$5:$AA$1204,AA303)&gt;1,"Duplicate - same ingredient twice","OK")))))))</f>
        <v>0</v>
      </c>
    </row>
    <row r="304" spans="1:28">
      <c r="A304" s="39">
        <f>IF(D304="","","RL-"&amp;TEXT(ROW()-4,"0000"))</f>
        <v>0</v>
      </c>
      <c r="C304" s="17">
        <f>IF(B304="","",IFERROR(INDEX(Recipes!$B$5:$B$204,MATCH(B304,Recipes!$A$5:$A$204,0)),"Not found"))</f>
        <v>0</v>
      </c>
      <c r="J304" s="45">
        <f>IF(E304="","",IFERROR(E304*INDEX(UnitFactors,MATCH(F304,UnitNames,0)),""))</f>
        <v>0</v>
      </c>
      <c r="K304" s="17">
        <f>IF(F304="","",IFERROR(INDEX(UnitBases,MATCH(F304,UnitNames,0)),"?"))</f>
        <v>0</v>
      </c>
      <c r="L304" s="17">
        <f>IF(D304="","",IFERROR(INDEX(Ingredients!$G$5:$G$304,MATCH(D304,Ingredients!$B$5:$B$304,0)),"Add to Ingredients"))</f>
        <v>0</v>
      </c>
      <c r="M304" s="25">
        <f>IF(D304="","",IFERROR(INDEX(Ingredients!$J$5:$J$304,MATCH(D304,Ingredients!$B$5:$B$304,0)),"Add to Ingredients"))</f>
        <v>0</v>
      </c>
      <c r="N304" s="25">
        <f>IF(OR(J304="",M304="",NOT(ISNUMBER(M304))),"",IF(K304&lt;&gt;L304,"",J304*M304))</f>
        <v>0</v>
      </c>
      <c r="O304" s="25">
        <f>IF(N304="","",IFERROR(N304/INDEX(Recipes!$G$5:$G$204,MATCH(B304,Recipes!$A$5:$A$204,0)),""))</f>
        <v>0</v>
      </c>
      <c r="P304" s="30">
        <f>IF(J304="","",IF(K304="each",J304,J304/100))</f>
        <v>0</v>
      </c>
      <c r="Q304" s="30">
        <f>IFERROR(IF(P304="","",P304*INDEX(Ingredients!$P$5:$P$304,MATCH(D304,Ingredients!$B$5:$B$304,0))),"")</f>
        <v>0</v>
      </c>
      <c r="R304" s="45">
        <f>IFERROR(IF(P304="","",P304*INDEX(Ingredients!$Q$5:$Q$304,MATCH(D304,Ingredients!$B$5:$B$304,0))),"")</f>
        <v>0</v>
      </c>
      <c r="S304" s="45">
        <f>IFERROR(IF(P304="","",P304*INDEX(Ingredients!$R$5:$R$304,MATCH(D304,Ingredients!$B$5:$B$304,0))),"")</f>
        <v>0</v>
      </c>
      <c r="T304" s="45">
        <f>IFERROR(IF(P304="","",P304*INDEX(Ingredients!$S$5:$S$304,MATCH(D304,Ingredients!$B$5:$B$304,0))),"")</f>
        <v>0</v>
      </c>
      <c r="U304" s="45">
        <f>IFERROR(IF(P304="","",P304*INDEX(Ingredients!$T$5:$T$304,MATCH(D304,Ingredients!$B$5:$B$304,0))),"")</f>
        <v>0</v>
      </c>
      <c r="V304" s="17">
        <f>IF(D304="","",IFERROR(INDEX(Ingredients!$W$5:$W$304,MATCH(D304,Ingredients!$B$5:$B$304,0)),"Add to Ingredients"))</f>
        <v>0</v>
      </c>
      <c r="W304" s="17">
        <f>IF(D304="","",IFERROR(INDEX(Ingredients!$C$5:$C$304,MATCH(D304,Ingredients!$B$5:$B$304,0)),"Add to Ingredients"))</f>
        <v>0</v>
      </c>
      <c r="X304" s="45">
        <f>IFERROR(INDEX(Recipes!$AT$5:$AT$204,MATCH(B304,Recipes!$A$5:$A$204,0)),0)</f>
        <v>0</v>
      </c>
      <c r="Y304" s="45">
        <f>IF(OR(J304="",X304=0),"",J304*X304)</f>
        <v>0</v>
      </c>
      <c r="Z304" s="17">
        <f>IF(D304="","",B304&amp;"#"&amp;COUNTIFS($B$5:B304,B304))</f>
        <v>0</v>
      </c>
      <c r="AA304" s="17">
        <f>IF(D304="","",B304&amp;"|"&amp;D304)</f>
        <v>0</v>
      </c>
      <c r="AB304" s="31">
        <f>IF(D304="","",IF(B304="","Add - which recipe?",IF(COUNTIFS(Ingredients!$B$5:$B$304,D304)=0,"Missing - not in the Ingredients tab",IF(E304="","Add - no quantity",IF(F304="","Add - no unit",IF(K304&lt;&gt;L304,"Check - recipe in "&amp;K304&amp;", priced in "&amp;L304,IF(COUNTIFS($AA$5:$AA$1204,AA304)&gt;1,"Duplicate - same ingredient twice","OK")))))))</f>
        <v>0</v>
      </c>
    </row>
    <row r="305" spans="1:28">
      <c r="A305" s="39">
        <f>IF(D305="","","RL-"&amp;TEXT(ROW()-4,"0000"))</f>
        <v>0</v>
      </c>
      <c r="C305" s="17">
        <f>IF(B305="","",IFERROR(INDEX(Recipes!$B$5:$B$204,MATCH(B305,Recipes!$A$5:$A$204,0)),"Not found"))</f>
        <v>0</v>
      </c>
      <c r="J305" s="45">
        <f>IF(E305="","",IFERROR(E305*INDEX(UnitFactors,MATCH(F305,UnitNames,0)),""))</f>
        <v>0</v>
      </c>
      <c r="K305" s="17">
        <f>IF(F305="","",IFERROR(INDEX(UnitBases,MATCH(F305,UnitNames,0)),"?"))</f>
        <v>0</v>
      </c>
      <c r="L305" s="17">
        <f>IF(D305="","",IFERROR(INDEX(Ingredients!$G$5:$G$304,MATCH(D305,Ingredients!$B$5:$B$304,0)),"Add to Ingredients"))</f>
        <v>0</v>
      </c>
      <c r="M305" s="25">
        <f>IF(D305="","",IFERROR(INDEX(Ingredients!$J$5:$J$304,MATCH(D305,Ingredients!$B$5:$B$304,0)),"Add to Ingredients"))</f>
        <v>0</v>
      </c>
      <c r="N305" s="25">
        <f>IF(OR(J305="",M305="",NOT(ISNUMBER(M305))),"",IF(K305&lt;&gt;L305,"",J305*M305))</f>
        <v>0</v>
      </c>
      <c r="O305" s="25">
        <f>IF(N305="","",IFERROR(N305/INDEX(Recipes!$G$5:$G$204,MATCH(B305,Recipes!$A$5:$A$204,0)),""))</f>
        <v>0</v>
      </c>
      <c r="P305" s="30">
        <f>IF(J305="","",IF(K305="each",J305,J305/100))</f>
        <v>0</v>
      </c>
      <c r="Q305" s="30">
        <f>IFERROR(IF(P305="","",P305*INDEX(Ingredients!$P$5:$P$304,MATCH(D305,Ingredients!$B$5:$B$304,0))),"")</f>
        <v>0</v>
      </c>
      <c r="R305" s="45">
        <f>IFERROR(IF(P305="","",P305*INDEX(Ingredients!$Q$5:$Q$304,MATCH(D305,Ingredients!$B$5:$B$304,0))),"")</f>
        <v>0</v>
      </c>
      <c r="S305" s="45">
        <f>IFERROR(IF(P305="","",P305*INDEX(Ingredients!$R$5:$R$304,MATCH(D305,Ingredients!$B$5:$B$304,0))),"")</f>
        <v>0</v>
      </c>
      <c r="T305" s="45">
        <f>IFERROR(IF(P305="","",P305*INDEX(Ingredients!$S$5:$S$304,MATCH(D305,Ingredients!$B$5:$B$304,0))),"")</f>
        <v>0</v>
      </c>
      <c r="U305" s="45">
        <f>IFERROR(IF(P305="","",P305*INDEX(Ingredients!$T$5:$T$304,MATCH(D305,Ingredients!$B$5:$B$304,0))),"")</f>
        <v>0</v>
      </c>
      <c r="V305" s="17">
        <f>IF(D305="","",IFERROR(INDEX(Ingredients!$W$5:$W$304,MATCH(D305,Ingredients!$B$5:$B$304,0)),"Add to Ingredients"))</f>
        <v>0</v>
      </c>
      <c r="W305" s="17">
        <f>IF(D305="","",IFERROR(INDEX(Ingredients!$C$5:$C$304,MATCH(D305,Ingredients!$B$5:$B$304,0)),"Add to Ingredients"))</f>
        <v>0</v>
      </c>
      <c r="X305" s="45">
        <f>IFERROR(INDEX(Recipes!$AT$5:$AT$204,MATCH(B305,Recipes!$A$5:$A$204,0)),0)</f>
        <v>0</v>
      </c>
      <c r="Y305" s="45">
        <f>IF(OR(J305="",X305=0),"",J305*X305)</f>
        <v>0</v>
      </c>
      <c r="Z305" s="17">
        <f>IF(D305="","",B305&amp;"#"&amp;COUNTIFS($B$5:B305,B305))</f>
        <v>0</v>
      </c>
      <c r="AA305" s="17">
        <f>IF(D305="","",B305&amp;"|"&amp;D305)</f>
        <v>0</v>
      </c>
      <c r="AB305" s="31">
        <f>IF(D305="","",IF(B305="","Add - which recipe?",IF(COUNTIFS(Ingredients!$B$5:$B$304,D305)=0,"Missing - not in the Ingredients tab",IF(E305="","Add - no quantity",IF(F305="","Add - no unit",IF(K305&lt;&gt;L305,"Check - recipe in "&amp;K305&amp;", priced in "&amp;L305,IF(COUNTIFS($AA$5:$AA$1204,AA305)&gt;1,"Duplicate - same ingredient twice","OK")))))))</f>
        <v>0</v>
      </c>
    </row>
    <row r="306" spans="1:28">
      <c r="A306" s="39">
        <f>IF(D306="","","RL-"&amp;TEXT(ROW()-4,"0000"))</f>
        <v>0</v>
      </c>
      <c r="C306" s="17">
        <f>IF(B306="","",IFERROR(INDEX(Recipes!$B$5:$B$204,MATCH(B306,Recipes!$A$5:$A$204,0)),"Not found"))</f>
        <v>0</v>
      </c>
      <c r="J306" s="45">
        <f>IF(E306="","",IFERROR(E306*INDEX(UnitFactors,MATCH(F306,UnitNames,0)),""))</f>
        <v>0</v>
      </c>
      <c r="K306" s="17">
        <f>IF(F306="","",IFERROR(INDEX(UnitBases,MATCH(F306,UnitNames,0)),"?"))</f>
        <v>0</v>
      </c>
      <c r="L306" s="17">
        <f>IF(D306="","",IFERROR(INDEX(Ingredients!$G$5:$G$304,MATCH(D306,Ingredients!$B$5:$B$304,0)),"Add to Ingredients"))</f>
        <v>0</v>
      </c>
      <c r="M306" s="25">
        <f>IF(D306="","",IFERROR(INDEX(Ingredients!$J$5:$J$304,MATCH(D306,Ingredients!$B$5:$B$304,0)),"Add to Ingredients"))</f>
        <v>0</v>
      </c>
      <c r="N306" s="25">
        <f>IF(OR(J306="",M306="",NOT(ISNUMBER(M306))),"",IF(K306&lt;&gt;L306,"",J306*M306))</f>
        <v>0</v>
      </c>
      <c r="O306" s="25">
        <f>IF(N306="","",IFERROR(N306/INDEX(Recipes!$G$5:$G$204,MATCH(B306,Recipes!$A$5:$A$204,0)),""))</f>
        <v>0</v>
      </c>
      <c r="P306" s="30">
        <f>IF(J306="","",IF(K306="each",J306,J306/100))</f>
        <v>0</v>
      </c>
      <c r="Q306" s="30">
        <f>IFERROR(IF(P306="","",P306*INDEX(Ingredients!$P$5:$P$304,MATCH(D306,Ingredients!$B$5:$B$304,0))),"")</f>
        <v>0</v>
      </c>
      <c r="R306" s="45">
        <f>IFERROR(IF(P306="","",P306*INDEX(Ingredients!$Q$5:$Q$304,MATCH(D306,Ingredients!$B$5:$B$304,0))),"")</f>
        <v>0</v>
      </c>
      <c r="S306" s="45">
        <f>IFERROR(IF(P306="","",P306*INDEX(Ingredients!$R$5:$R$304,MATCH(D306,Ingredients!$B$5:$B$304,0))),"")</f>
        <v>0</v>
      </c>
      <c r="T306" s="45">
        <f>IFERROR(IF(P306="","",P306*INDEX(Ingredients!$S$5:$S$304,MATCH(D306,Ingredients!$B$5:$B$304,0))),"")</f>
        <v>0</v>
      </c>
      <c r="U306" s="45">
        <f>IFERROR(IF(P306="","",P306*INDEX(Ingredients!$T$5:$T$304,MATCH(D306,Ingredients!$B$5:$B$304,0))),"")</f>
        <v>0</v>
      </c>
      <c r="V306" s="17">
        <f>IF(D306="","",IFERROR(INDEX(Ingredients!$W$5:$W$304,MATCH(D306,Ingredients!$B$5:$B$304,0)),"Add to Ingredients"))</f>
        <v>0</v>
      </c>
      <c r="W306" s="17">
        <f>IF(D306="","",IFERROR(INDEX(Ingredients!$C$5:$C$304,MATCH(D306,Ingredients!$B$5:$B$304,0)),"Add to Ingredients"))</f>
        <v>0</v>
      </c>
      <c r="X306" s="45">
        <f>IFERROR(INDEX(Recipes!$AT$5:$AT$204,MATCH(B306,Recipes!$A$5:$A$204,0)),0)</f>
        <v>0</v>
      </c>
      <c r="Y306" s="45">
        <f>IF(OR(J306="",X306=0),"",J306*X306)</f>
        <v>0</v>
      </c>
      <c r="Z306" s="17">
        <f>IF(D306="","",B306&amp;"#"&amp;COUNTIFS($B$5:B306,B306))</f>
        <v>0</v>
      </c>
      <c r="AA306" s="17">
        <f>IF(D306="","",B306&amp;"|"&amp;D306)</f>
        <v>0</v>
      </c>
      <c r="AB306" s="31">
        <f>IF(D306="","",IF(B306="","Add - which recipe?",IF(COUNTIFS(Ingredients!$B$5:$B$304,D306)=0,"Missing - not in the Ingredients tab",IF(E306="","Add - no quantity",IF(F306="","Add - no unit",IF(K306&lt;&gt;L306,"Check - recipe in "&amp;K306&amp;", priced in "&amp;L306,IF(COUNTIFS($AA$5:$AA$1204,AA306)&gt;1,"Duplicate - same ingredient twice","OK")))))))</f>
        <v>0</v>
      </c>
    </row>
    <row r="307" spans="1:28">
      <c r="A307" s="39">
        <f>IF(D307="","","RL-"&amp;TEXT(ROW()-4,"0000"))</f>
        <v>0</v>
      </c>
      <c r="C307" s="17">
        <f>IF(B307="","",IFERROR(INDEX(Recipes!$B$5:$B$204,MATCH(B307,Recipes!$A$5:$A$204,0)),"Not found"))</f>
        <v>0</v>
      </c>
      <c r="J307" s="45">
        <f>IF(E307="","",IFERROR(E307*INDEX(UnitFactors,MATCH(F307,UnitNames,0)),""))</f>
        <v>0</v>
      </c>
      <c r="K307" s="17">
        <f>IF(F307="","",IFERROR(INDEX(UnitBases,MATCH(F307,UnitNames,0)),"?"))</f>
        <v>0</v>
      </c>
      <c r="L307" s="17">
        <f>IF(D307="","",IFERROR(INDEX(Ingredients!$G$5:$G$304,MATCH(D307,Ingredients!$B$5:$B$304,0)),"Add to Ingredients"))</f>
        <v>0</v>
      </c>
      <c r="M307" s="25">
        <f>IF(D307="","",IFERROR(INDEX(Ingredients!$J$5:$J$304,MATCH(D307,Ingredients!$B$5:$B$304,0)),"Add to Ingredients"))</f>
        <v>0</v>
      </c>
      <c r="N307" s="25">
        <f>IF(OR(J307="",M307="",NOT(ISNUMBER(M307))),"",IF(K307&lt;&gt;L307,"",J307*M307))</f>
        <v>0</v>
      </c>
      <c r="O307" s="25">
        <f>IF(N307="","",IFERROR(N307/INDEX(Recipes!$G$5:$G$204,MATCH(B307,Recipes!$A$5:$A$204,0)),""))</f>
        <v>0</v>
      </c>
      <c r="P307" s="30">
        <f>IF(J307="","",IF(K307="each",J307,J307/100))</f>
        <v>0</v>
      </c>
      <c r="Q307" s="30">
        <f>IFERROR(IF(P307="","",P307*INDEX(Ingredients!$P$5:$P$304,MATCH(D307,Ingredients!$B$5:$B$304,0))),"")</f>
        <v>0</v>
      </c>
      <c r="R307" s="45">
        <f>IFERROR(IF(P307="","",P307*INDEX(Ingredients!$Q$5:$Q$304,MATCH(D307,Ingredients!$B$5:$B$304,0))),"")</f>
        <v>0</v>
      </c>
      <c r="S307" s="45">
        <f>IFERROR(IF(P307="","",P307*INDEX(Ingredients!$R$5:$R$304,MATCH(D307,Ingredients!$B$5:$B$304,0))),"")</f>
        <v>0</v>
      </c>
      <c r="T307" s="45">
        <f>IFERROR(IF(P307="","",P307*INDEX(Ingredients!$S$5:$S$304,MATCH(D307,Ingredients!$B$5:$B$304,0))),"")</f>
        <v>0</v>
      </c>
      <c r="U307" s="45">
        <f>IFERROR(IF(P307="","",P307*INDEX(Ingredients!$T$5:$T$304,MATCH(D307,Ingredients!$B$5:$B$304,0))),"")</f>
        <v>0</v>
      </c>
      <c r="V307" s="17">
        <f>IF(D307="","",IFERROR(INDEX(Ingredients!$W$5:$W$304,MATCH(D307,Ingredients!$B$5:$B$304,0)),"Add to Ingredients"))</f>
        <v>0</v>
      </c>
      <c r="W307" s="17">
        <f>IF(D307="","",IFERROR(INDEX(Ingredients!$C$5:$C$304,MATCH(D307,Ingredients!$B$5:$B$304,0)),"Add to Ingredients"))</f>
        <v>0</v>
      </c>
      <c r="X307" s="45">
        <f>IFERROR(INDEX(Recipes!$AT$5:$AT$204,MATCH(B307,Recipes!$A$5:$A$204,0)),0)</f>
        <v>0</v>
      </c>
      <c r="Y307" s="45">
        <f>IF(OR(J307="",X307=0),"",J307*X307)</f>
        <v>0</v>
      </c>
      <c r="Z307" s="17">
        <f>IF(D307="","",B307&amp;"#"&amp;COUNTIFS($B$5:B307,B307))</f>
        <v>0</v>
      </c>
      <c r="AA307" s="17">
        <f>IF(D307="","",B307&amp;"|"&amp;D307)</f>
        <v>0</v>
      </c>
      <c r="AB307" s="31">
        <f>IF(D307="","",IF(B307="","Add - which recipe?",IF(COUNTIFS(Ingredients!$B$5:$B$304,D307)=0,"Missing - not in the Ingredients tab",IF(E307="","Add - no quantity",IF(F307="","Add - no unit",IF(K307&lt;&gt;L307,"Check - recipe in "&amp;K307&amp;", priced in "&amp;L307,IF(COUNTIFS($AA$5:$AA$1204,AA307)&gt;1,"Duplicate - same ingredient twice","OK")))))))</f>
        <v>0</v>
      </c>
    </row>
    <row r="308" spans="1:28">
      <c r="A308" s="39">
        <f>IF(D308="","","RL-"&amp;TEXT(ROW()-4,"0000"))</f>
        <v>0</v>
      </c>
      <c r="C308" s="17">
        <f>IF(B308="","",IFERROR(INDEX(Recipes!$B$5:$B$204,MATCH(B308,Recipes!$A$5:$A$204,0)),"Not found"))</f>
        <v>0</v>
      </c>
      <c r="J308" s="45">
        <f>IF(E308="","",IFERROR(E308*INDEX(UnitFactors,MATCH(F308,UnitNames,0)),""))</f>
        <v>0</v>
      </c>
      <c r="K308" s="17">
        <f>IF(F308="","",IFERROR(INDEX(UnitBases,MATCH(F308,UnitNames,0)),"?"))</f>
        <v>0</v>
      </c>
      <c r="L308" s="17">
        <f>IF(D308="","",IFERROR(INDEX(Ingredients!$G$5:$G$304,MATCH(D308,Ingredients!$B$5:$B$304,0)),"Add to Ingredients"))</f>
        <v>0</v>
      </c>
      <c r="M308" s="25">
        <f>IF(D308="","",IFERROR(INDEX(Ingredients!$J$5:$J$304,MATCH(D308,Ingredients!$B$5:$B$304,0)),"Add to Ingredients"))</f>
        <v>0</v>
      </c>
      <c r="N308" s="25">
        <f>IF(OR(J308="",M308="",NOT(ISNUMBER(M308))),"",IF(K308&lt;&gt;L308,"",J308*M308))</f>
        <v>0</v>
      </c>
      <c r="O308" s="25">
        <f>IF(N308="","",IFERROR(N308/INDEX(Recipes!$G$5:$G$204,MATCH(B308,Recipes!$A$5:$A$204,0)),""))</f>
        <v>0</v>
      </c>
      <c r="P308" s="30">
        <f>IF(J308="","",IF(K308="each",J308,J308/100))</f>
        <v>0</v>
      </c>
      <c r="Q308" s="30">
        <f>IFERROR(IF(P308="","",P308*INDEX(Ingredients!$P$5:$P$304,MATCH(D308,Ingredients!$B$5:$B$304,0))),"")</f>
        <v>0</v>
      </c>
      <c r="R308" s="45">
        <f>IFERROR(IF(P308="","",P308*INDEX(Ingredients!$Q$5:$Q$304,MATCH(D308,Ingredients!$B$5:$B$304,0))),"")</f>
        <v>0</v>
      </c>
      <c r="S308" s="45">
        <f>IFERROR(IF(P308="","",P308*INDEX(Ingredients!$R$5:$R$304,MATCH(D308,Ingredients!$B$5:$B$304,0))),"")</f>
        <v>0</v>
      </c>
      <c r="T308" s="45">
        <f>IFERROR(IF(P308="","",P308*INDEX(Ingredients!$S$5:$S$304,MATCH(D308,Ingredients!$B$5:$B$304,0))),"")</f>
        <v>0</v>
      </c>
      <c r="U308" s="45">
        <f>IFERROR(IF(P308="","",P308*INDEX(Ingredients!$T$5:$T$304,MATCH(D308,Ingredients!$B$5:$B$304,0))),"")</f>
        <v>0</v>
      </c>
      <c r="V308" s="17">
        <f>IF(D308="","",IFERROR(INDEX(Ingredients!$W$5:$W$304,MATCH(D308,Ingredients!$B$5:$B$304,0)),"Add to Ingredients"))</f>
        <v>0</v>
      </c>
      <c r="W308" s="17">
        <f>IF(D308="","",IFERROR(INDEX(Ingredients!$C$5:$C$304,MATCH(D308,Ingredients!$B$5:$B$304,0)),"Add to Ingredients"))</f>
        <v>0</v>
      </c>
      <c r="X308" s="45">
        <f>IFERROR(INDEX(Recipes!$AT$5:$AT$204,MATCH(B308,Recipes!$A$5:$A$204,0)),0)</f>
        <v>0</v>
      </c>
      <c r="Y308" s="45">
        <f>IF(OR(J308="",X308=0),"",J308*X308)</f>
        <v>0</v>
      </c>
      <c r="Z308" s="17">
        <f>IF(D308="","",B308&amp;"#"&amp;COUNTIFS($B$5:B308,B308))</f>
        <v>0</v>
      </c>
      <c r="AA308" s="17">
        <f>IF(D308="","",B308&amp;"|"&amp;D308)</f>
        <v>0</v>
      </c>
      <c r="AB308" s="31">
        <f>IF(D308="","",IF(B308="","Add - which recipe?",IF(COUNTIFS(Ingredients!$B$5:$B$304,D308)=0,"Missing - not in the Ingredients tab",IF(E308="","Add - no quantity",IF(F308="","Add - no unit",IF(K308&lt;&gt;L308,"Check - recipe in "&amp;K308&amp;", priced in "&amp;L308,IF(COUNTIFS($AA$5:$AA$1204,AA308)&gt;1,"Duplicate - same ingredient twice","OK")))))))</f>
        <v>0</v>
      </c>
    </row>
    <row r="309" spans="1:28">
      <c r="A309" s="39">
        <f>IF(D309="","","RL-"&amp;TEXT(ROW()-4,"0000"))</f>
        <v>0</v>
      </c>
      <c r="C309" s="17">
        <f>IF(B309="","",IFERROR(INDEX(Recipes!$B$5:$B$204,MATCH(B309,Recipes!$A$5:$A$204,0)),"Not found"))</f>
        <v>0</v>
      </c>
      <c r="J309" s="45">
        <f>IF(E309="","",IFERROR(E309*INDEX(UnitFactors,MATCH(F309,UnitNames,0)),""))</f>
        <v>0</v>
      </c>
      <c r="K309" s="17">
        <f>IF(F309="","",IFERROR(INDEX(UnitBases,MATCH(F309,UnitNames,0)),"?"))</f>
        <v>0</v>
      </c>
      <c r="L309" s="17">
        <f>IF(D309="","",IFERROR(INDEX(Ingredients!$G$5:$G$304,MATCH(D309,Ingredients!$B$5:$B$304,0)),"Add to Ingredients"))</f>
        <v>0</v>
      </c>
      <c r="M309" s="25">
        <f>IF(D309="","",IFERROR(INDEX(Ingredients!$J$5:$J$304,MATCH(D309,Ingredients!$B$5:$B$304,0)),"Add to Ingredients"))</f>
        <v>0</v>
      </c>
      <c r="N309" s="25">
        <f>IF(OR(J309="",M309="",NOT(ISNUMBER(M309))),"",IF(K309&lt;&gt;L309,"",J309*M309))</f>
        <v>0</v>
      </c>
      <c r="O309" s="25">
        <f>IF(N309="","",IFERROR(N309/INDEX(Recipes!$G$5:$G$204,MATCH(B309,Recipes!$A$5:$A$204,0)),""))</f>
        <v>0</v>
      </c>
      <c r="P309" s="30">
        <f>IF(J309="","",IF(K309="each",J309,J309/100))</f>
        <v>0</v>
      </c>
      <c r="Q309" s="30">
        <f>IFERROR(IF(P309="","",P309*INDEX(Ingredients!$P$5:$P$304,MATCH(D309,Ingredients!$B$5:$B$304,0))),"")</f>
        <v>0</v>
      </c>
      <c r="R309" s="45">
        <f>IFERROR(IF(P309="","",P309*INDEX(Ingredients!$Q$5:$Q$304,MATCH(D309,Ingredients!$B$5:$B$304,0))),"")</f>
        <v>0</v>
      </c>
      <c r="S309" s="45">
        <f>IFERROR(IF(P309="","",P309*INDEX(Ingredients!$R$5:$R$304,MATCH(D309,Ingredients!$B$5:$B$304,0))),"")</f>
        <v>0</v>
      </c>
      <c r="T309" s="45">
        <f>IFERROR(IF(P309="","",P309*INDEX(Ingredients!$S$5:$S$304,MATCH(D309,Ingredients!$B$5:$B$304,0))),"")</f>
        <v>0</v>
      </c>
      <c r="U309" s="45">
        <f>IFERROR(IF(P309="","",P309*INDEX(Ingredients!$T$5:$T$304,MATCH(D309,Ingredients!$B$5:$B$304,0))),"")</f>
        <v>0</v>
      </c>
      <c r="V309" s="17">
        <f>IF(D309="","",IFERROR(INDEX(Ingredients!$W$5:$W$304,MATCH(D309,Ingredients!$B$5:$B$304,0)),"Add to Ingredients"))</f>
        <v>0</v>
      </c>
      <c r="W309" s="17">
        <f>IF(D309="","",IFERROR(INDEX(Ingredients!$C$5:$C$304,MATCH(D309,Ingredients!$B$5:$B$304,0)),"Add to Ingredients"))</f>
        <v>0</v>
      </c>
      <c r="X309" s="45">
        <f>IFERROR(INDEX(Recipes!$AT$5:$AT$204,MATCH(B309,Recipes!$A$5:$A$204,0)),0)</f>
        <v>0</v>
      </c>
      <c r="Y309" s="45">
        <f>IF(OR(J309="",X309=0),"",J309*X309)</f>
        <v>0</v>
      </c>
      <c r="Z309" s="17">
        <f>IF(D309="","",B309&amp;"#"&amp;COUNTIFS($B$5:B309,B309))</f>
        <v>0</v>
      </c>
      <c r="AA309" s="17">
        <f>IF(D309="","",B309&amp;"|"&amp;D309)</f>
        <v>0</v>
      </c>
      <c r="AB309" s="31">
        <f>IF(D309="","",IF(B309="","Add - which recipe?",IF(COUNTIFS(Ingredients!$B$5:$B$304,D309)=0,"Missing - not in the Ingredients tab",IF(E309="","Add - no quantity",IF(F309="","Add - no unit",IF(K309&lt;&gt;L309,"Check - recipe in "&amp;K309&amp;", priced in "&amp;L309,IF(COUNTIFS($AA$5:$AA$1204,AA309)&gt;1,"Duplicate - same ingredient twice","OK")))))))</f>
        <v>0</v>
      </c>
    </row>
    <row r="310" spans="1:28">
      <c r="A310" s="39">
        <f>IF(D310="","","RL-"&amp;TEXT(ROW()-4,"0000"))</f>
        <v>0</v>
      </c>
      <c r="C310" s="17">
        <f>IF(B310="","",IFERROR(INDEX(Recipes!$B$5:$B$204,MATCH(B310,Recipes!$A$5:$A$204,0)),"Not found"))</f>
        <v>0</v>
      </c>
      <c r="J310" s="45">
        <f>IF(E310="","",IFERROR(E310*INDEX(UnitFactors,MATCH(F310,UnitNames,0)),""))</f>
        <v>0</v>
      </c>
      <c r="K310" s="17">
        <f>IF(F310="","",IFERROR(INDEX(UnitBases,MATCH(F310,UnitNames,0)),"?"))</f>
        <v>0</v>
      </c>
      <c r="L310" s="17">
        <f>IF(D310="","",IFERROR(INDEX(Ingredients!$G$5:$G$304,MATCH(D310,Ingredients!$B$5:$B$304,0)),"Add to Ingredients"))</f>
        <v>0</v>
      </c>
      <c r="M310" s="25">
        <f>IF(D310="","",IFERROR(INDEX(Ingredients!$J$5:$J$304,MATCH(D310,Ingredients!$B$5:$B$304,0)),"Add to Ingredients"))</f>
        <v>0</v>
      </c>
      <c r="N310" s="25">
        <f>IF(OR(J310="",M310="",NOT(ISNUMBER(M310))),"",IF(K310&lt;&gt;L310,"",J310*M310))</f>
        <v>0</v>
      </c>
      <c r="O310" s="25">
        <f>IF(N310="","",IFERROR(N310/INDEX(Recipes!$G$5:$G$204,MATCH(B310,Recipes!$A$5:$A$204,0)),""))</f>
        <v>0</v>
      </c>
      <c r="P310" s="30">
        <f>IF(J310="","",IF(K310="each",J310,J310/100))</f>
        <v>0</v>
      </c>
      <c r="Q310" s="30">
        <f>IFERROR(IF(P310="","",P310*INDEX(Ingredients!$P$5:$P$304,MATCH(D310,Ingredients!$B$5:$B$304,0))),"")</f>
        <v>0</v>
      </c>
      <c r="R310" s="45">
        <f>IFERROR(IF(P310="","",P310*INDEX(Ingredients!$Q$5:$Q$304,MATCH(D310,Ingredients!$B$5:$B$304,0))),"")</f>
        <v>0</v>
      </c>
      <c r="S310" s="45">
        <f>IFERROR(IF(P310="","",P310*INDEX(Ingredients!$R$5:$R$304,MATCH(D310,Ingredients!$B$5:$B$304,0))),"")</f>
        <v>0</v>
      </c>
      <c r="T310" s="45">
        <f>IFERROR(IF(P310="","",P310*INDEX(Ingredients!$S$5:$S$304,MATCH(D310,Ingredients!$B$5:$B$304,0))),"")</f>
        <v>0</v>
      </c>
      <c r="U310" s="45">
        <f>IFERROR(IF(P310="","",P310*INDEX(Ingredients!$T$5:$T$304,MATCH(D310,Ingredients!$B$5:$B$304,0))),"")</f>
        <v>0</v>
      </c>
      <c r="V310" s="17">
        <f>IF(D310="","",IFERROR(INDEX(Ingredients!$W$5:$W$304,MATCH(D310,Ingredients!$B$5:$B$304,0)),"Add to Ingredients"))</f>
        <v>0</v>
      </c>
      <c r="W310" s="17">
        <f>IF(D310="","",IFERROR(INDEX(Ingredients!$C$5:$C$304,MATCH(D310,Ingredients!$B$5:$B$304,0)),"Add to Ingredients"))</f>
        <v>0</v>
      </c>
      <c r="X310" s="45">
        <f>IFERROR(INDEX(Recipes!$AT$5:$AT$204,MATCH(B310,Recipes!$A$5:$A$204,0)),0)</f>
        <v>0</v>
      </c>
      <c r="Y310" s="45">
        <f>IF(OR(J310="",X310=0),"",J310*X310)</f>
        <v>0</v>
      </c>
      <c r="Z310" s="17">
        <f>IF(D310="","",B310&amp;"#"&amp;COUNTIFS($B$5:B310,B310))</f>
        <v>0</v>
      </c>
      <c r="AA310" s="17">
        <f>IF(D310="","",B310&amp;"|"&amp;D310)</f>
        <v>0</v>
      </c>
      <c r="AB310" s="31">
        <f>IF(D310="","",IF(B310="","Add - which recipe?",IF(COUNTIFS(Ingredients!$B$5:$B$304,D310)=0,"Missing - not in the Ingredients tab",IF(E310="","Add - no quantity",IF(F310="","Add - no unit",IF(K310&lt;&gt;L310,"Check - recipe in "&amp;K310&amp;", priced in "&amp;L310,IF(COUNTIFS($AA$5:$AA$1204,AA310)&gt;1,"Duplicate - same ingredient twice","OK")))))))</f>
        <v>0</v>
      </c>
    </row>
    <row r="311" spans="1:28">
      <c r="A311" s="39">
        <f>IF(D311="","","RL-"&amp;TEXT(ROW()-4,"0000"))</f>
        <v>0</v>
      </c>
      <c r="C311" s="17">
        <f>IF(B311="","",IFERROR(INDEX(Recipes!$B$5:$B$204,MATCH(B311,Recipes!$A$5:$A$204,0)),"Not found"))</f>
        <v>0</v>
      </c>
      <c r="J311" s="45">
        <f>IF(E311="","",IFERROR(E311*INDEX(UnitFactors,MATCH(F311,UnitNames,0)),""))</f>
        <v>0</v>
      </c>
      <c r="K311" s="17">
        <f>IF(F311="","",IFERROR(INDEX(UnitBases,MATCH(F311,UnitNames,0)),"?"))</f>
        <v>0</v>
      </c>
      <c r="L311" s="17">
        <f>IF(D311="","",IFERROR(INDEX(Ingredients!$G$5:$G$304,MATCH(D311,Ingredients!$B$5:$B$304,0)),"Add to Ingredients"))</f>
        <v>0</v>
      </c>
      <c r="M311" s="25">
        <f>IF(D311="","",IFERROR(INDEX(Ingredients!$J$5:$J$304,MATCH(D311,Ingredients!$B$5:$B$304,0)),"Add to Ingredients"))</f>
        <v>0</v>
      </c>
      <c r="N311" s="25">
        <f>IF(OR(J311="",M311="",NOT(ISNUMBER(M311))),"",IF(K311&lt;&gt;L311,"",J311*M311))</f>
        <v>0</v>
      </c>
      <c r="O311" s="25">
        <f>IF(N311="","",IFERROR(N311/INDEX(Recipes!$G$5:$G$204,MATCH(B311,Recipes!$A$5:$A$204,0)),""))</f>
        <v>0</v>
      </c>
      <c r="P311" s="30">
        <f>IF(J311="","",IF(K311="each",J311,J311/100))</f>
        <v>0</v>
      </c>
      <c r="Q311" s="30">
        <f>IFERROR(IF(P311="","",P311*INDEX(Ingredients!$P$5:$P$304,MATCH(D311,Ingredients!$B$5:$B$304,0))),"")</f>
        <v>0</v>
      </c>
      <c r="R311" s="45">
        <f>IFERROR(IF(P311="","",P311*INDEX(Ingredients!$Q$5:$Q$304,MATCH(D311,Ingredients!$B$5:$B$304,0))),"")</f>
        <v>0</v>
      </c>
      <c r="S311" s="45">
        <f>IFERROR(IF(P311="","",P311*INDEX(Ingredients!$R$5:$R$304,MATCH(D311,Ingredients!$B$5:$B$304,0))),"")</f>
        <v>0</v>
      </c>
      <c r="T311" s="45">
        <f>IFERROR(IF(P311="","",P311*INDEX(Ingredients!$S$5:$S$304,MATCH(D311,Ingredients!$B$5:$B$304,0))),"")</f>
        <v>0</v>
      </c>
      <c r="U311" s="45">
        <f>IFERROR(IF(P311="","",P311*INDEX(Ingredients!$T$5:$T$304,MATCH(D311,Ingredients!$B$5:$B$304,0))),"")</f>
        <v>0</v>
      </c>
      <c r="V311" s="17">
        <f>IF(D311="","",IFERROR(INDEX(Ingredients!$W$5:$W$304,MATCH(D311,Ingredients!$B$5:$B$304,0)),"Add to Ingredients"))</f>
        <v>0</v>
      </c>
      <c r="W311" s="17">
        <f>IF(D311="","",IFERROR(INDEX(Ingredients!$C$5:$C$304,MATCH(D311,Ingredients!$B$5:$B$304,0)),"Add to Ingredients"))</f>
        <v>0</v>
      </c>
      <c r="X311" s="45">
        <f>IFERROR(INDEX(Recipes!$AT$5:$AT$204,MATCH(B311,Recipes!$A$5:$A$204,0)),0)</f>
        <v>0</v>
      </c>
      <c r="Y311" s="45">
        <f>IF(OR(J311="",X311=0),"",J311*X311)</f>
        <v>0</v>
      </c>
      <c r="Z311" s="17">
        <f>IF(D311="","",B311&amp;"#"&amp;COUNTIFS($B$5:B311,B311))</f>
        <v>0</v>
      </c>
      <c r="AA311" s="17">
        <f>IF(D311="","",B311&amp;"|"&amp;D311)</f>
        <v>0</v>
      </c>
      <c r="AB311" s="31">
        <f>IF(D311="","",IF(B311="","Add - which recipe?",IF(COUNTIFS(Ingredients!$B$5:$B$304,D311)=0,"Missing - not in the Ingredients tab",IF(E311="","Add - no quantity",IF(F311="","Add - no unit",IF(K311&lt;&gt;L311,"Check - recipe in "&amp;K311&amp;", priced in "&amp;L311,IF(COUNTIFS($AA$5:$AA$1204,AA311)&gt;1,"Duplicate - same ingredient twice","OK")))))))</f>
        <v>0</v>
      </c>
    </row>
    <row r="312" spans="1:28">
      <c r="A312" s="39">
        <f>IF(D312="","","RL-"&amp;TEXT(ROW()-4,"0000"))</f>
        <v>0</v>
      </c>
      <c r="C312" s="17">
        <f>IF(B312="","",IFERROR(INDEX(Recipes!$B$5:$B$204,MATCH(B312,Recipes!$A$5:$A$204,0)),"Not found"))</f>
        <v>0</v>
      </c>
      <c r="J312" s="45">
        <f>IF(E312="","",IFERROR(E312*INDEX(UnitFactors,MATCH(F312,UnitNames,0)),""))</f>
        <v>0</v>
      </c>
      <c r="K312" s="17">
        <f>IF(F312="","",IFERROR(INDEX(UnitBases,MATCH(F312,UnitNames,0)),"?"))</f>
        <v>0</v>
      </c>
      <c r="L312" s="17">
        <f>IF(D312="","",IFERROR(INDEX(Ingredients!$G$5:$G$304,MATCH(D312,Ingredients!$B$5:$B$304,0)),"Add to Ingredients"))</f>
        <v>0</v>
      </c>
      <c r="M312" s="25">
        <f>IF(D312="","",IFERROR(INDEX(Ingredients!$J$5:$J$304,MATCH(D312,Ingredients!$B$5:$B$304,0)),"Add to Ingredients"))</f>
        <v>0</v>
      </c>
      <c r="N312" s="25">
        <f>IF(OR(J312="",M312="",NOT(ISNUMBER(M312))),"",IF(K312&lt;&gt;L312,"",J312*M312))</f>
        <v>0</v>
      </c>
      <c r="O312" s="25">
        <f>IF(N312="","",IFERROR(N312/INDEX(Recipes!$G$5:$G$204,MATCH(B312,Recipes!$A$5:$A$204,0)),""))</f>
        <v>0</v>
      </c>
      <c r="P312" s="30">
        <f>IF(J312="","",IF(K312="each",J312,J312/100))</f>
        <v>0</v>
      </c>
      <c r="Q312" s="30">
        <f>IFERROR(IF(P312="","",P312*INDEX(Ingredients!$P$5:$P$304,MATCH(D312,Ingredients!$B$5:$B$304,0))),"")</f>
        <v>0</v>
      </c>
      <c r="R312" s="45">
        <f>IFERROR(IF(P312="","",P312*INDEX(Ingredients!$Q$5:$Q$304,MATCH(D312,Ingredients!$B$5:$B$304,0))),"")</f>
        <v>0</v>
      </c>
      <c r="S312" s="45">
        <f>IFERROR(IF(P312="","",P312*INDEX(Ingredients!$R$5:$R$304,MATCH(D312,Ingredients!$B$5:$B$304,0))),"")</f>
        <v>0</v>
      </c>
      <c r="T312" s="45">
        <f>IFERROR(IF(P312="","",P312*INDEX(Ingredients!$S$5:$S$304,MATCH(D312,Ingredients!$B$5:$B$304,0))),"")</f>
        <v>0</v>
      </c>
      <c r="U312" s="45">
        <f>IFERROR(IF(P312="","",P312*INDEX(Ingredients!$T$5:$T$304,MATCH(D312,Ingredients!$B$5:$B$304,0))),"")</f>
        <v>0</v>
      </c>
      <c r="V312" s="17">
        <f>IF(D312="","",IFERROR(INDEX(Ingredients!$W$5:$W$304,MATCH(D312,Ingredients!$B$5:$B$304,0)),"Add to Ingredients"))</f>
        <v>0</v>
      </c>
      <c r="W312" s="17">
        <f>IF(D312="","",IFERROR(INDEX(Ingredients!$C$5:$C$304,MATCH(D312,Ingredients!$B$5:$B$304,0)),"Add to Ingredients"))</f>
        <v>0</v>
      </c>
      <c r="X312" s="45">
        <f>IFERROR(INDEX(Recipes!$AT$5:$AT$204,MATCH(B312,Recipes!$A$5:$A$204,0)),0)</f>
        <v>0</v>
      </c>
      <c r="Y312" s="45">
        <f>IF(OR(J312="",X312=0),"",J312*X312)</f>
        <v>0</v>
      </c>
      <c r="Z312" s="17">
        <f>IF(D312="","",B312&amp;"#"&amp;COUNTIFS($B$5:B312,B312))</f>
        <v>0</v>
      </c>
      <c r="AA312" s="17">
        <f>IF(D312="","",B312&amp;"|"&amp;D312)</f>
        <v>0</v>
      </c>
      <c r="AB312" s="31">
        <f>IF(D312="","",IF(B312="","Add - which recipe?",IF(COUNTIFS(Ingredients!$B$5:$B$304,D312)=0,"Missing - not in the Ingredients tab",IF(E312="","Add - no quantity",IF(F312="","Add - no unit",IF(K312&lt;&gt;L312,"Check - recipe in "&amp;K312&amp;", priced in "&amp;L312,IF(COUNTIFS($AA$5:$AA$1204,AA312)&gt;1,"Duplicate - same ingredient twice","OK")))))))</f>
        <v>0</v>
      </c>
    </row>
    <row r="313" spans="1:28">
      <c r="A313" s="39">
        <f>IF(D313="","","RL-"&amp;TEXT(ROW()-4,"0000"))</f>
        <v>0</v>
      </c>
      <c r="C313" s="17">
        <f>IF(B313="","",IFERROR(INDEX(Recipes!$B$5:$B$204,MATCH(B313,Recipes!$A$5:$A$204,0)),"Not found"))</f>
        <v>0</v>
      </c>
      <c r="J313" s="45">
        <f>IF(E313="","",IFERROR(E313*INDEX(UnitFactors,MATCH(F313,UnitNames,0)),""))</f>
        <v>0</v>
      </c>
      <c r="K313" s="17">
        <f>IF(F313="","",IFERROR(INDEX(UnitBases,MATCH(F313,UnitNames,0)),"?"))</f>
        <v>0</v>
      </c>
      <c r="L313" s="17">
        <f>IF(D313="","",IFERROR(INDEX(Ingredients!$G$5:$G$304,MATCH(D313,Ingredients!$B$5:$B$304,0)),"Add to Ingredients"))</f>
        <v>0</v>
      </c>
      <c r="M313" s="25">
        <f>IF(D313="","",IFERROR(INDEX(Ingredients!$J$5:$J$304,MATCH(D313,Ingredients!$B$5:$B$304,0)),"Add to Ingredients"))</f>
        <v>0</v>
      </c>
      <c r="N313" s="25">
        <f>IF(OR(J313="",M313="",NOT(ISNUMBER(M313))),"",IF(K313&lt;&gt;L313,"",J313*M313))</f>
        <v>0</v>
      </c>
      <c r="O313" s="25">
        <f>IF(N313="","",IFERROR(N313/INDEX(Recipes!$G$5:$G$204,MATCH(B313,Recipes!$A$5:$A$204,0)),""))</f>
        <v>0</v>
      </c>
      <c r="P313" s="30">
        <f>IF(J313="","",IF(K313="each",J313,J313/100))</f>
        <v>0</v>
      </c>
      <c r="Q313" s="30">
        <f>IFERROR(IF(P313="","",P313*INDEX(Ingredients!$P$5:$P$304,MATCH(D313,Ingredients!$B$5:$B$304,0))),"")</f>
        <v>0</v>
      </c>
      <c r="R313" s="45">
        <f>IFERROR(IF(P313="","",P313*INDEX(Ingredients!$Q$5:$Q$304,MATCH(D313,Ingredients!$B$5:$B$304,0))),"")</f>
        <v>0</v>
      </c>
      <c r="S313" s="45">
        <f>IFERROR(IF(P313="","",P313*INDEX(Ingredients!$R$5:$R$304,MATCH(D313,Ingredients!$B$5:$B$304,0))),"")</f>
        <v>0</v>
      </c>
      <c r="T313" s="45">
        <f>IFERROR(IF(P313="","",P313*INDEX(Ingredients!$S$5:$S$304,MATCH(D313,Ingredients!$B$5:$B$304,0))),"")</f>
        <v>0</v>
      </c>
      <c r="U313" s="45">
        <f>IFERROR(IF(P313="","",P313*INDEX(Ingredients!$T$5:$T$304,MATCH(D313,Ingredients!$B$5:$B$304,0))),"")</f>
        <v>0</v>
      </c>
      <c r="V313" s="17">
        <f>IF(D313="","",IFERROR(INDEX(Ingredients!$W$5:$W$304,MATCH(D313,Ingredients!$B$5:$B$304,0)),"Add to Ingredients"))</f>
        <v>0</v>
      </c>
      <c r="W313" s="17">
        <f>IF(D313="","",IFERROR(INDEX(Ingredients!$C$5:$C$304,MATCH(D313,Ingredients!$B$5:$B$304,0)),"Add to Ingredients"))</f>
        <v>0</v>
      </c>
      <c r="X313" s="45">
        <f>IFERROR(INDEX(Recipes!$AT$5:$AT$204,MATCH(B313,Recipes!$A$5:$A$204,0)),0)</f>
        <v>0</v>
      </c>
      <c r="Y313" s="45">
        <f>IF(OR(J313="",X313=0),"",J313*X313)</f>
        <v>0</v>
      </c>
      <c r="Z313" s="17">
        <f>IF(D313="","",B313&amp;"#"&amp;COUNTIFS($B$5:B313,B313))</f>
        <v>0</v>
      </c>
      <c r="AA313" s="17">
        <f>IF(D313="","",B313&amp;"|"&amp;D313)</f>
        <v>0</v>
      </c>
      <c r="AB313" s="31">
        <f>IF(D313="","",IF(B313="","Add - which recipe?",IF(COUNTIFS(Ingredients!$B$5:$B$304,D313)=0,"Missing - not in the Ingredients tab",IF(E313="","Add - no quantity",IF(F313="","Add - no unit",IF(K313&lt;&gt;L313,"Check - recipe in "&amp;K313&amp;", priced in "&amp;L313,IF(COUNTIFS($AA$5:$AA$1204,AA313)&gt;1,"Duplicate - same ingredient twice","OK")))))))</f>
        <v>0</v>
      </c>
    </row>
    <row r="314" spans="1:28">
      <c r="A314" s="39">
        <f>IF(D314="","","RL-"&amp;TEXT(ROW()-4,"0000"))</f>
        <v>0</v>
      </c>
      <c r="C314" s="17">
        <f>IF(B314="","",IFERROR(INDEX(Recipes!$B$5:$B$204,MATCH(B314,Recipes!$A$5:$A$204,0)),"Not found"))</f>
        <v>0</v>
      </c>
      <c r="J314" s="45">
        <f>IF(E314="","",IFERROR(E314*INDEX(UnitFactors,MATCH(F314,UnitNames,0)),""))</f>
        <v>0</v>
      </c>
      <c r="K314" s="17">
        <f>IF(F314="","",IFERROR(INDEX(UnitBases,MATCH(F314,UnitNames,0)),"?"))</f>
        <v>0</v>
      </c>
      <c r="L314" s="17">
        <f>IF(D314="","",IFERROR(INDEX(Ingredients!$G$5:$G$304,MATCH(D314,Ingredients!$B$5:$B$304,0)),"Add to Ingredients"))</f>
        <v>0</v>
      </c>
      <c r="M314" s="25">
        <f>IF(D314="","",IFERROR(INDEX(Ingredients!$J$5:$J$304,MATCH(D314,Ingredients!$B$5:$B$304,0)),"Add to Ingredients"))</f>
        <v>0</v>
      </c>
      <c r="N314" s="25">
        <f>IF(OR(J314="",M314="",NOT(ISNUMBER(M314))),"",IF(K314&lt;&gt;L314,"",J314*M314))</f>
        <v>0</v>
      </c>
      <c r="O314" s="25">
        <f>IF(N314="","",IFERROR(N314/INDEX(Recipes!$G$5:$G$204,MATCH(B314,Recipes!$A$5:$A$204,0)),""))</f>
        <v>0</v>
      </c>
      <c r="P314" s="30">
        <f>IF(J314="","",IF(K314="each",J314,J314/100))</f>
        <v>0</v>
      </c>
      <c r="Q314" s="30">
        <f>IFERROR(IF(P314="","",P314*INDEX(Ingredients!$P$5:$P$304,MATCH(D314,Ingredients!$B$5:$B$304,0))),"")</f>
        <v>0</v>
      </c>
      <c r="R314" s="45">
        <f>IFERROR(IF(P314="","",P314*INDEX(Ingredients!$Q$5:$Q$304,MATCH(D314,Ingredients!$B$5:$B$304,0))),"")</f>
        <v>0</v>
      </c>
      <c r="S314" s="45">
        <f>IFERROR(IF(P314="","",P314*INDEX(Ingredients!$R$5:$R$304,MATCH(D314,Ingredients!$B$5:$B$304,0))),"")</f>
        <v>0</v>
      </c>
      <c r="T314" s="45">
        <f>IFERROR(IF(P314="","",P314*INDEX(Ingredients!$S$5:$S$304,MATCH(D314,Ingredients!$B$5:$B$304,0))),"")</f>
        <v>0</v>
      </c>
      <c r="U314" s="45">
        <f>IFERROR(IF(P314="","",P314*INDEX(Ingredients!$T$5:$T$304,MATCH(D314,Ingredients!$B$5:$B$304,0))),"")</f>
        <v>0</v>
      </c>
      <c r="V314" s="17">
        <f>IF(D314="","",IFERROR(INDEX(Ingredients!$W$5:$W$304,MATCH(D314,Ingredients!$B$5:$B$304,0)),"Add to Ingredients"))</f>
        <v>0</v>
      </c>
      <c r="W314" s="17">
        <f>IF(D314="","",IFERROR(INDEX(Ingredients!$C$5:$C$304,MATCH(D314,Ingredients!$B$5:$B$304,0)),"Add to Ingredients"))</f>
        <v>0</v>
      </c>
      <c r="X314" s="45">
        <f>IFERROR(INDEX(Recipes!$AT$5:$AT$204,MATCH(B314,Recipes!$A$5:$A$204,0)),0)</f>
        <v>0</v>
      </c>
      <c r="Y314" s="45">
        <f>IF(OR(J314="",X314=0),"",J314*X314)</f>
        <v>0</v>
      </c>
      <c r="Z314" s="17">
        <f>IF(D314="","",B314&amp;"#"&amp;COUNTIFS($B$5:B314,B314))</f>
        <v>0</v>
      </c>
      <c r="AA314" s="17">
        <f>IF(D314="","",B314&amp;"|"&amp;D314)</f>
        <v>0</v>
      </c>
      <c r="AB314" s="31">
        <f>IF(D314="","",IF(B314="","Add - which recipe?",IF(COUNTIFS(Ingredients!$B$5:$B$304,D314)=0,"Missing - not in the Ingredients tab",IF(E314="","Add - no quantity",IF(F314="","Add - no unit",IF(K314&lt;&gt;L314,"Check - recipe in "&amp;K314&amp;", priced in "&amp;L314,IF(COUNTIFS($AA$5:$AA$1204,AA314)&gt;1,"Duplicate - same ingredient twice","OK")))))))</f>
        <v>0</v>
      </c>
    </row>
    <row r="315" spans="1:28">
      <c r="A315" s="39">
        <f>IF(D315="","","RL-"&amp;TEXT(ROW()-4,"0000"))</f>
        <v>0</v>
      </c>
      <c r="C315" s="17">
        <f>IF(B315="","",IFERROR(INDEX(Recipes!$B$5:$B$204,MATCH(B315,Recipes!$A$5:$A$204,0)),"Not found"))</f>
        <v>0</v>
      </c>
      <c r="J315" s="45">
        <f>IF(E315="","",IFERROR(E315*INDEX(UnitFactors,MATCH(F315,UnitNames,0)),""))</f>
        <v>0</v>
      </c>
      <c r="K315" s="17">
        <f>IF(F315="","",IFERROR(INDEX(UnitBases,MATCH(F315,UnitNames,0)),"?"))</f>
        <v>0</v>
      </c>
      <c r="L315" s="17">
        <f>IF(D315="","",IFERROR(INDEX(Ingredients!$G$5:$G$304,MATCH(D315,Ingredients!$B$5:$B$304,0)),"Add to Ingredients"))</f>
        <v>0</v>
      </c>
      <c r="M315" s="25">
        <f>IF(D315="","",IFERROR(INDEX(Ingredients!$J$5:$J$304,MATCH(D315,Ingredients!$B$5:$B$304,0)),"Add to Ingredients"))</f>
        <v>0</v>
      </c>
      <c r="N315" s="25">
        <f>IF(OR(J315="",M315="",NOT(ISNUMBER(M315))),"",IF(K315&lt;&gt;L315,"",J315*M315))</f>
        <v>0</v>
      </c>
      <c r="O315" s="25">
        <f>IF(N315="","",IFERROR(N315/INDEX(Recipes!$G$5:$G$204,MATCH(B315,Recipes!$A$5:$A$204,0)),""))</f>
        <v>0</v>
      </c>
      <c r="P315" s="30">
        <f>IF(J315="","",IF(K315="each",J315,J315/100))</f>
        <v>0</v>
      </c>
      <c r="Q315" s="30">
        <f>IFERROR(IF(P315="","",P315*INDEX(Ingredients!$P$5:$P$304,MATCH(D315,Ingredients!$B$5:$B$304,0))),"")</f>
        <v>0</v>
      </c>
      <c r="R315" s="45">
        <f>IFERROR(IF(P315="","",P315*INDEX(Ingredients!$Q$5:$Q$304,MATCH(D315,Ingredients!$B$5:$B$304,0))),"")</f>
        <v>0</v>
      </c>
      <c r="S315" s="45">
        <f>IFERROR(IF(P315="","",P315*INDEX(Ingredients!$R$5:$R$304,MATCH(D315,Ingredients!$B$5:$B$304,0))),"")</f>
        <v>0</v>
      </c>
      <c r="T315" s="45">
        <f>IFERROR(IF(P315="","",P315*INDEX(Ingredients!$S$5:$S$304,MATCH(D315,Ingredients!$B$5:$B$304,0))),"")</f>
        <v>0</v>
      </c>
      <c r="U315" s="45">
        <f>IFERROR(IF(P315="","",P315*INDEX(Ingredients!$T$5:$T$304,MATCH(D315,Ingredients!$B$5:$B$304,0))),"")</f>
        <v>0</v>
      </c>
      <c r="V315" s="17">
        <f>IF(D315="","",IFERROR(INDEX(Ingredients!$W$5:$W$304,MATCH(D315,Ingredients!$B$5:$B$304,0)),"Add to Ingredients"))</f>
        <v>0</v>
      </c>
      <c r="W315" s="17">
        <f>IF(D315="","",IFERROR(INDEX(Ingredients!$C$5:$C$304,MATCH(D315,Ingredients!$B$5:$B$304,0)),"Add to Ingredients"))</f>
        <v>0</v>
      </c>
      <c r="X315" s="45">
        <f>IFERROR(INDEX(Recipes!$AT$5:$AT$204,MATCH(B315,Recipes!$A$5:$A$204,0)),0)</f>
        <v>0</v>
      </c>
      <c r="Y315" s="45">
        <f>IF(OR(J315="",X315=0),"",J315*X315)</f>
        <v>0</v>
      </c>
      <c r="Z315" s="17">
        <f>IF(D315="","",B315&amp;"#"&amp;COUNTIFS($B$5:B315,B315))</f>
        <v>0</v>
      </c>
      <c r="AA315" s="17">
        <f>IF(D315="","",B315&amp;"|"&amp;D315)</f>
        <v>0</v>
      </c>
      <c r="AB315" s="31">
        <f>IF(D315="","",IF(B315="","Add - which recipe?",IF(COUNTIFS(Ingredients!$B$5:$B$304,D315)=0,"Missing - not in the Ingredients tab",IF(E315="","Add - no quantity",IF(F315="","Add - no unit",IF(K315&lt;&gt;L315,"Check - recipe in "&amp;K315&amp;", priced in "&amp;L315,IF(COUNTIFS($AA$5:$AA$1204,AA315)&gt;1,"Duplicate - same ingredient twice","OK")))))))</f>
        <v>0</v>
      </c>
    </row>
    <row r="316" spans="1:28">
      <c r="A316" s="39">
        <f>IF(D316="","","RL-"&amp;TEXT(ROW()-4,"0000"))</f>
        <v>0</v>
      </c>
      <c r="C316" s="17">
        <f>IF(B316="","",IFERROR(INDEX(Recipes!$B$5:$B$204,MATCH(B316,Recipes!$A$5:$A$204,0)),"Not found"))</f>
        <v>0</v>
      </c>
      <c r="J316" s="45">
        <f>IF(E316="","",IFERROR(E316*INDEX(UnitFactors,MATCH(F316,UnitNames,0)),""))</f>
        <v>0</v>
      </c>
      <c r="K316" s="17">
        <f>IF(F316="","",IFERROR(INDEX(UnitBases,MATCH(F316,UnitNames,0)),"?"))</f>
        <v>0</v>
      </c>
      <c r="L316" s="17">
        <f>IF(D316="","",IFERROR(INDEX(Ingredients!$G$5:$G$304,MATCH(D316,Ingredients!$B$5:$B$304,0)),"Add to Ingredients"))</f>
        <v>0</v>
      </c>
      <c r="M316" s="25">
        <f>IF(D316="","",IFERROR(INDEX(Ingredients!$J$5:$J$304,MATCH(D316,Ingredients!$B$5:$B$304,0)),"Add to Ingredients"))</f>
        <v>0</v>
      </c>
      <c r="N316" s="25">
        <f>IF(OR(J316="",M316="",NOT(ISNUMBER(M316))),"",IF(K316&lt;&gt;L316,"",J316*M316))</f>
        <v>0</v>
      </c>
      <c r="O316" s="25">
        <f>IF(N316="","",IFERROR(N316/INDEX(Recipes!$G$5:$G$204,MATCH(B316,Recipes!$A$5:$A$204,0)),""))</f>
        <v>0</v>
      </c>
      <c r="P316" s="30">
        <f>IF(J316="","",IF(K316="each",J316,J316/100))</f>
        <v>0</v>
      </c>
      <c r="Q316" s="30">
        <f>IFERROR(IF(P316="","",P316*INDEX(Ingredients!$P$5:$P$304,MATCH(D316,Ingredients!$B$5:$B$304,0))),"")</f>
        <v>0</v>
      </c>
      <c r="R316" s="45">
        <f>IFERROR(IF(P316="","",P316*INDEX(Ingredients!$Q$5:$Q$304,MATCH(D316,Ingredients!$B$5:$B$304,0))),"")</f>
        <v>0</v>
      </c>
      <c r="S316" s="45">
        <f>IFERROR(IF(P316="","",P316*INDEX(Ingredients!$R$5:$R$304,MATCH(D316,Ingredients!$B$5:$B$304,0))),"")</f>
        <v>0</v>
      </c>
      <c r="T316" s="45">
        <f>IFERROR(IF(P316="","",P316*INDEX(Ingredients!$S$5:$S$304,MATCH(D316,Ingredients!$B$5:$B$304,0))),"")</f>
        <v>0</v>
      </c>
      <c r="U316" s="45">
        <f>IFERROR(IF(P316="","",P316*INDEX(Ingredients!$T$5:$T$304,MATCH(D316,Ingredients!$B$5:$B$304,0))),"")</f>
        <v>0</v>
      </c>
      <c r="V316" s="17">
        <f>IF(D316="","",IFERROR(INDEX(Ingredients!$W$5:$W$304,MATCH(D316,Ingredients!$B$5:$B$304,0)),"Add to Ingredients"))</f>
        <v>0</v>
      </c>
      <c r="W316" s="17">
        <f>IF(D316="","",IFERROR(INDEX(Ingredients!$C$5:$C$304,MATCH(D316,Ingredients!$B$5:$B$304,0)),"Add to Ingredients"))</f>
        <v>0</v>
      </c>
      <c r="X316" s="45">
        <f>IFERROR(INDEX(Recipes!$AT$5:$AT$204,MATCH(B316,Recipes!$A$5:$A$204,0)),0)</f>
        <v>0</v>
      </c>
      <c r="Y316" s="45">
        <f>IF(OR(J316="",X316=0),"",J316*X316)</f>
        <v>0</v>
      </c>
      <c r="Z316" s="17">
        <f>IF(D316="","",B316&amp;"#"&amp;COUNTIFS($B$5:B316,B316))</f>
        <v>0</v>
      </c>
      <c r="AA316" s="17">
        <f>IF(D316="","",B316&amp;"|"&amp;D316)</f>
        <v>0</v>
      </c>
      <c r="AB316" s="31">
        <f>IF(D316="","",IF(B316="","Add - which recipe?",IF(COUNTIFS(Ingredients!$B$5:$B$304,D316)=0,"Missing - not in the Ingredients tab",IF(E316="","Add - no quantity",IF(F316="","Add - no unit",IF(K316&lt;&gt;L316,"Check - recipe in "&amp;K316&amp;", priced in "&amp;L316,IF(COUNTIFS($AA$5:$AA$1204,AA316)&gt;1,"Duplicate - same ingredient twice","OK")))))))</f>
        <v>0</v>
      </c>
    </row>
    <row r="317" spans="1:28">
      <c r="A317" s="39">
        <f>IF(D317="","","RL-"&amp;TEXT(ROW()-4,"0000"))</f>
        <v>0</v>
      </c>
      <c r="C317" s="17">
        <f>IF(B317="","",IFERROR(INDEX(Recipes!$B$5:$B$204,MATCH(B317,Recipes!$A$5:$A$204,0)),"Not found"))</f>
        <v>0</v>
      </c>
      <c r="J317" s="45">
        <f>IF(E317="","",IFERROR(E317*INDEX(UnitFactors,MATCH(F317,UnitNames,0)),""))</f>
        <v>0</v>
      </c>
      <c r="K317" s="17">
        <f>IF(F317="","",IFERROR(INDEX(UnitBases,MATCH(F317,UnitNames,0)),"?"))</f>
        <v>0</v>
      </c>
      <c r="L317" s="17">
        <f>IF(D317="","",IFERROR(INDEX(Ingredients!$G$5:$G$304,MATCH(D317,Ingredients!$B$5:$B$304,0)),"Add to Ingredients"))</f>
        <v>0</v>
      </c>
      <c r="M317" s="25">
        <f>IF(D317="","",IFERROR(INDEX(Ingredients!$J$5:$J$304,MATCH(D317,Ingredients!$B$5:$B$304,0)),"Add to Ingredients"))</f>
        <v>0</v>
      </c>
      <c r="N317" s="25">
        <f>IF(OR(J317="",M317="",NOT(ISNUMBER(M317))),"",IF(K317&lt;&gt;L317,"",J317*M317))</f>
        <v>0</v>
      </c>
      <c r="O317" s="25">
        <f>IF(N317="","",IFERROR(N317/INDEX(Recipes!$G$5:$G$204,MATCH(B317,Recipes!$A$5:$A$204,0)),""))</f>
        <v>0</v>
      </c>
      <c r="P317" s="30">
        <f>IF(J317="","",IF(K317="each",J317,J317/100))</f>
        <v>0</v>
      </c>
      <c r="Q317" s="30">
        <f>IFERROR(IF(P317="","",P317*INDEX(Ingredients!$P$5:$P$304,MATCH(D317,Ingredients!$B$5:$B$304,0))),"")</f>
        <v>0</v>
      </c>
      <c r="R317" s="45">
        <f>IFERROR(IF(P317="","",P317*INDEX(Ingredients!$Q$5:$Q$304,MATCH(D317,Ingredients!$B$5:$B$304,0))),"")</f>
        <v>0</v>
      </c>
      <c r="S317" s="45">
        <f>IFERROR(IF(P317="","",P317*INDEX(Ingredients!$R$5:$R$304,MATCH(D317,Ingredients!$B$5:$B$304,0))),"")</f>
        <v>0</v>
      </c>
      <c r="T317" s="45">
        <f>IFERROR(IF(P317="","",P317*INDEX(Ingredients!$S$5:$S$304,MATCH(D317,Ingredients!$B$5:$B$304,0))),"")</f>
        <v>0</v>
      </c>
      <c r="U317" s="45">
        <f>IFERROR(IF(P317="","",P317*INDEX(Ingredients!$T$5:$T$304,MATCH(D317,Ingredients!$B$5:$B$304,0))),"")</f>
        <v>0</v>
      </c>
      <c r="V317" s="17">
        <f>IF(D317="","",IFERROR(INDEX(Ingredients!$W$5:$W$304,MATCH(D317,Ingredients!$B$5:$B$304,0)),"Add to Ingredients"))</f>
        <v>0</v>
      </c>
      <c r="W317" s="17">
        <f>IF(D317="","",IFERROR(INDEX(Ingredients!$C$5:$C$304,MATCH(D317,Ingredients!$B$5:$B$304,0)),"Add to Ingredients"))</f>
        <v>0</v>
      </c>
      <c r="X317" s="45">
        <f>IFERROR(INDEX(Recipes!$AT$5:$AT$204,MATCH(B317,Recipes!$A$5:$A$204,0)),0)</f>
        <v>0</v>
      </c>
      <c r="Y317" s="45">
        <f>IF(OR(J317="",X317=0),"",J317*X317)</f>
        <v>0</v>
      </c>
      <c r="Z317" s="17">
        <f>IF(D317="","",B317&amp;"#"&amp;COUNTIFS($B$5:B317,B317))</f>
        <v>0</v>
      </c>
      <c r="AA317" s="17">
        <f>IF(D317="","",B317&amp;"|"&amp;D317)</f>
        <v>0</v>
      </c>
      <c r="AB317" s="31">
        <f>IF(D317="","",IF(B317="","Add - which recipe?",IF(COUNTIFS(Ingredients!$B$5:$B$304,D317)=0,"Missing - not in the Ingredients tab",IF(E317="","Add - no quantity",IF(F317="","Add - no unit",IF(K317&lt;&gt;L317,"Check - recipe in "&amp;K317&amp;", priced in "&amp;L317,IF(COUNTIFS($AA$5:$AA$1204,AA317)&gt;1,"Duplicate - same ingredient twice","OK")))))))</f>
        <v>0</v>
      </c>
    </row>
    <row r="318" spans="1:28">
      <c r="A318" s="39">
        <f>IF(D318="","","RL-"&amp;TEXT(ROW()-4,"0000"))</f>
        <v>0</v>
      </c>
      <c r="C318" s="17">
        <f>IF(B318="","",IFERROR(INDEX(Recipes!$B$5:$B$204,MATCH(B318,Recipes!$A$5:$A$204,0)),"Not found"))</f>
        <v>0</v>
      </c>
      <c r="J318" s="45">
        <f>IF(E318="","",IFERROR(E318*INDEX(UnitFactors,MATCH(F318,UnitNames,0)),""))</f>
        <v>0</v>
      </c>
      <c r="K318" s="17">
        <f>IF(F318="","",IFERROR(INDEX(UnitBases,MATCH(F318,UnitNames,0)),"?"))</f>
        <v>0</v>
      </c>
      <c r="L318" s="17">
        <f>IF(D318="","",IFERROR(INDEX(Ingredients!$G$5:$G$304,MATCH(D318,Ingredients!$B$5:$B$304,0)),"Add to Ingredients"))</f>
        <v>0</v>
      </c>
      <c r="M318" s="25">
        <f>IF(D318="","",IFERROR(INDEX(Ingredients!$J$5:$J$304,MATCH(D318,Ingredients!$B$5:$B$304,0)),"Add to Ingredients"))</f>
        <v>0</v>
      </c>
      <c r="N318" s="25">
        <f>IF(OR(J318="",M318="",NOT(ISNUMBER(M318))),"",IF(K318&lt;&gt;L318,"",J318*M318))</f>
        <v>0</v>
      </c>
      <c r="O318" s="25">
        <f>IF(N318="","",IFERROR(N318/INDEX(Recipes!$G$5:$G$204,MATCH(B318,Recipes!$A$5:$A$204,0)),""))</f>
        <v>0</v>
      </c>
      <c r="P318" s="30">
        <f>IF(J318="","",IF(K318="each",J318,J318/100))</f>
        <v>0</v>
      </c>
      <c r="Q318" s="30">
        <f>IFERROR(IF(P318="","",P318*INDEX(Ingredients!$P$5:$P$304,MATCH(D318,Ingredients!$B$5:$B$304,0))),"")</f>
        <v>0</v>
      </c>
      <c r="R318" s="45">
        <f>IFERROR(IF(P318="","",P318*INDEX(Ingredients!$Q$5:$Q$304,MATCH(D318,Ingredients!$B$5:$B$304,0))),"")</f>
        <v>0</v>
      </c>
      <c r="S318" s="45">
        <f>IFERROR(IF(P318="","",P318*INDEX(Ingredients!$R$5:$R$304,MATCH(D318,Ingredients!$B$5:$B$304,0))),"")</f>
        <v>0</v>
      </c>
      <c r="T318" s="45">
        <f>IFERROR(IF(P318="","",P318*INDEX(Ingredients!$S$5:$S$304,MATCH(D318,Ingredients!$B$5:$B$304,0))),"")</f>
        <v>0</v>
      </c>
      <c r="U318" s="45">
        <f>IFERROR(IF(P318="","",P318*INDEX(Ingredients!$T$5:$T$304,MATCH(D318,Ingredients!$B$5:$B$304,0))),"")</f>
        <v>0</v>
      </c>
      <c r="V318" s="17">
        <f>IF(D318="","",IFERROR(INDEX(Ingredients!$W$5:$W$304,MATCH(D318,Ingredients!$B$5:$B$304,0)),"Add to Ingredients"))</f>
        <v>0</v>
      </c>
      <c r="W318" s="17">
        <f>IF(D318="","",IFERROR(INDEX(Ingredients!$C$5:$C$304,MATCH(D318,Ingredients!$B$5:$B$304,0)),"Add to Ingredients"))</f>
        <v>0</v>
      </c>
      <c r="X318" s="45">
        <f>IFERROR(INDEX(Recipes!$AT$5:$AT$204,MATCH(B318,Recipes!$A$5:$A$204,0)),0)</f>
        <v>0</v>
      </c>
      <c r="Y318" s="45">
        <f>IF(OR(J318="",X318=0),"",J318*X318)</f>
        <v>0</v>
      </c>
      <c r="Z318" s="17">
        <f>IF(D318="","",B318&amp;"#"&amp;COUNTIFS($B$5:B318,B318))</f>
        <v>0</v>
      </c>
      <c r="AA318" s="17">
        <f>IF(D318="","",B318&amp;"|"&amp;D318)</f>
        <v>0</v>
      </c>
      <c r="AB318" s="31">
        <f>IF(D318="","",IF(B318="","Add - which recipe?",IF(COUNTIFS(Ingredients!$B$5:$B$304,D318)=0,"Missing - not in the Ingredients tab",IF(E318="","Add - no quantity",IF(F318="","Add - no unit",IF(K318&lt;&gt;L318,"Check - recipe in "&amp;K318&amp;", priced in "&amp;L318,IF(COUNTIFS($AA$5:$AA$1204,AA318)&gt;1,"Duplicate - same ingredient twice","OK")))))))</f>
        <v>0</v>
      </c>
    </row>
    <row r="319" spans="1:28">
      <c r="A319" s="39">
        <f>IF(D319="","","RL-"&amp;TEXT(ROW()-4,"0000"))</f>
        <v>0</v>
      </c>
      <c r="C319" s="17">
        <f>IF(B319="","",IFERROR(INDEX(Recipes!$B$5:$B$204,MATCH(B319,Recipes!$A$5:$A$204,0)),"Not found"))</f>
        <v>0</v>
      </c>
      <c r="J319" s="45">
        <f>IF(E319="","",IFERROR(E319*INDEX(UnitFactors,MATCH(F319,UnitNames,0)),""))</f>
        <v>0</v>
      </c>
      <c r="K319" s="17">
        <f>IF(F319="","",IFERROR(INDEX(UnitBases,MATCH(F319,UnitNames,0)),"?"))</f>
        <v>0</v>
      </c>
      <c r="L319" s="17">
        <f>IF(D319="","",IFERROR(INDEX(Ingredients!$G$5:$G$304,MATCH(D319,Ingredients!$B$5:$B$304,0)),"Add to Ingredients"))</f>
        <v>0</v>
      </c>
      <c r="M319" s="25">
        <f>IF(D319="","",IFERROR(INDEX(Ingredients!$J$5:$J$304,MATCH(D319,Ingredients!$B$5:$B$304,0)),"Add to Ingredients"))</f>
        <v>0</v>
      </c>
      <c r="N319" s="25">
        <f>IF(OR(J319="",M319="",NOT(ISNUMBER(M319))),"",IF(K319&lt;&gt;L319,"",J319*M319))</f>
        <v>0</v>
      </c>
      <c r="O319" s="25">
        <f>IF(N319="","",IFERROR(N319/INDEX(Recipes!$G$5:$G$204,MATCH(B319,Recipes!$A$5:$A$204,0)),""))</f>
        <v>0</v>
      </c>
      <c r="P319" s="30">
        <f>IF(J319="","",IF(K319="each",J319,J319/100))</f>
        <v>0</v>
      </c>
      <c r="Q319" s="30">
        <f>IFERROR(IF(P319="","",P319*INDEX(Ingredients!$P$5:$P$304,MATCH(D319,Ingredients!$B$5:$B$304,0))),"")</f>
        <v>0</v>
      </c>
      <c r="R319" s="45">
        <f>IFERROR(IF(P319="","",P319*INDEX(Ingredients!$Q$5:$Q$304,MATCH(D319,Ingredients!$B$5:$B$304,0))),"")</f>
        <v>0</v>
      </c>
      <c r="S319" s="45">
        <f>IFERROR(IF(P319="","",P319*INDEX(Ingredients!$R$5:$R$304,MATCH(D319,Ingredients!$B$5:$B$304,0))),"")</f>
        <v>0</v>
      </c>
      <c r="T319" s="45">
        <f>IFERROR(IF(P319="","",P319*INDEX(Ingredients!$S$5:$S$304,MATCH(D319,Ingredients!$B$5:$B$304,0))),"")</f>
        <v>0</v>
      </c>
      <c r="U319" s="45">
        <f>IFERROR(IF(P319="","",P319*INDEX(Ingredients!$T$5:$T$304,MATCH(D319,Ingredients!$B$5:$B$304,0))),"")</f>
        <v>0</v>
      </c>
      <c r="V319" s="17">
        <f>IF(D319="","",IFERROR(INDEX(Ingredients!$W$5:$W$304,MATCH(D319,Ingredients!$B$5:$B$304,0)),"Add to Ingredients"))</f>
        <v>0</v>
      </c>
      <c r="W319" s="17">
        <f>IF(D319="","",IFERROR(INDEX(Ingredients!$C$5:$C$304,MATCH(D319,Ingredients!$B$5:$B$304,0)),"Add to Ingredients"))</f>
        <v>0</v>
      </c>
      <c r="X319" s="45">
        <f>IFERROR(INDEX(Recipes!$AT$5:$AT$204,MATCH(B319,Recipes!$A$5:$A$204,0)),0)</f>
        <v>0</v>
      </c>
      <c r="Y319" s="45">
        <f>IF(OR(J319="",X319=0),"",J319*X319)</f>
        <v>0</v>
      </c>
      <c r="Z319" s="17">
        <f>IF(D319="","",B319&amp;"#"&amp;COUNTIFS($B$5:B319,B319))</f>
        <v>0</v>
      </c>
      <c r="AA319" s="17">
        <f>IF(D319="","",B319&amp;"|"&amp;D319)</f>
        <v>0</v>
      </c>
      <c r="AB319" s="31">
        <f>IF(D319="","",IF(B319="","Add - which recipe?",IF(COUNTIFS(Ingredients!$B$5:$B$304,D319)=0,"Missing - not in the Ingredients tab",IF(E319="","Add - no quantity",IF(F319="","Add - no unit",IF(K319&lt;&gt;L319,"Check - recipe in "&amp;K319&amp;", priced in "&amp;L319,IF(COUNTIFS($AA$5:$AA$1204,AA319)&gt;1,"Duplicate - same ingredient twice","OK")))))))</f>
        <v>0</v>
      </c>
    </row>
    <row r="320" spans="1:28">
      <c r="A320" s="39">
        <f>IF(D320="","","RL-"&amp;TEXT(ROW()-4,"0000"))</f>
        <v>0</v>
      </c>
      <c r="C320" s="17">
        <f>IF(B320="","",IFERROR(INDEX(Recipes!$B$5:$B$204,MATCH(B320,Recipes!$A$5:$A$204,0)),"Not found"))</f>
        <v>0</v>
      </c>
      <c r="J320" s="45">
        <f>IF(E320="","",IFERROR(E320*INDEX(UnitFactors,MATCH(F320,UnitNames,0)),""))</f>
        <v>0</v>
      </c>
      <c r="K320" s="17">
        <f>IF(F320="","",IFERROR(INDEX(UnitBases,MATCH(F320,UnitNames,0)),"?"))</f>
        <v>0</v>
      </c>
      <c r="L320" s="17">
        <f>IF(D320="","",IFERROR(INDEX(Ingredients!$G$5:$G$304,MATCH(D320,Ingredients!$B$5:$B$304,0)),"Add to Ingredients"))</f>
        <v>0</v>
      </c>
      <c r="M320" s="25">
        <f>IF(D320="","",IFERROR(INDEX(Ingredients!$J$5:$J$304,MATCH(D320,Ingredients!$B$5:$B$304,0)),"Add to Ingredients"))</f>
        <v>0</v>
      </c>
      <c r="N320" s="25">
        <f>IF(OR(J320="",M320="",NOT(ISNUMBER(M320))),"",IF(K320&lt;&gt;L320,"",J320*M320))</f>
        <v>0</v>
      </c>
      <c r="O320" s="25">
        <f>IF(N320="","",IFERROR(N320/INDEX(Recipes!$G$5:$G$204,MATCH(B320,Recipes!$A$5:$A$204,0)),""))</f>
        <v>0</v>
      </c>
      <c r="P320" s="30">
        <f>IF(J320="","",IF(K320="each",J320,J320/100))</f>
        <v>0</v>
      </c>
      <c r="Q320" s="30">
        <f>IFERROR(IF(P320="","",P320*INDEX(Ingredients!$P$5:$P$304,MATCH(D320,Ingredients!$B$5:$B$304,0))),"")</f>
        <v>0</v>
      </c>
      <c r="R320" s="45">
        <f>IFERROR(IF(P320="","",P320*INDEX(Ingredients!$Q$5:$Q$304,MATCH(D320,Ingredients!$B$5:$B$304,0))),"")</f>
        <v>0</v>
      </c>
      <c r="S320" s="45">
        <f>IFERROR(IF(P320="","",P320*INDEX(Ingredients!$R$5:$R$304,MATCH(D320,Ingredients!$B$5:$B$304,0))),"")</f>
        <v>0</v>
      </c>
      <c r="T320" s="45">
        <f>IFERROR(IF(P320="","",P320*INDEX(Ingredients!$S$5:$S$304,MATCH(D320,Ingredients!$B$5:$B$304,0))),"")</f>
        <v>0</v>
      </c>
      <c r="U320" s="45">
        <f>IFERROR(IF(P320="","",P320*INDEX(Ingredients!$T$5:$T$304,MATCH(D320,Ingredients!$B$5:$B$304,0))),"")</f>
        <v>0</v>
      </c>
      <c r="V320" s="17">
        <f>IF(D320="","",IFERROR(INDEX(Ingredients!$W$5:$W$304,MATCH(D320,Ingredients!$B$5:$B$304,0)),"Add to Ingredients"))</f>
        <v>0</v>
      </c>
      <c r="W320" s="17">
        <f>IF(D320="","",IFERROR(INDEX(Ingredients!$C$5:$C$304,MATCH(D320,Ingredients!$B$5:$B$304,0)),"Add to Ingredients"))</f>
        <v>0</v>
      </c>
      <c r="X320" s="45">
        <f>IFERROR(INDEX(Recipes!$AT$5:$AT$204,MATCH(B320,Recipes!$A$5:$A$204,0)),0)</f>
        <v>0</v>
      </c>
      <c r="Y320" s="45">
        <f>IF(OR(J320="",X320=0),"",J320*X320)</f>
        <v>0</v>
      </c>
      <c r="Z320" s="17">
        <f>IF(D320="","",B320&amp;"#"&amp;COUNTIFS($B$5:B320,B320))</f>
        <v>0</v>
      </c>
      <c r="AA320" s="17">
        <f>IF(D320="","",B320&amp;"|"&amp;D320)</f>
        <v>0</v>
      </c>
      <c r="AB320" s="31">
        <f>IF(D320="","",IF(B320="","Add - which recipe?",IF(COUNTIFS(Ingredients!$B$5:$B$304,D320)=0,"Missing - not in the Ingredients tab",IF(E320="","Add - no quantity",IF(F320="","Add - no unit",IF(K320&lt;&gt;L320,"Check - recipe in "&amp;K320&amp;", priced in "&amp;L320,IF(COUNTIFS($AA$5:$AA$1204,AA320)&gt;1,"Duplicate - same ingredient twice","OK")))))))</f>
        <v>0</v>
      </c>
    </row>
    <row r="321" spans="1:28">
      <c r="A321" s="39">
        <f>IF(D321="","","RL-"&amp;TEXT(ROW()-4,"0000"))</f>
        <v>0</v>
      </c>
      <c r="C321" s="17">
        <f>IF(B321="","",IFERROR(INDEX(Recipes!$B$5:$B$204,MATCH(B321,Recipes!$A$5:$A$204,0)),"Not found"))</f>
        <v>0</v>
      </c>
      <c r="J321" s="45">
        <f>IF(E321="","",IFERROR(E321*INDEX(UnitFactors,MATCH(F321,UnitNames,0)),""))</f>
        <v>0</v>
      </c>
      <c r="K321" s="17">
        <f>IF(F321="","",IFERROR(INDEX(UnitBases,MATCH(F321,UnitNames,0)),"?"))</f>
        <v>0</v>
      </c>
      <c r="L321" s="17">
        <f>IF(D321="","",IFERROR(INDEX(Ingredients!$G$5:$G$304,MATCH(D321,Ingredients!$B$5:$B$304,0)),"Add to Ingredients"))</f>
        <v>0</v>
      </c>
      <c r="M321" s="25">
        <f>IF(D321="","",IFERROR(INDEX(Ingredients!$J$5:$J$304,MATCH(D321,Ingredients!$B$5:$B$304,0)),"Add to Ingredients"))</f>
        <v>0</v>
      </c>
      <c r="N321" s="25">
        <f>IF(OR(J321="",M321="",NOT(ISNUMBER(M321))),"",IF(K321&lt;&gt;L321,"",J321*M321))</f>
        <v>0</v>
      </c>
      <c r="O321" s="25">
        <f>IF(N321="","",IFERROR(N321/INDEX(Recipes!$G$5:$G$204,MATCH(B321,Recipes!$A$5:$A$204,0)),""))</f>
        <v>0</v>
      </c>
      <c r="P321" s="30">
        <f>IF(J321="","",IF(K321="each",J321,J321/100))</f>
        <v>0</v>
      </c>
      <c r="Q321" s="30">
        <f>IFERROR(IF(P321="","",P321*INDEX(Ingredients!$P$5:$P$304,MATCH(D321,Ingredients!$B$5:$B$304,0))),"")</f>
        <v>0</v>
      </c>
      <c r="R321" s="45">
        <f>IFERROR(IF(P321="","",P321*INDEX(Ingredients!$Q$5:$Q$304,MATCH(D321,Ingredients!$B$5:$B$304,0))),"")</f>
        <v>0</v>
      </c>
      <c r="S321" s="45">
        <f>IFERROR(IF(P321="","",P321*INDEX(Ingredients!$R$5:$R$304,MATCH(D321,Ingredients!$B$5:$B$304,0))),"")</f>
        <v>0</v>
      </c>
      <c r="T321" s="45">
        <f>IFERROR(IF(P321="","",P321*INDEX(Ingredients!$S$5:$S$304,MATCH(D321,Ingredients!$B$5:$B$304,0))),"")</f>
        <v>0</v>
      </c>
      <c r="U321" s="45">
        <f>IFERROR(IF(P321="","",P321*INDEX(Ingredients!$T$5:$T$304,MATCH(D321,Ingredients!$B$5:$B$304,0))),"")</f>
        <v>0</v>
      </c>
      <c r="V321" s="17">
        <f>IF(D321="","",IFERROR(INDEX(Ingredients!$W$5:$W$304,MATCH(D321,Ingredients!$B$5:$B$304,0)),"Add to Ingredients"))</f>
        <v>0</v>
      </c>
      <c r="W321" s="17">
        <f>IF(D321="","",IFERROR(INDEX(Ingredients!$C$5:$C$304,MATCH(D321,Ingredients!$B$5:$B$304,0)),"Add to Ingredients"))</f>
        <v>0</v>
      </c>
      <c r="X321" s="45">
        <f>IFERROR(INDEX(Recipes!$AT$5:$AT$204,MATCH(B321,Recipes!$A$5:$A$204,0)),0)</f>
        <v>0</v>
      </c>
      <c r="Y321" s="45">
        <f>IF(OR(J321="",X321=0),"",J321*X321)</f>
        <v>0</v>
      </c>
      <c r="Z321" s="17">
        <f>IF(D321="","",B321&amp;"#"&amp;COUNTIFS($B$5:B321,B321))</f>
        <v>0</v>
      </c>
      <c r="AA321" s="17">
        <f>IF(D321="","",B321&amp;"|"&amp;D321)</f>
        <v>0</v>
      </c>
      <c r="AB321" s="31">
        <f>IF(D321="","",IF(B321="","Add - which recipe?",IF(COUNTIFS(Ingredients!$B$5:$B$304,D321)=0,"Missing - not in the Ingredients tab",IF(E321="","Add - no quantity",IF(F321="","Add - no unit",IF(K321&lt;&gt;L321,"Check - recipe in "&amp;K321&amp;", priced in "&amp;L321,IF(COUNTIFS($AA$5:$AA$1204,AA321)&gt;1,"Duplicate - same ingredient twice","OK")))))))</f>
        <v>0</v>
      </c>
    </row>
    <row r="322" spans="1:28">
      <c r="A322" s="39">
        <f>IF(D322="","","RL-"&amp;TEXT(ROW()-4,"0000"))</f>
        <v>0</v>
      </c>
      <c r="C322" s="17">
        <f>IF(B322="","",IFERROR(INDEX(Recipes!$B$5:$B$204,MATCH(B322,Recipes!$A$5:$A$204,0)),"Not found"))</f>
        <v>0</v>
      </c>
      <c r="J322" s="45">
        <f>IF(E322="","",IFERROR(E322*INDEX(UnitFactors,MATCH(F322,UnitNames,0)),""))</f>
        <v>0</v>
      </c>
      <c r="K322" s="17">
        <f>IF(F322="","",IFERROR(INDEX(UnitBases,MATCH(F322,UnitNames,0)),"?"))</f>
        <v>0</v>
      </c>
      <c r="L322" s="17">
        <f>IF(D322="","",IFERROR(INDEX(Ingredients!$G$5:$G$304,MATCH(D322,Ingredients!$B$5:$B$304,0)),"Add to Ingredients"))</f>
        <v>0</v>
      </c>
      <c r="M322" s="25">
        <f>IF(D322="","",IFERROR(INDEX(Ingredients!$J$5:$J$304,MATCH(D322,Ingredients!$B$5:$B$304,0)),"Add to Ingredients"))</f>
        <v>0</v>
      </c>
      <c r="N322" s="25">
        <f>IF(OR(J322="",M322="",NOT(ISNUMBER(M322))),"",IF(K322&lt;&gt;L322,"",J322*M322))</f>
        <v>0</v>
      </c>
      <c r="O322" s="25">
        <f>IF(N322="","",IFERROR(N322/INDEX(Recipes!$G$5:$G$204,MATCH(B322,Recipes!$A$5:$A$204,0)),""))</f>
        <v>0</v>
      </c>
      <c r="P322" s="30">
        <f>IF(J322="","",IF(K322="each",J322,J322/100))</f>
        <v>0</v>
      </c>
      <c r="Q322" s="30">
        <f>IFERROR(IF(P322="","",P322*INDEX(Ingredients!$P$5:$P$304,MATCH(D322,Ingredients!$B$5:$B$304,0))),"")</f>
        <v>0</v>
      </c>
      <c r="R322" s="45">
        <f>IFERROR(IF(P322="","",P322*INDEX(Ingredients!$Q$5:$Q$304,MATCH(D322,Ingredients!$B$5:$B$304,0))),"")</f>
        <v>0</v>
      </c>
      <c r="S322" s="45">
        <f>IFERROR(IF(P322="","",P322*INDEX(Ingredients!$R$5:$R$304,MATCH(D322,Ingredients!$B$5:$B$304,0))),"")</f>
        <v>0</v>
      </c>
      <c r="T322" s="45">
        <f>IFERROR(IF(P322="","",P322*INDEX(Ingredients!$S$5:$S$304,MATCH(D322,Ingredients!$B$5:$B$304,0))),"")</f>
        <v>0</v>
      </c>
      <c r="U322" s="45">
        <f>IFERROR(IF(P322="","",P322*INDEX(Ingredients!$T$5:$T$304,MATCH(D322,Ingredients!$B$5:$B$304,0))),"")</f>
        <v>0</v>
      </c>
      <c r="V322" s="17">
        <f>IF(D322="","",IFERROR(INDEX(Ingredients!$W$5:$W$304,MATCH(D322,Ingredients!$B$5:$B$304,0)),"Add to Ingredients"))</f>
        <v>0</v>
      </c>
      <c r="W322" s="17">
        <f>IF(D322="","",IFERROR(INDEX(Ingredients!$C$5:$C$304,MATCH(D322,Ingredients!$B$5:$B$304,0)),"Add to Ingredients"))</f>
        <v>0</v>
      </c>
      <c r="X322" s="45">
        <f>IFERROR(INDEX(Recipes!$AT$5:$AT$204,MATCH(B322,Recipes!$A$5:$A$204,0)),0)</f>
        <v>0</v>
      </c>
      <c r="Y322" s="45">
        <f>IF(OR(J322="",X322=0),"",J322*X322)</f>
        <v>0</v>
      </c>
      <c r="Z322" s="17">
        <f>IF(D322="","",B322&amp;"#"&amp;COUNTIFS($B$5:B322,B322))</f>
        <v>0</v>
      </c>
      <c r="AA322" s="17">
        <f>IF(D322="","",B322&amp;"|"&amp;D322)</f>
        <v>0</v>
      </c>
      <c r="AB322" s="31">
        <f>IF(D322="","",IF(B322="","Add - which recipe?",IF(COUNTIFS(Ingredients!$B$5:$B$304,D322)=0,"Missing - not in the Ingredients tab",IF(E322="","Add - no quantity",IF(F322="","Add - no unit",IF(K322&lt;&gt;L322,"Check - recipe in "&amp;K322&amp;", priced in "&amp;L322,IF(COUNTIFS($AA$5:$AA$1204,AA322)&gt;1,"Duplicate - same ingredient twice","OK")))))))</f>
        <v>0</v>
      </c>
    </row>
    <row r="323" spans="1:28">
      <c r="A323" s="39">
        <f>IF(D323="","","RL-"&amp;TEXT(ROW()-4,"0000"))</f>
        <v>0</v>
      </c>
      <c r="C323" s="17">
        <f>IF(B323="","",IFERROR(INDEX(Recipes!$B$5:$B$204,MATCH(B323,Recipes!$A$5:$A$204,0)),"Not found"))</f>
        <v>0</v>
      </c>
      <c r="J323" s="45">
        <f>IF(E323="","",IFERROR(E323*INDEX(UnitFactors,MATCH(F323,UnitNames,0)),""))</f>
        <v>0</v>
      </c>
      <c r="K323" s="17">
        <f>IF(F323="","",IFERROR(INDEX(UnitBases,MATCH(F323,UnitNames,0)),"?"))</f>
        <v>0</v>
      </c>
      <c r="L323" s="17">
        <f>IF(D323="","",IFERROR(INDEX(Ingredients!$G$5:$G$304,MATCH(D323,Ingredients!$B$5:$B$304,0)),"Add to Ingredients"))</f>
        <v>0</v>
      </c>
      <c r="M323" s="25">
        <f>IF(D323="","",IFERROR(INDEX(Ingredients!$J$5:$J$304,MATCH(D323,Ingredients!$B$5:$B$304,0)),"Add to Ingredients"))</f>
        <v>0</v>
      </c>
      <c r="N323" s="25">
        <f>IF(OR(J323="",M323="",NOT(ISNUMBER(M323))),"",IF(K323&lt;&gt;L323,"",J323*M323))</f>
        <v>0</v>
      </c>
      <c r="O323" s="25">
        <f>IF(N323="","",IFERROR(N323/INDEX(Recipes!$G$5:$G$204,MATCH(B323,Recipes!$A$5:$A$204,0)),""))</f>
        <v>0</v>
      </c>
      <c r="P323" s="30">
        <f>IF(J323="","",IF(K323="each",J323,J323/100))</f>
        <v>0</v>
      </c>
      <c r="Q323" s="30">
        <f>IFERROR(IF(P323="","",P323*INDEX(Ingredients!$P$5:$P$304,MATCH(D323,Ingredients!$B$5:$B$304,0))),"")</f>
        <v>0</v>
      </c>
      <c r="R323" s="45">
        <f>IFERROR(IF(P323="","",P323*INDEX(Ingredients!$Q$5:$Q$304,MATCH(D323,Ingredients!$B$5:$B$304,0))),"")</f>
        <v>0</v>
      </c>
      <c r="S323" s="45">
        <f>IFERROR(IF(P323="","",P323*INDEX(Ingredients!$R$5:$R$304,MATCH(D323,Ingredients!$B$5:$B$304,0))),"")</f>
        <v>0</v>
      </c>
      <c r="T323" s="45">
        <f>IFERROR(IF(P323="","",P323*INDEX(Ingredients!$S$5:$S$304,MATCH(D323,Ingredients!$B$5:$B$304,0))),"")</f>
        <v>0</v>
      </c>
      <c r="U323" s="45">
        <f>IFERROR(IF(P323="","",P323*INDEX(Ingredients!$T$5:$T$304,MATCH(D323,Ingredients!$B$5:$B$304,0))),"")</f>
        <v>0</v>
      </c>
      <c r="V323" s="17">
        <f>IF(D323="","",IFERROR(INDEX(Ingredients!$W$5:$W$304,MATCH(D323,Ingredients!$B$5:$B$304,0)),"Add to Ingredients"))</f>
        <v>0</v>
      </c>
      <c r="W323" s="17">
        <f>IF(D323="","",IFERROR(INDEX(Ingredients!$C$5:$C$304,MATCH(D323,Ingredients!$B$5:$B$304,0)),"Add to Ingredients"))</f>
        <v>0</v>
      </c>
      <c r="X323" s="45">
        <f>IFERROR(INDEX(Recipes!$AT$5:$AT$204,MATCH(B323,Recipes!$A$5:$A$204,0)),0)</f>
        <v>0</v>
      </c>
      <c r="Y323" s="45">
        <f>IF(OR(J323="",X323=0),"",J323*X323)</f>
        <v>0</v>
      </c>
      <c r="Z323" s="17">
        <f>IF(D323="","",B323&amp;"#"&amp;COUNTIFS($B$5:B323,B323))</f>
        <v>0</v>
      </c>
      <c r="AA323" s="17">
        <f>IF(D323="","",B323&amp;"|"&amp;D323)</f>
        <v>0</v>
      </c>
      <c r="AB323" s="31">
        <f>IF(D323="","",IF(B323="","Add - which recipe?",IF(COUNTIFS(Ingredients!$B$5:$B$304,D323)=0,"Missing - not in the Ingredients tab",IF(E323="","Add - no quantity",IF(F323="","Add - no unit",IF(K323&lt;&gt;L323,"Check - recipe in "&amp;K323&amp;", priced in "&amp;L323,IF(COUNTIFS($AA$5:$AA$1204,AA323)&gt;1,"Duplicate - same ingredient twice","OK")))))))</f>
        <v>0</v>
      </c>
    </row>
    <row r="324" spans="1:28">
      <c r="A324" s="39">
        <f>IF(D324="","","RL-"&amp;TEXT(ROW()-4,"0000"))</f>
        <v>0</v>
      </c>
      <c r="C324" s="17">
        <f>IF(B324="","",IFERROR(INDEX(Recipes!$B$5:$B$204,MATCH(B324,Recipes!$A$5:$A$204,0)),"Not found"))</f>
        <v>0</v>
      </c>
      <c r="J324" s="45">
        <f>IF(E324="","",IFERROR(E324*INDEX(UnitFactors,MATCH(F324,UnitNames,0)),""))</f>
        <v>0</v>
      </c>
      <c r="K324" s="17">
        <f>IF(F324="","",IFERROR(INDEX(UnitBases,MATCH(F324,UnitNames,0)),"?"))</f>
        <v>0</v>
      </c>
      <c r="L324" s="17">
        <f>IF(D324="","",IFERROR(INDEX(Ingredients!$G$5:$G$304,MATCH(D324,Ingredients!$B$5:$B$304,0)),"Add to Ingredients"))</f>
        <v>0</v>
      </c>
      <c r="M324" s="25">
        <f>IF(D324="","",IFERROR(INDEX(Ingredients!$J$5:$J$304,MATCH(D324,Ingredients!$B$5:$B$304,0)),"Add to Ingredients"))</f>
        <v>0</v>
      </c>
      <c r="N324" s="25">
        <f>IF(OR(J324="",M324="",NOT(ISNUMBER(M324))),"",IF(K324&lt;&gt;L324,"",J324*M324))</f>
        <v>0</v>
      </c>
      <c r="O324" s="25">
        <f>IF(N324="","",IFERROR(N324/INDEX(Recipes!$G$5:$G$204,MATCH(B324,Recipes!$A$5:$A$204,0)),""))</f>
        <v>0</v>
      </c>
      <c r="P324" s="30">
        <f>IF(J324="","",IF(K324="each",J324,J324/100))</f>
        <v>0</v>
      </c>
      <c r="Q324" s="30">
        <f>IFERROR(IF(P324="","",P324*INDEX(Ingredients!$P$5:$P$304,MATCH(D324,Ingredients!$B$5:$B$304,0))),"")</f>
        <v>0</v>
      </c>
      <c r="R324" s="45">
        <f>IFERROR(IF(P324="","",P324*INDEX(Ingredients!$Q$5:$Q$304,MATCH(D324,Ingredients!$B$5:$B$304,0))),"")</f>
        <v>0</v>
      </c>
      <c r="S324" s="45">
        <f>IFERROR(IF(P324="","",P324*INDEX(Ingredients!$R$5:$R$304,MATCH(D324,Ingredients!$B$5:$B$304,0))),"")</f>
        <v>0</v>
      </c>
      <c r="T324" s="45">
        <f>IFERROR(IF(P324="","",P324*INDEX(Ingredients!$S$5:$S$304,MATCH(D324,Ingredients!$B$5:$B$304,0))),"")</f>
        <v>0</v>
      </c>
      <c r="U324" s="45">
        <f>IFERROR(IF(P324="","",P324*INDEX(Ingredients!$T$5:$T$304,MATCH(D324,Ingredients!$B$5:$B$304,0))),"")</f>
        <v>0</v>
      </c>
      <c r="V324" s="17">
        <f>IF(D324="","",IFERROR(INDEX(Ingredients!$W$5:$W$304,MATCH(D324,Ingredients!$B$5:$B$304,0)),"Add to Ingredients"))</f>
        <v>0</v>
      </c>
      <c r="W324" s="17">
        <f>IF(D324="","",IFERROR(INDEX(Ingredients!$C$5:$C$304,MATCH(D324,Ingredients!$B$5:$B$304,0)),"Add to Ingredients"))</f>
        <v>0</v>
      </c>
      <c r="X324" s="45">
        <f>IFERROR(INDEX(Recipes!$AT$5:$AT$204,MATCH(B324,Recipes!$A$5:$A$204,0)),0)</f>
        <v>0</v>
      </c>
      <c r="Y324" s="45">
        <f>IF(OR(J324="",X324=0),"",J324*X324)</f>
        <v>0</v>
      </c>
      <c r="Z324" s="17">
        <f>IF(D324="","",B324&amp;"#"&amp;COUNTIFS($B$5:B324,B324))</f>
        <v>0</v>
      </c>
      <c r="AA324" s="17">
        <f>IF(D324="","",B324&amp;"|"&amp;D324)</f>
        <v>0</v>
      </c>
      <c r="AB324" s="31">
        <f>IF(D324="","",IF(B324="","Add - which recipe?",IF(COUNTIFS(Ingredients!$B$5:$B$304,D324)=0,"Missing - not in the Ingredients tab",IF(E324="","Add - no quantity",IF(F324="","Add - no unit",IF(K324&lt;&gt;L324,"Check - recipe in "&amp;K324&amp;", priced in "&amp;L324,IF(COUNTIFS($AA$5:$AA$1204,AA324)&gt;1,"Duplicate - same ingredient twice","OK")))))))</f>
        <v>0</v>
      </c>
    </row>
    <row r="325" spans="1:28">
      <c r="A325" s="39">
        <f>IF(D325="","","RL-"&amp;TEXT(ROW()-4,"0000"))</f>
        <v>0</v>
      </c>
      <c r="C325" s="17">
        <f>IF(B325="","",IFERROR(INDEX(Recipes!$B$5:$B$204,MATCH(B325,Recipes!$A$5:$A$204,0)),"Not found"))</f>
        <v>0</v>
      </c>
      <c r="J325" s="45">
        <f>IF(E325="","",IFERROR(E325*INDEX(UnitFactors,MATCH(F325,UnitNames,0)),""))</f>
        <v>0</v>
      </c>
      <c r="K325" s="17">
        <f>IF(F325="","",IFERROR(INDEX(UnitBases,MATCH(F325,UnitNames,0)),"?"))</f>
        <v>0</v>
      </c>
      <c r="L325" s="17">
        <f>IF(D325="","",IFERROR(INDEX(Ingredients!$G$5:$G$304,MATCH(D325,Ingredients!$B$5:$B$304,0)),"Add to Ingredients"))</f>
        <v>0</v>
      </c>
      <c r="M325" s="25">
        <f>IF(D325="","",IFERROR(INDEX(Ingredients!$J$5:$J$304,MATCH(D325,Ingredients!$B$5:$B$304,0)),"Add to Ingredients"))</f>
        <v>0</v>
      </c>
      <c r="N325" s="25">
        <f>IF(OR(J325="",M325="",NOT(ISNUMBER(M325))),"",IF(K325&lt;&gt;L325,"",J325*M325))</f>
        <v>0</v>
      </c>
      <c r="O325" s="25">
        <f>IF(N325="","",IFERROR(N325/INDEX(Recipes!$G$5:$G$204,MATCH(B325,Recipes!$A$5:$A$204,0)),""))</f>
        <v>0</v>
      </c>
      <c r="P325" s="30">
        <f>IF(J325="","",IF(K325="each",J325,J325/100))</f>
        <v>0</v>
      </c>
      <c r="Q325" s="30">
        <f>IFERROR(IF(P325="","",P325*INDEX(Ingredients!$P$5:$P$304,MATCH(D325,Ingredients!$B$5:$B$304,0))),"")</f>
        <v>0</v>
      </c>
      <c r="R325" s="45">
        <f>IFERROR(IF(P325="","",P325*INDEX(Ingredients!$Q$5:$Q$304,MATCH(D325,Ingredients!$B$5:$B$304,0))),"")</f>
        <v>0</v>
      </c>
      <c r="S325" s="45">
        <f>IFERROR(IF(P325="","",P325*INDEX(Ingredients!$R$5:$R$304,MATCH(D325,Ingredients!$B$5:$B$304,0))),"")</f>
        <v>0</v>
      </c>
      <c r="T325" s="45">
        <f>IFERROR(IF(P325="","",P325*INDEX(Ingredients!$S$5:$S$304,MATCH(D325,Ingredients!$B$5:$B$304,0))),"")</f>
        <v>0</v>
      </c>
      <c r="U325" s="45">
        <f>IFERROR(IF(P325="","",P325*INDEX(Ingredients!$T$5:$T$304,MATCH(D325,Ingredients!$B$5:$B$304,0))),"")</f>
        <v>0</v>
      </c>
      <c r="V325" s="17">
        <f>IF(D325="","",IFERROR(INDEX(Ingredients!$W$5:$W$304,MATCH(D325,Ingredients!$B$5:$B$304,0)),"Add to Ingredients"))</f>
        <v>0</v>
      </c>
      <c r="W325" s="17">
        <f>IF(D325="","",IFERROR(INDEX(Ingredients!$C$5:$C$304,MATCH(D325,Ingredients!$B$5:$B$304,0)),"Add to Ingredients"))</f>
        <v>0</v>
      </c>
      <c r="X325" s="45">
        <f>IFERROR(INDEX(Recipes!$AT$5:$AT$204,MATCH(B325,Recipes!$A$5:$A$204,0)),0)</f>
        <v>0</v>
      </c>
      <c r="Y325" s="45">
        <f>IF(OR(J325="",X325=0),"",J325*X325)</f>
        <v>0</v>
      </c>
      <c r="Z325" s="17">
        <f>IF(D325="","",B325&amp;"#"&amp;COUNTIFS($B$5:B325,B325))</f>
        <v>0</v>
      </c>
      <c r="AA325" s="17">
        <f>IF(D325="","",B325&amp;"|"&amp;D325)</f>
        <v>0</v>
      </c>
      <c r="AB325" s="31">
        <f>IF(D325="","",IF(B325="","Add - which recipe?",IF(COUNTIFS(Ingredients!$B$5:$B$304,D325)=0,"Missing - not in the Ingredients tab",IF(E325="","Add - no quantity",IF(F325="","Add - no unit",IF(K325&lt;&gt;L325,"Check - recipe in "&amp;K325&amp;", priced in "&amp;L325,IF(COUNTIFS($AA$5:$AA$1204,AA325)&gt;1,"Duplicate - same ingredient twice","OK")))))))</f>
        <v>0</v>
      </c>
    </row>
    <row r="326" spans="1:28">
      <c r="A326" s="39">
        <f>IF(D326="","","RL-"&amp;TEXT(ROW()-4,"0000"))</f>
        <v>0</v>
      </c>
      <c r="C326" s="17">
        <f>IF(B326="","",IFERROR(INDEX(Recipes!$B$5:$B$204,MATCH(B326,Recipes!$A$5:$A$204,0)),"Not found"))</f>
        <v>0</v>
      </c>
      <c r="J326" s="45">
        <f>IF(E326="","",IFERROR(E326*INDEX(UnitFactors,MATCH(F326,UnitNames,0)),""))</f>
        <v>0</v>
      </c>
      <c r="K326" s="17">
        <f>IF(F326="","",IFERROR(INDEX(UnitBases,MATCH(F326,UnitNames,0)),"?"))</f>
        <v>0</v>
      </c>
      <c r="L326" s="17">
        <f>IF(D326="","",IFERROR(INDEX(Ingredients!$G$5:$G$304,MATCH(D326,Ingredients!$B$5:$B$304,0)),"Add to Ingredients"))</f>
        <v>0</v>
      </c>
      <c r="M326" s="25">
        <f>IF(D326="","",IFERROR(INDEX(Ingredients!$J$5:$J$304,MATCH(D326,Ingredients!$B$5:$B$304,0)),"Add to Ingredients"))</f>
        <v>0</v>
      </c>
      <c r="N326" s="25">
        <f>IF(OR(J326="",M326="",NOT(ISNUMBER(M326))),"",IF(K326&lt;&gt;L326,"",J326*M326))</f>
        <v>0</v>
      </c>
      <c r="O326" s="25">
        <f>IF(N326="","",IFERROR(N326/INDEX(Recipes!$G$5:$G$204,MATCH(B326,Recipes!$A$5:$A$204,0)),""))</f>
        <v>0</v>
      </c>
      <c r="P326" s="30">
        <f>IF(J326="","",IF(K326="each",J326,J326/100))</f>
        <v>0</v>
      </c>
      <c r="Q326" s="30">
        <f>IFERROR(IF(P326="","",P326*INDEX(Ingredients!$P$5:$P$304,MATCH(D326,Ingredients!$B$5:$B$304,0))),"")</f>
        <v>0</v>
      </c>
      <c r="R326" s="45">
        <f>IFERROR(IF(P326="","",P326*INDEX(Ingredients!$Q$5:$Q$304,MATCH(D326,Ingredients!$B$5:$B$304,0))),"")</f>
        <v>0</v>
      </c>
      <c r="S326" s="45">
        <f>IFERROR(IF(P326="","",P326*INDEX(Ingredients!$R$5:$R$304,MATCH(D326,Ingredients!$B$5:$B$304,0))),"")</f>
        <v>0</v>
      </c>
      <c r="T326" s="45">
        <f>IFERROR(IF(P326="","",P326*INDEX(Ingredients!$S$5:$S$304,MATCH(D326,Ingredients!$B$5:$B$304,0))),"")</f>
        <v>0</v>
      </c>
      <c r="U326" s="45">
        <f>IFERROR(IF(P326="","",P326*INDEX(Ingredients!$T$5:$T$304,MATCH(D326,Ingredients!$B$5:$B$304,0))),"")</f>
        <v>0</v>
      </c>
      <c r="V326" s="17">
        <f>IF(D326="","",IFERROR(INDEX(Ingredients!$W$5:$W$304,MATCH(D326,Ingredients!$B$5:$B$304,0)),"Add to Ingredients"))</f>
        <v>0</v>
      </c>
      <c r="W326" s="17">
        <f>IF(D326="","",IFERROR(INDEX(Ingredients!$C$5:$C$304,MATCH(D326,Ingredients!$B$5:$B$304,0)),"Add to Ingredients"))</f>
        <v>0</v>
      </c>
      <c r="X326" s="45">
        <f>IFERROR(INDEX(Recipes!$AT$5:$AT$204,MATCH(B326,Recipes!$A$5:$A$204,0)),0)</f>
        <v>0</v>
      </c>
      <c r="Y326" s="45">
        <f>IF(OR(J326="",X326=0),"",J326*X326)</f>
        <v>0</v>
      </c>
      <c r="Z326" s="17">
        <f>IF(D326="","",B326&amp;"#"&amp;COUNTIFS($B$5:B326,B326))</f>
        <v>0</v>
      </c>
      <c r="AA326" s="17">
        <f>IF(D326="","",B326&amp;"|"&amp;D326)</f>
        <v>0</v>
      </c>
      <c r="AB326" s="31">
        <f>IF(D326="","",IF(B326="","Add - which recipe?",IF(COUNTIFS(Ingredients!$B$5:$B$304,D326)=0,"Missing - not in the Ingredients tab",IF(E326="","Add - no quantity",IF(F326="","Add - no unit",IF(K326&lt;&gt;L326,"Check - recipe in "&amp;K326&amp;", priced in "&amp;L326,IF(COUNTIFS($AA$5:$AA$1204,AA326)&gt;1,"Duplicate - same ingredient twice","OK")))))))</f>
        <v>0</v>
      </c>
    </row>
    <row r="327" spans="1:28">
      <c r="A327" s="39">
        <f>IF(D327="","","RL-"&amp;TEXT(ROW()-4,"0000"))</f>
        <v>0</v>
      </c>
      <c r="C327" s="17">
        <f>IF(B327="","",IFERROR(INDEX(Recipes!$B$5:$B$204,MATCH(B327,Recipes!$A$5:$A$204,0)),"Not found"))</f>
        <v>0</v>
      </c>
      <c r="J327" s="45">
        <f>IF(E327="","",IFERROR(E327*INDEX(UnitFactors,MATCH(F327,UnitNames,0)),""))</f>
        <v>0</v>
      </c>
      <c r="K327" s="17">
        <f>IF(F327="","",IFERROR(INDEX(UnitBases,MATCH(F327,UnitNames,0)),"?"))</f>
        <v>0</v>
      </c>
      <c r="L327" s="17">
        <f>IF(D327="","",IFERROR(INDEX(Ingredients!$G$5:$G$304,MATCH(D327,Ingredients!$B$5:$B$304,0)),"Add to Ingredients"))</f>
        <v>0</v>
      </c>
      <c r="M327" s="25">
        <f>IF(D327="","",IFERROR(INDEX(Ingredients!$J$5:$J$304,MATCH(D327,Ingredients!$B$5:$B$304,0)),"Add to Ingredients"))</f>
        <v>0</v>
      </c>
      <c r="N327" s="25">
        <f>IF(OR(J327="",M327="",NOT(ISNUMBER(M327))),"",IF(K327&lt;&gt;L327,"",J327*M327))</f>
        <v>0</v>
      </c>
      <c r="O327" s="25">
        <f>IF(N327="","",IFERROR(N327/INDEX(Recipes!$G$5:$G$204,MATCH(B327,Recipes!$A$5:$A$204,0)),""))</f>
        <v>0</v>
      </c>
      <c r="P327" s="30">
        <f>IF(J327="","",IF(K327="each",J327,J327/100))</f>
        <v>0</v>
      </c>
      <c r="Q327" s="30">
        <f>IFERROR(IF(P327="","",P327*INDEX(Ingredients!$P$5:$P$304,MATCH(D327,Ingredients!$B$5:$B$304,0))),"")</f>
        <v>0</v>
      </c>
      <c r="R327" s="45">
        <f>IFERROR(IF(P327="","",P327*INDEX(Ingredients!$Q$5:$Q$304,MATCH(D327,Ingredients!$B$5:$B$304,0))),"")</f>
        <v>0</v>
      </c>
      <c r="S327" s="45">
        <f>IFERROR(IF(P327="","",P327*INDEX(Ingredients!$R$5:$R$304,MATCH(D327,Ingredients!$B$5:$B$304,0))),"")</f>
        <v>0</v>
      </c>
      <c r="T327" s="45">
        <f>IFERROR(IF(P327="","",P327*INDEX(Ingredients!$S$5:$S$304,MATCH(D327,Ingredients!$B$5:$B$304,0))),"")</f>
        <v>0</v>
      </c>
      <c r="U327" s="45">
        <f>IFERROR(IF(P327="","",P327*INDEX(Ingredients!$T$5:$T$304,MATCH(D327,Ingredients!$B$5:$B$304,0))),"")</f>
        <v>0</v>
      </c>
      <c r="V327" s="17">
        <f>IF(D327="","",IFERROR(INDEX(Ingredients!$W$5:$W$304,MATCH(D327,Ingredients!$B$5:$B$304,0)),"Add to Ingredients"))</f>
        <v>0</v>
      </c>
      <c r="W327" s="17">
        <f>IF(D327="","",IFERROR(INDEX(Ingredients!$C$5:$C$304,MATCH(D327,Ingredients!$B$5:$B$304,0)),"Add to Ingredients"))</f>
        <v>0</v>
      </c>
      <c r="X327" s="45">
        <f>IFERROR(INDEX(Recipes!$AT$5:$AT$204,MATCH(B327,Recipes!$A$5:$A$204,0)),0)</f>
        <v>0</v>
      </c>
      <c r="Y327" s="45">
        <f>IF(OR(J327="",X327=0),"",J327*X327)</f>
        <v>0</v>
      </c>
      <c r="Z327" s="17">
        <f>IF(D327="","",B327&amp;"#"&amp;COUNTIFS($B$5:B327,B327))</f>
        <v>0</v>
      </c>
      <c r="AA327" s="17">
        <f>IF(D327="","",B327&amp;"|"&amp;D327)</f>
        <v>0</v>
      </c>
      <c r="AB327" s="31">
        <f>IF(D327="","",IF(B327="","Add - which recipe?",IF(COUNTIFS(Ingredients!$B$5:$B$304,D327)=0,"Missing - not in the Ingredients tab",IF(E327="","Add - no quantity",IF(F327="","Add - no unit",IF(K327&lt;&gt;L327,"Check - recipe in "&amp;K327&amp;", priced in "&amp;L327,IF(COUNTIFS($AA$5:$AA$1204,AA327)&gt;1,"Duplicate - same ingredient twice","OK")))))))</f>
        <v>0</v>
      </c>
    </row>
    <row r="328" spans="1:28">
      <c r="A328" s="39">
        <f>IF(D328="","","RL-"&amp;TEXT(ROW()-4,"0000"))</f>
        <v>0</v>
      </c>
      <c r="C328" s="17">
        <f>IF(B328="","",IFERROR(INDEX(Recipes!$B$5:$B$204,MATCH(B328,Recipes!$A$5:$A$204,0)),"Not found"))</f>
        <v>0</v>
      </c>
      <c r="J328" s="45">
        <f>IF(E328="","",IFERROR(E328*INDEX(UnitFactors,MATCH(F328,UnitNames,0)),""))</f>
        <v>0</v>
      </c>
      <c r="K328" s="17">
        <f>IF(F328="","",IFERROR(INDEX(UnitBases,MATCH(F328,UnitNames,0)),"?"))</f>
        <v>0</v>
      </c>
      <c r="L328" s="17">
        <f>IF(D328="","",IFERROR(INDEX(Ingredients!$G$5:$G$304,MATCH(D328,Ingredients!$B$5:$B$304,0)),"Add to Ingredients"))</f>
        <v>0</v>
      </c>
      <c r="M328" s="25">
        <f>IF(D328="","",IFERROR(INDEX(Ingredients!$J$5:$J$304,MATCH(D328,Ingredients!$B$5:$B$304,0)),"Add to Ingredients"))</f>
        <v>0</v>
      </c>
      <c r="N328" s="25">
        <f>IF(OR(J328="",M328="",NOT(ISNUMBER(M328))),"",IF(K328&lt;&gt;L328,"",J328*M328))</f>
        <v>0</v>
      </c>
      <c r="O328" s="25">
        <f>IF(N328="","",IFERROR(N328/INDEX(Recipes!$G$5:$G$204,MATCH(B328,Recipes!$A$5:$A$204,0)),""))</f>
        <v>0</v>
      </c>
      <c r="P328" s="30">
        <f>IF(J328="","",IF(K328="each",J328,J328/100))</f>
        <v>0</v>
      </c>
      <c r="Q328" s="30">
        <f>IFERROR(IF(P328="","",P328*INDEX(Ingredients!$P$5:$P$304,MATCH(D328,Ingredients!$B$5:$B$304,0))),"")</f>
        <v>0</v>
      </c>
      <c r="R328" s="45">
        <f>IFERROR(IF(P328="","",P328*INDEX(Ingredients!$Q$5:$Q$304,MATCH(D328,Ingredients!$B$5:$B$304,0))),"")</f>
        <v>0</v>
      </c>
      <c r="S328" s="45">
        <f>IFERROR(IF(P328="","",P328*INDEX(Ingredients!$R$5:$R$304,MATCH(D328,Ingredients!$B$5:$B$304,0))),"")</f>
        <v>0</v>
      </c>
      <c r="T328" s="45">
        <f>IFERROR(IF(P328="","",P328*INDEX(Ingredients!$S$5:$S$304,MATCH(D328,Ingredients!$B$5:$B$304,0))),"")</f>
        <v>0</v>
      </c>
      <c r="U328" s="45">
        <f>IFERROR(IF(P328="","",P328*INDEX(Ingredients!$T$5:$T$304,MATCH(D328,Ingredients!$B$5:$B$304,0))),"")</f>
        <v>0</v>
      </c>
      <c r="V328" s="17">
        <f>IF(D328="","",IFERROR(INDEX(Ingredients!$W$5:$W$304,MATCH(D328,Ingredients!$B$5:$B$304,0)),"Add to Ingredients"))</f>
        <v>0</v>
      </c>
      <c r="W328" s="17">
        <f>IF(D328="","",IFERROR(INDEX(Ingredients!$C$5:$C$304,MATCH(D328,Ingredients!$B$5:$B$304,0)),"Add to Ingredients"))</f>
        <v>0</v>
      </c>
      <c r="X328" s="45">
        <f>IFERROR(INDEX(Recipes!$AT$5:$AT$204,MATCH(B328,Recipes!$A$5:$A$204,0)),0)</f>
        <v>0</v>
      </c>
      <c r="Y328" s="45">
        <f>IF(OR(J328="",X328=0),"",J328*X328)</f>
        <v>0</v>
      </c>
      <c r="Z328" s="17">
        <f>IF(D328="","",B328&amp;"#"&amp;COUNTIFS($B$5:B328,B328))</f>
        <v>0</v>
      </c>
      <c r="AA328" s="17">
        <f>IF(D328="","",B328&amp;"|"&amp;D328)</f>
        <v>0</v>
      </c>
      <c r="AB328" s="31">
        <f>IF(D328="","",IF(B328="","Add - which recipe?",IF(COUNTIFS(Ingredients!$B$5:$B$304,D328)=0,"Missing - not in the Ingredients tab",IF(E328="","Add - no quantity",IF(F328="","Add - no unit",IF(K328&lt;&gt;L328,"Check - recipe in "&amp;K328&amp;", priced in "&amp;L328,IF(COUNTIFS($AA$5:$AA$1204,AA328)&gt;1,"Duplicate - same ingredient twice","OK")))))))</f>
        <v>0</v>
      </c>
    </row>
    <row r="329" spans="1:28">
      <c r="A329" s="39">
        <f>IF(D329="","","RL-"&amp;TEXT(ROW()-4,"0000"))</f>
        <v>0</v>
      </c>
      <c r="C329" s="17">
        <f>IF(B329="","",IFERROR(INDEX(Recipes!$B$5:$B$204,MATCH(B329,Recipes!$A$5:$A$204,0)),"Not found"))</f>
        <v>0</v>
      </c>
      <c r="J329" s="45">
        <f>IF(E329="","",IFERROR(E329*INDEX(UnitFactors,MATCH(F329,UnitNames,0)),""))</f>
        <v>0</v>
      </c>
      <c r="K329" s="17">
        <f>IF(F329="","",IFERROR(INDEX(UnitBases,MATCH(F329,UnitNames,0)),"?"))</f>
        <v>0</v>
      </c>
      <c r="L329" s="17">
        <f>IF(D329="","",IFERROR(INDEX(Ingredients!$G$5:$G$304,MATCH(D329,Ingredients!$B$5:$B$304,0)),"Add to Ingredients"))</f>
        <v>0</v>
      </c>
      <c r="M329" s="25">
        <f>IF(D329="","",IFERROR(INDEX(Ingredients!$J$5:$J$304,MATCH(D329,Ingredients!$B$5:$B$304,0)),"Add to Ingredients"))</f>
        <v>0</v>
      </c>
      <c r="N329" s="25">
        <f>IF(OR(J329="",M329="",NOT(ISNUMBER(M329))),"",IF(K329&lt;&gt;L329,"",J329*M329))</f>
        <v>0</v>
      </c>
      <c r="O329" s="25">
        <f>IF(N329="","",IFERROR(N329/INDEX(Recipes!$G$5:$G$204,MATCH(B329,Recipes!$A$5:$A$204,0)),""))</f>
        <v>0</v>
      </c>
      <c r="P329" s="30">
        <f>IF(J329="","",IF(K329="each",J329,J329/100))</f>
        <v>0</v>
      </c>
      <c r="Q329" s="30">
        <f>IFERROR(IF(P329="","",P329*INDEX(Ingredients!$P$5:$P$304,MATCH(D329,Ingredients!$B$5:$B$304,0))),"")</f>
        <v>0</v>
      </c>
      <c r="R329" s="45">
        <f>IFERROR(IF(P329="","",P329*INDEX(Ingredients!$Q$5:$Q$304,MATCH(D329,Ingredients!$B$5:$B$304,0))),"")</f>
        <v>0</v>
      </c>
      <c r="S329" s="45">
        <f>IFERROR(IF(P329="","",P329*INDEX(Ingredients!$R$5:$R$304,MATCH(D329,Ingredients!$B$5:$B$304,0))),"")</f>
        <v>0</v>
      </c>
      <c r="T329" s="45">
        <f>IFERROR(IF(P329="","",P329*INDEX(Ingredients!$S$5:$S$304,MATCH(D329,Ingredients!$B$5:$B$304,0))),"")</f>
        <v>0</v>
      </c>
      <c r="U329" s="45">
        <f>IFERROR(IF(P329="","",P329*INDEX(Ingredients!$T$5:$T$304,MATCH(D329,Ingredients!$B$5:$B$304,0))),"")</f>
        <v>0</v>
      </c>
      <c r="V329" s="17">
        <f>IF(D329="","",IFERROR(INDEX(Ingredients!$W$5:$W$304,MATCH(D329,Ingredients!$B$5:$B$304,0)),"Add to Ingredients"))</f>
        <v>0</v>
      </c>
      <c r="W329" s="17">
        <f>IF(D329="","",IFERROR(INDEX(Ingredients!$C$5:$C$304,MATCH(D329,Ingredients!$B$5:$B$304,0)),"Add to Ingredients"))</f>
        <v>0</v>
      </c>
      <c r="X329" s="45">
        <f>IFERROR(INDEX(Recipes!$AT$5:$AT$204,MATCH(B329,Recipes!$A$5:$A$204,0)),0)</f>
        <v>0</v>
      </c>
      <c r="Y329" s="45">
        <f>IF(OR(J329="",X329=0),"",J329*X329)</f>
        <v>0</v>
      </c>
      <c r="Z329" s="17">
        <f>IF(D329="","",B329&amp;"#"&amp;COUNTIFS($B$5:B329,B329))</f>
        <v>0</v>
      </c>
      <c r="AA329" s="17">
        <f>IF(D329="","",B329&amp;"|"&amp;D329)</f>
        <v>0</v>
      </c>
      <c r="AB329" s="31">
        <f>IF(D329="","",IF(B329="","Add - which recipe?",IF(COUNTIFS(Ingredients!$B$5:$B$304,D329)=0,"Missing - not in the Ingredients tab",IF(E329="","Add - no quantity",IF(F329="","Add - no unit",IF(K329&lt;&gt;L329,"Check - recipe in "&amp;K329&amp;", priced in "&amp;L329,IF(COUNTIFS($AA$5:$AA$1204,AA329)&gt;1,"Duplicate - same ingredient twice","OK")))))))</f>
        <v>0</v>
      </c>
    </row>
    <row r="330" spans="1:28">
      <c r="A330" s="39">
        <f>IF(D330="","","RL-"&amp;TEXT(ROW()-4,"0000"))</f>
        <v>0</v>
      </c>
      <c r="C330" s="17">
        <f>IF(B330="","",IFERROR(INDEX(Recipes!$B$5:$B$204,MATCH(B330,Recipes!$A$5:$A$204,0)),"Not found"))</f>
        <v>0</v>
      </c>
      <c r="J330" s="45">
        <f>IF(E330="","",IFERROR(E330*INDEX(UnitFactors,MATCH(F330,UnitNames,0)),""))</f>
        <v>0</v>
      </c>
      <c r="K330" s="17">
        <f>IF(F330="","",IFERROR(INDEX(UnitBases,MATCH(F330,UnitNames,0)),"?"))</f>
        <v>0</v>
      </c>
      <c r="L330" s="17">
        <f>IF(D330="","",IFERROR(INDEX(Ingredients!$G$5:$G$304,MATCH(D330,Ingredients!$B$5:$B$304,0)),"Add to Ingredients"))</f>
        <v>0</v>
      </c>
      <c r="M330" s="25">
        <f>IF(D330="","",IFERROR(INDEX(Ingredients!$J$5:$J$304,MATCH(D330,Ingredients!$B$5:$B$304,0)),"Add to Ingredients"))</f>
        <v>0</v>
      </c>
      <c r="N330" s="25">
        <f>IF(OR(J330="",M330="",NOT(ISNUMBER(M330))),"",IF(K330&lt;&gt;L330,"",J330*M330))</f>
        <v>0</v>
      </c>
      <c r="O330" s="25">
        <f>IF(N330="","",IFERROR(N330/INDEX(Recipes!$G$5:$G$204,MATCH(B330,Recipes!$A$5:$A$204,0)),""))</f>
        <v>0</v>
      </c>
      <c r="P330" s="30">
        <f>IF(J330="","",IF(K330="each",J330,J330/100))</f>
        <v>0</v>
      </c>
      <c r="Q330" s="30">
        <f>IFERROR(IF(P330="","",P330*INDEX(Ingredients!$P$5:$P$304,MATCH(D330,Ingredients!$B$5:$B$304,0))),"")</f>
        <v>0</v>
      </c>
      <c r="R330" s="45">
        <f>IFERROR(IF(P330="","",P330*INDEX(Ingredients!$Q$5:$Q$304,MATCH(D330,Ingredients!$B$5:$B$304,0))),"")</f>
        <v>0</v>
      </c>
      <c r="S330" s="45">
        <f>IFERROR(IF(P330="","",P330*INDEX(Ingredients!$R$5:$R$304,MATCH(D330,Ingredients!$B$5:$B$304,0))),"")</f>
        <v>0</v>
      </c>
      <c r="T330" s="45">
        <f>IFERROR(IF(P330="","",P330*INDEX(Ingredients!$S$5:$S$304,MATCH(D330,Ingredients!$B$5:$B$304,0))),"")</f>
        <v>0</v>
      </c>
      <c r="U330" s="45">
        <f>IFERROR(IF(P330="","",P330*INDEX(Ingredients!$T$5:$T$304,MATCH(D330,Ingredients!$B$5:$B$304,0))),"")</f>
        <v>0</v>
      </c>
      <c r="V330" s="17">
        <f>IF(D330="","",IFERROR(INDEX(Ingredients!$W$5:$W$304,MATCH(D330,Ingredients!$B$5:$B$304,0)),"Add to Ingredients"))</f>
        <v>0</v>
      </c>
      <c r="W330" s="17">
        <f>IF(D330="","",IFERROR(INDEX(Ingredients!$C$5:$C$304,MATCH(D330,Ingredients!$B$5:$B$304,0)),"Add to Ingredients"))</f>
        <v>0</v>
      </c>
      <c r="X330" s="45">
        <f>IFERROR(INDEX(Recipes!$AT$5:$AT$204,MATCH(B330,Recipes!$A$5:$A$204,0)),0)</f>
        <v>0</v>
      </c>
      <c r="Y330" s="45">
        <f>IF(OR(J330="",X330=0),"",J330*X330)</f>
        <v>0</v>
      </c>
      <c r="Z330" s="17">
        <f>IF(D330="","",B330&amp;"#"&amp;COUNTIFS($B$5:B330,B330))</f>
        <v>0</v>
      </c>
      <c r="AA330" s="17">
        <f>IF(D330="","",B330&amp;"|"&amp;D330)</f>
        <v>0</v>
      </c>
      <c r="AB330" s="31">
        <f>IF(D330="","",IF(B330="","Add - which recipe?",IF(COUNTIFS(Ingredients!$B$5:$B$304,D330)=0,"Missing - not in the Ingredients tab",IF(E330="","Add - no quantity",IF(F330="","Add - no unit",IF(K330&lt;&gt;L330,"Check - recipe in "&amp;K330&amp;", priced in "&amp;L330,IF(COUNTIFS($AA$5:$AA$1204,AA330)&gt;1,"Duplicate - same ingredient twice","OK")))))))</f>
        <v>0</v>
      </c>
    </row>
    <row r="331" spans="1:28">
      <c r="A331" s="39">
        <f>IF(D331="","","RL-"&amp;TEXT(ROW()-4,"0000"))</f>
        <v>0</v>
      </c>
      <c r="C331" s="17">
        <f>IF(B331="","",IFERROR(INDEX(Recipes!$B$5:$B$204,MATCH(B331,Recipes!$A$5:$A$204,0)),"Not found"))</f>
        <v>0</v>
      </c>
      <c r="J331" s="45">
        <f>IF(E331="","",IFERROR(E331*INDEX(UnitFactors,MATCH(F331,UnitNames,0)),""))</f>
        <v>0</v>
      </c>
      <c r="K331" s="17">
        <f>IF(F331="","",IFERROR(INDEX(UnitBases,MATCH(F331,UnitNames,0)),"?"))</f>
        <v>0</v>
      </c>
      <c r="L331" s="17">
        <f>IF(D331="","",IFERROR(INDEX(Ingredients!$G$5:$G$304,MATCH(D331,Ingredients!$B$5:$B$304,0)),"Add to Ingredients"))</f>
        <v>0</v>
      </c>
      <c r="M331" s="25">
        <f>IF(D331="","",IFERROR(INDEX(Ingredients!$J$5:$J$304,MATCH(D331,Ingredients!$B$5:$B$304,0)),"Add to Ingredients"))</f>
        <v>0</v>
      </c>
      <c r="N331" s="25">
        <f>IF(OR(J331="",M331="",NOT(ISNUMBER(M331))),"",IF(K331&lt;&gt;L331,"",J331*M331))</f>
        <v>0</v>
      </c>
      <c r="O331" s="25">
        <f>IF(N331="","",IFERROR(N331/INDEX(Recipes!$G$5:$G$204,MATCH(B331,Recipes!$A$5:$A$204,0)),""))</f>
        <v>0</v>
      </c>
      <c r="P331" s="30">
        <f>IF(J331="","",IF(K331="each",J331,J331/100))</f>
        <v>0</v>
      </c>
      <c r="Q331" s="30">
        <f>IFERROR(IF(P331="","",P331*INDEX(Ingredients!$P$5:$P$304,MATCH(D331,Ingredients!$B$5:$B$304,0))),"")</f>
        <v>0</v>
      </c>
      <c r="R331" s="45">
        <f>IFERROR(IF(P331="","",P331*INDEX(Ingredients!$Q$5:$Q$304,MATCH(D331,Ingredients!$B$5:$B$304,0))),"")</f>
        <v>0</v>
      </c>
      <c r="S331" s="45">
        <f>IFERROR(IF(P331="","",P331*INDEX(Ingredients!$R$5:$R$304,MATCH(D331,Ingredients!$B$5:$B$304,0))),"")</f>
        <v>0</v>
      </c>
      <c r="T331" s="45">
        <f>IFERROR(IF(P331="","",P331*INDEX(Ingredients!$S$5:$S$304,MATCH(D331,Ingredients!$B$5:$B$304,0))),"")</f>
        <v>0</v>
      </c>
      <c r="U331" s="45">
        <f>IFERROR(IF(P331="","",P331*INDEX(Ingredients!$T$5:$T$304,MATCH(D331,Ingredients!$B$5:$B$304,0))),"")</f>
        <v>0</v>
      </c>
      <c r="V331" s="17">
        <f>IF(D331="","",IFERROR(INDEX(Ingredients!$W$5:$W$304,MATCH(D331,Ingredients!$B$5:$B$304,0)),"Add to Ingredients"))</f>
        <v>0</v>
      </c>
      <c r="W331" s="17">
        <f>IF(D331="","",IFERROR(INDEX(Ingredients!$C$5:$C$304,MATCH(D331,Ingredients!$B$5:$B$304,0)),"Add to Ingredients"))</f>
        <v>0</v>
      </c>
      <c r="X331" s="45">
        <f>IFERROR(INDEX(Recipes!$AT$5:$AT$204,MATCH(B331,Recipes!$A$5:$A$204,0)),0)</f>
        <v>0</v>
      </c>
      <c r="Y331" s="45">
        <f>IF(OR(J331="",X331=0),"",J331*X331)</f>
        <v>0</v>
      </c>
      <c r="Z331" s="17">
        <f>IF(D331="","",B331&amp;"#"&amp;COUNTIFS($B$5:B331,B331))</f>
        <v>0</v>
      </c>
      <c r="AA331" s="17">
        <f>IF(D331="","",B331&amp;"|"&amp;D331)</f>
        <v>0</v>
      </c>
      <c r="AB331" s="31">
        <f>IF(D331="","",IF(B331="","Add - which recipe?",IF(COUNTIFS(Ingredients!$B$5:$B$304,D331)=0,"Missing - not in the Ingredients tab",IF(E331="","Add - no quantity",IF(F331="","Add - no unit",IF(K331&lt;&gt;L331,"Check - recipe in "&amp;K331&amp;", priced in "&amp;L331,IF(COUNTIFS($AA$5:$AA$1204,AA331)&gt;1,"Duplicate - same ingredient twice","OK")))))))</f>
        <v>0</v>
      </c>
    </row>
    <row r="332" spans="1:28">
      <c r="A332" s="39">
        <f>IF(D332="","","RL-"&amp;TEXT(ROW()-4,"0000"))</f>
        <v>0</v>
      </c>
      <c r="C332" s="17">
        <f>IF(B332="","",IFERROR(INDEX(Recipes!$B$5:$B$204,MATCH(B332,Recipes!$A$5:$A$204,0)),"Not found"))</f>
        <v>0</v>
      </c>
      <c r="J332" s="45">
        <f>IF(E332="","",IFERROR(E332*INDEX(UnitFactors,MATCH(F332,UnitNames,0)),""))</f>
        <v>0</v>
      </c>
      <c r="K332" s="17">
        <f>IF(F332="","",IFERROR(INDEX(UnitBases,MATCH(F332,UnitNames,0)),"?"))</f>
        <v>0</v>
      </c>
      <c r="L332" s="17">
        <f>IF(D332="","",IFERROR(INDEX(Ingredients!$G$5:$G$304,MATCH(D332,Ingredients!$B$5:$B$304,0)),"Add to Ingredients"))</f>
        <v>0</v>
      </c>
      <c r="M332" s="25">
        <f>IF(D332="","",IFERROR(INDEX(Ingredients!$J$5:$J$304,MATCH(D332,Ingredients!$B$5:$B$304,0)),"Add to Ingredients"))</f>
        <v>0</v>
      </c>
      <c r="N332" s="25">
        <f>IF(OR(J332="",M332="",NOT(ISNUMBER(M332))),"",IF(K332&lt;&gt;L332,"",J332*M332))</f>
        <v>0</v>
      </c>
      <c r="O332" s="25">
        <f>IF(N332="","",IFERROR(N332/INDEX(Recipes!$G$5:$G$204,MATCH(B332,Recipes!$A$5:$A$204,0)),""))</f>
        <v>0</v>
      </c>
      <c r="P332" s="30">
        <f>IF(J332="","",IF(K332="each",J332,J332/100))</f>
        <v>0</v>
      </c>
      <c r="Q332" s="30">
        <f>IFERROR(IF(P332="","",P332*INDEX(Ingredients!$P$5:$P$304,MATCH(D332,Ingredients!$B$5:$B$304,0))),"")</f>
        <v>0</v>
      </c>
      <c r="R332" s="45">
        <f>IFERROR(IF(P332="","",P332*INDEX(Ingredients!$Q$5:$Q$304,MATCH(D332,Ingredients!$B$5:$B$304,0))),"")</f>
        <v>0</v>
      </c>
      <c r="S332" s="45">
        <f>IFERROR(IF(P332="","",P332*INDEX(Ingredients!$R$5:$R$304,MATCH(D332,Ingredients!$B$5:$B$304,0))),"")</f>
        <v>0</v>
      </c>
      <c r="T332" s="45">
        <f>IFERROR(IF(P332="","",P332*INDEX(Ingredients!$S$5:$S$304,MATCH(D332,Ingredients!$B$5:$B$304,0))),"")</f>
        <v>0</v>
      </c>
      <c r="U332" s="45">
        <f>IFERROR(IF(P332="","",P332*INDEX(Ingredients!$T$5:$T$304,MATCH(D332,Ingredients!$B$5:$B$304,0))),"")</f>
        <v>0</v>
      </c>
      <c r="V332" s="17">
        <f>IF(D332="","",IFERROR(INDEX(Ingredients!$W$5:$W$304,MATCH(D332,Ingredients!$B$5:$B$304,0)),"Add to Ingredients"))</f>
        <v>0</v>
      </c>
      <c r="W332" s="17">
        <f>IF(D332="","",IFERROR(INDEX(Ingredients!$C$5:$C$304,MATCH(D332,Ingredients!$B$5:$B$304,0)),"Add to Ingredients"))</f>
        <v>0</v>
      </c>
      <c r="X332" s="45">
        <f>IFERROR(INDEX(Recipes!$AT$5:$AT$204,MATCH(B332,Recipes!$A$5:$A$204,0)),0)</f>
        <v>0</v>
      </c>
      <c r="Y332" s="45">
        <f>IF(OR(J332="",X332=0),"",J332*X332)</f>
        <v>0</v>
      </c>
      <c r="Z332" s="17">
        <f>IF(D332="","",B332&amp;"#"&amp;COUNTIFS($B$5:B332,B332))</f>
        <v>0</v>
      </c>
      <c r="AA332" s="17">
        <f>IF(D332="","",B332&amp;"|"&amp;D332)</f>
        <v>0</v>
      </c>
      <c r="AB332" s="31">
        <f>IF(D332="","",IF(B332="","Add - which recipe?",IF(COUNTIFS(Ingredients!$B$5:$B$304,D332)=0,"Missing - not in the Ingredients tab",IF(E332="","Add - no quantity",IF(F332="","Add - no unit",IF(K332&lt;&gt;L332,"Check - recipe in "&amp;K332&amp;", priced in "&amp;L332,IF(COUNTIFS($AA$5:$AA$1204,AA332)&gt;1,"Duplicate - same ingredient twice","OK")))))))</f>
        <v>0</v>
      </c>
    </row>
    <row r="333" spans="1:28">
      <c r="A333" s="39">
        <f>IF(D333="","","RL-"&amp;TEXT(ROW()-4,"0000"))</f>
        <v>0</v>
      </c>
      <c r="C333" s="17">
        <f>IF(B333="","",IFERROR(INDEX(Recipes!$B$5:$B$204,MATCH(B333,Recipes!$A$5:$A$204,0)),"Not found"))</f>
        <v>0</v>
      </c>
      <c r="J333" s="45">
        <f>IF(E333="","",IFERROR(E333*INDEX(UnitFactors,MATCH(F333,UnitNames,0)),""))</f>
        <v>0</v>
      </c>
      <c r="K333" s="17">
        <f>IF(F333="","",IFERROR(INDEX(UnitBases,MATCH(F333,UnitNames,0)),"?"))</f>
        <v>0</v>
      </c>
      <c r="L333" s="17">
        <f>IF(D333="","",IFERROR(INDEX(Ingredients!$G$5:$G$304,MATCH(D333,Ingredients!$B$5:$B$304,0)),"Add to Ingredients"))</f>
        <v>0</v>
      </c>
      <c r="M333" s="25">
        <f>IF(D333="","",IFERROR(INDEX(Ingredients!$J$5:$J$304,MATCH(D333,Ingredients!$B$5:$B$304,0)),"Add to Ingredients"))</f>
        <v>0</v>
      </c>
      <c r="N333" s="25">
        <f>IF(OR(J333="",M333="",NOT(ISNUMBER(M333))),"",IF(K333&lt;&gt;L333,"",J333*M333))</f>
        <v>0</v>
      </c>
      <c r="O333" s="25">
        <f>IF(N333="","",IFERROR(N333/INDEX(Recipes!$G$5:$G$204,MATCH(B333,Recipes!$A$5:$A$204,0)),""))</f>
        <v>0</v>
      </c>
      <c r="P333" s="30">
        <f>IF(J333="","",IF(K333="each",J333,J333/100))</f>
        <v>0</v>
      </c>
      <c r="Q333" s="30">
        <f>IFERROR(IF(P333="","",P333*INDEX(Ingredients!$P$5:$P$304,MATCH(D333,Ingredients!$B$5:$B$304,0))),"")</f>
        <v>0</v>
      </c>
      <c r="R333" s="45">
        <f>IFERROR(IF(P333="","",P333*INDEX(Ingredients!$Q$5:$Q$304,MATCH(D333,Ingredients!$B$5:$B$304,0))),"")</f>
        <v>0</v>
      </c>
      <c r="S333" s="45">
        <f>IFERROR(IF(P333="","",P333*INDEX(Ingredients!$R$5:$R$304,MATCH(D333,Ingredients!$B$5:$B$304,0))),"")</f>
        <v>0</v>
      </c>
      <c r="T333" s="45">
        <f>IFERROR(IF(P333="","",P333*INDEX(Ingredients!$S$5:$S$304,MATCH(D333,Ingredients!$B$5:$B$304,0))),"")</f>
        <v>0</v>
      </c>
      <c r="U333" s="45">
        <f>IFERROR(IF(P333="","",P333*INDEX(Ingredients!$T$5:$T$304,MATCH(D333,Ingredients!$B$5:$B$304,0))),"")</f>
        <v>0</v>
      </c>
      <c r="V333" s="17">
        <f>IF(D333="","",IFERROR(INDEX(Ingredients!$W$5:$W$304,MATCH(D333,Ingredients!$B$5:$B$304,0)),"Add to Ingredients"))</f>
        <v>0</v>
      </c>
      <c r="W333" s="17">
        <f>IF(D333="","",IFERROR(INDEX(Ingredients!$C$5:$C$304,MATCH(D333,Ingredients!$B$5:$B$304,0)),"Add to Ingredients"))</f>
        <v>0</v>
      </c>
      <c r="X333" s="45">
        <f>IFERROR(INDEX(Recipes!$AT$5:$AT$204,MATCH(B333,Recipes!$A$5:$A$204,0)),0)</f>
        <v>0</v>
      </c>
      <c r="Y333" s="45">
        <f>IF(OR(J333="",X333=0),"",J333*X333)</f>
        <v>0</v>
      </c>
      <c r="Z333" s="17">
        <f>IF(D333="","",B333&amp;"#"&amp;COUNTIFS($B$5:B333,B333))</f>
        <v>0</v>
      </c>
      <c r="AA333" s="17">
        <f>IF(D333="","",B333&amp;"|"&amp;D333)</f>
        <v>0</v>
      </c>
      <c r="AB333" s="31">
        <f>IF(D333="","",IF(B333="","Add - which recipe?",IF(COUNTIFS(Ingredients!$B$5:$B$304,D333)=0,"Missing - not in the Ingredients tab",IF(E333="","Add - no quantity",IF(F333="","Add - no unit",IF(K333&lt;&gt;L333,"Check - recipe in "&amp;K333&amp;", priced in "&amp;L333,IF(COUNTIFS($AA$5:$AA$1204,AA333)&gt;1,"Duplicate - same ingredient twice","OK")))))))</f>
        <v>0</v>
      </c>
    </row>
    <row r="334" spans="1:28">
      <c r="A334" s="39">
        <f>IF(D334="","","RL-"&amp;TEXT(ROW()-4,"0000"))</f>
        <v>0</v>
      </c>
      <c r="C334" s="17">
        <f>IF(B334="","",IFERROR(INDEX(Recipes!$B$5:$B$204,MATCH(B334,Recipes!$A$5:$A$204,0)),"Not found"))</f>
        <v>0</v>
      </c>
      <c r="J334" s="45">
        <f>IF(E334="","",IFERROR(E334*INDEX(UnitFactors,MATCH(F334,UnitNames,0)),""))</f>
        <v>0</v>
      </c>
      <c r="K334" s="17">
        <f>IF(F334="","",IFERROR(INDEX(UnitBases,MATCH(F334,UnitNames,0)),"?"))</f>
        <v>0</v>
      </c>
      <c r="L334" s="17">
        <f>IF(D334="","",IFERROR(INDEX(Ingredients!$G$5:$G$304,MATCH(D334,Ingredients!$B$5:$B$304,0)),"Add to Ingredients"))</f>
        <v>0</v>
      </c>
      <c r="M334" s="25">
        <f>IF(D334="","",IFERROR(INDEX(Ingredients!$J$5:$J$304,MATCH(D334,Ingredients!$B$5:$B$304,0)),"Add to Ingredients"))</f>
        <v>0</v>
      </c>
      <c r="N334" s="25">
        <f>IF(OR(J334="",M334="",NOT(ISNUMBER(M334))),"",IF(K334&lt;&gt;L334,"",J334*M334))</f>
        <v>0</v>
      </c>
      <c r="O334" s="25">
        <f>IF(N334="","",IFERROR(N334/INDEX(Recipes!$G$5:$G$204,MATCH(B334,Recipes!$A$5:$A$204,0)),""))</f>
        <v>0</v>
      </c>
      <c r="P334" s="30">
        <f>IF(J334="","",IF(K334="each",J334,J334/100))</f>
        <v>0</v>
      </c>
      <c r="Q334" s="30">
        <f>IFERROR(IF(P334="","",P334*INDEX(Ingredients!$P$5:$P$304,MATCH(D334,Ingredients!$B$5:$B$304,0))),"")</f>
        <v>0</v>
      </c>
      <c r="R334" s="45">
        <f>IFERROR(IF(P334="","",P334*INDEX(Ingredients!$Q$5:$Q$304,MATCH(D334,Ingredients!$B$5:$B$304,0))),"")</f>
        <v>0</v>
      </c>
      <c r="S334" s="45">
        <f>IFERROR(IF(P334="","",P334*INDEX(Ingredients!$R$5:$R$304,MATCH(D334,Ingredients!$B$5:$B$304,0))),"")</f>
        <v>0</v>
      </c>
      <c r="T334" s="45">
        <f>IFERROR(IF(P334="","",P334*INDEX(Ingredients!$S$5:$S$304,MATCH(D334,Ingredients!$B$5:$B$304,0))),"")</f>
        <v>0</v>
      </c>
      <c r="U334" s="45">
        <f>IFERROR(IF(P334="","",P334*INDEX(Ingredients!$T$5:$T$304,MATCH(D334,Ingredients!$B$5:$B$304,0))),"")</f>
        <v>0</v>
      </c>
      <c r="V334" s="17">
        <f>IF(D334="","",IFERROR(INDEX(Ingredients!$W$5:$W$304,MATCH(D334,Ingredients!$B$5:$B$304,0)),"Add to Ingredients"))</f>
        <v>0</v>
      </c>
      <c r="W334" s="17">
        <f>IF(D334="","",IFERROR(INDEX(Ingredients!$C$5:$C$304,MATCH(D334,Ingredients!$B$5:$B$304,0)),"Add to Ingredients"))</f>
        <v>0</v>
      </c>
      <c r="X334" s="45">
        <f>IFERROR(INDEX(Recipes!$AT$5:$AT$204,MATCH(B334,Recipes!$A$5:$A$204,0)),0)</f>
        <v>0</v>
      </c>
      <c r="Y334" s="45">
        <f>IF(OR(J334="",X334=0),"",J334*X334)</f>
        <v>0</v>
      </c>
      <c r="Z334" s="17">
        <f>IF(D334="","",B334&amp;"#"&amp;COUNTIFS($B$5:B334,B334))</f>
        <v>0</v>
      </c>
      <c r="AA334" s="17">
        <f>IF(D334="","",B334&amp;"|"&amp;D334)</f>
        <v>0</v>
      </c>
      <c r="AB334" s="31">
        <f>IF(D334="","",IF(B334="","Add - which recipe?",IF(COUNTIFS(Ingredients!$B$5:$B$304,D334)=0,"Missing - not in the Ingredients tab",IF(E334="","Add - no quantity",IF(F334="","Add - no unit",IF(K334&lt;&gt;L334,"Check - recipe in "&amp;K334&amp;", priced in "&amp;L334,IF(COUNTIFS($AA$5:$AA$1204,AA334)&gt;1,"Duplicate - same ingredient twice","OK")))))))</f>
        <v>0</v>
      </c>
    </row>
    <row r="335" spans="1:28">
      <c r="A335" s="39">
        <f>IF(D335="","","RL-"&amp;TEXT(ROW()-4,"0000"))</f>
        <v>0</v>
      </c>
      <c r="C335" s="17">
        <f>IF(B335="","",IFERROR(INDEX(Recipes!$B$5:$B$204,MATCH(B335,Recipes!$A$5:$A$204,0)),"Not found"))</f>
        <v>0</v>
      </c>
      <c r="J335" s="45">
        <f>IF(E335="","",IFERROR(E335*INDEX(UnitFactors,MATCH(F335,UnitNames,0)),""))</f>
        <v>0</v>
      </c>
      <c r="K335" s="17">
        <f>IF(F335="","",IFERROR(INDEX(UnitBases,MATCH(F335,UnitNames,0)),"?"))</f>
        <v>0</v>
      </c>
      <c r="L335" s="17">
        <f>IF(D335="","",IFERROR(INDEX(Ingredients!$G$5:$G$304,MATCH(D335,Ingredients!$B$5:$B$304,0)),"Add to Ingredients"))</f>
        <v>0</v>
      </c>
      <c r="M335" s="25">
        <f>IF(D335="","",IFERROR(INDEX(Ingredients!$J$5:$J$304,MATCH(D335,Ingredients!$B$5:$B$304,0)),"Add to Ingredients"))</f>
        <v>0</v>
      </c>
      <c r="N335" s="25">
        <f>IF(OR(J335="",M335="",NOT(ISNUMBER(M335))),"",IF(K335&lt;&gt;L335,"",J335*M335))</f>
        <v>0</v>
      </c>
      <c r="O335" s="25">
        <f>IF(N335="","",IFERROR(N335/INDEX(Recipes!$G$5:$G$204,MATCH(B335,Recipes!$A$5:$A$204,0)),""))</f>
        <v>0</v>
      </c>
      <c r="P335" s="30">
        <f>IF(J335="","",IF(K335="each",J335,J335/100))</f>
        <v>0</v>
      </c>
      <c r="Q335" s="30">
        <f>IFERROR(IF(P335="","",P335*INDEX(Ingredients!$P$5:$P$304,MATCH(D335,Ingredients!$B$5:$B$304,0))),"")</f>
        <v>0</v>
      </c>
      <c r="R335" s="45">
        <f>IFERROR(IF(P335="","",P335*INDEX(Ingredients!$Q$5:$Q$304,MATCH(D335,Ingredients!$B$5:$B$304,0))),"")</f>
        <v>0</v>
      </c>
      <c r="S335" s="45">
        <f>IFERROR(IF(P335="","",P335*INDEX(Ingredients!$R$5:$R$304,MATCH(D335,Ingredients!$B$5:$B$304,0))),"")</f>
        <v>0</v>
      </c>
      <c r="T335" s="45">
        <f>IFERROR(IF(P335="","",P335*INDEX(Ingredients!$S$5:$S$304,MATCH(D335,Ingredients!$B$5:$B$304,0))),"")</f>
        <v>0</v>
      </c>
      <c r="U335" s="45">
        <f>IFERROR(IF(P335="","",P335*INDEX(Ingredients!$T$5:$T$304,MATCH(D335,Ingredients!$B$5:$B$304,0))),"")</f>
        <v>0</v>
      </c>
      <c r="V335" s="17">
        <f>IF(D335="","",IFERROR(INDEX(Ingredients!$W$5:$W$304,MATCH(D335,Ingredients!$B$5:$B$304,0)),"Add to Ingredients"))</f>
        <v>0</v>
      </c>
      <c r="W335" s="17">
        <f>IF(D335="","",IFERROR(INDEX(Ingredients!$C$5:$C$304,MATCH(D335,Ingredients!$B$5:$B$304,0)),"Add to Ingredients"))</f>
        <v>0</v>
      </c>
      <c r="X335" s="45">
        <f>IFERROR(INDEX(Recipes!$AT$5:$AT$204,MATCH(B335,Recipes!$A$5:$A$204,0)),0)</f>
        <v>0</v>
      </c>
      <c r="Y335" s="45">
        <f>IF(OR(J335="",X335=0),"",J335*X335)</f>
        <v>0</v>
      </c>
      <c r="Z335" s="17">
        <f>IF(D335="","",B335&amp;"#"&amp;COUNTIFS($B$5:B335,B335))</f>
        <v>0</v>
      </c>
      <c r="AA335" s="17">
        <f>IF(D335="","",B335&amp;"|"&amp;D335)</f>
        <v>0</v>
      </c>
      <c r="AB335" s="31">
        <f>IF(D335="","",IF(B335="","Add - which recipe?",IF(COUNTIFS(Ingredients!$B$5:$B$304,D335)=0,"Missing - not in the Ingredients tab",IF(E335="","Add - no quantity",IF(F335="","Add - no unit",IF(K335&lt;&gt;L335,"Check - recipe in "&amp;K335&amp;", priced in "&amp;L335,IF(COUNTIFS($AA$5:$AA$1204,AA335)&gt;1,"Duplicate - same ingredient twice","OK")))))))</f>
        <v>0</v>
      </c>
    </row>
    <row r="336" spans="1:28">
      <c r="A336" s="39">
        <f>IF(D336="","","RL-"&amp;TEXT(ROW()-4,"0000"))</f>
        <v>0</v>
      </c>
      <c r="C336" s="17">
        <f>IF(B336="","",IFERROR(INDEX(Recipes!$B$5:$B$204,MATCH(B336,Recipes!$A$5:$A$204,0)),"Not found"))</f>
        <v>0</v>
      </c>
      <c r="J336" s="45">
        <f>IF(E336="","",IFERROR(E336*INDEX(UnitFactors,MATCH(F336,UnitNames,0)),""))</f>
        <v>0</v>
      </c>
      <c r="K336" s="17">
        <f>IF(F336="","",IFERROR(INDEX(UnitBases,MATCH(F336,UnitNames,0)),"?"))</f>
        <v>0</v>
      </c>
      <c r="L336" s="17">
        <f>IF(D336="","",IFERROR(INDEX(Ingredients!$G$5:$G$304,MATCH(D336,Ingredients!$B$5:$B$304,0)),"Add to Ingredients"))</f>
        <v>0</v>
      </c>
      <c r="M336" s="25">
        <f>IF(D336="","",IFERROR(INDEX(Ingredients!$J$5:$J$304,MATCH(D336,Ingredients!$B$5:$B$304,0)),"Add to Ingredients"))</f>
        <v>0</v>
      </c>
      <c r="N336" s="25">
        <f>IF(OR(J336="",M336="",NOT(ISNUMBER(M336))),"",IF(K336&lt;&gt;L336,"",J336*M336))</f>
        <v>0</v>
      </c>
      <c r="O336" s="25">
        <f>IF(N336="","",IFERROR(N336/INDEX(Recipes!$G$5:$G$204,MATCH(B336,Recipes!$A$5:$A$204,0)),""))</f>
        <v>0</v>
      </c>
      <c r="P336" s="30">
        <f>IF(J336="","",IF(K336="each",J336,J336/100))</f>
        <v>0</v>
      </c>
      <c r="Q336" s="30">
        <f>IFERROR(IF(P336="","",P336*INDEX(Ingredients!$P$5:$P$304,MATCH(D336,Ingredients!$B$5:$B$304,0))),"")</f>
        <v>0</v>
      </c>
      <c r="R336" s="45">
        <f>IFERROR(IF(P336="","",P336*INDEX(Ingredients!$Q$5:$Q$304,MATCH(D336,Ingredients!$B$5:$B$304,0))),"")</f>
        <v>0</v>
      </c>
      <c r="S336" s="45">
        <f>IFERROR(IF(P336="","",P336*INDEX(Ingredients!$R$5:$R$304,MATCH(D336,Ingredients!$B$5:$B$304,0))),"")</f>
        <v>0</v>
      </c>
      <c r="T336" s="45">
        <f>IFERROR(IF(P336="","",P336*INDEX(Ingredients!$S$5:$S$304,MATCH(D336,Ingredients!$B$5:$B$304,0))),"")</f>
        <v>0</v>
      </c>
      <c r="U336" s="45">
        <f>IFERROR(IF(P336="","",P336*INDEX(Ingredients!$T$5:$T$304,MATCH(D336,Ingredients!$B$5:$B$304,0))),"")</f>
        <v>0</v>
      </c>
      <c r="V336" s="17">
        <f>IF(D336="","",IFERROR(INDEX(Ingredients!$W$5:$W$304,MATCH(D336,Ingredients!$B$5:$B$304,0)),"Add to Ingredients"))</f>
        <v>0</v>
      </c>
      <c r="W336" s="17">
        <f>IF(D336="","",IFERROR(INDEX(Ingredients!$C$5:$C$304,MATCH(D336,Ingredients!$B$5:$B$304,0)),"Add to Ingredients"))</f>
        <v>0</v>
      </c>
      <c r="X336" s="45">
        <f>IFERROR(INDEX(Recipes!$AT$5:$AT$204,MATCH(B336,Recipes!$A$5:$A$204,0)),0)</f>
        <v>0</v>
      </c>
      <c r="Y336" s="45">
        <f>IF(OR(J336="",X336=0),"",J336*X336)</f>
        <v>0</v>
      </c>
      <c r="Z336" s="17">
        <f>IF(D336="","",B336&amp;"#"&amp;COUNTIFS($B$5:B336,B336))</f>
        <v>0</v>
      </c>
      <c r="AA336" s="17">
        <f>IF(D336="","",B336&amp;"|"&amp;D336)</f>
        <v>0</v>
      </c>
      <c r="AB336" s="31">
        <f>IF(D336="","",IF(B336="","Add - which recipe?",IF(COUNTIFS(Ingredients!$B$5:$B$304,D336)=0,"Missing - not in the Ingredients tab",IF(E336="","Add - no quantity",IF(F336="","Add - no unit",IF(K336&lt;&gt;L336,"Check - recipe in "&amp;K336&amp;", priced in "&amp;L336,IF(COUNTIFS($AA$5:$AA$1204,AA336)&gt;1,"Duplicate - same ingredient twice","OK")))))))</f>
        <v>0</v>
      </c>
    </row>
    <row r="337" spans="1:28">
      <c r="A337" s="39">
        <f>IF(D337="","","RL-"&amp;TEXT(ROW()-4,"0000"))</f>
        <v>0</v>
      </c>
      <c r="C337" s="17">
        <f>IF(B337="","",IFERROR(INDEX(Recipes!$B$5:$B$204,MATCH(B337,Recipes!$A$5:$A$204,0)),"Not found"))</f>
        <v>0</v>
      </c>
      <c r="J337" s="45">
        <f>IF(E337="","",IFERROR(E337*INDEX(UnitFactors,MATCH(F337,UnitNames,0)),""))</f>
        <v>0</v>
      </c>
      <c r="K337" s="17">
        <f>IF(F337="","",IFERROR(INDEX(UnitBases,MATCH(F337,UnitNames,0)),"?"))</f>
        <v>0</v>
      </c>
      <c r="L337" s="17">
        <f>IF(D337="","",IFERROR(INDEX(Ingredients!$G$5:$G$304,MATCH(D337,Ingredients!$B$5:$B$304,0)),"Add to Ingredients"))</f>
        <v>0</v>
      </c>
      <c r="M337" s="25">
        <f>IF(D337="","",IFERROR(INDEX(Ingredients!$J$5:$J$304,MATCH(D337,Ingredients!$B$5:$B$304,0)),"Add to Ingredients"))</f>
        <v>0</v>
      </c>
      <c r="N337" s="25">
        <f>IF(OR(J337="",M337="",NOT(ISNUMBER(M337))),"",IF(K337&lt;&gt;L337,"",J337*M337))</f>
        <v>0</v>
      </c>
      <c r="O337" s="25">
        <f>IF(N337="","",IFERROR(N337/INDEX(Recipes!$G$5:$G$204,MATCH(B337,Recipes!$A$5:$A$204,0)),""))</f>
        <v>0</v>
      </c>
      <c r="P337" s="30">
        <f>IF(J337="","",IF(K337="each",J337,J337/100))</f>
        <v>0</v>
      </c>
      <c r="Q337" s="30">
        <f>IFERROR(IF(P337="","",P337*INDEX(Ingredients!$P$5:$P$304,MATCH(D337,Ingredients!$B$5:$B$304,0))),"")</f>
        <v>0</v>
      </c>
      <c r="R337" s="45">
        <f>IFERROR(IF(P337="","",P337*INDEX(Ingredients!$Q$5:$Q$304,MATCH(D337,Ingredients!$B$5:$B$304,0))),"")</f>
        <v>0</v>
      </c>
      <c r="S337" s="45">
        <f>IFERROR(IF(P337="","",P337*INDEX(Ingredients!$R$5:$R$304,MATCH(D337,Ingredients!$B$5:$B$304,0))),"")</f>
        <v>0</v>
      </c>
      <c r="T337" s="45">
        <f>IFERROR(IF(P337="","",P337*INDEX(Ingredients!$S$5:$S$304,MATCH(D337,Ingredients!$B$5:$B$304,0))),"")</f>
        <v>0</v>
      </c>
      <c r="U337" s="45">
        <f>IFERROR(IF(P337="","",P337*INDEX(Ingredients!$T$5:$T$304,MATCH(D337,Ingredients!$B$5:$B$304,0))),"")</f>
        <v>0</v>
      </c>
      <c r="V337" s="17">
        <f>IF(D337="","",IFERROR(INDEX(Ingredients!$W$5:$W$304,MATCH(D337,Ingredients!$B$5:$B$304,0)),"Add to Ingredients"))</f>
        <v>0</v>
      </c>
      <c r="W337" s="17">
        <f>IF(D337="","",IFERROR(INDEX(Ingredients!$C$5:$C$304,MATCH(D337,Ingredients!$B$5:$B$304,0)),"Add to Ingredients"))</f>
        <v>0</v>
      </c>
      <c r="X337" s="45">
        <f>IFERROR(INDEX(Recipes!$AT$5:$AT$204,MATCH(B337,Recipes!$A$5:$A$204,0)),0)</f>
        <v>0</v>
      </c>
      <c r="Y337" s="45">
        <f>IF(OR(J337="",X337=0),"",J337*X337)</f>
        <v>0</v>
      </c>
      <c r="Z337" s="17">
        <f>IF(D337="","",B337&amp;"#"&amp;COUNTIFS($B$5:B337,B337))</f>
        <v>0</v>
      </c>
      <c r="AA337" s="17">
        <f>IF(D337="","",B337&amp;"|"&amp;D337)</f>
        <v>0</v>
      </c>
      <c r="AB337" s="31">
        <f>IF(D337="","",IF(B337="","Add - which recipe?",IF(COUNTIFS(Ingredients!$B$5:$B$304,D337)=0,"Missing - not in the Ingredients tab",IF(E337="","Add - no quantity",IF(F337="","Add - no unit",IF(K337&lt;&gt;L337,"Check - recipe in "&amp;K337&amp;", priced in "&amp;L337,IF(COUNTIFS($AA$5:$AA$1204,AA337)&gt;1,"Duplicate - same ingredient twice","OK")))))))</f>
        <v>0</v>
      </c>
    </row>
    <row r="338" spans="1:28">
      <c r="A338" s="39">
        <f>IF(D338="","","RL-"&amp;TEXT(ROW()-4,"0000"))</f>
        <v>0</v>
      </c>
      <c r="C338" s="17">
        <f>IF(B338="","",IFERROR(INDEX(Recipes!$B$5:$B$204,MATCH(B338,Recipes!$A$5:$A$204,0)),"Not found"))</f>
        <v>0</v>
      </c>
      <c r="J338" s="45">
        <f>IF(E338="","",IFERROR(E338*INDEX(UnitFactors,MATCH(F338,UnitNames,0)),""))</f>
        <v>0</v>
      </c>
      <c r="K338" s="17">
        <f>IF(F338="","",IFERROR(INDEX(UnitBases,MATCH(F338,UnitNames,0)),"?"))</f>
        <v>0</v>
      </c>
      <c r="L338" s="17">
        <f>IF(D338="","",IFERROR(INDEX(Ingredients!$G$5:$G$304,MATCH(D338,Ingredients!$B$5:$B$304,0)),"Add to Ingredients"))</f>
        <v>0</v>
      </c>
      <c r="M338" s="25">
        <f>IF(D338="","",IFERROR(INDEX(Ingredients!$J$5:$J$304,MATCH(D338,Ingredients!$B$5:$B$304,0)),"Add to Ingredients"))</f>
        <v>0</v>
      </c>
      <c r="N338" s="25">
        <f>IF(OR(J338="",M338="",NOT(ISNUMBER(M338))),"",IF(K338&lt;&gt;L338,"",J338*M338))</f>
        <v>0</v>
      </c>
      <c r="O338" s="25">
        <f>IF(N338="","",IFERROR(N338/INDEX(Recipes!$G$5:$G$204,MATCH(B338,Recipes!$A$5:$A$204,0)),""))</f>
        <v>0</v>
      </c>
      <c r="P338" s="30">
        <f>IF(J338="","",IF(K338="each",J338,J338/100))</f>
        <v>0</v>
      </c>
      <c r="Q338" s="30">
        <f>IFERROR(IF(P338="","",P338*INDEX(Ingredients!$P$5:$P$304,MATCH(D338,Ingredients!$B$5:$B$304,0))),"")</f>
        <v>0</v>
      </c>
      <c r="R338" s="45">
        <f>IFERROR(IF(P338="","",P338*INDEX(Ingredients!$Q$5:$Q$304,MATCH(D338,Ingredients!$B$5:$B$304,0))),"")</f>
        <v>0</v>
      </c>
      <c r="S338" s="45">
        <f>IFERROR(IF(P338="","",P338*INDEX(Ingredients!$R$5:$R$304,MATCH(D338,Ingredients!$B$5:$B$304,0))),"")</f>
        <v>0</v>
      </c>
      <c r="T338" s="45">
        <f>IFERROR(IF(P338="","",P338*INDEX(Ingredients!$S$5:$S$304,MATCH(D338,Ingredients!$B$5:$B$304,0))),"")</f>
        <v>0</v>
      </c>
      <c r="U338" s="45">
        <f>IFERROR(IF(P338="","",P338*INDEX(Ingredients!$T$5:$T$304,MATCH(D338,Ingredients!$B$5:$B$304,0))),"")</f>
        <v>0</v>
      </c>
      <c r="V338" s="17">
        <f>IF(D338="","",IFERROR(INDEX(Ingredients!$W$5:$W$304,MATCH(D338,Ingredients!$B$5:$B$304,0)),"Add to Ingredients"))</f>
        <v>0</v>
      </c>
      <c r="W338" s="17">
        <f>IF(D338="","",IFERROR(INDEX(Ingredients!$C$5:$C$304,MATCH(D338,Ingredients!$B$5:$B$304,0)),"Add to Ingredients"))</f>
        <v>0</v>
      </c>
      <c r="X338" s="45">
        <f>IFERROR(INDEX(Recipes!$AT$5:$AT$204,MATCH(B338,Recipes!$A$5:$A$204,0)),0)</f>
        <v>0</v>
      </c>
      <c r="Y338" s="45">
        <f>IF(OR(J338="",X338=0),"",J338*X338)</f>
        <v>0</v>
      </c>
      <c r="Z338" s="17">
        <f>IF(D338="","",B338&amp;"#"&amp;COUNTIFS($B$5:B338,B338))</f>
        <v>0</v>
      </c>
      <c r="AA338" s="17">
        <f>IF(D338="","",B338&amp;"|"&amp;D338)</f>
        <v>0</v>
      </c>
      <c r="AB338" s="31">
        <f>IF(D338="","",IF(B338="","Add - which recipe?",IF(COUNTIFS(Ingredients!$B$5:$B$304,D338)=0,"Missing - not in the Ingredients tab",IF(E338="","Add - no quantity",IF(F338="","Add - no unit",IF(K338&lt;&gt;L338,"Check - recipe in "&amp;K338&amp;", priced in "&amp;L338,IF(COUNTIFS($AA$5:$AA$1204,AA338)&gt;1,"Duplicate - same ingredient twice","OK")))))))</f>
        <v>0</v>
      </c>
    </row>
    <row r="339" spans="1:28">
      <c r="A339" s="39">
        <f>IF(D339="","","RL-"&amp;TEXT(ROW()-4,"0000"))</f>
        <v>0</v>
      </c>
      <c r="C339" s="17">
        <f>IF(B339="","",IFERROR(INDEX(Recipes!$B$5:$B$204,MATCH(B339,Recipes!$A$5:$A$204,0)),"Not found"))</f>
        <v>0</v>
      </c>
      <c r="J339" s="45">
        <f>IF(E339="","",IFERROR(E339*INDEX(UnitFactors,MATCH(F339,UnitNames,0)),""))</f>
        <v>0</v>
      </c>
      <c r="K339" s="17">
        <f>IF(F339="","",IFERROR(INDEX(UnitBases,MATCH(F339,UnitNames,0)),"?"))</f>
        <v>0</v>
      </c>
      <c r="L339" s="17">
        <f>IF(D339="","",IFERROR(INDEX(Ingredients!$G$5:$G$304,MATCH(D339,Ingredients!$B$5:$B$304,0)),"Add to Ingredients"))</f>
        <v>0</v>
      </c>
      <c r="M339" s="25">
        <f>IF(D339="","",IFERROR(INDEX(Ingredients!$J$5:$J$304,MATCH(D339,Ingredients!$B$5:$B$304,0)),"Add to Ingredients"))</f>
        <v>0</v>
      </c>
      <c r="N339" s="25">
        <f>IF(OR(J339="",M339="",NOT(ISNUMBER(M339))),"",IF(K339&lt;&gt;L339,"",J339*M339))</f>
        <v>0</v>
      </c>
      <c r="O339" s="25">
        <f>IF(N339="","",IFERROR(N339/INDEX(Recipes!$G$5:$G$204,MATCH(B339,Recipes!$A$5:$A$204,0)),""))</f>
        <v>0</v>
      </c>
      <c r="P339" s="30">
        <f>IF(J339="","",IF(K339="each",J339,J339/100))</f>
        <v>0</v>
      </c>
      <c r="Q339" s="30">
        <f>IFERROR(IF(P339="","",P339*INDEX(Ingredients!$P$5:$P$304,MATCH(D339,Ingredients!$B$5:$B$304,0))),"")</f>
        <v>0</v>
      </c>
      <c r="R339" s="45">
        <f>IFERROR(IF(P339="","",P339*INDEX(Ingredients!$Q$5:$Q$304,MATCH(D339,Ingredients!$B$5:$B$304,0))),"")</f>
        <v>0</v>
      </c>
      <c r="S339" s="45">
        <f>IFERROR(IF(P339="","",P339*INDEX(Ingredients!$R$5:$R$304,MATCH(D339,Ingredients!$B$5:$B$304,0))),"")</f>
        <v>0</v>
      </c>
      <c r="T339" s="45">
        <f>IFERROR(IF(P339="","",P339*INDEX(Ingredients!$S$5:$S$304,MATCH(D339,Ingredients!$B$5:$B$304,0))),"")</f>
        <v>0</v>
      </c>
      <c r="U339" s="45">
        <f>IFERROR(IF(P339="","",P339*INDEX(Ingredients!$T$5:$T$304,MATCH(D339,Ingredients!$B$5:$B$304,0))),"")</f>
        <v>0</v>
      </c>
      <c r="V339" s="17">
        <f>IF(D339="","",IFERROR(INDEX(Ingredients!$W$5:$W$304,MATCH(D339,Ingredients!$B$5:$B$304,0)),"Add to Ingredients"))</f>
        <v>0</v>
      </c>
      <c r="W339" s="17">
        <f>IF(D339="","",IFERROR(INDEX(Ingredients!$C$5:$C$304,MATCH(D339,Ingredients!$B$5:$B$304,0)),"Add to Ingredients"))</f>
        <v>0</v>
      </c>
      <c r="X339" s="45">
        <f>IFERROR(INDEX(Recipes!$AT$5:$AT$204,MATCH(B339,Recipes!$A$5:$A$204,0)),0)</f>
        <v>0</v>
      </c>
      <c r="Y339" s="45">
        <f>IF(OR(J339="",X339=0),"",J339*X339)</f>
        <v>0</v>
      </c>
      <c r="Z339" s="17">
        <f>IF(D339="","",B339&amp;"#"&amp;COUNTIFS($B$5:B339,B339))</f>
        <v>0</v>
      </c>
      <c r="AA339" s="17">
        <f>IF(D339="","",B339&amp;"|"&amp;D339)</f>
        <v>0</v>
      </c>
      <c r="AB339" s="31">
        <f>IF(D339="","",IF(B339="","Add - which recipe?",IF(COUNTIFS(Ingredients!$B$5:$B$304,D339)=0,"Missing - not in the Ingredients tab",IF(E339="","Add - no quantity",IF(F339="","Add - no unit",IF(K339&lt;&gt;L339,"Check - recipe in "&amp;K339&amp;", priced in "&amp;L339,IF(COUNTIFS($AA$5:$AA$1204,AA339)&gt;1,"Duplicate - same ingredient twice","OK")))))))</f>
        <v>0</v>
      </c>
    </row>
    <row r="340" spans="1:28">
      <c r="A340" s="39">
        <f>IF(D340="","","RL-"&amp;TEXT(ROW()-4,"0000"))</f>
        <v>0</v>
      </c>
      <c r="C340" s="17">
        <f>IF(B340="","",IFERROR(INDEX(Recipes!$B$5:$B$204,MATCH(B340,Recipes!$A$5:$A$204,0)),"Not found"))</f>
        <v>0</v>
      </c>
      <c r="J340" s="45">
        <f>IF(E340="","",IFERROR(E340*INDEX(UnitFactors,MATCH(F340,UnitNames,0)),""))</f>
        <v>0</v>
      </c>
      <c r="K340" s="17">
        <f>IF(F340="","",IFERROR(INDEX(UnitBases,MATCH(F340,UnitNames,0)),"?"))</f>
        <v>0</v>
      </c>
      <c r="L340" s="17">
        <f>IF(D340="","",IFERROR(INDEX(Ingredients!$G$5:$G$304,MATCH(D340,Ingredients!$B$5:$B$304,0)),"Add to Ingredients"))</f>
        <v>0</v>
      </c>
      <c r="M340" s="25">
        <f>IF(D340="","",IFERROR(INDEX(Ingredients!$J$5:$J$304,MATCH(D340,Ingredients!$B$5:$B$304,0)),"Add to Ingredients"))</f>
        <v>0</v>
      </c>
      <c r="N340" s="25">
        <f>IF(OR(J340="",M340="",NOT(ISNUMBER(M340))),"",IF(K340&lt;&gt;L340,"",J340*M340))</f>
        <v>0</v>
      </c>
      <c r="O340" s="25">
        <f>IF(N340="","",IFERROR(N340/INDEX(Recipes!$G$5:$G$204,MATCH(B340,Recipes!$A$5:$A$204,0)),""))</f>
        <v>0</v>
      </c>
      <c r="P340" s="30">
        <f>IF(J340="","",IF(K340="each",J340,J340/100))</f>
        <v>0</v>
      </c>
      <c r="Q340" s="30">
        <f>IFERROR(IF(P340="","",P340*INDEX(Ingredients!$P$5:$P$304,MATCH(D340,Ingredients!$B$5:$B$304,0))),"")</f>
        <v>0</v>
      </c>
      <c r="R340" s="45">
        <f>IFERROR(IF(P340="","",P340*INDEX(Ingredients!$Q$5:$Q$304,MATCH(D340,Ingredients!$B$5:$B$304,0))),"")</f>
        <v>0</v>
      </c>
      <c r="S340" s="45">
        <f>IFERROR(IF(P340="","",P340*INDEX(Ingredients!$R$5:$R$304,MATCH(D340,Ingredients!$B$5:$B$304,0))),"")</f>
        <v>0</v>
      </c>
      <c r="T340" s="45">
        <f>IFERROR(IF(P340="","",P340*INDEX(Ingredients!$S$5:$S$304,MATCH(D340,Ingredients!$B$5:$B$304,0))),"")</f>
        <v>0</v>
      </c>
      <c r="U340" s="45">
        <f>IFERROR(IF(P340="","",P340*INDEX(Ingredients!$T$5:$T$304,MATCH(D340,Ingredients!$B$5:$B$304,0))),"")</f>
        <v>0</v>
      </c>
      <c r="V340" s="17">
        <f>IF(D340="","",IFERROR(INDEX(Ingredients!$W$5:$W$304,MATCH(D340,Ingredients!$B$5:$B$304,0)),"Add to Ingredients"))</f>
        <v>0</v>
      </c>
      <c r="W340" s="17">
        <f>IF(D340="","",IFERROR(INDEX(Ingredients!$C$5:$C$304,MATCH(D340,Ingredients!$B$5:$B$304,0)),"Add to Ingredients"))</f>
        <v>0</v>
      </c>
      <c r="X340" s="45">
        <f>IFERROR(INDEX(Recipes!$AT$5:$AT$204,MATCH(B340,Recipes!$A$5:$A$204,0)),0)</f>
        <v>0</v>
      </c>
      <c r="Y340" s="45">
        <f>IF(OR(J340="",X340=0),"",J340*X340)</f>
        <v>0</v>
      </c>
      <c r="Z340" s="17">
        <f>IF(D340="","",B340&amp;"#"&amp;COUNTIFS($B$5:B340,B340))</f>
        <v>0</v>
      </c>
      <c r="AA340" s="17">
        <f>IF(D340="","",B340&amp;"|"&amp;D340)</f>
        <v>0</v>
      </c>
      <c r="AB340" s="31">
        <f>IF(D340="","",IF(B340="","Add - which recipe?",IF(COUNTIFS(Ingredients!$B$5:$B$304,D340)=0,"Missing - not in the Ingredients tab",IF(E340="","Add - no quantity",IF(F340="","Add - no unit",IF(K340&lt;&gt;L340,"Check - recipe in "&amp;K340&amp;", priced in "&amp;L340,IF(COUNTIFS($AA$5:$AA$1204,AA340)&gt;1,"Duplicate - same ingredient twice","OK")))))))</f>
        <v>0</v>
      </c>
    </row>
    <row r="341" spans="1:28">
      <c r="A341" s="39">
        <f>IF(D341="","","RL-"&amp;TEXT(ROW()-4,"0000"))</f>
        <v>0</v>
      </c>
      <c r="C341" s="17">
        <f>IF(B341="","",IFERROR(INDEX(Recipes!$B$5:$B$204,MATCH(B341,Recipes!$A$5:$A$204,0)),"Not found"))</f>
        <v>0</v>
      </c>
      <c r="J341" s="45">
        <f>IF(E341="","",IFERROR(E341*INDEX(UnitFactors,MATCH(F341,UnitNames,0)),""))</f>
        <v>0</v>
      </c>
      <c r="K341" s="17">
        <f>IF(F341="","",IFERROR(INDEX(UnitBases,MATCH(F341,UnitNames,0)),"?"))</f>
        <v>0</v>
      </c>
      <c r="L341" s="17">
        <f>IF(D341="","",IFERROR(INDEX(Ingredients!$G$5:$G$304,MATCH(D341,Ingredients!$B$5:$B$304,0)),"Add to Ingredients"))</f>
        <v>0</v>
      </c>
      <c r="M341" s="25">
        <f>IF(D341="","",IFERROR(INDEX(Ingredients!$J$5:$J$304,MATCH(D341,Ingredients!$B$5:$B$304,0)),"Add to Ingredients"))</f>
        <v>0</v>
      </c>
      <c r="N341" s="25">
        <f>IF(OR(J341="",M341="",NOT(ISNUMBER(M341))),"",IF(K341&lt;&gt;L341,"",J341*M341))</f>
        <v>0</v>
      </c>
      <c r="O341" s="25">
        <f>IF(N341="","",IFERROR(N341/INDEX(Recipes!$G$5:$G$204,MATCH(B341,Recipes!$A$5:$A$204,0)),""))</f>
        <v>0</v>
      </c>
      <c r="P341" s="30">
        <f>IF(J341="","",IF(K341="each",J341,J341/100))</f>
        <v>0</v>
      </c>
      <c r="Q341" s="30">
        <f>IFERROR(IF(P341="","",P341*INDEX(Ingredients!$P$5:$P$304,MATCH(D341,Ingredients!$B$5:$B$304,0))),"")</f>
        <v>0</v>
      </c>
      <c r="R341" s="45">
        <f>IFERROR(IF(P341="","",P341*INDEX(Ingredients!$Q$5:$Q$304,MATCH(D341,Ingredients!$B$5:$B$304,0))),"")</f>
        <v>0</v>
      </c>
      <c r="S341" s="45">
        <f>IFERROR(IF(P341="","",P341*INDEX(Ingredients!$R$5:$R$304,MATCH(D341,Ingredients!$B$5:$B$304,0))),"")</f>
        <v>0</v>
      </c>
      <c r="T341" s="45">
        <f>IFERROR(IF(P341="","",P341*INDEX(Ingredients!$S$5:$S$304,MATCH(D341,Ingredients!$B$5:$B$304,0))),"")</f>
        <v>0</v>
      </c>
      <c r="U341" s="45">
        <f>IFERROR(IF(P341="","",P341*INDEX(Ingredients!$T$5:$T$304,MATCH(D341,Ingredients!$B$5:$B$304,0))),"")</f>
        <v>0</v>
      </c>
      <c r="V341" s="17">
        <f>IF(D341="","",IFERROR(INDEX(Ingredients!$W$5:$W$304,MATCH(D341,Ingredients!$B$5:$B$304,0)),"Add to Ingredients"))</f>
        <v>0</v>
      </c>
      <c r="W341" s="17">
        <f>IF(D341="","",IFERROR(INDEX(Ingredients!$C$5:$C$304,MATCH(D341,Ingredients!$B$5:$B$304,0)),"Add to Ingredients"))</f>
        <v>0</v>
      </c>
      <c r="X341" s="45">
        <f>IFERROR(INDEX(Recipes!$AT$5:$AT$204,MATCH(B341,Recipes!$A$5:$A$204,0)),0)</f>
        <v>0</v>
      </c>
      <c r="Y341" s="45">
        <f>IF(OR(J341="",X341=0),"",J341*X341)</f>
        <v>0</v>
      </c>
      <c r="Z341" s="17">
        <f>IF(D341="","",B341&amp;"#"&amp;COUNTIFS($B$5:B341,B341))</f>
        <v>0</v>
      </c>
      <c r="AA341" s="17">
        <f>IF(D341="","",B341&amp;"|"&amp;D341)</f>
        <v>0</v>
      </c>
      <c r="AB341" s="31">
        <f>IF(D341="","",IF(B341="","Add - which recipe?",IF(COUNTIFS(Ingredients!$B$5:$B$304,D341)=0,"Missing - not in the Ingredients tab",IF(E341="","Add - no quantity",IF(F341="","Add - no unit",IF(K341&lt;&gt;L341,"Check - recipe in "&amp;K341&amp;", priced in "&amp;L341,IF(COUNTIFS($AA$5:$AA$1204,AA341)&gt;1,"Duplicate - same ingredient twice","OK")))))))</f>
        <v>0</v>
      </c>
    </row>
    <row r="342" spans="1:28">
      <c r="A342" s="39">
        <f>IF(D342="","","RL-"&amp;TEXT(ROW()-4,"0000"))</f>
        <v>0</v>
      </c>
      <c r="C342" s="17">
        <f>IF(B342="","",IFERROR(INDEX(Recipes!$B$5:$B$204,MATCH(B342,Recipes!$A$5:$A$204,0)),"Not found"))</f>
        <v>0</v>
      </c>
      <c r="J342" s="45">
        <f>IF(E342="","",IFERROR(E342*INDEX(UnitFactors,MATCH(F342,UnitNames,0)),""))</f>
        <v>0</v>
      </c>
      <c r="K342" s="17">
        <f>IF(F342="","",IFERROR(INDEX(UnitBases,MATCH(F342,UnitNames,0)),"?"))</f>
        <v>0</v>
      </c>
      <c r="L342" s="17">
        <f>IF(D342="","",IFERROR(INDEX(Ingredients!$G$5:$G$304,MATCH(D342,Ingredients!$B$5:$B$304,0)),"Add to Ingredients"))</f>
        <v>0</v>
      </c>
      <c r="M342" s="25">
        <f>IF(D342="","",IFERROR(INDEX(Ingredients!$J$5:$J$304,MATCH(D342,Ingredients!$B$5:$B$304,0)),"Add to Ingredients"))</f>
        <v>0</v>
      </c>
      <c r="N342" s="25">
        <f>IF(OR(J342="",M342="",NOT(ISNUMBER(M342))),"",IF(K342&lt;&gt;L342,"",J342*M342))</f>
        <v>0</v>
      </c>
      <c r="O342" s="25">
        <f>IF(N342="","",IFERROR(N342/INDEX(Recipes!$G$5:$G$204,MATCH(B342,Recipes!$A$5:$A$204,0)),""))</f>
        <v>0</v>
      </c>
      <c r="P342" s="30">
        <f>IF(J342="","",IF(K342="each",J342,J342/100))</f>
        <v>0</v>
      </c>
      <c r="Q342" s="30">
        <f>IFERROR(IF(P342="","",P342*INDEX(Ingredients!$P$5:$P$304,MATCH(D342,Ingredients!$B$5:$B$304,0))),"")</f>
        <v>0</v>
      </c>
      <c r="R342" s="45">
        <f>IFERROR(IF(P342="","",P342*INDEX(Ingredients!$Q$5:$Q$304,MATCH(D342,Ingredients!$B$5:$B$304,0))),"")</f>
        <v>0</v>
      </c>
      <c r="S342" s="45">
        <f>IFERROR(IF(P342="","",P342*INDEX(Ingredients!$R$5:$R$304,MATCH(D342,Ingredients!$B$5:$B$304,0))),"")</f>
        <v>0</v>
      </c>
      <c r="T342" s="45">
        <f>IFERROR(IF(P342="","",P342*INDEX(Ingredients!$S$5:$S$304,MATCH(D342,Ingredients!$B$5:$B$304,0))),"")</f>
        <v>0</v>
      </c>
      <c r="U342" s="45">
        <f>IFERROR(IF(P342="","",P342*INDEX(Ingredients!$T$5:$T$304,MATCH(D342,Ingredients!$B$5:$B$304,0))),"")</f>
        <v>0</v>
      </c>
      <c r="V342" s="17">
        <f>IF(D342="","",IFERROR(INDEX(Ingredients!$W$5:$W$304,MATCH(D342,Ingredients!$B$5:$B$304,0)),"Add to Ingredients"))</f>
        <v>0</v>
      </c>
      <c r="W342" s="17">
        <f>IF(D342="","",IFERROR(INDEX(Ingredients!$C$5:$C$304,MATCH(D342,Ingredients!$B$5:$B$304,0)),"Add to Ingredients"))</f>
        <v>0</v>
      </c>
      <c r="X342" s="45">
        <f>IFERROR(INDEX(Recipes!$AT$5:$AT$204,MATCH(B342,Recipes!$A$5:$A$204,0)),0)</f>
        <v>0</v>
      </c>
      <c r="Y342" s="45">
        <f>IF(OR(J342="",X342=0),"",J342*X342)</f>
        <v>0</v>
      </c>
      <c r="Z342" s="17">
        <f>IF(D342="","",B342&amp;"#"&amp;COUNTIFS($B$5:B342,B342))</f>
        <v>0</v>
      </c>
      <c r="AA342" s="17">
        <f>IF(D342="","",B342&amp;"|"&amp;D342)</f>
        <v>0</v>
      </c>
      <c r="AB342" s="31">
        <f>IF(D342="","",IF(B342="","Add - which recipe?",IF(COUNTIFS(Ingredients!$B$5:$B$304,D342)=0,"Missing - not in the Ingredients tab",IF(E342="","Add - no quantity",IF(F342="","Add - no unit",IF(K342&lt;&gt;L342,"Check - recipe in "&amp;K342&amp;", priced in "&amp;L342,IF(COUNTIFS($AA$5:$AA$1204,AA342)&gt;1,"Duplicate - same ingredient twice","OK")))))))</f>
        <v>0</v>
      </c>
    </row>
    <row r="343" spans="1:28">
      <c r="A343" s="39">
        <f>IF(D343="","","RL-"&amp;TEXT(ROW()-4,"0000"))</f>
        <v>0</v>
      </c>
      <c r="C343" s="17">
        <f>IF(B343="","",IFERROR(INDEX(Recipes!$B$5:$B$204,MATCH(B343,Recipes!$A$5:$A$204,0)),"Not found"))</f>
        <v>0</v>
      </c>
      <c r="J343" s="45">
        <f>IF(E343="","",IFERROR(E343*INDEX(UnitFactors,MATCH(F343,UnitNames,0)),""))</f>
        <v>0</v>
      </c>
      <c r="K343" s="17">
        <f>IF(F343="","",IFERROR(INDEX(UnitBases,MATCH(F343,UnitNames,0)),"?"))</f>
        <v>0</v>
      </c>
      <c r="L343" s="17">
        <f>IF(D343="","",IFERROR(INDEX(Ingredients!$G$5:$G$304,MATCH(D343,Ingredients!$B$5:$B$304,0)),"Add to Ingredients"))</f>
        <v>0</v>
      </c>
      <c r="M343" s="25">
        <f>IF(D343="","",IFERROR(INDEX(Ingredients!$J$5:$J$304,MATCH(D343,Ingredients!$B$5:$B$304,0)),"Add to Ingredients"))</f>
        <v>0</v>
      </c>
      <c r="N343" s="25">
        <f>IF(OR(J343="",M343="",NOT(ISNUMBER(M343))),"",IF(K343&lt;&gt;L343,"",J343*M343))</f>
        <v>0</v>
      </c>
      <c r="O343" s="25">
        <f>IF(N343="","",IFERROR(N343/INDEX(Recipes!$G$5:$G$204,MATCH(B343,Recipes!$A$5:$A$204,0)),""))</f>
        <v>0</v>
      </c>
      <c r="P343" s="30">
        <f>IF(J343="","",IF(K343="each",J343,J343/100))</f>
        <v>0</v>
      </c>
      <c r="Q343" s="30">
        <f>IFERROR(IF(P343="","",P343*INDEX(Ingredients!$P$5:$P$304,MATCH(D343,Ingredients!$B$5:$B$304,0))),"")</f>
        <v>0</v>
      </c>
      <c r="R343" s="45">
        <f>IFERROR(IF(P343="","",P343*INDEX(Ingredients!$Q$5:$Q$304,MATCH(D343,Ingredients!$B$5:$B$304,0))),"")</f>
        <v>0</v>
      </c>
      <c r="S343" s="45">
        <f>IFERROR(IF(P343="","",P343*INDEX(Ingredients!$R$5:$R$304,MATCH(D343,Ingredients!$B$5:$B$304,0))),"")</f>
        <v>0</v>
      </c>
      <c r="T343" s="45">
        <f>IFERROR(IF(P343="","",P343*INDEX(Ingredients!$S$5:$S$304,MATCH(D343,Ingredients!$B$5:$B$304,0))),"")</f>
        <v>0</v>
      </c>
      <c r="U343" s="45">
        <f>IFERROR(IF(P343="","",P343*INDEX(Ingredients!$T$5:$T$304,MATCH(D343,Ingredients!$B$5:$B$304,0))),"")</f>
        <v>0</v>
      </c>
      <c r="V343" s="17">
        <f>IF(D343="","",IFERROR(INDEX(Ingredients!$W$5:$W$304,MATCH(D343,Ingredients!$B$5:$B$304,0)),"Add to Ingredients"))</f>
        <v>0</v>
      </c>
      <c r="W343" s="17">
        <f>IF(D343="","",IFERROR(INDEX(Ingredients!$C$5:$C$304,MATCH(D343,Ingredients!$B$5:$B$304,0)),"Add to Ingredients"))</f>
        <v>0</v>
      </c>
      <c r="X343" s="45">
        <f>IFERROR(INDEX(Recipes!$AT$5:$AT$204,MATCH(B343,Recipes!$A$5:$A$204,0)),0)</f>
        <v>0</v>
      </c>
      <c r="Y343" s="45">
        <f>IF(OR(J343="",X343=0),"",J343*X343)</f>
        <v>0</v>
      </c>
      <c r="Z343" s="17">
        <f>IF(D343="","",B343&amp;"#"&amp;COUNTIFS($B$5:B343,B343))</f>
        <v>0</v>
      </c>
      <c r="AA343" s="17">
        <f>IF(D343="","",B343&amp;"|"&amp;D343)</f>
        <v>0</v>
      </c>
      <c r="AB343" s="31">
        <f>IF(D343="","",IF(B343="","Add - which recipe?",IF(COUNTIFS(Ingredients!$B$5:$B$304,D343)=0,"Missing - not in the Ingredients tab",IF(E343="","Add - no quantity",IF(F343="","Add - no unit",IF(K343&lt;&gt;L343,"Check - recipe in "&amp;K343&amp;", priced in "&amp;L343,IF(COUNTIFS($AA$5:$AA$1204,AA343)&gt;1,"Duplicate - same ingredient twice","OK")))))))</f>
        <v>0</v>
      </c>
    </row>
    <row r="344" spans="1:28">
      <c r="A344" s="39">
        <f>IF(D344="","","RL-"&amp;TEXT(ROW()-4,"0000"))</f>
        <v>0</v>
      </c>
      <c r="C344" s="17">
        <f>IF(B344="","",IFERROR(INDEX(Recipes!$B$5:$B$204,MATCH(B344,Recipes!$A$5:$A$204,0)),"Not found"))</f>
        <v>0</v>
      </c>
      <c r="J344" s="45">
        <f>IF(E344="","",IFERROR(E344*INDEX(UnitFactors,MATCH(F344,UnitNames,0)),""))</f>
        <v>0</v>
      </c>
      <c r="K344" s="17">
        <f>IF(F344="","",IFERROR(INDEX(UnitBases,MATCH(F344,UnitNames,0)),"?"))</f>
        <v>0</v>
      </c>
      <c r="L344" s="17">
        <f>IF(D344="","",IFERROR(INDEX(Ingredients!$G$5:$G$304,MATCH(D344,Ingredients!$B$5:$B$304,0)),"Add to Ingredients"))</f>
        <v>0</v>
      </c>
      <c r="M344" s="25">
        <f>IF(D344="","",IFERROR(INDEX(Ingredients!$J$5:$J$304,MATCH(D344,Ingredients!$B$5:$B$304,0)),"Add to Ingredients"))</f>
        <v>0</v>
      </c>
      <c r="N344" s="25">
        <f>IF(OR(J344="",M344="",NOT(ISNUMBER(M344))),"",IF(K344&lt;&gt;L344,"",J344*M344))</f>
        <v>0</v>
      </c>
      <c r="O344" s="25">
        <f>IF(N344="","",IFERROR(N344/INDEX(Recipes!$G$5:$G$204,MATCH(B344,Recipes!$A$5:$A$204,0)),""))</f>
        <v>0</v>
      </c>
      <c r="P344" s="30">
        <f>IF(J344="","",IF(K344="each",J344,J344/100))</f>
        <v>0</v>
      </c>
      <c r="Q344" s="30">
        <f>IFERROR(IF(P344="","",P344*INDEX(Ingredients!$P$5:$P$304,MATCH(D344,Ingredients!$B$5:$B$304,0))),"")</f>
        <v>0</v>
      </c>
      <c r="R344" s="45">
        <f>IFERROR(IF(P344="","",P344*INDEX(Ingredients!$Q$5:$Q$304,MATCH(D344,Ingredients!$B$5:$B$304,0))),"")</f>
        <v>0</v>
      </c>
      <c r="S344" s="45">
        <f>IFERROR(IF(P344="","",P344*INDEX(Ingredients!$R$5:$R$304,MATCH(D344,Ingredients!$B$5:$B$304,0))),"")</f>
        <v>0</v>
      </c>
      <c r="T344" s="45">
        <f>IFERROR(IF(P344="","",P344*INDEX(Ingredients!$S$5:$S$304,MATCH(D344,Ingredients!$B$5:$B$304,0))),"")</f>
        <v>0</v>
      </c>
      <c r="U344" s="45">
        <f>IFERROR(IF(P344="","",P344*INDEX(Ingredients!$T$5:$T$304,MATCH(D344,Ingredients!$B$5:$B$304,0))),"")</f>
        <v>0</v>
      </c>
      <c r="V344" s="17">
        <f>IF(D344="","",IFERROR(INDEX(Ingredients!$W$5:$W$304,MATCH(D344,Ingredients!$B$5:$B$304,0)),"Add to Ingredients"))</f>
        <v>0</v>
      </c>
      <c r="W344" s="17">
        <f>IF(D344="","",IFERROR(INDEX(Ingredients!$C$5:$C$304,MATCH(D344,Ingredients!$B$5:$B$304,0)),"Add to Ingredients"))</f>
        <v>0</v>
      </c>
      <c r="X344" s="45">
        <f>IFERROR(INDEX(Recipes!$AT$5:$AT$204,MATCH(B344,Recipes!$A$5:$A$204,0)),0)</f>
        <v>0</v>
      </c>
      <c r="Y344" s="45">
        <f>IF(OR(J344="",X344=0),"",J344*X344)</f>
        <v>0</v>
      </c>
      <c r="Z344" s="17">
        <f>IF(D344="","",B344&amp;"#"&amp;COUNTIFS($B$5:B344,B344))</f>
        <v>0</v>
      </c>
      <c r="AA344" s="17">
        <f>IF(D344="","",B344&amp;"|"&amp;D344)</f>
        <v>0</v>
      </c>
      <c r="AB344" s="31">
        <f>IF(D344="","",IF(B344="","Add - which recipe?",IF(COUNTIFS(Ingredients!$B$5:$B$304,D344)=0,"Missing - not in the Ingredients tab",IF(E344="","Add - no quantity",IF(F344="","Add - no unit",IF(K344&lt;&gt;L344,"Check - recipe in "&amp;K344&amp;", priced in "&amp;L344,IF(COUNTIFS($AA$5:$AA$1204,AA344)&gt;1,"Duplicate - same ingredient twice","OK")))))))</f>
        <v>0</v>
      </c>
    </row>
    <row r="345" spans="1:28">
      <c r="A345" s="39">
        <f>IF(D345="","","RL-"&amp;TEXT(ROW()-4,"0000"))</f>
        <v>0</v>
      </c>
      <c r="C345" s="17">
        <f>IF(B345="","",IFERROR(INDEX(Recipes!$B$5:$B$204,MATCH(B345,Recipes!$A$5:$A$204,0)),"Not found"))</f>
        <v>0</v>
      </c>
      <c r="J345" s="45">
        <f>IF(E345="","",IFERROR(E345*INDEX(UnitFactors,MATCH(F345,UnitNames,0)),""))</f>
        <v>0</v>
      </c>
      <c r="K345" s="17">
        <f>IF(F345="","",IFERROR(INDEX(UnitBases,MATCH(F345,UnitNames,0)),"?"))</f>
        <v>0</v>
      </c>
      <c r="L345" s="17">
        <f>IF(D345="","",IFERROR(INDEX(Ingredients!$G$5:$G$304,MATCH(D345,Ingredients!$B$5:$B$304,0)),"Add to Ingredients"))</f>
        <v>0</v>
      </c>
      <c r="M345" s="25">
        <f>IF(D345="","",IFERROR(INDEX(Ingredients!$J$5:$J$304,MATCH(D345,Ingredients!$B$5:$B$304,0)),"Add to Ingredients"))</f>
        <v>0</v>
      </c>
      <c r="N345" s="25">
        <f>IF(OR(J345="",M345="",NOT(ISNUMBER(M345))),"",IF(K345&lt;&gt;L345,"",J345*M345))</f>
        <v>0</v>
      </c>
      <c r="O345" s="25">
        <f>IF(N345="","",IFERROR(N345/INDEX(Recipes!$G$5:$G$204,MATCH(B345,Recipes!$A$5:$A$204,0)),""))</f>
        <v>0</v>
      </c>
      <c r="P345" s="30">
        <f>IF(J345="","",IF(K345="each",J345,J345/100))</f>
        <v>0</v>
      </c>
      <c r="Q345" s="30">
        <f>IFERROR(IF(P345="","",P345*INDEX(Ingredients!$P$5:$P$304,MATCH(D345,Ingredients!$B$5:$B$304,0))),"")</f>
        <v>0</v>
      </c>
      <c r="R345" s="45">
        <f>IFERROR(IF(P345="","",P345*INDEX(Ingredients!$Q$5:$Q$304,MATCH(D345,Ingredients!$B$5:$B$304,0))),"")</f>
        <v>0</v>
      </c>
      <c r="S345" s="45">
        <f>IFERROR(IF(P345="","",P345*INDEX(Ingredients!$R$5:$R$304,MATCH(D345,Ingredients!$B$5:$B$304,0))),"")</f>
        <v>0</v>
      </c>
      <c r="T345" s="45">
        <f>IFERROR(IF(P345="","",P345*INDEX(Ingredients!$S$5:$S$304,MATCH(D345,Ingredients!$B$5:$B$304,0))),"")</f>
        <v>0</v>
      </c>
      <c r="U345" s="45">
        <f>IFERROR(IF(P345="","",P345*INDEX(Ingredients!$T$5:$T$304,MATCH(D345,Ingredients!$B$5:$B$304,0))),"")</f>
        <v>0</v>
      </c>
      <c r="V345" s="17">
        <f>IF(D345="","",IFERROR(INDEX(Ingredients!$W$5:$W$304,MATCH(D345,Ingredients!$B$5:$B$304,0)),"Add to Ingredients"))</f>
        <v>0</v>
      </c>
      <c r="W345" s="17">
        <f>IF(D345="","",IFERROR(INDEX(Ingredients!$C$5:$C$304,MATCH(D345,Ingredients!$B$5:$B$304,0)),"Add to Ingredients"))</f>
        <v>0</v>
      </c>
      <c r="X345" s="45">
        <f>IFERROR(INDEX(Recipes!$AT$5:$AT$204,MATCH(B345,Recipes!$A$5:$A$204,0)),0)</f>
        <v>0</v>
      </c>
      <c r="Y345" s="45">
        <f>IF(OR(J345="",X345=0),"",J345*X345)</f>
        <v>0</v>
      </c>
      <c r="Z345" s="17">
        <f>IF(D345="","",B345&amp;"#"&amp;COUNTIFS($B$5:B345,B345))</f>
        <v>0</v>
      </c>
      <c r="AA345" s="17">
        <f>IF(D345="","",B345&amp;"|"&amp;D345)</f>
        <v>0</v>
      </c>
      <c r="AB345" s="31">
        <f>IF(D345="","",IF(B345="","Add - which recipe?",IF(COUNTIFS(Ingredients!$B$5:$B$304,D345)=0,"Missing - not in the Ingredients tab",IF(E345="","Add - no quantity",IF(F345="","Add - no unit",IF(K345&lt;&gt;L345,"Check - recipe in "&amp;K345&amp;", priced in "&amp;L345,IF(COUNTIFS($AA$5:$AA$1204,AA345)&gt;1,"Duplicate - same ingredient twice","OK")))))))</f>
        <v>0</v>
      </c>
    </row>
    <row r="346" spans="1:28">
      <c r="A346" s="39">
        <f>IF(D346="","","RL-"&amp;TEXT(ROW()-4,"0000"))</f>
        <v>0</v>
      </c>
      <c r="C346" s="17">
        <f>IF(B346="","",IFERROR(INDEX(Recipes!$B$5:$B$204,MATCH(B346,Recipes!$A$5:$A$204,0)),"Not found"))</f>
        <v>0</v>
      </c>
      <c r="J346" s="45">
        <f>IF(E346="","",IFERROR(E346*INDEX(UnitFactors,MATCH(F346,UnitNames,0)),""))</f>
        <v>0</v>
      </c>
      <c r="K346" s="17">
        <f>IF(F346="","",IFERROR(INDEX(UnitBases,MATCH(F346,UnitNames,0)),"?"))</f>
        <v>0</v>
      </c>
      <c r="L346" s="17">
        <f>IF(D346="","",IFERROR(INDEX(Ingredients!$G$5:$G$304,MATCH(D346,Ingredients!$B$5:$B$304,0)),"Add to Ingredients"))</f>
        <v>0</v>
      </c>
      <c r="M346" s="25">
        <f>IF(D346="","",IFERROR(INDEX(Ingredients!$J$5:$J$304,MATCH(D346,Ingredients!$B$5:$B$304,0)),"Add to Ingredients"))</f>
        <v>0</v>
      </c>
      <c r="N346" s="25">
        <f>IF(OR(J346="",M346="",NOT(ISNUMBER(M346))),"",IF(K346&lt;&gt;L346,"",J346*M346))</f>
        <v>0</v>
      </c>
      <c r="O346" s="25">
        <f>IF(N346="","",IFERROR(N346/INDEX(Recipes!$G$5:$G$204,MATCH(B346,Recipes!$A$5:$A$204,0)),""))</f>
        <v>0</v>
      </c>
      <c r="P346" s="30">
        <f>IF(J346="","",IF(K346="each",J346,J346/100))</f>
        <v>0</v>
      </c>
      <c r="Q346" s="30">
        <f>IFERROR(IF(P346="","",P346*INDEX(Ingredients!$P$5:$P$304,MATCH(D346,Ingredients!$B$5:$B$304,0))),"")</f>
        <v>0</v>
      </c>
      <c r="R346" s="45">
        <f>IFERROR(IF(P346="","",P346*INDEX(Ingredients!$Q$5:$Q$304,MATCH(D346,Ingredients!$B$5:$B$304,0))),"")</f>
        <v>0</v>
      </c>
      <c r="S346" s="45">
        <f>IFERROR(IF(P346="","",P346*INDEX(Ingredients!$R$5:$R$304,MATCH(D346,Ingredients!$B$5:$B$304,0))),"")</f>
        <v>0</v>
      </c>
      <c r="T346" s="45">
        <f>IFERROR(IF(P346="","",P346*INDEX(Ingredients!$S$5:$S$304,MATCH(D346,Ingredients!$B$5:$B$304,0))),"")</f>
        <v>0</v>
      </c>
      <c r="U346" s="45">
        <f>IFERROR(IF(P346="","",P346*INDEX(Ingredients!$T$5:$T$304,MATCH(D346,Ingredients!$B$5:$B$304,0))),"")</f>
        <v>0</v>
      </c>
      <c r="V346" s="17">
        <f>IF(D346="","",IFERROR(INDEX(Ingredients!$W$5:$W$304,MATCH(D346,Ingredients!$B$5:$B$304,0)),"Add to Ingredients"))</f>
        <v>0</v>
      </c>
      <c r="W346" s="17">
        <f>IF(D346="","",IFERROR(INDEX(Ingredients!$C$5:$C$304,MATCH(D346,Ingredients!$B$5:$B$304,0)),"Add to Ingredients"))</f>
        <v>0</v>
      </c>
      <c r="X346" s="45">
        <f>IFERROR(INDEX(Recipes!$AT$5:$AT$204,MATCH(B346,Recipes!$A$5:$A$204,0)),0)</f>
        <v>0</v>
      </c>
      <c r="Y346" s="45">
        <f>IF(OR(J346="",X346=0),"",J346*X346)</f>
        <v>0</v>
      </c>
      <c r="Z346" s="17">
        <f>IF(D346="","",B346&amp;"#"&amp;COUNTIFS($B$5:B346,B346))</f>
        <v>0</v>
      </c>
      <c r="AA346" s="17">
        <f>IF(D346="","",B346&amp;"|"&amp;D346)</f>
        <v>0</v>
      </c>
      <c r="AB346" s="31">
        <f>IF(D346="","",IF(B346="","Add - which recipe?",IF(COUNTIFS(Ingredients!$B$5:$B$304,D346)=0,"Missing - not in the Ingredients tab",IF(E346="","Add - no quantity",IF(F346="","Add - no unit",IF(K346&lt;&gt;L346,"Check - recipe in "&amp;K346&amp;", priced in "&amp;L346,IF(COUNTIFS($AA$5:$AA$1204,AA346)&gt;1,"Duplicate - same ingredient twice","OK")))))))</f>
        <v>0</v>
      </c>
    </row>
    <row r="347" spans="1:28">
      <c r="A347" s="39">
        <f>IF(D347="","","RL-"&amp;TEXT(ROW()-4,"0000"))</f>
        <v>0</v>
      </c>
      <c r="C347" s="17">
        <f>IF(B347="","",IFERROR(INDEX(Recipes!$B$5:$B$204,MATCH(B347,Recipes!$A$5:$A$204,0)),"Not found"))</f>
        <v>0</v>
      </c>
      <c r="J347" s="45">
        <f>IF(E347="","",IFERROR(E347*INDEX(UnitFactors,MATCH(F347,UnitNames,0)),""))</f>
        <v>0</v>
      </c>
      <c r="K347" s="17">
        <f>IF(F347="","",IFERROR(INDEX(UnitBases,MATCH(F347,UnitNames,0)),"?"))</f>
        <v>0</v>
      </c>
      <c r="L347" s="17">
        <f>IF(D347="","",IFERROR(INDEX(Ingredients!$G$5:$G$304,MATCH(D347,Ingredients!$B$5:$B$304,0)),"Add to Ingredients"))</f>
        <v>0</v>
      </c>
      <c r="M347" s="25">
        <f>IF(D347="","",IFERROR(INDEX(Ingredients!$J$5:$J$304,MATCH(D347,Ingredients!$B$5:$B$304,0)),"Add to Ingredients"))</f>
        <v>0</v>
      </c>
      <c r="N347" s="25">
        <f>IF(OR(J347="",M347="",NOT(ISNUMBER(M347))),"",IF(K347&lt;&gt;L347,"",J347*M347))</f>
        <v>0</v>
      </c>
      <c r="O347" s="25">
        <f>IF(N347="","",IFERROR(N347/INDEX(Recipes!$G$5:$G$204,MATCH(B347,Recipes!$A$5:$A$204,0)),""))</f>
        <v>0</v>
      </c>
      <c r="P347" s="30">
        <f>IF(J347="","",IF(K347="each",J347,J347/100))</f>
        <v>0</v>
      </c>
      <c r="Q347" s="30">
        <f>IFERROR(IF(P347="","",P347*INDEX(Ingredients!$P$5:$P$304,MATCH(D347,Ingredients!$B$5:$B$304,0))),"")</f>
        <v>0</v>
      </c>
      <c r="R347" s="45">
        <f>IFERROR(IF(P347="","",P347*INDEX(Ingredients!$Q$5:$Q$304,MATCH(D347,Ingredients!$B$5:$B$304,0))),"")</f>
        <v>0</v>
      </c>
      <c r="S347" s="45">
        <f>IFERROR(IF(P347="","",P347*INDEX(Ingredients!$R$5:$R$304,MATCH(D347,Ingredients!$B$5:$B$304,0))),"")</f>
        <v>0</v>
      </c>
      <c r="T347" s="45">
        <f>IFERROR(IF(P347="","",P347*INDEX(Ingredients!$S$5:$S$304,MATCH(D347,Ingredients!$B$5:$B$304,0))),"")</f>
        <v>0</v>
      </c>
      <c r="U347" s="45">
        <f>IFERROR(IF(P347="","",P347*INDEX(Ingredients!$T$5:$T$304,MATCH(D347,Ingredients!$B$5:$B$304,0))),"")</f>
        <v>0</v>
      </c>
      <c r="V347" s="17">
        <f>IF(D347="","",IFERROR(INDEX(Ingredients!$W$5:$W$304,MATCH(D347,Ingredients!$B$5:$B$304,0)),"Add to Ingredients"))</f>
        <v>0</v>
      </c>
      <c r="W347" s="17">
        <f>IF(D347="","",IFERROR(INDEX(Ingredients!$C$5:$C$304,MATCH(D347,Ingredients!$B$5:$B$304,0)),"Add to Ingredients"))</f>
        <v>0</v>
      </c>
      <c r="X347" s="45">
        <f>IFERROR(INDEX(Recipes!$AT$5:$AT$204,MATCH(B347,Recipes!$A$5:$A$204,0)),0)</f>
        <v>0</v>
      </c>
      <c r="Y347" s="45">
        <f>IF(OR(J347="",X347=0),"",J347*X347)</f>
        <v>0</v>
      </c>
      <c r="Z347" s="17">
        <f>IF(D347="","",B347&amp;"#"&amp;COUNTIFS($B$5:B347,B347))</f>
        <v>0</v>
      </c>
      <c r="AA347" s="17">
        <f>IF(D347="","",B347&amp;"|"&amp;D347)</f>
        <v>0</v>
      </c>
      <c r="AB347" s="31">
        <f>IF(D347="","",IF(B347="","Add - which recipe?",IF(COUNTIFS(Ingredients!$B$5:$B$304,D347)=0,"Missing - not in the Ingredients tab",IF(E347="","Add - no quantity",IF(F347="","Add - no unit",IF(K347&lt;&gt;L347,"Check - recipe in "&amp;K347&amp;", priced in "&amp;L347,IF(COUNTIFS($AA$5:$AA$1204,AA347)&gt;1,"Duplicate - same ingredient twice","OK")))))))</f>
        <v>0</v>
      </c>
    </row>
    <row r="348" spans="1:28">
      <c r="A348" s="39">
        <f>IF(D348="","","RL-"&amp;TEXT(ROW()-4,"0000"))</f>
        <v>0</v>
      </c>
      <c r="C348" s="17">
        <f>IF(B348="","",IFERROR(INDEX(Recipes!$B$5:$B$204,MATCH(B348,Recipes!$A$5:$A$204,0)),"Not found"))</f>
        <v>0</v>
      </c>
      <c r="J348" s="45">
        <f>IF(E348="","",IFERROR(E348*INDEX(UnitFactors,MATCH(F348,UnitNames,0)),""))</f>
        <v>0</v>
      </c>
      <c r="K348" s="17">
        <f>IF(F348="","",IFERROR(INDEX(UnitBases,MATCH(F348,UnitNames,0)),"?"))</f>
        <v>0</v>
      </c>
      <c r="L348" s="17">
        <f>IF(D348="","",IFERROR(INDEX(Ingredients!$G$5:$G$304,MATCH(D348,Ingredients!$B$5:$B$304,0)),"Add to Ingredients"))</f>
        <v>0</v>
      </c>
      <c r="M348" s="25">
        <f>IF(D348="","",IFERROR(INDEX(Ingredients!$J$5:$J$304,MATCH(D348,Ingredients!$B$5:$B$304,0)),"Add to Ingredients"))</f>
        <v>0</v>
      </c>
      <c r="N348" s="25">
        <f>IF(OR(J348="",M348="",NOT(ISNUMBER(M348))),"",IF(K348&lt;&gt;L348,"",J348*M348))</f>
        <v>0</v>
      </c>
      <c r="O348" s="25">
        <f>IF(N348="","",IFERROR(N348/INDEX(Recipes!$G$5:$G$204,MATCH(B348,Recipes!$A$5:$A$204,0)),""))</f>
        <v>0</v>
      </c>
      <c r="P348" s="30">
        <f>IF(J348="","",IF(K348="each",J348,J348/100))</f>
        <v>0</v>
      </c>
      <c r="Q348" s="30">
        <f>IFERROR(IF(P348="","",P348*INDEX(Ingredients!$P$5:$P$304,MATCH(D348,Ingredients!$B$5:$B$304,0))),"")</f>
        <v>0</v>
      </c>
      <c r="R348" s="45">
        <f>IFERROR(IF(P348="","",P348*INDEX(Ingredients!$Q$5:$Q$304,MATCH(D348,Ingredients!$B$5:$B$304,0))),"")</f>
        <v>0</v>
      </c>
      <c r="S348" s="45">
        <f>IFERROR(IF(P348="","",P348*INDEX(Ingredients!$R$5:$R$304,MATCH(D348,Ingredients!$B$5:$B$304,0))),"")</f>
        <v>0</v>
      </c>
      <c r="T348" s="45">
        <f>IFERROR(IF(P348="","",P348*INDEX(Ingredients!$S$5:$S$304,MATCH(D348,Ingredients!$B$5:$B$304,0))),"")</f>
        <v>0</v>
      </c>
      <c r="U348" s="45">
        <f>IFERROR(IF(P348="","",P348*INDEX(Ingredients!$T$5:$T$304,MATCH(D348,Ingredients!$B$5:$B$304,0))),"")</f>
        <v>0</v>
      </c>
      <c r="V348" s="17">
        <f>IF(D348="","",IFERROR(INDEX(Ingredients!$W$5:$W$304,MATCH(D348,Ingredients!$B$5:$B$304,0)),"Add to Ingredients"))</f>
        <v>0</v>
      </c>
      <c r="W348" s="17">
        <f>IF(D348="","",IFERROR(INDEX(Ingredients!$C$5:$C$304,MATCH(D348,Ingredients!$B$5:$B$304,0)),"Add to Ingredients"))</f>
        <v>0</v>
      </c>
      <c r="X348" s="45">
        <f>IFERROR(INDEX(Recipes!$AT$5:$AT$204,MATCH(B348,Recipes!$A$5:$A$204,0)),0)</f>
        <v>0</v>
      </c>
      <c r="Y348" s="45">
        <f>IF(OR(J348="",X348=0),"",J348*X348)</f>
        <v>0</v>
      </c>
      <c r="Z348" s="17">
        <f>IF(D348="","",B348&amp;"#"&amp;COUNTIFS($B$5:B348,B348))</f>
        <v>0</v>
      </c>
      <c r="AA348" s="17">
        <f>IF(D348="","",B348&amp;"|"&amp;D348)</f>
        <v>0</v>
      </c>
      <c r="AB348" s="31">
        <f>IF(D348="","",IF(B348="","Add - which recipe?",IF(COUNTIFS(Ingredients!$B$5:$B$304,D348)=0,"Missing - not in the Ingredients tab",IF(E348="","Add - no quantity",IF(F348="","Add - no unit",IF(K348&lt;&gt;L348,"Check - recipe in "&amp;K348&amp;", priced in "&amp;L348,IF(COUNTIFS($AA$5:$AA$1204,AA348)&gt;1,"Duplicate - same ingredient twice","OK")))))))</f>
        <v>0</v>
      </c>
    </row>
    <row r="349" spans="1:28">
      <c r="A349" s="39">
        <f>IF(D349="","","RL-"&amp;TEXT(ROW()-4,"0000"))</f>
        <v>0</v>
      </c>
      <c r="C349" s="17">
        <f>IF(B349="","",IFERROR(INDEX(Recipes!$B$5:$B$204,MATCH(B349,Recipes!$A$5:$A$204,0)),"Not found"))</f>
        <v>0</v>
      </c>
      <c r="J349" s="45">
        <f>IF(E349="","",IFERROR(E349*INDEX(UnitFactors,MATCH(F349,UnitNames,0)),""))</f>
        <v>0</v>
      </c>
      <c r="K349" s="17">
        <f>IF(F349="","",IFERROR(INDEX(UnitBases,MATCH(F349,UnitNames,0)),"?"))</f>
        <v>0</v>
      </c>
      <c r="L349" s="17">
        <f>IF(D349="","",IFERROR(INDEX(Ingredients!$G$5:$G$304,MATCH(D349,Ingredients!$B$5:$B$304,0)),"Add to Ingredients"))</f>
        <v>0</v>
      </c>
      <c r="M349" s="25">
        <f>IF(D349="","",IFERROR(INDEX(Ingredients!$J$5:$J$304,MATCH(D349,Ingredients!$B$5:$B$304,0)),"Add to Ingredients"))</f>
        <v>0</v>
      </c>
      <c r="N349" s="25">
        <f>IF(OR(J349="",M349="",NOT(ISNUMBER(M349))),"",IF(K349&lt;&gt;L349,"",J349*M349))</f>
        <v>0</v>
      </c>
      <c r="O349" s="25">
        <f>IF(N349="","",IFERROR(N349/INDEX(Recipes!$G$5:$G$204,MATCH(B349,Recipes!$A$5:$A$204,0)),""))</f>
        <v>0</v>
      </c>
      <c r="P349" s="30">
        <f>IF(J349="","",IF(K349="each",J349,J349/100))</f>
        <v>0</v>
      </c>
      <c r="Q349" s="30">
        <f>IFERROR(IF(P349="","",P349*INDEX(Ingredients!$P$5:$P$304,MATCH(D349,Ingredients!$B$5:$B$304,0))),"")</f>
        <v>0</v>
      </c>
      <c r="R349" s="45">
        <f>IFERROR(IF(P349="","",P349*INDEX(Ingredients!$Q$5:$Q$304,MATCH(D349,Ingredients!$B$5:$B$304,0))),"")</f>
        <v>0</v>
      </c>
      <c r="S349" s="45">
        <f>IFERROR(IF(P349="","",P349*INDEX(Ingredients!$R$5:$R$304,MATCH(D349,Ingredients!$B$5:$B$304,0))),"")</f>
        <v>0</v>
      </c>
      <c r="T349" s="45">
        <f>IFERROR(IF(P349="","",P349*INDEX(Ingredients!$S$5:$S$304,MATCH(D349,Ingredients!$B$5:$B$304,0))),"")</f>
        <v>0</v>
      </c>
      <c r="U349" s="45">
        <f>IFERROR(IF(P349="","",P349*INDEX(Ingredients!$T$5:$T$304,MATCH(D349,Ingredients!$B$5:$B$304,0))),"")</f>
        <v>0</v>
      </c>
      <c r="V349" s="17">
        <f>IF(D349="","",IFERROR(INDEX(Ingredients!$W$5:$W$304,MATCH(D349,Ingredients!$B$5:$B$304,0)),"Add to Ingredients"))</f>
        <v>0</v>
      </c>
      <c r="W349" s="17">
        <f>IF(D349="","",IFERROR(INDEX(Ingredients!$C$5:$C$304,MATCH(D349,Ingredients!$B$5:$B$304,0)),"Add to Ingredients"))</f>
        <v>0</v>
      </c>
      <c r="X349" s="45">
        <f>IFERROR(INDEX(Recipes!$AT$5:$AT$204,MATCH(B349,Recipes!$A$5:$A$204,0)),0)</f>
        <v>0</v>
      </c>
      <c r="Y349" s="45">
        <f>IF(OR(J349="",X349=0),"",J349*X349)</f>
        <v>0</v>
      </c>
      <c r="Z349" s="17">
        <f>IF(D349="","",B349&amp;"#"&amp;COUNTIFS($B$5:B349,B349))</f>
        <v>0</v>
      </c>
      <c r="AA349" s="17">
        <f>IF(D349="","",B349&amp;"|"&amp;D349)</f>
        <v>0</v>
      </c>
      <c r="AB349" s="31">
        <f>IF(D349="","",IF(B349="","Add - which recipe?",IF(COUNTIFS(Ingredients!$B$5:$B$304,D349)=0,"Missing - not in the Ingredients tab",IF(E349="","Add - no quantity",IF(F349="","Add - no unit",IF(K349&lt;&gt;L349,"Check - recipe in "&amp;K349&amp;", priced in "&amp;L349,IF(COUNTIFS($AA$5:$AA$1204,AA349)&gt;1,"Duplicate - same ingredient twice","OK")))))))</f>
        <v>0</v>
      </c>
    </row>
    <row r="350" spans="1:28">
      <c r="A350" s="39">
        <f>IF(D350="","","RL-"&amp;TEXT(ROW()-4,"0000"))</f>
        <v>0</v>
      </c>
      <c r="C350" s="17">
        <f>IF(B350="","",IFERROR(INDEX(Recipes!$B$5:$B$204,MATCH(B350,Recipes!$A$5:$A$204,0)),"Not found"))</f>
        <v>0</v>
      </c>
      <c r="J350" s="45">
        <f>IF(E350="","",IFERROR(E350*INDEX(UnitFactors,MATCH(F350,UnitNames,0)),""))</f>
        <v>0</v>
      </c>
      <c r="K350" s="17">
        <f>IF(F350="","",IFERROR(INDEX(UnitBases,MATCH(F350,UnitNames,0)),"?"))</f>
        <v>0</v>
      </c>
      <c r="L350" s="17">
        <f>IF(D350="","",IFERROR(INDEX(Ingredients!$G$5:$G$304,MATCH(D350,Ingredients!$B$5:$B$304,0)),"Add to Ingredients"))</f>
        <v>0</v>
      </c>
      <c r="M350" s="25">
        <f>IF(D350="","",IFERROR(INDEX(Ingredients!$J$5:$J$304,MATCH(D350,Ingredients!$B$5:$B$304,0)),"Add to Ingredients"))</f>
        <v>0</v>
      </c>
      <c r="N350" s="25">
        <f>IF(OR(J350="",M350="",NOT(ISNUMBER(M350))),"",IF(K350&lt;&gt;L350,"",J350*M350))</f>
        <v>0</v>
      </c>
      <c r="O350" s="25">
        <f>IF(N350="","",IFERROR(N350/INDEX(Recipes!$G$5:$G$204,MATCH(B350,Recipes!$A$5:$A$204,0)),""))</f>
        <v>0</v>
      </c>
      <c r="P350" s="30">
        <f>IF(J350="","",IF(K350="each",J350,J350/100))</f>
        <v>0</v>
      </c>
      <c r="Q350" s="30">
        <f>IFERROR(IF(P350="","",P350*INDEX(Ingredients!$P$5:$P$304,MATCH(D350,Ingredients!$B$5:$B$304,0))),"")</f>
        <v>0</v>
      </c>
      <c r="R350" s="45">
        <f>IFERROR(IF(P350="","",P350*INDEX(Ingredients!$Q$5:$Q$304,MATCH(D350,Ingredients!$B$5:$B$304,0))),"")</f>
        <v>0</v>
      </c>
      <c r="S350" s="45">
        <f>IFERROR(IF(P350="","",P350*INDEX(Ingredients!$R$5:$R$304,MATCH(D350,Ingredients!$B$5:$B$304,0))),"")</f>
        <v>0</v>
      </c>
      <c r="T350" s="45">
        <f>IFERROR(IF(P350="","",P350*INDEX(Ingredients!$S$5:$S$304,MATCH(D350,Ingredients!$B$5:$B$304,0))),"")</f>
        <v>0</v>
      </c>
      <c r="U350" s="45">
        <f>IFERROR(IF(P350="","",P350*INDEX(Ingredients!$T$5:$T$304,MATCH(D350,Ingredients!$B$5:$B$304,0))),"")</f>
        <v>0</v>
      </c>
      <c r="V350" s="17">
        <f>IF(D350="","",IFERROR(INDEX(Ingredients!$W$5:$W$304,MATCH(D350,Ingredients!$B$5:$B$304,0)),"Add to Ingredients"))</f>
        <v>0</v>
      </c>
      <c r="W350" s="17">
        <f>IF(D350="","",IFERROR(INDEX(Ingredients!$C$5:$C$304,MATCH(D350,Ingredients!$B$5:$B$304,0)),"Add to Ingredients"))</f>
        <v>0</v>
      </c>
      <c r="X350" s="45">
        <f>IFERROR(INDEX(Recipes!$AT$5:$AT$204,MATCH(B350,Recipes!$A$5:$A$204,0)),0)</f>
        <v>0</v>
      </c>
      <c r="Y350" s="45">
        <f>IF(OR(J350="",X350=0),"",J350*X350)</f>
        <v>0</v>
      </c>
      <c r="Z350" s="17">
        <f>IF(D350="","",B350&amp;"#"&amp;COUNTIFS($B$5:B350,B350))</f>
        <v>0</v>
      </c>
      <c r="AA350" s="17">
        <f>IF(D350="","",B350&amp;"|"&amp;D350)</f>
        <v>0</v>
      </c>
      <c r="AB350" s="31">
        <f>IF(D350="","",IF(B350="","Add - which recipe?",IF(COUNTIFS(Ingredients!$B$5:$B$304,D350)=0,"Missing - not in the Ingredients tab",IF(E350="","Add - no quantity",IF(F350="","Add - no unit",IF(K350&lt;&gt;L350,"Check - recipe in "&amp;K350&amp;", priced in "&amp;L350,IF(COUNTIFS($AA$5:$AA$1204,AA350)&gt;1,"Duplicate - same ingredient twice","OK")))))))</f>
        <v>0</v>
      </c>
    </row>
    <row r="351" spans="1:28">
      <c r="A351" s="39">
        <f>IF(D351="","","RL-"&amp;TEXT(ROW()-4,"0000"))</f>
        <v>0</v>
      </c>
      <c r="C351" s="17">
        <f>IF(B351="","",IFERROR(INDEX(Recipes!$B$5:$B$204,MATCH(B351,Recipes!$A$5:$A$204,0)),"Not found"))</f>
        <v>0</v>
      </c>
      <c r="J351" s="45">
        <f>IF(E351="","",IFERROR(E351*INDEX(UnitFactors,MATCH(F351,UnitNames,0)),""))</f>
        <v>0</v>
      </c>
      <c r="K351" s="17">
        <f>IF(F351="","",IFERROR(INDEX(UnitBases,MATCH(F351,UnitNames,0)),"?"))</f>
        <v>0</v>
      </c>
      <c r="L351" s="17">
        <f>IF(D351="","",IFERROR(INDEX(Ingredients!$G$5:$G$304,MATCH(D351,Ingredients!$B$5:$B$304,0)),"Add to Ingredients"))</f>
        <v>0</v>
      </c>
      <c r="M351" s="25">
        <f>IF(D351="","",IFERROR(INDEX(Ingredients!$J$5:$J$304,MATCH(D351,Ingredients!$B$5:$B$304,0)),"Add to Ingredients"))</f>
        <v>0</v>
      </c>
      <c r="N351" s="25">
        <f>IF(OR(J351="",M351="",NOT(ISNUMBER(M351))),"",IF(K351&lt;&gt;L351,"",J351*M351))</f>
        <v>0</v>
      </c>
      <c r="O351" s="25">
        <f>IF(N351="","",IFERROR(N351/INDEX(Recipes!$G$5:$G$204,MATCH(B351,Recipes!$A$5:$A$204,0)),""))</f>
        <v>0</v>
      </c>
      <c r="P351" s="30">
        <f>IF(J351="","",IF(K351="each",J351,J351/100))</f>
        <v>0</v>
      </c>
      <c r="Q351" s="30">
        <f>IFERROR(IF(P351="","",P351*INDEX(Ingredients!$P$5:$P$304,MATCH(D351,Ingredients!$B$5:$B$304,0))),"")</f>
        <v>0</v>
      </c>
      <c r="R351" s="45">
        <f>IFERROR(IF(P351="","",P351*INDEX(Ingredients!$Q$5:$Q$304,MATCH(D351,Ingredients!$B$5:$B$304,0))),"")</f>
        <v>0</v>
      </c>
      <c r="S351" s="45">
        <f>IFERROR(IF(P351="","",P351*INDEX(Ingredients!$R$5:$R$304,MATCH(D351,Ingredients!$B$5:$B$304,0))),"")</f>
        <v>0</v>
      </c>
      <c r="T351" s="45">
        <f>IFERROR(IF(P351="","",P351*INDEX(Ingredients!$S$5:$S$304,MATCH(D351,Ingredients!$B$5:$B$304,0))),"")</f>
        <v>0</v>
      </c>
      <c r="U351" s="45">
        <f>IFERROR(IF(P351="","",P351*INDEX(Ingredients!$T$5:$T$304,MATCH(D351,Ingredients!$B$5:$B$304,0))),"")</f>
        <v>0</v>
      </c>
      <c r="V351" s="17">
        <f>IF(D351="","",IFERROR(INDEX(Ingredients!$W$5:$W$304,MATCH(D351,Ingredients!$B$5:$B$304,0)),"Add to Ingredients"))</f>
        <v>0</v>
      </c>
      <c r="W351" s="17">
        <f>IF(D351="","",IFERROR(INDEX(Ingredients!$C$5:$C$304,MATCH(D351,Ingredients!$B$5:$B$304,0)),"Add to Ingredients"))</f>
        <v>0</v>
      </c>
      <c r="X351" s="45">
        <f>IFERROR(INDEX(Recipes!$AT$5:$AT$204,MATCH(B351,Recipes!$A$5:$A$204,0)),0)</f>
        <v>0</v>
      </c>
      <c r="Y351" s="45">
        <f>IF(OR(J351="",X351=0),"",J351*X351)</f>
        <v>0</v>
      </c>
      <c r="Z351" s="17">
        <f>IF(D351="","",B351&amp;"#"&amp;COUNTIFS($B$5:B351,B351))</f>
        <v>0</v>
      </c>
      <c r="AA351" s="17">
        <f>IF(D351="","",B351&amp;"|"&amp;D351)</f>
        <v>0</v>
      </c>
      <c r="AB351" s="31">
        <f>IF(D351="","",IF(B351="","Add - which recipe?",IF(COUNTIFS(Ingredients!$B$5:$B$304,D351)=0,"Missing - not in the Ingredients tab",IF(E351="","Add - no quantity",IF(F351="","Add - no unit",IF(K351&lt;&gt;L351,"Check - recipe in "&amp;K351&amp;", priced in "&amp;L351,IF(COUNTIFS($AA$5:$AA$1204,AA351)&gt;1,"Duplicate - same ingredient twice","OK")))))))</f>
        <v>0</v>
      </c>
    </row>
    <row r="352" spans="1:28">
      <c r="A352" s="39">
        <f>IF(D352="","","RL-"&amp;TEXT(ROW()-4,"0000"))</f>
        <v>0</v>
      </c>
      <c r="C352" s="17">
        <f>IF(B352="","",IFERROR(INDEX(Recipes!$B$5:$B$204,MATCH(B352,Recipes!$A$5:$A$204,0)),"Not found"))</f>
        <v>0</v>
      </c>
      <c r="J352" s="45">
        <f>IF(E352="","",IFERROR(E352*INDEX(UnitFactors,MATCH(F352,UnitNames,0)),""))</f>
        <v>0</v>
      </c>
      <c r="K352" s="17">
        <f>IF(F352="","",IFERROR(INDEX(UnitBases,MATCH(F352,UnitNames,0)),"?"))</f>
        <v>0</v>
      </c>
      <c r="L352" s="17">
        <f>IF(D352="","",IFERROR(INDEX(Ingredients!$G$5:$G$304,MATCH(D352,Ingredients!$B$5:$B$304,0)),"Add to Ingredients"))</f>
        <v>0</v>
      </c>
      <c r="M352" s="25">
        <f>IF(D352="","",IFERROR(INDEX(Ingredients!$J$5:$J$304,MATCH(D352,Ingredients!$B$5:$B$304,0)),"Add to Ingredients"))</f>
        <v>0</v>
      </c>
      <c r="N352" s="25">
        <f>IF(OR(J352="",M352="",NOT(ISNUMBER(M352))),"",IF(K352&lt;&gt;L352,"",J352*M352))</f>
        <v>0</v>
      </c>
      <c r="O352" s="25">
        <f>IF(N352="","",IFERROR(N352/INDEX(Recipes!$G$5:$G$204,MATCH(B352,Recipes!$A$5:$A$204,0)),""))</f>
        <v>0</v>
      </c>
      <c r="P352" s="30">
        <f>IF(J352="","",IF(K352="each",J352,J352/100))</f>
        <v>0</v>
      </c>
      <c r="Q352" s="30">
        <f>IFERROR(IF(P352="","",P352*INDEX(Ingredients!$P$5:$P$304,MATCH(D352,Ingredients!$B$5:$B$304,0))),"")</f>
        <v>0</v>
      </c>
      <c r="R352" s="45">
        <f>IFERROR(IF(P352="","",P352*INDEX(Ingredients!$Q$5:$Q$304,MATCH(D352,Ingredients!$B$5:$B$304,0))),"")</f>
        <v>0</v>
      </c>
      <c r="S352" s="45">
        <f>IFERROR(IF(P352="","",P352*INDEX(Ingredients!$R$5:$R$304,MATCH(D352,Ingredients!$B$5:$B$304,0))),"")</f>
        <v>0</v>
      </c>
      <c r="T352" s="45">
        <f>IFERROR(IF(P352="","",P352*INDEX(Ingredients!$S$5:$S$304,MATCH(D352,Ingredients!$B$5:$B$304,0))),"")</f>
        <v>0</v>
      </c>
      <c r="U352" s="45">
        <f>IFERROR(IF(P352="","",P352*INDEX(Ingredients!$T$5:$T$304,MATCH(D352,Ingredients!$B$5:$B$304,0))),"")</f>
        <v>0</v>
      </c>
      <c r="V352" s="17">
        <f>IF(D352="","",IFERROR(INDEX(Ingredients!$W$5:$W$304,MATCH(D352,Ingredients!$B$5:$B$304,0)),"Add to Ingredients"))</f>
        <v>0</v>
      </c>
      <c r="W352" s="17">
        <f>IF(D352="","",IFERROR(INDEX(Ingredients!$C$5:$C$304,MATCH(D352,Ingredients!$B$5:$B$304,0)),"Add to Ingredients"))</f>
        <v>0</v>
      </c>
      <c r="X352" s="45">
        <f>IFERROR(INDEX(Recipes!$AT$5:$AT$204,MATCH(B352,Recipes!$A$5:$A$204,0)),0)</f>
        <v>0</v>
      </c>
      <c r="Y352" s="45">
        <f>IF(OR(J352="",X352=0),"",J352*X352)</f>
        <v>0</v>
      </c>
      <c r="Z352" s="17">
        <f>IF(D352="","",B352&amp;"#"&amp;COUNTIFS($B$5:B352,B352))</f>
        <v>0</v>
      </c>
      <c r="AA352" s="17">
        <f>IF(D352="","",B352&amp;"|"&amp;D352)</f>
        <v>0</v>
      </c>
      <c r="AB352" s="31">
        <f>IF(D352="","",IF(B352="","Add - which recipe?",IF(COUNTIFS(Ingredients!$B$5:$B$304,D352)=0,"Missing - not in the Ingredients tab",IF(E352="","Add - no quantity",IF(F352="","Add - no unit",IF(K352&lt;&gt;L352,"Check - recipe in "&amp;K352&amp;", priced in "&amp;L352,IF(COUNTIFS($AA$5:$AA$1204,AA352)&gt;1,"Duplicate - same ingredient twice","OK")))))))</f>
        <v>0</v>
      </c>
    </row>
    <row r="353" spans="1:28">
      <c r="A353" s="39">
        <f>IF(D353="","","RL-"&amp;TEXT(ROW()-4,"0000"))</f>
        <v>0</v>
      </c>
      <c r="C353" s="17">
        <f>IF(B353="","",IFERROR(INDEX(Recipes!$B$5:$B$204,MATCH(B353,Recipes!$A$5:$A$204,0)),"Not found"))</f>
        <v>0</v>
      </c>
      <c r="J353" s="45">
        <f>IF(E353="","",IFERROR(E353*INDEX(UnitFactors,MATCH(F353,UnitNames,0)),""))</f>
        <v>0</v>
      </c>
      <c r="K353" s="17">
        <f>IF(F353="","",IFERROR(INDEX(UnitBases,MATCH(F353,UnitNames,0)),"?"))</f>
        <v>0</v>
      </c>
      <c r="L353" s="17">
        <f>IF(D353="","",IFERROR(INDEX(Ingredients!$G$5:$G$304,MATCH(D353,Ingredients!$B$5:$B$304,0)),"Add to Ingredients"))</f>
        <v>0</v>
      </c>
      <c r="M353" s="25">
        <f>IF(D353="","",IFERROR(INDEX(Ingredients!$J$5:$J$304,MATCH(D353,Ingredients!$B$5:$B$304,0)),"Add to Ingredients"))</f>
        <v>0</v>
      </c>
      <c r="N353" s="25">
        <f>IF(OR(J353="",M353="",NOT(ISNUMBER(M353))),"",IF(K353&lt;&gt;L353,"",J353*M353))</f>
        <v>0</v>
      </c>
      <c r="O353" s="25">
        <f>IF(N353="","",IFERROR(N353/INDEX(Recipes!$G$5:$G$204,MATCH(B353,Recipes!$A$5:$A$204,0)),""))</f>
        <v>0</v>
      </c>
      <c r="P353" s="30">
        <f>IF(J353="","",IF(K353="each",J353,J353/100))</f>
        <v>0</v>
      </c>
      <c r="Q353" s="30">
        <f>IFERROR(IF(P353="","",P353*INDEX(Ingredients!$P$5:$P$304,MATCH(D353,Ingredients!$B$5:$B$304,0))),"")</f>
        <v>0</v>
      </c>
      <c r="R353" s="45">
        <f>IFERROR(IF(P353="","",P353*INDEX(Ingredients!$Q$5:$Q$304,MATCH(D353,Ingredients!$B$5:$B$304,0))),"")</f>
        <v>0</v>
      </c>
      <c r="S353" s="45">
        <f>IFERROR(IF(P353="","",P353*INDEX(Ingredients!$R$5:$R$304,MATCH(D353,Ingredients!$B$5:$B$304,0))),"")</f>
        <v>0</v>
      </c>
      <c r="T353" s="45">
        <f>IFERROR(IF(P353="","",P353*INDEX(Ingredients!$S$5:$S$304,MATCH(D353,Ingredients!$B$5:$B$304,0))),"")</f>
        <v>0</v>
      </c>
      <c r="U353" s="45">
        <f>IFERROR(IF(P353="","",P353*INDEX(Ingredients!$T$5:$T$304,MATCH(D353,Ingredients!$B$5:$B$304,0))),"")</f>
        <v>0</v>
      </c>
      <c r="V353" s="17">
        <f>IF(D353="","",IFERROR(INDEX(Ingredients!$W$5:$W$304,MATCH(D353,Ingredients!$B$5:$B$304,0)),"Add to Ingredients"))</f>
        <v>0</v>
      </c>
      <c r="W353" s="17">
        <f>IF(D353="","",IFERROR(INDEX(Ingredients!$C$5:$C$304,MATCH(D353,Ingredients!$B$5:$B$304,0)),"Add to Ingredients"))</f>
        <v>0</v>
      </c>
      <c r="X353" s="45">
        <f>IFERROR(INDEX(Recipes!$AT$5:$AT$204,MATCH(B353,Recipes!$A$5:$A$204,0)),0)</f>
        <v>0</v>
      </c>
      <c r="Y353" s="45">
        <f>IF(OR(J353="",X353=0),"",J353*X353)</f>
        <v>0</v>
      </c>
      <c r="Z353" s="17">
        <f>IF(D353="","",B353&amp;"#"&amp;COUNTIFS($B$5:B353,B353))</f>
        <v>0</v>
      </c>
      <c r="AA353" s="17">
        <f>IF(D353="","",B353&amp;"|"&amp;D353)</f>
        <v>0</v>
      </c>
      <c r="AB353" s="31">
        <f>IF(D353="","",IF(B353="","Add - which recipe?",IF(COUNTIFS(Ingredients!$B$5:$B$304,D353)=0,"Missing - not in the Ingredients tab",IF(E353="","Add - no quantity",IF(F353="","Add - no unit",IF(K353&lt;&gt;L353,"Check - recipe in "&amp;K353&amp;", priced in "&amp;L353,IF(COUNTIFS($AA$5:$AA$1204,AA353)&gt;1,"Duplicate - same ingredient twice","OK")))))))</f>
        <v>0</v>
      </c>
    </row>
    <row r="354" spans="1:28">
      <c r="A354" s="39">
        <f>IF(D354="","","RL-"&amp;TEXT(ROW()-4,"0000"))</f>
        <v>0</v>
      </c>
      <c r="C354" s="17">
        <f>IF(B354="","",IFERROR(INDEX(Recipes!$B$5:$B$204,MATCH(B354,Recipes!$A$5:$A$204,0)),"Not found"))</f>
        <v>0</v>
      </c>
      <c r="J354" s="45">
        <f>IF(E354="","",IFERROR(E354*INDEX(UnitFactors,MATCH(F354,UnitNames,0)),""))</f>
        <v>0</v>
      </c>
      <c r="K354" s="17">
        <f>IF(F354="","",IFERROR(INDEX(UnitBases,MATCH(F354,UnitNames,0)),"?"))</f>
        <v>0</v>
      </c>
      <c r="L354" s="17">
        <f>IF(D354="","",IFERROR(INDEX(Ingredients!$G$5:$G$304,MATCH(D354,Ingredients!$B$5:$B$304,0)),"Add to Ingredients"))</f>
        <v>0</v>
      </c>
      <c r="M354" s="25">
        <f>IF(D354="","",IFERROR(INDEX(Ingredients!$J$5:$J$304,MATCH(D354,Ingredients!$B$5:$B$304,0)),"Add to Ingredients"))</f>
        <v>0</v>
      </c>
      <c r="N354" s="25">
        <f>IF(OR(J354="",M354="",NOT(ISNUMBER(M354))),"",IF(K354&lt;&gt;L354,"",J354*M354))</f>
        <v>0</v>
      </c>
      <c r="O354" s="25">
        <f>IF(N354="","",IFERROR(N354/INDEX(Recipes!$G$5:$G$204,MATCH(B354,Recipes!$A$5:$A$204,0)),""))</f>
        <v>0</v>
      </c>
      <c r="P354" s="30">
        <f>IF(J354="","",IF(K354="each",J354,J354/100))</f>
        <v>0</v>
      </c>
      <c r="Q354" s="30">
        <f>IFERROR(IF(P354="","",P354*INDEX(Ingredients!$P$5:$P$304,MATCH(D354,Ingredients!$B$5:$B$304,0))),"")</f>
        <v>0</v>
      </c>
      <c r="R354" s="45">
        <f>IFERROR(IF(P354="","",P354*INDEX(Ingredients!$Q$5:$Q$304,MATCH(D354,Ingredients!$B$5:$B$304,0))),"")</f>
        <v>0</v>
      </c>
      <c r="S354" s="45">
        <f>IFERROR(IF(P354="","",P354*INDEX(Ingredients!$R$5:$R$304,MATCH(D354,Ingredients!$B$5:$B$304,0))),"")</f>
        <v>0</v>
      </c>
      <c r="T354" s="45">
        <f>IFERROR(IF(P354="","",P354*INDEX(Ingredients!$S$5:$S$304,MATCH(D354,Ingredients!$B$5:$B$304,0))),"")</f>
        <v>0</v>
      </c>
      <c r="U354" s="45">
        <f>IFERROR(IF(P354="","",P354*INDEX(Ingredients!$T$5:$T$304,MATCH(D354,Ingredients!$B$5:$B$304,0))),"")</f>
        <v>0</v>
      </c>
      <c r="V354" s="17">
        <f>IF(D354="","",IFERROR(INDEX(Ingredients!$W$5:$W$304,MATCH(D354,Ingredients!$B$5:$B$304,0)),"Add to Ingredients"))</f>
        <v>0</v>
      </c>
      <c r="W354" s="17">
        <f>IF(D354="","",IFERROR(INDEX(Ingredients!$C$5:$C$304,MATCH(D354,Ingredients!$B$5:$B$304,0)),"Add to Ingredients"))</f>
        <v>0</v>
      </c>
      <c r="X354" s="45">
        <f>IFERROR(INDEX(Recipes!$AT$5:$AT$204,MATCH(B354,Recipes!$A$5:$A$204,0)),0)</f>
        <v>0</v>
      </c>
      <c r="Y354" s="45">
        <f>IF(OR(J354="",X354=0),"",J354*X354)</f>
        <v>0</v>
      </c>
      <c r="Z354" s="17">
        <f>IF(D354="","",B354&amp;"#"&amp;COUNTIFS($B$5:B354,B354))</f>
        <v>0</v>
      </c>
      <c r="AA354" s="17">
        <f>IF(D354="","",B354&amp;"|"&amp;D354)</f>
        <v>0</v>
      </c>
      <c r="AB354" s="31">
        <f>IF(D354="","",IF(B354="","Add - which recipe?",IF(COUNTIFS(Ingredients!$B$5:$B$304,D354)=0,"Missing - not in the Ingredients tab",IF(E354="","Add - no quantity",IF(F354="","Add - no unit",IF(K354&lt;&gt;L354,"Check - recipe in "&amp;K354&amp;", priced in "&amp;L354,IF(COUNTIFS($AA$5:$AA$1204,AA354)&gt;1,"Duplicate - same ingredient twice","OK")))))))</f>
        <v>0</v>
      </c>
    </row>
    <row r="355" spans="1:28">
      <c r="A355" s="39">
        <f>IF(D355="","","RL-"&amp;TEXT(ROW()-4,"0000"))</f>
        <v>0</v>
      </c>
      <c r="C355" s="17">
        <f>IF(B355="","",IFERROR(INDEX(Recipes!$B$5:$B$204,MATCH(B355,Recipes!$A$5:$A$204,0)),"Not found"))</f>
        <v>0</v>
      </c>
      <c r="J355" s="45">
        <f>IF(E355="","",IFERROR(E355*INDEX(UnitFactors,MATCH(F355,UnitNames,0)),""))</f>
        <v>0</v>
      </c>
      <c r="K355" s="17">
        <f>IF(F355="","",IFERROR(INDEX(UnitBases,MATCH(F355,UnitNames,0)),"?"))</f>
        <v>0</v>
      </c>
      <c r="L355" s="17">
        <f>IF(D355="","",IFERROR(INDEX(Ingredients!$G$5:$G$304,MATCH(D355,Ingredients!$B$5:$B$304,0)),"Add to Ingredients"))</f>
        <v>0</v>
      </c>
      <c r="M355" s="25">
        <f>IF(D355="","",IFERROR(INDEX(Ingredients!$J$5:$J$304,MATCH(D355,Ingredients!$B$5:$B$304,0)),"Add to Ingredients"))</f>
        <v>0</v>
      </c>
      <c r="N355" s="25">
        <f>IF(OR(J355="",M355="",NOT(ISNUMBER(M355))),"",IF(K355&lt;&gt;L355,"",J355*M355))</f>
        <v>0</v>
      </c>
      <c r="O355" s="25">
        <f>IF(N355="","",IFERROR(N355/INDEX(Recipes!$G$5:$G$204,MATCH(B355,Recipes!$A$5:$A$204,0)),""))</f>
        <v>0</v>
      </c>
      <c r="P355" s="30">
        <f>IF(J355="","",IF(K355="each",J355,J355/100))</f>
        <v>0</v>
      </c>
      <c r="Q355" s="30">
        <f>IFERROR(IF(P355="","",P355*INDEX(Ingredients!$P$5:$P$304,MATCH(D355,Ingredients!$B$5:$B$304,0))),"")</f>
        <v>0</v>
      </c>
      <c r="R355" s="45">
        <f>IFERROR(IF(P355="","",P355*INDEX(Ingredients!$Q$5:$Q$304,MATCH(D355,Ingredients!$B$5:$B$304,0))),"")</f>
        <v>0</v>
      </c>
      <c r="S355" s="45">
        <f>IFERROR(IF(P355="","",P355*INDEX(Ingredients!$R$5:$R$304,MATCH(D355,Ingredients!$B$5:$B$304,0))),"")</f>
        <v>0</v>
      </c>
      <c r="T355" s="45">
        <f>IFERROR(IF(P355="","",P355*INDEX(Ingredients!$S$5:$S$304,MATCH(D355,Ingredients!$B$5:$B$304,0))),"")</f>
        <v>0</v>
      </c>
      <c r="U355" s="45">
        <f>IFERROR(IF(P355="","",P355*INDEX(Ingredients!$T$5:$T$304,MATCH(D355,Ingredients!$B$5:$B$304,0))),"")</f>
        <v>0</v>
      </c>
      <c r="V355" s="17">
        <f>IF(D355="","",IFERROR(INDEX(Ingredients!$W$5:$W$304,MATCH(D355,Ingredients!$B$5:$B$304,0)),"Add to Ingredients"))</f>
        <v>0</v>
      </c>
      <c r="W355" s="17">
        <f>IF(D355="","",IFERROR(INDEX(Ingredients!$C$5:$C$304,MATCH(D355,Ingredients!$B$5:$B$304,0)),"Add to Ingredients"))</f>
        <v>0</v>
      </c>
      <c r="X355" s="45">
        <f>IFERROR(INDEX(Recipes!$AT$5:$AT$204,MATCH(B355,Recipes!$A$5:$A$204,0)),0)</f>
        <v>0</v>
      </c>
      <c r="Y355" s="45">
        <f>IF(OR(J355="",X355=0),"",J355*X355)</f>
        <v>0</v>
      </c>
      <c r="Z355" s="17">
        <f>IF(D355="","",B355&amp;"#"&amp;COUNTIFS($B$5:B355,B355))</f>
        <v>0</v>
      </c>
      <c r="AA355" s="17">
        <f>IF(D355="","",B355&amp;"|"&amp;D355)</f>
        <v>0</v>
      </c>
      <c r="AB355" s="31">
        <f>IF(D355="","",IF(B355="","Add - which recipe?",IF(COUNTIFS(Ingredients!$B$5:$B$304,D355)=0,"Missing - not in the Ingredients tab",IF(E355="","Add - no quantity",IF(F355="","Add - no unit",IF(K355&lt;&gt;L355,"Check - recipe in "&amp;K355&amp;", priced in "&amp;L355,IF(COUNTIFS($AA$5:$AA$1204,AA355)&gt;1,"Duplicate - same ingredient twice","OK")))))))</f>
        <v>0</v>
      </c>
    </row>
    <row r="356" spans="1:28">
      <c r="A356" s="39">
        <f>IF(D356="","","RL-"&amp;TEXT(ROW()-4,"0000"))</f>
        <v>0</v>
      </c>
      <c r="C356" s="17">
        <f>IF(B356="","",IFERROR(INDEX(Recipes!$B$5:$B$204,MATCH(B356,Recipes!$A$5:$A$204,0)),"Not found"))</f>
        <v>0</v>
      </c>
      <c r="J356" s="45">
        <f>IF(E356="","",IFERROR(E356*INDEX(UnitFactors,MATCH(F356,UnitNames,0)),""))</f>
        <v>0</v>
      </c>
      <c r="K356" s="17">
        <f>IF(F356="","",IFERROR(INDEX(UnitBases,MATCH(F356,UnitNames,0)),"?"))</f>
        <v>0</v>
      </c>
      <c r="L356" s="17">
        <f>IF(D356="","",IFERROR(INDEX(Ingredients!$G$5:$G$304,MATCH(D356,Ingredients!$B$5:$B$304,0)),"Add to Ingredients"))</f>
        <v>0</v>
      </c>
      <c r="M356" s="25">
        <f>IF(D356="","",IFERROR(INDEX(Ingredients!$J$5:$J$304,MATCH(D356,Ingredients!$B$5:$B$304,0)),"Add to Ingredients"))</f>
        <v>0</v>
      </c>
      <c r="N356" s="25">
        <f>IF(OR(J356="",M356="",NOT(ISNUMBER(M356))),"",IF(K356&lt;&gt;L356,"",J356*M356))</f>
        <v>0</v>
      </c>
      <c r="O356" s="25">
        <f>IF(N356="","",IFERROR(N356/INDEX(Recipes!$G$5:$G$204,MATCH(B356,Recipes!$A$5:$A$204,0)),""))</f>
        <v>0</v>
      </c>
      <c r="P356" s="30">
        <f>IF(J356="","",IF(K356="each",J356,J356/100))</f>
        <v>0</v>
      </c>
      <c r="Q356" s="30">
        <f>IFERROR(IF(P356="","",P356*INDEX(Ingredients!$P$5:$P$304,MATCH(D356,Ingredients!$B$5:$B$304,0))),"")</f>
        <v>0</v>
      </c>
      <c r="R356" s="45">
        <f>IFERROR(IF(P356="","",P356*INDEX(Ingredients!$Q$5:$Q$304,MATCH(D356,Ingredients!$B$5:$B$304,0))),"")</f>
        <v>0</v>
      </c>
      <c r="S356" s="45">
        <f>IFERROR(IF(P356="","",P356*INDEX(Ingredients!$R$5:$R$304,MATCH(D356,Ingredients!$B$5:$B$304,0))),"")</f>
        <v>0</v>
      </c>
      <c r="T356" s="45">
        <f>IFERROR(IF(P356="","",P356*INDEX(Ingredients!$S$5:$S$304,MATCH(D356,Ingredients!$B$5:$B$304,0))),"")</f>
        <v>0</v>
      </c>
      <c r="U356" s="45">
        <f>IFERROR(IF(P356="","",P356*INDEX(Ingredients!$T$5:$T$304,MATCH(D356,Ingredients!$B$5:$B$304,0))),"")</f>
        <v>0</v>
      </c>
      <c r="V356" s="17">
        <f>IF(D356="","",IFERROR(INDEX(Ingredients!$W$5:$W$304,MATCH(D356,Ingredients!$B$5:$B$304,0)),"Add to Ingredients"))</f>
        <v>0</v>
      </c>
      <c r="W356" s="17">
        <f>IF(D356="","",IFERROR(INDEX(Ingredients!$C$5:$C$304,MATCH(D356,Ingredients!$B$5:$B$304,0)),"Add to Ingredients"))</f>
        <v>0</v>
      </c>
      <c r="X356" s="45">
        <f>IFERROR(INDEX(Recipes!$AT$5:$AT$204,MATCH(B356,Recipes!$A$5:$A$204,0)),0)</f>
        <v>0</v>
      </c>
      <c r="Y356" s="45">
        <f>IF(OR(J356="",X356=0),"",J356*X356)</f>
        <v>0</v>
      </c>
      <c r="Z356" s="17">
        <f>IF(D356="","",B356&amp;"#"&amp;COUNTIFS($B$5:B356,B356))</f>
        <v>0</v>
      </c>
      <c r="AA356" s="17">
        <f>IF(D356="","",B356&amp;"|"&amp;D356)</f>
        <v>0</v>
      </c>
      <c r="AB356" s="31">
        <f>IF(D356="","",IF(B356="","Add - which recipe?",IF(COUNTIFS(Ingredients!$B$5:$B$304,D356)=0,"Missing - not in the Ingredients tab",IF(E356="","Add - no quantity",IF(F356="","Add - no unit",IF(K356&lt;&gt;L356,"Check - recipe in "&amp;K356&amp;", priced in "&amp;L356,IF(COUNTIFS($AA$5:$AA$1204,AA356)&gt;1,"Duplicate - same ingredient twice","OK")))))))</f>
        <v>0</v>
      </c>
    </row>
    <row r="357" spans="1:28">
      <c r="A357" s="39">
        <f>IF(D357="","","RL-"&amp;TEXT(ROW()-4,"0000"))</f>
        <v>0</v>
      </c>
      <c r="C357" s="17">
        <f>IF(B357="","",IFERROR(INDEX(Recipes!$B$5:$B$204,MATCH(B357,Recipes!$A$5:$A$204,0)),"Not found"))</f>
        <v>0</v>
      </c>
      <c r="J357" s="45">
        <f>IF(E357="","",IFERROR(E357*INDEX(UnitFactors,MATCH(F357,UnitNames,0)),""))</f>
        <v>0</v>
      </c>
      <c r="K357" s="17">
        <f>IF(F357="","",IFERROR(INDEX(UnitBases,MATCH(F357,UnitNames,0)),"?"))</f>
        <v>0</v>
      </c>
      <c r="L357" s="17">
        <f>IF(D357="","",IFERROR(INDEX(Ingredients!$G$5:$G$304,MATCH(D357,Ingredients!$B$5:$B$304,0)),"Add to Ingredients"))</f>
        <v>0</v>
      </c>
      <c r="M357" s="25">
        <f>IF(D357="","",IFERROR(INDEX(Ingredients!$J$5:$J$304,MATCH(D357,Ingredients!$B$5:$B$304,0)),"Add to Ingredients"))</f>
        <v>0</v>
      </c>
      <c r="N357" s="25">
        <f>IF(OR(J357="",M357="",NOT(ISNUMBER(M357))),"",IF(K357&lt;&gt;L357,"",J357*M357))</f>
        <v>0</v>
      </c>
      <c r="O357" s="25">
        <f>IF(N357="","",IFERROR(N357/INDEX(Recipes!$G$5:$G$204,MATCH(B357,Recipes!$A$5:$A$204,0)),""))</f>
        <v>0</v>
      </c>
      <c r="P357" s="30">
        <f>IF(J357="","",IF(K357="each",J357,J357/100))</f>
        <v>0</v>
      </c>
      <c r="Q357" s="30">
        <f>IFERROR(IF(P357="","",P357*INDEX(Ingredients!$P$5:$P$304,MATCH(D357,Ingredients!$B$5:$B$304,0))),"")</f>
        <v>0</v>
      </c>
      <c r="R357" s="45">
        <f>IFERROR(IF(P357="","",P357*INDEX(Ingredients!$Q$5:$Q$304,MATCH(D357,Ingredients!$B$5:$B$304,0))),"")</f>
        <v>0</v>
      </c>
      <c r="S357" s="45">
        <f>IFERROR(IF(P357="","",P357*INDEX(Ingredients!$R$5:$R$304,MATCH(D357,Ingredients!$B$5:$B$304,0))),"")</f>
        <v>0</v>
      </c>
      <c r="T357" s="45">
        <f>IFERROR(IF(P357="","",P357*INDEX(Ingredients!$S$5:$S$304,MATCH(D357,Ingredients!$B$5:$B$304,0))),"")</f>
        <v>0</v>
      </c>
      <c r="U357" s="45">
        <f>IFERROR(IF(P357="","",P357*INDEX(Ingredients!$T$5:$T$304,MATCH(D357,Ingredients!$B$5:$B$304,0))),"")</f>
        <v>0</v>
      </c>
      <c r="V357" s="17">
        <f>IF(D357="","",IFERROR(INDEX(Ingredients!$W$5:$W$304,MATCH(D357,Ingredients!$B$5:$B$304,0)),"Add to Ingredients"))</f>
        <v>0</v>
      </c>
      <c r="W357" s="17">
        <f>IF(D357="","",IFERROR(INDEX(Ingredients!$C$5:$C$304,MATCH(D357,Ingredients!$B$5:$B$304,0)),"Add to Ingredients"))</f>
        <v>0</v>
      </c>
      <c r="X357" s="45">
        <f>IFERROR(INDEX(Recipes!$AT$5:$AT$204,MATCH(B357,Recipes!$A$5:$A$204,0)),0)</f>
        <v>0</v>
      </c>
      <c r="Y357" s="45">
        <f>IF(OR(J357="",X357=0),"",J357*X357)</f>
        <v>0</v>
      </c>
      <c r="Z357" s="17">
        <f>IF(D357="","",B357&amp;"#"&amp;COUNTIFS($B$5:B357,B357))</f>
        <v>0</v>
      </c>
      <c r="AA357" s="17">
        <f>IF(D357="","",B357&amp;"|"&amp;D357)</f>
        <v>0</v>
      </c>
      <c r="AB357" s="31">
        <f>IF(D357="","",IF(B357="","Add - which recipe?",IF(COUNTIFS(Ingredients!$B$5:$B$304,D357)=0,"Missing - not in the Ingredients tab",IF(E357="","Add - no quantity",IF(F357="","Add - no unit",IF(K357&lt;&gt;L357,"Check - recipe in "&amp;K357&amp;", priced in "&amp;L357,IF(COUNTIFS($AA$5:$AA$1204,AA357)&gt;1,"Duplicate - same ingredient twice","OK")))))))</f>
        <v>0</v>
      </c>
    </row>
    <row r="358" spans="1:28">
      <c r="A358" s="39">
        <f>IF(D358="","","RL-"&amp;TEXT(ROW()-4,"0000"))</f>
        <v>0</v>
      </c>
      <c r="C358" s="17">
        <f>IF(B358="","",IFERROR(INDEX(Recipes!$B$5:$B$204,MATCH(B358,Recipes!$A$5:$A$204,0)),"Not found"))</f>
        <v>0</v>
      </c>
      <c r="J358" s="45">
        <f>IF(E358="","",IFERROR(E358*INDEX(UnitFactors,MATCH(F358,UnitNames,0)),""))</f>
        <v>0</v>
      </c>
      <c r="K358" s="17">
        <f>IF(F358="","",IFERROR(INDEX(UnitBases,MATCH(F358,UnitNames,0)),"?"))</f>
        <v>0</v>
      </c>
      <c r="L358" s="17">
        <f>IF(D358="","",IFERROR(INDEX(Ingredients!$G$5:$G$304,MATCH(D358,Ingredients!$B$5:$B$304,0)),"Add to Ingredients"))</f>
        <v>0</v>
      </c>
      <c r="M358" s="25">
        <f>IF(D358="","",IFERROR(INDEX(Ingredients!$J$5:$J$304,MATCH(D358,Ingredients!$B$5:$B$304,0)),"Add to Ingredients"))</f>
        <v>0</v>
      </c>
      <c r="N358" s="25">
        <f>IF(OR(J358="",M358="",NOT(ISNUMBER(M358))),"",IF(K358&lt;&gt;L358,"",J358*M358))</f>
        <v>0</v>
      </c>
      <c r="O358" s="25">
        <f>IF(N358="","",IFERROR(N358/INDEX(Recipes!$G$5:$G$204,MATCH(B358,Recipes!$A$5:$A$204,0)),""))</f>
        <v>0</v>
      </c>
      <c r="P358" s="30">
        <f>IF(J358="","",IF(K358="each",J358,J358/100))</f>
        <v>0</v>
      </c>
      <c r="Q358" s="30">
        <f>IFERROR(IF(P358="","",P358*INDEX(Ingredients!$P$5:$P$304,MATCH(D358,Ingredients!$B$5:$B$304,0))),"")</f>
        <v>0</v>
      </c>
      <c r="R358" s="45">
        <f>IFERROR(IF(P358="","",P358*INDEX(Ingredients!$Q$5:$Q$304,MATCH(D358,Ingredients!$B$5:$B$304,0))),"")</f>
        <v>0</v>
      </c>
      <c r="S358" s="45">
        <f>IFERROR(IF(P358="","",P358*INDEX(Ingredients!$R$5:$R$304,MATCH(D358,Ingredients!$B$5:$B$304,0))),"")</f>
        <v>0</v>
      </c>
      <c r="T358" s="45">
        <f>IFERROR(IF(P358="","",P358*INDEX(Ingredients!$S$5:$S$304,MATCH(D358,Ingredients!$B$5:$B$304,0))),"")</f>
        <v>0</v>
      </c>
      <c r="U358" s="45">
        <f>IFERROR(IF(P358="","",P358*INDEX(Ingredients!$T$5:$T$304,MATCH(D358,Ingredients!$B$5:$B$304,0))),"")</f>
        <v>0</v>
      </c>
      <c r="V358" s="17">
        <f>IF(D358="","",IFERROR(INDEX(Ingredients!$W$5:$W$304,MATCH(D358,Ingredients!$B$5:$B$304,0)),"Add to Ingredients"))</f>
        <v>0</v>
      </c>
      <c r="W358" s="17">
        <f>IF(D358="","",IFERROR(INDEX(Ingredients!$C$5:$C$304,MATCH(D358,Ingredients!$B$5:$B$304,0)),"Add to Ingredients"))</f>
        <v>0</v>
      </c>
      <c r="X358" s="45">
        <f>IFERROR(INDEX(Recipes!$AT$5:$AT$204,MATCH(B358,Recipes!$A$5:$A$204,0)),0)</f>
        <v>0</v>
      </c>
      <c r="Y358" s="45">
        <f>IF(OR(J358="",X358=0),"",J358*X358)</f>
        <v>0</v>
      </c>
      <c r="Z358" s="17">
        <f>IF(D358="","",B358&amp;"#"&amp;COUNTIFS($B$5:B358,B358))</f>
        <v>0</v>
      </c>
      <c r="AA358" s="17">
        <f>IF(D358="","",B358&amp;"|"&amp;D358)</f>
        <v>0</v>
      </c>
      <c r="AB358" s="31">
        <f>IF(D358="","",IF(B358="","Add - which recipe?",IF(COUNTIFS(Ingredients!$B$5:$B$304,D358)=0,"Missing - not in the Ingredients tab",IF(E358="","Add - no quantity",IF(F358="","Add - no unit",IF(K358&lt;&gt;L358,"Check - recipe in "&amp;K358&amp;", priced in "&amp;L358,IF(COUNTIFS($AA$5:$AA$1204,AA358)&gt;1,"Duplicate - same ingredient twice","OK")))))))</f>
        <v>0</v>
      </c>
    </row>
    <row r="359" spans="1:28">
      <c r="A359" s="39">
        <f>IF(D359="","","RL-"&amp;TEXT(ROW()-4,"0000"))</f>
        <v>0</v>
      </c>
      <c r="C359" s="17">
        <f>IF(B359="","",IFERROR(INDEX(Recipes!$B$5:$B$204,MATCH(B359,Recipes!$A$5:$A$204,0)),"Not found"))</f>
        <v>0</v>
      </c>
      <c r="J359" s="45">
        <f>IF(E359="","",IFERROR(E359*INDEX(UnitFactors,MATCH(F359,UnitNames,0)),""))</f>
        <v>0</v>
      </c>
      <c r="K359" s="17">
        <f>IF(F359="","",IFERROR(INDEX(UnitBases,MATCH(F359,UnitNames,0)),"?"))</f>
        <v>0</v>
      </c>
      <c r="L359" s="17">
        <f>IF(D359="","",IFERROR(INDEX(Ingredients!$G$5:$G$304,MATCH(D359,Ingredients!$B$5:$B$304,0)),"Add to Ingredients"))</f>
        <v>0</v>
      </c>
      <c r="M359" s="25">
        <f>IF(D359="","",IFERROR(INDEX(Ingredients!$J$5:$J$304,MATCH(D359,Ingredients!$B$5:$B$304,0)),"Add to Ingredients"))</f>
        <v>0</v>
      </c>
      <c r="N359" s="25">
        <f>IF(OR(J359="",M359="",NOT(ISNUMBER(M359))),"",IF(K359&lt;&gt;L359,"",J359*M359))</f>
        <v>0</v>
      </c>
      <c r="O359" s="25">
        <f>IF(N359="","",IFERROR(N359/INDEX(Recipes!$G$5:$G$204,MATCH(B359,Recipes!$A$5:$A$204,0)),""))</f>
        <v>0</v>
      </c>
      <c r="P359" s="30">
        <f>IF(J359="","",IF(K359="each",J359,J359/100))</f>
        <v>0</v>
      </c>
      <c r="Q359" s="30">
        <f>IFERROR(IF(P359="","",P359*INDEX(Ingredients!$P$5:$P$304,MATCH(D359,Ingredients!$B$5:$B$304,0))),"")</f>
        <v>0</v>
      </c>
      <c r="R359" s="45">
        <f>IFERROR(IF(P359="","",P359*INDEX(Ingredients!$Q$5:$Q$304,MATCH(D359,Ingredients!$B$5:$B$304,0))),"")</f>
        <v>0</v>
      </c>
      <c r="S359" s="45">
        <f>IFERROR(IF(P359="","",P359*INDEX(Ingredients!$R$5:$R$304,MATCH(D359,Ingredients!$B$5:$B$304,0))),"")</f>
        <v>0</v>
      </c>
      <c r="T359" s="45">
        <f>IFERROR(IF(P359="","",P359*INDEX(Ingredients!$S$5:$S$304,MATCH(D359,Ingredients!$B$5:$B$304,0))),"")</f>
        <v>0</v>
      </c>
      <c r="U359" s="45">
        <f>IFERROR(IF(P359="","",P359*INDEX(Ingredients!$T$5:$T$304,MATCH(D359,Ingredients!$B$5:$B$304,0))),"")</f>
        <v>0</v>
      </c>
      <c r="V359" s="17">
        <f>IF(D359="","",IFERROR(INDEX(Ingredients!$W$5:$W$304,MATCH(D359,Ingredients!$B$5:$B$304,0)),"Add to Ingredients"))</f>
        <v>0</v>
      </c>
      <c r="W359" s="17">
        <f>IF(D359="","",IFERROR(INDEX(Ingredients!$C$5:$C$304,MATCH(D359,Ingredients!$B$5:$B$304,0)),"Add to Ingredients"))</f>
        <v>0</v>
      </c>
      <c r="X359" s="45">
        <f>IFERROR(INDEX(Recipes!$AT$5:$AT$204,MATCH(B359,Recipes!$A$5:$A$204,0)),0)</f>
        <v>0</v>
      </c>
      <c r="Y359" s="45">
        <f>IF(OR(J359="",X359=0),"",J359*X359)</f>
        <v>0</v>
      </c>
      <c r="Z359" s="17">
        <f>IF(D359="","",B359&amp;"#"&amp;COUNTIFS($B$5:B359,B359))</f>
        <v>0</v>
      </c>
      <c r="AA359" s="17">
        <f>IF(D359="","",B359&amp;"|"&amp;D359)</f>
        <v>0</v>
      </c>
      <c r="AB359" s="31">
        <f>IF(D359="","",IF(B359="","Add - which recipe?",IF(COUNTIFS(Ingredients!$B$5:$B$304,D359)=0,"Missing - not in the Ingredients tab",IF(E359="","Add - no quantity",IF(F359="","Add - no unit",IF(K359&lt;&gt;L359,"Check - recipe in "&amp;K359&amp;", priced in "&amp;L359,IF(COUNTIFS($AA$5:$AA$1204,AA359)&gt;1,"Duplicate - same ingredient twice","OK")))))))</f>
        <v>0</v>
      </c>
    </row>
    <row r="360" spans="1:28">
      <c r="A360" s="39">
        <f>IF(D360="","","RL-"&amp;TEXT(ROW()-4,"0000"))</f>
        <v>0</v>
      </c>
      <c r="C360" s="17">
        <f>IF(B360="","",IFERROR(INDEX(Recipes!$B$5:$B$204,MATCH(B360,Recipes!$A$5:$A$204,0)),"Not found"))</f>
        <v>0</v>
      </c>
      <c r="J360" s="45">
        <f>IF(E360="","",IFERROR(E360*INDEX(UnitFactors,MATCH(F360,UnitNames,0)),""))</f>
        <v>0</v>
      </c>
      <c r="K360" s="17">
        <f>IF(F360="","",IFERROR(INDEX(UnitBases,MATCH(F360,UnitNames,0)),"?"))</f>
        <v>0</v>
      </c>
      <c r="L360" s="17">
        <f>IF(D360="","",IFERROR(INDEX(Ingredients!$G$5:$G$304,MATCH(D360,Ingredients!$B$5:$B$304,0)),"Add to Ingredients"))</f>
        <v>0</v>
      </c>
      <c r="M360" s="25">
        <f>IF(D360="","",IFERROR(INDEX(Ingredients!$J$5:$J$304,MATCH(D360,Ingredients!$B$5:$B$304,0)),"Add to Ingredients"))</f>
        <v>0</v>
      </c>
      <c r="N360" s="25">
        <f>IF(OR(J360="",M360="",NOT(ISNUMBER(M360))),"",IF(K360&lt;&gt;L360,"",J360*M360))</f>
        <v>0</v>
      </c>
      <c r="O360" s="25">
        <f>IF(N360="","",IFERROR(N360/INDEX(Recipes!$G$5:$G$204,MATCH(B360,Recipes!$A$5:$A$204,0)),""))</f>
        <v>0</v>
      </c>
      <c r="P360" s="30">
        <f>IF(J360="","",IF(K360="each",J360,J360/100))</f>
        <v>0</v>
      </c>
      <c r="Q360" s="30">
        <f>IFERROR(IF(P360="","",P360*INDEX(Ingredients!$P$5:$P$304,MATCH(D360,Ingredients!$B$5:$B$304,0))),"")</f>
        <v>0</v>
      </c>
      <c r="R360" s="45">
        <f>IFERROR(IF(P360="","",P360*INDEX(Ingredients!$Q$5:$Q$304,MATCH(D360,Ingredients!$B$5:$B$304,0))),"")</f>
        <v>0</v>
      </c>
      <c r="S360" s="45">
        <f>IFERROR(IF(P360="","",P360*INDEX(Ingredients!$R$5:$R$304,MATCH(D360,Ingredients!$B$5:$B$304,0))),"")</f>
        <v>0</v>
      </c>
      <c r="T360" s="45">
        <f>IFERROR(IF(P360="","",P360*INDEX(Ingredients!$S$5:$S$304,MATCH(D360,Ingredients!$B$5:$B$304,0))),"")</f>
        <v>0</v>
      </c>
      <c r="U360" s="45">
        <f>IFERROR(IF(P360="","",P360*INDEX(Ingredients!$T$5:$T$304,MATCH(D360,Ingredients!$B$5:$B$304,0))),"")</f>
        <v>0</v>
      </c>
      <c r="V360" s="17">
        <f>IF(D360="","",IFERROR(INDEX(Ingredients!$W$5:$W$304,MATCH(D360,Ingredients!$B$5:$B$304,0)),"Add to Ingredients"))</f>
        <v>0</v>
      </c>
      <c r="W360" s="17">
        <f>IF(D360="","",IFERROR(INDEX(Ingredients!$C$5:$C$304,MATCH(D360,Ingredients!$B$5:$B$304,0)),"Add to Ingredients"))</f>
        <v>0</v>
      </c>
      <c r="X360" s="45">
        <f>IFERROR(INDEX(Recipes!$AT$5:$AT$204,MATCH(B360,Recipes!$A$5:$A$204,0)),0)</f>
        <v>0</v>
      </c>
      <c r="Y360" s="45">
        <f>IF(OR(J360="",X360=0),"",J360*X360)</f>
        <v>0</v>
      </c>
      <c r="Z360" s="17">
        <f>IF(D360="","",B360&amp;"#"&amp;COUNTIFS($B$5:B360,B360))</f>
        <v>0</v>
      </c>
      <c r="AA360" s="17">
        <f>IF(D360="","",B360&amp;"|"&amp;D360)</f>
        <v>0</v>
      </c>
      <c r="AB360" s="31">
        <f>IF(D360="","",IF(B360="","Add - which recipe?",IF(COUNTIFS(Ingredients!$B$5:$B$304,D360)=0,"Missing - not in the Ingredients tab",IF(E360="","Add - no quantity",IF(F360="","Add - no unit",IF(K360&lt;&gt;L360,"Check - recipe in "&amp;K360&amp;", priced in "&amp;L360,IF(COUNTIFS($AA$5:$AA$1204,AA360)&gt;1,"Duplicate - same ingredient twice","OK")))))))</f>
        <v>0</v>
      </c>
    </row>
    <row r="361" spans="1:28">
      <c r="A361" s="39">
        <f>IF(D361="","","RL-"&amp;TEXT(ROW()-4,"0000"))</f>
        <v>0</v>
      </c>
      <c r="C361" s="17">
        <f>IF(B361="","",IFERROR(INDEX(Recipes!$B$5:$B$204,MATCH(B361,Recipes!$A$5:$A$204,0)),"Not found"))</f>
        <v>0</v>
      </c>
      <c r="J361" s="45">
        <f>IF(E361="","",IFERROR(E361*INDEX(UnitFactors,MATCH(F361,UnitNames,0)),""))</f>
        <v>0</v>
      </c>
      <c r="K361" s="17">
        <f>IF(F361="","",IFERROR(INDEX(UnitBases,MATCH(F361,UnitNames,0)),"?"))</f>
        <v>0</v>
      </c>
      <c r="L361" s="17">
        <f>IF(D361="","",IFERROR(INDEX(Ingredients!$G$5:$G$304,MATCH(D361,Ingredients!$B$5:$B$304,0)),"Add to Ingredients"))</f>
        <v>0</v>
      </c>
      <c r="M361" s="25">
        <f>IF(D361="","",IFERROR(INDEX(Ingredients!$J$5:$J$304,MATCH(D361,Ingredients!$B$5:$B$304,0)),"Add to Ingredients"))</f>
        <v>0</v>
      </c>
      <c r="N361" s="25">
        <f>IF(OR(J361="",M361="",NOT(ISNUMBER(M361))),"",IF(K361&lt;&gt;L361,"",J361*M361))</f>
        <v>0</v>
      </c>
      <c r="O361" s="25">
        <f>IF(N361="","",IFERROR(N361/INDEX(Recipes!$G$5:$G$204,MATCH(B361,Recipes!$A$5:$A$204,0)),""))</f>
        <v>0</v>
      </c>
      <c r="P361" s="30">
        <f>IF(J361="","",IF(K361="each",J361,J361/100))</f>
        <v>0</v>
      </c>
      <c r="Q361" s="30">
        <f>IFERROR(IF(P361="","",P361*INDEX(Ingredients!$P$5:$P$304,MATCH(D361,Ingredients!$B$5:$B$304,0))),"")</f>
        <v>0</v>
      </c>
      <c r="R361" s="45">
        <f>IFERROR(IF(P361="","",P361*INDEX(Ingredients!$Q$5:$Q$304,MATCH(D361,Ingredients!$B$5:$B$304,0))),"")</f>
        <v>0</v>
      </c>
      <c r="S361" s="45">
        <f>IFERROR(IF(P361="","",P361*INDEX(Ingredients!$R$5:$R$304,MATCH(D361,Ingredients!$B$5:$B$304,0))),"")</f>
        <v>0</v>
      </c>
      <c r="T361" s="45">
        <f>IFERROR(IF(P361="","",P361*INDEX(Ingredients!$S$5:$S$304,MATCH(D361,Ingredients!$B$5:$B$304,0))),"")</f>
        <v>0</v>
      </c>
      <c r="U361" s="45">
        <f>IFERROR(IF(P361="","",P361*INDEX(Ingredients!$T$5:$T$304,MATCH(D361,Ingredients!$B$5:$B$304,0))),"")</f>
        <v>0</v>
      </c>
      <c r="V361" s="17">
        <f>IF(D361="","",IFERROR(INDEX(Ingredients!$W$5:$W$304,MATCH(D361,Ingredients!$B$5:$B$304,0)),"Add to Ingredients"))</f>
        <v>0</v>
      </c>
      <c r="W361" s="17">
        <f>IF(D361="","",IFERROR(INDEX(Ingredients!$C$5:$C$304,MATCH(D361,Ingredients!$B$5:$B$304,0)),"Add to Ingredients"))</f>
        <v>0</v>
      </c>
      <c r="X361" s="45">
        <f>IFERROR(INDEX(Recipes!$AT$5:$AT$204,MATCH(B361,Recipes!$A$5:$A$204,0)),0)</f>
        <v>0</v>
      </c>
      <c r="Y361" s="45">
        <f>IF(OR(J361="",X361=0),"",J361*X361)</f>
        <v>0</v>
      </c>
      <c r="Z361" s="17">
        <f>IF(D361="","",B361&amp;"#"&amp;COUNTIFS($B$5:B361,B361))</f>
        <v>0</v>
      </c>
      <c r="AA361" s="17">
        <f>IF(D361="","",B361&amp;"|"&amp;D361)</f>
        <v>0</v>
      </c>
      <c r="AB361" s="31">
        <f>IF(D361="","",IF(B361="","Add - which recipe?",IF(COUNTIFS(Ingredients!$B$5:$B$304,D361)=0,"Missing - not in the Ingredients tab",IF(E361="","Add - no quantity",IF(F361="","Add - no unit",IF(K361&lt;&gt;L361,"Check - recipe in "&amp;K361&amp;", priced in "&amp;L361,IF(COUNTIFS($AA$5:$AA$1204,AA361)&gt;1,"Duplicate - same ingredient twice","OK")))))))</f>
        <v>0</v>
      </c>
    </row>
    <row r="362" spans="1:28">
      <c r="A362" s="39">
        <f>IF(D362="","","RL-"&amp;TEXT(ROW()-4,"0000"))</f>
        <v>0</v>
      </c>
      <c r="C362" s="17">
        <f>IF(B362="","",IFERROR(INDEX(Recipes!$B$5:$B$204,MATCH(B362,Recipes!$A$5:$A$204,0)),"Not found"))</f>
        <v>0</v>
      </c>
      <c r="J362" s="45">
        <f>IF(E362="","",IFERROR(E362*INDEX(UnitFactors,MATCH(F362,UnitNames,0)),""))</f>
        <v>0</v>
      </c>
      <c r="K362" s="17">
        <f>IF(F362="","",IFERROR(INDEX(UnitBases,MATCH(F362,UnitNames,0)),"?"))</f>
        <v>0</v>
      </c>
      <c r="L362" s="17">
        <f>IF(D362="","",IFERROR(INDEX(Ingredients!$G$5:$G$304,MATCH(D362,Ingredients!$B$5:$B$304,0)),"Add to Ingredients"))</f>
        <v>0</v>
      </c>
      <c r="M362" s="25">
        <f>IF(D362="","",IFERROR(INDEX(Ingredients!$J$5:$J$304,MATCH(D362,Ingredients!$B$5:$B$304,0)),"Add to Ingredients"))</f>
        <v>0</v>
      </c>
      <c r="N362" s="25">
        <f>IF(OR(J362="",M362="",NOT(ISNUMBER(M362))),"",IF(K362&lt;&gt;L362,"",J362*M362))</f>
        <v>0</v>
      </c>
      <c r="O362" s="25">
        <f>IF(N362="","",IFERROR(N362/INDEX(Recipes!$G$5:$G$204,MATCH(B362,Recipes!$A$5:$A$204,0)),""))</f>
        <v>0</v>
      </c>
      <c r="P362" s="30">
        <f>IF(J362="","",IF(K362="each",J362,J362/100))</f>
        <v>0</v>
      </c>
      <c r="Q362" s="30">
        <f>IFERROR(IF(P362="","",P362*INDEX(Ingredients!$P$5:$P$304,MATCH(D362,Ingredients!$B$5:$B$304,0))),"")</f>
        <v>0</v>
      </c>
      <c r="R362" s="45">
        <f>IFERROR(IF(P362="","",P362*INDEX(Ingredients!$Q$5:$Q$304,MATCH(D362,Ingredients!$B$5:$B$304,0))),"")</f>
        <v>0</v>
      </c>
      <c r="S362" s="45">
        <f>IFERROR(IF(P362="","",P362*INDEX(Ingredients!$R$5:$R$304,MATCH(D362,Ingredients!$B$5:$B$304,0))),"")</f>
        <v>0</v>
      </c>
      <c r="T362" s="45">
        <f>IFERROR(IF(P362="","",P362*INDEX(Ingredients!$S$5:$S$304,MATCH(D362,Ingredients!$B$5:$B$304,0))),"")</f>
        <v>0</v>
      </c>
      <c r="U362" s="45">
        <f>IFERROR(IF(P362="","",P362*INDEX(Ingredients!$T$5:$T$304,MATCH(D362,Ingredients!$B$5:$B$304,0))),"")</f>
        <v>0</v>
      </c>
      <c r="V362" s="17">
        <f>IF(D362="","",IFERROR(INDEX(Ingredients!$W$5:$W$304,MATCH(D362,Ingredients!$B$5:$B$304,0)),"Add to Ingredients"))</f>
        <v>0</v>
      </c>
      <c r="W362" s="17">
        <f>IF(D362="","",IFERROR(INDEX(Ingredients!$C$5:$C$304,MATCH(D362,Ingredients!$B$5:$B$304,0)),"Add to Ingredients"))</f>
        <v>0</v>
      </c>
      <c r="X362" s="45">
        <f>IFERROR(INDEX(Recipes!$AT$5:$AT$204,MATCH(B362,Recipes!$A$5:$A$204,0)),0)</f>
        <v>0</v>
      </c>
      <c r="Y362" s="45">
        <f>IF(OR(J362="",X362=0),"",J362*X362)</f>
        <v>0</v>
      </c>
      <c r="Z362" s="17">
        <f>IF(D362="","",B362&amp;"#"&amp;COUNTIFS($B$5:B362,B362))</f>
        <v>0</v>
      </c>
      <c r="AA362" s="17">
        <f>IF(D362="","",B362&amp;"|"&amp;D362)</f>
        <v>0</v>
      </c>
      <c r="AB362" s="31">
        <f>IF(D362="","",IF(B362="","Add - which recipe?",IF(COUNTIFS(Ingredients!$B$5:$B$304,D362)=0,"Missing - not in the Ingredients tab",IF(E362="","Add - no quantity",IF(F362="","Add - no unit",IF(K362&lt;&gt;L362,"Check - recipe in "&amp;K362&amp;", priced in "&amp;L362,IF(COUNTIFS($AA$5:$AA$1204,AA362)&gt;1,"Duplicate - same ingredient twice","OK")))))))</f>
        <v>0</v>
      </c>
    </row>
    <row r="363" spans="1:28">
      <c r="A363" s="39">
        <f>IF(D363="","","RL-"&amp;TEXT(ROW()-4,"0000"))</f>
        <v>0</v>
      </c>
      <c r="C363" s="17">
        <f>IF(B363="","",IFERROR(INDEX(Recipes!$B$5:$B$204,MATCH(B363,Recipes!$A$5:$A$204,0)),"Not found"))</f>
        <v>0</v>
      </c>
      <c r="J363" s="45">
        <f>IF(E363="","",IFERROR(E363*INDEX(UnitFactors,MATCH(F363,UnitNames,0)),""))</f>
        <v>0</v>
      </c>
      <c r="K363" s="17">
        <f>IF(F363="","",IFERROR(INDEX(UnitBases,MATCH(F363,UnitNames,0)),"?"))</f>
        <v>0</v>
      </c>
      <c r="L363" s="17">
        <f>IF(D363="","",IFERROR(INDEX(Ingredients!$G$5:$G$304,MATCH(D363,Ingredients!$B$5:$B$304,0)),"Add to Ingredients"))</f>
        <v>0</v>
      </c>
      <c r="M363" s="25">
        <f>IF(D363="","",IFERROR(INDEX(Ingredients!$J$5:$J$304,MATCH(D363,Ingredients!$B$5:$B$304,0)),"Add to Ingredients"))</f>
        <v>0</v>
      </c>
      <c r="N363" s="25">
        <f>IF(OR(J363="",M363="",NOT(ISNUMBER(M363))),"",IF(K363&lt;&gt;L363,"",J363*M363))</f>
        <v>0</v>
      </c>
      <c r="O363" s="25">
        <f>IF(N363="","",IFERROR(N363/INDEX(Recipes!$G$5:$G$204,MATCH(B363,Recipes!$A$5:$A$204,0)),""))</f>
        <v>0</v>
      </c>
      <c r="P363" s="30">
        <f>IF(J363="","",IF(K363="each",J363,J363/100))</f>
        <v>0</v>
      </c>
      <c r="Q363" s="30">
        <f>IFERROR(IF(P363="","",P363*INDEX(Ingredients!$P$5:$P$304,MATCH(D363,Ingredients!$B$5:$B$304,0))),"")</f>
        <v>0</v>
      </c>
      <c r="R363" s="45">
        <f>IFERROR(IF(P363="","",P363*INDEX(Ingredients!$Q$5:$Q$304,MATCH(D363,Ingredients!$B$5:$B$304,0))),"")</f>
        <v>0</v>
      </c>
      <c r="S363" s="45">
        <f>IFERROR(IF(P363="","",P363*INDEX(Ingredients!$R$5:$R$304,MATCH(D363,Ingredients!$B$5:$B$304,0))),"")</f>
        <v>0</v>
      </c>
      <c r="T363" s="45">
        <f>IFERROR(IF(P363="","",P363*INDEX(Ingredients!$S$5:$S$304,MATCH(D363,Ingredients!$B$5:$B$304,0))),"")</f>
        <v>0</v>
      </c>
      <c r="U363" s="45">
        <f>IFERROR(IF(P363="","",P363*INDEX(Ingredients!$T$5:$T$304,MATCH(D363,Ingredients!$B$5:$B$304,0))),"")</f>
        <v>0</v>
      </c>
      <c r="V363" s="17">
        <f>IF(D363="","",IFERROR(INDEX(Ingredients!$W$5:$W$304,MATCH(D363,Ingredients!$B$5:$B$304,0)),"Add to Ingredients"))</f>
        <v>0</v>
      </c>
      <c r="W363" s="17">
        <f>IF(D363="","",IFERROR(INDEX(Ingredients!$C$5:$C$304,MATCH(D363,Ingredients!$B$5:$B$304,0)),"Add to Ingredients"))</f>
        <v>0</v>
      </c>
      <c r="X363" s="45">
        <f>IFERROR(INDEX(Recipes!$AT$5:$AT$204,MATCH(B363,Recipes!$A$5:$A$204,0)),0)</f>
        <v>0</v>
      </c>
      <c r="Y363" s="45">
        <f>IF(OR(J363="",X363=0),"",J363*X363)</f>
        <v>0</v>
      </c>
      <c r="Z363" s="17">
        <f>IF(D363="","",B363&amp;"#"&amp;COUNTIFS($B$5:B363,B363))</f>
        <v>0</v>
      </c>
      <c r="AA363" s="17">
        <f>IF(D363="","",B363&amp;"|"&amp;D363)</f>
        <v>0</v>
      </c>
      <c r="AB363" s="31">
        <f>IF(D363="","",IF(B363="","Add - which recipe?",IF(COUNTIFS(Ingredients!$B$5:$B$304,D363)=0,"Missing - not in the Ingredients tab",IF(E363="","Add - no quantity",IF(F363="","Add - no unit",IF(K363&lt;&gt;L363,"Check - recipe in "&amp;K363&amp;", priced in "&amp;L363,IF(COUNTIFS($AA$5:$AA$1204,AA363)&gt;1,"Duplicate - same ingredient twice","OK")))))))</f>
        <v>0</v>
      </c>
    </row>
    <row r="364" spans="1:28">
      <c r="A364" s="39">
        <f>IF(D364="","","RL-"&amp;TEXT(ROW()-4,"0000"))</f>
        <v>0</v>
      </c>
      <c r="C364" s="17">
        <f>IF(B364="","",IFERROR(INDEX(Recipes!$B$5:$B$204,MATCH(B364,Recipes!$A$5:$A$204,0)),"Not found"))</f>
        <v>0</v>
      </c>
      <c r="J364" s="45">
        <f>IF(E364="","",IFERROR(E364*INDEX(UnitFactors,MATCH(F364,UnitNames,0)),""))</f>
        <v>0</v>
      </c>
      <c r="K364" s="17">
        <f>IF(F364="","",IFERROR(INDEX(UnitBases,MATCH(F364,UnitNames,0)),"?"))</f>
        <v>0</v>
      </c>
      <c r="L364" s="17">
        <f>IF(D364="","",IFERROR(INDEX(Ingredients!$G$5:$G$304,MATCH(D364,Ingredients!$B$5:$B$304,0)),"Add to Ingredients"))</f>
        <v>0</v>
      </c>
      <c r="M364" s="25">
        <f>IF(D364="","",IFERROR(INDEX(Ingredients!$J$5:$J$304,MATCH(D364,Ingredients!$B$5:$B$304,0)),"Add to Ingredients"))</f>
        <v>0</v>
      </c>
      <c r="N364" s="25">
        <f>IF(OR(J364="",M364="",NOT(ISNUMBER(M364))),"",IF(K364&lt;&gt;L364,"",J364*M364))</f>
        <v>0</v>
      </c>
      <c r="O364" s="25">
        <f>IF(N364="","",IFERROR(N364/INDEX(Recipes!$G$5:$G$204,MATCH(B364,Recipes!$A$5:$A$204,0)),""))</f>
        <v>0</v>
      </c>
      <c r="P364" s="30">
        <f>IF(J364="","",IF(K364="each",J364,J364/100))</f>
        <v>0</v>
      </c>
      <c r="Q364" s="30">
        <f>IFERROR(IF(P364="","",P364*INDEX(Ingredients!$P$5:$P$304,MATCH(D364,Ingredients!$B$5:$B$304,0))),"")</f>
        <v>0</v>
      </c>
      <c r="R364" s="45">
        <f>IFERROR(IF(P364="","",P364*INDEX(Ingredients!$Q$5:$Q$304,MATCH(D364,Ingredients!$B$5:$B$304,0))),"")</f>
        <v>0</v>
      </c>
      <c r="S364" s="45">
        <f>IFERROR(IF(P364="","",P364*INDEX(Ingredients!$R$5:$R$304,MATCH(D364,Ingredients!$B$5:$B$304,0))),"")</f>
        <v>0</v>
      </c>
      <c r="T364" s="45">
        <f>IFERROR(IF(P364="","",P364*INDEX(Ingredients!$S$5:$S$304,MATCH(D364,Ingredients!$B$5:$B$304,0))),"")</f>
        <v>0</v>
      </c>
      <c r="U364" s="45">
        <f>IFERROR(IF(P364="","",P364*INDEX(Ingredients!$T$5:$T$304,MATCH(D364,Ingredients!$B$5:$B$304,0))),"")</f>
        <v>0</v>
      </c>
      <c r="V364" s="17">
        <f>IF(D364="","",IFERROR(INDEX(Ingredients!$W$5:$W$304,MATCH(D364,Ingredients!$B$5:$B$304,0)),"Add to Ingredients"))</f>
        <v>0</v>
      </c>
      <c r="W364" s="17">
        <f>IF(D364="","",IFERROR(INDEX(Ingredients!$C$5:$C$304,MATCH(D364,Ingredients!$B$5:$B$304,0)),"Add to Ingredients"))</f>
        <v>0</v>
      </c>
      <c r="X364" s="45">
        <f>IFERROR(INDEX(Recipes!$AT$5:$AT$204,MATCH(B364,Recipes!$A$5:$A$204,0)),0)</f>
        <v>0</v>
      </c>
      <c r="Y364" s="45">
        <f>IF(OR(J364="",X364=0),"",J364*X364)</f>
        <v>0</v>
      </c>
      <c r="Z364" s="17">
        <f>IF(D364="","",B364&amp;"#"&amp;COUNTIFS($B$5:B364,B364))</f>
        <v>0</v>
      </c>
      <c r="AA364" s="17">
        <f>IF(D364="","",B364&amp;"|"&amp;D364)</f>
        <v>0</v>
      </c>
      <c r="AB364" s="31">
        <f>IF(D364="","",IF(B364="","Add - which recipe?",IF(COUNTIFS(Ingredients!$B$5:$B$304,D364)=0,"Missing - not in the Ingredients tab",IF(E364="","Add - no quantity",IF(F364="","Add - no unit",IF(K364&lt;&gt;L364,"Check - recipe in "&amp;K364&amp;", priced in "&amp;L364,IF(COUNTIFS($AA$5:$AA$1204,AA364)&gt;1,"Duplicate - same ingredient twice","OK")))))))</f>
        <v>0</v>
      </c>
    </row>
    <row r="365" spans="1:28">
      <c r="A365" s="39">
        <f>IF(D365="","","RL-"&amp;TEXT(ROW()-4,"0000"))</f>
        <v>0</v>
      </c>
      <c r="C365" s="17">
        <f>IF(B365="","",IFERROR(INDEX(Recipes!$B$5:$B$204,MATCH(B365,Recipes!$A$5:$A$204,0)),"Not found"))</f>
        <v>0</v>
      </c>
      <c r="J365" s="45">
        <f>IF(E365="","",IFERROR(E365*INDEX(UnitFactors,MATCH(F365,UnitNames,0)),""))</f>
        <v>0</v>
      </c>
      <c r="K365" s="17">
        <f>IF(F365="","",IFERROR(INDEX(UnitBases,MATCH(F365,UnitNames,0)),"?"))</f>
        <v>0</v>
      </c>
      <c r="L365" s="17">
        <f>IF(D365="","",IFERROR(INDEX(Ingredients!$G$5:$G$304,MATCH(D365,Ingredients!$B$5:$B$304,0)),"Add to Ingredients"))</f>
        <v>0</v>
      </c>
      <c r="M365" s="25">
        <f>IF(D365="","",IFERROR(INDEX(Ingredients!$J$5:$J$304,MATCH(D365,Ingredients!$B$5:$B$304,0)),"Add to Ingredients"))</f>
        <v>0</v>
      </c>
      <c r="N365" s="25">
        <f>IF(OR(J365="",M365="",NOT(ISNUMBER(M365))),"",IF(K365&lt;&gt;L365,"",J365*M365))</f>
        <v>0</v>
      </c>
      <c r="O365" s="25">
        <f>IF(N365="","",IFERROR(N365/INDEX(Recipes!$G$5:$G$204,MATCH(B365,Recipes!$A$5:$A$204,0)),""))</f>
        <v>0</v>
      </c>
      <c r="P365" s="30">
        <f>IF(J365="","",IF(K365="each",J365,J365/100))</f>
        <v>0</v>
      </c>
      <c r="Q365" s="30">
        <f>IFERROR(IF(P365="","",P365*INDEX(Ingredients!$P$5:$P$304,MATCH(D365,Ingredients!$B$5:$B$304,0))),"")</f>
        <v>0</v>
      </c>
      <c r="R365" s="45">
        <f>IFERROR(IF(P365="","",P365*INDEX(Ingredients!$Q$5:$Q$304,MATCH(D365,Ingredients!$B$5:$B$304,0))),"")</f>
        <v>0</v>
      </c>
      <c r="S365" s="45">
        <f>IFERROR(IF(P365="","",P365*INDEX(Ingredients!$R$5:$R$304,MATCH(D365,Ingredients!$B$5:$B$304,0))),"")</f>
        <v>0</v>
      </c>
      <c r="T365" s="45">
        <f>IFERROR(IF(P365="","",P365*INDEX(Ingredients!$S$5:$S$304,MATCH(D365,Ingredients!$B$5:$B$304,0))),"")</f>
        <v>0</v>
      </c>
      <c r="U365" s="45">
        <f>IFERROR(IF(P365="","",P365*INDEX(Ingredients!$T$5:$T$304,MATCH(D365,Ingredients!$B$5:$B$304,0))),"")</f>
        <v>0</v>
      </c>
      <c r="V365" s="17">
        <f>IF(D365="","",IFERROR(INDEX(Ingredients!$W$5:$W$304,MATCH(D365,Ingredients!$B$5:$B$304,0)),"Add to Ingredients"))</f>
        <v>0</v>
      </c>
      <c r="W365" s="17">
        <f>IF(D365="","",IFERROR(INDEX(Ingredients!$C$5:$C$304,MATCH(D365,Ingredients!$B$5:$B$304,0)),"Add to Ingredients"))</f>
        <v>0</v>
      </c>
      <c r="X365" s="45">
        <f>IFERROR(INDEX(Recipes!$AT$5:$AT$204,MATCH(B365,Recipes!$A$5:$A$204,0)),0)</f>
        <v>0</v>
      </c>
      <c r="Y365" s="45">
        <f>IF(OR(J365="",X365=0),"",J365*X365)</f>
        <v>0</v>
      </c>
      <c r="Z365" s="17">
        <f>IF(D365="","",B365&amp;"#"&amp;COUNTIFS($B$5:B365,B365))</f>
        <v>0</v>
      </c>
      <c r="AA365" s="17">
        <f>IF(D365="","",B365&amp;"|"&amp;D365)</f>
        <v>0</v>
      </c>
      <c r="AB365" s="31">
        <f>IF(D365="","",IF(B365="","Add - which recipe?",IF(COUNTIFS(Ingredients!$B$5:$B$304,D365)=0,"Missing - not in the Ingredients tab",IF(E365="","Add - no quantity",IF(F365="","Add - no unit",IF(K365&lt;&gt;L365,"Check - recipe in "&amp;K365&amp;", priced in "&amp;L365,IF(COUNTIFS($AA$5:$AA$1204,AA365)&gt;1,"Duplicate - same ingredient twice","OK")))))))</f>
        <v>0</v>
      </c>
    </row>
    <row r="366" spans="1:28">
      <c r="A366" s="39">
        <f>IF(D366="","","RL-"&amp;TEXT(ROW()-4,"0000"))</f>
        <v>0</v>
      </c>
      <c r="C366" s="17">
        <f>IF(B366="","",IFERROR(INDEX(Recipes!$B$5:$B$204,MATCH(B366,Recipes!$A$5:$A$204,0)),"Not found"))</f>
        <v>0</v>
      </c>
      <c r="J366" s="45">
        <f>IF(E366="","",IFERROR(E366*INDEX(UnitFactors,MATCH(F366,UnitNames,0)),""))</f>
        <v>0</v>
      </c>
      <c r="K366" s="17">
        <f>IF(F366="","",IFERROR(INDEX(UnitBases,MATCH(F366,UnitNames,0)),"?"))</f>
        <v>0</v>
      </c>
      <c r="L366" s="17">
        <f>IF(D366="","",IFERROR(INDEX(Ingredients!$G$5:$G$304,MATCH(D366,Ingredients!$B$5:$B$304,0)),"Add to Ingredients"))</f>
        <v>0</v>
      </c>
      <c r="M366" s="25">
        <f>IF(D366="","",IFERROR(INDEX(Ingredients!$J$5:$J$304,MATCH(D366,Ingredients!$B$5:$B$304,0)),"Add to Ingredients"))</f>
        <v>0</v>
      </c>
      <c r="N366" s="25">
        <f>IF(OR(J366="",M366="",NOT(ISNUMBER(M366))),"",IF(K366&lt;&gt;L366,"",J366*M366))</f>
        <v>0</v>
      </c>
      <c r="O366" s="25">
        <f>IF(N366="","",IFERROR(N366/INDEX(Recipes!$G$5:$G$204,MATCH(B366,Recipes!$A$5:$A$204,0)),""))</f>
        <v>0</v>
      </c>
      <c r="P366" s="30">
        <f>IF(J366="","",IF(K366="each",J366,J366/100))</f>
        <v>0</v>
      </c>
      <c r="Q366" s="30">
        <f>IFERROR(IF(P366="","",P366*INDEX(Ingredients!$P$5:$P$304,MATCH(D366,Ingredients!$B$5:$B$304,0))),"")</f>
        <v>0</v>
      </c>
      <c r="R366" s="45">
        <f>IFERROR(IF(P366="","",P366*INDEX(Ingredients!$Q$5:$Q$304,MATCH(D366,Ingredients!$B$5:$B$304,0))),"")</f>
        <v>0</v>
      </c>
      <c r="S366" s="45">
        <f>IFERROR(IF(P366="","",P366*INDEX(Ingredients!$R$5:$R$304,MATCH(D366,Ingredients!$B$5:$B$304,0))),"")</f>
        <v>0</v>
      </c>
      <c r="T366" s="45">
        <f>IFERROR(IF(P366="","",P366*INDEX(Ingredients!$S$5:$S$304,MATCH(D366,Ingredients!$B$5:$B$304,0))),"")</f>
        <v>0</v>
      </c>
      <c r="U366" s="45">
        <f>IFERROR(IF(P366="","",P366*INDEX(Ingredients!$T$5:$T$304,MATCH(D366,Ingredients!$B$5:$B$304,0))),"")</f>
        <v>0</v>
      </c>
      <c r="V366" s="17">
        <f>IF(D366="","",IFERROR(INDEX(Ingredients!$W$5:$W$304,MATCH(D366,Ingredients!$B$5:$B$304,0)),"Add to Ingredients"))</f>
        <v>0</v>
      </c>
      <c r="W366" s="17">
        <f>IF(D366="","",IFERROR(INDEX(Ingredients!$C$5:$C$304,MATCH(D366,Ingredients!$B$5:$B$304,0)),"Add to Ingredients"))</f>
        <v>0</v>
      </c>
      <c r="X366" s="45">
        <f>IFERROR(INDEX(Recipes!$AT$5:$AT$204,MATCH(B366,Recipes!$A$5:$A$204,0)),0)</f>
        <v>0</v>
      </c>
      <c r="Y366" s="45">
        <f>IF(OR(J366="",X366=0),"",J366*X366)</f>
        <v>0</v>
      </c>
      <c r="Z366" s="17">
        <f>IF(D366="","",B366&amp;"#"&amp;COUNTIFS($B$5:B366,B366))</f>
        <v>0</v>
      </c>
      <c r="AA366" s="17">
        <f>IF(D366="","",B366&amp;"|"&amp;D366)</f>
        <v>0</v>
      </c>
      <c r="AB366" s="31">
        <f>IF(D366="","",IF(B366="","Add - which recipe?",IF(COUNTIFS(Ingredients!$B$5:$B$304,D366)=0,"Missing - not in the Ingredients tab",IF(E366="","Add - no quantity",IF(F366="","Add - no unit",IF(K366&lt;&gt;L366,"Check - recipe in "&amp;K366&amp;", priced in "&amp;L366,IF(COUNTIFS($AA$5:$AA$1204,AA366)&gt;1,"Duplicate - same ingredient twice","OK")))))))</f>
        <v>0</v>
      </c>
    </row>
    <row r="367" spans="1:28">
      <c r="A367" s="39">
        <f>IF(D367="","","RL-"&amp;TEXT(ROW()-4,"0000"))</f>
        <v>0</v>
      </c>
      <c r="C367" s="17">
        <f>IF(B367="","",IFERROR(INDEX(Recipes!$B$5:$B$204,MATCH(B367,Recipes!$A$5:$A$204,0)),"Not found"))</f>
        <v>0</v>
      </c>
      <c r="J367" s="45">
        <f>IF(E367="","",IFERROR(E367*INDEX(UnitFactors,MATCH(F367,UnitNames,0)),""))</f>
        <v>0</v>
      </c>
      <c r="K367" s="17">
        <f>IF(F367="","",IFERROR(INDEX(UnitBases,MATCH(F367,UnitNames,0)),"?"))</f>
        <v>0</v>
      </c>
      <c r="L367" s="17">
        <f>IF(D367="","",IFERROR(INDEX(Ingredients!$G$5:$G$304,MATCH(D367,Ingredients!$B$5:$B$304,0)),"Add to Ingredients"))</f>
        <v>0</v>
      </c>
      <c r="M367" s="25">
        <f>IF(D367="","",IFERROR(INDEX(Ingredients!$J$5:$J$304,MATCH(D367,Ingredients!$B$5:$B$304,0)),"Add to Ingredients"))</f>
        <v>0</v>
      </c>
      <c r="N367" s="25">
        <f>IF(OR(J367="",M367="",NOT(ISNUMBER(M367))),"",IF(K367&lt;&gt;L367,"",J367*M367))</f>
        <v>0</v>
      </c>
      <c r="O367" s="25">
        <f>IF(N367="","",IFERROR(N367/INDEX(Recipes!$G$5:$G$204,MATCH(B367,Recipes!$A$5:$A$204,0)),""))</f>
        <v>0</v>
      </c>
      <c r="P367" s="30">
        <f>IF(J367="","",IF(K367="each",J367,J367/100))</f>
        <v>0</v>
      </c>
      <c r="Q367" s="30">
        <f>IFERROR(IF(P367="","",P367*INDEX(Ingredients!$P$5:$P$304,MATCH(D367,Ingredients!$B$5:$B$304,0))),"")</f>
        <v>0</v>
      </c>
      <c r="R367" s="45">
        <f>IFERROR(IF(P367="","",P367*INDEX(Ingredients!$Q$5:$Q$304,MATCH(D367,Ingredients!$B$5:$B$304,0))),"")</f>
        <v>0</v>
      </c>
      <c r="S367" s="45">
        <f>IFERROR(IF(P367="","",P367*INDEX(Ingredients!$R$5:$R$304,MATCH(D367,Ingredients!$B$5:$B$304,0))),"")</f>
        <v>0</v>
      </c>
      <c r="T367" s="45">
        <f>IFERROR(IF(P367="","",P367*INDEX(Ingredients!$S$5:$S$304,MATCH(D367,Ingredients!$B$5:$B$304,0))),"")</f>
        <v>0</v>
      </c>
      <c r="U367" s="45">
        <f>IFERROR(IF(P367="","",P367*INDEX(Ingredients!$T$5:$T$304,MATCH(D367,Ingredients!$B$5:$B$304,0))),"")</f>
        <v>0</v>
      </c>
      <c r="V367" s="17">
        <f>IF(D367="","",IFERROR(INDEX(Ingredients!$W$5:$W$304,MATCH(D367,Ingredients!$B$5:$B$304,0)),"Add to Ingredients"))</f>
        <v>0</v>
      </c>
      <c r="W367" s="17">
        <f>IF(D367="","",IFERROR(INDEX(Ingredients!$C$5:$C$304,MATCH(D367,Ingredients!$B$5:$B$304,0)),"Add to Ingredients"))</f>
        <v>0</v>
      </c>
      <c r="X367" s="45">
        <f>IFERROR(INDEX(Recipes!$AT$5:$AT$204,MATCH(B367,Recipes!$A$5:$A$204,0)),0)</f>
        <v>0</v>
      </c>
      <c r="Y367" s="45">
        <f>IF(OR(J367="",X367=0),"",J367*X367)</f>
        <v>0</v>
      </c>
      <c r="Z367" s="17">
        <f>IF(D367="","",B367&amp;"#"&amp;COUNTIFS($B$5:B367,B367))</f>
        <v>0</v>
      </c>
      <c r="AA367" s="17">
        <f>IF(D367="","",B367&amp;"|"&amp;D367)</f>
        <v>0</v>
      </c>
      <c r="AB367" s="31">
        <f>IF(D367="","",IF(B367="","Add - which recipe?",IF(COUNTIFS(Ingredients!$B$5:$B$304,D367)=0,"Missing - not in the Ingredients tab",IF(E367="","Add - no quantity",IF(F367="","Add - no unit",IF(K367&lt;&gt;L367,"Check - recipe in "&amp;K367&amp;", priced in "&amp;L367,IF(COUNTIFS($AA$5:$AA$1204,AA367)&gt;1,"Duplicate - same ingredient twice","OK")))))))</f>
        <v>0</v>
      </c>
    </row>
    <row r="368" spans="1:28">
      <c r="A368" s="39">
        <f>IF(D368="","","RL-"&amp;TEXT(ROW()-4,"0000"))</f>
        <v>0</v>
      </c>
      <c r="C368" s="17">
        <f>IF(B368="","",IFERROR(INDEX(Recipes!$B$5:$B$204,MATCH(B368,Recipes!$A$5:$A$204,0)),"Not found"))</f>
        <v>0</v>
      </c>
      <c r="J368" s="45">
        <f>IF(E368="","",IFERROR(E368*INDEX(UnitFactors,MATCH(F368,UnitNames,0)),""))</f>
        <v>0</v>
      </c>
      <c r="K368" s="17">
        <f>IF(F368="","",IFERROR(INDEX(UnitBases,MATCH(F368,UnitNames,0)),"?"))</f>
        <v>0</v>
      </c>
      <c r="L368" s="17">
        <f>IF(D368="","",IFERROR(INDEX(Ingredients!$G$5:$G$304,MATCH(D368,Ingredients!$B$5:$B$304,0)),"Add to Ingredients"))</f>
        <v>0</v>
      </c>
      <c r="M368" s="25">
        <f>IF(D368="","",IFERROR(INDEX(Ingredients!$J$5:$J$304,MATCH(D368,Ingredients!$B$5:$B$304,0)),"Add to Ingredients"))</f>
        <v>0</v>
      </c>
      <c r="N368" s="25">
        <f>IF(OR(J368="",M368="",NOT(ISNUMBER(M368))),"",IF(K368&lt;&gt;L368,"",J368*M368))</f>
        <v>0</v>
      </c>
      <c r="O368" s="25">
        <f>IF(N368="","",IFERROR(N368/INDEX(Recipes!$G$5:$G$204,MATCH(B368,Recipes!$A$5:$A$204,0)),""))</f>
        <v>0</v>
      </c>
      <c r="P368" s="30">
        <f>IF(J368="","",IF(K368="each",J368,J368/100))</f>
        <v>0</v>
      </c>
      <c r="Q368" s="30">
        <f>IFERROR(IF(P368="","",P368*INDEX(Ingredients!$P$5:$P$304,MATCH(D368,Ingredients!$B$5:$B$304,0))),"")</f>
        <v>0</v>
      </c>
      <c r="R368" s="45">
        <f>IFERROR(IF(P368="","",P368*INDEX(Ingredients!$Q$5:$Q$304,MATCH(D368,Ingredients!$B$5:$B$304,0))),"")</f>
        <v>0</v>
      </c>
      <c r="S368" s="45">
        <f>IFERROR(IF(P368="","",P368*INDEX(Ingredients!$R$5:$R$304,MATCH(D368,Ingredients!$B$5:$B$304,0))),"")</f>
        <v>0</v>
      </c>
      <c r="T368" s="45">
        <f>IFERROR(IF(P368="","",P368*INDEX(Ingredients!$S$5:$S$304,MATCH(D368,Ingredients!$B$5:$B$304,0))),"")</f>
        <v>0</v>
      </c>
      <c r="U368" s="45">
        <f>IFERROR(IF(P368="","",P368*INDEX(Ingredients!$T$5:$T$304,MATCH(D368,Ingredients!$B$5:$B$304,0))),"")</f>
        <v>0</v>
      </c>
      <c r="V368" s="17">
        <f>IF(D368="","",IFERROR(INDEX(Ingredients!$W$5:$W$304,MATCH(D368,Ingredients!$B$5:$B$304,0)),"Add to Ingredients"))</f>
        <v>0</v>
      </c>
      <c r="W368" s="17">
        <f>IF(D368="","",IFERROR(INDEX(Ingredients!$C$5:$C$304,MATCH(D368,Ingredients!$B$5:$B$304,0)),"Add to Ingredients"))</f>
        <v>0</v>
      </c>
      <c r="X368" s="45">
        <f>IFERROR(INDEX(Recipes!$AT$5:$AT$204,MATCH(B368,Recipes!$A$5:$A$204,0)),0)</f>
        <v>0</v>
      </c>
      <c r="Y368" s="45">
        <f>IF(OR(J368="",X368=0),"",J368*X368)</f>
        <v>0</v>
      </c>
      <c r="Z368" s="17">
        <f>IF(D368="","",B368&amp;"#"&amp;COUNTIFS($B$5:B368,B368))</f>
        <v>0</v>
      </c>
      <c r="AA368" s="17">
        <f>IF(D368="","",B368&amp;"|"&amp;D368)</f>
        <v>0</v>
      </c>
      <c r="AB368" s="31">
        <f>IF(D368="","",IF(B368="","Add - which recipe?",IF(COUNTIFS(Ingredients!$B$5:$B$304,D368)=0,"Missing - not in the Ingredients tab",IF(E368="","Add - no quantity",IF(F368="","Add - no unit",IF(K368&lt;&gt;L368,"Check - recipe in "&amp;K368&amp;", priced in "&amp;L368,IF(COUNTIFS($AA$5:$AA$1204,AA368)&gt;1,"Duplicate - same ingredient twice","OK")))))))</f>
        <v>0</v>
      </c>
    </row>
    <row r="369" spans="1:28">
      <c r="A369" s="39">
        <f>IF(D369="","","RL-"&amp;TEXT(ROW()-4,"0000"))</f>
        <v>0</v>
      </c>
      <c r="C369" s="17">
        <f>IF(B369="","",IFERROR(INDEX(Recipes!$B$5:$B$204,MATCH(B369,Recipes!$A$5:$A$204,0)),"Not found"))</f>
        <v>0</v>
      </c>
      <c r="J369" s="45">
        <f>IF(E369="","",IFERROR(E369*INDEX(UnitFactors,MATCH(F369,UnitNames,0)),""))</f>
        <v>0</v>
      </c>
      <c r="K369" s="17">
        <f>IF(F369="","",IFERROR(INDEX(UnitBases,MATCH(F369,UnitNames,0)),"?"))</f>
        <v>0</v>
      </c>
      <c r="L369" s="17">
        <f>IF(D369="","",IFERROR(INDEX(Ingredients!$G$5:$G$304,MATCH(D369,Ingredients!$B$5:$B$304,0)),"Add to Ingredients"))</f>
        <v>0</v>
      </c>
      <c r="M369" s="25">
        <f>IF(D369="","",IFERROR(INDEX(Ingredients!$J$5:$J$304,MATCH(D369,Ingredients!$B$5:$B$304,0)),"Add to Ingredients"))</f>
        <v>0</v>
      </c>
      <c r="N369" s="25">
        <f>IF(OR(J369="",M369="",NOT(ISNUMBER(M369))),"",IF(K369&lt;&gt;L369,"",J369*M369))</f>
        <v>0</v>
      </c>
      <c r="O369" s="25">
        <f>IF(N369="","",IFERROR(N369/INDEX(Recipes!$G$5:$G$204,MATCH(B369,Recipes!$A$5:$A$204,0)),""))</f>
        <v>0</v>
      </c>
      <c r="P369" s="30">
        <f>IF(J369="","",IF(K369="each",J369,J369/100))</f>
        <v>0</v>
      </c>
      <c r="Q369" s="30">
        <f>IFERROR(IF(P369="","",P369*INDEX(Ingredients!$P$5:$P$304,MATCH(D369,Ingredients!$B$5:$B$304,0))),"")</f>
        <v>0</v>
      </c>
      <c r="R369" s="45">
        <f>IFERROR(IF(P369="","",P369*INDEX(Ingredients!$Q$5:$Q$304,MATCH(D369,Ingredients!$B$5:$B$304,0))),"")</f>
        <v>0</v>
      </c>
      <c r="S369" s="45">
        <f>IFERROR(IF(P369="","",P369*INDEX(Ingredients!$R$5:$R$304,MATCH(D369,Ingredients!$B$5:$B$304,0))),"")</f>
        <v>0</v>
      </c>
      <c r="T369" s="45">
        <f>IFERROR(IF(P369="","",P369*INDEX(Ingredients!$S$5:$S$304,MATCH(D369,Ingredients!$B$5:$B$304,0))),"")</f>
        <v>0</v>
      </c>
      <c r="U369" s="45">
        <f>IFERROR(IF(P369="","",P369*INDEX(Ingredients!$T$5:$T$304,MATCH(D369,Ingredients!$B$5:$B$304,0))),"")</f>
        <v>0</v>
      </c>
      <c r="V369" s="17">
        <f>IF(D369="","",IFERROR(INDEX(Ingredients!$W$5:$W$304,MATCH(D369,Ingredients!$B$5:$B$304,0)),"Add to Ingredients"))</f>
        <v>0</v>
      </c>
      <c r="W369" s="17">
        <f>IF(D369="","",IFERROR(INDEX(Ingredients!$C$5:$C$304,MATCH(D369,Ingredients!$B$5:$B$304,0)),"Add to Ingredients"))</f>
        <v>0</v>
      </c>
      <c r="X369" s="45">
        <f>IFERROR(INDEX(Recipes!$AT$5:$AT$204,MATCH(B369,Recipes!$A$5:$A$204,0)),0)</f>
        <v>0</v>
      </c>
      <c r="Y369" s="45">
        <f>IF(OR(J369="",X369=0),"",J369*X369)</f>
        <v>0</v>
      </c>
      <c r="Z369" s="17">
        <f>IF(D369="","",B369&amp;"#"&amp;COUNTIFS($B$5:B369,B369))</f>
        <v>0</v>
      </c>
      <c r="AA369" s="17">
        <f>IF(D369="","",B369&amp;"|"&amp;D369)</f>
        <v>0</v>
      </c>
      <c r="AB369" s="31">
        <f>IF(D369="","",IF(B369="","Add - which recipe?",IF(COUNTIFS(Ingredients!$B$5:$B$304,D369)=0,"Missing - not in the Ingredients tab",IF(E369="","Add - no quantity",IF(F369="","Add - no unit",IF(K369&lt;&gt;L369,"Check - recipe in "&amp;K369&amp;", priced in "&amp;L369,IF(COUNTIFS($AA$5:$AA$1204,AA369)&gt;1,"Duplicate - same ingredient twice","OK")))))))</f>
        <v>0</v>
      </c>
    </row>
    <row r="370" spans="1:28">
      <c r="A370" s="39">
        <f>IF(D370="","","RL-"&amp;TEXT(ROW()-4,"0000"))</f>
        <v>0</v>
      </c>
      <c r="C370" s="17">
        <f>IF(B370="","",IFERROR(INDEX(Recipes!$B$5:$B$204,MATCH(B370,Recipes!$A$5:$A$204,0)),"Not found"))</f>
        <v>0</v>
      </c>
      <c r="J370" s="45">
        <f>IF(E370="","",IFERROR(E370*INDEX(UnitFactors,MATCH(F370,UnitNames,0)),""))</f>
        <v>0</v>
      </c>
      <c r="K370" s="17">
        <f>IF(F370="","",IFERROR(INDEX(UnitBases,MATCH(F370,UnitNames,0)),"?"))</f>
        <v>0</v>
      </c>
      <c r="L370" s="17">
        <f>IF(D370="","",IFERROR(INDEX(Ingredients!$G$5:$G$304,MATCH(D370,Ingredients!$B$5:$B$304,0)),"Add to Ingredients"))</f>
        <v>0</v>
      </c>
      <c r="M370" s="25">
        <f>IF(D370="","",IFERROR(INDEX(Ingredients!$J$5:$J$304,MATCH(D370,Ingredients!$B$5:$B$304,0)),"Add to Ingredients"))</f>
        <v>0</v>
      </c>
      <c r="N370" s="25">
        <f>IF(OR(J370="",M370="",NOT(ISNUMBER(M370))),"",IF(K370&lt;&gt;L370,"",J370*M370))</f>
        <v>0</v>
      </c>
      <c r="O370" s="25">
        <f>IF(N370="","",IFERROR(N370/INDEX(Recipes!$G$5:$G$204,MATCH(B370,Recipes!$A$5:$A$204,0)),""))</f>
        <v>0</v>
      </c>
      <c r="P370" s="30">
        <f>IF(J370="","",IF(K370="each",J370,J370/100))</f>
        <v>0</v>
      </c>
      <c r="Q370" s="30">
        <f>IFERROR(IF(P370="","",P370*INDEX(Ingredients!$P$5:$P$304,MATCH(D370,Ingredients!$B$5:$B$304,0))),"")</f>
        <v>0</v>
      </c>
      <c r="R370" s="45">
        <f>IFERROR(IF(P370="","",P370*INDEX(Ingredients!$Q$5:$Q$304,MATCH(D370,Ingredients!$B$5:$B$304,0))),"")</f>
        <v>0</v>
      </c>
      <c r="S370" s="45">
        <f>IFERROR(IF(P370="","",P370*INDEX(Ingredients!$R$5:$R$304,MATCH(D370,Ingredients!$B$5:$B$304,0))),"")</f>
        <v>0</v>
      </c>
      <c r="T370" s="45">
        <f>IFERROR(IF(P370="","",P370*INDEX(Ingredients!$S$5:$S$304,MATCH(D370,Ingredients!$B$5:$B$304,0))),"")</f>
        <v>0</v>
      </c>
      <c r="U370" s="45">
        <f>IFERROR(IF(P370="","",P370*INDEX(Ingredients!$T$5:$T$304,MATCH(D370,Ingredients!$B$5:$B$304,0))),"")</f>
        <v>0</v>
      </c>
      <c r="V370" s="17">
        <f>IF(D370="","",IFERROR(INDEX(Ingredients!$W$5:$W$304,MATCH(D370,Ingredients!$B$5:$B$304,0)),"Add to Ingredients"))</f>
        <v>0</v>
      </c>
      <c r="W370" s="17">
        <f>IF(D370="","",IFERROR(INDEX(Ingredients!$C$5:$C$304,MATCH(D370,Ingredients!$B$5:$B$304,0)),"Add to Ingredients"))</f>
        <v>0</v>
      </c>
      <c r="X370" s="45">
        <f>IFERROR(INDEX(Recipes!$AT$5:$AT$204,MATCH(B370,Recipes!$A$5:$A$204,0)),0)</f>
        <v>0</v>
      </c>
      <c r="Y370" s="45">
        <f>IF(OR(J370="",X370=0),"",J370*X370)</f>
        <v>0</v>
      </c>
      <c r="Z370" s="17">
        <f>IF(D370="","",B370&amp;"#"&amp;COUNTIFS($B$5:B370,B370))</f>
        <v>0</v>
      </c>
      <c r="AA370" s="17">
        <f>IF(D370="","",B370&amp;"|"&amp;D370)</f>
        <v>0</v>
      </c>
      <c r="AB370" s="31">
        <f>IF(D370="","",IF(B370="","Add - which recipe?",IF(COUNTIFS(Ingredients!$B$5:$B$304,D370)=0,"Missing - not in the Ingredients tab",IF(E370="","Add - no quantity",IF(F370="","Add - no unit",IF(K370&lt;&gt;L370,"Check - recipe in "&amp;K370&amp;", priced in "&amp;L370,IF(COUNTIFS($AA$5:$AA$1204,AA370)&gt;1,"Duplicate - same ingredient twice","OK")))))))</f>
        <v>0</v>
      </c>
    </row>
    <row r="371" spans="1:28">
      <c r="A371" s="39">
        <f>IF(D371="","","RL-"&amp;TEXT(ROW()-4,"0000"))</f>
        <v>0</v>
      </c>
      <c r="C371" s="17">
        <f>IF(B371="","",IFERROR(INDEX(Recipes!$B$5:$B$204,MATCH(B371,Recipes!$A$5:$A$204,0)),"Not found"))</f>
        <v>0</v>
      </c>
      <c r="J371" s="45">
        <f>IF(E371="","",IFERROR(E371*INDEX(UnitFactors,MATCH(F371,UnitNames,0)),""))</f>
        <v>0</v>
      </c>
      <c r="K371" s="17">
        <f>IF(F371="","",IFERROR(INDEX(UnitBases,MATCH(F371,UnitNames,0)),"?"))</f>
        <v>0</v>
      </c>
      <c r="L371" s="17">
        <f>IF(D371="","",IFERROR(INDEX(Ingredients!$G$5:$G$304,MATCH(D371,Ingredients!$B$5:$B$304,0)),"Add to Ingredients"))</f>
        <v>0</v>
      </c>
      <c r="M371" s="25">
        <f>IF(D371="","",IFERROR(INDEX(Ingredients!$J$5:$J$304,MATCH(D371,Ingredients!$B$5:$B$304,0)),"Add to Ingredients"))</f>
        <v>0</v>
      </c>
      <c r="N371" s="25">
        <f>IF(OR(J371="",M371="",NOT(ISNUMBER(M371))),"",IF(K371&lt;&gt;L371,"",J371*M371))</f>
        <v>0</v>
      </c>
      <c r="O371" s="25">
        <f>IF(N371="","",IFERROR(N371/INDEX(Recipes!$G$5:$G$204,MATCH(B371,Recipes!$A$5:$A$204,0)),""))</f>
        <v>0</v>
      </c>
      <c r="P371" s="30">
        <f>IF(J371="","",IF(K371="each",J371,J371/100))</f>
        <v>0</v>
      </c>
      <c r="Q371" s="30">
        <f>IFERROR(IF(P371="","",P371*INDEX(Ingredients!$P$5:$P$304,MATCH(D371,Ingredients!$B$5:$B$304,0))),"")</f>
        <v>0</v>
      </c>
      <c r="R371" s="45">
        <f>IFERROR(IF(P371="","",P371*INDEX(Ingredients!$Q$5:$Q$304,MATCH(D371,Ingredients!$B$5:$B$304,0))),"")</f>
        <v>0</v>
      </c>
      <c r="S371" s="45">
        <f>IFERROR(IF(P371="","",P371*INDEX(Ingredients!$R$5:$R$304,MATCH(D371,Ingredients!$B$5:$B$304,0))),"")</f>
        <v>0</v>
      </c>
      <c r="T371" s="45">
        <f>IFERROR(IF(P371="","",P371*INDEX(Ingredients!$S$5:$S$304,MATCH(D371,Ingredients!$B$5:$B$304,0))),"")</f>
        <v>0</v>
      </c>
      <c r="U371" s="45">
        <f>IFERROR(IF(P371="","",P371*INDEX(Ingredients!$T$5:$T$304,MATCH(D371,Ingredients!$B$5:$B$304,0))),"")</f>
        <v>0</v>
      </c>
      <c r="V371" s="17">
        <f>IF(D371="","",IFERROR(INDEX(Ingredients!$W$5:$W$304,MATCH(D371,Ingredients!$B$5:$B$304,0)),"Add to Ingredients"))</f>
        <v>0</v>
      </c>
      <c r="W371" s="17">
        <f>IF(D371="","",IFERROR(INDEX(Ingredients!$C$5:$C$304,MATCH(D371,Ingredients!$B$5:$B$304,0)),"Add to Ingredients"))</f>
        <v>0</v>
      </c>
      <c r="X371" s="45">
        <f>IFERROR(INDEX(Recipes!$AT$5:$AT$204,MATCH(B371,Recipes!$A$5:$A$204,0)),0)</f>
        <v>0</v>
      </c>
      <c r="Y371" s="45">
        <f>IF(OR(J371="",X371=0),"",J371*X371)</f>
        <v>0</v>
      </c>
      <c r="Z371" s="17">
        <f>IF(D371="","",B371&amp;"#"&amp;COUNTIFS($B$5:B371,B371))</f>
        <v>0</v>
      </c>
      <c r="AA371" s="17">
        <f>IF(D371="","",B371&amp;"|"&amp;D371)</f>
        <v>0</v>
      </c>
      <c r="AB371" s="31">
        <f>IF(D371="","",IF(B371="","Add - which recipe?",IF(COUNTIFS(Ingredients!$B$5:$B$304,D371)=0,"Missing - not in the Ingredients tab",IF(E371="","Add - no quantity",IF(F371="","Add - no unit",IF(K371&lt;&gt;L371,"Check - recipe in "&amp;K371&amp;", priced in "&amp;L371,IF(COUNTIFS($AA$5:$AA$1204,AA371)&gt;1,"Duplicate - same ingredient twice","OK")))))))</f>
        <v>0</v>
      </c>
    </row>
    <row r="372" spans="1:28">
      <c r="A372" s="39">
        <f>IF(D372="","","RL-"&amp;TEXT(ROW()-4,"0000"))</f>
        <v>0</v>
      </c>
      <c r="C372" s="17">
        <f>IF(B372="","",IFERROR(INDEX(Recipes!$B$5:$B$204,MATCH(B372,Recipes!$A$5:$A$204,0)),"Not found"))</f>
        <v>0</v>
      </c>
      <c r="J372" s="45">
        <f>IF(E372="","",IFERROR(E372*INDEX(UnitFactors,MATCH(F372,UnitNames,0)),""))</f>
        <v>0</v>
      </c>
      <c r="K372" s="17">
        <f>IF(F372="","",IFERROR(INDEX(UnitBases,MATCH(F372,UnitNames,0)),"?"))</f>
        <v>0</v>
      </c>
      <c r="L372" s="17">
        <f>IF(D372="","",IFERROR(INDEX(Ingredients!$G$5:$G$304,MATCH(D372,Ingredients!$B$5:$B$304,0)),"Add to Ingredients"))</f>
        <v>0</v>
      </c>
      <c r="M372" s="25">
        <f>IF(D372="","",IFERROR(INDEX(Ingredients!$J$5:$J$304,MATCH(D372,Ingredients!$B$5:$B$304,0)),"Add to Ingredients"))</f>
        <v>0</v>
      </c>
      <c r="N372" s="25">
        <f>IF(OR(J372="",M372="",NOT(ISNUMBER(M372))),"",IF(K372&lt;&gt;L372,"",J372*M372))</f>
        <v>0</v>
      </c>
      <c r="O372" s="25">
        <f>IF(N372="","",IFERROR(N372/INDEX(Recipes!$G$5:$G$204,MATCH(B372,Recipes!$A$5:$A$204,0)),""))</f>
        <v>0</v>
      </c>
      <c r="P372" s="30">
        <f>IF(J372="","",IF(K372="each",J372,J372/100))</f>
        <v>0</v>
      </c>
      <c r="Q372" s="30">
        <f>IFERROR(IF(P372="","",P372*INDEX(Ingredients!$P$5:$P$304,MATCH(D372,Ingredients!$B$5:$B$304,0))),"")</f>
        <v>0</v>
      </c>
      <c r="R372" s="45">
        <f>IFERROR(IF(P372="","",P372*INDEX(Ingredients!$Q$5:$Q$304,MATCH(D372,Ingredients!$B$5:$B$304,0))),"")</f>
        <v>0</v>
      </c>
      <c r="S372" s="45">
        <f>IFERROR(IF(P372="","",P372*INDEX(Ingredients!$R$5:$R$304,MATCH(D372,Ingredients!$B$5:$B$304,0))),"")</f>
        <v>0</v>
      </c>
      <c r="T372" s="45">
        <f>IFERROR(IF(P372="","",P372*INDEX(Ingredients!$S$5:$S$304,MATCH(D372,Ingredients!$B$5:$B$304,0))),"")</f>
        <v>0</v>
      </c>
      <c r="U372" s="45">
        <f>IFERROR(IF(P372="","",P372*INDEX(Ingredients!$T$5:$T$304,MATCH(D372,Ingredients!$B$5:$B$304,0))),"")</f>
        <v>0</v>
      </c>
      <c r="V372" s="17">
        <f>IF(D372="","",IFERROR(INDEX(Ingredients!$W$5:$W$304,MATCH(D372,Ingredients!$B$5:$B$304,0)),"Add to Ingredients"))</f>
        <v>0</v>
      </c>
      <c r="W372" s="17">
        <f>IF(D372="","",IFERROR(INDEX(Ingredients!$C$5:$C$304,MATCH(D372,Ingredients!$B$5:$B$304,0)),"Add to Ingredients"))</f>
        <v>0</v>
      </c>
      <c r="X372" s="45">
        <f>IFERROR(INDEX(Recipes!$AT$5:$AT$204,MATCH(B372,Recipes!$A$5:$A$204,0)),0)</f>
        <v>0</v>
      </c>
      <c r="Y372" s="45">
        <f>IF(OR(J372="",X372=0),"",J372*X372)</f>
        <v>0</v>
      </c>
      <c r="Z372" s="17">
        <f>IF(D372="","",B372&amp;"#"&amp;COUNTIFS($B$5:B372,B372))</f>
        <v>0</v>
      </c>
      <c r="AA372" s="17">
        <f>IF(D372="","",B372&amp;"|"&amp;D372)</f>
        <v>0</v>
      </c>
      <c r="AB372" s="31">
        <f>IF(D372="","",IF(B372="","Add - which recipe?",IF(COUNTIFS(Ingredients!$B$5:$B$304,D372)=0,"Missing - not in the Ingredients tab",IF(E372="","Add - no quantity",IF(F372="","Add - no unit",IF(K372&lt;&gt;L372,"Check - recipe in "&amp;K372&amp;", priced in "&amp;L372,IF(COUNTIFS($AA$5:$AA$1204,AA372)&gt;1,"Duplicate - same ingredient twice","OK")))))))</f>
        <v>0</v>
      </c>
    </row>
    <row r="373" spans="1:28">
      <c r="A373" s="39">
        <f>IF(D373="","","RL-"&amp;TEXT(ROW()-4,"0000"))</f>
        <v>0</v>
      </c>
      <c r="C373" s="17">
        <f>IF(B373="","",IFERROR(INDEX(Recipes!$B$5:$B$204,MATCH(B373,Recipes!$A$5:$A$204,0)),"Not found"))</f>
        <v>0</v>
      </c>
      <c r="J373" s="45">
        <f>IF(E373="","",IFERROR(E373*INDEX(UnitFactors,MATCH(F373,UnitNames,0)),""))</f>
        <v>0</v>
      </c>
      <c r="K373" s="17">
        <f>IF(F373="","",IFERROR(INDEX(UnitBases,MATCH(F373,UnitNames,0)),"?"))</f>
        <v>0</v>
      </c>
      <c r="L373" s="17">
        <f>IF(D373="","",IFERROR(INDEX(Ingredients!$G$5:$G$304,MATCH(D373,Ingredients!$B$5:$B$304,0)),"Add to Ingredients"))</f>
        <v>0</v>
      </c>
      <c r="M373" s="25">
        <f>IF(D373="","",IFERROR(INDEX(Ingredients!$J$5:$J$304,MATCH(D373,Ingredients!$B$5:$B$304,0)),"Add to Ingredients"))</f>
        <v>0</v>
      </c>
      <c r="N373" s="25">
        <f>IF(OR(J373="",M373="",NOT(ISNUMBER(M373))),"",IF(K373&lt;&gt;L373,"",J373*M373))</f>
        <v>0</v>
      </c>
      <c r="O373" s="25">
        <f>IF(N373="","",IFERROR(N373/INDEX(Recipes!$G$5:$G$204,MATCH(B373,Recipes!$A$5:$A$204,0)),""))</f>
        <v>0</v>
      </c>
      <c r="P373" s="30">
        <f>IF(J373="","",IF(K373="each",J373,J373/100))</f>
        <v>0</v>
      </c>
      <c r="Q373" s="30">
        <f>IFERROR(IF(P373="","",P373*INDEX(Ingredients!$P$5:$P$304,MATCH(D373,Ingredients!$B$5:$B$304,0))),"")</f>
        <v>0</v>
      </c>
      <c r="R373" s="45">
        <f>IFERROR(IF(P373="","",P373*INDEX(Ingredients!$Q$5:$Q$304,MATCH(D373,Ingredients!$B$5:$B$304,0))),"")</f>
        <v>0</v>
      </c>
      <c r="S373" s="45">
        <f>IFERROR(IF(P373="","",P373*INDEX(Ingredients!$R$5:$R$304,MATCH(D373,Ingredients!$B$5:$B$304,0))),"")</f>
        <v>0</v>
      </c>
      <c r="T373" s="45">
        <f>IFERROR(IF(P373="","",P373*INDEX(Ingredients!$S$5:$S$304,MATCH(D373,Ingredients!$B$5:$B$304,0))),"")</f>
        <v>0</v>
      </c>
      <c r="U373" s="45">
        <f>IFERROR(IF(P373="","",P373*INDEX(Ingredients!$T$5:$T$304,MATCH(D373,Ingredients!$B$5:$B$304,0))),"")</f>
        <v>0</v>
      </c>
      <c r="V373" s="17">
        <f>IF(D373="","",IFERROR(INDEX(Ingredients!$W$5:$W$304,MATCH(D373,Ingredients!$B$5:$B$304,0)),"Add to Ingredients"))</f>
        <v>0</v>
      </c>
      <c r="W373" s="17">
        <f>IF(D373="","",IFERROR(INDEX(Ingredients!$C$5:$C$304,MATCH(D373,Ingredients!$B$5:$B$304,0)),"Add to Ingredients"))</f>
        <v>0</v>
      </c>
      <c r="X373" s="45">
        <f>IFERROR(INDEX(Recipes!$AT$5:$AT$204,MATCH(B373,Recipes!$A$5:$A$204,0)),0)</f>
        <v>0</v>
      </c>
      <c r="Y373" s="45">
        <f>IF(OR(J373="",X373=0),"",J373*X373)</f>
        <v>0</v>
      </c>
      <c r="Z373" s="17">
        <f>IF(D373="","",B373&amp;"#"&amp;COUNTIFS($B$5:B373,B373))</f>
        <v>0</v>
      </c>
      <c r="AA373" s="17">
        <f>IF(D373="","",B373&amp;"|"&amp;D373)</f>
        <v>0</v>
      </c>
      <c r="AB373" s="31">
        <f>IF(D373="","",IF(B373="","Add - which recipe?",IF(COUNTIFS(Ingredients!$B$5:$B$304,D373)=0,"Missing - not in the Ingredients tab",IF(E373="","Add - no quantity",IF(F373="","Add - no unit",IF(K373&lt;&gt;L373,"Check - recipe in "&amp;K373&amp;", priced in "&amp;L373,IF(COUNTIFS($AA$5:$AA$1204,AA373)&gt;1,"Duplicate - same ingredient twice","OK")))))))</f>
        <v>0</v>
      </c>
    </row>
    <row r="374" spans="1:28">
      <c r="A374" s="39">
        <f>IF(D374="","","RL-"&amp;TEXT(ROW()-4,"0000"))</f>
        <v>0</v>
      </c>
      <c r="C374" s="17">
        <f>IF(B374="","",IFERROR(INDEX(Recipes!$B$5:$B$204,MATCH(B374,Recipes!$A$5:$A$204,0)),"Not found"))</f>
        <v>0</v>
      </c>
      <c r="J374" s="45">
        <f>IF(E374="","",IFERROR(E374*INDEX(UnitFactors,MATCH(F374,UnitNames,0)),""))</f>
        <v>0</v>
      </c>
      <c r="K374" s="17">
        <f>IF(F374="","",IFERROR(INDEX(UnitBases,MATCH(F374,UnitNames,0)),"?"))</f>
        <v>0</v>
      </c>
      <c r="L374" s="17">
        <f>IF(D374="","",IFERROR(INDEX(Ingredients!$G$5:$G$304,MATCH(D374,Ingredients!$B$5:$B$304,0)),"Add to Ingredients"))</f>
        <v>0</v>
      </c>
      <c r="M374" s="25">
        <f>IF(D374="","",IFERROR(INDEX(Ingredients!$J$5:$J$304,MATCH(D374,Ingredients!$B$5:$B$304,0)),"Add to Ingredients"))</f>
        <v>0</v>
      </c>
      <c r="N374" s="25">
        <f>IF(OR(J374="",M374="",NOT(ISNUMBER(M374))),"",IF(K374&lt;&gt;L374,"",J374*M374))</f>
        <v>0</v>
      </c>
      <c r="O374" s="25">
        <f>IF(N374="","",IFERROR(N374/INDEX(Recipes!$G$5:$G$204,MATCH(B374,Recipes!$A$5:$A$204,0)),""))</f>
        <v>0</v>
      </c>
      <c r="P374" s="30">
        <f>IF(J374="","",IF(K374="each",J374,J374/100))</f>
        <v>0</v>
      </c>
      <c r="Q374" s="30">
        <f>IFERROR(IF(P374="","",P374*INDEX(Ingredients!$P$5:$P$304,MATCH(D374,Ingredients!$B$5:$B$304,0))),"")</f>
        <v>0</v>
      </c>
      <c r="R374" s="45">
        <f>IFERROR(IF(P374="","",P374*INDEX(Ingredients!$Q$5:$Q$304,MATCH(D374,Ingredients!$B$5:$B$304,0))),"")</f>
        <v>0</v>
      </c>
      <c r="S374" s="45">
        <f>IFERROR(IF(P374="","",P374*INDEX(Ingredients!$R$5:$R$304,MATCH(D374,Ingredients!$B$5:$B$304,0))),"")</f>
        <v>0</v>
      </c>
      <c r="T374" s="45">
        <f>IFERROR(IF(P374="","",P374*INDEX(Ingredients!$S$5:$S$304,MATCH(D374,Ingredients!$B$5:$B$304,0))),"")</f>
        <v>0</v>
      </c>
      <c r="U374" s="45">
        <f>IFERROR(IF(P374="","",P374*INDEX(Ingredients!$T$5:$T$304,MATCH(D374,Ingredients!$B$5:$B$304,0))),"")</f>
        <v>0</v>
      </c>
      <c r="V374" s="17">
        <f>IF(D374="","",IFERROR(INDEX(Ingredients!$W$5:$W$304,MATCH(D374,Ingredients!$B$5:$B$304,0)),"Add to Ingredients"))</f>
        <v>0</v>
      </c>
      <c r="W374" s="17">
        <f>IF(D374="","",IFERROR(INDEX(Ingredients!$C$5:$C$304,MATCH(D374,Ingredients!$B$5:$B$304,0)),"Add to Ingredients"))</f>
        <v>0</v>
      </c>
      <c r="X374" s="45">
        <f>IFERROR(INDEX(Recipes!$AT$5:$AT$204,MATCH(B374,Recipes!$A$5:$A$204,0)),0)</f>
        <v>0</v>
      </c>
      <c r="Y374" s="45">
        <f>IF(OR(J374="",X374=0),"",J374*X374)</f>
        <v>0</v>
      </c>
      <c r="Z374" s="17">
        <f>IF(D374="","",B374&amp;"#"&amp;COUNTIFS($B$5:B374,B374))</f>
        <v>0</v>
      </c>
      <c r="AA374" s="17">
        <f>IF(D374="","",B374&amp;"|"&amp;D374)</f>
        <v>0</v>
      </c>
      <c r="AB374" s="31">
        <f>IF(D374="","",IF(B374="","Add - which recipe?",IF(COUNTIFS(Ingredients!$B$5:$B$304,D374)=0,"Missing - not in the Ingredients tab",IF(E374="","Add - no quantity",IF(F374="","Add - no unit",IF(K374&lt;&gt;L374,"Check - recipe in "&amp;K374&amp;", priced in "&amp;L374,IF(COUNTIFS($AA$5:$AA$1204,AA374)&gt;1,"Duplicate - same ingredient twice","OK")))))))</f>
        <v>0</v>
      </c>
    </row>
    <row r="375" spans="1:28">
      <c r="A375" s="39">
        <f>IF(D375="","","RL-"&amp;TEXT(ROW()-4,"0000"))</f>
        <v>0</v>
      </c>
      <c r="C375" s="17">
        <f>IF(B375="","",IFERROR(INDEX(Recipes!$B$5:$B$204,MATCH(B375,Recipes!$A$5:$A$204,0)),"Not found"))</f>
        <v>0</v>
      </c>
      <c r="J375" s="45">
        <f>IF(E375="","",IFERROR(E375*INDEX(UnitFactors,MATCH(F375,UnitNames,0)),""))</f>
        <v>0</v>
      </c>
      <c r="K375" s="17">
        <f>IF(F375="","",IFERROR(INDEX(UnitBases,MATCH(F375,UnitNames,0)),"?"))</f>
        <v>0</v>
      </c>
      <c r="L375" s="17">
        <f>IF(D375="","",IFERROR(INDEX(Ingredients!$G$5:$G$304,MATCH(D375,Ingredients!$B$5:$B$304,0)),"Add to Ingredients"))</f>
        <v>0</v>
      </c>
      <c r="M375" s="25">
        <f>IF(D375="","",IFERROR(INDEX(Ingredients!$J$5:$J$304,MATCH(D375,Ingredients!$B$5:$B$304,0)),"Add to Ingredients"))</f>
        <v>0</v>
      </c>
      <c r="N375" s="25">
        <f>IF(OR(J375="",M375="",NOT(ISNUMBER(M375))),"",IF(K375&lt;&gt;L375,"",J375*M375))</f>
        <v>0</v>
      </c>
      <c r="O375" s="25">
        <f>IF(N375="","",IFERROR(N375/INDEX(Recipes!$G$5:$G$204,MATCH(B375,Recipes!$A$5:$A$204,0)),""))</f>
        <v>0</v>
      </c>
      <c r="P375" s="30">
        <f>IF(J375="","",IF(K375="each",J375,J375/100))</f>
        <v>0</v>
      </c>
      <c r="Q375" s="30">
        <f>IFERROR(IF(P375="","",P375*INDEX(Ingredients!$P$5:$P$304,MATCH(D375,Ingredients!$B$5:$B$304,0))),"")</f>
        <v>0</v>
      </c>
      <c r="R375" s="45">
        <f>IFERROR(IF(P375="","",P375*INDEX(Ingredients!$Q$5:$Q$304,MATCH(D375,Ingredients!$B$5:$B$304,0))),"")</f>
        <v>0</v>
      </c>
      <c r="S375" s="45">
        <f>IFERROR(IF(P375="","",P375*INDEX(Ingredients!$R$5:$R$304,MATCH(D375,Ingredients!$B$5:$B$304,0))),"")</f>
        <v>0</v>
      </c>
      <c r="T375" s="45">
        <f>IFERROR(IF(P375="","",P375*INDEX(Ingredients!$S$5:$S$304,MATCH(D375,Ingredients!$B$5:$B$304,0))),"")</f>
        <v>0</v>
      </c>
      <c r="U375" s="45">
        <f>IFERROR(IF(P375="","",P375*INDEX(Ingredients!$T$5:$T$304,MATCH(D375,Ingredients!$B$5:$B$304,0))),"")</f>
        <v>0</v>
      </c>
      <c r="V375" s="17">
        <f>IF(D375="","",IFERROR(INDEX(Ingredients!$W$5:$W$304,MATCH(D375,Ingredients!$B$5:$B$304,0)),"Add to Ingredients"))</f>
        <v>0</v>
      </c>
      <c r="W375" s="17">
        <f>IF(D375="","",IFERROR(INDEX(Ingredients!$C$5:$C$304,MATCH(D375,Ingredients!$B$5:$B$304,0)),"Add to Ingredients"))</f>
        <v>0</v>
      </c>
      <c r="X375" s="45">
        <f>IFERROR(INDEX(Recipes!$AT$5:$AT$204,MATCH(B375,Recipes!$A$5:$A$204,0)),0)</f>
        <v>0</v>
      </c>
      <c r="Y375" s="45">
        <f>IF(OR(J375="",X375=0),"",J375*X375)</f>
        <v>0</v>
      </c>
      <c r="Z375" s="17">
        <f>IF(D375="","",B375&amp;"#"&amp;COUNTIFS($B$5:B375,B375))</f>
        <v>0</v>
      </c>
      <c r="AA375" s="17">
        <f>IF(D375="","",B375&amp;"|"&amp;D375)</f>
        <v>0</v>
      </c>
      <c r="AB375" s="31">
        <f>IF(D375="","",IF(B375="","Add - which recipe?",IF(COUNTIFS(Ingredients!$B$5:$B$304,D375)=0,"Missing - not in the Ingredients tab",IF(E375="","Add - no quantity",IF(F375="","Add - no unit",IF(K375&lt;&gt;L375,"Check - recipe in "&amp;K375&amp;", priced in "&amp;L375,IF(COUNTIFS($AA$5:$AA$1204,AA375)&gt;1,"Duplicate - same ingredient twice","OK")))))))</f>
        <v>0</v>
      </c>
    </row>
    <row r="376" spans="1:28">
      <c r="A376" s="39">
        <f>IF(D376="","","RL-"&amp;TEXT(ROW()-4,"0000"))</f>
        <v>0</v>
      </c>
      <c r="C376" s="17">
        <f>IF(B376="","",IFERROR(INDEX(Recipes!$B$5:$B$204,MATCH(B376,Recipes!$A$5:$A$204,0)),"Not found"))</f>
        <v>0</v>
      </c>
      <c r="J376" s="45">
        <f>IF(E376="","",IFERROR(E376*INDEX(UnitFactors,MATCH(F376,UnitNames,0)),""))</f>
        <v>0</v>
      </c>
      <c r="K376" s="17">
        <f>IF(F376="","",IFERROR(INDEX(UnitBases,MATCH(F376,UnitNames,0)),"?"))</f>
        <v>0</v>
      </c>
      <c r="L376" s="17">
        <f>IF(D376="","",IFERROR(INDEX(Ingredients!$G$5:$G$304,MATCH(D376,Ingredients!$B$5:$B$304,0)),"Add to Ingredients"))</f>
        <v>0</v>
      </c>
      <c r="M376" s="25">
        <f>IF(D376="","",IFERROR(INDEX(Ingredients!$J$5:$J$304,MATCH(D376,Ingredients!$B$5:$B$304,0)),"Add to Ingredients"))</f>
        <v>0</v>
      </c>
      <c r="N376" s="25">
        <f>IF(OR(J376="",M376="",NOT(ISNUMBER(M376))),"",IF(K376&lt;&gt;L376,"",J376*M376))</f>
        <v>0</v>
      </c>
      <c r="O376" s="25">
        <f>IF(N376="","",IFERROR(N376/INDEX(Recipes!$G$5:$G$204,MATCH(B376,Recipes!$A$5:$A$204,0)),""))</f>
        <v>0</v>
      </c>
      <c r="P376" s="30">
        <f>IF(J376="","",IF(K376="each",J376,J376/100))</f>
        <v>0</v>
      </c>
      <c r="Q376" s="30">
        <f>IFERROR(IF(P376="","",P376*INDEX(Ingredients!$P$5:$P$304,MATCH(D376,Ingredients!$B$5:$B$304,0))),"")</f>
        <v>0</v>
      </c>
      <c r="R376" s="45">
        <f>IFERROR(IF(P376="","",P376*INDEX(Ingredients!$Q$5:$Q$304,MATCH(D376,Ingredients!$B$5:$B$304,0))),"")</f>
        <v>0</v>
      </c>
      <c r="S376" s="45">
        <f>IFERROR(IF(P376="","",P376*INDEX(Ingredients!$R$5:$R$304,MATCH(D376,Ingredients!$B$5:$B$304,0))),"")</f>
        <v>0</v>
      </c>
      <c r="T376" s="45">
        <f>IFERROR(IF(P376="","",P376*INDEX(Ingredients!$S$5:$S$304,MATCH(D376,Ingredients!$B$5:$B$304,0))),"")</f>
        <v>0</v>
      </c>
      <c r="U376" s="45">
        <f>IFERROR(IF(P376="","",P376*INDEX(Ingredients!$T$5:$T$304,MATCH(D376,Ingredients!$B$5:$B$304,0))),"")</f>
        <v>0</v>
      </c>
      <c r="V376" s="17">
        <f>IF(D376="","",IFERROR(INDEX(Ingredients!$W$5:$W$304,MATCH(D376,Ingredients!$B$5:$B$304,0)),"Add to Ingredients"))</f>
        <v>0</v>
      </c>
      <c r="W376" s="17">
        <f>IF(D376="","",IFERROR(INDEX(Ingredients!$C$5:$C$304,MATCH(D376,Ingredients!$B$5:$B$304,0)),"Add to Ingredients"))</f>
        <v>0</v>
      </c>
      <c r="X376" s="45">
        <f>IFERROR(INDEX(Recipes!$AT$5:$AT$204,MATCH(B376,Recipes!$A$5:$A$204,0)),0)</f>
        <v>0</v>
      </c>
      <c r="Y376" s="45">
        <f>IF(OR(J376="",X376=0),"",J376*X376)</f>
        <v>0</v>
      </c>
      <c r="Z376" s="17">
        <f>IF(D376="","",B376&amp;"#"&amp;COUNTIFS($B$5:B376,B376))</f>
        <v>0</v>
      </c>
      <c r="AA376" s="17">
        <f>IF(D376="","",B376&amp;"|"&amp;D376)</f>
        <v>0</v>
      </c>
      <c r="AB376" s="31">
        <f>IF(D376="","",IF(B376="","Add - which recipe?",IF(COUNTIFS(Ingredients!$B$5:$B$304,D376)=0,"Missing - not in the Ingredients tab",IF(E376="","Add - no quantity",IF(F376="","Add - no unit",IF(K376&lt;&gt;L376,"Check - recipe in "&amp;K376&amp;", priced in "&amp;L376,IF(COUNTIFS($AA$5:$AA$1204,AA376)&gt;1,"Duplicate - same ingredient twice","OK")))))))</f>
        <v>0</v>
      </c>
    </row>
    <row r="377" spans="1:28">
      <c r="A377" s="39">
        <f>IF(D377="","","RL-"&amp;TEXT(ROW()-4,"0000"))</f>
        <v>0</v>
      </c>
      <c r="C377" s="17">
        <f>IF(B377="","",IFERROR(INDEX(Recipes!$B$5:$B$204,MATCH(B377,Recipes!$A$5:$A$204,0)),"Not found"))</f>
        <v>0</v>
      </c>
      <c r="J377" s="45">
        <f>IF(E377="","",IFERROR(E377*INDEX(UnitFactors,MATCH(F377,UnitNames,0)),""))</f>
        <v>0</v>
      </c>
      <c r="K377" s="17">
        <f>IF(F377="","",IFERROR(INDEX(UnitBases,MATCH(F377,UnitNames,0)),"?"))</f>
        <v>0</v>
      </c>
      <c r="L377" s="17">
        <f>IF(D377="","",IFERROR(INDEX(Ingredients!$G$5:$G$304,MATCH(D377,Ingredients!$B$5:$B$304,0)),"Add to Ingredients"))</f>
        <v>0</v>
      </c>
      <c r="M377" s="25">
        <f>IF(D377="","",IFERROR(INDEX(Ingredients!$J$5:$J$304,MATCH(D377,Ingredients!$B$5:$B$304,0)),"Add to Ingredients"))</f>
        <v>0</v>
      </c>
      <c r="N377" s="25">
        <f>IF(OR(J377="",M377="",NOT(ISNUMBER(M377))),"",IF(K377&lt;&gt;L377,"",J377*M377))</f>
        <v>0</v>
      </c>
      <c r="O377" s="25">
        <f>IF(N377="","",IFERROR(N377/INDEX(Recipes!$G$5:$G$204,MATCH(B377,Recipes!$A$5:$A$204,0)),""))</f>
        <v>0</v>
      </c>
      <c r="P377" s="30">
        <f>IF(J377="","",IF(K377="each",J377,J377/100))</f>
        <v>0</v>
      </c>
      <c r="Q377" s="30">
        <f>IFERROR(IF(P377="","",P377*INDEX(Ingredients!$P$5:$P$304,MATCH(D377,Ingredients!$B$5:$B$304,0))),"")</f>
        <v>0</v>
      </c>
      <c r="R377" s="45">
        <f>IFERROR(IF(P377="","",P377*INDEX(Ingredients!$Q$5:$Q$304,MATCH(D377,Ingredients!$B$5:$B$304,0))),"")</f>
        <v>0</v>
      </c>
      <c r="S377" s="45">
        <f>IFERROR(IF(P377="","",P377*INDEX(Ingredients!$R$5:$R$304,MATCH(D377,Ingredients!$B$5:$B$304,0))),"")</f>
        <v>0</v>
      </c>
      <c r="T377" s="45">
        <f>IFERROR(IF(P377="","",P377*INDEX(Ingredients!$S$5:$S$304,MATCH(D377,Ingredients!$B$5:$B$304,0))),"")</f>
        <v>0</v>
      </c>
      <c r="U377" s="45">
        <f>IFERROR(IF(P377="","",P377*INDEX(Ingredients!$T$5:$T$304,MATCH(D377,Ingredients!$B$5:$B$304,0))),"")</f>
        <v>0</v>
      </c>
      <c r="V377" s="17">
        <f>IF(D377="","",IFERROR(INDEX(Ingredients!$W$5:$W$304,MATCH(D377,Ingredients!$B$5:$B$304,0)),"Add to Ingredients"))</f>
        <v>0</v>
      </c>
      <c r="W377" s="17">
        <f>IF(D377="","",IFERROR(INDEX(Ingredients!$C$5:$C$304,MATCH(D377,Ingredients!$B$5:$B$304,0)),"Add to Ingredients"))</f>
        <v>0</v>
      </c>
      <c r="X377" s="45">
        <f>IFERROR(INDEX(Recipes!$AT$5:$AT$204,MATCH(B377,Recipes!$A$5:$A$204,0)),0)</f>
        <v>0</v>
      </c>
      <c r="Y377" s="45">
        <f>IF(OR(J377="",X377=0),"",J377*X377)</f>
        <v>0</v>
      </c>
      <c r="Z377" s="17">
        <f>IF(D377="","",B377&amp;"#"&amp;COUNTIFS($B$5:B377,B377))</f>
        <v>0</v>
      </c>
      <c r="AA377" s="17">
        <f>IF(D377="","",B377&amp;"|"&amp;D377)</f>
        <v>0</v>
      </c>
      <c r="AB377" s="31">
        <f>IF(D377="","",IF(B377="","Add - which recipe?",IF(COUNTIFS(Ingredients!$B$5:$B$304,D377)=0,"Missing - not in the Ingredients tab",IF(E377="","Add - no quantity",IF(F377="","Add - no unit",IF(K377&lt;&gt;L377,"Check - recipe in "&amp;K377&amp;", priced in "&amp;L377,IF(COUNTIFS($AA$5:$AA$1204,AA377)&gt;1,"Duplicate - same ingredient twice","OK")))))))</f>
        <v>0</v>
      </c>
    </row>
    <row r="378" spans="1:28">
      <c r="A378" s="39">
        <f>IF(D378="","","RL-"&amp;TEXT(ROW()-4,"0000"))</f>
        <v>0</v>
      </c>
      <c r="C378" s="17">
        <f>IF(B378="","",IFERROR(INDEX(Recipes!$B$5:$B$204,MATCH(B378,Recipes!$A$5:$A$204,0)),"Not found"))</f>
        <v>0</v>
      </c>
      <c r="J378" s="45">
        <f>IF(E378="","",IFERROR(E378*INDEX(UnitFactors,MATCH(F378,UnitNames,0)),""))</f>
        <v>0</v>
      </c>
      <c r="K378" s="17">
        <f>IF(F378="","",IFERROR(INDEX(UnitBases,MATCH(F378,UnitNames,0)),"?"))</f>
        <v>0</v>
      </c>
      <c r="L378" s="17">
        <f>IF(D378="","",IFERROR(INDEX(Ingredients!$G$5:$G$304,MATCH(D378,Ingredients!$B$5:$B$304,0)),"Add to Ingredients"))</f>
        <v>0</v>
      </c>
      <c r="M378" s="25">
        <f>IF(D378="","",IFERROR(INDEX(Ingredients!$J$5:$J$304,MATCH(D378,Ingredients!$B$5:$B$304,0)),"Add to Ingredients"))</f>
        <v>0</v>
      </c>
      <c r="N378" s="25">
        <f>IF(OR(J378="",M378="",NOT(ISNUMBER(M378))),"",IF(K378&lt;&gt;L378,"",J378*M378))</f>
        <v>0</v>
      </c>
      <c r="O378" s="25">
        <f>IF(N378="","",IFERROR(N378/INDEX(Recipes!$G$5:$G$204,MATCH(B378,Recipes!$A$5:$A$204,0)),""))</f>
        <v>0</v>
      </c>
      <c r="P378" s="30">
        <f>IF(J378="","",IF(K378="each",J378,J378/100))</f>
        <v>0</v>
      </c>
      <c r="Q378" s="30">
        <f>IFERROR(IF(P378="","",P378*INDEX(Ingredients!$P$5:$P$304,MATCH(D378,Ingredients!$B$5:$B$304,0))),"")</f>
        <v>0</v>
      </c>
      <c r="R378" s="45">
        <f>IFERROR(IF(P378="","",P378*INDEX(Ingredients!$Q$5:$Q$304,MATCH(D378,Ingredients!$B$5:$B$304,0))),"")</f>
        <v>0</v>
      </c>
      <c r="S378" s="45">
        <f>IFERROR(IF(P378="","",P378*INDEX(Ingredients!$R$5:$R$304,MATCH(D378,Ingredients!$B$5:$B$304,0))),"")</f>
        <v>0</v>
      </c>
      <c r="T378" s="45">
        <f>IFERROR(IF(P378="","",P378*INDEX(Ingredients!$S$5:$S$304,MATCH(D378,Ingredients!$B$5:$B$304,0))),"")</f>
        <v>0</v>
      </c>
      <c r="U378" s="45">
        <f>IFERROR(IF(P378="","",P378*INDEX(Ingredients!$T$5:$T$304,MATCH(D378,Ingredients!$B$5:$B$304,0))),"")</f>
        <v>0</v>
      </c>
      <c r="V378" s="17">
        <f>IF(D378="","",IFERROR(INDEX(Ingredients!$W$5:$W$304,MATCH(D378,Ingredients!$B$5:$B$304,0)),"Add to Ingredients"))</f>
        <v>0</v>
      </c>
      <c r="W378" s="17">
        <f>IF(D378="","",IFERROR(INDEX(Ingredients!$C$5:$C$304,MATCH(D378,Ingredients!$B$5:$B$304,0)),"Add to Ingredients"))</f>
        <v>0</v>
      </c>
      <c r="X378" s="45">
        <f>IFERROR(INDEX(Recipes!$AT$5:$AT$204,MATCH(B378,Recipes!$A$5:$A$204,0)),0)</f>
        <v>0</v>
      </c>
      <c r="Y378" s="45">
        <f>IF(OR(J378="",X378=0),"",J378*X378)</f>
        <v>0</v>
      </c>
      <c r="Z378" s="17">
        <f>IF(D378="","",B378&amp;"#"&amp;COUNTIFS($B$5:B378,B378))</f>
        <v>0</v>
      </c>
      <c r="AA378" s="17">
        <f>IF(D378="","",B378&amp;"|"&amp;D378)</f>
        <v>0</v>
      </c>
      <c r="AB378" s="31">
        <f>IF(D378="","",IF(B378="","Add - which recipe?",IF(COUNTIFS(Ingredients!$B$5:$B$304,D378)=0,"Missing - not in the Ingredients tab",IF(E378="","Add - no quantity",IF(F378="","Add - no unit",IF(K378&lt;&gt;L378,"Check - recipe in "&amp;K378&amp;", priced in "&amp;L378,IF(COUNTIFS($AA$5:$AA$1204,AA378)&gt;1,"Duplicate - same ingredient twice","OK")))))))</f>
        <v>0</v>
      </c>
    </row>
    <row r="379" spans="1:28">
      <c r="A379" s="39">
        <f>IF(D379="","","RL-"&amp;TEXT(ROW()-4,"0000"))</f>
        <v>0</v>
      </c>
      <c r="C379" s="17">
        <f>IF(B379="","",IFERROR(INDEX(Recipes!$B$5:$B$204,MATCH(B379,Recipes!$A$5:$A$204,0)),"Not found"))</f>
        <v>0</v>
      </c>
      <c r="J379" s="45">
        <f>IF(E379="","",IFERROR(E379*INDEX(UnitFactors,MATCH(F379,UnitNames,0)),""))</f>
        <v>0</v>
      </c>
      <c r="K379" s="17">
        <f>IF(F379="","",IFERROR(INDEX(UnitBases,MATCH(F379,UnitNames,0)),"?"))</f>
        <v>0</v>
      </c>
      <c r="L379" s="17">
        <f>IF(D379="","",IFERROR(INDEX(Ingredients!$G$5:$G$304,MATCH(D379,Ingredients!$B$5:$B$304,0)),"Add to Ingredients"))</f>
        <v>0</v>
      </c>
      <c r="M379" s="25">
        <f>IF(D379="","",IFERROR(INDEX(Ingredients!$J$5:$J$304,MATCH(D379,Ingredients!$B$5:$B$304,0)),"Add to Ingredients"))</f>
        <v>0</v>
      </c>
      <c r="N379" s="25">
        <f>IF(OR(J379="",M379="",NOT(ISNUMBER(M379))),"",IF(K379&lt;&gt;L379,"",J379*M379))</f>
        <v>0</v>
      </c>
      <c r="O379" s="25">
        <f>IF(N379="","",IFERROR(N379/INDEX(Recipes!$G$5:$G$204,MATCH(B379,Recipes!$A$5:$A$204,0)),""))</f>
        <v>0</v>
      </c>
      <c r="P379" s="30">
        <f>IF(J379="","",IF(K379="each",J379,J379/100))</f>
        <v>0</v>
      </c>
      <c r="Q379" s="30">
        <f>IFERROR(IF(P379="","",P379*INDEX(Ingredients!$P$5:$P$304,MATCH(D379,Ingredients!$B$5:$B$304,0))),"")</f>
        <v>0</v>
      </c>
      <c r="R379" s="45">
        <f>IFERROR(IF(P379="","",P379*INDEX(Ingredients!$Q$5:$Q$304,MATCH(D379,Ingredients!$B$5:$B$304,0))),"")</f>
        <v>0</v>
      </c>
      <c r="S379" s="45">
        <f>IFERROR(IF(P379="","",P379*INDEX(Ingredients!$R$5:$R$304,MATCH(D379,Ingredients!$B$5:$B$304,0))),"")</f>
        <v>0</v>
      </c>
      <c r="T379" s="45">
        <f>IFERROR(IF(P379="","",P379*INDEX(Ingredients!$S$5:$S$304,MATCH(D379,Ingredients!$B$5:$B$304,0))),"")</f>
        <v>0</v>
      </c>
      <c r="U379" s="45">
        <f>IFERROR(IF(P379="","",P379*INDEX(Ingredients!$T$5:$T$304,MATCH(D379,Ingredients!$B$5:$B$304,0))),"")</f>
        <v>0</v>
      </c>
      <c r="V379" s="17">
        <f>IF(D379="","",IFERROR(INDEX(Ingredients!$W$5:$W$304,MATCH(D379,Ingredients!$B$5:$B$304,0)),"Add to Ingredients"))</f>
        <v>0</v>
      </c>
      <c r="W379" s="17">
        <f>IF(D379="","",IFERROR(INDEX(Ingredients!$C$5:$C$304,MATCH(D379,Ingredients!$B$5:$B$304,0)),"Add to Ingredients"))</f>
        <v>0</v>
      </c>
      <c r="X379" s="45">
        <f>IFERROR(INDEX(Recipes!$AT$5:$AT$204,MATCH(B379,Recipes!$A$5:$A$204,0)),0)</f>
        <v>0</v>
      </c>
      <c r="Y379" s="45">
        <f>IF(OR(J379="",X379=0),"",J379*X379)</f>
        <v>0</v>
      </c>
      <c r="Z379" s="17">
        <f>IF(D379="","",B379&amp;"#"&amp;COUNTIFS($B$5:B379,B379))</f>
        <v>0</v>
      </c>
      <c r="AA379" s="17">
        <f>IF(D379="","",B379&amp;"|"&amp;D379)</f>
        <v>0</v>
      </c>
      <c r="AB379" s="31">
        <f>IF(D379="","",IF(B379="","Add - which recipe?",IF(COUNTIFS(Ingredients!$B$5:$B$304,D379)=0,"Missing - not in the Ingredients tab",IF(E379="","Add - no quantity",IF(F379="","Add - no unit",IF(K379&lt;&gt;L379,"Check - recipe in "&amp;K379&amp;", priced in "&amp;L379,IF(COUNTIFS($AA$5:$AA$1204,AA379)&gt;1,"Duplicate - same ingredient twice","OK")))))))</f>
        <v>0</v>
      </c>
    </row>
    <row r="380" spans="1:28">
      <c r="A380" s="39">
        <f>IF(D380="","","RL-"&amp;TEXT(ROW()-4,"0000"))</f>
        <v>0</v>
      </c>
      <c r="C380" s="17">
        <f>IF(B380="","",IFERROR(INDEX(Recipes!$B$5:$B$204,MATCH(B380,Recipes!$A$5:$A$204,0)),"Not found"))</f>
        <v>0</v>
      </c>
      <c r="J380" s="45">
        <f>IF(E380="","",IFERROR(E380*INDEX(UnitFactors,MATCH(F380,UnitNames,0)),""))</f>
        <v>0</v>
      </c>
      <c r="K380" s="17">
        <f>IF(F380="","",IFERROR(INDEX(UnitBases,MATCH(F380,UnitNames,0)),"?"))</f>
        <v>0</v>
      </c>
      <c r="L380" s="17">
        <f>IF(D380="","",IFERROR(INDEX(Ingredients!$G$5:$G$304,MATCH(D380,Ingredients!$B$5:$B$304,0)),"Add to Ingredients"))</f>
        <v>0</v>
      </c>
      <c r="M380" s="25">
        <f>IF(D380="","",IFERROR(INDEX(Ingredients!$J$5:$J$304,MATCH(D380,Ingredients!$B$5:$B$304,0)),"Add to Ingredients"))</f>
        <v>0</v>
      </c>
      <c r="N380" s="25">
        <f>IF(OR(J380="",M380="",NOT(ISNUMBER(M380))),"",IF(K380&lt;&gt;L380,"",J380*M380))</f>
        <v>0</v>
      </c>
      <c r="O380" s="25">
        <f>IF(N380="","",IFERROR(N380/INDEX(Recipes!$G$5:$G$204,MATCH(B380,Recipes!$A$5:$A$204,0)),""))</f>
        <v>0</v>
      </c>
      <c r="P380" s="30">
        <f>IF(J380="","",IF(K380="each",J380,J380/100))</f>
        <v>0</v>
      </c>
      <c r="Q380" s="30">
        <f>IFERROR(IF(P380="","",P380*INDEX(Ingredients!$P$5:$P$304,MATCH(D380,Ingredients!$B$5:$B$304,0))),"")</f>
        <v>0</v>
      </c>
      <c r="R380" s="45">
        <f>IFERROR(IF(P380="","",P380*INDEX(Ingredients!$Q$5:$Q$304,MATCH(D380,Ingredients!$B$5:$B$304,0))),"")</f>
        <v>0</v>
      </c>
      <c r="S380" s="45">
        <f>IFERROR(IF(P380="","",P380*INDEX(Ingredients!$R$5:$R$304,MATCH(D380,Ingredients!$B$5:$B$304,0))),"")</f>
        <v>0</v>
      </c>
      <c r="T380" s="45">
        <f>IFERROR(IF(P380="","",P380*INDEX(Ingredients!$S$5:$S$304,MATCH(D380,Ingredients!$B$5:$B$304,0))),"")</f>
        <v>0</v>
      </c>
      <c r="U380" s="45">
        <f>IFERROR(IF(P380="","",P380*INDEX(Ingredients!$T$5:$T$304,MATCH(D380,Ingredients!$B$5:$B$304,0))),"")</f>
        <v>0</v>
      </c>
      <c r="V380" s="17">
        <f>IF(D380="","",IFERROR(INDEX(Ingredients!$W$5:$W$304,MATCH(D380,Ingredients!$B$5:$B$304,0)),"Add to Ingredients"))</f>
        <v>0</v>
      </c>
      <c r="W380" s="17">
        <f>IF(D380="","",IFERROR(INDEX(Ingredients!$C$5:$C$304,MATCH(D380,Ingredients!$B$5:$B$304,0)),"Add to Ingredients"))</f>
        <v>0</v>
      </c>
      <c r="X380" s="45">
        <f>IFERROR(INDEX(Recipes!$AT$5:$AT$204,MATCH(B380,Recipes!$A$5:$A$204,0)),0)</f>
        <v>0</v>
      </c>
      <c r="Y380" s="45">
        <f>IF(OR(J380="",X380=0),"",J380*X380)</f>
        <v>0</v>
      </c>
      <c r="Z380" s="17">
        <f>IF(D380="","",B380&amp;"#"&amp;COUNTIFS($B$5:B380,B380))</f>
        <v>0</v>
      </c>
      <c r="AA380" s="17">
        <f>IF(D380="","",B380&amp;"|"&amp;D380)</f>
        <v>0</v>
      </c>
      <c r="AB380" s="31">
        <f>IF(D380="","",IF(B380="","Add - which recipe?",IF(COUNTIFS(Ingredients!$B$5:$B$304,D380)=0,"Missing - not in the Ingredients tab",IF(E380="","Add - no quantity",IF(F380="","Add - no unit",IF(K380&lt;&gt;L380,"Check - recipe in "&amp;K380&amp;", priced in "&amp;L380,IF(COUNTIFS($AA$5:$AA$1204,AA380)&gt;1,"Duplicate - same ingredient twice","OK")))))))</f>
        <v>0</v>
      </c>
    </row>
    <row r="381" spans="1:28">
      <c r="A381" s="39">
        <f>IF(D381="","","RL-"&amp;TEXT(ROW()-4,"0000"))</f>
        <v>0</v>
      </c>
      <c r="C381" s="17">
        <f>IF(B381="","",IFERROR(INDEX(Recipes!$B$5:$B$204,MATCH(B381,Recipes!$A$5:$A$204,0)),"Not found"))</f>
        <v>0</v>
      </c>
      <c r="J381" s="45">
        <f>IF(E381="","",IFERROR(E381*INDEX(UnitFactors,MATCH(F381,UnitNames,0)),""))</f>
        <v>0</v>
      </c>
      <c r="K381" s="17">
        <f>IF(F381="","",IFERROR(INDEX(UnitBases,MATCH(F381,UnitNames,0)),"?"))</f>
        <v>0</v>
      </c>
      <c r="L381" s="17">
        <f>IF(D381="","",IFERROR(INDEX(Ingredients!$G$5:$G$304,MATCH(D381,Ingredients!$B$5:$B$304,0)),"Add to Ingredients"))</f>
        <v>0</v>
      </c>
      <c r="M381" s="25">
        <f>IF(D381="","",IFERROR(INDEX(Ingredients!$J$5:$J$304,MATCH(D381,Ingredients!$B$5:$B$304,0)),"Add to Ingredients"))</f>
        <v>0</v>
      </c>
      <c r="N381" s="25">
        <f>IF(OR(J381="",M381="",NOT(ISNUMBER(M381))),"",IF(K381&lt;&gt;L381,"",J381*M381))</f>
        <v>0</v>
      </c>
      <c r="O381" s="25">
        <f>IF(N381="","",IFERROR(N381/INDEX(Recipes!$G$5:$G$204,MATCH(B381,Recipes!$A$5:$A$204,0)),""))</f>
        <v>0</v>
      </c>
      <c r="P381" s="30">
        <f>IF(J381="","",IF(K381="each",J381,J381/100))</f>
        <v>0</v>
      </c>
      <c r="Q381" s="30">
        <f>IFERROR(IF(P381="","",P381*INDEX(Ingredients!$P$5:$P$304,MATCH(D381,Ingredients!$B$5:$B$304,0))),"")</f>
        <v>0</v>
      </c>
      <c r="R381" s="45">
        <f>IFERROR(IF(P381="","",P381*INDEX(Ingredients!$Q$5:$Q$304,MATCH(D381,Ingredients!$B$5:$B$304,0))),"")</f>
        <v>0</v>
      </c>
      <c r="S381" s="45">
        <f>IFERROR(IF(P381="","",P381*INDEX(Ingredients!$R$5:$R$304,MATCH(D381,Ingredients!$B$5:$B$304,0))),"")</f>
        <v>0</v>
      </c>
      <c r="T381" s="45">
        <f>IFERROR(IF(P381="","",P381*INDEX(Ingredients!$S$5:$S$304,MATCH(D381,Ingredients!$B$5:$B$304,0))),"")</f>
        <v>0</v>
      </c>
      <c r="U381" s="45">
        <f>IFERROR(IF(P381="","",P381*INDEX(Ingredients!$T$5:$T$304,MATCH(D381,Ingredients!$B$5:$B$304,0))),"")</f>
        <v>0</v>
      </c>
      <c r="V381" s="17">
        <f>IF(D381="","",IFERROR(INDEX(Ingredients!$W$5:$W$304,MATCH(D381,Ingredients!$B$5:$B$304,0)),"Add to Ingredients"))</f>
        <v>0</v>
      </c>
      <c r="W381" s="17">
        <f>IF(D381="","",IFERROR(INDEX(Ingredients!$C$5:$C$304,MATCH(D381,Ingredients!$B$5:$B$304,0)),"Add to Ingredients"))</f>
        <v>0</v>
      </c>
      <c r="X381" s="45">
        <f>IFERROR(INDEX(Recipes!$AT$5:$AT$204,MATCH(B381,Recipes!$A$5:$A$204,0)),0)</f>
        <v>0</v>
      </c>
      <c r="Y381" s="45">
        <f>IF(OR(J381="",X381=0),"",J381*X381)</f>
        <v>0</v>
      </c>
      <c r="Z381" s="17">
        <f>IF(D381="","",B381&amp;"#"&amp;COUNTIFS($B$5:B381,B381))</f>
        <v>0</v>
      </c>
      <c r="AA381" s="17">
        <f>IF(D381="","",B381&amp;"|"&amp;D381)</f>
        <v>0</v>
      </c>
      <c r="AB381" s="31">
        <f>IF(D381="","",IF(B381="","Add - which recipe?",IF(COUNTIFS(Ingredients!$B$5:$B$304,D381)=0,"Missing - not in the Ingredients tab",IF(E381="","Add - no quantity",IF(F381="","Add - no unit",IF(K381&lt;&gt;L381,"Check - recipe in "&amp;K381&amp;", priced in "&amp;L381,IF(COUNTIFS($AA$5:$AA$1204,AA381)&gt;1,"Duplicate - same ingredient twice","OK")))))))</f>
        <v>0</v>
      </c>
    </row>
    <row r="382" spans="1:28">
      <c r="A382" s="39">
        <f>IF(D382="","","RL-"&amp;TEXT(ROW()-4,"0000"))</f>
        <v>0</v>
      </c>
      <c r="C382" s="17">
        <f>IF(B382="","",IFERROR(INDEX(Recipes!$B$5:$B$204,MATCH(B382,Recipes!$A$5:$A$204,0)),"Not found"))</f>
        <v>0</v>
      </c>
      <c r="J382" s="45">
        <f>IF(E382="","",IFERROR(E382*INDEX(UnitFactors,MATCH(F382,UnitNames,0)),""))</f>
        <v>0</v>
      </c>
      <c r="K382" s="17">
        <f>IF(F382="","",IFERROR(INDEX(UnitBases,MATCH(F382,UnitNames,0)),"?"))</f>
        <v>0</v>
      </c>
      <c r="L382" s="17">
        <f>IF(D382="","",IFERROR(INDEX(Ingredients!$G$5:$G$304,MATCH(D382,Ingredients!$B$5:$B$304,0)),"Add to Ingredients"))</f>
        <v>0</v>
      </c>
      <c r="M382" s="25">
        <f>IF(D382="","",IFERROR(INDEX(Ingredients!$J$5:$J$304,MATCH(D382,Ingredients!$B$5:$B$304,0)),"Add to Ingredients"))</f>
        <v>0</v>
      </c>
      <c r="N382" s="25">
        <f>IF(OR(J382="",M382="",NOT(ISNUMBER(M382))),"",IF(K382&lt;&gt;L382,"",J382*M382))</f>
        <v>0</v>
      </c>
      <c r="O382" s="25">
        <f>IF(N382="","",IFERROR(N382/INDEX(Recipes!$G$5:$G$204,MATCH(B382,Recipes!$A$5:$A$204,0)),""))</f>
        <v>0</v>
      </c>
      <c r="P382" s="30">
        <f>IF(J382="","",IF(K382="each",J382,J382/100))</f>
        <v>0</v>
      </c>
      <c r="Q382" s="30">
        <f>IFERROR(IF(P382="","",P382*INDEX(Ingredients!$P$5:$P$304,MATCH(D382,Ingredients!$B$5:$B$304,0))),"")</f>
        <v>0</v>
      </c>
      <c r="R382" s="45">
        <f>IFERROR(IF(P382="","",P382*INDEX(Ingredients!$Q$5:$Q$304,MATCH(D382,Ingredients!$B$5:$B$304,0))),"")</f>
        <v>0</v>
      </c>
      <c r="S382" s="45">
        <f>IFERROR(IF(P382="","",P382*INDEX(Ingredients!$R$5:$R$304,MATCH(D382,Ingredients!$B$5:$B$304,0))),"")</f>
        <v>0</v>
      </c>
      <c r="T382" s="45">
        <f>IFERROR(IF(P382="","",P382*INDEX(Ingredients!$S$5:$S$304,MATCH(D382,Ingredients!$B$5:$B$304,0))),"")</f>
        <v>0</v>
      </c>
      <c r="U382" s="45">
        <f>IFERROR(IF(P382="","",P382*INDEX(Ingredients!$T$5:$T$304,MATCH(D382,Ingredients!$B$5:$B$304,0))),"")</f>
        <v>0</v>
      </c>
      <c r="V382" s="17">
        <f>IF(D382="","",IFERROR(INDEX(Ingredients!$W$5:$W$304,MATCH(D382,Ingredients!$B$5:$B$304,0)),"Add to Ingredients"))</f>
        <v>0</v>
      </c>
      <c r="W382" s="17">
        <f>IF(D382="","",IFERROR(INDEX(Ingredients!$C$5:$C$304,MATCH(D382,Ingredients!$B$5:$B$304,0)),"Add to Ingredients"))</f>
        <v>0</v>
      </c>
      <c r="X382" s="45">
        <f>IFERROR(INDEX(Recipes!$AT$5:$AT$204,MATCH(B382,Recipes!$A$5:$A$204,0)),0)</f>
        <v>0</v>
      </c>
      <c r="Y382" s="45">
        <f>IF(OR(J382="",X382=0),"",J382*X382)</f>
        <v>0</v>
      </c>
      <c r="Z382" s="17">
        <f>IF(D382="","",B382&amp;"#"&amp;COUNTIFS($B$5:B382,B382))</f>
        <v>0</v>
      </c>
      <c r="AA382" s="17">
        <f>IF(D382="","",B382&amp;"|"&amp;D382)</f>
        <v>0</v>
      </c>
      <c r="AB382" s="31">
        <f>IF(D382="","",IF(B382="","Add - which recipe?",IF(COUNTIFS(Ingredients!$B$5:$B$304,D382)=0,"Missing - not in the Ingredients tab",IF(E382="","Add - no quantity",IF(F382="","Add - no unit",IF(K382&lt;&gt;L382,"Check - recipe in "&amp;K382&amp;", priced in "&amp;L382,IF(COUNTIFS($AA$5:$AA$1204,AA382)&gt;1,"Duplicate - same ingredient twice","OK")))))))</f>
        <v>0</v>
      </c>
    </row>
    <row r="383" spans="1:28">
      <c r="A383" s="39">
        <f>IF(D383="","","RL-"&amp;TEXT(ROW()-4,"0000"))</f>
        <v>0</v>
      </c>
      <c r="C383" s="17">
        <f>IF(B383="","",IFERROR(INDEX(Recipes!$B$5:$B$204,MATCH(B383,Recipes!$A$5:$A$204,0)),"Not found"))</f>
        <v>0</v>
      </c>
      <c r="J383" s="45">
        <f>IF(E383="","",IFERROR(E383*INDEX(UnitFactors,MATCH(F383,UnitNames,0)),""))</f>
        <v>0</v>
      </c>
      <c r="K383" s="17">
        <f>IF(F383="","",IFERROR(INDEX(UnitBases,MATCH(F383,UnitNames,0)),"?"))</f>
        <v>0</v>
      </c>
      <c r="L383" s="17">
        <f>IF(D383="","",IFERROR(INDEX(Ingredients!$G$5:$G$304,MATCH(D383,Ingredients!$B$5:$B$304,0)),"Add to Ingredients"))</f>
        <v>0</v>
      </c>
      <c r="M383" s="25">
        <f>IF(D383="","",IFERROR(INDEX(Ingredients!$J$5:$J$304,MATCH(D383,Ingredients!$B$5:$B$304,0)),"Add to Ingredients"))</f>
        <v>0</v>
      </c>
      <c r="N383" s="25">
        <f>IF(OR(J383="",M383="",NOT(ISNUMBER(M383))),"",IF(K383&lt;&gt;L383,"",J383*M383))</f>
        <v>0</v>
      </c>
      <c r="O383" s="25">
        <f>IF(N383="","",IFERROR(N383/INDEX(Recipes!$G$5:$G$204,MATCH(B383,Recipes!$A$5:$A$204,0)),""))</f>
        <v>0</v>
      </c>
      <c r="P383" s="30">
        <f>IF(J383="","",IF(K383="each",J383,J383/100))</f>
        <v>0</v>
      </c>
      <c r="Q383" s="30">
        <f>IFERROR(IF(P383="","",P383*INDEX(Ingredients!$P$5:$P$304,MATCH(D383,Ingredients!$B$5:$B$304,0))),"")</f>
        <v>0</v>
      </c>
      <c r="R383" s="45">
        <f>IFERROR(IF(P383="","",P383*INDEX(Ingredients!$Q$5:$Q$304,MATCH(D383,Ingredients!$B$5:$B$304,0))),"")</f>
        <v>0</v>
      </c>
      <c r="S383" s="45">
        <f>IFERROR(IF(P383="","",P383*INDEX(Ingredients!$R$5:$R$304,MATCH(D383,Ingredients!$B$5:$B$304,0))),"")</f>
        <v>0</v>
      </c>
      <c r="T383" s="45">
        <f>IFERROR(IF(P383="","",P383*INDEX(Ingredients!$S$5:$S$304,MATCH(D383,Ingredients!$B$5:$B$304,0))),"")</f>
        <v>0</v>
      </c>
      <c r="U383" s="45">
        <f>IFERROR(IF(P383="","",P383*INDEX(Ingredients!$T$5:$T$304,MATCH(D383,Ingredients!$B$5:$B$304,0))),"")</f>
        <v>0</v>
      </c>
      <c r="V383" s="17">
        <f>IF(D383="","",IFERROR(INDEX(Ingredients!$W$5:$W$304,MATCH(D383,Ingredients!$B$5:$B$304,0)),"Add to Ingredients"))</f>
        <v>0</v>
      </c>
      <c r="W383" s="17">
        <f>IF(D383="","",IFERROR(INDEX(Ingredients!$C$5:$C$304,MATCH(D383,Ingredients!$B$5:$B$304,0)),"Add to Ingredients"))</f>
        <v>0</v>
      </c>
      <c r="X383" s="45">
        <f>IFERROR(INDEX(Recipes!$AT$5:$AT$204,MATCH(B383,Recipes!$A$5:$A$204,0)),0)</f>
        <v>0</v>
      </c>
      <c r="Y383" s="45">
        <f>IF(OR(J383="",X383=0),"",J383*X383)</f>
        <v>0</v>
      </c>
      <c r="Z383" s="17">
        <f>IF(D383="","",B383&amp;"#"&amp;COUNTIFS($B$5:B383,B383))</f>
        <v>0</v>
      </c>
      <c r="AA383" s="17">
        <f>IF(D383="","",B383&amp;"|"&amp;D383)</f>
        <v>0</v>
      </c>
      <c r="AB383" s="31">
        <f>IF(D383="","",IF(B383="","Add - which recipe?",IF(COUNTIFS(Ingredients!$B$5:$B$304,D383)=0,"Missing - not in the Ingredients tab",IF(E383="","Add - no quantity",IF(F383="","Add - no unit",IF(K383&lt;&gt;L383,"Check - recipe in "&amp;K383&amp;", priced in "&amp;L383,IF(COUNTIFS($AA$5:$AA$1204,AA383)&gt;1,"Duplicate - same ingredient twice","OK")))))))</f>
        <v>0</v>
      </c>
    </row>
    <row r="384" spans="1:28">
      <c r="A384" s="39">
        <f>IF(D384="","","RL-"&amp;TEXT(ROW()-4,"0000"))</f>
        <v>0</v>
      </c>
      <c r="C384" s="17">
        <f>IF(B384="","",IFERROR(INDEX(Recipes!$B$5:$B$204,MATCH(B384,Recipes!$A$5:$A$204,0)),"Not found"))</f>
        <v>0</v>
      </c>
      <c r="J384" s="45">
        <f>IF(E384="","",IFERROR(E384*INDEX(UnitFactors,MATCH(F384,UnitNames,0)),""))</f>
        <v>0</v>
      </c>
      <c r="K384" s="17">
        <f>IF(F384="","",IFERROR(INDEX(UnitBases,MATCH(F384,UnitNames,0)),"?"))</f>
        <v>0</v>
      </c>
      <c r="L384" s="17">
        <f>IF(D384="","",IFERROR(INDEX(Ingredients!$G$5:$G$304,MATCH(D384,Ingredients!$B$5:$B$304,0)),"Add to Ingredients"))</f>
        <v>0</v>
      </c>
      <c r="M384" s="25">
        <f>IF(D384="","",IFERROR(INDEX(Ingredients!$J$5:$J$304,MATCH(D384,Ingredients!$B$5:$B$304,0)),"Add to Ingredients"))</f>
        <v>0</v>
      </c>
      <c r="N384" s="25">
        <f>IF(OR(J384="",M384="",NOT(ISNUMBER(M384))),"",IF(K384&lt;&gt;L384,"",J384*M384))</f>
        <v>0</v>
      </c>
      <c r="O384" s="25">
        <f>IF(N384="","",IFERROR(N384/INDEX(Recipes!$G$5:$G$204,MATCH(B384,Recipes!$A$5:$A$204,0)),""))</f>
        <v>0</v>
      </c>
      <c r="P384" s="30">
        <f>IF(J384="","",IF(K384="each",J384,J384/100))</f>
        <v>0</v>
      </c>
      <c r="Q384" s="30">
        <f>IFERROR(IF(P384="","",P384*INDEX(Ingredients!$P$5:$P$304,MATCH(D384,Ingredients!$B$5:$B$304,0))),"")</f>
        <v>0</v>
      </c>
      <c r="R384" s="45">
        <f>IFERROR(IF(P384="","",P384*INDEX(Ingredients!$Q$5:$Q$304,MATCH(D384,Ingredients!$B$5:$B$304,0))),"")</f>
        <v>0</v>
      </c>
      <c r="S384" s="45">
        <f>IFERROR(IF(P384="","",P384*INDEX(Ingredients!$R$5:$R$304,MATCH(D384,Ingredients!$B$5:$B$304,0))),"")</f>
        <v>0</v>
      </c>
      <c r="T384" s="45">
        <f>IFERROR(IF(P384="","",P384*INDEX(Ingredients!$S$5:$S$304,MATCH(D384,Ingredients!$B$5:$B$304,0))),"")</f>
        <v>0</v>
      </c>
      <c r="U384" s="45">
        <f>IFERROR(IF(P384="","",P384*INDEX(Ingredients!$T$5:$T$304,MATCH(D384,Ingredients!$B$5:$B$304,0))),"")</f>
        <v>0</v>
      </c>
      <c r="V384" s="17">
        <f>IF(D384="","",IFERROR(INDEX(Ingredients!$W$5:$W$304,MATCH(D384,Ingredients!$B$5:$B$304,0)),"Add to Ingredients"))</f>
        <v>0</v>
      </c>
      <c r="W384" s="17">
        <f>IF(D384="","",IFERROR(INDEX(Ingredients!$C$5:$C$304,MATCH(D384,Ingredients!$B$5:$B$304,0)),"Add to Ingredients"))</f>
        <v>0</v>
      </c>
      <c r="X384" s="45">
        <f>IFERROR(INDEX(Recipes!$AT$5:$AT$204,MATCH(B384,Recipes!$A$5:$A$204,0)),0)</f>
        <v>0</v>
      </c>
      <c r="Y384" s="45">
        <f>IF(OR(J384="",X384=0),"",J384*X384)</f>
        <v>0</v>
      </c>
      <c r="Z384" s="17">
        <f>IF(D384="","",B384&amp;"#"&amp;COUNTIFS($B$5:B384,B384))</f>
        <v>0</v>
      </c>
      <c r="AA384" s="17">
        <f>IF(D384="","",B384&amp;"|"&amp;D384)</f>
        <v>0</v>
      </c>
      <c r="AB384" s="31">
        <f>IF(D384="","",IF(B384="","Add - which recipe?",IF(COUNTIFS(Ingredients!$B$5:$B$304,D384)=0,"Missing - not in the Ingredients tab",IF(E384="","Add - no quantity",IF(F384="","Add - no unit",IF(K384&lt;&gt;L384,"Check - recipe in "&amp;K384&amp;", priced in "&amp;L384,IF(COUNTIFS($AA$5:$AA$1204,AA384)&gt;1,"Duplicate - same ingredient twice","OK")))))))</f>
        <v>0</v>
      </c>
    </row>
    <row r="385" spans="1:28">
      <c r="A385" s="39">
        <f>IF(D385="","","RL-"&amp;TEXT(ROW()-4,"0000"))</f>
        <v>0</v>
      </c>
      <c r="C385" s="17">
        <f>IF(B385="","",IFERROR(INDEX(Recipes!$B$5:$B$204,MATCH(B385,Recipes!$A$5:$A$204,0)),"Not found"))</f>
        <v>0</v>
      </c>
      <c r="J385" s="45">
        <f>IF(E385="","",IFERROR(E385*INDEX(UnitFactors,MATCH(F385,UnitNames,0)),""))</f>
        <v>0</v>
      </c>
      <c r="K385" s="17">
        <f>IF(F385="","",IFERROR(INDEX(UnitBases,MATCH(F385,UnitNames,0)),"?"))</f>
        <v>0</v>
      </c>
      <c r="L385" s="17">
        <f>IF(D385="","",IFERROR(INDEX(Ingredients!$G$5:$G$304,MATCH(D385,Ingredients!$B$5:$B$304,0)),"Add to Ingredients"))</f>
        <v>0</v>
      </c>
      <c r="M385" s="25">
        <f>IF(D385="","",IFERROR(INDEX(Ingredients!$J$5:$J$304,MATCH(D385,Ingredients!$B$5:$B$304,0)),"Add to Ingredients"))</f>
        <v>0</v>
      </c>
      <c r="N385" s="25">
        <f>IF(OR(J385="",M385="",NOT(ISNUMBER(M385))),"",IF(K385&lt;&gt;L385,"",J385*M385))</f>
        <v>0</v>
      </c>
      <c r="O385" s="25">
        <f>IF(N385="","",IFERROR(N385/INDEX(Recipes!$G$5:$G$204,MATCH(B385,Recipes!$A$5:$A$204,0)),""))</f>
        <v>0</v>
      </c>
      <c r="P385" s="30">
        <f>IF(J385="","",IF(K385="each",J385,J385/100))</f>
        <v>0</v>
      </c>
      <c r="Q385" s="30">
        <f>IFERROR(IF(P385="","",P385*INDEX(Ingredients!$P$5:$P$304,MATCH(D385,Ingredients!$B$5:$B$304,0))),"")</f>
        <v>0</v>
      </c>
      <c r="R385" s="45">
        <f>IFERROR(IF(P385="","",P385*INDEX(Ingredients!$Q$5:$Q$304,MATCH(D385,Ingredients!$B$5:$B$304,0))),"")</f>
        <v>0</v>
      </c>
      <c r="S385" s="45">
        <f>IFERROR(IF(P385="","",P385*INDEX(Ingredients!$R$5:$R$304,MATCH(D385,Ingredients!$B$5:$B$304,0))),"")</f>
        <v>0</v>
      </c>
      <c r="T385" s="45">
        <f>IFERROR(IF(P385="","",P385*INDEX(Ingredients!$S$5:$S$304,MATCH(D385,Ingredients!$B$5:$B$304,0))),"")</f>
        <v>0</v>
      </c>
      <c r="U385" s="45">
        <f>IFERROR(IF(P385="","",P385*INDEX(Ingredients!$T$5:$T$304,MATCH(D385,Ingredients!$B$5:$B$304,0))),"")</f>
        <v>0</v>
      </c>
      <c r="V385" s="17">
        <f>IF(D385="","",IFERROR(INDEX(Ingredients!$W$5:$W$304,MATCH(D385,Ingredients!$B$5:$B$304,0)),"Add to Ingredients"))</f>
        <v>0</v>
      </c>
      <c r="W385" s="17">
        <f>IF(D385="","",IFERROR(INDEX(Ingredients!$C$5:$C$304,MATCH(D385,Ingredients!$B$5:$B$304,0)),"Add to Ingredients"))</f>
        <v>0</v>
      </c>
      <c r="X385" s="45">
        <f>IFERROR(INDEX(Recipes!$AT$5:$AT$204,MATCH(B385,Recipes!$A$5:$A$204,0)),0)</f>
        <v>0</v>
      </c>
      <c r="Y385" s="45">
        <f>IF(OR(J385="",X385=0),"",J385*X385)</f>
        <v>0</v>
      </c>
      <c r="Z385" s="17">
        <f>IF(D385="","",B385&amp;"#"&amp;COUNTIFS($B$5:B385,B385))</f>
        <v>0</v>
      </c>
      <c r="AA385" s="17">
        <f>IF(D385="","",B385&amp;"|"&amp;D385)</f>
        <v>0</v>
      </c>
      <c r="AB385" s="31">
        <f>IF(D385="","",IF(B385="","Add - which recipe?",IF(COUNTIFS(Ingredients!$B$5:$B$304,D385)=0,"Missing - not in the Ingredients tab",IF(E385="","Add - no quantity",IF(F385="","Add - no unit",IF(K385&lt;&gt;L385,"Check - recipe in "&amp;K385&amp;", priced in "&amp;L385,IF(COUNTIFS($AA$5:$AA$1204,AA385)&gt;1,"Duplicate - same ingredient twice","OK")))))))</f>
        <v>0</v>
      </c>
    </row>
    <row r="386" spans="1:28">
      <c r="A386" s="39">
        <f>IF(D386="","","RL-"&amp;TEXT(ROW()-4,"0000"))</f>
        <v>0</v>
      </c>
      <c r="C386" s="17">
        <f>IF(B386="","",IFERROR(INDEX(Recipes!$B$5:$B$204,MATCH(B386,Recipes!$A$5:$A$204,0)),"Not found"))</f>
        <v>0</v>
      </c>
      <c r="J386" s="45">
        <f>IF(E386="","",IFERROR(E386*INDEX(UnitFactors,MATCH(F386,UnitNames,0)),""))</f>
        <v>0</v>
      </c>
      <c r="K386" s="17">
        <f>IF(F386="","",IFERROR(INDEX(UnitBases,MATCH(F386,UnitNames,0)),"?"))</f>
        <v>0</v>
      </c>
      <c r="L386" s="17">
        <f>IF(D386="","",IFERROR(INDEX(Ingredients!$G$5:$G$304,MATCH(D386,Ingredients!$B$5:$B$304,0)),"Add to Ingredients"))</f>
        <v>0</v>
      </c>
      <c r="M386" s="25">
        <f>IF(D386="","",IFERROR(INDEX(Ingredients!$J$5:$J$304,MATCH(D386,Ingredients!$B$5:$B$304,0)),"Add to Ingredients"))</f>
        <v>0</v>
      </c>
      <c r="N386" s="25">
        <f>IF(OR(J386="",M386="",NOT(ISNUMBER(M386))),"",IF(K386&lt;&gt;L386,"",J386*M386))</f>
        <v>0</v>
      </c>
      <c r="O386" s="25">
        <f>IF(N386="","",IFERROR(N386/INDEX(Recipes!$G$5:$G$204,MATCH(B386,Recipes!$A$5:$A$204,0)),""))</f>
        <v>0</v>
      </c>
      <c r="P386" s="30">
        <f>IF(J386="","",IF(K386="each",J386,J386/100))</f>
        <v>0</v>
      </c>
      <c r="Q386" s="30">
        <f>IFERROR(IF(P386="","",P386*INDEX(Ingredients!$P$5:$P$304,MATCH(D386,Ingredients!$B$5:$B$304,0))),"")</f>
        <v>0</v>
      </c>
      <c r="R386" s="45">
        <f>IFERROR(IF(P386="","",P386*INDEX(Ingredients!$Q$5:$Q$304,MATCH(D386,Ingredients!$B$5:$B$304,0))),"")</f>
        <v>0</v>
      </c>
      <c r="S386" s="45">
        <f>IFERROR(IF(P386="","",P386*INDEX(Ingredients!$R$5:$R$304,MATCH(D386,Ingredients!$B$5:$B$304,0))),"")</f>
        <v>0</v>
      </c>
      <c r="T386" s="45">
        <f>IFERROR(IF(P386="","",P386*INDEX(Ingredients!$S$5:$S$304,MATCH(D386,Ingredients!$B$5:$B$304,0))),"")</f>
        <v>0</v>
      </c>
      <c r="U386" s="45">
        <f>IFERROR(IF(P386="","",P386*INDEX(Ingredients!$T$5:$T$304,MATCH(D386,Ingredients!$B$5:$B$304,0))),"")</f>
        <v>0</v>
      </c>
      <c r="V386" s="17">
        <f>IF(D386="","",IFERROR(INDEX(Ingredients!$W$5:$W$304,MATCH(D386,Ingredients!$B$5:$B$304,0)),"Add to Ingredients"))</f>
        <v>0</v>
      </c>
      <c r="W386" s="17">
        <f>IF(D386="","",IFERROR(INDEX(Ingredients!$C$5:$C$304,MATCH(D386,Ingredients!$B$5:$B$304,0)),"Add to Ingredients"))</f>
        <v>0</v>
      </c>
      <c r="X386" s="45">
        <f>IFERROR(INDEX(Recipes!$AT$5:$AT$204,MATCH(B386,Recipes!$A$5:$A$204,0)),0)</f>
        <v>0</v>
      </c>
      <c r="Y386" s="45">
        <f>IF(OR(J386="",X386=0),"",J386*X386)</f>
        <v>0</v>
      </c>
      <c r="Z386" s="17">
        <f>IF(D386="","",B386&amp;"#"&amp;COUNTIFS($B$5:B386,B386))</f>
        <v>0</v>
      </c>
      <c r="AA386" s="17">
        <f>IF(D386="","",B386&amp;"|"&amp;D386)</f>
        <v>0</v>
      </c>
      <c r="AB386" s="31">
        <f>IF(D386="","",IF(B386="","Add - which recipe?",IF(COUNTIFS(Ingredients!$B$5:$B$304,D386)=0,"Missing - not in the Ingredients tab",IF(E386="","Add - no quantity",IF(F386="","Add - no unit",IF(K386&lt;&gt;L386,"Check - recipe in "&amp;K386&amp;", priced in "&amp;L386,IF(COUNTIFS($AA$5:$AA$1204,AA386)&gt;1,"Duplicate - same ingredient twice","OK")))))))</f>
        <v>0</v>
      </c>
    </row>
    <row r="387" spans="1:28">
      <c r="A387" s="39">
        <f>IF(D387="","","RL-"&amp;TEXT(ROW()-4,"0000"))</f>
        <v>0</v>
      </c>
      <c r="C387" s="17">
        <f>IF(B387="","",IFERROR(INDEX(Recipes!$B$5:$B$204,MATCH(B387,Recipes!$A$5:$A$204,0)),"Not found"))</f>
        <v>0</v>
      </c>
      <c r="J387" s="45">
        <f>IF(E387="","",IFERROR(E387*INDEX(UnitFactors,MATCH(F387,UnitNames,0)),""))</f>
        <v>0</v>
      </c>
      <c r="K387" s="17">
        <f>IF(F387="","",IFERROR(INDEX(UnitBases,MATCH(F387,UnitNames,0)),"?"))</f>
        <v>0</v>
      </c>
      <c r="L387" s="17">
        <f>IF(D387="","",IFERROR(INDEX(Ingredients!$G$5:$G$304,MATCH(D387,Ingredients!$B$5:$B$304,0)),"Add to Ingredients"))</f>
        <v>0</v>
      </c>
      <c r="M387" s="25">
        <f>IF(D387="","",IFERROR(INDEX(Ingredients!$J$5:$J$304,MATCH(D387,Ingredients!$B$5:$B$304,0)),"Add to Ingredients"))</f>
        <v>0</v>
      </c>
      <c r="N387" s="25">
        <f>IF(OR(J387="",M387="",NOT(ISNUMBER(M387))),"",IF(K387&lt;&gt;L387,"",J387*M387))</f>
        <v>0</v>
      </c>
      <c r="O387" s="25">
        <f>IF(N387="","",IFERROR(N387/INDEX(Recipes!$G$5:$G$204,MATCH(B387,Recipes!$A$5:$A$204,0)),""))</f>
        <v>0</v>
      </c>
      <c r="P387" s="30">
        <f>IF(J387="","",IF(K387="each",J387,J387/100))</f>
        <v>0</v>
      </c>
      <c r="Q387" s="30">
        <f>IFERROR(IF(P387="","",P387*INDEX(Ingredients!$P$5:$P$304,MATCH(D387,Ingredients!$B$5:$B$304,0))),"")</f>
        <v>0</v>
      </c>
      <c r="R387" s="45">
        <f>IFERROR(IF(P387="","",P387*INDEX(Ingredients!$Q$5:$Q$304,MATCH(D387,Ingredients!$B$5:$B$304,0))),"")</f>
        <v>0</v>
      </c>
      <c r="S387" s="45">
        <f>IFERROR(IF(P387="","",P387*INDEX(Ingredients!$R$5:$R$304,MATCH(D387,Ingredients!$B$5:$B$304,0))),"")</f>
        <v>0</v>
      </c>
      <c r="T387" s="45">
        <f>IFERROR(IF(P387="","",P387*INDEX(Ingredients!$S$5:$S$304,MATCH(D387,Ingredients!$B$5:$B$304,0))),"")</f>
        <v>0</v>
      </c>
      <c r="U387" s="45">
        <f>IFERROR(IF(P387="","",P387*INDEX(Ingredients!$T$5:$T$304,MATCH(D387,Ingredients!$B$5:$B$304,0))),"")</f>
        <v>0</v>
      </c>
      <c r="V387" s="17">
        <f>IF(D387="","",IFERROR(INDEX(Ingredients!$W$5:$W$304,MATCH(D387,Ingredients!$B$5:$B$304,0)),"Add to Ingredients"))</f>
        <v>0</v>
      </c>
      <c r="W387" s="17">
        <f>IF(D387="","",IFERROR(INDEX(Ingredients!$C$5:$C$304,MATCH(D387,Ingredients!$B$5:$B$304,0)),"Add to Ingredients"))</f>
        <v>0</v>
      </c>
      <c r="X387" s="45">
        <f>IFERROR(INDEX(Recipes!$AT$5:$AT$204,MATCH(B387,Recipes!$A$5:$A$204,0)),0)</f>
        <v>0</v>
      </c>
      <c r="Y387" s="45">
        <f>IF(OR(J387="",X387=0),"",J387*X387)</f>
        <v>0</v>
      </c>
      <c r="Z387" s="17">
        <f>IF(D387="","",B387&amp;"#"&amp;COUNTIFS($B$5:B387,B387))</f>
        <v>0</v>
      </c>
      <c r="AA387" s="17">
        <f>IF(D387="","",B387&amp;"|"&amp;D387)</f>
        <v>0</v>
      </c>
      <c r="AB387" s="31">
        <f>IF(D387="","",IF(B387="","Add - which recipe?",IF(COUNTIFS(Ingredients!$B$5:$B$304,D387)=0,"Missing - not in the Ingredients tab",IF(E387="","Add - no quantity",IF(F387="","Add - no unit",IF(K387&lt;&gt;L387,"Check - recipe in "&amp;K387&amp;", priced in "&amp;L387,IF(COUNTIFS($AA$5:$AA$1204,AA387)&gt;1,"Duplicate - same ingredient twice","OK")))))))</f>
        <v>0</v>
      </c>
    </row>
    <row r="388" spans="1:28">
      <c r="A388" s="39">
        <f>IF(D388="","","RL-"&amp;TEXT(ROW()-4,"0000"))</f>
        <v>0</v>
      </c>
      <c r="C388" s="17">
        <f>IF(B388="","",IFERROR(INDEX(Recipes!$B$5:$B$204,MATCH(B388,Recipes!$A$5:$A$204,0)),"Not found"))</f>
        <v>0</v>
      </c>
      <c r="J388" s="45">
        <f>IF(E388="","",IFERROR(E388*INDEX(UnitFactors,MATCH(F388,UnitNames,0)),""))</f>
        <v>0</v>
      </c>
      <c r="K388" s="17">
        <f>IF(F388="","",IFERROR(INDEX(UnitBases,MATCH(F388,UnitNames,0)),"?"))</f>
        <v>0</v>
      </c>
      <c r="L388" s="17">
        <f>IF(D388="","",IFERROR(INDEX(Ingredients!$G$5:$G$304,MATCH(D388,Ingredients!$B$5:$B$304,0)),"Add to Ingredients"))</f>
        <v>0</v>
      </c>
      <c r="M388" s="25">
        <f>IF(D388="","",IFERROR(INDEX(Ingredients!$J$5:$J$304,MATCH(D388,Ingredients!$B$5:$B$304,0)),"Add to Ingredients"))</f>
        <v>0</v>
      </c>
      <c r="N388" s="25">
        <f>IF(OR(J388="",M388="",NOT(ISNUMBER(M388))),"",IF(K388&lt;&gt;L388,"",J388*M388))</f>
        <v>0</v>
      </c>
      <c r="O388" s="25">
        <f>IF(N388="","",IFERROR(N388/INDEX(Recipes!$G$5:$G$204,MATCH(B388,Recipes!$A$5:$A$204,0)),""))</f>
        <v>0</v>
      </c>
      <c r="P388" s="30">
        <f>IF(J388="","",IF(K388="each",J388,J388/100))</f>
        <v>0</v>
      </c>
      <c r="Q388" s="30">
        <f>IFERROR(IF(P388="","",P388*INDEX(Ingredients!$P$5:$P$304,MATCH(D388,Ingredients!$B$5:$B$304,0))),"")</f>
        <v>0</v>
      </c>
      <c r="R388" s="45">
        <f>IFERROR(IF(P388="","",P388*INDEX(Ingredients!$Q$5:$Q$304,MATCH(D388,Ingredients!$B$5:$B$304,0))),"")</f>
        <v>0</v>
      </c>
      <c r="S388" s="45">
        <f>IFERROR(IF(P388="","",P388*INDEX(Ingredients!$R$5:$R$304,MATCH(D388,Ingredients!$B$5:$B$304,0))),"")</f>
        <v>0</v>
      </c>
      <c r="T388" s="45">
        <f>IFERROR(IF(P388="","",P388*INDEX(Ingredients!$S$5:$S$304,MATCH(D388,Ingredients!$B$5:$B$304,0))),"")</f>
        <v>0</v>
      </c>
      <c r="U388" s="45">
        <f>IFERROR(IF(P388="","",P388*INDEX(Ingredients!$T$5:$T$304,MATCH(D388,Ingredients!$B$5:$B$304,0))),"")</f>
        <v>0</v>
      </c>
      <c r="V388" s="17">
        <f>IF(D388="","",IFERROR(INDEX(Ingredients!$W$5:$W$304,MATCH(D388,Ingredients!$B$5:$B$304,0)),"Add to Ingredients"))</f>
        <v>0</v>
      </c>
      <c r="W388" s="17">
        <f>IF(D388="","",IFERROR(INDEX(Ingredients!$C$5:$C$304,MATCH(D388,Ingredients!$B$5:$B$304,0)),"Add to Ingredients"))</f>
        <v>0</v>
      </c>
      <c r="X388" s="45">
        <f>IFERROR(INDEX(Recipes!$AT$5:$AT$204,MATCH(B388,Recipes!$A$5:$A$204,0)),0)</f>
        <v>0</v>
      </c>
      <c r="Y388" s="45">
        <f>IF(OR(J388="",X388=0),"",J388*X388)</f>
        <v>0</v>
      </c>
      <c r="Z388" s="17">
        <f>IF(D388="","",B388&amp;"#"&amp;COUNTIFS($B$5:B388,B388))</f>
        <v>0</v>
      </c>
      <c r="AA388" s="17">
        <f>IF(D388="","",B388&amp;"|"&amp;D388)</f>
        <v>0</v>
      </c>
      <c r="AB388" s="31">
        <f>IF(D388="","",IF(B388="","Add - which recipe?",IF(COUNTIFS(Ingredients!$B$5:$B$304,D388)=0,"Missing - not in the Ingredients tab",IF(E388="","Add - no quantity",IF(F388="","Add - no unit",IF(K388&lt;&gt;L388,"Check - recipe in "&amp;K388&amp;", priced in "&amp;L388,IF(COUNTIFS($AA$5:$AA$1204,AA388)&gt;1,"Duplicate - same ingredient twice","OK")))))))</f>
        <v>0</v>
      </c>
    </row>
    <row r="389" spans="1:28">
      <c r="A389" s="39">
        <f>IF(D389="","","RL-"&amp;TEXT(ROW()-4,"0000"))</f>
        <v>0</v>
      </c>
      <c r="C389" s="17">
        <f>IF(B389="","",IFERROR(INDEX(Recipes!$B$5:$B$204,MATCH(B389,Recipes!$A$5:$A$204,0)),"Not found"))</f>
        <v>0</v>
      </c>
      <c r="J389" s="45">
        <f>IF(E389="","",IFERROR(E389*INDEX(UnitFactors,MATCH(F389,UnitNames,0)),""))</f>
        <v>0</v>
      </c>
      <c r="K389" s="17">
        <f>IF(F389="","",IFERROR(INDEX(UnitBases,MATCH(F389,UnitNames,0)),"?"))</f>
        <v>0</v>
      </c>
      <c r="L389" s="17">
        <f>IF(D389="","",IFERROR(INDEX(Ingredients!$G$5:$G$304,MATCH(D389,Ingredients!$B$5:$B$304,0)),"Add to Ingredients"))</f>
        <v>0</v>
      </c>
      <c r="M389" s="25">
        <f>IF(D389="","",IFERROR(INDEX(Ingredients!$J$5:$J$304,MATCH(D389,Ingredients!$B$5:$B$304,0)),"Add to Ingredients"))</f>
        <v>0</v>
      </c>
      <c r="N389" s="25">
        <f>IF(OR(J389="",M389="",NOT(ISNUMBER(M389))),"",IF(K389&lt;&gt;L389,"",J389*M389))</f>
        <v>0</v>
      </c>
      <c r="O389" s="25">
        <f>IF(N389="","",IFERROR(N389/INDEX(Recipes!$G$5:$G$204,MATCH(B389,Recipes!$A$5:$A$204,0)),""))</f>
        <v>0</v>
      </c>
      <c r="P389" s="30">
        <f>IF(J389="","",IF(K389="each",J389,J389/100))</f>
        <v>0</v>
      </c>
      <c r="Q389" s="30">
        <f>IFERROR(IF(P389="","",P389*INDEX(Ingredients!$P$5:$P$304,MATCH(D389,Ingredients!$B$5:$B$304,0))),"")</f>
        <v>0</v>
      </c>
      <c r="R389" s="45">
        <f>IFERROR(IF(P389="","",P389*INDEX(Ingredients!$Q$5:$Q$304,MATCH(D389,Ingredients!$B$5:$B$304,0))),"")</f>
        <v>0</v>
      </c>
      <c r="S389" s="45">
        <f>IFERROR(IF(P389="","",P389*INDEX(Ingredients!$R$5:$R$304,MATCH(D389,Ingredients!$B$5:$B$304,0))),"")</f>
        <v>0</v>
      </c>
      <c r="T389" s="45">
        <f>IFERROR(IF(P389="","",P389*INDEX(Ingredients!$S$5:$S$304,MATCH(D389,Ingredients!$B$5:$B$304,0))),"")</f>
        <v>0</v>
      </c>
      <c r="U389" s="45">
        <f>IFERROR(IF(P389="","",P389*INDEX(Ingredients!$T$5:$T$304,MATCH(D389,Ingredients!$B$5:$B$304,0))),"")</f>
        <v>0</v>
      </c>
      <c r="V389" s="17">
        <f>IF(D389="","",IFERROR(INDEX(Ingredients!$W$5:$W$304,MATCH(D389,Ingredients!$B$5:$B$304,0)),"Add to Ingredients"))</f>
        <v>0</v>
      </c>
      <c r="W389" s="17">
        <f>IF(D389="","",IFERROR(INDEX(Ingredients!$C$5:$C$304,MATCH(D389,Ingredients!$B$5:$B$304,0)),"Add to Ingredients"))</f>
        <v>0</v>
      </c>
      <c r="X389" s="45">
        <f>IFERROR(INDEX(Recipes!$AT$5:$AT$204,MATCH(B389,Recipes!$A$5:$A$204,0)),0)</f>
        <v>0</v>
      </c>
      <c r="Y389" s="45">
        <f>IF(OR(J389="",X389=0),"",J389*X389)</f>
        <v>0</v>
      </c>
      <c r="Z389" s="17">
        <f>IF(D389="","",B389&amp;"#"&amp;COUNTIFS($B$5:B389,B389))</f>
        <v>0</v>
      </c>
      <c r="AA389" s="17">
        <f>IF(D389="","",B389&amp;"|"&amp;D389)</f>
        <v>0</v>
      </c>
      <c r="AB389" s="31">
        <f>IF(D389="","",IF(B389="","Add - which recipe?",IF(COUNTIFS(Ingredients!$B$5:$B$304,D389)=0,"Missing - not in the Ingredients tab",IF(E389="","Add - no quantity",IF(F389="","Add - no unit",IF(K389&lt;&gt;L389,"Check - recipe in "&amp;K389&amp;", priced in "&amp;L389,IF(COUNTIFS($AA$5:$AA$1204,AA389)&gt;1,"Duplicate - same ingredient twice","OK")))))))</f>
        <v>0</v>
      </c>
    </row>
    <row r="390" spans="1:28">
      <c r="A390" s="39">
        <f>IF(D390="","","RL-"&amp;TEXT(ROW()-4,"0000"))</f>
        <v>0</v>
      </c>
      <c r="C390" s="17">
        <f>IF(B390="","",IFERROR(INDEX(Recipes!$B$5:$B$204,MATCH(B390,Recipes!$A$5:$A$204,0)),"Not found"))</f>
        <v>0</v>
      </c>
      <c r="J390" s="45">
        <f>IF(E390="","",IFERROR(E390*INDEX(UnitFactors,MATCH(F390,UnitNames,0)),""))</f>
        <v>0</v>
      </c>
      <c r="K390" s="17">
        <f>IF(F390="","",IFERROR(INDEX(UnitBases,MATCH(F390,UnitNames,0)),"?"))</f>
        <v>0</v>
      </c>
      <c r="L390" s="17">
        <f>IF(D390="","",IFERROR(INDEX(Ingredients!$G$5:$G$304,MATCH(D390,Ingredients!$B$5:$B$304,0)),"Add to Ingredients"))</f>
        <v>0</v>
      </c>
      <c r="M390" s="25">
        <f>IF(D390="","",IFERROR(INDEX(Ingredients!$J$5:$J$304,MATCH(D390,Ingredients!$B$5:$B$304,0)),"Add to Ingredients"))</f>
        <v>0</v>
      </c>
      <c r="N390" s="25">
        <f>IF(OR(J390="",M390="",NOT(ISNUMBER(M390))),"",IF(K390&lt;&gt;L390,"",J390*M390))</f>
        <v>0</v>
      </c>
      <c r="O390" s="25">
        <f>IF(N390="","",IFERROR(N390/INDEX(Recipes!$G$5:$G$204,MATCH(B390,Recipes!$A$5:$A$204,0)),""))</f>
        <v>0</v>
      </c>
      <c r="P390" s="30">
        <f>IF(J390="","",IF(K390="each",J390,J390/100))</f>
        <v>0</v>
      </c>
      <c r="Q390" s="30">
        <f>IFERROR(IF(P390="","",P390*INDEX(Ingredients!$P$5:$P$304,MATCH(D390,Ingredients!$B$5:$B$304,0))),"")</f>
        <v>0</v>
      </c>
      <c r="R390" s="45">
        <f>IFERROR(IF(P390="","",P390*INDEX(Ingredients!$Q$5:$Q$304,MATCH(D390,Ingredients!$B$5:$B$304,0))),"")</f>
        <v>0</v>
      </c>
      <c r="S390" s="45">
        <f>IFERROR(IF(P390="","",P390*INDEX(Ingredients!$R$5:$R$304,MATCH(D390,Ingredients!$B$5:$B$304,0))),"")</f>
        <v>0</v>
      </c>
      <c r="T390" s="45">
        <f>IFERROR(IF(P390="","",P390*INDEX(Ingredients!$S$5:$S$304,MATCH(D390,Ingredients!$B$5:$B$304,0))),"")</f>
        <v>0</v>
      </c>
      <c r="U390" s="45">
        <f>IFERROR(IF(P390="","",P390*INDEX(Ingredients!$T$5:$T$304,MATCH(D390,Ingredients!$B$5:$B$304,0))),"")</f>
        <v>0</v>
      </c>
      <c r="V390" s="17">
        <f>IF(D390="","",IFERROR(INDEX(Ingredients!$W$5:$W$304,MATCH(D390,Ingredients!$B$5:$B$304,0)),"Add to Ingredients"))</f>
        <v>0</v>
      </c>
      <c r="W390" s="17">
        <f>IF(D390="","",IFERROR(INDEX(Ingredients!$C$5:$C$304,MATCH(D390,Ingredients!$B$5:$B$304,0)),"Add to Ingredients"))</f>
        <v>0</v>
      </c>
      <c r="X390" s="45">
        <f>IFERROR(INDEX(Recipes!$AT$5:$AT$204,MATCH(B390,Recipes!$A$5:$A$204,0)),0)</f>
        <v>0</v>
      </c>
      <c r="Y390" s="45">
        <f>IF(OR(J390="",X390=0),"",J390*X390)</f>
        <v>0</v>
      </c>
      <c r="Z390" s="17">
        <f>IF(D390="","",B390&amp;"#"&amp;COUNTIFS($B$5:B390,B390))</f>
        <v>0</v>
      </c>
      <c r="AA390" s="17">
        <f>IF(D390="","",B390&amp;"|"&amp;D390)</f>
        <v>0</v>
      </c>
      <c r="AB390" s="31">
        <f>IF(D390="","",IF(B390="","Add - which recipe?",IF(COUNTIFS(Ingredients!$B$5:$B$304,D390)=0,"Missing - not in the Ingredients tab",IF(E390="","Add - no quantity",IF(F390="","Add - no unit",IF(K390&lt;&gt;L390,"Check - recipe in "&amp;K390&amp;", priced in "&amp;L390,IF(COUNTIFS($AA$5:$AA$1204,AA390)&gt;1,"Duplicate - same ingredient twice","OK")))))))</f>
        <v>0</v>
      </c>
    </row>
    <row r="391" spans="1:28">
      <c r="A391" s="39">
        <f>IF(D391="","","RL-"&amp;TEXT(ROW()-4,"0000"))</f>
        <v>0</v>
      </c>
      <c r="C391" s="17">
        <f>IF(B391="","",IFERROR(INDEX(Recipes!$B$5:$B$204,MATCH(B391,Recipes!$A$5:$A$204,0)),"Not found"))</f>
        <v>0</v>
      </c>
      <c r="J391" s="45">
        <f>IF(E391="","",IFERROR(E391*INDEX(UnitFactors,MATCH(F391,UnitNames,0)),""))</f>
        <v>0</v>
      </c>
      <c r="K391" s="17">
        <f>IF(F391="","",IFERROR(INDEX(UnitBases,MATCH(F391,UnitNames,0)),"?"))</f>
        <v>0</v>
      </c>
      <c r="L391" s="17">
        <f>IF(D391="","",IFERROR(INDEX(Ingredients!$G$5:$G$304,MATCH(D391,Ingredients!$B$5:$B$304,0)),"Add to Ingredients"))</f>
        <v>0</v>
      </c>
      <c r="M391" s="25">
        <f>IF(D391="","",IFERROR(INDEX(Ingredients!$J$5:$J$304,MATCH(D391,Ingredients!$B$5:$B$304,0)),"Add to Ingredients"))</f>
        <v>0</v>
      </c>
      <c r="N391" s="25">
        <f>IF(OR(J391="",M391="",NOT(ISNUMBER(M391))),"",IF(K391&lt;&gt;L391,"",J391*M391))</f>
        <v>0</v>
      </c>
      <c r="O391" s="25">
        <f>IF(N391="","",IFERROR(N391/INDEX(Recipes!$G$5:$G$204,MATCH(B391,Recipes!$A$5:$A$204,0)),""))</f>
        <v>0</v>
      </c>
      <c r="P391" s="30">
        <f>IF(J391="","",IF(K391="each",J391,J391/100))</f>
        <v>0</v>
      </c>
      <c r="Q391" s="30">
        <f>IFERROR(IF(P391="","",P391*INDEX(Ingredients!$P$5:$P$304,MATCH(D391,Ingredients!$B$5:$B$304,0))),"")</f>
        <v>0</v>
      </c>
      <c r="R391" s="45">
        <f>IFERROR(IF(P391="","",P391*INDEX(Ingredients!$Q$5:$Q$304,MATCH(D391,Ingredients!$B$5:$B$304,0))),"")</f>
        <v>0</v>
      </c>
      <c r="S391" s="45">
        <f>IFERROR(IF(P391="","",P391*INDEX(Ingredients!$R$5:$R$304,MATCH(D391,Ingredients!$B$5:$B$304,0))),"")</f>
        <v>0</v>
      </c>
      <c r="T391" s="45">
        <f>IFERROR(IF(P391="","",P391*INDEX(Ingredients!$S$5:$S$304,MATCH(D391,Ingredients!$B$5:$B$304,0))),"")</f>
        <v>0</v>
      </c>
      <c r="U391" s="45">
        <f>IFERROR(IF(P391="","",P391*INDEX(Ingredients!$T$5:$T$304,MATCH(D391,Ingredients!$B$5:$B$304,0))),"")</f>
        <v>0</v>
      </c>
      <c r="V391" s="17">
        <f>IF(D391="","",IFERROR(INDEX(Ingredients!$W$5:$W$304,MATCH(D391,Ingredients!$B$5:$B$304,0)),"Add to Ingredients"))</f>
        <v>0</v>
      </c>
      <c r="W391" s="17">
        <f>IF(D391="","",IFERROR(INDEX(Ingredients!$C$5:$C$304,MATCH(D391,Ingredients!$B$5:$B$304,0)),"Add to Ingredients"))</f>
        <v>0</v>
      </c>
      <c r="X391" s="45">
        <f>IFERROR(INDEX(Recipes!$AT$5:$AT$204,MATCH(B391,Recipes!$A$5:$A$204,0)),0)</f>
        <v>0</v>
      </c>
      <c r="Y391" s="45">
        <f>IF(OR(J391="",X391=0),"",J391*X391)</f>
        <v>0</v>
      </c>
      <c r="Z391" s="17">
        <f>IF(D391="","",B391&amp;"#"&amp;COUNTIFS($B$5:B391,B391))</f>
        <v>0</v>
      </c>
      <c r="AA391" s="17">
        <f>IF(D391="","",B391&amp;"|"&amp;D391)</f>
        <v>0</v>
      </c>
      <c r="AB391" s="31">
        <f>IF(D391="","",IF(B391="","Add - which recipe?",IF(COUNTIFS(Ingredients!$B$5:$B$304,D391)=0,"Missing - not in the Ingredients tab",IF(E391="","Add - no quantity",IF(F391="","Add - no unit",IF(K391&lt;&gt;L391,"Check - recipe in "&amp;K391&amp;", priced in "&amp;L391,IF(COUNTIFS($AA$5:$AA$1204,AA391)&gt;1,"Duplicate - same ingredient twice","OK")))))))</f>
        <v>0</v>
      </c>
    </row>
    <row r="392" spans="1:28">
      <c r="A392" s="39">
        <f>IF(D392="","","RL-"&amp;TEXT(ROW()-4,"0000"))</f>
        <v>0</v>
      </c>
      <c r="C392" s="17">
        <f>IF(B392="","",IFERROR(INDEX(Recipes!$B$5:$B$204,MATCH(B392,Recipes!$A$5:$A$204,0)),"Not found"))</f>
        <v>0</v>
      </c>
      <c r="J392" s="45">
        <f>IF(E392="","",IFERROR(E392*INDEX(UnitFactors,MATCH(F392,UnitNames,0)),""))</f>
        <v>0</v>
      </c>
      <c r="K392" s="17">
        <f>IF(F392="","",IFERROR(INDEX(UnitBases,MATCH(F392,UnitNames,0)),"?"))</f>
        <v>0</v>
      </c>
      <c r="L392" s="17">
        <f>IF(D392="","",IFERROR(INDEX(Ingredients!$G$5:$G$304,MATCH(D392,Ingredients!$B$5:$B$304,0)),"Add to Ingredients"))</f>
        <v>0</v>
      </c>
      <c r="M392" s="25">
        <f>IF(D392="","",IFERROR(INDEX(Ingredients!$J$5:$J$304,MATCH(D392,Ingredients!$B$5:$B$304,0)),"Add to Ingredients"))</f>
        <v>0</v>
      </c>
      <c r="N392" s="25">
        <f>IF(OR(J392="",M392="",NOT(ISNUMBER(M392))),"",IF(K392&lt;&gt;L392,"",J392*M392))</f>
        <v>0</v>
      </c>
      <c r="O392" s="25">
        <f>IF(N392="","",IFERROR(N392/INDEX(Recipes!$G$5:$G$204,MATCH(B392,Recipes!$A$5:$A$204,0)),""))</f>
        <v>0</v>
      </c>
      <c r="P392" s="30">
        <f>IF(J392="","",IF(K392="each",J392,J392/100))</f>
        <v>0</v>
      </c>
      <c r="Q392" s="30">
        <f>IFERROR(IF(P392="","",P392*INDEX(Ingredients!$P$5:$P$304,MATCH(D392,Ingredients!$B$5:$B$304,0))),"")</f>
        <v>0</v>
      </c>
      <c r="R392" s="45">
        <f>IFERROR(IF(P392="","",P392*INDEX(Ingredients!$Q$5:$Q$304,MATCH(D392,Ingredients!$B$5:$B$304,0))),"")</f>
        <v>0</v>
      </c>
      <c r="S392" s="45">
        <f>IFERROR(IF(P392="","",P392*INDEX(Ingredients!$R$5:$R$304,MATCH(D392,Ingredients!$B$5:$B$304,0))),"")</f>
        <v>0</v>
      </c>
      <c r="T392" s="45">
        <f>IFERROR(IF(P392="","",P392*INDEX(Ingredients!$S$5:$S$304,MATCH(D392,Ingredients!$B$5:$B$304,0))),"")</f>
        <v>0</v>
      </c>
      <c r="U392" s="45">
        <f>IFERROR(IF(P392="","",P392*INDEX(Ingredients!$T$5:$T$304,MATCH(D392,Ingredients!$B$5:$B$304,0))),"")</f>
        <v>0</v>
      </c>
      <c r="V392" s="17">
        <f>IF(D392="","",IFERROR(INDEX(Ingredients!$W$5:$W$304,MATCH(D392,Ingredients!$B$5:$B$304,0)),"Add to Ingredients"))</f>
        <v>0</v>
      </c>
      <c r="W392" s="17">
        <f>IF(D392="","",IFERROR(INDEX(Ingredients!$C$5:$C$304,MATCH(D392,Ingredients!$B$5:$B$304,0)),"Add to Ingredients"))</f>
        <v>0</v>
      </c>
      <c r="X392" s="45">
        <f>IFERROR(INDEX(Recipes!$AT$5:$AT$204,MATCH(B392,Recipes!$A$5:$A$204,0)),0)</f>
        <v>0</v>
      </c>
      <c r="Y392" s="45">
        <f>IF(OR(J392="",X392=0),"",J392*X392)</f>
        <v>0</v>
      </c>
      <c r="Z392" s="17">
        <f>IF(D392="","",B392&amp;"#"&amp;COUNTIFS($B$5:B392,B392))</f>
        <v>0</v>
      </c>
      <c r="AA392" s="17">
        <f>IF(D392="","",B392&amp;"|"&amp;D392)</f>
        <v>0</v>
      </c>
      <c r="AB392" s="31">
        <f>IF(D392="","",IF(B392="","Add - which recipe?",IF(COUNTIFS(Ingredients!$B$5:$B$304,D392)=0,"Missing - not in the Ingredients tab",IF(E392="","Add - no quantity",IF(F392="","Add - no unit",IF(K392&lt;&gt;L392,"Check - recipe in "&amp;K392&amp;", priced in "&amp;L392,IF(COUNTIFS($AA$5:$AA$1204,AA392)&gt;1,"Duplicate - same ingredient twice","OK")))))))</f>
        <v>0</v>
      </c>
    </row>
    <row r="393" spans="1:28">
      <c r="A393" s="39">
        <f>IF(D393="","","RL-"&amp;TEXT(ROW()-4,"0000"))</f>
        <v>0</v>
      </c>
      <c r="C393" s="17">
        <f>IF(B393="","",IFERROR(INDEX(Recipes!$B$5:$B$204,MATCH(B393,Recipes!$A$5:$A$204,0)),"Not found"))</f>
        <v>0</v>
      </c>
      <c r="J393" s="45">
        <f>IF(E393="","",IFERROR(E393*INDEX(UnitFactors,MATCH(F393,UnitNames,0)),""))</f>
        <v>0</v>
      </c>
      <c r="K393" s="17">
        <f>IF(F393="","",IFERROR(INDEX(UnitBases,MATCH(F393,UnitNames,0)),"?"))</f>
        <v>0</v>
      </c>
      <c r="L393" s="17">
        <f>IF(D393="","",IFERROR(INDEX(Ingredients!$G$5:$G$304,MATCH(D393,Ingredients!$B$5:$B$304,0)),"Add to Ingredients"))</f>
        <v>0</v>
      </c>
      <c r="M393" s="25">
        <f>IF(D393="","",IFERROR(INDEX(Ingredients!$J$5:$J$304,MATCH(D393,Ingredients!$B$5:$B$304,0)),"Add to Ingredients"))</f>
        <v>0</v>
      </c>
      <c r="N393" s="25">
        <f>IF(OR(J393="",M393="",NOT(ISNUMBER(M393))),"",IF(K393&lt;&gt;L393,"",J393*M393))</f>
        <v>0</v>
      </c>
      <c r="O393" s="25">
        <f>IF(N393="","",IFERROR(N393/INDEX(Recipes!$G$5:$G$204,MATCH(B393,Recipes!$A$5:$A$204,0)),""))</f>
        <v>0</v>
      </c>
      <c r="P393" s="30">
        <f>IF(J393="","",IF(K393="each",J393,J393/100))</f>
        <v>0</v>
      </c>
      <c r="Q393" s="30">
        <f>IFERROR(IF(P393="","",P393*INDEX(Ingredients!$P$5:$P$304,MATCH(D393,Ingredients!$B$5:$B$304,0))),"")</f>
        <v>0</v>
      </c>
      <c r="R393" s="45">
        <f>IFERROR(IF(P393="","",P393*INDEX(Ingredients!$Q$5:$Q$304,MATCH(D393,Ingredients!$B$5:$B$304,0))),"")</f>
        <v>0</v>
      </c>
      <c r="S393" s="45">
        <f>IFERROR(IF(P393="","",P393*INDEX(Ingredients!$R$5:$R$304,MATCH(D393,Ingredients!$B$5:$B$304,0))),"")</f>
        <v>0</v>
      </c>
      <c r="T393" s="45">
        <f>IFERROR(IF(P393="","",P393*INDEX(Ingredients!$S$5:$S$304,MATCH(D393,Ingredients!$B$5:$B$304,0))),"")</f>
        <v>0</v>
      </c>
      <c r="U393" s="45">
        <f>IFERROR(IF(P393="","",P393*INDEX(Ingredients!$T$5:$T$304,MATCH(D393,Ingredients!$B$5:$B$304,0))),"")</f>
        <v>0</v>
      </c>
      <c r="V393" s="17">
        <f>IF(D393="","",IFERROR(INDEX(Ingredients!$W$5:$W$304,MATCH(D393,Ingredients!$B$5:$B$304,0)),"Add to Ingredients"))</f>
        <v>0</v>
      </c>
      <c r="W393" s="17">
        <f>IF(D393="","",IFERROR(INDEX(Ingredients!$C$5:$C$304,MATCH(D393,Ingredients!$B$5:$B$304,0)),"Add to Ingredients"))</f>
        <v>0</v>
      </c>
      <c r="X393" s="45">
        <f>IFERROR(INDEX(Recipes!$AT$5:$AT$204,MATCH(B393,Recipes!$A$5:$A$204,0)),0)</f>
        <v>0</v>
      </c>
      <c r="Y393" s="45">
        <f>IF(OR(J393="",X393=0),"",J393*X393)</f>
        <v>0</v>
      </c>
      <c r="Z393" s="17">
        <f>IF(D393="","",B393&amp;"#"&amp;COUNTIFS($B$5:B393,B393))</f>
        <v>0</v>
      </c>
      <c r="AA393" s="17">
        <f>IF(D393="","",B393&amp;"|"&amp;D393)</f>
        <v>0</v>
      </c>
      <c r="AB393" s="31">
        <f>IF(D393="","",IF(B393="","Add - which recipe?",IF(COUNTIFS(Ingredients!$B$5:$B$304,D393)=0,"Missing - not in the Ingredients tab",IF(E393="","Add - no quantity",IF(F393="","Add - no unit",IF(K393&lt;&gt;L393,"Check - recipe in "&amp;K393&amp;", priced in "&amp;L393,IF(COUNTIFS($AA$5:$AA$1204,AA393)&gt;1,"Duplicate - same ingredient twice","OK")))))))</f>
        <v>0</v>
      </c>
    </row>
    <row r="394" spans="1:28">
      <c r="A394" s="39">
        <f>IF(D394="","","RL-"&amp;TEXT(ROW()-4,"0000"))</f>
        <v>0</v>
      </c>
      <c r="C394" s="17">
        <f>IF(B394="","",IFERROR(INDEX(Recipes!$B$5:$B$204,MATCH(B394,Recipes!$A$5:$A$204,0)),"Not found"))</f>
        <v>0</v>
      </c>
      <c r="J394" s="45">
        <f>IF(E394="","",IFERROR(E394*INDEX(UnitFactors,MATCH(F394,UnitNames,0)),""))</f>
        <v>0</v>
      </c>
      <c r="K394" s="17">
        <f>IF(F394="","",IFERROR(INDEX(UnitBases,MATCH(F394,UnitNames,0)),"?"))</f>
        <v>0</v>
      </c>
      <c r="L394" s="17">
        <f>IF(D394="","",IFERROR(INDEX(Ingredients!$G$5:$G$304,MATCH(D394,Ingredients!$B$5:$B$304,0)),"Add to Ingredients"))</f>
        <v>0</v>
      </c>
      <c r="M394" s="25">
        <f>IF(D394="","",IFERROR(INDEX(Ingredients!$J$5:$J$304,MATCH(D394,Ingredients!$B$5:$B$304,0)),"Add to Ingredients"))</f>
        <v>0</v>
      </c>
      <c r="N394" s="25">
        <f>IF(OR(J394="",M394="",NOT(ISNUMBER(M394))),"",IF(K394&lt;&gt;L394,"",J394*M394))</f>
        <v>0</v>
      </c>
      <c r="O394" s="25">
        <f>IF(N394="","",IFERROR(N394/INDEX(Recipes!$G$5:$G$204,MATCH(B394,Recipes!$A$5:$A$204,0)),""))</f>
        <v>0</v>
      </c>
      <c r="P394" s="30">
        <f>IF(J394="","",IF(K394="each",J394,J394/100))</f>
        <v>0</v>
      </c>
      <c r="Q394" s="30">
        <f>IFERROR(IF(P394="","",P394*INDEX(Ingredients!$P$5:$P$304,MATCH(D394,Ingredients!$B$5:$B$304,0))),"")</f>
        <v>0</v>
      </c>
      <c r="R394" s="45">
        <f>IFERROR(IF(P394="","",P394*INDEX(Ingredients!$Q$5:$Q$304,MATCH(D394,Ingredients!$B$5:$B$304,0))),"")</f>
        <v>0</v>
      </c>
      <c r="S394" s="45">
        <f>IFERROR(IF(P394="","",P394*INDEX(Ingredients!$R$5:$R$304,MATCH(D394,Ingredients!$B$5:$B$304,0))),"")</f>
        <v>0</v>
      </c>
      <c r="T394" s="45">
        <f>IFERROR(IF(P394="","",P394*INDEX(Ingredients!$S$5:$S$304,MATCH(D394,Ingredients!$B$5:$B$304,0))),"")</f>
        <v>0</v>
      </c>
      <c r="U394" s="45">
        <f>IFERROR(IF(P394="","",P394*INDEX(Ingredients!$T$5:$T$304,MATCH(D394,Ingredients!$B$5:$B$304,0))),"")</f>
        <v>0</v>
      </c>
      <c r="V394" s="17">
        <f>IF(D394="","",IFERROR(INDEX(Ingredients!$W$5:$W$304,MATCH(D394,Ingredients!$B$5:$B$304,0)),"Add to Ingredients"))</f>
        <v>0</v>
      </c>
      <c r="W394" s="17">
        <f>IF(D394="","",IFERROR(INDEX(Ingredients!$C$5:$C$304,MATCH(D394,Ingredients!$B$5:$B$304,0)),"Add to Ingredients"))</f>
        <v>0</v>
      </c>
      <c r="X394" s="45">
        <f>IFERROR(INDEX(Recipes!$AT$5:$AT$204,MATCH(B394,Recipes!$A$5:$A$204,0)),0)</f>
        <v>0</v>
      </c>
      <c r="Y394" s="45">
        <f>IF(OR(J394="",X394=0),"",J394*X394)</f>
        <v>0</v>
      </c>
      <c r="Z394" s="17">
        <f>IF(D394="","",B394&amp;"#"&amp;COUNTIFS($B$5:B394,B394))</f>
        <v>0</v>
      </c>
      <c r="AA394" s="17">
        <f>IF(D394="","",B394&amp;"|"&amp;D394)</f>
        <v>0</v>
      </c>
      <c r="AB394" s="31">
        <f>IF(D394="","",IF(B394="","Add - which recipe?",IF(COUNTIFS(Ingredients!$B$5:$B$304,D394)=0,"Missing - not in the Ingredients tab",IF(E394="","Add - no quantity",IF(F394="","Add - no unit",IF(K394&lt;&gt;L394,"Check - recipe in "&amp;K394&amp;", priced in "&amp;L394,IF(COUNTIFS($AA$5:$AA$1204,AA394)&gt;1,"Duplicate - same ingredient twice","OK")))))))</f>
        <v>0</v>
      </c>
    </row>
    <row r="395" spans="1:28">
      <c r="A395" s="39">
        <f>IF(D395="","","RL-"&amp;TEXT(ROW()-4,"0000"))</f>
        <v>0</v>
      </c>
      <c r="C395" s="17">
        <f>IF(B395="","",IFERROR(INDEX(Recipes!$B$5:$B$204,MATCH(B395,Recipes!$A$5:$A$204,0)),"Not found"))</f>
        <v>0</v>
      </c>
      <c r="J395" s="45">
        <f>IF(E395="","",IFERROR(E395*INDEX(UnitFactors,MATCH(F395,UnitNames,0)),""))</f>
        <v>0</v>
      </c>
      <c r="K395" s="17">
        <f>IF(F395="","",IFERROR(INDEX(UnitBases,MATCH(F395,UnitNames,0)),"?"))</f>
        <v>0</v>
      </c>
      <c r="L395" s="17">
        <f>IF(D395="","",IFERROR(INDEX(Ingredients!$G$5:$G$304,MATCH(D395,Ingredients!$B$5:$B$304,0)),"Add to Ingredients"))</f>
        <v>0</v>
      </c>
      <c r="M395" s="25">
        <f>IF(D395="","",IFERROR(INDEX(Ingredients!$J$5:$J$304,MATCH(D395,Ingredients!$B$5:$B$304,0)),"Add to Ingredients"))</f>
        <v>0</v>
      </c>
      <c r="N395" s="25">
        <f>IF(OR(J395="",M395="",NOT(ISNUMBER(M395))),"",IF(K395&lt;&gt;L395,"",J395*M395))</f>
        <v>0</v>
      </c>
      <c r="O395" s="25">
        <f>IF(N395="","",IFERROR(N395/INDEX(Recipes!$G$5:$G$204,MATCH(B395,Recipes!$A$5:$A$204,0)),""))</f>
        <v>0</v>
      </c>
      <c r="P395" s="30">
        <f>IF(J395="","",IF(K395="each",J395,J395/100))</f>
        <v>0</v>
      </c>
      <c r="Q395" s="30">
        <f>IFERROR(IF(P395="","",P395*INDEX(Ingredients!$P$5:$P$304,MATCH(D395,Ingredients!$B$5:$B$304,0))),"")</f>
        <v>0</v>
      </c>
      <c r="R395" s="45">
        <f>IFERROR(IF(P395="","",P395*INDEX(Ingredients!$Q$5:$Q$304,MATCH(D395,Ingredients!$B$5:$B$304,0))),"")</f>
        <v>0</v>
      </c>
      <c r="S395" s="45">
        <f>IFERROR(IF(P395="","",P395*INDEX(Ingredients!$R$5:$R$304,MATCH(D395,Ingredients!$B$5:$B$304,0))),"")</f>
        <v>0</v>
      </c>
      <c r="T395" s="45">
        <f>IFERROR(IF(P395="","",P395*INDEX(Ingredients!$S$5:$S$304,MATCH(D395,Ingredients!$B$5:$B$304,0))),"")</f>
        <v>0</v>
      </c>
      <c r="U395" s="45">
        <f>IFERROR(IF(P395="","",P395*INDEX(Ingredients!$T$5:$T$304,MATCH(D395,Ingredients!$B$5:$B$304,0))),"")</f>
        <v>0</v>
      </c>
      <c r="V395" s="17">
        <f>IF(D395="","",IFERROR(INDEX(Ingredients!$W$5:$W$304,MATCH(D395,Ingredients!$B$5:$B$304,0)),"Add to Ingredients"))</f>
        <v>0</v>
      </c>
      <c r="W395" s="17">
        <f>IF(D395="","",IFERROR(INDEX(Ingredients!$C$5:$C$304,MATCH(D395,Ingredients!$B$5:$B$304,0)),"Add to Ingredients"))</f>
        <v>0</v>
      </c>
      <c r="X395" s="45">
        <f>IFERROR(INDEX(Recipes!$AT$5:$AT$204,MATCH(B395,Recipes!$A$5:$A$204,0)),0)</f>
        <v>0</v>
      </c>
      <c r="Y395" s="45">
        <f>IF(OR(J395="",X395=0),"",J395*X395)</f>
        <v>0</v>
      </c>
      <c r="Z395" s="17">
        <f>IF(D395="","",B395&amp;"#"&amp;COUNTIFS($B$5:B395,B395))</f>
        <v>0</v>
      </c>
      <c r="AA395" s="17">
        <f>IF(D395="","",B395&amp;"|"&amp;D395)</f>
        <v>0</v>
      </c>
      <c r="AB395" s="31">
        <f>IF(D395="","",IF(B395="","Add - which recipe?",IF(COUNTIFS(Ingredients!$B$5:$B$304,D395)=0,"Missing - not in the Ingredients tab",IF(E395="","Add - no quantity",IF(F395="","Add - no unit",IF(K395&lt;&gt;L395,"Check - recipe in "&amp;K395&amp;", priced in "&amp;L395,IF(COUNTIFS($AA$5:$AA$1204,AA395)&gt;1,"Duplicate - same ingredient twice","OK")))))))</f>
        <v>0</v>
      </c>
    </row>
    <row r="396" spans="1:28">
      <c r="A396" s="39">
        <f>IF(D396="","","RL-"&amp;TEXT(ROW()-4,"0000"))</f>
        <v>0</v>
      </c>
      <c r="C396" s="17">
        <f>IF(B396="","",IFERROR(INDEX(Recipes!$B$5:$B$204,MATCH(B396,Recipes!$A$5:$A$204,0)),"Not found"))</f>
        <v>0</v>
      </c>
      <c r="J396" s="45">
        <f>IF(E396="","",IFERROR(E396*INDEX(UnitFactors,MATCH(F396,UnitNames,0)),""))</f>
        <v>0</v>
      </c>
      <c r="K396" s="17">
        <f>IF(F396="","",IFERROR(INDEX(UnitBases,MATCH(F396,UnitNames,0)),"?"))</f>
        <v>0</v>
      </c>
      <c r="L396" s="17">
        <f>IF(D396="","",IFERROR(INDEX(Ingredients!$G$5:$G$304,MATCH(D396,Ingredients!$B$5:$B$304,0)),"Add to Ingredients"))</f>
        <v>0</v>
      </c>
      <c r="M396" s="25">
        <f>IF(D396="","",IFERROR(INDEX(Ingredients!$J$5:$J$304,MATCH(D396,Ingredients!$B$5:$B$304,0)),"Add to Ingredients"))</f>
        <v>0</v>
      </c>
      <c r="N396" s="25">
        <f>IF(OR(J396="",M396="",NOT(ISNUMBER(M396))),"",IF(K396&lt;&gt;L396,"",J396*M396))</f>
        <v>0</v>
      </c>
      <c r="O396" s="25">
        <f>IF(N396="","",IFERROR(N396/INDEX(Recipes!$G$5:$G$204,MATCH(B396,Recipes!$A$5:$A$204,0)),""))</f>
        <v>0</v>
      </c>
      <c r="P396" s="30">
        <f>IF(J396="","",IF(K396="each",J396,J396/100))</f>
        <v>0</v>
      </c>
      <c r="Q396" s="30">
        <f>IFERROR(IF(P396="","",P396*INDEX(Ingredients!$P$5:$P$304,MATCH(D396,Ingredients!$B$5:$B$304,0))),"")</f>
        <v>0</v>
      </c>
      <c r="R396" s="45">
        <f>IFERROR(IF(P396="","",P396*INDEX(Ingredients!$Q$5:$Q$304,MATCH(D396,Ingredients!$B$5:$B$304,0))),"")</f>
        <v>0</v>
      </c>
      <c r="S396" s="45">
        <f>IFERROR(IF(P396="","",P396*INDEX(Ingredients!$R$5:$R$304,MATCH(D396,Ingredients!$B$5:$B$304,0))),"")</f>
        <v>0</v>
      </c>
      <c r="T396" s="45">
        <f>IFERROR(IF(P396="","",P396*INDEX(Ingredients!$S$5:$S$304,MATCH(D396,Ingredients!$B$5:$B$304,0))),"")</f>
        <v>0</v>
      </c>
      <c r="U396" s="45">
        <f>IFERROR(IF(P396="","",P396*INDEX(Ingredients!$T$5:$T$304,MATCH(D396,Ingredients!$B$5:$B$304,0))),"")</f>
        <v>0</v>
      </c>
      <c r="V396" s="17">
        <f>IF(D396="","",IFERROR(INDEX(Ingredients!$W$5:$W$304,MATCH(D396,Ingredients!$B$5:$B$304,0)),"Add to Ingredients"))</f>
        <v>0</v>
      </c>
      <c r="W396" s="17">
        <f>IF(D396="","",IFERROR(INDEX(Ingredients!$C$5:$C$304,MATCH(D396,Ingredients!$B$5:$B$304,0)),"Add to Ingredients"))</f>
        <v>0</v>
      </c>
      <c r="X396" s="45">
        <f>IFERROR(INDEX(Recipes!$AT$5:$AT$204,MATCH(B396,Recipes!$A$5:$A$204,0)),0)</f>
        <v>0</v>
      </c>
      <c r="Y396" s="45">
        <f>IF(OR(J396="",X396=0),"",J396*X396)</f>
        <v>0</v>
      </c>
      <c r="Z396" s="17">
        <f>IF(D396="","",B396&amp;"#"&amp;COUNTIFS($B$5:B396,B396))</f>
        <v>0</v>
      </c>
      <c r="AA396" s="17">
        <f>IF(D396="","",B396&amp;"|"&amp;D396)</f>
        <v>0</v>
      </c>
      <c r="AB396" s="31">
        <f>IF(D396="","",IF(B396="","Add - which recipe?",IF(COUNTIFS(Ingredients!$B$5:$B$304,D396)=0,"Missing - not in the Ingredients tab",IF(E396="","Add - no quantity",IF(F396="","Add - no unit",IF(K396&lt;&gt;L396,"Check - recipe in "&amp;K396&amp;", priced in "&amp;L396,IF(COUNTIFS($AA$5:$AA$1204,AA396)&gt;1,"Duplicate - same ingredient twice","OK")))))))</f>
        <v>0</v>
      </c>
    </row>
    <row r="397" spans="1:28">
      <c r="A397" s="39">
        <f>IF(D397="","","RL-"&amp;TEXT(ROW()-4,"0000"))</f>
        <v>0</v>
      </c>
      <c r="C397" s="17">
        <f>IF(B397="","",IFERROR(INDEX(Recipes!$B$5:$B$204,MATCH(B397,Recipes!$A$5:$A$204,0)),"Not found"))</f>
        <v>0</v>
      </c>
      <c r="J397" s="45">
        <f>IF(E397="","",IFERROR(E397*INDEX(UnitFactors,MATCH(F397,UnitNames,0)),""))</f>
        <v>0</v>
      </c>
      <c r="K397" s="17">
        <f>IF(F397="","",IFERROR(INDEX(UnitBases,MATCH(F397,UnitNames,0)),"?"))</f>
        <v>0</v>
      </c>
      <c r="L397" s="17">
        <f>IF(D397="","",IFERROR(INDEX(Ingredients!$G$5:$G$304,MATCH(D397,Ingredients!$B$5:$B$304,0)),"Add to Ingredients"))</f>
        <v>0</v>
      </c>
      <c r="M397" s="25">
        <f>IF(D397="","",IFERROR(INDEX(Ingredients!$J$5:$J$304,MATCH(D397,Ingredients!$B$5:$B$304,0)),"Add to Ingredients"))</f>
        <v>0</v>
      </c>
      <c r="N397" s="25">
        <f>IF(OR(J397="",M397="",NOT(ISNUMBER(M397))),"",IF(K397&lt;&gt;L397,"",J397*M397))</f>
        <v>0</v>
      </c>
      <c r="O397" s="25">
        <f>IF(N397="","",IFERROR(N397/INDEX(Recipes!$G$5:$G$204,MATCH(B397,Recipes!$A$5:$A$204,0)),""))</f>
        <v>0</v>
      </c>
      <c r="P397" s="30">
        <f>IF(J397="","",IF(K397="each",J397,J397/100))</f>
        <v>0</v>
      </c>
      <c r="Q397" s="30">
        <f>IFERROR(IF(P397="","",P397*INDEX(Ingredients!$P$5:$P$304,MATCH(D397,Ingredients!$B$5:$B$304,0))),"")</f>
        <v>0</v>
      </c>
      <c r="R397" s="45">
        <f>IFERROR(IF(P397="","",P397*INDEX(Ingredients!$Q$5:$Q$304,MATCH(D397,Ingredients!$B$5:$B$304,0))),"")</f>
        <v>0</v>
      </c>
      <c r="S397" s="45">
        <f>IFERROR(IF(P397="","",P397*INDEX(Ingredients!$R$5:$R$304,MATCH(D397,Ingredients!$B$5:$B$304,0))),"")</f>
        <v>0</v>
      </c>
      <c r="T397" s="45">
        <f>IFERROR(IF(P397="","",P397*INDEX(Ingredients!$S$5:$S$304,MATCH(D397,Ingredients!$B$5:$B$304,0))),"")</f>
        <v>0</v>
      </c>
      <c r="U397" s="45">
        <f>IFERROR(IF(P397="","",P397*INDEX(Ingredients!$T$5:$T$304,MATCH(D397,Ingredients!$B$5:$B$304,0))),"")</f>
        <v>0</v>
      </c>
      <c r="V397" s="17">
        <f>IF(D397="","",IFERROR(INDEX(Ingredients!$W$5:$W$304,MATCH(D397,Ingredients!$B$5:$B$304,0)),"Add to Ingredients"))</f>
        <v>0</v>
      </c>
      <c r="W397" s="17">
        <f>IF(D397="","",IFERROR(INDEX(Ingredients!$C$5:$C$304,MATCH(D397,Ingredients!$B$5:$B$304,0)),"Add to Ingredients"))</f>
        <v>0</v>
      </c>
      <c r="X397" s="45">
        <f>IFERROR(INDEX(Recipes!$AT$5:$AT$204,MATCH(B397,Recipes!$A$5:$A$204,0)),0)</f>
        <v>0</v>
      </c>
      <c r="Y397" s="45">
        <f>IF(OR(J397="",X397=0),"",J397*X397)</f>
        <v>0</v>
      </c>
      <c r="Z397" s="17">
        <f>IF(D397="","",B397&amp;"#"&amp;COUNTIFS($B$5:B397,B397))</f>
        <v>0</v>
      </c>
      <c r="AA397" s="17">
        <f>IF(D397="","",B397&amp;"|"&amp;D397)</f>
        <v>0</v>
      </c>
      <c r="AB397" s="31">
        <f>IF(D397="","",IF(B397="","Add - which recipe?",IF(COUNTIFS(Ingredients!$B$5:$B$304,D397)=0,"Missing - not in the Ingredients tab",IF(E397="","Add - no quantity",IF(F397="","Add - no unit",IF(K397&lt;&gt;L397,"Check - recipe in "&amp;K397&amp;", priced in "&amp;L397,IF(COUNTIFS($AA$5:$AA$1204,AA397)&gt;1,"Duplicate - same ingredient twice","OK")))))))</f>
        <v>0</v>
      </c>
    </row>
    <row r="398" spans="1:28">
      <c r="A398" s="39">
        <f>IF(D398="","","RL-"&amp;TEXT(ROW()-4,"0000"))</f>
        <v>0</v>
      </c>
      <c r="C398" s="17">
        <f>IF(B398="","",IFERROR(INDEX(Recipes!$B$5:$B$204,MATCH(B398,Recipes!$A$5:$A$204,0)),"Not found"))</f>
        <v>0</v>
      </c>
      <c r="J398" s="45">
        <f>IF(E398="","",IFERROR(E398*INDEX(UnitFactors,MATCH(F398,UnitNames,0)),""))</f>
        <v>0</v>
      </c>
      <c r="K398" s="17">
        <f>IF(F398="","",IFERROR(INDEX(UnitBases,MATCH(F398,UnitNames,0)),"?"))</f>
        <v>0</v>
      </c>
      <c r="L398" s="17">
        <f>IF(D398="","",IFERROR(INDEX(Ingredients!$G$5:$G$304,MATCH(D398,Ingredients!$B$5:$B$304,0)),"Add to Ingredients"))</f>
        <v>0</v>
      </c>
      <c r="M398" s="25">
        <f>IF(D398="","",IFERROR(INDEX(Ingredients!$J$5:$J$304,MATCH(D398,Ingredients!$B$5:$B$304,0)),"Add to Ingredients"))</f>
        <v>0</v>
      </c>
      <c r="N398" s="25">
        <f>IF(OR(J398="",M398="",NOT(ISNUMBER(M398))),"",IF(K398&lt;&gt;L398,"",J398*M398))</f>
        <v>0</v>
      </c>
      <c r="O398" s="25">
        <f>IF(N398="","",IFERROR(N398/INDEX(Recipes!$G$5:$G$204,MATCH(B398,Recipes!$A$5:$A$204,0)),""))</f>
        <v>0</v>
      </c>
      <c r="P398" s="30">
        <f>IF(J398="","",IF(K398="each",J398,J398/100))</f>
        <v>0</v>
      </c>
      <c r="Q398" s="30">
        <f>IFERROR(IF(P398="","",P398*INDEX(Ingredients!$P$5:$P$304,MATCH(D398,Ingredients!$B$5:$B$304,0))),"")</f>
        <v>0</v>
      </c>
      <c r="R398" s="45">
        <f>IFERROR(IF(P398="","",P398*INDEX(Ingredients!$Q$5:$Q$304,MATCH(D398,Ingredients!$B$5:$B$304,0))),"")</f>
        <v>0</v>
      </c>
      <c r="S398" s="45">
        <f>IFERROR(IF(P398="","",P398*INDEX(Ingredients!$R$5:$R$304,MATCH(D398,Ingredients!$B$5:$B$304,0))),"")</f>
        <v>0</v>
      </c>
      <c r="T398" s="45">
        <f>IFERROR(IF(P398="","",P398*INDEX(Ingredients!$S$5:$S$304,MATCH(D398,Ingredients!$B$5:$B$304,0))),"")</f>
        <v>0</v>
      </c>
      <c r="U398" s="45">
        <f>IFERROR(IF(P398="","",P398*INDEX(Ingredients!$T$5:$T$304,MATCH(D398,Ingredients!$B$5:$B$304,0))),"")</f>
        <v>0</v>
      </c>
      <c r="V398" s="17">
        <f>IF(D398="","",IFERROR(INDEX(Ingredients!$W$5:$W$304,MATCH(D398,Ingredients!$B$5:$B$304,0)),"Add to Ingredients"))</f>
        <v>0</v>
      </c>
      <c r="W398" s="17">
        <f>IF(D398="","",IFERROR(INDEX(Ingredients!$C$5:$C$304,MATCH(D398,Ingredients!$B$5:$B$304,0)),"Add to Ingredients"))</f>
        <v>0</v>
      </c>
      <c r="X398" s="45">
        <f>IFERROR(INDEX(Recipes!$AT$5:$AT$204,MATCH(B398,Recipes!$A$5:$A$204,0)),0)</f>
        <v>0</v>
      </c>
      <c r="Y398" s="45">
        <f>IF(OR(J398="",X398=0),"",J398*X398)</f>
        <v>0</v>
      </c>
      <c r="Z398" s="17">
        <f>IF(D398="","",B398&amp;"#"&amp;COUNTIFS($B$5:B398,B398))</f>
        <v>0</v>
      </c>
      <c r="AA398" s="17">
        <f>IF(D398="","",B398&amp;"|"&amp;D398)</f>
        <v>0</v>
      </c>
      <c r="AB398" s="31">
        <f>IF(D398="","",IF(B398="","Add - which recipe?",IF(COUNTIFS(Ingredients!$B$5:$B$304,D398)=0,"Missing - not in the Ingredients tab",IF(E398="","Add - no quantity",IF(F398="","Add - no unit",IF(K398&lt;&gt;L398,"Check - recipe in "&amp;K398&amp;", priced in "&amp;L398,IF(COUNTIFS($AA$5:$AA$1204,AA398)&gt;1,"Duplicate - same ingredient twice","OK")))))))</f>
        <v>0</v>
      </c>
    </row>
    <row r="399" spans="1:28">
      <c r="A399" s="39">
        <f>IF(D399="","","RL-"&amp;TEXT(ROW()-4,"0000"))</f>
        <v>0</v>
      </c>
      <c r="C399" s="17">
        <f>IF(B399="","",IFERROR(INDEX(Recipes!$B$5:$B$204,MATCH(B399,Recipes!$A$5:$A$204,0)),"Not found"))</f>
        <v>0</v>
      </c>
      <c r="J399" s="45">
        <f>IF(E399="","",IFERROR(E399*INDEX(UnitFactors,MATCH(F399,UnitNames,0)),""))</f>
        <v>0</v>
      </c>
      <c r="K399" s="17">
        <f>IF(F399="","",IFERROR(INDEX(UnitBases,MATCH(F399,UnitNames,0)),"?"))</f>
        <v>0</v>
      </c>
      <c r="L399" s="17">
        <f>IF(D399="","",IFERROR(INDEX(Ingredients!$G$5:$G$304,MATCH(D399,Ingredients!$B$5:$B$304,0)),"Add to Ingredients"))</f>
        <v>0</v>
      </c>
      <c r="M399" s="25">
        <f>IF(D399="","",IFERROR(INDEX(Ingredients!$J$5:$J$304,MATCH(D399,Ingredients!$B$5:$B$304,0)),"Add to Ingredients"))</f>
        <v>0</v>
      </c>
      <c r="N399" s="25">
        <f>IF(OR(J399="",M399="",NOT(ISNUMBER(M399))),"",IF(K399&lt;&gt;L399,"",J399*M399))</f>
        <v>0</v>
      </c>
      <c r="O399" s="25">
        <f>IF(N399="","",IFERROR(N399/INDEX(Recipes!$G$5:$G$204,MATCH(B399,Recipes!$A$5:$A$204,0)),""))</f>
        <v>0</v>
      </c>
      <c r="P399" s="30">
        <f>IF(J399="","",IF(K399="each",J399,J399/100))</f>
        <v>0</v>
      </c>
      <c r="Q399" s="30">
        <f>IFERROR(IF(P399="","",P399*INDEX(Ingredients!$P$5:$P$304,MATCH(D399,Ingredients!$B$5:$B$304,0))),"")</f>
        <v>0</v>
      </c>
      <c r="R399" s="45">
        <f>IFERROR(IF(P399="","",P399*INDEX(Ingredients!$Q$5:$Q$304,MATCH(D399,Ingredients!$B$5:$B$304,0))),"")</f>
        <v>0</v>
      </c>
      <c r="S399" s="45">
        <f>IFERROR(IF(P399="","",P399*INDEX(Ingredients!$R$5:$R$304,MATCH(D399,Ingredients!$B$5:$B$304,0))),"")</f>
        <v>0</v>
      </c>
      <c r="T399" s="45">
        <f>IFERROR(IF(P399="","",P399*INDEX(Ingredients!$S$5:$S$304,MATCH(D399,Ingredients!$B$5:$B$304,0))),"")</f>
        <v>0</v>
      </c>
      <c r="U399" s="45">
        <f>IFERROR(IF(P399="","",P399*INDEX(Ingredients!$T$5:$T$304,MATCH(D399,Ingredients!$B$5:$B$304,0))),"")</f>
        <v>0</v>
      </c>
      <c r="V399" s="17">
        <f>IF(D399="","",IFERROR(INDEX(Ingredients!$W$5:$W$304,MATCH(D399,Ingredients!$B$5:$B$304,0)),"Add to Ingredients"))</f>
        <v>0</v>
      </c>
      <c r="W399" s="17">
        <f>IF(D399="","",IFERROR(INDEX(Ingredients!$C$5:$C$304,MATCH(D399,Ingredients!$B$5:$B$304,0)),"Add to Ingredients"))</f>
        <v>0</v>
      </c>
      <c r="X399" s="45">
        <f>IFERROR(INDEX(Recipes!$AT$5:$AT$204,MATCH(B399,Recipes!$A$5:$A$204,0)),0)</f>
        <v>0</v>
      </c>
      <c r="Y399" s="45">
        <f>IF(OR(J399="",X399=0),"",J399*X399)</f>
        <v>0</v>
      </c>
      <c r="Z399" s="17">
        <f>IF(D399="","",B399&amp;"#"&amp;COUNTIFS($B$5:B399,B399))</f>
        <v>0</v>
      </c>
      <c r="AA399" s="17">
        <f>IF(D399="","",B399&amp;"|"&amp;D399)</f>
        <v>0</v>
      </c>
      <c r="AB399" s="31">
        <f>IF(D399="","",IF(B399="","Add - which recipe?",IF(COUNTIFS(Ingredients!$B$5:$B$304,D399)=0,"Missing - not in the Ingredients tab",IF(E399="","Add - no quantity",IF(F399="","Add - no unit",IF(K399&lt;&gt;L399,"Check - recipe in "&amp;K399&amp;", priced in "&amp;L399,IF(COUNTIFS($AA$5:$AA$1204,AA399)&gt;1,"Duplicate - same ingredient twice","OK")))))))</f>
        <v>0</v>
      </c>
    </row>
    <row r="400" spans="1:28">
      <c r="A400" s="39">
        <f>IF(D400="","","RL-"&amp;TEXT(ROW()-4,"0000"))</f>
        <v>0</v>
      </c>
      <c r="C400" s="17">
        <f>IF(B400="","",IFERROR(INDEX(Recipes!$B$5:$B$204,MATCH(B400,Recipes!$A$5:$A$204,0)),"Not found"))</f>
        <v>0</v>
      </c>
      <c r="J400" s="45">
        <f>IF(E400="","",IFERROR(E400*INDEX(UnitFactors,MATCH(F400,UnitNames,0)),""))</f>
        <v>0</v>
      </c>
      <c r="K400" s="17">
        <f>IF(F400="","",IFERROR(INDEX(UnitBases,MATCH(F400,UnitNames,0)),"?"))</f>
        <v>0</v>
      </c>
      <c r="L400" s="17">
        <f>IF(D400="","",IFERROR(INDEX(Ingredients!$G$5:$G$304,MATCH(D400,Ingredients!$B$5:$B$304,0)),"Add to Ingredients"))</f>
        <v>0</v>
      </c>
      <c r="M400" s="25">
        <f>IF(D400="","",IFERROR(INDEX(Ingredients!$J$5:$J$304,MATCH(D400,Ingredients!$B$5:$B$304,0)),"Add to Ingredients"))</f>
        <v>0</v>
      </c>
      <c r="N400" s="25">
        <f>IF(OR(J400="",M400="",NOT(ISNUMBER(M400))),"",IF(K400&lt;&gt;L400,"",J400*M400))</f>
        <v>0</v>
      </c>
      <c r="O400" s="25">
        <f>IF(N400="","",IFERROR(N400/INDEX(Recipes!$G$5:$G$204,MATCH(B400,Recipes!$A$5:$A$204,0)),""))</f>
        <v>0</v>
      </c>
      <c r="P400" s="30">
        <f>IF(J400="","",IF(K400="each",J400,J400/100))</f>
        <v>0</v>
      </c>
      <c r="Q400" s="30">
        <f>IFERROR(IF(P400="","",P400*INDEX(Ingredients!$P$5:$P$304,MATCH(D400,Ingredients!$B$5:$B$304,0))),"")</f>
        <v>0</v>
      </c>
      <c r="R400" s="45">
        <f>IFERROR(IF(P400="","",P400*INDEX(Ingredients!$Q$5:$Q$304,MATCH(D400,Ingredients!$B$5:$B$304,0))),"")</f>
        <v>0</v>
      </c>
      <c r="S400" s="45">
        <f>IFERROR(IF(P400="","",P400*INDEX(Ingredients!$R$5:$R$304,MATCH(D400,Ingredients!$B$5:$B$304,0))),"")</f>
        <v>0</v>
      </c>
      <c r="T400" s="45">
        <f>IFERROR(IF(P400="","",P400*INDEX(Ingredients!$S$5:$S$304,MATCH(D400,Ingredients!$B$5:$B$304,0))),"")</f>
        <v>0</v>
      </c>
      <c r="U400" s="45">
        <f>IFERROR(IF(P400="","",P400*INDEX(Ingredients!$T$5:$T$304,MATCH(D400,Ingredients!$B$5:$B$304,0))),"")</f>
        <v>0</v>
      </c>
      <c r="V400" s="17">
        <f>IF(D400="","",IFERROR(INDEX(Ingredients!$W$5:$W$304,MATCH(D400,Ingredients!$B$5:$B$304,0)),"Add to Ingredients"))</f>
        <v>0</v>
      </c>
      <c r="W400" s="17">
        <f>IF(D400="","",IFERROR(INDEX(Ingredients!$C$5:$C$304,MATCH(D400,Ingredients!$B$5:$B$304,0)),"Add to Ingredients"))</f>
        <v>0</v>
      </c>
      <c r="X400" s="45">
        <f>IFERROR(INDEX(Recipes!$AT$5:$AT$204,MATCH(B400,Recipes!$A$5:$A$204,0)),0)</f>
        <v>0</v>
      </c>
      <c r="Y400" s="45">
        <f>IF(OR(J400="",X400=0),"",J400*X400)</f>
        <v>0</v>
      </c>
      <c r="Z400" s="17">
        <f>IF(D400="","",B400&amp;"#"&amp;COUNTIFS($B$5:B400,B400))</f>
        <v>0</v>
      </c>
      <c r="AA400" s="17">
        <f>IF(D400="","",B400&amp;"|"&amp;D400)</f>
        <v>0</v>
      </c>
      <c r="AB400" s="31">
        <f>IF(D400="","",IF(B400="","Add - which recipe?",IF(COUNTIFS(Ingredients!$B$5:$B$304,D400)=0,"Missing - not in the Ingredients tab",IF(E400="","Add - no quantity",IF(F400="","Add - no unit",IF(K400&lt;&gt;L400,"Check - recipe in "&amp;K400&amp;", priced in "&amp;L400,IF(COUNTIFS($AA$5:$AA$1204,AA400)&gt;1,"Duplicate - same ingredient twice","OK")))))))</f>
        <v>0</v>
      </c>
    </row>
    <row r="401" spans="1:28">
      <c r="A401" s="39">
        <f>IF(D401="","","RL-"&amp;TEXT(ROW()-4,"0000"))</f>
        <v>0</v>
      </c>
      <c r="C401" s="17">
        <f>IF(B401="","",IFERROR(INDEX(Recipes!$B$5:$B$204,MATCH(B401,Recipes!$A$5:$A$204,0)),"Not found"))</f>
        <v>0</v>
      </c>
      <c r="J401" s="45">
        <f>IF(E401="","",IFERROR(E401*INDEX(UnitFactors,MATCH(F401,UnitNames,0)),""))</f>
        <v>0</v>
      </c>
      <c r="K401" s="17">
        <f>IF(F401="","",IFERROR(INDEX(UnitBases,MATCH(F401,UnitNames,0)),"?"))</f>
        <v>0</v>
      </c>
      <c r="L401" s="17">
        <f>IF(D401="","",IFERROR(INDEX(Ingredients!$G$5:$G$304,MATCH(D401,Ingredients!$B$5:$B$304,0)),"Add to Ingredients"))</f>
        <v>0</v>
      </c>
      <c r="M401" s="25">
        <f>IF(D401="","",IFERROR(INDEX(Ingredients!$J$5:$J$304,MATCH(D401,Ingredients!$B$5:$B$304,0)),"Add to Ingredients"))</f>
        <v>0</v>
      </c>
      <c r="N401" s="25">
        <f>IF(OR(J401="",M401="",NOT(ISNUMBER(M401))),"",IF(K401&lt;&gt;L401,"",J401*M401))</f>
        <v>0</v>
      </c>
      <c r="O401" s="25">
        <f>IF(N401="","",IFERROR(N401/INDEX(Recipes!$G$5:$G$204,MATCH(B401,Recipes!$A$5:$A$204,0)),""))</f>
        <v>0</v>
      </c>
      <c r="P401" s="30">
        <f>IF(J401="","",IF(K401="each",J401,J401/100))</f>
        <v>0</v>
      </c>
      <c r="Q401" s="30">
        <f>IFERROR(IF(P401="","",P401*INDEX(Ingredients!$P$5:$P$304,MATCH(D401,Ingredients!$B$5:$B$304,0))),"")</f>
        <v>0</v>
      </c>
      <c r="R401" s="45">
        <f>IFERROR(IF(P401="","",P401*INDEX(Ingredients!$Q$5:$Q$304,MATCH(D401,Ingredients!$B$5:$B$304,0))),"")</f>
        <v>0</v>
      </c>
      <c r="S401" s="45">
        <f>IFERROR(IF(P401="","",P401*INDEX(Ingredients!$R$5:$R$304,MATCH(D401,Ingredients!$B$5:$B$304,0))),"")</f>
        <v>0</v>
      </c>
      <c r="T401" s="45">
        <f>IFERROR(IF(P401="","",P401*INDEX(Ingredients!$S$5:$S$304,MATCH(D401,Ingredients!$B$5:$B$304,0))),"")</f>
        <v>0</v>
      </c>
      <c r="U401" s="45">
        <f>IFERROR(IF(P401="","",P401*INDEX(Ingredients!$T$5:$T$304,MATCH(D401,Ingredients!$B$5:$B$304,0))),"")</f>
        <v>0</v>
      </c>
      <c r="V401" s="17">
        <f>IF(D401="","",IFERROR(INDEX(Ingredients!$W$5:$W$304,MATCH(D401,Ingredients!$B$5:$B$304,0)),"Add to Ingredients"))</f>
        <v>0</v>
      </c>
      <c r="W401" s="17">
        <f>IF(D401="","",IFERROR(INDEX(Ingredients!$C$5:$C$304,MATCH(D401,Ingredients!$B$5:$B$304,0)),"Add to Ingredients"))</f>
        <v>0</v>
      </c>
      <c r="X401" s="45">
        <f>IFERROR(INDEX(Recipes!$AT$5:$AT$204,MATCH(B401,Recipes!$A$5:$A$204,0)),0)</f>
        <v>0</v>
      </c>
      <c r="Y401" s="45">
        <f>IF(OR(J401="",X401=0),"",J401*X401)</f>
        <v>0</v>
      </c>
      <c r="Z401" s="17">
        <f>IF(D401="","",B401&amp;"#"&amp;COUNTIFS($B$5:B401,B401))</f>
        <v>0</v>
      </c>
      <c r="AA401" s="17">
        <f>IF(D401="","",B401&amp;"|"&amp;D401)</f>
        <v>0</v>
      </c>
      <c r="AB401" s="31">
        <f>IF(D401="","",IF(B401="","Add - which recipe?",IF(COUNTIFS(Ingredients!$B$5:$B$304,D401)=0,"Missing - not in the Ingredients tab",IF(E401="","Add - no quantity",IF(F401="","Add - no unit",IF(K401&lt;&gt;L401,"Check - recipe in "&amp;K401&amp;", priced in "&amp;L401,IF(COUNTIFS($AA$5:$AA$1204,AA401)&gt;1,"Duplicate - same ingredient twice","OK")))))))</f>
        <v>0</v>
      </c>
    </row>
    <row r="402" spans="1:28">
      <c r="A402" s="39">
        <f>IF(D402="","","RL-"&amp;TEXT(ROW()-4,"0000"))</f>
        <v>0</v>
      </c>
      <c r="C402" s="17">
        <f>IF(B402="","",IFERROR(INDEX(Recipes!$B$5:$B$204,MATCH(B402,Recipes!$A$5:$A$204,0)),"Not found"))</f>
        <v>0</v>
      </c>
      <c r="J402" s="45">
        <f>IF(E402="","",IFERROR(E402*INDEX(UnitFactors,MATCH(F402,UnitNames,0)),""))</f>
        <v>0</v>
      </c>
      <c r="K402" s="17">
        <f>IF(F402="","",IFERROR(INDEX(UnitBases,MATCH(F402,UnitNames,0)),"?"))</f>
        <v>0</v>
      </c>
      <c r="L402" s="17">
        <f>IF(D402="","",IFERROR(INDEX(Ingredients!$G$5:$G$304,MATCH(D402,Ingredients!$B$5:$B$304,0)),"Add to Ingredients"))</f>
        <v>0</v>
      </c>
      <c r="M402" s="25">
        <f>IF(D402="","",IFERROR(INDEX(Ingredients!$J$5:$J$304,MATCH(D402,Ingredients!$B$5:$B$304,0)),"Add to Ingredients"))</f>
        <v>0</v>
      </c>
      <c r="N402" s="25">
        <f>IF(OR(J402="",M402="",NOT(ISNUMBER(M402))),"",IF(K402&lt;&gt;L402,"",J402*M402))</f>
        <v>0</v>
      </c>
      <c r="O402" s="25">
        <f>IF(N402="","",IFERROR(N402/INDEX(Recipes!$G$5:$G$204,MATCH(B402,Recipes!$A$5:$A$204,0)),""))</f>
        <v>0</v>
      </c>
      <c r="P402" s="30">
        <f>IF(J402="","",IF(K402="each",J402,J402/100))</f>
        <v>0</v>
      </c>
      <c r="Q402" s="30">
        <f>IFERROR(IF(P402="","",P402*INDEX(Ingredients!$P$5:$P$304,MATCH(D402,Ingredients!$B$5:$B$304,0))),"")</f>
        <v>0</v>
      </c>
      <c r="R402" s="45">
        <f>IFERROR(IF(P402="","",P402*INDEX(Ingredients!$Q$5:$Q$304,MATCH(D402,Ingredients!$B$5:$B$304,0))),"")</f>
        <v>0</v>
      </c>
      <c r="S402" s="45">
        <f>IFERROR(IF(P402="","",P402*INDEX(Ingredients!$R$5:$R$304,MATCH(D402,Ingredients!$B$5:$B$304,0))),"")</f>
        <v>0</v>
      </c>
      <c r="T402" s="45">
        <f>IFERROR(IF(P402="","",P402*INDEX(Ingredients!$S$5:$S$304,MATCH(D402,Ingredients!$B$5:$B$304,0))),"")</f>
        <v>0</v>
      </c>
      <c r="U402" s="45">
        <f>IFERROR(IF(P402="","",P402*INDEX(Ingredients!$T$5:$T$304,MATCH(D402,Ingredients!$B$5:$B$304,0))),"")</f>
        <v>0</v>
      </c>
      <c r="V402" s="17">
        <f>IF(D402="","",IFERROR(INDEX(Ingredients!$W$5:$W$304,MATCH(D402,Ingredients!$B$5:$B$304,0)),"Add to Ingredients"))</f>
        <v>0</v>
      </c>
      <c r="W402" s="17">
        <f>IF(D402="","",IFERROR(INDEX(Ingredients!$C$5:$C$304,MATCH(D402,Ingredients!$B$5:$B$304,0)),"Add to Ingredients"))</f>
        <v>0</v>
      </c>
      <c r="X402" s="45">
        <f>IFERROR(INDEX(Recipes!$AT$5:$AT$204,MATCH(B402,Recipes!$A$5:$A$204,0)),0)</f>
        <v>0</v>
      </c>
      <c r="Y402" s="45">
        <f>IF(OR(J402="",X402=0),"",J402*X402)</f>
        <v>0</v>
      </c>
      <c r="Z402" s="17">
        <f>IF(D402="","",B402&amp;"#"&amp;COUNTIFS($B$5:B402,B402))</f>
        <v>0</v>
      </c>
      <c r="AA402" s="17">
        <f>IF(D402="","",B402&amp;"|"&amp;D402)</f>
        <v>0</v>
      </c>
      <c r="AB402" s="31">
        <f>IF(D402="","",IF(B402="","Add - which recipe?",IF(COUNTIFS(Ingredients!$B$5:$B$304,D402)=0,"Missing - not in the Ingredients tab",IF(E402="","Add - no quantity",IF(F402="","Add - no unit",IF(K402&lt;&gt;L402,"Check - recipe in "&amp;K402&amp;", priced in "&amp;L402,IF(COUNTIFS($AA$5:$AA$1204,AA402)&gt;1,"Duplicate - same ingredient twice","OK")))))))</f>
        <v>0</v>
      </c>
    </row>
    <row r="403" spans="1:28">
      <c r="A403" s="39">
        <f>IF(D403="","","RL-"&amp;TEXT(ROW()-4,"0000"))</f>
        <v>0</v>
      </c>
      <c r="C403" s="17">
        <f>IF(B403="","",IFERROR(INDEX(Recipes!$B$5:$B$204,MATCH(B403,Recipes!$A$5:$A$204,0)),"Not found"))</f>
        <v>0</v>
      </c>
      <c r="J403" s="45">
        <f>IF(E403="","",IFERROR(E403*INDEX(UnitFactors,MATCH(F403,UnitNames,0)),""))</f>
        <v>0</v>
      </c>
      <c r="K403" s="17">
        <f>IF(F403="","",IFERROR(INDEX(UnitBases,MATCH(F403,UnitNames,0)),"?"))</f>
        <v>0</v>
      </c>
      <c r="L403" s="17">
        <f>IF(D403="","",IFERROR(INDEX(Ingredients!$G$5:$G$304,MATCH(D403,Ingredients!$B$5:$B$304,0)),"Add to Ingredients"))</f>
        <v>0</v>
      </c>
      <c r="M403" s="25">
        <f>IF(D403="","",IFERROR(INDEX(Ingredients!$J$5:$J$304,MATCH(D403,Ingredients!$B$5:$B$304,0)),"Add to Ingredients"))</f>
        <v>0</v>
      </c>
      <c r="N403" s="25">
        <f>IF(OR(J403="",M403="",NOT(ISNUMBER(M403))),"",IF(K403&lt;&gt;L403,"",J403*M403))</f>
        <v>0</v>
      </c>
      <c r="O403" s="25">
        <f>IF(N403="","",IFERROR(N403/INDEX(Recipes!$G$5:$G$204,MATCH(B403,Recipes!$A$5:$A$204,0)),""))</f>
        <v>0</v>
      </c>
      <c r="P403" s="30">
        <f>IF(J403="","",IF(K403="each",J403,J403/100))</f>
        <v>0</v>
      </c>
      <c r="Q403" s="30">
        <f>IFERROR(IF(P403="","",P403*INDEX(Ingredients!$P$5:$P$304,MATCH(D403,Ingredients!$B$5:$B$304,0))),"")</f>
        <v>0</v>
      </c>
      <c r="R403" s="45">
        <f>IFERROR(IF(P403="","",P403*INDEX(Ingredients!$Q$5:$Q$304,MATCH(D403,Ingredients!$B$5:$B$304,0))),"")</f>
        <v>0</v>
      </c>
      <c r="S403" s="45">
        <f>IFERROR(IF(P403="","",P403*INDEX(Ingredients!$R$5:$R$304,MATCH(D403,Ingredients!$B$5:$B$304,0))),"")</f>
        <v>0</v>
      </c>
      <c r="T403" s="45">
        <f>IFERROR(IF(P403="","",P403*INDEX(Ingredients!$S$5:$S$304,MATCH(D403,Ingredients!$B$5:$B$304,0))),"")</f>
        <v>0</v>
      </c>
      <c r="U403" s="45">
        <f>IFERROR(IF(P403="","",P403*INDEX(Ingredients!$T$5:$T$304,MATCH(D403,Ingredients!$B$5:$B$304,0))),"")</f>
        <v>0</v>
      </c>
      <c r="V403" s="17">
        <f>IF(D403="","",IFERROR(INDEX(Ingredients!$W$5:$W$304,MATCH(D403,Ingredients!$B$5:$B$304,0)),"Add to Ingredients"))</f>
        <v>0</v>
      </c>
      <c r="W403" s="17">
        <f>IF(D403="","",IFERROR(INDEX(Ingredients!$C$5:$C$304,MATCH(D403,Ingredients!$B$5:$B$304,0)),"Add to Ingredients"))</f>
        <v>0</v>
      </c>
      <c r="X403" s="45">
        <f>IFERROR(INDEX(Recipes!$AT$5:$AT$204,MATCH(B403,Recipes!$A$5:$A$204,0)),0)</f>
        <v>0</v>
      </c>
      <c r="Y403" s="45">
        <f>IF(OR(J403="",X403=0),"",J403*X403)</f>
        <v>0</v>
      </c>
      <c r="Z403" s="17">
        <f>IF(D403="","",B403&amp;"#"&amp;COUNTIFS($B$5:B403,B403))</f>
        <v>0</v>
      </c>
      <c r="AA403" s="17">
        <f>IF(D403="","",B403&amp;"|"&amp;D403)</f>
        <v>0</v>
      </c>
      <c r="AB403" s="31">
        <f>IF(D403="","",IF(B403="","Add - which recipe?",IF(COUNTIFS(Ingredients!$B$5:$B$304,D403)=0,"Missing - not in the Ingredients tab",IF(E403="","Add - no quantity",IF(F403="","Add - no unit",IF(K403&lt;&gt;L403,"Check - recipe in "&amp;K403&amp;", priced in "&amp;L403,IF(COUNTIFS($AA$5:$AA$1204,AA403)&gt;1,"Duplicate - same ingredient twice","OK")))))))</f>
        <v>0</v>
      </c>
    </row>
    <row r="404" spans="1:28">
      <c r="A404" s="39">
        <f>IF(D404="","","RL-"&amp;TEXT(ROW()-4,"0000"))</f>
        <v>0</v>
      </c>
      <c r="C404" s="17">
        <f>IF(B404="","",IFERROR(INDEX(Recipes!$B$5:$B$204,MATCH(B404,Recipes!$A$5:$A$204,0)),"Not found"))</f>
        <v>0</v>
      </c>
      <c r="J404" s="45">
        <f>IF(E404="","",IFERROR(E404*INDEX(UnitFactors,MATCH(F404,UnitNames,0)),""))</f>
        <v>0</v>
      </c>
      <c r="K404" s="17">
        <f>IF(F404="","",IFERROR(INDEX(UnitBases,MATCH(F404,UnitNames,0)),"?"))</f>
        <v>0</v>
      </c>
      <c r="L404" s="17">
        <f>IF(D404="","",IFERROR(INDEX(Ingredients!$G$5:$G$304,MATCH(D404,Ingredients!$B$5:$B$304,0)),"Add to Ingredients"))</f>
        <v>0</v>
      </c>
      <c r="M404" s="25">
        <f>IF(D404="","",IFERROR(INDEX(Ingredients!$J$5:$J$304,MATCH(D404,Ingredients!$B$5:$B$304,0)),"Add to Ingredients"))</f>
        <v>0</v>
      </c>
      <c r="N404" s="25">
        <f>IF(OR(J404="",M404="",NOT(ISNUMBER(M404))),"",IF(K404&lt;&gt;L404,"",J404*M404))</f>
        <v>0</v>
      </c>
      <c r="O404" s="25">
        <f>IF(N404="","",IFERROR(N404/INDEX(Recipes!$G$5:$G$204,MATCH(B404,Recipes!$A$5:$A$204,0)),""))</f>
        <v>0</v>
      </c>
      <c r="P404" s="30">
        <f>IF(J404="","",IF(K404="each",J404,J404/100))</f>
        <v>0</v>
      </c>
      <c r="Q404" s="30">
        <f>IFERROR(IF(P404="","",P404*INDEX(Ingredients!$P$5:$P$304,MATCH(D404,Ingredients!$B$5:$B$304,0))),"")</f>
        <v>0</v>
      </c>
      <c r="R404" s="45">
        <f>IFERROR(IF(P404="","",P404*INDEX(Ingredients!$Q$5:$Q$304,MATCH(D404,Ingredients!$B$5:$B$304,0))),"")</f>
        <v>0</v>
      </c>
      <c r="S404" s="45">
        <f>IFERROR(IF(P404="","",P404*INDEX(Ingredients!$R$5:$R$304,MATCH(D404,Ingredients!$B$5:$B$304,0))),"")</f>
        <v>0</v>
      </c>
      <c r="T404" s="45">
        <f>IFERROR(IF(P404="","",P404*INDEX(Ingredients!$S$5:$S$304,MATCH(D404,Ingredients!$B$5:$B$304,0))),"")</f>
        <v>0</v>
      </c>
      <c r="U404" s="45">
        <f>IFERROR(IF(P404="","",P404*INDEX(Ingredients!$T$5:$T$304,MATCH(D404,Ingredients!$B$5:$B$304,0))),"")</f>
        <v>0</v>
      </c>
      <c r="V404" s="17">
        <f>IF(D404="","",IFERROR(INDEX(Ingredients!$W$5:$W$304,MATCH(D404,Ingredients!$B$5:$B$304,0)),"Add to Ingredients"))</f>
        <v>0</v>
      </c>
      <c r="W404" s="17">
        <f>IF(D404="","",IFERROR(INDEX(Ingredients!$C$5:$C$304,MATCH(D404,Ingredients!$B$5:$B$304,0)),"Add to Ingredients"))</f>
        <v>0</v>
      </c>
      <c r="X404" s="45">
        <f>IFERROR(INDEX(Recipes!$AT$5:$AT$204,MATCH(B404,Recipes!$A$5:$A$204,0)),0)</f>
        <v>0</v>
      </c>
      <c r="Y404" s="45">
        <f>IF(OR(J404="",X404=0),"",J404*X404)</f>
        <v>0</v>
      </c>
      <c r="Z404" s="17">
        <f>IF(D404="","",B404&amp;"#"&amp;COUNTIFS($B$5:B404,B404))</f>
        <v>0</v>
      </c>
      <c r="AA404" s="17">
        <f>IF(D404="","",B404&amp;"|"&amp;D404)</f>
        <v>0</v>
      </c>
      <c r="AB404" s="31">
        <f>IF(D404="","",IF(B404="","Add - which recipe?",IF(COUNTIFS(Ingredients!$B$5:$B$304,D404)=0,"Missing - not in the Ingredients tab",IF(E404="","Add - no quantity",IF(F404="","Add - no unit",IF(K404&lt;&gt;L404,"Check - recipe in "&amp;K404&amp;", priced in "&amp;L404,IF(COUNTIFS($AA$5:$AA$1204,AA404)&gt;1,"Duplicate - same ingredient twice","OK")))))))</f>
        <v>0</v>
      </c>
    </row>
    <row r="405" spans="1:28">
      <c r="A405" s="39">
        <f>IF(D405="","","RL-"&amp;TEXT(ROW()-4,"0000"))</f>
        <v>0</v>
      </c>
      <c r="C405" s="17">
        <f>IF(B405="","",IFERROR(INDEX(Recipes!$B$5:$B$204,MATCH(B405,Recipes!$A$5:$A$204,0)),"Not found"))</f>
        <v>0</v>
      </c>
      <c r="J405" s="45">
        <f>IF(E405="","",IFERROR(E405*INDEX(UnitFactors,MATCH(F405,UnitNames,0)),""))</f>
        <v>0</v>
      </c>
      <c r="K405" s="17">
        <f>IF(F405="","",IFERROR(INDEX(UnitBases,MATCH(F405,UnitNames,0)),"?"))</f>
        <v>0</v>
      </c>
      <c r="L405" s="17">
        <f>IF(D405="","",IFERROR(INDEX(Ingredients!$G$5:$G$304,MATCH(D405,Ingredients!$B$5:$B$304,0)),"Add to Ingredients"))</f>
        <v>0</v>
      </c>
      <c r="M405" s="25">
        <f>IF(D405="","",IFERROR(INDEX(Ingredients!$J$5:$J$304,MATCH(D405,Ingredients!$B$5:$B$304,0)),"Add to Ingredients"))</f>
        <v>0</v>
      </c>
      <c r="N405" s="25">
        <f>IF(OR(J405="",M405="",NOT(ISNUMBER(M405))),"",IF(K405&lt;&gt;L405,"",J405*M405))</f>
        <v>0</v>
      </c>
      <c r="O405" s="25">
        <f>IF(N405="","",IFERROR(N405/INDEX(Recipes!$G$5:$G$204,MATCH(B405,Recipes!$A$5:$A$204,0)),""))</f>
        <v>0</v>
      </c>
      <c r="P405" s="30">
        <f>IF(J405="","",IF(K405="each",J405,J405/100))</f>
        <v>0</v>
      </c>
      <c r="Q405" s="30">
        <f>IFERROR(IF(P405="","",P405*INDEX(Ingredients!$P$5:$P$304,MATCH(D405,Ingredients!$B$5:$B$304,0))),"")</f>
        <v>0</v>
      </c>
      <c r="R405" s="45">
        <f>IFERROR(IF(P405="","",P405*INDEX(Ingredients!$Q$5:$Q$304,MATCH(D405,Ingredients!$B$5:$B$304,0))),"")</f>
        <v>0</v>
      </c>
      <c r="S405" s="45">
        <f>IFERROR(IF(P405="","",P405*INDEX(Ingredients!$R$5:$R$304,MATCH(D405,Ingredients!$B$5:$B$304,0))),"")</f>
        <v>0</v>
      </c>
      <c r="T405" s="45">
        <f>IFERROR(IF(P405="","",P405*INDEX(Ingredients!$S$5:$S$304,MATCH(D405,Ingredients!$B$5:$B$304,0))),"")</f>
        <v>0</v>
      </c>
      <c r="U405" s="45">
        <f>IFERROR(IF(P405="","",P405*INDEX(Ingredients!$T$5:$T$304,MATCH(D405,Ingredients!$B$5:$B$304,0))),"")</f>
        <v>0</v>
      </c>
      <c r="V405" s="17">
        <f>IF(D405="","",IFERROR(INDEX(Ingredients!$W$5:$W$304,MATCH(D405,Ingredients!$B$5:$B$304,0)),"Add to Ingredients"))</f>
        <v>0</v>
      </c>
      <c r="W405" s="17">
        <f>IF(D405="","",IFERROR(INDEX(Ingredients!$C$5:$C$304,MATCH(D405,Ingredients!$B$5:$B$304,0)),"Add to Ingredients"))</f>
        <v>0</v>
      </c>
      <c r="X405" s="45">
        <f>IFERROR(INDEX(Recipes!$AT$5:$AT$204,MATCH(B405,Recipes!$A$5:$A$204,0)),0)</f>
        <v>0</v>
      </c>
      <c r="Y405" s="45">
        <f>IF(OR(J405="",X405=0),"",J405*X405)</f>
        <v>0</v>
      </c>
      <c r="Z405" s="17">
        <f>IF(D405="","",B405&amp;"#"&amp;COUNTIFS($B$5:B405,B405))</f>
        <v>0</v>
      </c>
      <c r="AA405" s="17">
        <f>IF(D405="","",B405&amp;"|"&amp;D405)</f>
        <v>0</v>
      </c>
      <c r="AB405" s="31">
        <f>IF(D405="","",IF(B405="","Add - which recipe?",IF(COUNTIFS(Ingredients!$B$5:$B$304,D405)=0,"Missing - not in the Ingredients tab",IF(E405="","Add - no quantity",IF(F405="","Add - no unit",IF(K405&lt;&gt;L405,"Check - recipe in "&amp;K405&amp;", priced in "&amp;L405,IF(COUNTIFS($AA$5:$AA$1204,AA405)&gt;1,"Duplicate - same ingredient twice","OK")))))))</f>
        <v>0</v>
      </c>
    </row>
    <row r="406" spans="1:28">
      <c r="A406" s="39">
        <f>IF(D406="","","RL-"&amp;TEXT(ROW()-4,"0000"))</f>
        <v>0</v>
      </c>
      <c r="C406" s="17">
        <f>IF(B406="","",IFERROR(INDEX(Recipes!$B$5:$B$204,MATCH(B406,Recipes!$A$5:$A$204,0)),"Not found"))</f>
        <v>0</v>
      </c>
      <c r="J406" s="45">
        <f>IF(E406="","",IFERROR(E406*INDEX(UnitFactors,MATCH(F406,UnitNames,0)),""))</f>
        <v>0</v>
      </c>
      <c r="K406" s="17">
        <f>IF(F406="","",IFERROR(INDEX(UnitBases,MATCH(F406,UnitNames,0)),"?"))</f>
        <v>0</v>
      </c>
      <c r="L406" s="17">
        <f>IF(D406="","",IFERROR(INDEX(Ingredients!$G$5:$G$304,MATCH(D406,Ingredients!$B$5:$B$304,0)),"Add to Ingredients"))</f>
        <v>0</v>
      </c>
      <c r="M406" s="25">
        <f>IF(D406="","",IFERROR(INDEX(Ingredients!$J$5:$J$304,MATCH(D406,Ingredients!$B$5:$B$304,0)),"Add to Ingredients"))</f>
        <v>0</v>
      </c>
      <c r="N406" s="25">
        <f>IF(OR(J406="",M406="",NOT(ISNUMBER(M406))),"",IF(K406&lt;&gt;L406,"",J406*M406))</f>
        <v>0</v>
      </c>
      <c r="O406" s="25">
        <f>IF(N406="","",IFERROR(N406/INDEX(Recipes!$G$5:$G$204,MATCH(B406,Recipes!$A$5:$A$204,0)),""))</f>
        <v>0</v>
      </c>
      <c r="P406" s="30">
        <f>IF(J406="","",IF(K406="each",J406,J406/100))</f>
        <v>0</v>
      </c>
      <c r="Q406" s="30">
        <f>IFERROR(IF(P406="","",P406*INDEX(Ingredients!$P$5:$P$304,MATCH(D406,Ingredients!$B$5:$B$304,0))),"")</f>
        <v>0</v>
      </c>
      <c r="R406" s="45">
        <f>IFERROR(IF(P406="","",P406*INDEX(Ingredients!$Q$5:$Q$304,MATCH(D406,Ingredients!$B$5:$B$304,0))),"")</f>
        <v>0</v>
      </c>
      <c r="S406" s="45">
        <f>IFERROR(IF(P406="","",P406*INDEX(Ingredients!$R$5:$R$304,MATCH(D406,Ingredients!$B$5:$B$304,0))),"")</f>
        <v>0</v>
      </c>
      <c r="T406" s="45">
        <f>IFERROR(IF(P406="","",P406*INDEX(Ingredients!$S$5:$S$304,MATCH(D406,Ingredients!$B$5:$B$304,0))),"")</f>
        <v>0</v>
      </c>
      <c r="U406" s="45">
        <f>IFERROR(IF(P406="","",P406*INDEX(Ingredients!$T$5:$T$304,MATCH(D406,Ingredients!$B$5:$B$304,0))),"")</f>
        <v>0</v>
      </c>
      <c r="V406" s="17">
        <f>IF(D406="","",IFERROR(INDEX(Ingredients!$W$5:$W$304,MATCH(D406,Ingredients!$B$5:$B$304,0)),"Add to Ingredients"))</f>
        <v>0</v>
      </c>
      <c r="W406" s="17">
        <f>IF(D406="","",IFERROR(INDEX(Ingredients!$C$5:$C$304,MATCH(D406,Ingredients!$B$5:$B$304,0)),"Add to Ingredients"))</f>
        <v>0</v>
      </c>
      <c r="X406" s="45">
        <f>IFERROR(INDEX(Recipes!$AT$5:$AT$204,MATCH(B406,Recipes!$A$5:$A$204,0)),0)</f>
        <v>0</v>
      </c>
      <c r="Y406" s="45">
        <f>IF(OR(J406="",X406=0),"",J406*X406)</f>
        <v>0</v>
      </c>
      <c r="Z406" s="17">
        <f>IF(D406="","",B406&amp;"#"&amp;COUNTIFS($B$5:B406,B406))</f>
        <v>0</v>
      </c>
      <c r="AA406" s="17">
        <f>IF(D406="","",B406&amp;"|"&amp;D406)</f>
        <v>0</v>
      </c>
      <c r="AB406" s="31">
        <f>IF(D406="","",IF(B406="","Add - which recipe?",IF(COUNTIFS(Ingredients!$B$5:$B$304,D406)=0,"Missing - not in the Ingredients tab",IF(E406="","Add - no quantity",IF(F406="","Add - no unit",IF(K406&lt;&gt;L406,"Check - recipe in "&amp;K406&amp;", priced in "&amp;L406,IF(COUNTIFS($AA$5:$AA$1204,AA406)&gt;1,"Duplicate - same ingredient twice","OK")))))))</f>
        <v>0</v>
      </c>
    </row>
    <row r="407" spans="1:28">
      <c r="A407" s="39">
        <f>IF(D407="","","RL-"&amp;TEXT(ROW()-4,"0000"))</f>
        <v>0</v>
      </c>
      <c r="C407" s="17">
        <f>IF(B407="","",IFERROR(INDEX(Recipes!$B$5:$B$204,MATCH(B407,Recipes!$A$5:$A$204,0)),"Not found"))</f>
        <v>0</v>
      </c>
      <c r="J407" s="45">
        <f>IF(E407="","",IFERROR(E407*INDEX(UnitFactors,MATCH(F407,UnitNames,0)),""))</f>
        <v>0</v>
      </c>
      <c r="K407" s="17">
        <f>IF(F407="","",IFERROR(INDEX(UnitBases,MATCH(F407,UnitNames,0)),"?"))</f>
        <v>0</v>
      </c>
      <c r="L407" s="17">
        <f>IF(D407="","",IFERROR(INDEX(Ingredients!$G$5:$G$304,MATCH(D407,Ingredients!$B$5:$B$304,0)),"Add to Ingredients"))</f>
        <v>0</v>
      </c>
      <c r="M407" s="25">
        <f>IF(D407="","",IFERROR(INDEX(Ingredients!$J$5:$J$304,MATCH(D407,Ingredients!$B$5:$B$304,0)),"Add to Ingredients"))</f>
        <v>0</v>
      </c>
      <c r="N407" s="25">
        <f>IF(OR(J407="",M407="",NOT(ISNUMBER(M407))),"",IF(K407&lt;&gt;L407,"",J407*M407))</f>
        <v>0</v>
      </c>
      <c r="O407" s="25">
        <f>IF(N407="","",IFERROR(N407/INDEX(Recipes!$G$5:$G$204,MATCH(B407,Recipes!$A$5:$A$204,0)),""))</f>
        <v>0</v>
      </c>
      <c r="P407" s="30">
        <f>IF(J407="","",IF(K407="each",J407,J407/100))</f>
        <v>0</v>
      </c>
      <c r="Q407" s="30">
        <f>IFERROR(IF(P407="","",P407*INDEX(Ingredients!$P$5:$P$304,MATCH(D407,Ingredients!$B$5:$B$304,0))),"")</f>
        <v>0</v>
      </c>
      <c r="R407" s="45">
        <f>IFERROR(IF(P407="","",P407*INDEX(Ingredients!$Q$5:$Q$304,MATCH(D407,Ingredients!$B$5:$B$304,0))),"")</f>
        <v>0</v>
      </c>
      <c r="S407" s="45">
        <f>IFERROR(IF(P407="","",P407*INDEX(Ingredients!$R$5:$R$304,MATCH(D407,Ingredients!$B$5:$B$304,0))),"")</f>
        <v>0</v>
      </c>
      <c r="T407" s="45">
        <f>IFERROR(IF(P407="","",P407*INDEX(Ingredients!$S$5:$S$304,MATCH(D407,Ingredients!$B$5:$B$304,0))),"")</f>
        <v>0</v>
      </c>
      <c r="U407" s="45">
        <f>IFERROR(IF(P407="","",P407*INDEX(Ingredients!$T$5:$T$304,MATCH(D407,Ingredients!$B$5:$B$304,0))),"")</f>
        <v>0</v>
      </c>
      <c r="V407" s="17">
        <f>IF(D407="","",IFERROR(INDEX(Ingredients!$W$5:$W$304,MATCH(D407,Ingredients!$B$5:$B$304,0)),"Add to Ingredients"))</f>
        <v>0</v>
      </c>
      <c r="W407" s="17">
        <f>IF(D407="","",IFERROR(INDEX(Ingredients!$C$5:$C$304,MATCH(D407,Ingredients!$B$5:$B$304,0)),"Add to Ingredients"))</f>
        <v>0</v>
      </c>
      <c r="X407" s="45">
        <f>IFERROR(INDEX(Recipes!$AT$5:$AT$204,MATCH(B407,Recipes!$A$5:$A$204,0)),0)</f>
        <v>0</v>
      </c>
      <c r="Y407" s="45">
        <f>IF(OR(J407="",X407=0),"",J407*X407)</f>
        <v>0</v>
      </c>
      <c r="Z407" s="17">
        <f>IF(D407="","",B407&amp;"#"&amp;COUNTIFS($B$5:B407,B407))</f>
        <v>0</v>
      </c>
      <c r="AA407" s="17">
        <f>IF(D407="","",B407&amp;"|"&amp;D407)</f>
        <v>0</v>
      </c>
      <c r="AB407" s="31">
        <f>IF(D407="","",IF(B407="","Add - which recipe?",IF(COUNTIFS(Ingredients!$B$5:$B$304,D407)=0,"Missing - not in the Ingredients tab",IF(E407="","Add - no quantity",IF(F407="","Add - no unit",IF(K407&lt;&gt;L407,"Check - recipe in "&amp;K407&amp;", priced in "&amp;L407,IF(COUNTIFS($AA$5:$AA$1204,AA407)&gt;1,"Duplicate - same ingredient twice","OK")))))))</f>
        <v>0</v>
      </c>
    </row>
    <row r="408" spans="1:28">
      <c r="A408" s="39">
        <f>IF(D408="","","RL-"&amp;TEXT(ROW()-4,"0000"))</f>
        <v>0</v>
      </c>
      <c r="C408" s="17">
        <f>IF(B408="","",IFERROR(INDEX(Recipes!$B$5:$B$204,MATCH(B408,Recipes!$A$5:$A$204,0)),"Not found"))</f>
        <v>0</v>
      </c>
      <c r="J408" s="45">
        <f>IF(E408="","",IFERROR(E408*INDEX(UnitFactors,MATCH(F408,UnitNames,0)),""))</f>
        <v>0</v>
      </c>
      <c r="K408" s="17">
        <f>IF(F408="","",IFERROR(INDEX(UnitBases,MATCH(F408,UnitNames,0)),"?"))</f>
        <v>0</v>
      </c>
      <c r="L408" s="17">
        <f>IF(D408="","",IFERROR(INDEX(Ingredients!$G$5:$G$304,MATCH(D408,Ingredients!$B$5:$B$304,0)),"Add to Ingredients"))</f>
        <v>0</v>
      </c>
      <c r="M408" s="25">
        <f>IF(D408="","",IFERROR(INDEX(Ingredients!$J$5:$J$304,MATCH(D408,Ingredients!$B$5:$B$304,0)),"Add to Ingredients"))</f>
        <v>0</v>
      </c>
      <c r="N408" s="25">
        <f>IF(OR(J408="",M408="",NOT(ISNUMBER(M408))),"",IF(K408&lt;&gt;L408,"",J408*M408))</f>
        <v>0</v>
      </c>
      <c r="O408" s="25">
        <f>IF(N408="","",IFERROR(N408/INDEX(Recipes!$G$5:$G$204,MATCH(B408,Recipes!$A$5:$A$204,0)),""))</f>
        <v>0</v>
      </c>
      <c r="P408" s="30">
        <f>IF(J408="","",IF(K408="each",J408,J408/100))</f>
        <v>0</v>
      </c>
      <c r="Q408" s="30">
        <f>IFERROR(IF(P408="","",P408*INDEX(Ingredients!$P$5:$P$304,MATCH(D408,Ingredients!$B$5:$B$304,0))),"")</f>
        <v>0</v>
      </c>
      <c r="R408" s="45">
        <f>IFERROR(IF(P408="","",P408*INDEX(Ingredients!$Q$5:$Q$304,MATCH(D408,Ingredients!$B$5:$B$304,0))),"")</f>
        <v>0</v>
      </c>
      <c r="S408" s="45">
        <f>IFERROR(IF(P408="","",P408*INDEX(Ingredients!$R$5:$R$304,MATCH(D408,Ingredients!$B$5:$B$304,0))),"")</f>
        <v>0</v>
      </c>
      <c r="T408" s="45">
        <f>IFERROR(IF(P408="","",P408*INDEX(Ingredients!$S$5:$S$304,MATCH(D408,Ingredients!$B$5:$B$304,0))),"")</f>
        <v>0</v>
      </c>
      <c r="U408" s="45">
        <f>IFERROR(IF(P408="","",P408*INDEX(Ingredients!$T$5:$T$304,MATCH(D408,Ingredients!$B$5:$B$304,0))),"")</f>
        <v>0</v>
      </c>
      <c r="V408" s="17">
        <f>IF(D408="","",IFERROR(INDEX(Ingredients!$W$5:$W$304,MATCH(D408,Ingredients!$B$5:$B$304,0)),"Add to Ingredients"))</f>
        <v>0</v>
      </c>
      <c r="W408" s="17">
        <f>IF(D408="","",IFERROR(INDEX(Ingredients!$C$5:$C$304,MATCH(D408,Ingredients!$B$5:$B$304,0)),"Add to Ingredients"))</f>
        <v>0</v>
      </c>
      <c r="X408" s="45">
        <f>IFERROR(INDEX(Recipes!$AT$5:$AT$204,MATCH(B408,Recipes!$A$5:$A$204,0)),0)</f>
        <v>0</v>
      </c>
      <c r="Y408" s="45">
        <f>IF(OR(J408="",X408=0),"",J408*X408)</f>
        <v>0</v>
      </c>
      <c r="Z408" s="17">
        <f>IF(D408="","",B408&amp;"#"&amp;COUNTIFS($B$5:B408,B408))</f>
        <v>0</v>
      </c>
      <c r="AA408" s="17">
        <f>IF(D408="","",B408&amp;"|"&amp;D408)</f>
        <v>0</v>
      </c>
      <c r="AB408" s="31">
        <f>IF(D408="","",IF(B408="","Add - which recipe?",IF(COUNTIFS(Ingredients!$B$5:$B$304,D408)=0,"Missing - not in the Ingredients tab",IF(E408="","Add - no quantity",IF(F408="","Add - no unit",IF(K408&lt;&gt;L408,"Check - recipe in "&amp;K408&amp;", priced in "&amp;L408,IF(COUNTIFS($AA$5:$AA$1204,AA408)&gt;1,"Duplicate - same ingredient twice","OK")))))))</f>
        <v>0</v>
      </c>
    </row>
    <row r="409" spans="1:28">
      <c r="A409" s="39">
        <f>IF(D409="","","RL-"&amp;TEXT(ROW()-4,"0000"))</f>
        <v>0</v>
      </c>
      <c r="C409" s="17">
        <f>IF(B409="","",IFERROR(INDEX(Recipes!$B$5:$B$204,MATCH(B409,Recipes!$A$5:$A$204,0)),"Not found"))</f>
        <v>0</v>
      </c>
      <c r="J409" s="45">
        <f>IF(E409="","",IFERROR(E409*INDEX(UnitFactors,MATCH(F409,UnitNames,0)),""))</f>
        <v>0</v>
      </c>
      <c r="K409" s="17">
        <f>IF(F409="","",IFERROR(INDEX(UnitBases,MATCH(F409,UnitNames,0)),"?"))</f>
        <v>0</v>
      </c>
      <c r="L409" s="17">
        <f>IF(D409="","",IFERROR(INDEX(Ingredients!$G$5:$G$304,MATCH(D409,Ingredients!$B$5:$B$304,0)),"Add to Ingredients"))</f>
        <v>0</v>
      </c>
      <c r="M409" s="25">
        <f>IF(D409="","",IFERROR(INDEX(Ingredients!$J$5:$J$304,MATCH(D409,Ingredients!$B$5:$B$304,0)),"Add to Ingredients"))</f>
        <v>0</v>
      </c>
      <c r="N409" s="25">
        <f>IF(OR(J409="",M409="",NOT(ISNUMBER(M409))),"",IF(K409&lt;&gt;L409,"",J409*M409))</f>
        <v>0</v>
      </c>
      <c r="O409" s="25">
        <f>IF(N409="","",IFERROR(N409/INDEX(Recipes!$G$5:$G$204,MATCH(B409,Recipes!$A$5:$A$204,0)),""))</f>
        <v>0</v>
      </c>
      <c r="P409" s="30">
        <f>IF(J409="","",IF(K409="each",J409,J409/100))</f>
        <v>0</v>
      </c>
      <c r="Q409" s="30">
        <f>IFERROR(IF(P409="","",P409*INDEX(Ingredients!$P$5:$P$304,MATCH(D409,Ingredients!$B$5:$B$304,0))),"")</f>
        <v>0</v>
      </c>
      <c r="R409" s="45">
        <f>IFERROR(IF(P409="","",P409*INDEX(Ingredients!$Q$5:$Q$304,MATCH(D409,Ingredients!$B$5:$B$304,0))),"")</f>
        <v>0</v>
      </c>
      <c r="S409" s="45">
        <f>IFERROR(IF(P409="","",P409*INDEX(Ingredients!$R$5:$R$304,MATCH(D409,Ingredients!$B$5:$B$304,0))),"")</f>
        <v>0</v>
      </c>
      <c r="T409" s="45">
        <f>IFERROR(IF(P409="","",P409*INDEX(Ingredients!$S$5:$S$304,MATCH(D409,Ingredients!$B$5:$B$304,0))),"")</f>
        <v>0</v>
      </c>
      <c r="U409" s="45">
        <f>IFERROR(IF(P409="","",P409*INDEX(Ingredients!$T$5:$T$304,MATCH(D409,Ingredients!$B$5:$B$304,0))),"")</f>
        <v>0</v>
      </c>
      <c r="V409" s="17">
        <f>IF(D409="","",IFERROR(INDEX(Ingredients!$W$5:$W$304,MATCH(D409,Ingredients!$B$5:$B$304,0)),"Add to Ingredients"))</f>
        <v>0</v>
      </c>
      <c r="W409" s="17">
        <f>IF(D409="","",IFERROR(INDEX(Ingredients!$C$5:$C$304,MATCH(D409,Ingredients!$B$5:$B$304,0)),"Add to Ingredients"))</f>
        <v>0</v>
      </c>
      <c r="X409" s="45">
        <f>IFERROR(INDEX(Recipes!$AT$5:$AT$204,MATCH(B409,Recipes!$A$5:$A$204,0)),0)</f>
        <v>0</v>
      </c>
      <c r="Y409" s="45">
        <f>IF(OR(J409="",X409=0),"",J409*X409)</f>
        <v>0</v>
      </c>
      <c r="Z409" s="17">
        <f>IF(D409="","",B409&amp;"#"&amp;COUNTIFS($B$5:B409,B409))</f>
        <v>0</v>
      </c>
      <c r="AA409" s="17">
        <f>IF(D409="","",B409&amp;"|"&amp;D409)</f>
        <v>0</v>
      </c>
      <c r="AB409" s="31">
        <f>IF(D409="","",IF(B409="","Add - which recipe?",IF(COUNTIFS(Ingredients!$B$5:$B$304,D409)=0,"Missing - not in the Ingredients tab",IF(E409="","Add - no quantity",IF(F409="","Add - no unit",IF(K409&lt;&gt;L409,"Check - recipe in "&amp;K409&amp;", priced in "&amp;L409,IF(COUNTIFS($AA$5:$AA$1204,AA409)&gt;1,"Duplicate - same ingredient twice","OK")))))))</f>
        <v>0</v>
      </c>
    </row>
    <row r="410" spans="1:28">
      <c r="A410" s="39">
        <f>IF(D410="","","RL-"&amp;TEXT(ROW()-4,"0000"))</f>
        <v>0</v>
      </c>
      <c r="C410" s="17">
        <f>IF(B410="","",IFERROR(INDEX(Recipes!$B$5:$B$204,MATCH(B410,Recipes!$A$5:$A$204,0)),"Not found"))</f>
        <v>0</v>
      </c>
      <c r="J410" s="45">
        <f>IF(E410="","",IFERROR(E410*INDEX(UnitFactors,MATCH(F410,UnitNames,0)),""))</f>
        <v>0</v>
      </c>
      <c r="K410" s="17">
        <f>IF(F410="","",IFERROR(INDEX(UnitBases,MATCH(F410,UnitNames,0)),"?"))</f>
        <v>0</v>
      </c>
      <c r="L410" s="17">
        <f>IF(D410="","",IFERROR(INDEX(Ingredients!$G$5:$G$304,MATCH(D410,Ingredients!$B$5:$B$304,0)),"Add to Ingredients"))</f>
        <v>0</v>
      </c>
      <c r="M410" s="25">
        <f>IF(D410="","",IFERROR(INDEX(Ingredients!$J$5:$J$304,MATCH(D410,Ingredients!$B$5:$B$304,0)),"Add to Ingredients"))</f>
        <v>0</v>
      </c>
      <c r="N410" s="25">
        <f>IF(OR(J410="",M410="",NOT(ISNUMBER(M410))),"",IF(K410&lt;&gt;L410,"",J410*M410))</f>
        <v>0</v>
      </c>
      <c r="O410" s="25">
        <f>IF(N410="","",IFERROR(N410/INDEX(Recipes!$G$5:$G$204,MATCH(B410,Recipes!$A$5:$A$204,0)),""))</f>
        <v>0</v>
      </c>
      <c r="P410" s="30">
        <f>IF(J410="","",IF(K410="each",J410,J410/100))</f>
        <v>0</v>
      </c>
      <c r="Q410" s="30">
        <f>IFERROR(IF(P410="","",P410*INDEX(Ingredients!$P$5:$P$304,MATCH(D410,Ingredients!$B$5:$B$304,0))),"")</f>
        <v>0</v>
      </c>
      <c r="R410" s="45">
        <f>IFERROR(IF(P410="","",P410*INDEX(Ingredients!$Q$5:$Q$304,MATCH(D410,Ingredients!$B$5:$B$304,0))),"")</f>
        <v>0</v>
      </c>
      <c r="S410" s="45">
        <f>IFERROR(IF(P410="","",P410*INDEX(Ingredients!$R$5:$R$304,MATCH(D410,Ingredients!$B$5:$B$304,0))),"")</f>
        <v>0</v>
      </c>
      <c r="T410" s="45">
        <f>IFERROR(IF(P410="","",P410*INDEX(Ingredients!$S$5:$S$304,MATCH(D410,Ingredients!$B$5:$B$304,0))),"")</f>
        <v>0</v>
      </c>
      <c r="U410" s="45">
        <f>IFERROR(IF(P410="","",P410*INDEX(Ingredients!$T$5:$T$304,MATCH(D410,Ingredients!$B$5:$B$304,0))),"")</f>
        <v>0</v>
      </c>
      <c r="V410" s="17">
        <f>IF(D410="","",IFERROR(INDEX(Ingredients!$W$5:$W$304,MATCH(D410,Ingredients!$B$5:$B$304,0)),"Add to Ingredients"))</f>
        <v>0</v>
      </c>
      <c r="W410" s="17">
        <f>IF(D410="","",IFERROR(INDEX(Ingredients!$C$5:$C$304,MATCH(D410,Ingredients!$B$5:$B$304,0)),"Add to Ingredients"))</f>
        <v>0</v>
      </c>
      <c r="X410" s="45">
        <f>IFERROR(INDEX(Recipes!$AT$5:$AT$204,MATCH(B410,Recipes!$A$5:$A$204,0)),0)</f>
        <v>0</v>
      </c>
      <c r="Y410" s="45">
        <f>IF(OR(J410="",X410=0),"",J410*X410)</f>
        <v>0</v>
      </c>
      <c r="Z410" s="17">
        <f>IF(D410="","",B410&amp;"#"&amp;COUNTIFS($B$5:B410,B410))</f>
        <v>0</v>
      </c>
      <c r="AA410" s="17">
        <f>IF(D410="","",B410&amp;"|"&amp;D410)</f>
        <v>0</v>
      </c>
      <c r="AB410" s="31">
        <f>IF(D410="","",IF(B410="","Add - which recipe?",IF(COUNTIFS(Ingredients!$B$5:$B$304,D410)=0,"Missing - not in the Ingredients tab",IF(E410="","Add - no quantity",IF(F410="","Add - no unit",IF(K410&lt;&gt;L410,"Check - recipe in "&amp;K410&amp;", priced in "&amp;L410,IF(COUNTIFS($AA$5:$AA$1204,AA410)&gt;1,"Duplicate - same ingredient twice","OK")))))))</f>
        <v>0</v>
      </c>
    </row>
    <row r="411" spans="1:28">
      <c r="A411" s="39">
        <f>IF(D411="","","RL-"&amp;TEXT(ROW()-4,"0000"))</f>
        <v>0</v>
      </c>
      <c r="C411" s="17">
        <f>IF(B411="","",IFERROR(INDEX(Recipes!$B$5:$B$204,MATCH(B411,Recipes!$A$5:$A$204,0)),"Not found"))</f>
        <v>0</v>
      </c>
      <c r="J411" s="45">
        <f>IF(E411="","",IFERROR(E411*INDEX(UnitFactors,MATCH(F411,UnitNames,0)),""))</f>
        <v>0</v>
      </c>
      <c r="K411" s="17">
        <f>IF(F411="","",IFERROR(INDEX(UnitBases,MATCH(F411,UnitNames,0)),"?"))</f>
        <v>0</v>
      </c>
      <c r="L411" s="17">
        <f>IF(D411="","",IFERROR(INDEX(Ingredients!$G$5:$G$304,MATCH(D411,Ingredients!$B$5:$B$304,0)),"Add to Ingredients"))</f>
        <v>0</v>
      </c>
      <c r="M411" s="25">
        <f>IF(D411="","",IFERROR(INDEX(Ingredients!$J$5:$J$304,MATCH(D411,Ingredients!$B$5:$B$304,0)),"Add to Ingredients"))</f>
        <v>0</v>
      </c>
      <c r="N411" s="25">
        <f>IF(OR(J411="",M411="",NOT(ISNUMBER(M411))),"",IF(K411&lt;&gt;L411,"",J411*M411))</f>
        <v>0</v>
      </c>
      <c r="O411" s="25">
        <f>IF(N411="","",IFERROR(N411/INDEX(Recipes!$G$5:$G$204,MATCH(B411,Recipes!$A$5:$A$204,0)),""))</f>
        <v>0</v>
      </c>
      <c r="P411" s="30">
        <f>IF(J411="","",IF(K411="each",J411,J411/100))</f>
        <v>0</v>
      </c>
      <c r="Q411" s="30">
        <f>IFERROR(IF(P411="","",P411*INDEX(Ingredients!$P$5:$P$304,MATCH(D411,Ingredients!$B$5:$B$304,0))),"")</f>
        <v>0</v>
      </c>
      <c r="R411" s="45">
        <f>IFERROR(IF(P411="","",P411*INDEX(Ingredients!$Q$5:$Q$304,MATCH(D411,Ingredients!$B$5:$B$304,0))),"")</f>
        <v>0</v>
      </c>
      <c r="S411" s="45">
        <f>IFERROR(IF(P411="","",P411*INDEX(Ingredients!$R$5:$R$304,MATCH(D411,Ingredients!$B$5:$B$304,0))),"")</f>
        <v>0</v>
      </c>
      <c r="T411" s="45">
        <f>IFERROR(IF(P411="","",P411*INDEX(Ingredients!$S$5:$S$304,MATCH(D411,Ingredients!$B$5:$B$304,0))),"")</f>
        <v>0</v>
      </c>
      <c r="U411" s="45">
        <f>IFERROR(IF(P411="","",P411*INDEX(Ingredients!$T$5:$T$304,MATCH(D411,Ingredients!$B$5:$B$304,0))),"")</f>
        <v>0</v>
      </c>
      <c r="V411" s="17">
        <f>IF(D411="","",IFERROR(INDEX(Ingredients!$W$5:$W$304,MATCH(D411,Ingredients!$B$5:$B$304,0)),"Add to Ingredients"))</f>
        <v>0</v>
      </c>
      <c r="W411" s="17">
        <f>IF(D411="","",IFERROR(INDEX(Ingredients!$C$5:$C$304,MATCH(D411,Ingredients!$B$5:$B$304,0)),"Add to Ingredients"))</f>
        <v>0</v>
      </c>
      <c r="X411" s="45">
        <f>IFERROR(INDEX(Recipes!$AT$5:$AT$204,MATCH(B411,Recipes!$A$5:$A$204,0)),0)</f>
        <v>0</v>
      </c>
      <c r="Y411" s="45">
        <f>IF(OR(J411="",X411=0),"",J411*X411)</f>
        <v>0</v>
      </c>
      <c r="Z411" s="17">
        <f>IF(D411="","",B411&amp;"#"&amp;COUNTIFS($B$5:B411,B411))</f>
        <v>0</v>
      </c>
      <c r="AA411" s="17">
        <f>IF(D411="","",B411&amp;"|"&amp;D411)</f>
        <v>0</v>
      </c>
      <c r="AB411" s="31">
        <f>IF(D411="","",IF(B411="","Add - which recipe?",IF(COUNTIFS(Ingredients!$B$5:$B$304,D411)=0,"Missing - not in the Ingredients tab",IF(E411="","Add - no quantity",IF(F411="","Add - no unit",IF(K411&lt;&gt;L411,"Check - recipe in "&amp;K411&amp;", priced in "&amp;L411,IF(COUNTIFS($AA$5:$AA$1204,AA411)&gt;1,"Duplicate - same ingredient twice","OK")))))))</f>
        <v>0</v>
      </c>
    </row>
    <row r="412" spans="1:28">
      <c r="A412" s="39">
        <f>IF(D412="","","RL-"&amp;TEXT(ROW()-4,"0000"))</f>
        <v>0</v>
      </c>
      <c r="C412" s="17">
        <f>IF(B412="","",IFERROR(INDEX(Recipes!$B$5:$B$204,MATCH(B412,Recipes!$A$5:$A$204,0)),"Not found"))</f>
        <v>0</v>
      </c>
      <c r="J412" s="45">
        <f>IF(E412="","",IFERROR(E412*INDEX(UnitFactors,MATCH(F412,UnitNames,0)),""))</f>
        <v>0</v>
      </c>
      <c r="K412" s="17">
        <f>IF(F412="","",IFERROR(INDEX(UnitBases,MATCH(F412,UnitNames,0)),"?"))</f>
        <v>0</v>
      </c>
      <c r="L412" s="17">
        <f>IF(D412="","",IFERROR(INDEX(Ingredients!$G$5:$G$304,MATCH(D412,Ingredients!$B$5:$B$304,0)),"Add to Ingredients"))</f>
        <v>0</v>
      </c>
      <c r="M412" s="25">
        <f>IF(D412="","",IFERROR(INDEX(Ingredients!$J$5:$J$304,MATCH(D412,Ingredients!$B$5:$B$304,0)),"Add to Ingredients"))</f>
        <v>0</v>
      </c>
      <c r="N412" s="25">
        <f>IF(OR(J412="",M412="",NOT(ISNUMBER(M412))),"",IF(K412&lt;&gt;L412,"",J412*M412))</f>
        <v>0</v>
      </c>
      <c r="O412" s="25">
        <f>IF(N412="","",IFERROR(N412/INDEX(Recipes!$G$5:$G$204,MATCH(B412,Recipes!$A$5:$A$204,0)),""))</f>
        <v>0</v>
      </c>
      <c r="P412" s="30">
        <f>IF(J412="","",IF(K412="each",J412,J412/100))</f>
        <v>0</v>
      </c>
      <c r="Q412" s="30">
        <f>IFERROR(IF(P412="","",P412*INDEX(Ingredients!$P$5:$P$304,MATCH(D412,Ingredients!$B$5:$B$304,0))),"")</f>
        <v>0</v>
      </c>
      <c r="R412" s="45">
        <f>IFERROR(IF(P412="","",P412*INDEX(Ingredients!$Q$5:$Q$304,MATCH(D412,Ingredients!$B$5:$B$304,0))),"")</f>
        <v>0</v>
      </c>
      <c r="S412" s="45">
        <f>IFERROR(IF(P412="","",P412*INDEX(Ingredients!$R$5:$R$304,MATCH(D412,Ingredients!$B$5:$B$304,0))),"")</f>
        <v>0</v>
      </c>
      <c r="T412" s="45">
        <f>IFERROR(IF(P412="","",P412*INDEX(Ingredients!$S$5:$S$304,MATCH(D412,Ingredients!$B$5:$B$304,0))),"")</f>
        <v>0</v>
      </c>
      <c r="U412" s="45">
        <f>IFERROR(IF(P412="","",P412*INDEX(Ingredients!$T$5:$T$304,MATCH(D412,Ingredients!$B$5:$B$304,0))),"")</f>
        <v>0</v>
      </c>
      <c r="V412" s="17">
        <f>IF(D412="","",IFERROR(INDEX(Ingredients!$W$5:$W$304,MATCH(D412,Ingredients!$B$5:$B$304,0)),"Add to Ingredients"))</f>
        <v>0</v>
      </c>
      <c r="W412" s="17">
        <f>IF(D412="","",IFERROR(INDEX(Ingredients!$C$5:$C$304,MATCH(D412,Ingredients!$B$5:$B$304,0)),"Add to Ingredients"))</f>
        <v>0</v>
      </c>
      <c r="X412" s="45">
        <f>IFERROR(INDEX(Recipes!$AT$5:$AT$204,MATCH(B412,Recipes!$A$5:$A$204,0)),0)</f>
        <v>0</v>
      </c>
      <c r="Y412" s="45">
        <f>IF(OR(J412="",X412=0),"",J412*X412)</f>
        <v>0</v>
      </c>
      <c r="Z412" s="17">
        <f>IF(D412="","",B412&amp;"#"&amp;COUNTIFS($B$5:B412,B412))</f>
        <v>0</v>
      </c>
      <c r="AA412" s="17">
        <f>IF(D412="","",B412&amp;"|"&amp;D412)</f>
        <v>0</v>
      </c>
      <c r="AB412" s="31">
        <f>IF(D412="","",IF(B412="","Add - which recipe?",IF(COUNTIFS(Ingredients!$B$5:$B$304,D412)=0,"Missing - not in the Ingredients tab",IF(E412="","Add - no quantity",IF(F412="","Add - no unit",IF(K412&lt;&gt;L412,"Check - recipe in "&amp;K412&amp;", priced in "&amp;L412,IF(COUNTIFS($AA$5:$AA$1204,AA412)&gt;1,"Duplicate - same ingredient twice","OK")))))))</f>
        <v>0</v>
      </c>
    </row>
    <row r="413" spans="1:28">
      <c r="A413" s="39">
        <f>IF(D413="","","RL-"&amp;TEXT(ROW()-4,"0000"))</f>
        <v>0</v>
      </c>
      <c r="C413" s="17">
        <f>IF(B413="","",IFERROR(INDEX(Recipes!$B$5:$B$204,MATCH(B413,Recipes!$A$5:$A$204,0)),"Not found"))</f>
        <v>0</v>
      </c>
      <c r="J413" s="45">
        <f>IF(E413="","",IFERROR(E413*INDEX(UnitFactors,MATCH(F413,UnitNames,0)),""))</f>
        <v>0</v>
      </c>
      <c r="K413" s="17">
        <f>IF(F413="","",IFERROR(INDEX(UnitBases,MATCH(F413,UnitNames,0)),"?"))</f>
        <v>0</v>
      </c>
      <c r="L413" s="17">
        <f>IF(D413="","",IFERROR(INDEX(Ingredients!$G$5:$G$304,MATCH(D413,Ingredients!$B$5:$B$304,0)),"Add to Ingredients"))</f>
        <v>0</v>
      </c>
      <c r="M413" s="25">
        <f>IF(D413="","",IFERROR(INDEX(Ingredients!$J$5:$J$304,MATCH(D413,Ingredients!$B$5:$B$304,0)),"Add to Ingredients"))</f>
        <v>0</v>
      </c>
      <c r="N413" s="25">
        <f>IF(OR(J413="",M413="",NOT(ISNUMBER(M413))),"",IF(K413&lt;&gt;L413,"",J413*M413))</f>
        <v>0</v>
      </c>
      <c r="O413" s="25">
        <f>IF(N413="","",IFERROR(N413/INDEX(Recipes!$G$5:$G$204,MATCH(B413,Recipes!$A$5:$A$204,0)),""))</f>
        <v>0</v>
      </c>
      <c r="P413" s="30">
        <f>IF(J413="","",IF(K413="each",J413,J413/100))</f>
        <v>0</v>
      </c>
      <c r="Q413" s="30">
        <f>IFERROR(IF(P413="","",P413*INDEX(Ingredients!$P$5:$P$304,MATCH(D413,Ingredients!$B$5:$B$304,0))),"")</f>
        <v>0</v>
      </c>
      <c r="R413" s="45">
        <f>IFERROR(IF(P413="","",P413*INDEX(Ingredients!$Q$5:$Q$304,MATCH(D413,Ingredients!$B$5:$B$304,0))),"")</f>
        <v>0</v>
      </c>
      <c r="S413" s="45">
        <f>IFERROR(IF(P413="","",P413*INDEX(Ingredients!$R$5:$R$304,MATCH(D413,Ingredients!$B$5:$B$304,0))),"")</f>
        <v>0</v>
      </c>
      <c r="T413" s="45">
        <f>IFERROR(IF(P413="","",P413*INDEX(Ingredients!$S$5:$S$304,MATCH(D413,Ingredients!$B$5:$B$304,0))),"")</f>
        <v>0</v>
      </c>
      <c r="U413" s="45">
        <f>IFERROR(IF(P413="","",P413*INDEX(Ingredients!$T$5:$T$304,MATCH(D413,Ingredients!$B$5:$B$304,0))),"")</f>
        <v>0</v>
      </c>
      <c r="V413" s="17">
        <f>IF(D413="","",IFERROR(INDEX(Ingredients!$W$5:$W$304,MATCH(D413,Ingredients!$B$5:$B$304,0)),"Add to Ingredients"))</f>
        <v>0</v>
      </c>
      <c r="W413" s="17">
        <f>IF(D413="","",IFERROR(INDEX(Ingredients!$C$5:$C$304,MATCH(D413,Ingredients!$B$5:$B$304,0)),"Add to Ingredients"))</f>
        <v>0</v>
      </c>
      <c r="X413" s="45">
        <f>IFERROR(INDEX(Recipes!$AT$5:$AT$204,MATCH(B413,Recipes!$A$5:$A$204,0)),0)</f>
        <v>0</v>
      </c>
      <c r="Y413" s="45">
        <f>IF(OR(J413="",X413=0),"",J413*X413)</f>
        <v>0</v>
      </c>
      <c r="Z413" s="17">
        <f>IF(D413="","",B413&amp;"#"&amp;COUNTIFS($B$5:B413,B413))</f>
        <v>0</v>
      </c>
      <c r="AA413" s="17">
        <f>IF(D413="","",B413&amp;"|"&amp;D413)</f>
        <v>0</v>
      </c>
      <c r="AB413" s="31">
        <f>IF(D413="","",IF(B413="","Add - which recipe?",IF(COUNTIFS(Ingredients!$B$5:$B$304,D413)=0,"Missing - not in the Ingredients tab",IF(E413="","Add - no quantity",IF(F413="","Add - no unit",IF(K413&lt;&gt;L413,"Check - recipe in "&amp;K413&amp;", priced in "&amp;L413,IF(COUNTIFS($AA$5:$AA$1204,AA413)&gt;1,"Duplicate - same ingredient twice","OK")))))))</f>
        <v>0</v>
      </c>
    </row>
    <row r="414" spans="1:28">
      <c r="A414" s="39">
        <f>IF(D414="","","RL-"&amp;TEXT(ROW()-4,"0000"))</f>
        <v>0</v>
      </c>
      <c r="C414" s="17">
        <f>IF(B414="","",IFERROR(INDEX(Recipes!$B$5:$B$204,MATCH(B414,Recipes!$A$5:$A$204,0)),"Not found"))</f>
        <v>0</v>
      </c>
      <c r="J414" s="45">
        <f>IF(E414="","",IFERROR(E414*INDEX(UnitFactors,MATCH(F414,UnitNames,0)),""))</f>
        <v>0</v>
      </c>
      <c r="K414" s="17">
        <f>IF(F414="","",IFERROR(INDEX(UnitBases,MATCH(F414,UnitNames,0)),"?"))</f>
        <v>0</v>
      </c>
      <c r="L414" s="17">
        <f>IF(D414="","",IFERROR(INDEX(Ingredients!$G$5:$G$304,MATCH(D414,Ingredients!$B$5:$B$304,0)),"Add to Ingredients"))</f>
        <v>0</v>
      </c>
      <c r="M414" s="25">
        <f>IF(D414="","",IFERROR(INDEX(Ingredients!$J$5:$J$304,MATCH(D414,Ingredients!$B$5:$B$304,0)),"Add to Ingredients"))</f>
        <v>0</v>
      </c>
      <c r="N414" s="25">
        <f>IF(OR(J414="",M414="",NOT(ISNUMBER(M414))),"",IF(K414&lt;&gt;L414,"",J414*M414))</f>
        <v>0</v>
      </c>
      <c r="O414" s="25">
        <f>IF(N414="","",IFERROR(N414/INDEX(Recipes!$G$5:$G$204,MATCH(B414,Recipes!$A$5:$A$204,0)),""))</f>
        <v>0</v>
      </c>
      <c r="P414" s="30">
        <f>IF(J414="","",IF(K414="each",J414,J414/100))</f>
        <v>0</v>
      </c>
      <c r="Q414" s="30">
        <f>IFERROR(IF(P414="","",P414*INDEX(Ingredients!$P$5:$P$304,MATCH(D414,Ingredients!$B$5:$B$304,0))),"")</f>
        <v>0</v>
      </c>
      <c r="R414" s="45">
        <f>IFERROR(IF(P414="","",P414*INDEX(Ingredients!$Q$5:$Q$304,MATCH(D414,Ingredients!$B$5:$B$304,0))),"")</f>
        <v>0</v>
      </c>
      <c r="S414" s="45">
        <f>IFERROR(IF(P414="","",P414*INDEX(Ingredients!$R$5:$R$304,MATCH(D414,Ingredients!$B$5:$B$304,0))),"")</f>
        <v>0</v>
      </c>
      <c r="T414" s="45">
        <f>IFERROR(IF(P414="","",P414*INDEX(Ingredients!$S$5:$S$304,MATCH(D414,Ingredients!$B$5:$B$304,0))),"")</f>
        <v>0</v>
      </c>
      <c r="U414" s="45">
        <f>IFERROR(IF(P414="","",P414*INDEX(Ingredients!$T$5:$T$304,MATCH(D414,Ingredients!$B$5:$B$304,0))),"")</f>
        <v>0</v>
      </c>
      <c r="V414" s="17">
        <f>IF(D414="","",IFERROR(INDEX(Ingredients!$W$5:$W$304,MATCH(D414,Ingredients!$B$5:$B$304,0)),"Add to Ingredients"))</f>
        <v>0</v>
      </c>
      <c r="W414" s="17">
        <f>IF(D414="","",IFERROR(INDEX(Ingredients!$C$5:$C$304,MATCH(D414,Ingredients!$B$5:$B$304,0)),"Add to Ingredients"))</f>
        <v>0</v>
      </c>
      <c r="X414" s="45">
        <f>IFERROR(INDEX(Recipes!$AT$5:$AT$204,MATCH(B414,Recipes!$A$5:$A$204,0)),0)</f>
        <v>0</v>
      </c>
      <c r="Y414" s="45">
        <f>IF(OR(J414="",X414=0),"",J414*X414)</f>
        <v>0</v>
      </c>
      <c r="Z414" s="17">
        <f>IF(D414="","",B414&amp;"#"&amp;COUNTIFS($B$5:B414,B414))</f>
        <v>0</v>
      </c>
      <c r="AA414" s="17">
        <f>IF(D414="","",B414&amp;"|"&amp;D414)</f>
        <v>0</v>
      </c>
      <c r="AB414" s="31">
        <f>IF(D414="","",IF(B414="","Add - which recipe?",IF(COUNTIFS(Ingredients!$B$5:$B$304,D414)=0,"Missing - not in the Ingredients tab",IF(E414="","Add - no quantity",IF(F414="","Add - no unit",IF(K414&lt;&gt;L414,"Check - recipe in "&amp;K414&amp;", priced in "&amp;L414,IF(COUNTIFS($AA$5:$AA$1204,AA414)&gt;1,"Duplicate - same ingredient twice","OK")))))))</f>
        <v>0</v>
      </c>
    </row>
    <row r="415" spans="1:28">
      <c r="A415" s="39">
        <f>IF(D415="","","RL-"&amp;TEXT(ROW()-4,"0000"))</f>
        <v>0</v>
      </c>
      <c r="C415" s="17">
        <f>IF(B415="","",IFERROR(INDEX(Recipes!$B$5:$B$204,MATCH(B415,Recipes!$A$5:$A$204,0)),"Not found"))</f>
        <v>0</v>
      </c>
      <c r="J415" s="45">
        <f>IF(E415="","",IFERROR(E415*INDEX(UnitFactors,MATCH(F415,UnitNames,0)),""))</f>
        <v>0</v>
      </c>
      <c r="K415" s="17">
        <f>IF(F415="","",IFERROR(INDEX(UnitBases,MATCH(F415,UnitNames,0)),"?"))</f>
        <v>0</v>
      </c>
      <c r="L415" s="17">
        <f>IF(D415="","",IFERROR(INDEX(Ingredients!$G$5:$G$304,MATCH(D415,Ingredients!$B$5:$B$304,0)),"Add to Ingredients"))</f>
        <v>0</v>
      </c>
      <c r="M415" s="25">
        <f>IF(D415="","",IFERROR(INDEX(Ingredients!$J$5:$J$304,MATCH(D415,Ingredients!$B$5:$B$304,0)),"Add to Ingredients"))</f>
        <v>0</v>
      </c>
      <c r="N415" s="25">
        <f>IF(OR(J415="",M415="",NOT(ISNUMBER(M415))),"",IF(K415&lt;&gt;L415,"",J415*M415))</f>
        <v>0</v>
      </c>
      <c r="O415" s="25">
        <f>IF(N415="","",IFERROR(N415/INDEX(Recipes!$G$5:$G$204,MATCH(B415,Recipes!$A$5:$A$204,0)),""))</f>
        <v>0</v>
      </c>
      <c r="P415" s="30">
        <f>IF(J415="","",IF(K415="each",J415,J415/100))</f>
        <v>0</v>
      </c>
      <c r="Q415" s="30">
        <f>IFERROR(IF(P415="","",P415*INDEX(Ingredients!$P$5:$P$304,MATCH(D415,Ingredients!$B$5:$B$304,0))),"")</f>
        <v>0</v>
      </c>
      <c r="R415" s="45">
        <f>IFERROR(IF(P415="","",P415*INDEX(Ingredients!$Q$5:$Q$304,MATCH(D415,Ingredients!$B$5:$B$304,0))),"")</f>
        <v>0</v>
      </c>
      <c r="S415" s="45">
        <f>IFERROR(IF(P415="","",P415*INDEX(Ingredients!$R$5:$R$304,MATCH(D415,Ingredients!$B$5:$B$304,0))),"")</f>
        <v>0</v>
      </c>
      <c r="T415" s="45">
        <f>IFERROR(IF(P415="","",P415*INDEX(Ingredients!$S$5:$S$304,MATCH(D415,Ingredients!$B$5:$B$304,0))),"")</f>
        <v>0</v>
      </c>
      <c r="U415" s="45">
        <f>IFERROR(IF(P415="","",P415*INDEX(Ingredients!$T$5:$T$304,MATCH(D415,Ingredients!$B$5:$B$304,0))),"")</f>
        <v>0</v>
      </c>
      <c r="V415" s="17">
        <f>IF(D415="","",IFERROR(INDEX(Ingredients!$W$5:$W$304,MATCH(D415,Ingredients!$B$5:$B$304,0)),"Add to Ingredients"))</f>
        <v>0</v>
      </c>
      <c r="W415" s="17">
        <f>IF(D415="","",IFERROR(INDEX(Ingredients!$C$5:$C$304,MATCH(D415,Ingredients!$B$5:$B$304,0)),"Add to Ingredients"))</f>
        <v>0</v>
      </c>
      <c r="X415" s="45">
        <f>IFERROR(INDEX(Recipes!$AT$5:$AT$204,MATCH(B415,Recipes!$A$5:$A$204,0)),0)</f>
        <v>0</v>
      </c>
      <c r="Y415" s="45">
        <f>IF(OR(J415="",X415=0),"",J415*X415)</f>
        <v>0</v>
      </c>
      <c r="Z415" s="17">
        <f>IF(D415="","",B415&amp;"#"&amp;COUNTIFS($B$5:B415,B415))</f>
        <v>0</v>
      </c>
      <c r="AA415" s="17">
        <f>IF(D415="","",B415&amp;"|"&amp;D415)</f>
        <v>0</v>
      </c>
      <c r="AB415" s="31">
        <f>IF(D415="","",IF(B415="","Add - which recipe?",IF(COUNTIFS(Ingredients!$B$5:$B$304,D415)=0,"Missing - not in the Ingredients tab",IF(E415="","Add - no quantity",IF(F415="","Add - no unit",IF(K415&lt;&gt;L415,"Check - recipe in "&amp;K415&amp;", priced in "&amp;L415,IF(COUNTIFS($AA$5:$AA$1204,AA415)&gt;1,"Duplicate - same ingredient twice","OK")))))))</f>
        <v>0</v>
      </c>
    </row>
    <row r="416" spans="1:28">
      <c r="A416" s="39">
        <f>IF(D416="","","RL-"&amp;TEXT(ROW()-4,"0000"))</f>
        <v>0</v>
      </c>
      <c r="C416" s="17">
        <f>IF(B416="","",IFERROR(INDEX(Recipes!$B$5:$B$204,MATCH(B416,Recipes!$A$5:$A$204,0)),"Not found"))</f>
        <v>0</v>
      </c>
      <c r="J416" s="45">
        <f>IF(E416="","",IFERROR(E416*INDEX(UnitFactors,MATCH(F416,UnitNames,0)),""))</f>
        <v>0</v>
      </c>
      <c r="K416" s="17">
        <f>IF(F416="","",IFERROR(INDEX(UnitBases,MATCH(F416,UnitNames,0)),"?"))</f>
        <v>0</v>
      </c>
      <c r="L416" s="17">
        <f>IF(D416="","",IFERROR(INDEX(Ingredients!$G$5:$G$304,MATCH(D416,Ingredients!$B$5:$B$304,0)),"Add to Ingredients"))</f>
        <v>0</v>
      </c>
      <c r="M416" s="25">
        <f>IF(D416="","",IFERROR(INDEX(Ingredients!$J$5:$J$304,MATCH(D416,Ingredients!$B$5:$B$304,0)),"Add to Ingredients"))</f>
        <v>0</v>
      </c>
      <c r="N416" s="25">
        <f>IF(OR(J416="",M416="",NOT(ISNUMBER(M416))),"",IF(K416&lt;&gt;L416,"",J416*M416))</f>
        <v>0</v>
      </c>
      <c r="O416" s="25">
        <f>IF(N416="","",IFERROR(N416/INDEX(Recipes!$G$5:$G$204,MATCH(B416,Recipes!$A$5:$A$204,0)),""))</f>
        <v>0</v>
      </c>
      <c r="P416" s="30">
        <f>IF(J416="","",IF(K416="each",J416,J416/100))</f>
        <v>0</v>
      </c>
      <c r="Q416" s="30">
        <f>IFERROR(IF(P416="","",P416*INDEX(Ingredients!$P$5:$P$304,MATCH(D416,Ingredients!$B$5:$B$304,0))),"")</f>
        <v>0</v>
      </c>
      <c r="R416" s="45">
        <f>IFERROR(IF(P416="","",P416*INDEX(Ingredients!$Q$5:$Q$304,MATCH(D416,Ingredients!$B$5:$B$304,0))),"")</f>
        <v>0</v>
      </c>
      <c r="S416" s="45">
        <f>IFERROR(IF(P416="","",P416*INDEX(Ingredients!$R$5:$R$304,MATCH(D416,Ingredients!$B$5:$B$304,0))),"")</f>
        <v>0</v>
      </c>
      <c r="T416" s="45">
        <f>IFERROR(IF(P416="","",P416*INDEX(Ingredients!$S$5:$S$304,MATCH(D416,Ingredients!$B$5:$B$304,0))),"")</f>
        <v>0</v>
      </c>
      <c r="U416" s="45">
        <f>IFERROR(IF(P416="","",P416*INDEX(Ingredients!$T$5:$T$304,MATCH(D416,Ingredients!$B$5:$B$304,0))),"")</f>
        <v>0</v>
      </c>
      <c r="V416" s="17">
        <f>IF(D416="","",IFERROR(INDEX(Ingredients!$W$5:$W$304,MATCH(D416,Ingredients!$B$5:$B$304,0)),"Add to Ingredients"))</f>
        <v>0</v>
      </c>
      <c r="W416" s="17">
        <f>IF(D416="","",IFERROR(INDEX(Ingredients!$C$5:$C$304,MATCH(D416,Ingredients!$B$5:$B$304,0)),"Add to Ingredients"))</f>
        <v>0</v>
      </c>
      <c r="X416" s="45">
        <f>IFERROR(INDEX(Recipes!$AT$5:$AT$204,MATCH(B416,Recipes!$A$5:$A$204,0)),0)</f>
        <v>0</v>
      </c>
      <c r="Y416" s="45">
        <f>IF(OR(J416="",X416=0),"",J416*X416)</f>
        <v>0</v>
      </c>
      <c r="Z416" s="17">
        <f>IF(D416="","",B416&amp;"#"&amp;COUNTIFS($B$5:B416,B416))</f>
        <v>0</v>
      </c>
      <c r="AA416" s="17">
        <f>IF(D416="","",B416&amp;"|"&amp;D416)</f>
        <v>0</v>
      </c>
      <c r="AB416" s="31">
        <f>IF(D416="","",IF(B416="","Add - which recipe?",IF(COUNTIFS(Ingredients!$B$5:$B$304,D416)=0,"Missing - not in the Ingredients tab",IF(E416="","Add - no quantity",IF(F416="","Add - no unit",IF(K416&lt;&gt;L416,"Check - recipe in "&amp;K416&amp;", priced in "&amp;L416,IF(COUNTIFS($AA$5:$AA$1204,AA416)&gt;1,"Duplicate - same ingredient twice","OK")))))))</f>
        <v>0</v>
      </c>
    </row>
    <row r="417" spans="1:28">
      <c r="A417" s="39">
        <f>IF(D417="","","RL-"&amp;TEXT(ROW()-4,"0000"))</f>
        <v>0</v>
      </c>
      <c r="C417" s="17">
        <f>IF(B417="","",IFERROR(INDEX(Recipes!$B$5:$B$204,MATCH(B417,Recipes!$A$5:$A$204,0)),"Not found"))</f>
        <v>0</v>
      </c>
      <c r="J417" s="45">
        <f>IF(E417="","",IFERROR(E417*INDEX(UnitFactors,MATCH(F417,UnitNames,0)),""))</f>
        <v>0</v>
      </c>
      <c r="K417" s="17">
        <f>IF(F417="","",IFERROR(INDEX(UnitBases,MATCH(F417,UnitNames,0)),"?"))</f>
        <v>0</v>
      </c>
      <c r="L417" s="17">
        <f>IF(D417="","",IFERROR(INDEX(Ingredients!$G$5:$G$304,MATCH(D417,Ingredients!$B$5:$B$304,0)),"Add to Ingredients"))</f>
        <v>0</v>
      </c>
      <c r="M417" s="25">
        <f>IF(D417="","",IFERROR(INDEX(Ingredients!$J$5:$J$304,MATCH(D417,Ingredients!$B$5:$B$304,0)),"Add to Ingredients"))</f>
        <v>0</v>
      </c>
      <c r="N417" s="25">
        <f>IF(OR(J417="",M417="",NOT(ISNUMBER(M417))),"",IF(K417&lt;&gt;L417,"",J417*M417))</f>
        <v>0</v>
      </c>
      <c r="O417" s="25">
        <f>IF(N417="","",IFERROR(N417/INDEX(Recipes!$G$5:$G$204,MATCH(B417,Recipes!$A$5:$A$204,0)),""))</f>
        <v>0</v>
      </c>
      <c r="P417" s="30">
        <f>IF(J417="","",IF(K417="each",J417,J417/100))</f>
        <v>0</v>
      </c>
      <c r="Q417" s="30">
        <f>IFERROR(IF(P417="","",P417*INDEX(Ingredients!$P$5:$P$304,MATCH(D417,Ingredients!$B$5:$B$304,0))),"")</f>
        <v>0</v>
      </c>
      <c r="R417" s="45">
        <f>IFERROR(IF(P417="","",P417*INDEX(Ingredients!$Q$5:$Q$304,MATCH(D417,Ingredients!$B$5:$B$304,0))),"")</f>
        <v>0</v>
      </c>
      <c r="S417" s="45">
        <f>IFERROR(IF(P417="","",P417*INDEX(Ingredients!$R$5:$R$304,MATCH(D417,Ingredients!$B$5:$B$304,0))),"")</f>
        <v>0</v>
      </c>
      <c r="T417" s="45">
        <f>IFERROR(IF(P417="","",P417*INDEX(Ingredients!$S$5:$S$304,MATCH(D417,Ingredients!$B$5:$B$304,0))),"")</f>
        <v>0</v>
      </c>
      <c r="U417" s="45">
        <f>IFERROR(IF(P417="","",P417*INDEX(Ingredients!$T$5:$T$304,MATCH(D417,Ingredients!$B$5:$B$304,0))),"")</f>
        <v>0</v>
      </c>
      <c r="V417" s="17">
        <f>IF(D417="","",IFERROR(INDEX(Ingredients!$W$5:$W$304,MATCH(D417,Ingredients!$B$5:$B$304,0)),"Add to Ingredients"))</f>
        <v>0</v>
      </c>
      <c r="W417" s="17">
        <f>IF(D417="","",IFERROR(INDEX(Ingredients!$C$5:$C$304,MATCH(D417,Ingredients!$B$5:$B$304,0)),"Add to Ingredients"))</f>
        <v>0</v>
      </c>
      <c r="X417" s="45">
        <f>IFERROR(INDEX(Recipes!$AT$5:$AT$204,MATCH(B417,Recipes!$A$5:$A$204,0)),0)</f>
        <v>0</v>
      </c>
      <c r="Y417" s="45">
        <f>IF(OR(J417="",X417=0),"",J417*X417)</f>
        <v>0</v>
      </c>
      <c r="Z417" s="17">
        <f>IF(D417="","",B417&amp;"#"&amp;COUNTIFS($B$5:B417,B417))</f>
        <v>0</v>
      </c>
      <c r="AA417" s="17">
        <f>IF(D417="","",B417&amp;"|"&amp;D417)</f>
        <v>0</v>
      </c>
      <c r="AB417" s="31">
        <f>IF(D417="","",IF(B417="","Add - which recipe?",IF(COUNTIFS(Ingredients!$B$5:$B$304,D417)=0,"Missing - not in the Ingredients tab",IF(E417="","Add - no quantity",IF(F417="","Add - no unit",IF(K417&lt;&gt;L417,"Check - recipe in "&amp;K417&amp;", priced in "&amp;L417,IF(COUNTIFS($AA$5:$AA$1204,AA417)&gt;1,"Duplicate - same ingredient twice","OK")))))))</f>
        <v>0</v>
      </c>
    </row>
    <row r="418" spans="1:28">
      <c r="A418" s="39">
        <f>IF(D418="","","RL-"&amp;TEXT(ROW()-4,"0000"))</f>
        <v>0</v>
      </c>
      <c r="C418" s="17">
        <f>IF(B418="","",IFERROR(INDEX(Recipes!$B$5:$B$204,MATCH(B418,Recipes!$A$5:$A$204,0)),"Not found"))</f>
        <v>0</v>
      </c>
      <c r="J418" s="45">
        <f>IF(E418="","",IFERROR(E418*INDEX(UnitFactors,MATCH(F418,UnitNames,0)),""))</f>
        <v>0</v>
      </c>
      <c r="K418" s="17">
        <f>IF(F418="","",IFERROR(INDEX(UnitBases,MATCH(F418,UnitNames,0)),"?"))</f>
        <v>0</v>
      </c>
      <c r="L418" s="17">
        <f>IF(D418="","",IFERROR(INDEX(Ingredients!$G$5:$G$304,MATCH(D418,Ingredients!$B$5:$B$304,0)),"Add to Ingredients"))</f>
        <v>0</v>
      </c>
      <c r="M418" s="25">
        <f>IF(D418="","",IFERROR(INDEX(Ingredients!$J$5:$J$304,MATCH(D418,Ingredients!$B$5:$B$304,0)),"Add to Ingredients"))</f>
        <v>0</v>
      </c>
      <c r="N418" s="25">
        <f>IF(OR(J418="",M418="",NOT(ISNUMBER(M418))),"",IF(K418&lt;&gt;L418,"",J418*M418))</f>
        <v>0</v>
      </c>
      <c r="O418" s="25">
        <f>IF(N418="","",IFERROR(N418/INDEX(Recipes!$G$5:$G$204,MATCH(B418,Recipes!$A$5:$A$204,0)),""))</f>
        <v>0</v>
      </c>
      <c r="P418" s="30">
        <f>IF(J418="","",IF(K418="each",J418,J418/100))</f>
        <v>0</v>
      </c>
      <c r="Q418" s="30">
        <f>IFERROR(IF(P418="","",P418*INDEX(Ingredients!$P$5:$P$304,MATCH(D418,Ingredients!$B$5:$B$304,0))),"")</f>
        <v>0</v>
      </c>
      <c r="R418" s="45">
        <f>IFERROR(IF(P418="","",P418*INDEX(Ingredients!$Q$5:$Q$304,MATCH(D418,Ingredients!$B$5:$B$304,0))),"")</f>
        <v>0</v>
      </c>
      <c r="S418" s="45">
        <f>IFERROR(IF(P418="","",P418*INDEX(Ingredients!$R$5:$R$304,MATCH(D418,Ingredients!$B$5:$B$304,0))),"")</f>
        <v>0</v>
      </c>
      <c r="T418" s="45">
        <f>IFERROR(IF(P418="","",P418*INDEX(Ingredients!$S$5:$S$304,MATCH(D418,Ingredients!$B$5:$B$304,0))),"")</f>
        <v>0</v>
      </c>
      <c r="U418" s="45">
        <f>IFERROR(IF(P418="","",P418*INDEX(Ingredients!$T$5:$T$304,MATCH(D418,Ingredients!$B$5:$B$304,0))),"")</f>
        <v>0</v>
      </c>
      <c r="V418" s="17">
        <f>IF(D418="","",IFERROR(INDEX(Ingredients!$W$5:$W$304,MATCH(D418,Ingredients!$B$5:$B$304,0)),"Add to Ingredients"))</f>
        <v>0</v>
      </c>
      <c r="W418" s="17">
        <f>IF(D418="","",IFERROR(INDEX(Ingredients!$C$5:$C$304,MATCH(D418,Ingredients!$B$5:$B$304,0)),"Add to Ingredients"))</f>
        <v>0</v>
      </c>
      <c r="X418" s="45">
        <f>IFERROR(INDEX(Recipes!$AT$5:$AT$204,MATCH(B418,Recipes!$A$5:$A$204,0)),0)</f>
        <v>0</v>
      </c>
      <c r="Y418" s="45">
        <f>IF(OR(J418="",X418=0),"",J418*X418)</f>
        <v>0</v>
      </c>
      <c r="Z418" s="17">
        <f>IF(D418="","",B418&amp;"#"&amp;COUNTIFS($B$5:B418,B418))</f>
        <v>0</v>
      </c>
      <c r="AA418" s="17">
        <f>IF(D418="","",B418&amp;"|"&amp;D418)</f>
        <v>0</v>
      </c>
      <c r="AB418" s="31">
        <f>IF(D418="","",IF(B418="","Add - which recipe?",IF(COUNTIFS(Ingredients!$B$5:$B$304,D418)=0,"Missing - not in the Ingredients tab",IF(E418="","Add - no quantity",IF(F418="","Add - no unit",IF(K418&lt;&gt;L418,"Check - recipe in "&amp;K418&amp;", priced in "&amp;L418,IF(COUNTIFS($AA$5:$AA$1204,AA418)&gt;1,"Duplicate - same ingredient twice","OK")))))))</f>
        <v>0</v>
      </c>
    </row>
    <row r="419" spans="1:28">
      <c r="A419" s="39">
        <f>IF(D419="","","RL-"&amp;TEXT(ROW()-4,"0000"))</f>
        <v>0</v>
      </c>
      <c r="C419" s="17">
        <f>IF(B419="","",IFERROR(INDEX(Recipes!$B$5:$B$204,MATCH(B419,Recipes!$A$5:$A$204,0)),"Not found"))</f>
        <v>0</v>
      </c>
      <c r="J419" s="45">
        <f>IF(E419="","",IFERROR(E419*INDEX(UnitFactors,MATCH(F419,UnitNames,0)),""))</f>
        <v>0</v>
      </c>
      <c r="K419" s="17">
        <f>IF(F419="","",IFERROR(INDEX(UnitBases,MATCH(F419,UnitNames,0)),"?"))</f>
        <v>0</v>
      </c>
      <c r="L419" s="17">
        <f>IF(D419="","",IFERROR(INDEX(Ingredients!$G$5:$G$304,MATCH(D419,Ingredients!$B$5:$B$304,0)),"Add to Ingredients"))</f>
        <v>0</v>
      </c>
      <c r="M419" s="25">
        <f>IF(D419="","",IFERROR(INDEX(Ingredients!$J$5:$J$304,MATCH(D419,Ingredients!$B$5:$B$304,0)),"Add to Ingredients"))</f>
        <v>0</v>
      </c>
      <c r="N419" s="25">
        <f>IF(OR(J419="",M419="",NOT(ISNUMBER(M419))),"",IF(K419&lt;&gt;L419,"",J419*M419))</f>
        <v>0</v>
      </c>
      <c r="O419" s="25">
        <f>IF(N419="","",IFERROR(N419/INDEX(Recipes!$G$5:$G$204,MATCH(B419,Recipes!$A$5:$A$204,0)),""))</f>
        <v>0</v>
      </c>
      <c r="P419" s="30">
        <f>IF(J419="","",IF(K419="each",J419,J419/100))</f>
        <v>0</v>
      </c>
      <c r="Q419" s="30">
        <f>IFERROR(IF(P419="","",P419*INDEX(Ingredients!$P$5:$P$304,MATCH(D419,Ingredients!$B$5:$B$304,0))),"")</f>
        <v>0</v>
      </c>
      <c r="R419" s="45">
        <f>IFERROR(IF(P419="","",P419*INDEX(Ingredients!$Q$5:$Q$304,MATCH(D419,Ingredients!$B$5:$B$304,0))),"")</f>
        <v>0</v>
      </c>
      <c r="S419" s="45">
        <f>IFERROR(IF(P419="","",P419*INDEX(Ingredients!$R$5:$R$304,MATCH(D419,Ingredients!$B$5:$B$304,0))),"")</f>
        <v>0</v>
      </c>
      <c r="T419" s="45">
        <f>IFERROR(IF(P419="","",P419*INDEX(Ingredients!$S$5:$S$304,MATCH(D419,Ingredients!$B$5:$B$304,0))),"")</f>
        <v>0</v>
      </c>
      <c r="U419" s="45">
        <f>IFERROR(IF(P419="","",P419*INDEX(Ingredients!$T$5:$T$304,MATCH(D419,Ingredients!$B$5:$B$304,0))),"")</f>
        <v>0</v>
      </c>
      <c r="V419" s="17">
        <f>IF(D419="","",IFERROR(INDEX(Ingredients!$W$5:$W$304,MATCH(D419,Ingredients!$B$5:$B$304,0)),"Add to Ingredients"))</f>
        <v>0</v>
      </c>
      <c r="W419" s="17">
        <f>IF(D419="","",IFERROR(INDEX(Ingredients!$C$5:$C$304,MATCH(D419,Ingredients!$B$5:$B$304,0)),"Add to Ingredients"))</f>
        <v>0</v>
      </c>
      <c r="X419" s="45">
        <f>IFERROR(INDEX(Recipes!$AT$5:$AT$204,MATCH(B419,Recipes!$A$5:$A$204,0)),0)</f>
        <v>0</v>
      </c>
      <c r="Y419" s="45">
        <f>IF(OR(J419="",X419=0),"",J419*X419)</f>
        <v>0</v>
      </c>
      <c r="Z419" s="17">
        <f>IF(D419="","",B419&amp;"#"&amp;COUNTIFS($B$5:B419,B419))</f>
        <v>0</v>
      </c>
      <c r="AA419" s="17">
        <f>IF(D419="","",B419&amp;"|"&amp;D419)</f>
        <v>0</v>
      </c>
      <c r="AB419" s="31">
        <f>IF(D419="","",IF(B419="","Add - which recipe?",IF(COUNTIFS(Ingredients!$B$5:$B$304,D419)=0,"Missing - not in the Ingredients tab",IF(E419="","Add - no quantity",IF(F419="","Add - no unit",IF(K419&lt;&gt;L419,"Check - recipe in "&amp;K419&amp;", priced in "&amp;L419,IF(COUNTIFS($AA$5:$AA$1204,AA419)&gt;1,"Duplicate - same ingredient twice","OK")))))))</f>
        <v>0</v>
      </c>
    </row>
    <row r="420" spans="1:28">
      <c r="A420" s="39">
        <f>IF(D420="","","RL-"&amp;TEXT(ROW()-4,"0000"))</f>
        <v>0</v>
      </c>
      <c r="C420" s="17">
        <f>IF(B420="","",IFERROR(INDEX(Recipes!$B$5:$B$204,MATCH(B420,Recipes!$A$5:$A$204,0)),"Not found"))</f>
        <v>0</v>
      </c>
      <c r="J420" s="45">
        <f>IF(E420="","",IFERROR(E420*INDEX(UnitFactors,MATCH(F420,UnitNames,0)),""))</f>
        <v>0</v>
      </c>
      <c r="K420" s="17">
        <f>IF(F420="","",IFERROR(INDEX(UnitBases,MATCH(F420,UnitNames,0)),"?"))</f>
        <v>0</v>
      </c>
      <c r="L420" s="17">
        <f>IF(D420="","",IFERROR(INDEX(Ingredients!$G$5:$G$304,MATCH(D420,Ingredients!$B$5:$B$304,0)),"Add to Ingredients"))</f>
        <v>0</v>
      </c>
      <c r="M420" s="25">
        <f>IF(D420="","",IFERROR(INDEX(Ingredients!$J$5:$J$304,MATCH(D420,Ingredients!$B$5:$B$304,0)),"Add to Ingredients"))</f>
        <v>0</v>
      </c>
      <c r="N420" s="25">
        <f>IF(OR(J420="",M420="",NOT(ISNUMBER(M420))),"",IF(K420&lt;&gt;L420,"",J420*M420))</f>
        <v>0</v>
      </c>
      <c r="O420" s="25">
        <f>IF(N420="","",IFERROR(N420/INDEX(Recipes!$G$5:$G$204,MATCH(B420,Recipes!$A$5:$A$204,0)),""))</f>
        <v>0</v>
      </c>
      <c r="P420" s="30">
        <f>IF(J420="","",IF(K420="each",J420,J420/100))</f>
        <v>0</v>
      </c>
      <c r="Q420" s="30">
        <f>IFERROR(IF(P420="","",P420*INDEX(Ingredients!$P$5:$P$304,MATCH(D420,Ingredients!$B$5:$B$304,0))),"")</f>
        <v>0</v>
      </c>
      <c r="R420" s="45">
        <f>IFERROR(IF(P420="","",P420*INDEX(Ingredients!$Q$5:$Q$304,MATCH(D420,Ingredients!$B$5:$B$304,0))),"")</f>
        <v>0</v>
      </c>
      <c r="S420" s="45">
        <f>IFERROR(IF(P420="","",P420*INDEX(Ingredients!$R$5:$R$304,MATCH(D420,Ingredients!$B$5:$B$304,0))),"")</f>
        <v>0</v>
      </c>
      <c r="T420" s="45">
        <f>IFERROR(IF(P420="","",P420*INDEX(Ingredients!$S$5:$S$304,MATCH(D420,Ingredients!$B$5:$B$304,0))),"")</f>
        <v>0</v>
      </c>
      <c r="U420" s="45">
        <f>IFERROR(IF(P420="","",P420*INDEX(Ingredients!$T$5:$T$304,MATCH(D420,Ingredients!$B$5:$B$304,0))),"")</f>
        <v>0</v>
      </c>
      <c r="V420" s="17">
        <f>IF(D420="","",IFERROR(INDEX(Ingredients!$W$5:$W$304,MATCH(D420,Ingredients!$B$5:$B$304,0)),"Add to Ingredients"))</f>
        <v>0</v>
      </c>
      <c r="W420" s="17">
        <f>IF(D420="","",IFERROR(INDEX(Ingredients!$C$5:$C$304,MATCH(D420,Ingredients!$B$5:$B$304,0)),"Add to Ingredients"))</f>
        <v>0</v>
      </c>
      <c r="X420" s="45">
        <f>IFERROR(INDEX(Recipes!$AT$5:$AT$204,MATCH(B420,Recipes!$A$5:$A$204,0)),0)</f>
        <v>0</v>
      </c>
      <c r="Y420" s="45">
        <f>IF(OR(J420="",X420=0),"",J420*X420)</f>
        <v>0</v>
      </c>
      <c r="Z420" s="17">
        <f>IF(D420="","",B420&amp;"#"&amp;COUNTIFS($B$5:B420,B420))</f>
        <v>0</v>
      </c>
      <c r="AA420" s="17">
        <f>IF(D420="","",B420&amp;"|"&amp;D420)</f>
        <v>0</v>
      </c>
      <c r="AB420" s="31">
        <f>IF(D420="","",IF(B420="","Add - which recipe?",IF(COUNTIFS(Ingredients!$B$5:$B$304,D420)=0,"Missing - not in the Ingredients tab",IF(E420="","Add - no quantity",IF(F420="","Add - no unit",IF(K420&lt;&gt;L420,"Check - recipe in "&amp;K420&amp;", priced in "&amp;L420,IF(COUNTIFS($AA$5:$AA$1204,AA420)&gt;1,"Duplicate - same ingredient twice","OK")))))))</f>
        <v>0</v>
      </c>
    </row>
    <row r="421" spans="1:28">
      <c r="A421" s="39">
        <f>IF(D421="","","RL-"&amp;TEXT(ROW()-4,"0000"))</f>
        <v>0</v>
      </c>
      <c r="C421" s="17">
        <f>IF(B421="","",IFERROR(INDEX(Recipes!$B$5:$B$204,MATCH(B421,Recipes!$A$5:$A$204,0)),"Not found"))</f>
        <v>0</v>
      </c>
      <c r="J421" s="45">
        <f>IF(E421="","",IFERROR(E421*INDEX(UnitFactors,MATCH(F421,UnitNames,0)),""))</f>
        <v>0</v>
      </c>
      <c r="K421" s="17">
        <f>IF(F421="","",IFERROR(INDEX(UnitBases,MATCH(F421,UnitNames,0)),"?"))</f>
        <v>0</v>
      </c>
      <c r="L421" s="17">
        <f>IF(D421="","",IFERROR(INDEX(Ingredients!$G$5:$G$304,MATCH(D421,Ingredients!$B$5:$B$304,0)),"Add to Ingredients"))</f>
        <v>0</v>
      </c>
      <c r="M421" s="25">
        <f>IF(D421="","",IFERROR(INDEX(Ingredients!$J$5:$J$304,MATCH(D421,Ingredients!$B$5:$B$304,0)),"Add to Ingredients"))</f>
        <v>0</v>
      </c>
      <c r="N421" s="25">
        <f>IF(OR(J421="",M421="",NOT(ISNUMBER(M421))),"",IF(K421&lt;&gt;L421,"",J421*M421))</f>
        <v>0</v>
      </c>
      <c r="O421" s="25">
        <f>IF(N421="","",IFERROR(N421/INDEX(Recipes!$G$5:$G$204,MATCH(B421,Recipes!$A$5:$A$204,0)),""))</f>
        <v>0</v>
      </c>
      <c r="P421" s="30">
        <f>IF(J421="","",IF(K421="each",J421,J421/100))</f>
        <v>0</v>
      </c>
      <c r="Q421" s="30">
        <f>IFERROR(IF(P421="","",P421*INDEX(Ingredients!$P$5:$P$304,MATCH(D421,Ingredients!$B$5:$B$304,0))),"")</f>
        <v>0</v>
      </c>
      <c r="R421" s="45">
        <f>IFERROR(IF(P421="","",P421*INDEX(Ingredients!$Q$5:$Q$304,MATCH(D421,Ingredients!$B$5:$B$304,0))),"")</f>
        <v>0</v>
      </c>
      <c r="S421" s="45">
        <f>IFERROR(IF(P421="","",P421*INDEX(Ingredients!$R$5:$R$304,MATCH(D421,Ingredients!$B$5:$B$304,0))),"")</f>
        <v>0</v>
      </c>
      <c r="T421" s="45">
        <f>IFERROR(IF(P421="","",P421*INDEX(Ingredients!$S$5:$S$304,MATCH(D421,Ingredients!$B$5:$B$304,0))),"")</f>
        <v>0</v>
      </c>
      <c r="U421" s="45">
        <f>IFERROR(IF(P421="","",P421*INDEX(Ingredients!$T$5:$T$304,MATCH(D421,Ingredients!$B$5:$B$304,0))),"")</f>
        <v>0</v>
      </c>
      <c r="V421" s="17">
        <f>IF(D421="","",IFERROR(INDEX(Ingredients!$W$5:$W$304,MATCH(D421,Ingredients!$B$5:$B$304,0)),"Add to Ingredients"))</f>
        <v>0</v>
      </c>
      <c r="W421" s="17">
        <f>IF(D421="","",IFERROR(INDEX(Ingredients!$C$5:$C$304,MATCH(D421,Ingredients!$B$5:$B$304,0)),"Add to Ingredients"))</f>
        <v>0</v>
      </c>
      <c r="X421" s="45">
        <f>IFERROR(INDEX(Recipes!$AT$5:$AT$204,MATCH(B421,Recipes!$A$5:$A$204,0)),0)</f>
        <v>0</v>
      </c>
      <c r="Y421" s="45">
        <f>IF(OR(J421="",X421=0),"",J421*X421)</f>
        <v>0</v>
      </c>
      <c r="Z421" s="17">
        <f>IF(D421="","",B421&amp;"#"&amp;COUNTIFS($B$5:B421,B421))</f>
        <v>0</v>
      </c>
      <c r="AA421" s="17">
        <f>IF(D421="","",B421&amp;"|"&amp;D421)</f>
        <v>0</v>
      </c>
      <c r="AB421" s="31">
        <f>IF(D421="","",IF(B421="","Add - which recipe?",IF(COUNTIFS(Ingredients!$B$5:$B$304,D421)=0,"Missing - not in the Ingredients tab",IF(E421="","Add - no quantity",IF(F421="","Add - no unit",IF(K421&lt;&gt;L421,"Check - recipe in "&amp;K421&amp;", priced in "&amp;L421,IF(COUNTIFS($AA$5:$AA$1204,AA421)&gt;1,"Duplicate - same ingredient twice","OK")))))))</f>
        <v>0</v>
      </c>
    </row>
    <row r="422" spans="1:28">
      <c r="A422" s="39">
        <f>IF(D422="","","RL-"&amp;TEXT(ROW()-4,"0000"))</f>
        <v>0</v>
      </c>
      <c r="C422" s="17">
        <f>IF(B422="","",IFERROR(INDEX(Recipes!$B$5:$B$204,MATCH(B422,Recipes!$A$5:$A$204,0)),"Not found"))</f>
        <v>0</v>
      </c>
      <c r="J422" s="45">
        <f>IF(E422="","",IFERROR(E422*INDEX(UnitFactors,MATCH(F422,UnitNames,0)),""))</f>
        <v>0</v>
      </c>
      <c r="K422" s="17">
        <f>IF(F422="","",IFERROR(INDEX(UnitBases,MATCH(F422,UnitNames,0)),"?"))</f>
        <v>0</v>
      </c>
      <c r="L422" s="17">
        <f>IF(D422="","",IFERROR(INDEX(Ingredients!$G$5:$G$304,MATCH(D422,Ingredients!$B$5:$B$304,0)),"Add to Ingredients"))</f>
        <v>0</v>
      </c>
      <c r="M422" s="25">
        <f>IF(D422="","",IFERROR(INDEX(Ingredients!$J$5:$J$304,MATCH(D422,Ingredients!$B$5:$B$304,0)),"Add to Ingredients"))</f>
        <v>0</v>
      </c>
      <c r="N422" s="25">
        <f>IF(OR(J422="",M422="",NOT(ISNUMBER(M422))),"",IF(K422&lt;&gt;L422,"",J422*M422))</f>
        <v>0</v>
      </c>
      <c r="O422" s="25">
        <f>IF(N422="","",IFERROR(N422/INDEX(Recipes!$G$5:$G$204,MATCH(B422,Recipes!$A$5:$A$204,0)),""))</f>
        <v>0</v>
      </c>
      <c r="P422" s="30">
        <f>IF(J422="","",IF(K422="each",J422,J422/100))</f>
        <v>0</v>
      </c>
      <c r="Q422" s="30">
        <f>IFERROR(IF(P422="","",P422*INDEX(Ingredients!$P$5:$P$304,MATCH(D422,Ingredients!$B$5:$B$304,0))),"")</f>
        <v>0</v>
      </c>
      <c r="R422" s="45">
        <f>IFERROR(IF(P422="","",P422*INDEX(Ingredients!$Q$5:$Q$304,MATCH(D422,Ingredients!$B$5:$B$304,0))),"")</f>
        <v>0</v>
      </c>
      <c r="S422" s="45">
        <f>IFERROR(IF(P422="","",P422*INDEX(Ingredients!$R$5:$R$304,MATCH(D422,Ingredients!$B$5:$B$304,0))),"")</f>
        <v>0</v>
      </c>
      <c r="T422" s="45">
        <f>IFERROR(IF(P422="","",P422*INDEX(Ingredients!$S$5:$S$304,MATCH(D422,Ingredients!$B$5:$B$304,0))),"")</f>
        <v>0</v>
      </c>
      <c r="U422" s="45">
        <f>IFERROR(IF(P422="","",P422*INDEX(Ingredients!$T$5:$T$304,MATCH(D422,Ingredients!$B$5:$B$304,0))),"")</f>
        <v>0</v>
      </c>
      <c r="V422" s="17">
        <f>IF(D422="","",IFERROR(INDEX(Ingredients!$W$5:$W$304,MATCH(D422,Ingredients!$B$5:$B$304,0)),"Add to Ingredients"))</f>
        <v>0</v>
      </c>
      <c r="W422" s="17">
        <f>IF(D422="","",IFERROR(INDEX(Ingredients!$C$5:$C$304,MATCH(D422,Ingredients!$B$5:$B$304,0)),"Add to Ingredients"))</f>
        <v>0</v>
      </c>
      <c r="X422" s="45">
        <f>IFERROR(INDEX(Recipes!$AT$5:$AT$204,MATCH(B422,Recipes!$A$5:$A$204,0)),0)</f>
        <v>0</v>
      </c>
      <c r="Y422" s="45">
        <f>IF(OR(J422="",X422=0),"",J422*X422)</f>
        <v>0</v>
      </c>
      <c r="Z422" s="17">
        <f>IF(D422="","",B422&amp;"#"&amp;COUNTIFS($B$5:B422,B422))</f>
        <v>0</v>
      </c>
      <c r="AA422" s="17">
        <f>IF(D422="","",B422&amp;"|"&amp;D422)</f>
        <v>0</v>
      </c>
      <c r="AB422" s="31">
        <f>IF(D422="","",IF(B422="","Add - which recipe?",IF(COUNTIFS(Ingredients!$B$5:$B$304,D422)=0,"Missing - not in the Ingredients tab",IF(E422="","Add - no quantity",IF(F422="","Add - no unit",IF(K422&lt;&gt;L422,"Check - recipe in "&amp;K422&amp;", priced in "&amp;L422,IF(COUNTIFS($AA$5:$AA$1204,AA422)&gt;1,"Duplicate - same ingredient twice","OK")))))))</f>
        <v>0</v>
      </c>
    </row>
    <row r="423" spans="1:28">
      <c r="A423" s="39">
        <f>IF(D423="","","RL-"&amp;TEXT(ROW()-4,"0000"))</f>
        <v>0</v>
      </c>
      <c r="C423" s="17">
        <f>IF(B423="","",IFERROR(INDEX(Recipes!$B$5:$B$204,MATCH(B423,Recipes!$A$5:$A$204,0)),"Not found"))</f>
        <v>0</v>
      </c>
      <c r="J423" s="45">
        <f>IF(E423="","",IFERROR(E423*INDEX(UnitFactors,MATCH(F423,UnitNames,0)),""))</f>
        <v>0</v>
      </c>
      <c r="K423" s="17">
        <f>IF(F423="","",IFERROR(INDEX(UnitBases,MATCH(F423,UnitNames,0)),"?"))</f>
        <v>0</v>
      </c>
      <c r="L423" s="17">
        <f>IF(D423="","",IFERROR(INDEX(Ingredients!$G$5:$G$304,MATCH(D423,Ingredients!$B$5:$B$304,0)),"Add to Ingredients"))</f>
        <v>0</v>
      </c>
      <c r="M423" s="25">
        <f>IF(D423="","",IFERROR(INDEX(Ingredients!$J$5:$J$304,MATCH(D423,Ingredients!$B$5:$B$304,0)),"Add to Ingredients"))</f>
        <v>0</v>
      </c>
      <c r="N423" s="25">
        <f>IF(OR(J423="",M423="",NOT(ISNUMBER(M423))),"",IF(K423&lt;&gt;L423,"",J423*M423))</f>
        <v>0</v>
      </c>
      <c r="O423" s="25">
        <f>IF(N423="","",IFERROR(N423/INDEX(Recipes!$G$5:$G$204,MATCH(B423,Recipes!$A$5:$A$204,0)),""))</f>
        <v>0</v>
      </c>
      <c r="P423" s="30">
        <f>IF(J423="","",IF(K423="each",J423,J423/100))</f>
        <v>0</v>
      </c>
      <c r="Q423" s="30">
        <f>IFERROR(IF(P423="","",P423*INDEX(Ingredients!$P$5:$P$304,MATCH(D423,Ingredients!$B$5:$B$304,0))),"")</f>
        <v>0</v>
      </c>
      <c r="R423" s="45">
        <f>IFERROR(IF(P423="","",P423*INDEX(Ingredients!$Q$5:$Q$304,MATCH(D423,Ingredients!$B$5:$B$304,0))),"")</f>
        <v>0</v>
      </c>
      <c r="S423" s="45">
        <f>IFERROR(IF(P423="","",P423*INDEX(Ingredients!$R$5:$R$304,MATCH(D423,Ingredients!$B$5:$B$304,0))),"")</f>
        <v>0</v>
      </c>
      <c r="T423" s="45">
        <f>IFERROR(IF(P423="","",P423*INDEX(Ingredients!$S$5:$S$304,MATCH(D423,Ingredients!$B$5:$B$304,0))),"")</f>
        <v>0</v>
      </c>
      <c r="U423" s="45">
        <f>IFERROR(IF(P423="","",P423*INDEX(Ingredients!$T$5:$T$304,MATCH(D423,Ingredients!$B$5:$B$304,0))),"")</f>
        <v>0</v>
      </c>
      <c r="V423" s="17">
        <f>IF(D423="","",IFERROR(INDEX(Ingredients!$W$5:$W$304,MATCH(D423,Ingredients!$B$5:$B$304,0)),"Add to Ingredients"))</f>
        <v>0</v>
      </c>
      <c r="W423" s="17">
        <f>IF(D423="","",IFERROR(INDEX(Ingredients!$C$5:$C$304,MATCH(D423,Ingredients!$B$5:$B$304,0)),"Add to Ingredients"))</f>
        <v>0</v>
      </c>
      <c r="X423" s="45">
        <f>IFERROR(INDEX(Recipes!$AT$5:$AT$204,MATCH(B423,Recipes!$A$5:$A$204,0)),0)</f>
        <v>0</v>
      </c>
      <c r="Y423" s="45">
        <f>IF(OR(J423="",X423=0),"",J423*X423)</f>
        <v>0</v>
      </c>
      <c r="Z423" s="17">
        <f>IF(D423="","",B423&amp;"#"&amp;COUNTIFS($B$5:B423,B423))</f>
        <v>0</v>
      </c>
      <c r="AA423" s="17">
        <f>IF(D423="","",B423&amp;"|"&amp;D423)</f>
        <v>0</v>
      </c>
      <c r="AB423" s="31">
        <f>IF(D423="","",IF(B423="","Add - which recipe?",IF(COUNTIFS(Ingredients!$B$5:$B$304,D423)=0,"Missing - not in the Ingredients tab",IF(E423="","Add - no quantity",IF(F423="","Add - no unit",IF(K423&lt;&gt;L423,"Check - recipe in "&amp;K423&amp;", priced in "&amp;L423,IF(COUNTIFS($AA$5:$AA$1204,AA423)&gt;1,"Duplicate - same ingredient twice","OK")))))))</f>
        <v>0</v>
      </c>
    </row>
    <row r="424" spans="1:28">
      <c r="A424" s="39">
        <f>IF(D424="","","RL-"&amp;TEXT(ROW()-4,"0000"))</f>
        <v>0</v>
      </c>
      <c r="C424" s="17">
        <f>IF(B424="","",IFERROR(INDEX(Recipes!$B$5:$B$204,MATCH(B424,Recipes!$A$5:$A$204,0)),"Not found"))</f>
        <v>0</v>
      </c>
      <c r="J424" s="45">
        <f>IF(E424="","",IFERROR(E424*INDEX(UnitFactors,MATCH(F424,UnitNames,0)),""))</f>
        <v>0</v>
      </c>
      <c r="K424" s="17">
        <f>IF(F424="","",IFERROR(INDEX(UnitBases,MATCH(F424,UnitNames,0)),"?"))</f>
        <v>0</v>
      </c>
      <c r="L424" s="17">
        <f>IF(D424="","",IFERROR(INDEX(Ingredients!$G$5:$G$304,MATCH(D424,Ingredients!$B$5:$B$304,0)),"Add to Ingredients"))</f>
        <v>0</v>
      </c>
      <c r="M424" s="25">
        <f>IF(D424="","",IFERROR(INDEX(Ingredients!$J$5:$J$304,MATCH(D424,Ingredients!$B$5:$B$304,0)),"Add to Ingredients"))</f>
        <v>0</v>
      </c>
      <c r="N424" s="25">
        <f>IF(OR(J424="",M424="",NOT(ISNUMBER(M424))),"",IF(K424&lt;&gt;L424,"",J424*M424))</f>
        <v>0</v>
      </c>
      <c r="O424" s="25">
        <f>IF(N424="","",IFERROR(N424/INDEX(Recipes!$G$5:$G$204,MATCH(B424,Recipes!$A$5:$A$204,0)),""))</f>
        <v>0</v>
      </c>
      <c r="P424" s="30">
        <f>IF(J424="","",IF(K424="each",J424,J424/100))</f>
        <v>0</v>
      </c>
      <c r="Q424" s="30">
        <f>IFERROR(IF(P424="","",P424*INDEX(Ingredients!$P$5:$P$304,MATCH(D424,Ingredients!$B$5:$B$304,0))),"")</f>
        <v>0</v>
      </c>
      <c r="R424" s="45">
        <f>IFERROR(IF(P424="","",P424*INDEX(Ingredients!$Q$5:$Q$304,MATCH(D424,Ingredients!$B$5:$B$304,0))),"")</f>
        <v>0</v>
      </c>
      <c r="S424" s="45">
        <f>IFERROR(IF(P424="","",P424*INDEX(Ingredients!$R$5:$R$304,MATCH(D424,Ingredients!$B$5:$B$304,0))),"")</f>
        <v>0</v>
      </c>
      <c r="T424" s="45">
        <f>IFERROR(IF(P424="","",P424*INDEX(Ingredients!$S$5:$S$304,MATCH(D424,Ingredients!$B$5:$B$304,0))),"")</f>
        <v>0</v>
      </c>
      <c r="U424" s="45">
        <f>IFERROR(IF(P424="","",P424*INDEX(Ingredients!$T$5:$T$304,MATCH(D424,Ingredients!$B$5:$B$304,0))),"")</f>
        <v>0</v>
      </c>
      <c r="V424" s="17">
        <f>IF(D424="","",IFERROR(INDEX(Ingredients!$W$5:$W$304,MATCH(D424,Ingredients!$B$5:$B$304,0)),"Add to Ingredients"))</f>
        <v>0</v>
      </c>
      <c r="W424" s="17">
        <f>IF(D424="","",IFERROR(INDEX(Ingredients!$C$5:$C$304,MATCH(D424,Ingredients!$B$5:$B$304,0)),"Add to Ingredients"))</f>
        <v>0</v>
      </c>
      <c r="X424" s="45">
        <f>IFERROR(INDEX(Recipes!$AT$5:$AT$204,MATCH(B424,Recipes!$A$5:$A$204,0)),0)</f>
        <v>0</v>
      </c>
      <c r="Y424" s="45">
        <f>IF(OR(J424="",X424=0),"",J424*X424)</f>
        <v>0</v>
      </c>
      <c r="Z424" s="17">
        <f>IF(D424="","",B424&amp;"#"&amp;COUNTIFS($B$5:B424,B424))</f>
        <v>0</v>
      </c>
      <c r="AA424" s="17">
        <f>IF(D424="","",B424&amp;"|"&amp;D424)</f>
        <v>0</v>
      </c>
      <c r="AB424" s="31">
        <f>IF(D424="","",IF(B424="","Add - which recipe?",IF(COUNTIFS(Ingredients!$B$5:$B$304,D424)=0,"Missing - not in the Ingredients tab",IF(E424="","Add - no quantity",IF(F424="","Add - no unit",IF(K424&lt;&gt;L424,"Check - recipe in "&amp;K424&amp;", priced in "&amp;L424,IF(COUNTIFS($AA$5:$AA$1204,AA424)&gt;1,"Duplicate - same ingredient twice","OK")))))))</f>
        <v>0</v>
      </c>
    </row>
    <row r="425" spans="1:28">
      <c r="A425" s="39">
        <f>IF(D425="","","RL-"&amp;TEXT(ROW()-4,"0000"))</f>
        <v>0</v>
      </c>
      <c r="C425" s="17">
        <f>IF(B425="","",IFERROR(INDEX(Recipes!$B$5:$B$204,MATCH(B425,Recipes!$A$5:$A$204,0)),"Not found"))</f>
        <v>0</v>
      </c>
      <c r="J425" s="45">
        <f>IF(E425="","",IFERROR(E425*INDEX(UnitFactors,MATCH(F425,UnitNames,0)),""))</f>
        <v>0</v>
      </c>
      <c r="K425" s="17">
        <f>IF(F425="","",IFERROR(INDEX(UnitBases,MATCH(F425,UnitNames,0)),"?"))</f>
        <v>0</v>
      </c>
      <c r="L425" s="17">
        <f>IF(D425="","",IFERROR(INDEX(Ingredients!$G$5:$G$304,MATCH(D425,Ingredients!$B$5:$B$304,0)),"Add to Ingredients"))</f>
        <v>0</v>
      </c>
      <c r="M425" s="25">
        <f>IF(D425="","",IFERROR(INDEX(Ingredients!$J$5:$J$304,MATCH(D425,Ingredients!$B$5:$B$304,0)),"Add to Ingredients"))</f>
        <v>0</v>
      </c>
      <c r="N425" s="25">
        <f>IF(OR(J425="",M425="",NOT(ISNUMBER(M425))),"",IF(K425&lt;&gt;L425,"",J425*M425))</f>
        <v>0</v>
      </c>
      <c r="O425" s="25">
        <f>IF(N425="","",IFERROR(N425/INDEX(Recipes!$G$5:$G$204,MATCH(B425,Recipes!$A$5:$A$204,0)),""))</f>
        <v>0</v>
      </c>
      <c r="P425" s="30">
        <f>IF(J425="","",IF(K425="each",J425,J425/100))</f>
        <v>0</v>
      </c>
      <c r="Q425" s="30">
        <f>IFERROR(IF(P425="","",P425*INDEX(Ingredients!$P$5:$P$304,MATCH(D425,Ingredients!$B$5:$B$304,0))),"")</f>
        <v>0</v>
      </c>
      <c r="R425" s="45">
        <f>IFERROR(IF(P425="","",P425*INDEX(Ingredients!$Q$5:$Q$304,MATCH(D425,Ingredients!$B$5:$B$304,0))),"")</f>
        <v>0</v>
      </c>
      <c r="S425" s="45">
        <f>IFERROR(IF(P425="","",P425*INDEX(Ingredients!$R$5:$R$304,MATCH(D425,Ingredients!$B$5:$B$304,0))),"")</f>
        <v>0</v>
      </c>
      <c r="T425" s="45">
        <f>IFERROR(IF(P425="","",P425*INDEX(Ingredients!$S$5:$S$304,MATCH(D425,Ingredients!$B$5:$B$304,0))),"")</f>
        <v>0</v>
      </c>
      <c r="U425" s="45">
        <f>IFERROR(IF(P425="","",P425*INDEX(Ingredients!$T$5:$T$304,MATCH(D425,Ingredients!$B$5:$B$304,0))),"")</f>
        <v>0</v>
      </c>
      <c r="V425" s="17">
        <f>IF(D425="","",IFERROR(INDEX(Ingredients!$W$5:$W$304,MATCH(D425,Ingredients!$B$5:$B$304,0)),"Add to Ingredients"))</f>
        <v>0</v>
      </c>
      <c r="W425" s="17">
        <f>IF(D425="","",IFERROR(INDEX(Ingredients!$C$5:$C$304,MATCH(D425,Ingredients!$B$5:$B$304,0)),"Add to Ingredients"))</f>
        <v>0</v>
      </c>
      <c r="X425" s="45">
        <f>IFERROR(INDEX(Recipes!$AT$5:$AT$204,MATCH(B425,Recipes!$A$5:$A$204,0)),0)</f>
        <v>0</v>
      </c>
      <c r="Y425" s="45">
        <f>IF(OR(J425="",X425=0),"",J425*X425)</f>
        <v>0</v>
      </c>
      <c r="Z425" s="17">
        <f>IF(D425="","",B425&amp;"#"&amp;COUNTIFS($B$5:B425,B425))</f>
        <v>0</v>
      </c>
      <c r="AA425" s="17">
        <f>IF(D425="","",B425&amp;"|"&amp;D425)</f>
        <v>0</v>
      </c>
      <c r="AB425" s="31">
        <f>IF(D425="","",IF(B425="","Add - which recipe?",IF(COUNTIFS(Ingredients!$B$5:$B$304,D425)=0,"Missing - not in the Ingredients tab",IF(E425="","Add - no quantity",IF(F425="","Add - no unit",IF(K425&lt;&gt;L425,"Check - recipe in "&amp;K425&amp;", priced in "&amp;L425,IF(COUNTIFS($AA$5:$AA$1204,AA425)&gt;1,"Duplicate - same ingredient twice","OK")))))))</f>
        <v>0</v>
      </c>
    </row>
    <row r="426" spans="1:28">
      <c r="A426" s="39">
        <f>IF(D426="","","RL-"&amp;TEXT(ROW()-4,"0000"))</f>
        <v>0</v>
      </c>
      <c r="C426" s="17">
        <f>IF(B426="","",IFERROR(INDEX(Recipes!$B$5:$B$204,MATCH(B426,Recipes!$A$5:$A$204,0)),"Not found"))</f>
        <v>0</v>
      </c>
      <c r="J426" s="45">
        <f>IF(E426="","",IFERROR(E426*INDEX(UnitFactors,MATCH(F426,UnitNames,0)),""))</f>
        <v>0</v>
      </c>
      <c r="K426" s="17">
        <f>IF(F426="","",IFERROR(INDEX(UnitBases,MATCH(F426,UnitNames,0)),"?"))</f>
        <v>0</v>
      </c>
      <c r="L426" s="17">
        <f>IF(D426="","",IFERROR(INDEX(Ingredients!$G$5:$G$304,MATCH(D426,Ingredients!$B$5:$B$304,0)),"Add to Ingredients"))</f>
        <v>0</v>
      </c>
      <c r="M426" s="25">
        <f>IF(D426="","",IFERROR(INDEX(Ingredients!$J$5:$J$304,MATCH(D426,Ingredients!$B$5:$B$304,0)),"Add to Ingredients"))</f>
        <v>0</v>
      </c>
      <c r="N426" s="25">
        <f>IF(OR(J426="",M426="",NOT(ISNUMBER(M426))),"",IF(K426&lt;&gt;L426,"",J426*M426))</f>
        <v>0</v>
      </c>
      <c r="O426" s="25">
        <f>IF(N426="","",IFERROR(N426/INDEX(Recipes!$G$5:$G$204,MATCH(B426,Recipes!$A$5:$A$204,0)),""))</f>
        <v>0</v>
      </c>
      <c r="P426" s="30">
        <f>IF(J426="","",IF(K426="each",J426,J426/100))</f>
        <v>0</v>
      </c>
      <c r="Q426" s="30">
        <f>IFERROR(IF(P426="","",P426*INDEX(Ingredients!$P$5:$P$304,MATCH(D426,Ingredients!$B$5:$B$304,0))),"")</f>
        <v>0</v>
      </c>
      <c r="R426" s="45">
        <f>IFERROR(IF(P426="","",P426*INDEX(Ingredients!$Q$5:$Q$304,MATCH(D426,Ingredients!$B$5:$B$304,0))),"")</f>
        <v>0</v>
      </c>
      <c r="S426" s="45">
        <f>IFERROR(IF(P426="","",P426*INDEX(Ingredients!$R$5:$R$304,MATCH(D426,Ingredients!$B$5:$B$304,0))),"")</f>
        <v>0</v>
      </c>
      <c r="T426" s="45">
        <f>IFERROR(IF(P426="","",P426*INDEX(Ingredients!$S$5:$S$304,MATCH(D426,Ingredients!$B$5:$B$304,0))),"")</f>
        <v>0</v>
      </c>
      <c r="U426" s="45">
        <f>IFERROR(IF(P426="","",P426*INDEX(Ingredients!$T$5:$T$304,MATCH(D426,Ingredients!$B$5:$B$304,0))),"")</f>
        <v>0</v>
      </c>
      <c r="V426" s="17">
        <f>IF(D426="","",IFERROR(INDEX(Ingredients!$W$5:$W$304,MATCH(D426,Ingredients!$B$5:$B$304,0)),"Add to Ingredients"))</f>
        <v>0</v>
      </c>
      <c r="W426" s="17">
        <f>IF(D426="","",IFERROR(INDEX(Ingredients!$C$5:$C$304,MATCH(D426,Ingredients!$B$5:$B$304,0)),"Add to Ingredients"))</f>
        <v>0</v>
      </c>
      <c r="X426" s="45">
        <f>IFERROR(INDEX(Recipes!$AT$5:$AT$204,MATCH(B426,Recipes!$A$5:$A$204,0)),0)</f>
        <v>0</v>
      </c>
      <c r="Y426" s="45">
        <f>IF(OR(J426="",X426=0),"",J426*X426)</f>
        <v>0</v>
      </c>
      <c r="Z426" s="17">
        <f>IF(D426="","",B426&amp;"#"&amp;COUNTIFS($B$5:B426,B426))</f>
        <v>0</v>
      </c>
      <c r="AA426" s="17">
        <f>IF(D426="","",B426&amp;"|"&amp;D426)</f>
        <v>0</v>
      </c>
      <c r="AB426" s="31">
        <f>IF(D426="","",IF(B426="","Add - which recipe?",IF(COUNTIFS(Ingredients!$B$5:$B$304,D426)=0,"Missing - not in the Ingredients tab",IF(E426="","Add - no quantity",IF(F426="","Add - no unit",IF(K426&lt;&gt;L426,"Check - recipe in "&amp;K426&amp;", priced in "&amp;L426,IF(COUNTIFS($AA$5:$AA$1204,AA426)&gt;1,"Duplicate - same ingredient twice","OK")))))))</f>
        <v>0</v>
      </c>
    </row>
    <row r="427" spans="1:28">
      <c r="A427" s="39">
        <f>IF(D427="","","RL-"&amp;TEXT(ROW()-4,"0000"))</f>
        <v>0</v>
      </c>
      <c r="C427" s="17">
        <f>IF(B427="","",IFERROR(INDEX(Recipes!$B$5:$B$204,MATCH(B427,Recipes!$A$5:$A$204,0)),"Not found"))</f>
        <v>0</v>
      </c>
      <c r="J427" s="45">
        <f>IF(E427="","",IFERROR(E427*INDEX(UnitFactors,MATCH(F427,UnitNames,0)),""))</f>
        <v>0</v>
      </c>
      <c r="K427" s="17">
        <f>IF(F427="","",IFERROR(INDEX(UnitBases,MATCH(F427,UnitNames,0)),"?"))</f>
        <v>0</v>
      </c>
      <c r="L427" s="17">
        <f>IF(D427="","",IFERROR(INDEX(Ingredients!$G$5:$G$304,MATCH(D427,Ingredients!$B$5:$B$304,0)),"Add to Ingredients"))</f>
        <v>0</v>
      </c>
      <c r="M427" s="25">
        <f>IF(D427="","",IFERROR(INDEX(Ingredients!$J$5:$J$304,MATCH(D427,Ingredients!$B$5:$B$304,0)),"Add to Ingredients"))</f>
        <v>0</v>
      </c>
      <c r="N427" s="25">
        <f>IF(OR(J427="",M427="",NOT(ISNUMBER(M427))),"",IF(K427&lt;&gt;L427,"",J427*M427))</f>
        <v>0</v>
      </c>
      <c r="O427" s="25">
        <f>IF(N427="","",IFERROR(N427/INDEX(Recipes!$G$5:$G$204,MATCH(B427,Recipes!$A$5:$A$204,0)),""))</f>
        <v>0</v>
      </c>
      <c r="P427" s="30">
        <f>IF(J427="","",IF(K427="each",J427,J427/100))</f>
        <v>0</v>
      </c>
      <c r="Q427" s="30">
        <f>IFERROR(IF(P427="","",P427*INDEX(Ingredients!$P$5:$P$304,MATCH(D427,Ingredients!$B$5:$B$304,0))),"")</f>
        <v>0</v>
      </c>
      <c r="R427" s="45">
        <f>IFERROR(IF(P427="","",P427*INDEX(Ingredients!$Q$5:$Q$304,MATCH(D427,Ingredients!$B$5:$B$304,0))),"")</f>
        <v>0</v>
      </c>
      <c r="S427" s="45">
        <f>IFERROR(IF(P427="","",P427*INDEX(Ingredients!$R$5:$R$304,MATCH(D427,Ingredients!$B$5:$B$304,0))),"")</f>
        <v>0</v>
      </c>
      <c r="T427" s="45">
        <f>IFERROR(IF(P427="","",P427*INDEX(Ingredients!$S$5:$S$304,MATCH(D427,Ingredients!$B$5:$B$304,0))),"")</f>
        <v>0</v>
      </c>
      <c r="U427" s="45">
        <f>IFERROR(IF(P427="","",P427*INDEX(Ingredients!$T$5:$T$304,MATCH(D427,Ingredients!$B$5:$B$304,0))),"")</f>
        <v>0</v>
      </c>
      <c r="V427" s="17">
        <f>IF(D427="","",IFERROR(INDEX(Ingredients!$W$5:$W$304,MATCH(D427,Ingredients!$B$5:$B$304,0)),"Add to Ingredients"))</f>
        <v>0</v>
      </c>
      <c r="W427" s="17">
        <f>IF(D427="","",IFERROR(INDEX(Ingredients!$C$5:$C$304,MATCH(D427,Ingredients!$B$5:$B$304,0)),"Add to Ingredients"))</f>
        <v>0</v>
      </c>
      <c r="X427" s="45">
        <f>IFERROR(INDEX(Recipes!$AT$5:$AT$204,MATCH(B427,Recipes!$A$5:$A$204,0)),0)</f>
        <v>0</v>
      </c>
      <c r="Y427" s="45">
        <f>IF(OR(J427="",X427=0),"",J427*X427)</f>
        <v>0</v>
      </c>
      <c r="Z427" s="17">
        <f>IF(D427="","",B427&amp;"#"&amp;COUNTIFS($B$5:B427,B427))</f>
        <v>0</v>
      </c>
      <c r="AA427" s="17">
        <f>IF(D427="","",B427&amp;"|"&amp;D427)</f>
        <v>0</v>
      </c>
      <c r="AB427" s="31">
        <f>IF(D427="","",IF(B427="","Add - which recipe?",IF(COUNTIFS(Ingredients!$B$5:$B$304,D427)=0,"Missing - not in the Ingredients tab",IF(E427="","Add - no quantity",IF(F427="","Add - no unit",IF(K427&lt;&gt;L427,"Check - recipe in "&amp;K427&amp;", priced in "&amp;L427,IF(COUNTIFS($AA$5:$AA$1204,AA427)&gt;1,"Duplicate - same ingredient twice","OK")))))))</f>
        <v>0</v>
      </c>
    </row>
    <row r="428" spans="1:28">
      <c r="A428" s="39">
        <f>IF(D428="","","RL-"&amp;TEXT(ROW()-4,"0000"))</f>
        <v>0</v>
      </c>
      <c r="C428" s="17">
        <f>IF(B428="","",IFERROR(INDEX(Recipes!$B$5:$B$204,MATCH(B428,Recipes!$A$5:$A$204,0)),"Not found"))</f>
        <v>0</v>
      </c>
      <c r="J428" s="45">
        <f>IF(E428="","",IFERROR(E428*INDEX(UnitFactors,MATCH(F428,UnitNames,0)),""))</f>
        <v>0</v>
      </c>
      <c r="K428" s="17">
        <f>IF(F428="","",IFERROR(INDEX(UnitBases,MATCH(F428,UnitNames,0)),"?"))</f>
        <v>0</v>
      </c>
      <c r="L428" s="17">
        <f>IF(D428="","",IFERROR(INDEX(Ingredients!$G$5:$G$304,MATCH(D428,Ingredients!$B$5:$B$304,0)),"Add to Ingredients"))</f>
        <v>0</v>
      </c>
      <c r="M428" s="25">
        <f>IF(D428="","",IFERROR(INDEX(Ingredients!$J$5:$J$304,MATCH(D428,Ingredients!$B$5:$B$304,0)),"Add to Ingredients"))</f>
        <v>0</v>
      </c>
      <c r="N428" s="25">
        <f>IF(OR(J428="",M428="",NOT(ISNUMBER(M428))),"",IF(K428&lt;&gt;L428,"",J428*M428))</f>
        <v>0</v>
      </c>
      <c r="O428" s="25">
        <f>IF(N428="","",IFERROR(N428/INDEX(Recipes!$G$5:$G$204,MATCH(B428,Recipes!$A$5:$A$204,0)),""))</f>
        <v>0</v>
      </c>
      <c r="P428" s="30">
        <f>IF(J428="","",IF(K428="each",J428,J428/100))</f>
        <v>0</v>
      </c>
      <c r="Q428" s="30">
        <f>IFERROR(IF(P428="","",P428*INDEX(Ingredients!$P$5:$P$304,MATCH(D428,Ingredients!$B$5:$B$304,0))),"")</f>
        <v>0</v>
      </c>
      <c r="R428" s="45">
        <f>IFERROR(IF(P428="","",P428*INDEX(Ingredients!$Q$5:$Q$304,MATCH(D428,Ingredients!$B$5:$B$304,0))),"")</f>
        <v>0</v>
      </c>
      <c r="S428" s="45">
        <f>IFERROR(IF(P428="","",P428*INDEX(Ingredients!$R$5:$R$304,MATCH(D428,Ingredients!$B$5:$B$304,0))),"")</f>
        <v>0</v>
      </c>
      <c r="T428" s="45">
        <f>IFERROR(IF(P428="","",P428*INDEX(Ingredients!$S$5:$S$304,MATCH(D428,Ingredients!$B$5:$B$304,0))),"")</f>
        <v>0</v>
      </c>
      <c r="U428" s="45">
        <f>IFERROR(IF(P428="","",P428*INDEX(Ingredients!$T$5:$T$304,MATCH(D428,Ingredients!$B$5:$B$304,0))),"")</f>
        <v>0</v>
      </c>
      <c r="V428" s="17">
        <f>IF(D428="","",IFERROR(INDEX(Ingredients!$W$5:$W$304,MATCH(D428,Ingredients!$B$5:$B$304,0)),"Add to Ingredients"))</f>
        <v>0</v>
      </c>
      <c r="W428" s="17">
        <f>IF(D428="","",IFERROR(INDEX(Ingredients!$C$5:$C$304,MATCH(D428,Ingredients!$B$5:$B$304,0)),"Add to Ingredients"))</f>
        <v>0</v>
      </c>
      <c r="X428" s="45">
        <f>IFERROR(INDEX(Recipes!$AT$5:$AT$204,MATCH(B428,Recipes!$A$5:$A$204,0)),0)</f>
        <v>0</v>
      </c>
      <c r="Y428" s="45">
        <f>IF(OR(J428="",X428=0),"",J428*X428)</f>
        <v>0</v>
      </c>
      <c r="Z428" s="17">
        <f>IF(D428="","",B428&amp;"#"&amp;COUNTIFS($B$5:B428,B428))</f>
        <v>0</v>
      </c>
      <c r="AA428" s="17">
        <f>IF(D428="","",B428&amp;"|"&amp;D428)</f>
        <v>0</v>
      </c>
      <c r="AB428" s="31">
        <f>IF(D428="","",IF(B428="","Add - which recipe?",IF(COUNTIFS(Ingredients!$B$5:$B$304,D428)=0,"Missing - not in the Ingredients tab",IF(E428="","Add - no quantity",IF(F428="","Add - no unit",IF(K428&lt;&gt;L428,"Check - recipe in "&amp;K428&amp;", priced in "&amp;L428,IF(COUNTIFS($AA$5:$AA$1204,AA428)&gt;1,"Duplicate - same ingredient twice","OK")))))))</f>
        <v>0</v>
      </c>
    </row>
    <row r="429" spans="1:28">
      <c r="A429" s="39">
        <f>IF(D429="","","RL-"&amp;TEXT(ROW()-4,"0000"))</f>
        <v>0</v>
      </c>
      <c r="C429" s="17">
        <f>IF(B429="","",IFERROR(INDEX(Recipes!$B$5:$B$204,MATCH(B429,Recipes!$A$5:$A$204,0)),"Not found"))</f>
        <v>0</v>
      </c>
      <c r="J429" s="45">
        <f>IF(E429="","",IFERROR(E429*INDEX(UnitFactors,MATCH(F429,UnitNames,0)),""))</f>
        <v>0</v>
      </c>
      <c r="K429" s="17">
        <f>IF(F429="","",IFERROR(INDEX(UnitBases,MATCH(F429,UnitNames,0)),"?"))</f>
        <v>0</v>
      </c>
      <c r="L429" s="17">
        <f>IF(D429="","",IFERROR(INDEX(Ingredients!$G$5:$G$304,MATCH(D429,Ingredients!$B$5:$B$304,0)),"Add to Ingredients"))</f>
        <v>0</v>
      </c>
      <c r="M429" s="25">
        <f>IF(D429="","",IFERROR(INDEX(Ingredients!$J$5:$J$304,MATCH(D429,Ingredients!$B$5:$B$304,0)),"Add to Ingredients"))</f>
        <v>0</v>
      </c>
      <c r="N429" s="25">
        <f>IF(OR(J429="",M429="",NOT(ISNUMBER(M429))),"",IF(K429&lt;&gt;L429,"",J429*M429))</f>
        <v>0</v>
      </c>
      <c r="O429" s="25">
        <f>IF(N429="","",IFERROR(N429/INDEX(Recipes!$G$5:$G$204,MATCH(B429,Recipes!$A$5:$A$204,0)),""))</f>
        <v>0</v>
      </c>
      <c r="P429" s="30">
        <f>IF(J429="","",IF(K429="each",J429,J429/100))</f>
        <v>0</v>
      </c>
      <c r="Q429" s="30">
        <f>IFERROR(IF(P429="","",P429*INDEX(Ingredients!$P$5:$P$304,MATCH(D429,Ingredients!$B$5:$B$304,0))),"")</f>
        <v>0</v>
      </c>
      <c r="R429" s="45">
        <f>IFERROR(IF(P429="","",P429*INDEX(Ingredients!$Q$5:$Q$304,MATCH(D429,Ingredients!$B$5:$B$304,0))),"")</f>
        <v>0</v>
      </c>
      <c r="S429" s="45">
        <f>IFERROR(IF(P429="","",P429*INDEX(Ingredients!$R$5:$R$304,MATCH(D429,Ingredients!$B$5:$B$304,0))),"")</f>
        <v>0</v>
      </c>
      <c r="T429" s="45">
        <f>IFERROR(IF(P429="","",P429*INDEX(Ingredients!$S$5:$S$304,MATCH(D429,Ingredients!$B$5:$B$304,0))),"")</f>
        <v>0</v>
      </c>
      <c r="U429" s="45">
        <f>IFERROR(IF(P429="","",P429*INDEX(Ingredients!$T$5:$T$304,MATCH(D429,Ingredients!$B$5:$B$304,0))),"")</f>
        <v>0</v>
      </c>
      <c r="V429" s="17">
        <f>IF(D429="","",IFERROR(INDEX(Ingredients!$W$5:$W$304,MATCH(D429,Ingredients!$B$5:$B$304,0)),"Add to Ingredients"))</f>
        <v>0</v>
      </c>
      <c r="W429" s="17">
        <f>IF(D429="","",IFERROR(INDEX(Ingredients!$C$5:$C$304,MATCH(D429,Ingredients!$B$5:$B$304,0)),"Add to Ingredients"))</f>
        <v>0</v>
      </c>
      <c r="X429" s="45">
        <f>IFERROR(INDEX(Recipes!$AT$5:$AT$204,MATCH(B429,Recipes!$A$5:$A$204,0)),0)</f>
        <v>0</v>
      </c>
      <c r="Y429" s="45">
        <f>IF(OR(J429="",X429=0),"",J429*X429)</f>
        <v>0</v>
      </c>
      <c r="Z429" s="17">
        <f>IF(D429="","",B429&amp;"#"&amp;COUNTIFS($B$5:B429,B429))</f>
        <v>0</v>
      </c>
      <c r="AA429" s="17">
        <f>IF(D429="","",B429&amp;"|"&amp;D429)</f>
        <v>0</v>
      </c>
      <c r="AB429" s="31">
        <f>IF(D429="","",IF(B429="","Add - which recipe?",IF(COUNTIFS(Ingredients!$B$5:$B$304,D429)=0,"Missing - not in the Ingredients tab",IF(E429="","Add - no quantity",IF(F429="","Add - no unit",IF(K429&lt;&gt;L429,"Check - recipe in "&amp;K429&amp;", priced in "&amp;L429,IF(COUNTIFS($AA$5:$AA$1204,AA429)&gt;1,"Duplicate - same ingredient twice","OK")))))))</f>
        <v>0</v>
      </c>
    </row>
    <row r="430" spans="1:28">
      <c r="A430" s="39">
        <f>IF(D430="","","RL-"&amp;TEXT(ROW()-4,"0000"))</f>
        <v>0</v>
      </c>
      <c r="C430" s="17">
        <f>IF(B430="","",IFERROR(INDEX(Recipes!$B$5:$B$204,MATCH(B430,Recipes!$A$5:$A$204,0)),"Not found"))</f>
        <v>0</v>
      </c>
      <c r="J430" s="45">
        <f>IF(E430="","",IFERROR(E430*INDEX(UnitFactors,MATCH(F430,UnitNames,0)),""))</f>
        <v>0</v>
      </c>
      <c r="K430" s="17">
        <f>IF(F430="","",IFERROR(INDEX(UnitBases,MATCH(F430,UnitNames,0)),"?"))</f>
        <v>0</v>
      </c>
      <c r="L430" s="17">
        <f>IF(D430="","",IFERROR(INDEX(Ingredients!$G$5:$G$304,MATCH(D430,Ingredients!$B$5:$B$304,0)),"Add to Ingredients"))</f>
        <v>0</v>
      </c>
      <c r="M430" s="25">
        <f>IF(D430="","",IFERROR(INDEX(Ingredients!$J$5:$J$304,MATCH(D430,Ingredients!$B$5:$B$304,0)),"Add to Ingredients"))</f>
        <v>0</v>
      </c>
      <c r="N430" s="25">
        <f>IF(OR(J430="",M430="",NOT(ISNUMBER(M430))),"",IF(K430&lt;&gt;L430,"",J430*M430))</f>
        <v>0</v>
      </c>
      <c r="O430" s="25">
        <f>IF(N430="","",IFERROR(N430/INDEX(Recipes!$G$5:$G$204,MATCH(B430,Recipes!$A$5:$A$204,0)),""))</f>
        <v>0</v>
      </c>
      <c r="P430" s="30">
        <f>IF(J430="","",IF(K430="each",J430,J430/100))</f>
        <v>0</v>
      </c>
      <c r="Q430" s="30">
        <f>IFERROR(IF(P430="","",P430*INDEX(Ingredients!$P$5:$P$304,MATCH(D430,Ingredients!$B$5:$B$304,0))),"")</f>
        <v>0</v>
      </c>
      <c r="R430" s="45">
        <f>IFERROR(IF(P430="","",P430*INDEX(Ingredients!$Q$5:$Q$304,MATCH(D430,Ingredients!$B$5:$B$304,0))),"")</f>
        <v>0</v>
      </c>
      <c r="S430" s="45">
        <f>IFERROR(IF(P430="","",P430*INDEX(Ingredients!$R$5:$R$304,MATCH(D430,Ingredients!$B$5:$B$304,0))),"")</f>
        <v>0</v>
      </c>
      <c r="T430" s="45">
        <f>IFERROR(IF(P430="","",P430*INDEX(Ingredients!$S$5:$S$304,MATCH(D430,Ingredients!$B$5:$B$304,0))),"")</f>
        <v>0</v>
      </c>
      <c r="U430" s="45">
        <f>IFERROR(IF(P430="","",P430*INDEX(Ingredients!$T$5:$T$304,MATCH(D430,Ingredients!$B$5:$B$304,0))),"")</f>
        <v>0</v>
      </c>
      <c r="V430" s="17">
        <f>IF(D430="","",IFERROR(INDEX(Ingredients!$W$5:$W$304,MATCH(D430,Ingredients!$B$5:$B$304,0)),"Add to Ingredients"))</f>
        <v>0</v>
      </c>
      <c r="W430" s="17">
        <f>IF(D430="","",IFERROR(INDEX(Ingredients!$C$5:$C$304,MATCH(D430,Ingredients!$B$5:$B$304,0)),"Add to Ingredients"))</f>
        <v>0</v>
      </c>
      <c r="X430" s="45">
        <f>IFERROR(INDEX(Recipes!$AT$5:$AT$204,MATCH(B430,Recipes!$A$5:$A$204,0)),0)</f>
        <v>0</v>
      </c>
      <c r="Y430" s="45">
        <f>IF(OR(J430="",X430=0),"",J430*X430)</f>
        <v>0</v>
      </c>
      <c r="Z430" s="17">
        <f>IF(D430="","",B430&amp;"#"&amp;COUNTIFS($B$5:B430,B430))</f>
        <v>0</v>
      </c>
      <c r="AA430" s="17">
        <f>IF(D430="","",B430&amp;"|"&amp;D430)</f>
        <v>0</v>
      </c>
      <c r="AB430" s="31">
        <f>IF(D430="","",IF(B430="","Add - which recipe?",IF(COUNTIFS(Ingredients!$B$5:$B$304,D430)=0,"Missing - not in the Ingredients tab",IF(E430="","Add - no quantity",IF(F430="","Add - no unit",IF(K430&lt;&gt;L430,"Check - recipe in "&amp;K430&amp;", priced in "&amp;L430,IF(COUNTIFS($AA$5:$AA$1204,AA430)&gt;1,"Duplicate - same ingredient twice","OK")))))))</f>
        <v>0</v>
      </c>
    </row>
    <row r="431" spans="1:28">
      <c r="A431" s="39">
        <f>IF(D431="","","RL-"&amp;TEXT(ROW()-4,"0000"))</f>
        <v>0</v>
      </c>
      <c r="C431" s="17">
        <f>IF(B431="","",IFERROR(INDEX(Recipes!$B$5:$B$204,MATCH(B431,Recipes!$A$5:$A$204,0)),"Not found"))</f>
        <v>0</v>
      </c>
      <c r="J431" s="45">
        <f>IF(E431="","",IFERROR(E431*INDEX(UnitFactors,MATCH(F431,UnitNames,0)),""))</f>
        <v>0</v>
      </c>
      <c r="K431" s="17">
        <f>IF(F431="","",IFERROR(INDEX(UnitBases,MATCH(F431,UnitNames,0)),"?"))</f>
        <v>0</v>
      </c>
      <c r="L431" s="17">
        <f>IF(D431="","",IFERROR(INDEX(Ingredients!$G$5:$G$304,MATCH(D431,Ingredients!$B$5:$B$304,0)),"Add to Ingredients"))</f>
        <v>0</v>
      </c>
      <c r="M431" s="25">
        <f>IF(D431="","",IFERROR(INDEX(Ingredients!$J$5:$J$304,MATCH(D431,Ingredients!$B$5:$B$304,0)),"Add to Ingredients"))</f>
        <v>0</v>
      </c>
      <c r="N431" s="25">
        <f>IF(OR(J431="",M431="",NOT(ISNUMBER(M431))),"",IF(K431&lt;&gt;L431,"",J431*M431))</f>
        <v>0</v>
      </c>
      <c r="O431" s="25">
        <f>IF(N431="","",IFERROR(N431/INDEX(Recipes!$G$5:$G$204,MATCH(B431,Recipes!$A$5:$A$204,0)),""))</f>
        <v>0</v>
      </c>
      <c r="P431" s="30">
        <f>IF(J431="","",IF(K431="each",J431,J431/100))</f>
        <v>0</v>
      </c>
      <c r="Q431" s="30">
        <f>IFERROR(IF(P431="","",P431*INDEX(Ingredients!$P$5:$P$304,MATCH(D431,Ingredients!$B$5:$B$304,0))),"")</f>
        <v>0</v>
      </c>
      <c r="R431" s="45">
        <f>IFERROR(IF(P431="","",P431*INDEX(Ingredients!$Q$5:$Q$304,MATCH(D431,Ingredients!$B$5:$B$304,0))),"")</f>
        <v>0</v>
      </c>
      <c r="S431" s="45">
        <f>IFERROR(IF(P431="","",P431*INDEX(Ingredients!$R$5:$R$304,MATCH(D431,Ingredients!$B$5:$B$304,0))),"")</f>
        <v>0</v>
      </c>
      <c r="T431" s="45">
        <f>IFERROR(IF(P431="","",P431*INDEX(Ingredients!$S$5:$S$304,MATCH(D431,Ingredients!$B$5:$B$304,0))),"")</f>
        <v>0</v>
      </c>
      <c r="U431" s="45">
        <f>IFERROR(IF(P431="","",P431*INDEX(Ingredients!$T$5:$T$304,MATCH(D431,Ingredients!$B$5:$B$304,0))),"")</f>
        <v>0</v>
      </c>
      <c r="V431" s="17">
        <f>IF(D431="","",IFERROR(INDEX(Ingredients!$W$5:$W$304,MATCH(D431,Ingredients!$B$5:$B$304,0)),"Add to Ingredients"))</f>
        <v>0</v>
      </c>
      <c r="W431" s="17">
        <f>IF(D431="","",IFERROR(INDEX(Ingredients!$C$5:$C$304,MATCH(D431,Ingredients!$B$5:$B$304,0)),"Add to Ingredients"))</f>
        <v>0</v>
      </c>
      <c r="X431" s="45">
        <f>IFERROR(INDEX(Recipes!$AT$5:$AT$204,MATCH(B431,Recipes!$A$5:$A$204,0)),0)</f>
        <v>0</v>
      </c>
      <c r="Y431" s="45">
        <f>IF(OR(J431="",X431=0),"",J431*X431)</f>
        <v>0</v>
      </c>
      <c r="Z431" s="17">
        <f>IF(D431="","",B431&amp;"#"&amp;COUNTIFS($B$5:B431,B431))</f>
        <v>0</v>
      </c>
      <c r="AA431" s="17">
        <f>IF(D431="","",B431&amp;"|"&amp;D431)</f>
        <v>0</v>
      </c>
      <c r="AB431" s="31">
        <f>IF(D431="","",IF(B431="","Add - which recipe?",IF(COUNTIFS(Ingredients!$B$5:$B$304,D431)=0,"Missing - not in the Ingredients tab",IF(E431="","Add - no quantity",IF(F431="","Add - no unit",IF(K431&lt;&gt;L431,"Check - recipe in "&amp;K431&amp;", priced in "&amp;L431,IF(COUNTIFS($AA$5:$AA$1204,AA431)&gt;1,"Duplicate - same ingredient twice","OK")))))))</f>
        <v>0</v>
      </c>
    </row>
    <row r="432" spans="1:28">
      <c r="A432" s="39">
        <f>IF(D432="","","RL-"&amp;TEXT(ROW()-4,"0000"))</f>
        <v>0</v>
      </c>
      <c r="C432" s="17">
        <f>IF(B432="","",IFERROR(INDEX(Recipes!$B$5:$B$204,MATCH(B432,Recipes!$A$5:$A$204,0)),"Not found"))</f>
        <v>0</v>
      </c>
      <c r="J432" s="45">
        <f>IF(E432="","",IFERROR(E432*INDEX(UnitFactors,MATCH(F432,UnitNames,0)),""))</f>
        <v>0</v>
      </c>
      <c r="K432" s="17">
        <f>IF(F432="","",IFERROR(INDEX(UnitBases,MATCH(F432,UnitNames,0)),"?"))</f>
        <v>0</v>
      </c>
      <c r="L432" s="17">
        <f>IF(D432="","",IFERROR(INDEX(Ingredients!$G$5:$G$304,MATCH(D432,Ingredients!$B$5:$B$304,0)),"Add to Ingredients"))</f>
        <v>0</v>
      </c>
      <c r="M432" s="25">
        <f>IF(D432="","",IFERROR(INDEX(Ingredients!$J$5:$J$304,MATCH(D432,Ingredients!$B$5:$B$304,0)),"Add to Ingredients"))</f>
        <v>0</v>
      </c>
      <c r="N432" s="25">
        <f>IF(OR(J432="",M432="",NOT(ISNUMBER(M432))),"",IF(K432&lt;&gt;L432,"",J432*M432))</f>
        <v>0</v>
      </c>
      <c r="O432" s="25">
        <f>IF(N432="","",IFERROR(N432/INDEX(Recipes!$G$5:$G$204,MATCH(B432,Recipes!$A$5:$A$204,0)),""))</f>
        <v>0</v>
      </c>
      <c r="P432" s="30">
        <f>IF(J432="","",IF(K432="each",J432,J432/100))</f>
        <v>0</v>
      </c>
      <c r="Q432" s="30">
        <f>IFERROR(IF(P432="","",P432*INDEX(Ingredients!$P$5:$P$304,MATCH(D432,Ingredients!$B$5:$B$304,0))),"")</f>
        <v>0</v>
      </c>
      <c r="R432" s="45">
        <f>IFERROR(IF(P432="","",P432*INDEX(Ingredients!$Q$5:$Q$304,MATCH(D432,Ingredients!$B$5:$B$304,0))),"")</f>
        <v>0</v>
      </c>
      <c r="S432" s="45">
        <f>IFERROR(IF(P432="","",P432*INDEX(Ingredients!$R$5:$R$304,MATCH(D432,Ingredients!$B$5:$B$304,0))),"")</f>
        <v>0</v>
      </c>
      <c r="T432" s="45">
        <f>IFERROR(IF(P432="","",P432*INDEX(Ingredients!$S$5:$S$304,MATCH(D432,Ingredients!$B$5:$B$304,0))),"")</f>
        <v>0</v>
      </c>
      <c r="U432" s="45">
        <f>IFERROR(IF(P432="","",P432*INDEX(Ingredients!$T$5:$T$304,MATCH(D432,Ingredients!$B$5:$B$304,0))),"")</f>
        <v>0</v>
      </c>
      <c r="V432" s="17">
        <f>IF(D432="","",IFERROR(INDEX(Ingredients!$W$5:$W$304,MATCH(D432,Ingredients!$B$5:$B$304,0)),"Add to Ingredients"))</f>
        <v>0</v>
      </c>
      <c r="W432" s="17">
        <f>IF(D432="","",IFERROR(INDEX(Ingredients!$C$5:$C$304,MATCH(D432,Ingredients!$B$5:$B$304,0)),"Add to Ingredients"))</f>
        <v>0</v>
      </c>
      <c r="X432" s="45">
        <f>IFERROR(INDEX(Recipes!$AT$5:$AT$204,MATCH(B432,Recipes!$A$5:$A$204,0)),0)</f>
        <v>0</v>
      </c>
      <c r="Y432" s="45">
        <f>IF(OR(J432="",X432=0),"",J432*X432)</f>
        <v>0</v>
      </c>
      <c r="Z432" s="17">
        <f>IF(D432="","",B432&amp;"#"&amp;COUNTIFS($B$5:B432,B432))</f>
        <v>0</v>
      </c>
      <c r="AA432" s="17">
        <f>IF(D432="","",B432&amp;"|"&amp;D432)</f>
        <v>0</v>
      </c>
      <c r="AB432" s="31">
        <f>IF(D432="","",IF(B432="","Add - which recipe?",IF(COUNTIFS(Ingredients!$B$5:$B$304,D432)=0,"Missing - not in the Ingredients tab",IF(E432="","Add - no quantity",IF(F432="","Add - no unit",IF(K432&lt;&gt;L432,"Check - recipe in "&amp;K432&amp;", priced in "&amp;L432,IF(COUNTIFS($AA$5:$AA$1204,AA432)&gt;1,"Duplicate - same ingredient twice","OK")))))))</f>
        <v>0</v>
      </c>
    </row>
    <row r="433" spans="1:28">
      <c r="A433" s="39">
        <f>IF(D433="","","RL-"&amp;TEXT(ROW()-4,"0000"))</f>
        <v>0</v>
      </c>
      <c r="C433" s="17">
        <f>IF(B433="","",IFERROR(INDEX(Recipes!$B$5:$B$204,MATCH(B433,Recipes!$A$5:$A$204,0)),"Not found"))</f>
        <v>0</v>
      </c>
      <c r="J433" s="45">
        <f>IF(E433="","",IFERROR(E433*INDEX(UnitFactors,MATCH(F433,UnitNames,0)),""))</f>
        <v>0</v>
      </c>
      <c r="K433" s="17">
        <f>IF(F433="","",IFERROR(INDEX(UnitBases,MATCH(F433,UnitNames,0)),"?"))</f>
        <v>0</v>
      </c>
      <c r="L433" s="17">
        <f>IF(D433="","",IFERROR(INDEX(Ingredients!$G$5:$G$304,MATCH(D433,Ingredients!$B$5:$B$304,0)),"Add to Ingredients"))</f>
        <v>0</v>
      </c>
      <c r="M433" s="25">
        <f>IF(D433="","",IFERROR(INDEX(Ingredients!$J$5:$J$304,MATCH(D433,Ingredients!$B$5:$B$304,0)),"Add to Ingredients"))</f>
        <v>0</v>
      </c>
      <c r="N433" s="25">
        <f>IF(OR(J433="",M433="",NOT(ISNUMBER(M433))),"",IF(K433&lt;&gt;L433,"",J433*M433))</f>
        <v>0</v>
      </c>
      <c r="O433" s="25">
        <f>IF(N433="","",IFERROR(N433/INDEX(Recipes!$G$5:$G$204,MATCH(B433,Recipes!$A$5:$A$204,0)),""))</f>
        <v>0</v>
      </c>
      <c r="P433" s="30">
        <f>IF(J433="","",IF(K433="each",J433,J433/100))</f>
        <v>0</v>
      </c>
      <c r="Q433" s="30">
        <f>IFERROR(IF(P433="","",P433*INDEX(Ingredients!$P$5:$P$304,MATCH(D433,Ingredients!$B$5:$B$304,0))),"")</f>
        <v>0</v>
      </c>
      <c r="R433" s="45">
        <f>IFERROR(IF(P433="","",P433*INDEX(Ingredients!$Q$5:$Q$304,MATCH(D433,Ingredients!$B$5:$B$304,0))),"")</f>
        <v>0</v>
      </c>
      <c r="S433" s="45">
        <f>IFERROR(IF(P433="","",P433*INDEX(Ingredients!$R$5:$R$304,MATCH(D433,Ingredients!$B$5:$B$304,0))),"")</f>
        <v>0</v>
      </c>
      <c r="T433" s="45">
        <f>IFERROR(IF(P433="","",P433*INDEX(Ingredients!$S$5:$S$304,MATCH(D433,Ingredients!$B$5:$B$304,0))),"")</f>
        <v>0</v>
      </c>
      <c r="U433" s="45">
        <f>IFERROR(IF(P433="","",P433*INDEX(Ingredients!$T$5:$T$304,MATCH(D433,Ingredients!$B$5:$B$304,0))),"")</f>
        <v>0</v>
      </c>
      <c r="V433" s="17">
        <f>IF(D433="","",IFERROR(INDEX(Ingredients!$W$5:$W$304,MATCH(D433,Ingredients!$B$5:$B$304,0)),"Add to Ingredients"))</f>
        <v>0</v>
      </c>
      <c r="W433" s="17">
        <f>IF(D433="","",IFERROR(INDEX(Ingredients!$C$5:$C$304,MATCH(D433,Ingredients!$B$5:$B$304,0)),"Add to Ingredients"))</f>
        <v>0</v>
      </c>
      <c r="X433" s="45">
        <f>IFERROR(INDEX(Recipes!$AT$5:$AT$204,MATCH(B433,Recipes!$A$5:$A$204,0)),0)</f>
        <v>0</v>
      </c>
      <c r="Y433" s="45">
        <f>IF(OR(J433="",X433=0),"",J433*X433)</f>
        <v>0</v>
      </c>
      <c r="Z433" s="17">
        <f>IF(D433="","",B433&amp;"#"&amp;COUNTIFS($B$5:B433,B433))</f>
        <v>0</v>
      </c>
      <c r="AA433" s="17">
        <f>IF(D433="","",B433&amp;"|"&amp;D433)</f>
        <v>0</v>
      </c>
      <c r="AB433" s="31">
        <f>IF(D433="","",IF(B433="","Add - which recipe?",IF(COUNTIFS(Ingredients!$B$5:$B$304,D433)=0,"Missing - not in the Ingredients tab",IF(E433="","Add - no quantity",IF(F433="","Add - no unit",IF(K433&lt;&gt;L433,"Check - recipe in "&amp;K433&amp;", priced in "&amp;L433,IF(COUNTIFS($AA$5:$AA$1204,AA433)&gt;1,"Duplicate - same ingredient twice","OK")))))))</f>
        <v>0</v>
      </c>
    </row>
    <row r="434" spans="1:28">
      <c r="A434" s="39">
        <f>IF(D434="","","RL-"&amp;TEXT(ROW()-4,"0000"))</f>
        <v>0</v>
      </c>
      <c r="C434" s="17">
        <f>IF(B434="","",IFERROR(INDEX(Recipes!$B$5:$B$204,MATCH(B434,Recipes!$A$5:$A$204,0)),"Not found"))</f>
        <v>0</v>
      </c>
      <c r="J434" s="45">
        <f>IF(E434="","",IFERROR(E434*INDEX(UnitFactors,MATCH(F434,UnitNames,0)),""))</f>
        <v>0</v>
      </c>
      <c r="K434" s="17">
        <f>IF(F434="","",IFERROR(INDEX(UnitBases,MATCH(F434,UnitNames,0)),"?"))</f>
        <v>0</v>
      </c>
      <c r="L434" s="17">
        <f>IF(D434="","",IFERROR(INDEX(Ingredients!$G$5:$G$304,MATCH(D434,Ingredients!$B$5:$B$304,0)),"Add to Ingredients"))</f>
        <v>0</v>
      </c>
      <c r="M434" s="25">
        <f>IF(D434="","",IFERROR(INDEX(Ingredients!$J$5:$J$304,MATCH(D434,Ingredients!$B$5:$B$304,0)),"Add to Ingredients"))</f>
        <v>0</v>
      </c>
      <c r="N434" s="25">
        <f>IF(OR(J434="",M434="",NOT(ISNUMBER(M434))),"",IF(K434&lt;&gt;L434,"",J434*M434))</f>
        <v>0</v>
      </c>
      <c r="O434" s="25">
        <f>IF(N434="","",IFERROR(N434/INDEX(Recipes!$G$5:$G$204,MATCH(B434,Recipes!$A$5:$A$204,0)),""))</f>
        <v>0</v>
      </c>
      <c r="P434" s="30">
        <f>IF(J434="","",IF(K434="each",J434,J434/100))</f>
        <v>0</v>
      </c>
      <c r="Q434" s="30">
        <f>IFERROR(IF(P434="","",P434*INDEX(Ingredients!$P$5:$P$304,MATCH(D434,Ingredients!$B$5:$B$304,0))),"")</f>
        <v>0</v>
      </c>
      <c r="R434" s="45">
        <f>IFERROR(IF(P434="","",P434*INDEX(Ingredients!$Q$5:$Q$304,MATCH(D434,Ingredients!$B$5:$B$304,0))),"")</f>
        <v>0</v>
      </c>
      <c r="S434" s="45">
        <f>IFERROR(IF(P434="","",P434*INDEX(Ingredients!$R$5:$R$304,MATCH(D434,Ingredients!$B$5:$B$304,0))),"")</f>
        <v>0</v>
      </c>
      <c r="T434" s="45">
        <f>IFERROR(IF(P434="","",P434*INDEX(Ingredients!$S$5:$S$304,MATCH(D434,Ingredients!$B$5:$B$304,0))),"")</f>
        <v>0</v>
      </c>
      <c r="U434" s="45">
        <f>IFERROR(IF(P434="","",P434*INDEX(Ingredients!$T$5:$T$304,MATCH(D434,Ingredients!$B$5:$B$304,0))),"")</f>
        <v>0</v>
      </c>
      <c r="V434" s="17">
        <f>IF(D434="","",IFERROR(INDEX(Ingredients!$W$5:$W$304,MATCH(D434,Ingredients!$B$5:$B$304,0)),"Add to Ingredients"))</f>
        <v>0</v>
      </c>
      <c r="W434" s="17">
        <f>IF(D434="","",IFERROR(INDEX(Ingredients!$C$5:$C$304,MATCH(D434,Ingredients!$B$5:$B$304,0)),"Add to Ingredients"))</f>
        <v>0</v>
      </c>
      <c r="X434" s="45">
        <f>IFERROR(INDEX(Recipes!$AT$5:$AT$204,MATCH(B434,Recipes!$A$5:$A$204,0)),0)</f>
        <v>0</v>
      </c>
      <c r="Y434" s="45">
        <f>IF(OR(J434="",X434=0),"",J434*X434)</f>
        <v>0</v>
      </c>
      <c r="Z434" s="17">
        <f>IF(D434="","",B434&amp;"#"&amp;COUNTIFS($B$5:B434,B434))</f>
        <v>0</v>
      </c>
      <c r="AA434" s="17">
        <f>IF(D434="","",B434&amp;"|"&amp;D434)</f>
        <v>0</v>
      </c>
      <c r="AB434" s="31">
        <f>IF(D434="","",IF(B434="","Add - which recipe?",IF(COUNTIFS(Ingredients!$B$5:$B$304,D434)=0,"Missing - not in the Ingredients tab",IF(E434="","Add - no quantity",IF(F434="","Add - no unit",IF(K434&lt;&gt;L434,"Check - recipe in "&amp;K434&amp;", priced in "&amp;L434,IF(COUNTIFS($AA$5:$AA$1204,AA434)&gt;1,"Duplicate - same ingredient twice","OK")))))))</f>
        <v>0</v>
      </c>
    </row>
    <row r="435" spans="1:28">
      <c r="A435" s="39">
        <f>IF(D435="","","RL-"&amp;TEXT(ROW()-4,"0000"))</f>
        <v>0</v>
      </c>
      <c r="C435" s="17">
        <f>IF(B435="","",IFERROR(INDEX(Recipes!$B$5:$B$204,MATCH(B435,Recipes!$A$5:$A$204,0)),"Not found"))</f>
        <v>0</v>
      </c>
      <c r="J435" s="45">
        <f>IF(E435="","",IFERROR(E435*INDEX(UnitFactors,MATCH(F435,UnitNames,0)),""))</f>
        <v>0</v>
      </c>
      <c r="K435" s="17">
        <f>IF(F435="","",IFERROR(INDEX(UnitBases,MATCH(F435,UnitNames,0)),"?"))</f>
        <v>0</v>
      </c>
      <c r="L435" s="17">
        <f>IF(D435="","",IFERROR(INDEX(Ingredients!$G$5:$G$304,MATCH(D435,Ingredients!$B$5:$B$304,0)),"Add to Ingredients"))</f>
        <v>0</v>
      </c>
      <c r="M435" s="25">
        <f>IF(D435="","",IFERROR(INDEX(Ingredients!$J$5:$J$304,MATCH(D435,Ingredients!$B$5:$B$304,0)),"Add to Ingredients"))</f>
        <v>0</v>
      </c>
      <c r="N435" s="25">
        <f>IF(OR(J435="",M435="",NOT(ISNUMBER(M435))),"",IF(K435&lt;&gt;L435,"",J435*M435))</f>
        <v>0</v>
      </c>
      <c r="O435" s="25">
        <f>IF(N435="","",IFERROR(N435/INDEX(Recipes!$G$5:$G$204,MATCH(B435,Recipes!$A$5:$A$204,0)),""))</f>
        <v>0</v>
      </c>
      <c r="P435" s="30">
        <f>IF(J435="","",IF(K435="each",J435,J435/100))</f>
        <v>0</v>
      </c>
      <c r="Q435" s="30">
        <f>IFERROR(IF(P435="","",P435*INDEX(Ingredients!$P$5:$P$304,MATCH(D435,Ingredients!$B$5:$B$304,0))),"")</f>
        <v>0</v>
      </c>
      <c r="R435" s="45">
        <f>IFERROR(IF(P435="","",P435*INDEX(Ingredients!$Q$5:$Q$304,MATCH(D435,Ingredients!$B$5:$B$304,0))),"")</f>
        <v>0</v>
      </c>
      <c r="S435" s="45">
        <f>IFERROR(IF(P435="","",P435*INDEX(Ingredients!$R$5:$R$304,MATCH(D435,Ingredients!$B$5:$B$304,0))),"")</f>
        <v>0</v>
      </c>
      <c r="T435" s="45">
        <f>IFERROR(IF(P435="","",P435*INDEX(Ingredients!$S$5:$S$304,MATCH(D435,Ingredients!$B$5:$B$304,0))),"")</f>
        <v>0</v>
      </c>
      <c r="U435" s="45">
        <f>IFERROR(IF(P435="","",P435*INDEX(Ingredients!$T$5:$T$304,MATCH(D435,Ingredients!$B$5:$B$304,0))),"")</f>
        <v>0</v>
      </c>
      <c r="V435" s="17">
        <f>IF(D435="","",IFERROR(INDEX(Ingredients!$W$5:$W$304,MATCH(D435,Ingredients!$B$5:$B$304,0)),"Add to Ingredients"))</f>
        <v>0</v>
      </c>
      <c r="W435" s="17">
        <f>IF(D435="","",IFERROR(INDEX(Ingredients!$C$5:$C$304,MATCH(D435,Ingredients!$B$5:$B$304,0)),"Add to Ingredients"))</f>
        <v>0</v>
      </c>
      <c r="X435" s="45">
        <f>IFERROR(INDEX(Recipes!$AT$5:$AT$204,MATCH(B435,Recipes!$A$5:$A$204,0)),0)</f>
        <v>0</v>
      </c>
      <c r="Y435" s="45">
        <f>IF(OR(J435="",X435=0),"",J435*X435)</f>
        <v>0</v>
      </c>
      <c r="Z435" s="17">
        <f>IF(D435="","",B435&amp;"#"&amp;COUNTIFS($B$5:B435,B435))</f>
        <v>0</v>
      </c>
      <c r="AA435" s="17">
        <f>IF(D435="","",B435&amp;"|"&amp;D435)</f>
        <v>0</v>
      </c>
      <c r="AB435" s="31">
        <f>IF(D435="","",IF(B435="","Add - which recipe?",IF(COUNTIFS(Ingredients!$B$5:$B$304,D435)=0,"Missing - not in the Ingredients tab",IF(E435="","Add - no quantity",IF(F435="","Add - no unit",IF(K435&lt;&gt;L435,"Check - recipe in "&amp;K435&amp;", priced in "&amp;L435,IF(COUNTIFS($AA$5:$AA$1204,AA435)&gt;1,"Duplicate - same ingredient twice","OK")))))))</f>
        <v>0</v>
      </c>
    </row>
    <row r="436" spans="1:28">
      <c r="A436" s="39">
        <f>IF(D436="","","RL-"&amp;TEXT(ROW()-4,"0000"))</f>
        <v>0</v>
      </c>
      <c r="C436" s="17">
        <f>IF(B436="","",IFERROR(INDEX(Recipes!$B$5:$B$204,MATCH(B436,Recipes!$A$5:$A$204,0)),"Not found"))</f>
        <v>0</v>
      </c>
      <c r="J436" s="45">
        <f>IF(E436="","",IFERROR(E436*INDEX(UnitFactors,MATCH(F436,UnitNames,0)),""))</f>
        <v>0</v>
      </c>
      <c r="K436" s="17">
        <f>IF(F436="","",IFERROR(INDEX(UnitBases,MATCH(F436,UnitNames,0)),"?"))</f>
        <v>0</v>
      </c>
      <c r="L436" s="17">
        <f>IF(D436="","",IFERROR(INDEX(Ingredients!$G$5:$G$304,MATCH(D436,Ingredients!$B$5:$B$304,0)),"Add to Ingredients"))</f>
        <v>0</v>
      </c>
      <c r="M436" s="25">
        <f>IF(D436="","",IFERROR(INDEX(Ingredients!$J$5:$J$304,MATCH(D436,Ingredients!$B$5:$B$304,0)),"Add to Ingredients"))</f>
        <v>0</v>
      </c>
      <c r="N436" s="25">
        <f>IF(OR(J436="",M436="",NOT(ISNUMBER(M436))),"",IF(K436&lt;&gt;L436,"",J436*M436))</f>
        <v>0</v>
      </c>
      <c r="O436" s="25">
        <f>IF(N436="","",IFERROR(N436/INDEX(Recipes!$G$5:$G$204,MATCH(B436,Recipes!$A$5:$A$204,0)),""))</f>
        <v>0</v>
      </c>
      <c r="P436" s="30">
        <f>IF(J436="","",IF(K436="each",J436,J436/100))</f>
        <v>0</v>
      </c>
      <c r="Q436" s="30">
        <f>IFERROR(IF(P436="","",P436*INDEX(Ingredients!$P$5:$P$304,MATCH(D436,Ingredients!$B$5:$B$304,0))),"")</f>
        <v>0</v>
      </c>
      <c r="R436" s="45">
        <f>IFERROR(IF(P436="","",P436*INDEX(Ingredients!$Q$5:$Q$304,MATCH(D436,Ingredients!$B$5:$B$304,0))),"")</f>
        <v>0</v>
      </c>
      <c r="S436" s="45">
        <f>IFERROR(IF(P436="","",P436*INDEX(Ingredients!$R$5:$R$304,MATCH(D436,Ingredients!$B$5:$B$304,0))),"")</f>
        <v>0</v>
      </c>
      <c r="T436" s="45">
        <f>IFERROR(IF(P436="","",P436*INDEX(Ingredients!$S$5:$S$304,MATCH(D436,Ingredients!$B$5:$B$304,0))),"")</f>
        <v>0</v>
      </c>
      <c r="U436" s="45">
        <f>IFERROR(IF(P436="","",P436*INDEX(Ingredients!$T$5:$T$304,MATCH(D436,Ingredients!$B$5:$B$304,0))),"")</f>
        <v>0</v>
      </c>
      <c r="V436" s="17">
        <f>IF(D436="","",IFERROR(INDEX(Ingredients!$W$5:$W$304,MATCH(D436,Ingredients!$B$5:$B$304,0)),"Add to Ingredients"))</f>
        <v>0</v>
      </c>
      <c r="W436" s="17">
        <f>IF(D436="","",IFERROR(INDEX(Ingredients!$C$5:$C$304,MATCH(D436,Ingredients!$B$5:$B$304,0)),"Add to Ingredients"))</f>
        <v>0</v>
      </c>
      <c r="X436" s="45">
        <f>IFERROR(INDEX(Recipes!$AT$5:$AT$204,MATCH(B436,Recipes!$A$5:$A$204,0)),0)</f>
        <v>0</v>
      </c>
      <c r="Y436" s="45">
        <f>IF(OR(J436="",X436=0),"",J436*X436)</f>
        <v>0</v>
      </c>
      <c r="Z436" s="17">
        <f>IF(D436="","",B436&amp;"#"&amp;COUNTIFS($B$5:B436,B436))</f>
        <v>0</v>
      </c>
      <c r="AA436" s="17">
        <f>IF(D436="","",B436&amp;"|"&amp;D436)</f>
        <v>0</v>
      </c>
      <c r="AB436" s="31">
        <f>IF(D436="","",IF(B436="","Add - which recipe?",IF(COUNTIFS(Ingredients!$B$5:$B$304,D436)=0,"Missing - not in the Ingredients tab",IF(E436="","Add - no quantity",IF(F436="","Add - no unit",IF(K436&lt;&gt;L436,"Check - recipe in "&amp;K436&amp;", priced in "&amp;L436,IF(COUNTIFS($AA$5:$AA$1204,AA436)&gt;1,"Duplicate - same ingredient twice","OK")))))))</f>
        <v>0</v>
      </c>
    </row>
    <row r="437" spans="1:28">
      <c r="A437" s="39">
        <f>IF(D437="","","RL-"&amp;TEXT(ROW()-4,"0000"))</f>
        <v>0</v>
      </c>
      <c r="C437" s="17">
        <f>IF(B437="","",IFERROR(INDEX(Recipes!$B$5:$B$204,MATCH(B437,Recipes!$A$5:$A$204,0)),"Not found"))</f>
        <v>0</v>
      </c>
      <c r="J437" s="45">
        <f>IF(E437="","",IFERROR(E437*INDEX(UnitFactors,MATCH(F437,UnitNames,0)),""))</f>
        <v>0</v>
      </c>
      <c r="K437" s="17">
        <f>IF(F437="","",IFERROR(INDEX(UnitBases,MATCH(F437,UnitNames,0)),"?"))</f>
        <v>0</v>
      </c>
      <c r="L437" s="17">
        <f>IF(D437="","",IFERROR(INDEX(Ingredients!$G$5:$G$304,MATCH(D437,Ingredients!$B$5:$B$304,0)),"Add to Ingredients"))</f>
        <v>0</v>
      </c>
      <c r="M437" s="25">
        <f>IF(D437="","",IFERROR(INDEX(Ingredients!$J$5:$J$304,MATCH(D437,Ingredients!$B$5:$B$304,0)),"Add to Ingredients"))</f>
        <v>0</v>
      </c>
      <c r="N437" s="25">
        <f>IF(OR(J437="",M437="",NOT(ISNUMBER(M437))),"",IF(K437&lt;&gt;L437,"",J437*M437))</f>
        <v>0</v>
      </c>
      <c r="O437" s="25">
        <f>IF(N437="","",IFERROR(N437/INDEX(Recipes!$G$5:$G$204,MATCH(B437,Recipes!$A$5:$A$204,0)),""))</f>
        <v>0</v>
      </c>
      <c r="P437" s="30">
        <f>IF(J437="","",IF(K437="each",J437,J437/100))</f>
        <v>0</v>
      </c>
      <c r="Q437" s="30">
        <f>IFERROR(IF(P437="","",P437*INDEX(Ingredients!$P$5:$P$304,MATCH(D437,Ingredients!$B$5:$B$304,0))),"")</f>
        <v>0</v>
      </c>
      <c r="R437" s="45">
        <f>IFERROR(IF(P437="","",P437*INDEX(Ingredients!$Q$5:$Q$304,MATCH(D437,Ingredients!$B$5:$B$304,0))),"")</f>
        <v>0</v>
      </c>
      <c r="S437" s="45">
        <f>IFERROR(IF(P437="","",P437*INDEX(Ingredients!$R$5:$R$304,MATCH(D437,Ingredients!$B$5:$B$304,0))),"")</f>
        <v>0</v>
      </c>
      <c r="T437" s="45">
        <f>IFERROR(IF(P437="","",P437*INDEX(Ingredients!$S$5:$S$304,MATCH(D437,Ingredients!$B$5:$B$304,0))),"")</f>
        <v>0</v>
      </c>
      <c r="U437" s="45">
        <f>IFERROR(IF(P437="","",P437*INDEX(Ingredients!$T$5:$T$304,MATCH(D437,Ingredients!$B$5:$B$304,0))),"")</f>
        <v>0</v>
      </c>
      <c r="V437" s="17">
        <f>IF(D437="","",IFERROR(INDEX(Ingredients!$W$5:$W$304,MATCH(D437,Ingredients!$B$5:$B$304,0)),"Add to Ingredients"))</f>
        <v>0</v>
      </c>
      <c r="W437" s="17">
        <f>IF(D437="","",IFERROR(INDEX(Ingredients!$C$5:$C$304,MATCH(D437,Ingredients!$B$5:$B$304,0)),"Add to Ingredients"))</f>
        <v>0</v>
      </c>
      <c r="X437" s="45">
        <f>IFERROR(INDEX(Recipes!$AT$5:$AT$204,MATCH(B437,Recipes!$A$5:$A$204,0)),0)</f>
        <v>0</v>
      </c>
      <c r="Y437" s="45">
        <f>IF(OR(J437="",X437=0),"",J437*X437)</f>
        <v>0</v>
      </c>
      <c r="Z437" s="17">
        <f>IF(D437="","",B437&amp;"#"&amp;COUNTIFS($B$5:B437,B437))</f>
        <v>0</v>
      </c>
      <c r="AA437" s="17">
        <f>IF(D437="","",B437&amp;"|"&amp;D437)</f>
        <v>0</v>
      </c>
      <c r="AB437" s="31">
        <f>IF(D437="","",IF(B437="","Add - which recipe?",IF(COUNTIFS(Ingredients!$B$5:$B$304,D437)=0,"Missing - not in the Ingredients tab",IF(E437="","Add - no quantity",IF(F437="","Add - no unit",IF(K437&lt;&gt;L437,"Check - recipe in "&amp;K437&amp;", priced in "&amp;L437,IF(COUNTIFS($AA$5:$AA$1204,AA437)&gt;1,"Duplicate - same ingredient twice","OK")))))))</f>
        <v>0</v>
      </c>
    </row>
    <row r="438" spans="1:28">
      <c r="A438" s="39">
        <f>IF(D438="","","RL-"&amp;TEXT(ROW()-4,"0000"))</f>
        <v>0</v>
      </c>
      <c r="C438" s="17">
        <f>IF(B438="","",IFERROR(INDEX(Recipes!$B$5:$B$204,MATCH(B438,Recipes!$A$5:$A$204,0)),"Not found"))</f>
        <v>0</v>
      </c>
      <c r="J438" s="45">
        <f>IF(E438="","",IFERROR(E438*INDEX(UnitFactors,MATCH(F438,UnitNames,0)),""))</f>
        <v>0</v>
      </c>
      <c r="K438" s="17">
        <f>IF(F438="","",IFERROR(INDEX(UnitBases,MATCH(F438,UnitNames,0)),"?"))</f>
        <v>0</v>
      </c>
      <c r="L438" s="17">
        <f>IF(D438="","",IFERROR(INDEX(Ingredients!$G$5:$G$304,MATCH(D438,Ingredients!$B$5:$B$304,0)),"Add to Ingredients"))</f>
        <v>0</v>
      </c>
      <c r="M438" s="25">
        <f>IF(D438="","",IFERROR(INDEX(Ingredients!$J$5:$J$304,MATCH(D438,Ingredients!$B$5:$B$304,0)),"Add to Ingredients"))</f>
        <v>0</v>
      </c>
      <c r="N438" s="25">
        <f>IF(OR(J438="",M438="",NOT(ISNUMBER(M438))),"",IF(K438&lt;&gt;L438,"",J438*M438))</f>
        <v>0</v>
      </c>
      <c r="O438" s="25">
        <f>IF(N438="","",IFERROR(N438/INDEX(Recipes!$G$5:$G$204,MATCH(B438,Recipes!$A$5:$A$204,0)),""))</f>
        <v>0</v>
      </c>
      <c r="P438" s="30">
        <f>IF(J438="","",IF(K438="each",J438,J438/100))</f>
        <v>0</v>
      </c>
      <c r="Q438" s="30">
        <f>IFERROR(IF(P438="","",P438*INDEX(Ingredients!$P$5:$P$304,MATCH(D438,Ingredients!$B$5:$B$304,0))),"")</f>
        <v>0</v>
      </c>
      <c r="R438" s="45">
        <f>IFERROR(IF(P438="","",P438*INDEX(Ingredients!$Q$5:$Q$304,MATCH(D438,Ingredients!$B$5:$B$304,0))),"")</f>
        <v>0</v>
      </c>
      <c r="S438" s="45">
        <f>IFERROR(IF(P438="","",P438*INDEX(Ingredients!$R$5:$R$304,MATCH(D438,Ingredients!$B$5:$B$304,0))),"")</f>
        <v>0</v>
      </c>
      <c r="T438" s="45">
        <f>IFERROR(IF(P438="","",P438*INDEX(Ingredients!$S$5:$S$304,MATCH(D438,Ingredients!$B$5:$B$304,0))),"")</f>
        <v>0</v>
      </c>
      <c r="U438" s="45">
        <f>IFERROR(IF(P438="","",P438*INDEX(Ingredients!$T$5:$T$304,MATCH(D438,Ingredients!$B$5:$B$304,0))),"")</f>
        <v>0</v>
      </c>
      <c r="V438" s="17">
        <f>IF(D438="","",IFERROR(INDEX(Ingredients!$W$5:$W$304,MATCH(D438,Ingredients!$B$5:$B$304,0)),"Add to Ingredients"))</f>
        <v>0</v>
      </c>
      <c r="W438" s="17">
        <f>IF(D438="","",IFERROR(INDEX(Ingredients!$C$5:$C$304,MATCH(D438,Ingredients!$B$5:$B$304,0)),"Add to Ingredients"))</f>
        <v>0</v>
      </c>
      <c r="X438" s="45">
        <f>IFERROR(INDEX(Recipes!$AT$5:$AT$204,MATCH(B438,Recipes!$A$5:$A$204,0)),0)</f>
        <v>0</v>
      </c>
      <c r="Y438" s="45">
        <f>IF(OR(J438="",X438=0),"",J438*X438)</f>
        <v>0</v>
      </c>
      <c r="Z438" s="17">
        <f>IF(D438="","",B438&amp;"#"&amp;COUNTIFS($B$5:B438,B438))</f>
        <v>0</v>
      </c>
      <c r="AA438" s="17">
        <f>IF(D438="","",B438&amp;"|"&amp;D438)</f>
        <v>0</v>
      </c>
      <c r="AB438" s="31">
        <f>IF(D438="","",IF(B438="","Add - which recipe?",IF(COUNTIFS(Ingredients!$B$5:$B$304,D438)=0,"Missing - not in the Ingredients tab",IF(E438="","Add - no quantity",IF(F438="","Add - no unit",IF(K438&lt;&gt;L438,"Check - recipe in "&amp;K438&amp;", priced in "&amp;L438,IF(COUNTIFS($AA$5:$AA$1204,AA438)&gt;1,"Duplicate - same ingredient twice","OK")))))))</f>
        <v>0</v>
      </c>
    </row>
    <row r="439" spans="1:28">
      <c r="A439" s="39">
        <f>IF(D439="","","RL-"&amp;TEXT(ROW()-4,"0000"))</f>
        <v>0</v>
      </c>
      <c r="C439" s="17">
        <f>IF(B439="","",IFERROR(INDEX(Recipes!$B$5:$B$204,MATCH(B439,Recipes!$A$5:$A$204,0)),"Not found"))</f>
        <v>0</v>
      </c>
      <c r="J439" s="45">
        <f>IF(E439="","",IFERROR(E439*INDEX(UnitFactors,MATCH(F439,UnitNames,0)),""))</f>
        <v>0</v>
      </c>
      <c r="K439" s="17">
        <f>IF(F439="","",IFERROR(INDEX(UnitBases,MATCH(F439,UnitNames,0)),"?"))</f>
        <v>0</v>
      </c>
      <c r="L439" s="17">
        <f>IF(D439="","",IFERROR(INDEX(Ingredients!$G$5:$G$304,MATCH(D439,Ingredients!$B$5:$B$304,0)),"Add to Ingredients"))</f>
        <v>0</v>
      </c>
      <c r="M439" s="25">
        <f>IF(D439="","",IFERROR(INDEX(Ingredients!$J$5:$J$304,MATCH(D439,Ingredients!$B$5:$B$304,0)),"Add to Ingredients"))</f>
        <v>0</v>
      </c>
      <c r="N439" s="25">
        <f>IF(OR(J439="",M439="",NOT(ISNUMBER(M439))),"",IF(K439&lt;&gt;L439,"",J439*M439))</f>
        <v>0</v>
      </c>
      <c r="O439" s="25">
        <f>IF(N439="","",IFERROR(N439/INDEX(Recipes!$G$5:$G$204,MATCH(B439,Recipes!$A$5:$A$204,0)),""))</f>
        <v>0</v>
      </c>
      <c r="P439" s="30">
        <f>IF(J439="","",IF(K439="each",J439,J439/100))</f>
        <v>0</v>
      </c>
      <c r="Q439" s="30">
        <f>IFERROR(IF(P439="","",P439*INDEX(Ingredients!$P$5:$P$304,MATCH(D439,Ingredients!$B$5:$B$304,0))),"")</f>
        <v>0</v>
      </c>
      <c r="R439" s="45">
        <f>IFERROR(IF(P439="","",P439*INDEX(Ingredients!$Q$5:$Q$304,MATCH(D439,Ingredients!$B$5:$B$304,0))),"")</f>
        <v>0</v>
      </c>
      <c r="S439" s="45">
        <f>IFERROR(IF(P439="","",P439*INDEX(Ingredients!$R$5:$R$304,MATCH(D439,Ingredients!$B$5:$B$304,0))),"")</f>
        <v>0</v>
      </c>
      <c r="T439" s="45">
        <f>IFERROR(IF(P439="","",P439*INDEX(Ingredients!$S$5:$S$304,MATCH(D439,Ingredients!$B$5:$B$304,0))),"")</f>
        <v>0</v>
      </c>
      <c r="U439" s="45">
        <f>IFERROR(IF(P439="","",P439*INDEX(Ingredients!$T$5:$T$304,MATCH(D439,Ingredients!$B$5:$B$304,0))),"")</f>
        <v>0</v>
      </c>
      <c r="V439" s="17">
        <f>IF(D439="","",IFERROR(INDEX(Ingredients!$W$5:$W$304,MATCH(D439,Ingredients!$B$5:$B$304,0)),"Add to Ingredients"))</f>
        <v>0</v>
      </c>
      <c r="W439" s="17">
        <f>IF(D439="","",IFERROR(INDEX(Ingredients!$C$5:$C$304,MATCH(D439,Ingredients!$B$5:$B$304,0)),"Add to Ingredients"))</f>
        <v>0</v>
      </c>
      <c r="X439" s="45">
        <f>IFERROR(INDEX(Recipes!$AT$5:$AT$204,MATCH(B439,Recipes!$A$5:$A$204,0)),0)</f>
        <v>0</v>
      </c>
      <c r="Y439" s="45">
        <f>IF(OR(J439="",X439=0),"",J439*X439)</f>
        <v>0</v>
      </c>
      <c r="Z439" s="17">
        <f>IF(D439="","",B439&amp;"#"&amp;COUNTIFS($B$5:B439,B439))</f>
        <v>0</v>
      </c>
      <c r="AA439" s="17">
        <f>IF(D439="","",B439&amp;"|"&amp;D439)</f>
        <v>0</v>
      </c>
      <c r="AB439" s="31">
        <f>IF(D439="","",IF(B439="","Add - which recipe?",IF(COUNTIFS(Ingredients!$B$5:$B$304,D439)=0,"Missing - not in the Ingredients tab",IF(E439="","Add - no quantity",IF(F439="","Add - no unit",IF(K439&lt;&gt;L439,"Check - recipe in "&amp;K439&amp;", priced in "&amp;L439,IF(COUNTIFS($AA$5:$AA$1204,AA439)&gt;1,"Duplicate - same ingredient twice","OK")))))))</f>
        <v>0</v>
      </c>
    </row>
    <row r="440" spans="1:28">
      <c r="A440" s="39">
        <f>IF(D440="","","RL-"&amp;TEXT(ROW()-4,"0000"))</f>
        <v>0</v>
      </c>
      <c r="C440" s="17">
        <f>IF(B440="","",IFERROR(INDEX(Recipes!$B$5:$B$204,MATCH(B440,Recipes!$A$5:$A$204,0)),"Not found"))</f>
        <v>0</v>
      </c>
      <c r="J440" s="45">
        <f>IF(E440="","",IFERROR(E440*INDEX(UnitFactors,MATCH(F440,UnitNames,0)),""))</f>
        <v>0</v>
      </c>
      <c r="K440" s="17">
        <f>IF(F440="","",IFERROR(INDEX(UnitBases,MATCH(F440,UnitNames,0)),"?"))</f>
        <v>0</v>
      </c>
      <c r="L440" s="17">
        <f>IF(D440="","",IFERROR(INDEX(Ingredients!$G$5:$G$304,MATCH(D440,Ingredients!$B$5:$B$304,0)),"Add to Ingredients"))</f>
        <v>0</v>
      </c>
      <c r="M440" s="25">
        <f>IF(D440="","",IFERROR(INDEX(Ingredients!$J$5:$J$304,MATCH(D440,Ingredients!$B$5:$B$304,0)),"Add to Ingredients"))</f>
        <v>0</v>
      </c>
      <c r="N440" s="25">
        <f>IF(OR(J440="",M440="",NOT(ISNUMBER(M440))),"",IF(K440&lt;&gt;L440,"",J440*M440))</f>
        <v>0</v>
      </c>
      <c r="O440" s="25">
        <f>IF(N440="","",IFERROR(N440/INDEX(Recipes!$G$5:$G$204,MATCH(B440,Recipes!$A$5:$A$204,0)),""))</f>
        <v>0</v>
      </c>
      <c r="P440" s="30">
        <f>IF(J440="","",IF(K440="each",J440,J440/100))</f>
        <v>0</v>
      </c>
      <c r="Q440" s="30">
        <f>IFERROR(IF(P440="","",P440*INDEX(Ingredients!$P$5:$P$304,MATCH(D440,Ingredients!$B$5:$B$304,0))),"")</f>
        <v>0</v>
      </c>
      <c r="R440" s="45">
        <f>IFERROR(IF(P440="","",P440*INDEX(Ingredients!$Q$5:$Q$304,MATCH(D440,Ingredients!$B$5:$B$304,0))),"")</f>
        <v>0</v>
      </c>
      <c r="S440" s="45">
        <f>IFERROR(IF(P440="","",P440*INDEX(Ingredients!$R$5:$R$304,MATCH(D440,Ingredients!$B$5:$B$304,0))),"")</f>
        <v>0</v>
      </c>
      <c r="T440" s="45">
        <f>IFERROR(IF(P440="","",P440*INDEX(Ingredients!$S$5:$S$304,MATCH(D440,Ingredients!$B$5:$B$304,0))),"")</f>
        <v>0</v>
      </c>
      <c r="U440" s="45">
        <f>IFERROR(IF(P440="","",P440*INDEX(Ingredients!$T$5:$T$304,MATCH(D440,Ingredients!$B$5:$B$304,0))),"")</f>
        <v>0</v>
      </c>
      <c r="V440" s="17">
        <f>IF(D440="","",IFERROR(INDEX(Ingredients!$W$5:$W$304,MATCH(D440,Ingredients!$B$5:$B$304,0)),"Add to Ingredients"))</f>
        <v>0</v>
      </c>
      <c r="W440" s="17">
        <f>IF(D440="","",IFERROR(INDEX(Ingredients!$C$5:$C$304,MATCH(D440,Ingredients!$B$5:$B$304,0)),"Add to Ingredients"))</f>
        <v>0</v>
      </c>
      <c r="X440" s="45">
        <f>IFERROR(INDEX(Recipes!$AT$5:$AT$204,MATCH(B440,Recipes!$A$5:$A$204,0)),0)</f>
        <v>0</v>
      </c>
      <c r="Y440" s="45">
        <f>IF(OR(J440="",X440=0),"",J440*X440)</f>
        <v>0</v>
      </c>
      <c r="Z440" s="17">
        <f>IF(D440="","",B440&amp;"#"&amp;COUNTIFS($B$5:B440,B440))</f>
        <v>0</v>
      </c>
      <c r="AA440" s="17">
        <f>IF(D440="","",B440&amp;"|"&amp;D440)</f>
        <v>0</v>
      </c>
      <c r="AB440" s="31">
        <f>IF(D440="","",IF(B440="","Add - which recipe?",IF(COUNTIFS(Ingredients!$B$5:$B$304,D440)=0,"Missing - not in the Ingredients tab",IF(E440="","Add - no quantity",IF(F440="","Add - no unit",IF(K440&lt;&gt;L440,"Check - recipe in "&amp;K440&amp;", priced in "&amp;L440,IF(COUNTIFS($AA$5:$AA$1204,AA440)&gt;1,"Duplicate - same ingredient twice","OK")))))))</f>
        <v>0</v>
      </c>
    </row>
    <row r="441" spans="1:28">
      <c r="A441" s="39">
        <f>IF(D441="","","RL-"&amp;TEXT(ROW()-4,"0000"))</f>
        <v>0</v>
      </c>
      <c r="C441" s="17">
        <f>IF(B441="","",IFERROR(INDEX(Recipes!$B$5:$B$204,MATCH(B441,Recipes!$A$5:$A$204,0)),"Not found"))</f>
        <v>0</v>
      </c>
      <c r="J441" s="45">
        <f>IF(E441="","",IFERROR(E441*INDEX(UnitFactors,MATCH(F441,UnitNames,0)),""))</f>
        <v>0</v>
      </c>
      <c r="K441" s="17">
        <f>IF(F441="","",IFERROR(INDEX(UnitBases,MATCH(F441,UnitNames,0)),"?"))</f>
        <v>0</v>
      </c>
      <c r="L441" s="17">
        <f>IF(D441="","",IFERROR(INDEX(Ingredients!$G$5:$G$304,MATCH(D441,Ingredients!$B$5:$B$304,0)),"Add to Ingredients"))</f>
        <v>0</v>
      </c>
      <c r="M441" s="25">
        <f>IF(D441="","",IFERROR(INDEX(Ingredients!$J$5:$J$304,MATCH(D441,Ingredients!$B$5:$B$304,0)),"Add to Ingredients"))</f>
        <v>0</v>
      </c>
      <c r="N441" s="25">
        <f>IF(OR(J441="",M441="",NOT(ISNUMBER(M441))),"",IF(K441&lt;&gt;L441,"",J441*M441))</f>
        <v>0</v>
      </c>
      <c r="O441" s="25">
        <f>IF(N441="","",IFERROR(N441/INDEX(Recipes!$G$5:$G$204,MATCH(B441,Recipes!$A$5:$A$204,0)),""))</f>
        <v>0</v>
      </c>
      <c r="P441" s="30">
        <f>IF(J441="","",IF(K441="each",J441,J441/100))</f>
        <v>0</v>
      </c>
      <c r="Q441" s="30">
        <f>IFERROR(IF(P441="","",P441*INDEX(Ingredients!$P$5:$P$304,MATCH(D441,Ingredients!$B$5:$B$304,0))),"")</f>
        <v>0</v>
      </c>
      <c r="R441" s="45">
        <f>IFERROR(IF(P441="","",P441*INDEX(Ingredients!$Q$5:$Q$304,MATCH(D441,Ingredients!$B$5:$B$304,0))),"")</f>
        <v>0</v>
      </c>
      <c r="S441" s="45">
        <f>IFERROR(IF(P441="","",P441*INDEX(Ingredients!$R$5:$R$304,MATCH(D441,Ingredients!$B$5:$B$304,0))),"")</f>
        <v>0</v>
      </c>
      <c r="T441" s="45">
        <f>IFERROR(IF(P441="","",P441*INDEX(Ingredients!$S$5:$S$304,MATCH(D441,Ingredients!$B$5:$B$304,0))),"")</f>
        <v>0</v>
      </c>
      <c r="U441" s="45">
        <f>IFERROR(IF(P441="","",P441*INDEX(Ingredients!$T$5:$T$304,MATCH(D441,Ingredients!$B$5:$B$304,0))),"")</f>
        <v>0</v>
      </c>
      <c r="V441" s="17">
        <f>IF(D441="","",IFERROR(INDEX(Ingredients!$W$5:$W$304,MATCH(D441,Ingredients!$B$5:$B$304,0)),"Add to Ingredients"))</f>
        <v>0</v>
      </c>
      <c r="W441" s="17">
        <f>IF(D441="","",IFERROR(INDEX(Ingredients!$C$5:$C$304,MATCH(D441,Ingredients!$B$5:$B$304,0)),"Add to Ingredients"))</f>
        <v>0</v>
      </c>
      <c r="X441" s="45">
        <f>IFERROR(INDEX(Recipes!$AT$5:$AT$204,MATCH(B441,Recipes!$A$5:$A$204,0)),0)</f>
        <v>0</v>
      </c>
      <c r="Y441" s="45">
        <f>IF(OR(J441="",X441=0),"",J441*X441)</f>
        <v>0</v>
      </c>
      <c r="Z441" s="17">
        <f>IF(D441="","",B441&amp;"#"&amp;COUNTIFS($B$5:B441,B441))</f>
        <v>0</v>
      </c>
      <c r="AA441" s="17">
        <f>IF(D441="","",B441&amp;"|"&amp;D441)</f>
        <v>0</v>
      </c>
      <c r="AB441" s="31">
        <f>IF(D441="","",IF(B441="","Add - which recipe?",IF(COUNTIFS(Ingredients!$B$5:$B$304,D441)=0,"Missing - not in the Ingredients tab",IF(E441="","Add - no quantity",IF(F441="","Add - no unit",IF(K441&lt;&gt;L441,"Check - recipe in "&amp;K441&amp;", priced in "&amp;L441,IF(COUNTIFS($AA$5:$AA$1204,AA441)&gt;1,"Duplicate - same ingredient twice","OK")))))))</f>
        <v>0</v>
      </c>
    </row>
    <row r="442" spans="1:28">
      <c r="A442" s="39">
        <f>IF(D442="","","RL-"&amp;TEXT(ROW()-4,"0000"))</f>
        <v>0</v>
      </c>
      <c r="C442" s="17">
        <f>IF(B442="","",IFERROR(INDEX(Recipes!$B$5:$B$204,MATCH(B442,Recipes!$A$5:$A$204,0)),"Not found"))</f>
        <v>0</v>
      </c>
      <c r="J442" s="45">
        <f>IF(E442="","",IFERROR(E442*INDEX(UnitFactors,MATCH(F442,UnitNames,0)),""))</f>
        <v>0</v>
      </c>
      <c r="K442" s="17">
        <f>IF(F442="","",IFERROR(INDEX(UnitBases,MATCH(F442,UnitNames,0)),"?"))</f>
        <v>0</v>
      </c>
      <c r="L442" s="17">
        <f>IF(D442="","",IFERROR(INDEX(Ingredients!$G$5:$G$304,MATCH(D442,Ingredients!$B$5:$B$304,0)),"Add to Ingredients"))</f>
        <v>0</v>
      </c>
      <c r="M442" s="25">
        <f>IF(D442="","",IFERROR(INDEX(Ingredients!$J$5:$J$304,MATCH(D442,Ingredients!$B$5:$B$304,0)),"Add to Ingredients"))</f>
        <v>0</v>
      </c>
      <c r="N442" s="25">
        <f>IF(OR(J442="",M442="",NOT(ISNUMBER(M442))),"",IF(K442&lt;&gt;L442,"",J442*M442))</f>
        <v>0</v>
      </c>
      <c r="O442" s="25">
        <f>IF(N442="","",IFERROR(N442/INDEX(Recipes!$G$5:$G$204,MATCH(B442,Recipes!$A$5:$A$204,0)),""))</f>
        <v>0</v>
      </c>
      <c r="P442" s="30">
        <f>IF(J442="","",IF(K442="each",J442,J442/100))</f>
        <v>0</v>
      </c>
      <c r="Q442" s="30">
        <f>IFERROR(IF(P442="","",P442*INDEX(Ingredients!$P$5:$P$304,MATCH(D442,Ingredients!$B$5:$B$304,0))),"")</f>
        <v>0</v>
      </c>
      <c r="R442" s="45">
        <f>IFERROR(IF(P442="","",P442*INDEX(Ingredients!$Q$5:$Q$304,MATCH(D442,Ingredients!$B$5:$B$304,0))),"")</f>
        <v>0</v>
      </c>
      <c r="S442" s="45">
        <f>IFERROR(IF(P442="","",P442*INDEX(Ingredients!$R$5:$R$304,MATCH(D442,Ingredients!$B$5:$B$304,0))),"")</f>
        <v>0</v>
      </c>
      <c r="T442" s="45">
        <f>IFERROR(IF(P442="","",P442*INDEX(Ingredients!$S$5:$S$304,MATCH(D442,Ingredients!$B$5:$B$304,0))),"")</f>
        <v>0</v>
      </c>
      <c r="U442" s="45">
        <f>IFERROR(IF(P442="","",P442*INDEX(Ingredients!$T$5:$T$304,MATCH(D442,Ingredients!$B$5:$B$304,0))),"")</f>
        <v>0</v>
      </c>
      <c r="V442" s="17">
        <f>IF(D442="","",IFERROR(INDEX(Ingredients!$W$5:$W$304,MATCH(D442,Ingredients!$B$5:$B$304,0)),"Add to Ingredients"))</f>
        <v>0</v>
      </c>
      <c r="W442" s="17">
        <f>IF(D442="","",IFERROR(INDEX(Ingredients!$C$5:$C$304,MATCH(D442,Ingredients!$B$5:$B$304,0)),"Add to Ingredients"))</f>
        <v>0</v>
      </c>
      <c r="X442" s="45">
        <f>IFERROR(INDEX(Recipes!$AT$5:$AT$204,MATCH(B442,Recipes!$A$5:$A$204,0)),0)</f>
        <v>0</v>
      </c>
      <c r="Y442" s="45">
        <f>IF(OR(J442="",X442=0),"",J442*X442)</f>
        <v>0</v>
      </c>
      <c r="Z442" s="17">
        <f>IF(D442="","",B442&amp;"#"&amp;COUNTIFS($B$5:B442,B442))</f>
        <v>0</v>
      </c>
      <c r="AA442" s="17">
        <f>IF(D442="","",B442&amp;"|"&amp;D442)</f>
        <v>0</v>
      </c>
      <c r="AB442" s="31">
        <f>IF(D442="","",IF(B442="","Add - which recipe?",IF(COUNTIFS(Ingredients!$B$5:$B$304,D442)=0,"Missing - not in the Ingredients tab",IF(E442="","Add - no quantity",IF(F442="","Add - no unit",IF(K442&lt;&gt;L442,"Check - recipe in "&amp;K442&amp;", priced in "&amp;L442,IF(COUNTIFS($AA$5:$AA$1204,AA442)&gt;1,"Duplicate - same ingredient twice","OK")))))))</f>
        <v>0</v>
      </c>
    </row>
    <row r="443" spans="1:28">
      <c r="A443" s="39">
        <f>IF(D443="","","RL-"&amp;TEXT(ROW()-4,"0000"))</f>
        <v>0</v>
      </c>
      <c r="C443" s="17">
        <f>IF(B443="","",IFERROR(INDEX(Recipes!$B$5:$B$204,MATCH(B443,Recipes!$A$5:$A$204,0)),"Not found"))</f>
        <v>0</v>
      </c>
      <c r="J443" s="45">
        <f>IF(E443="","",IFERROR(E443*INDEX(UnitFactors,MATCH(F443,UnitNames,0)),""))</f>
        <v>0</v>
      </c>
      <c r="K443" s="17">
        <f>IF(F443="","",IFERROR(INDEX(UnitBases,MATCH(F443,UnitNames,0)),"?"))</f>
        <v>0</v>
      </c>
      <c r="L443" s="17">
        <f>IF(D443="","",IFERROR(INDEX(Ingredients!$G$5:$G$304,MATCH(D443,Ingredients!$B$5:$B$304,0)),"Add to Ingredients"))</f>
        <v>0</v>
      </c>
      <c r="M443" s="25">
        <f>IF(D443="","",IFERROR(INDEX(Ingredients!$J$5:$J$304,MATCH(D443,Ingredients!$B$5:$B$304,0)),"Add to Ingredients"))</f>
        <v>0</v>
      </c>
      <c r="N443" s="25">
        <f>IF(OR(J443="",M443="",NOT(ISNUMBER(M443))),"",IF(K443&lt;&gt;L443,"",J443*M443))</f>
        <v>0</v>
      </c>
      <c r="O443" s="25">
        <f>IF(N443="","",IFERROR(N443/INDEX(Recipes!$G$5:$G$204,MATCH(B443,Recipes!$A$5:$A$204,0)),""))</f>
        <v>0</v>
      </c>
      <c r="P443" s="30">
        <f>IF(J443="","",IF(K443="each",J443,J443/100))</f>
        <v>0</v>
      </c>
      <c r="Q443" s="30">
        <f>IFERROR(IF(P443="","",P443*INDEX(Ingredients!$P$5:$P$304,MATCH(D443,Ingredients!$B$5:$B$304,0))),"")</f>
        <v>0</v>
      </c>
      <c r="R443" s="45">
        <f>IFERROR(IF(P443="","",P443*INDEX(Ingredients!$Q$5:$Q$304,MATCH(D443,Ingredients!$B$5:$B$304,0))),"")</f>
        <v>0</v>
      </c>
      <c r="S443" s="45">
        <f>IFERROR(IF(P443="","",P443*INDEX(Ingredients!$R$5:$R$304,MATCH(D443,Ingredients!$B$5:$B$304,0))),"")</f>
        <v>0</v>
      </c>
      <c r="T443" s="45">
        <f>IFERROR(IF(P443="","",P443*INDEX(Ingredients!$S$5:$S$304,MATCH(D443,Ingredients!$B$5:$B$304,0))),"")</f>
        <v>0</v>
      </c>
      <c r="U443" s="45">
        <f>IFERROR(IF(P443="","",P443*INDEX(Ingredients!$T$5:$T$304,MATCH(D443,Ingredients!$B$5:$B$304,0))),"")</f>
        <v>0</v>
      </c>
      <c r="V443" s="17">
        <f>IF(D443="","",IFERROR(INDEX(Ingredients!$W$5:$W$304,MATCH(D443,Ingredients!$B$5:$B$304,0)),"Add to Ingredients"))</f>
        <v>0</v>
      </c>
      <c r="W443" s="17">
        <f>IF(D443="","",IFERROR(INDEX(Ingredients!$C$5:$C$304,MATCH(D443,Ingredients!$B$5:$B$304,0)),"Add to Ingredients"))</f>
        <v>0</v>
      </c>
      <c r="X443" s="45">
        <f>IFERROR(INDEX(Recipes!$AT$5:$AT$204,MATCH(B443,Recipes!$A$5:$A$204,0)),0)</f>
        <v>0</v>
      </c>
      <c r="Y443" s="45">
        <f>IF(OR(J443="",X443=0),"",J443*X443)</f>
        <v>0</v>
      </c>
      <c r="Z443" s="17">
        <f>IF(D443="","",B443&amp;"#"&amp;COUNTIFS($B$5:B443,B443))</f>
        <v>0</v>
      </c>
      <c r="AA443" s="17">
        <f>IF(D443="","",B443&amp;"|"&amp;D443)</f>
        <v>0</v>
      </c>
      <c r="AB443" s="31">
        <f>IF(D443="","",IF(B443="","Add - which recipe?",IF(COUNTIFS(Ingredients!$B$5:$B$304,D443)=0,"Missing - not in the Ingredients tab",IF(E443="","Add - no quantity",IF(F443="","Add - no unit",IF(K443&lt;&gt;L443,"Check - recipe in "&amp;K443&amp;", priced in "&amp;L443,IF(COUNTIFS($AA$5:$AA$1204,AA443)&gt;1,"Duplicate - same ingredient twice","OK")))))))</f>
        <v>0</v>
      </c>
    </row>
    <row r="444" spans="1:28">
      <c r="A444" s="39">
        <f>IF(D444="","","RL-"&amp;TEXT(ROW()-4,"0000"))</f>
        <v>0</v>
      </c>
      <c r="C444" s="17">
        <f>IF(B444="","",IFERROR(INDEX(Recipes!$B$5:$B$204,MATCH(B444,Recipes!$A$5:$A$204,0)),"Not found"))</f>
        <v>0</v>
      </c>
      <c r="J444" s="45">
        <f>IF(E444="","",IFERROR(E444*INDEX(UnitFactors,MATCH(F444,UnitNames,0)),""))</f>
        <v>0</v>
      </c>
      <c r="K444" s="17">
        <f>IF(F444="","",IFERROR(INDEX(UnitBases,MATCH(F444,UnitNames,0)),"?"))</f>
        <v>0</v>
      </c>
      <c r="L444" s="17">
        <f>IF(D444="","",IFERROR(INDEX(Ingredients!$G$5:$G$304,MATCH(D444,Ingredients!$B$5:$B$304,0)),"Add to Ingredients"))</f>
        <v>0</v>
      </c>
      <c r="M444" s="25">
        <f>IF(D444="","",IFERROR(INDEX(Ingredients!$J$5:$J$304,MATCH(D444,Ingredients!$B$5:$B$304,0)),"Add to Ingredients"))</f>
        <v>0</v>
      </c>
      <c r="N444" s="25">
        <f>IF(OR(J444="",M444="",NOT(ISNUMBER(M444))),"",IF(K444&lt;&gt;L444,"",J444*M444))</f>
        <v>0</v>
      </c>
      <c r="O444" s="25">
        <f>IF(N444="","",IFERROR(N444/INDEX(Recipes!$G$5:$G$204,MATCH(B444,Recipes!$A$5:$A$204,0)),""))</f>
        <v>0</v>
      </c>
      <c r="P444" s="30">
        <f>IF(J444="","",IF(K444="each",J444,J444/100))</f>
        <v>0</v>
      </c>
      <c r="Q444" s="30">
        <f>IFERROR(IF(P444="","",P444*INDEX(Ingredients!$P$5:$P$304,MATCH(D444,Ingredients!$B$5:$B$304,0))),"")</f>
        <v>0</v>
      </c>
      <c r="R444" s="45">
        <f>IFERROR(IF(P444="","",P444*INDEX(Ingredients!$Q$5:$Q$304,MATCH(D444,Ingredients!$B$5:$B$304,0))),"")</f>
        <v>0</v>
      </c>
      <c r="S444" s="45">
        <f>IFERROR(IF(P444="","",P444*INDEX(Ingredients!$R$5:$R$304,MATCH(D444,Ingredients!$B$5:$B$304,0))),"")</f>
        <v>0</v>
      </c>
      <c r="T444" s="45">
        <f>IFERROR(IF(P444="","",P444*INDEX(Ingredients!$S$5:$S$304,MATCH(D444,Ingredients!$B$5:$B$304,0))),"")</f>
        <v>0</v>
      </c>
      <c r="U444" s="45">
        <f>IFERROR(IF(P444="","",P444*INDEX(Ingredients!$T$5:$T$304,MATCH(D444,Ingredients!$B$5:$B$304,0))),"")</f>
        <v>0</v>
      </c>
      <c r="V444" s="17">
        <f>IF(D444="","",IFERROR(INDEX(Ingredients!$W$5:$W$304,MATCH(D444,Ingredients!$B$5:$B$304,0)),"Add to Ingredients"))</f>
        <v>0</v>
      </c>
      <c r="W444" s="17">
        <f>IF(D444="","",IFERROR(INDEX(Ingredients!$C$5:$C$304,MATCH(D444,Ingredients!$B$5:$B$304,0)),"Add to Ingredients"))</f>
        <v>0</v>
      </c>
      <c r="X444" s="45">
        <f>IFERROR(INDEX(Recipes!$AT$5:$AT$204,MATCH(B444,Recipes!$A$5:$A$204,0)),0)</f>
        <v>0</v>
      </c>
      <c r="Y444" s="45">
        <f>IF(OR(J444="",X444=0),"",J444*X444)</f>
        <v>0</v>
      </c>
      <c r="Z444" s="17">
        <f>IF(D444="","",B444&amp;"#"&amp;COUNTIFS($B$5:B444,B444))</f>
        <v>0</v>
      </c>
      <c r="AA444" s="17">
        <f>IF(D444="","",B444&amp;"|"&amp;D444)</f>
        <v>0</v>
      </c>
      <c r="AB444" s="31">
        <f>IF(D444="","",IF(B444="","Add - which recipe?",IF(COUNTIFS(Ingredients!$B$5:$B$304,D444)=0,"Missing - not in the Ingredients tab",IF(E444="","Add - no quantity",IF(F444="","Add - no unit",IF(K444&lt;&gt;L444,"Check - recipe in "&amp;K444&amp;", priced in "&amp;L444,IF(COUNTIFS($AA$5:$AA$1204,AA444)&gt;1,"Duplicate - same ingredient twice","OK")))))))</f>
        <v>0</v>
      </c>
    </row>
    <row r="445" spans="1:28">
      <c r="A445" s="39">
        <f>IF(D445="","","RL-"&amp;TEXT(ROW()-4,"0000"))</f>
        <v>0</v>
      </c>
      <c r="C445" s="17">
        <f>IF(B445="","",IFERROR(INDEX(Recipes!$B$5:$B$204,MATCH(B445,Recipes!$A$5:$A$204,0)),"Not found"))</f>
        <v>0</v>
      </c>
      <c r="J445" s="45">
        <f>IF(E445="","",IFERROR(E445*INDEX(UnitFactors,MATCH(F445,UnitNames,0)),""))</f>
        <v>0</v>
      </c>
      <c r="K445" s="17">
        <f>IF(F445="","",IFERROR(INDEX(UnitBases,MATCH(F445,UnitNames,0)),"?"))</f>
        <v>0</v>
      </c>
      <c r="L445" s="17">
        <f>IF(D445="","",IFERROR(INDEX(Ingredients!$G$5:$G$304,MATCH(D445,Ingredients!$B$5:$B$304,0)),"Add to Ingredients"))</f>
        <v>0</v>
      </c>
      <c r="M445" s="25">
        <f>IF(D445="","",IFERROR(INDEX(Ingredients!$J$5:$J$304,MATCH(D445,Ingredients!$B$5:$B$304,0)),"Add to Ingredients"))</f>
        <v>0</v>
      </c>
      <c r="N445" s="25">
        <f>IF(OR(J445="",M445="",NOT(ISNUMBER(M445))),"",IF(K445&lt;&gt;L445,"",J445*M445))</f>
        <v>0</v>
      </c>
      <c r="O445" s="25">
        <f>IF(N445="","",IFERROR(N445/INDEX(Recipes!$G$5:$G$204,MATCH(B445,Recipes!$A$5:$A$204,0)),""))</f>
        <v>0</v>
      </c>
      <c r="P445" s="30">
        <f>IF(J445="","",IF(K445="each",J445,J445/100))</f>
        <v>0</v>
      </c>
      <c r="Q445" s="30">
        <f>IFERROR(IF(P445="","",P445*INDEX(Ingredients!$P$5:$P$304,MATCH(D445,Ingredients!$B$5:$B$304,0))),"")</f>
        <v>0</v>
      </c>
      <c r="R445" s="45">
        <f>IFERROR(IF(P445="","",P445*INDEX(Ingredients!$Q$5:$Q$304,MATCH(D445,Ingredients!$B$5:$B$304,0))),"")</f>
        <v>0</v>
      </c>
      <c r="S445" s="45">
        <f>IFERROR(IF(P445="","",P445*INDEX(Ingredients!$R$5:$R$304,MATCH(D445,Ingredients!$B$5:$B$304,0))),"")</f>
        <v>0</v>
      </c>
      <c r="T445" s="45">
        <f>IFERROR(IF(P445="","",P445*INDEX(Ingredients!$S$5:$S$304,MATCH(D445,Ingredients!$B$5:$B$304,0))),"")</f>
        <v>0</v>
      </c>
      <c r="U445" s="45">
        <f>IFERROR(IF(P445="","",P445*INDEX(Ingredients!$T$5:$T$304,MATCH(D445,Ingredients!$B$5:$B$304,0))),"")</f>
        <v>0</v>
      </c>
      <c r="V445" s="17">
        <f>IF(D445="","",IFERROR(INDEX(Ingredients!$W$5:$W$304,MATCH(D445,Ingredients!$B$5:$B$304,0)),"Add to Ingredients"))</f>
        <v>0</v>
      </c>
      <c r="W445" s="17">
        <f>IF(D445="","",IFERROR(INDEX(Ingredients!$C$5:$C$304,MATCH(D445,Ingredients!$B$5:$B$304,0)),"Add to Ingredients"))</f>
        <v>0</v>
      </c>
      <c r="X445" s="45">
        <f>IFERROR(INDEX(Recipes!$AT$5:$AT$204,MATCH(B445,Recipes!$A$5:$A$204,0)),0)</f>
        <v>0</v>
      </c>
      <c r="Y445" s="45">
        <f>IF(OR(J445="",X445=0),"",J445*X445)</f>
        <v>0</v>
      </c>
      <c r="Z445" s="17">
        <f>IF(D445="","",B445&amp;"#"&amp;COUNTIFS($B$5:B445,B445))</f>
        <v>0</v>
      </c>
      <c r="AA445" s="17">
        <f>IF(D445="","",B445&amp;"|"&amp;D445)</f>
        <v>0</v>
      </c>
      <c r="AB445" s="31">
        <f>IF(D445="","",IF(B445="","Add - which recipe?",IF(COUNTIFS(Ingredients!$B$5:$B$304,D445)=0,"Missing - not in the Ingredients tab",IF(E445="","Add - no quantity",IF(F445="","Add - no unit",IF(K445&lt;&gt;L445,"Check - recipe in "&amp;K445&amp;", priced in "&amp;L445,IF(COUNTIFS($AA$5:$AA$1204,AA445)&gt;1,"Duplicate - same ingredient twice","OK")))))))</f>
        <v>0</v>
      </c>
    </row>
    <row r="446" spans="1:28">
      <c r="A446" s="39">
        <f>IF(D446="","","RL-"&amp;TEXT(ROW()-4,"0000"))</f>
        <v>0</v>
      </c>
      <c r="C446" s="17">
        <f>IF(B446="","",IFERROR(INDEX(Recipes!$B$5:$B$204,MATCH(B446,Recipes!$A$5:$A$204,0)),"Not found"))</f>
        <v>0</v>
      </c>
      <c r="J446" s="45">
        <f>IF(E446="","",IFERROR(E446*INDEX(UnitFactors,MATCH(F446,UnitNames,0)),""))</f>
        <v>0</v>
      </c>
      <c r="K446" s="17">
        <f>IF(F446="","",IFERROR(INDEX(UnitBases,MATCH(F446,UnitNames,0)),"?"))</f>
        <v>0</v>
      </c>
      <c r="L446" s="17">
        <f>IF(D446="","",IFERROR(INDEX(Ingredients!$G$5:$G$304,MATCH(D446,Ingredients!$B$5:$B$304,0)),"Add to Ingredients"))</f>
        <v>0</v>
      </c>
      <c r="M446" s="25">
        <f>IF(D446="","",IFERROR(INDEX(Ingredients!$J$5:$J$304,MATCH(D446,Ingredients!$B$5:$B$304,0)),"Add to Ingredients"))</f>
        <v>0</v>
      </c>
      <c r="N446" s="25">
        <f>IF(OR(J446="",M446="",NOT(ISNUMBER(M446))),"",IF(K446&lt;&gt;L446,"",J446*M446))</f>
        <v>0</v>
      </c>
      <c r="O446" s="25">
        <f>IF(N446="","",IFERROR(N446/INDEX(Recipes!$G$5:$G$204,MATCH(B446,Recipes!$A$5:$A$204,0)),""))</f>
        <v>0</v>
      </c>
      <c r="P446" s="30">
        <f>IF(J446="","",IF(K446="each",J446,J446/100))</f>
        <v>0</v>
      </c>
      <c r="Q446" s="30">
        <f>IFERROR(IF(P446="","",P446*INDEX(Ingredients!$P$5:$P$304,MATCH(D446,Ingredients!$B$5:$B$304,0))),"")</f>
        <v>0</v>
      </c>
      <c r="R446" s="45">
        <f>IFERROR(IF(P446="","",P446*INDEX(Ingredients!$Q$5:$Q$304,MATCH(D446,Ingredients!$B$5:$B$304,0))),"")</f>
        <v>0</v>
      </c>
      <c r="S446" s="45">
        <f>IFERROR(IF(P446="","",P446*INDEX(Ingredients!$R$5:$R$304,MATCH(D446,Ingredients!$B$5:$B$304,0))),"")</f>
        <v>0</v>
      </c>
      <c r="T446" s="45">
        <f>IFERROR(IF(P446="","",P446*INDEX(Ingredients!$S$5:$S$304,MATCH(D446,Ingredients!$B$5:$B$304,0))),"")</f>
        <v>0</v>
      </c>
      <c r="U446" s="45">
        <f>IFERROR(IF(P446="","",P446*INDEX(Ingredients!$T$5:$T$304,MATCH(D446,Ingredients!$B$5:$B$304,0))),"")</f>
        <v>0</v>
      </c>
      <c r="V446" s="17">
        <f>IF(D446="","",IFERROR(INDEX(Ingredients!$W$5:$W$304,MATCH(D446,Ingredients!$B$5:$B$304,0)),"Add to Ingredients"))</f>
        <v>0</v>
      </c>
      <c r="W446" s="17">
        <f>IF(D446="","",IFERROR(INDEX(Ingredients!$C$5:$C$304,MATCH(D446,Ingredients!$B$5:$B$304,0)),"Add to Ingredients"))</f>
        <v>0</v>
      </c>
      <c r="X446" s="45">
        <f>IFERROR(INDEX(Recipes!$AT$5:$AT$204,MATCH(B446,Recipes!$A$5:$A$204,0)),0)</f>
        <v>0</v>
      </c>
      <c r="Y446" s="45">
        <f>IF(OR(J446="",X446=0),"",J446*X446)</f>
        <v>0</v>
      </c>
      <c r="Z446" s="17">
        <f>IF(D446="","",B446&amp;"#"&amp;COUNTIFS($B$5:B446,B446))</f>
        <v>0</v>
      </c>
      <c r="AA446" s="17">
        <f>IF(D446="","",B446&amp;"|"&amp;D446)</f>
        <v>0</v>
      </c>
      <c r="AB446" s="31">
        <f>IF(D446="","",IF(B446="","Add - which recipe?",IF(COUNTIFS(Ingredients!$B$5:$B$304,D446)=0,"Missing - not in the Ingredients tab",IF(E446="","Add - no quantity",IF(F446="","Add - no unit",IF(K446&lt;&gt;L446,"Check - recipe in "&amp;K446&amp;", priced in "&amp;L446,IF(COUNTIFS($AA$5:$AA$1204,AA446)&gt;1,"Duplicate - same ingredient twice","OK")))))))</f>
        <v>0</v>
      </c>
    </row>
    <row r="447" spans="1:28">
      <c r="A447" s="39">
        <f>IF(D447="","","RL-"&amp;TEXT(ROW()-4,"0000"))</f>
        <v>0</v>
      </c>
      <c r="C447" s="17">
        <f>IF(B447="","",IFERROR(INDEX(Recipes!$B$5:$B$204,MATCH(B447,Recipes!$A$5:$A$204,0)),"Not found"))</f>
        <v>0</v>
      </c>
      <c r="J447" s="45">
        <f>IF(E447="","",IFERROR(E447*INDEX(UnitFactors,MATCH(F447,UnitNames,0)),""))</f>
        <v>0</v>
      </c>
      <c r="K447" s="17">
        <f>IF(F447="","",IFERROR(INDEX(UnitBases,MATCH(F447,UnitNames,0)),"?"))</f>
        <v>0</v>
      </c>
      <c r="L447" s="17">
        <f>IF(D447="","",IFERROR(INDEX(Ingredients!$G$5:$G$304,MATCH(D447,Ingredients!$B$5:$B$304,0)),"Add to Ingredients"))</f>
        <v>0</v>
      </c>
      <c r="M447" s="25">
        <f>IF(D447="","",IFERROR(INDEX(Ingredients!$J$5:$J$304,MATCH(D447,Ingredients!$B$5:$B$304,0)),"Add to Ingredients"))</f>
        <v>0</v>
      </c>
      <c r="N447" s="25">
        <f>IF(OR(J447="",M447="",NOT(ISNUMBER(M447))),"",IF(K447&lt;&gt;L447,"",J447*M447))</f>
        <v>0</v>
      </c>
      <c r="O447" s="25">
        <f>IF(N447="","",IFERROR(N447/INDEX(Recipes!$G$5:$G$204,MATCH(B447,Recipes!$A$5:$A$204,0)),""))</f>
        <v>0</v>
      </c>
      <c r="P447" s="30">
        <f>IF(J447="","",IF(K447="each",J447,J447/100))</f>
        <v>0</v>
      </c>
      <c r="Q447" s="30">
        <f>IFERROR(IF(P447="","",P447*INDEX(Ingredients!$P$5:$P$304,MATCH(D447,Ingredients!$B$5:$B$304,0))),"")</f>
        <v>0</v>
      </c>
      <c r="R447" s="45">
        <f>IFERROR(IF(P447="","",P447*INDEX(Ingredients!$Q$5:$Q$304,MATCH(D447,Ingredients!$B$5:$B$304,0))),"")</f>
        <v>0</v>
      </c>
      <c r="S447" s="45">
        <f>IFERROR(IF(P447="","",P447*INDEX(Ingredients!$R$5:$R$304,MATCH(D447,Ingredients!$B$5:$B$304,0))),"")</f>
        <v>0</v>
      </c>
      <c r="T447" s="45">
        <f>IFERROR(IF(P447="","",P447*INDEX(Ingredients!$S$5:$S$304,MATCH(D447,Ingredients!$B$5:$B$304,0))),"")</f>
        <v>0</v>
      </c>
      <c r="U447" s="45">
        <f>IFERROR(IF(P447="","",P447*INDEX(Ingredients!$T$5:$T$304,MATCH(D447,Ingredients!$B$5:$B$304,0))),"")</f>
        <v>0</v>
      </c>
      <c r="V447" s="17">
        <f>IF(D447="","",IFERROR(INDEX(Ingredients!$W$5:$W$304,MATCH(D447,Ingredients!$B$5:$B$304,0)),"Add to Ingredients"))</f>
        <v>0</v>
      </c>
      <c r="W447" s="17">
        <f>IF(D447="","",IFERROR(INDEX(Ingredients!$C$5:$C$304,MATCH(D447,Ingredients!$B$5:$B$304,0)),"Add to Ingredients"))</f>
        <v>0</v>
      </c>
      <c r="X447" s="45">
        <f>IFERROR(INDEX(Recipes!$AT$5:$AT$204,MATCH(B447,Recipes!$A$5:$A$204,0)),0)</f>
        <v>0</v>
      </c>
      <c r="Y447" s="45">
        <f>IF(OR(J447="",X447=0),"",J447*X447)</f>
        <v>0</v>
      </c>
      <c r="Z447" s="17">
        <f>IF(D447="","",B447&amp;"#"&amp;COUNTIFS($B$5:B447,B447))</f>
        <v>0</v>
      </c>
      <c r="AA447" s="17">
        <f>IF(D447="","",B447&amp;"|"&amp;D447)</f>
        <v>0</v>
      </c>
      <c r="AB447" s="31">
        <f>IF(D447="","",IF(B447="","Add - which recipe?",IF(COUNTIFS(Ingredients!$B$5:$B$304,D447)=0,"Missing - not in the Ingredients tab",IF(E447="","Add - no quantity",IF(F447="","Add - no unit",IF(K447&lt;&gt;L447,"Check - recipe in "&amp;K447&amp;", priced in "&amp;L447,IF(COUNTIFS($AA$5:$AA$1204,AA447)&gt;1,"Duplicate - same ingredient twice","OK")))))))</f>
        <v>0</v>
      </c>
    </row>
    <row r="448" spans="1:28">
      <c r="A448" s="39">
        <f>IF(D448="","","RL-"&amp;TEXT(ROW()-4,"0000"))</f>
        <v>0</v>
      </c>
      <c r="C448" s="17">
        <f>IF(B448="","",IFERROR(INDEX(Recipes!$B$5:$B$204,MATCH(B448,Recipes!$A$5:$A$204,0)),"Not found"))</f>
        <v>0</v>
      </c>
      <c r="J448" s="45">
        <f>IF(E448="","",IFERROR(E448*INDEX(UnitFactors,MATCH(F448,UnitNames,0)),""))</f>
        <v>0</v>
      </c>
      <c r="K448" s="17">
        <f>IF(F448="","",IFERROR(INDEX(UnitBases,MATCH(F448,UnitNames,0)),"?"))</f>
        <v>0</v>
      </c>
      <c r="L448" s="17">
        <f>IF(D448="","",IFERROR(INDEX(Ingredients!$G$5:$G$304,MATCH(D448,Ingredients!$B$5:$B$304,0)),"Add to Ingredients"))</f>
        <v>0</v>
      </c>
      <c r="M448" s="25">
        <f>IF(D448="","",IFERROR(INDEX(Ingredients!$J$5:$J$304,MATCH(D448,Ingredients!$B$5:$B$304,0)),"Add to Ingredients"))</f>
        <v>0</v>
      </c>
      <c r="N448" s="25">
        <f>IF(OR(J448="",M448="",NOT(ISNUMBER(M448))),"",IF(K448&lt;&gt;L448,"",J448*M448))</f>
        <v>0</v>
      </c>
      <c r="O448" s="25">
        <f>IF(N448="","",IFERROR(N448/INDEX(Recipes!$G$5:$G$204,MATCH(B448,Recipes!$A$5:$A$204,0)),""))</f>
        <v>0</v>
      </c>
      <c r="P448" s="30">
        <f>IF(J448="","",IF(K448="each",J448,J448/100))</f>
        <v>0</v>
      </c>
      <c r="Q448" s="30">
        <f>IFERROR(IF(P448="","",P448*INDEX(Ingredients!$P$5:$P$304,MATCH(D448,Ingredients!$B$5:$B$304,0))),"")</f>
        <v>0</v>
      </c>
      <c r="R448" s="45">
        <f>IFERROR(IF(P448="","",P448*INDEX(Ingredients!$Q$5:$Q$304,MATCH(D448,Ingredients!$B$5:$B$304,0))),"")</f>
        <v>0</v>
      </c>
      <c r="S448" s="45">
        <f>IFERROR(IF(P448="","",P448*INDEX(Ingredients!$R$5:$R$304,MATCH(D448,Ingredients!$B$5:$B$304,0))),"")</f>
        <v>0</v>
      </c>
      <c r="T448" s="45">
        <f>IFERROR(IF(P448="","",P448*INDEX(Ingredients!$S$5:$S$304,MATCH(D448,Ingredients!$B$5:$B$304,0))),"")</f>
        <v>0</v>
      </c>
      <c r="U448" s="45">
        <f>IFERROR(IF(P448="","",P448*INDEX(Ingredients!$T$5:$T$304,MATCH(D448,Ingredients!$B$5:$B$304,0))),"")</f>
        <v>0</v>
      </c>
      <c r="V448" s="17">
        <f>IF(D448="","",IFERROR(INDEX(Ingredients!$W$5:$W$304,MATCH(D448,Ingredients!$B$5:$B$304,0)),"Add to Ingredients"))</f>
        <v>0</v>
      </c>
      <c r="W448" s="17">
        <f>IF(D448="","",IFERROR(INDEX(Ingredients!$C$5:$C$304,MATCH(D448,Ingredients!$B$5:$B$304,0)),"Add to Ingredients"))</f>
        <v>0</v>
      </c>
      <c r="X448" s="45">
        <f>IFERROR(INDEX(Recipes!$AT$5:$AT$204,MATCH(B448,Recipes!$A$5:$A$204,0)),0)</f>
        <v>0</v>
      </c>
      <c r="Y448" s="45">
        <f>IF(OR(J448="",X448=0),"",J448*X448)</f>
        <v>0</v>
      </c>
      <c r="Z448" s="17">
        <f>IF(D448="","",B448&amp;"#"&amp;COUNTIFS($B$5:B448,B448))</f>
        <v>0</v>
      </c>
      <c r="AA448" s="17">
        <f>IF(D448="","",B448&amp;"|"&amp;D448)</f>
        <v>0</v>
      </c>
      <c r="AB448" s="31">
        <f>IF(D448="","",IF(B448="","Add - which recipe?",IF(COUNTIFS(Ingredients!$B$5:$B$304,D448)=0,"Missing - not in the Ingredients tab",IF(E448="","Add - no quantity",IF(F448="","Add - no unit",IF(K448&lt;&gt;L448,"Check - recipe in "&amp;K448&amp;", priced in "&amp;L448,IF(COUNTIFS($AA$5:$AA$1204,AA448)&gt;1,"Duplicate - same ingredient twice","OK")))))))</f>
        <v>0</v>
      </c>
    </row>
    <row r="449" spans="1:28">
      <c r="A449" s="39">
        <f>IF(D449="","","RL-"&amp;TEXT(ROW()-4,"0000"))</f>
        <v>0</v>
      </c>
      <c r="C449" s="17">
        <f>IF(B449="","",IFERROR(INDEX(Recipes!$B$5:$B$204,MATCH(B449,Recipes!$A$5:$A$204,0)),"Not found"))</f>
        <v>0</v>
      </c>
      <c r="J449" s="45">
        <f>IF(E449="","",IFERROR(E449*INDEX(UnitFactors,MATCH(F449,UnitNames,0)),""))</f>
        <v>0</v>
      </c>
      <c r="K449" s="17">
        <f>IF(F449="","",IFERROR(INDEX(UnitBases,MATCH(F449,UnitNames,0)),"?"))</f>
        <v>0</v>
      </c>
      <c r="L449" s="17">
        <f>IF(D449="","",IFERROR(INDEX(Ingredients!$G$5:$G$304,MATCH(D449,Ingredients!$B$5:$B$304,0)),"Add to Ingredients"))</f>
        <v>0</v>
      </c>
      <c r="M449" s="25">
        <f>IF(D449="","",IFERROR(INDEX(Ingredients!$J$5:$J$304,MATCH(D449,Ingredients!$B$5:$B$304,0)),"Add to Ingredients"))</f>
        <v>0</v>
      </c>
      <c r="N449" s="25">
        <f>IF(OR(J449="",M449="",NOT(ISNUMBER(M449))),"",IF(K449&lt;&gt;L449,"",J449*M449))</f>
        <v>0</v>
      </c>
      <c r="O449" s="25">
        <f>IF(N449="","",IFERROR(N449/INDEX(Recipes!$G$5:$G$204,MATCH(B449,Recipes!$A$5:$A$204,0)),""))</f>
        <v>0</v>
      </c>
      <c r="P449" s="30">
        <f>IF(J449="","",IF(K449="each",J449,J449/100))</f>
        <v>0</v>
      </c>
      <c r="Q449" s="30">
        <f>IFERROR(IF(P449="","",P449*INDEX(Ingredients!$P$5:$P$304,MATCH(D449,Ingredients!$B$5:$B$304,0))),"")</f>
        <v>0</v>
      </c>
      <c r="R449" s="45">
        <f>IFERROR(IF(P449="","",P449*INDEX(Ingredients!$Q$5:$Q$304,MATCH(D449,Ingredients!$B$5:$B$304,0))),"")</f>
        <v>0</v>
      </c>
      <c r="S449" s="45">
        <f>IFERROR(IF(P449="","",P449*INDEX(Ingredients!$R$5:$R$304,MATCH(D449,Ingredients!$B$5:$B$304,0))),"")</f>
        <v>0</v>
      </c>
      <c r="T449" s="45">
        <f>IFERROR(IF(P449="","",P449*INDEX(Ingredients!$S$5:$S$304,MATCH(D449,Ingredients!$B$5:$B$304,0))),"")</f>
        <v>0</v>
      </c>
      <c r="U449" s="45">
        <f>IFERROR(IF(P449="","",P449*INDEX(Ingredients!$T$5:$T$304,MATCH(D449,Ingredients!$B$5:$B$304,0))),"")</f>
        <v>0</v>
      </c>
      <c r="V449" s="17">
        <f>IF(D449="","",IFERROR(INDEX(Ingredients!$W$5:$W$304,MATCH(D449,Ingredients!$B$5:$B$304,0)),"Add to Ingredients"))</f>
        <v>0</v>
      </c>
      <c r="W449" s="17">
        <f>IF(D449="","",IFERROR(INDEX(Ingredients!$C$5:$C$304,MATCH(D449,Ingredients!$B$5:$B$304,0)),"Add to Ingredients"))</f>
        <v>0</v>
      </c>
      <c r="X449" s="45">
        <f>IFERROR(INDEX(Recipes!$AT$5:$AT$204,MATCH(B449,Recipes!$A$5:$A$204,0)),0)</f>
        <v>0</v>
      </c>
      <c r="Y449" s="45">
        <f>IF(OR(J449="",X449=0),"",J449*X449)</f>
        <v>0</v>
      </c>
      <c r="Z449" s="17">
        <f>IF(D449="","",B449&amp;"#"&amp;COUNTIFS($B$5:B449,B449))</f>
        <v>0</v>
      </c>
      <c r="AA449" s="17">
        <f>IF(D449="","",B449&amp;"|"&amp;D449)</f>
        <v>0</v>
      </c>
      <c r="AB449" s="31">
        <f>IF(D449="","",IF(B449="","Add - which recipe?",IF(COUNTIFS(Ingredients!$B$5:$B$304,D449)=0,"Missing - not in the Ingredients tab",IF(E449="","Add - no quantity",IF(F449="","Add - no unit",IF(K449&lt;&gt;L449,"Check - recipe in "&amp;K449&amp;", priced in "&amp;L449,IF(COUNTIFS($AA$5:$AA$1204,AA449)&gt;1,"Duplicate - same ingredient twice","OK")))))))</f>
        <v>0</v>
      </c>
    </row>
    <row r="450" spans="1:28">
      <c r="A450" s="39">
        <f>IF(D450="","","RL-"&amp;TEXT(ROW()-4,"0000"))</f>
        <v>0</v>
      </c>
      <c r="C450" s="17">
        <f>IF(B450="","",IFERROR(INDEX(Recipes!$B$5:$B$204,MATCH(B450,Recipes!$A$5:$A$204,0)),"Not found"))</f>
        <v>0</v>
      </c>
      <c r="J450" s="45">
        <f>IF(E450="","",IFERROR(E450*INDEX(UnitFactors,MATCH(F450,UnitNames,0)),""))</f>
        <v>0</v>
      </c>
      <c r="K450" s="17">
        <f>IF(F450="","",IFERROR(INDEX(UnitBases,MATCH(F450,UnitNames,0)),"?"))</f>
        <v>0</v>
      </c>
      <c r="L450" s="17">
        <f>IF(D450="","",IFERROR(INDEX(Ingredients!$G$5:$G$304,MATCH(D450,Ingredients!$B$5:$B$304,0)),"Add to Ingredients"))</f>
        <v>0</v>
      </c>
      <c r="M450" s="25">
        <f>IF(D450="","",IFERROR(INDEX(Ingredients!$J$5:$J$304,MATCH(D450,Ingredients!$B$5:$B$304,0)),"Add to Ingredients"))</f>
        <v>0</v>
      </c>
      <c r="N450" s="25">
        <f>IF(OR(J450="",M450="",NOT(ISNUMBER(M450))),"",IF(K450&lt;&gt;L450,"",J450*M450))</f>
        <v>0</v>
      </c>
      <c r="O450" s="25">
        <f>IF(N450="","",IFERROR(N450/INDEX(Recipes!$G$5:$G$204,MATCH(B450,Recipes!$A$5:$A$204,0)),""))</f>
        <v>0</v>
      </c>
      <c r="P450" s="30">
        <f>IF(J450="","",IF(K450="each",J450,J450/100))</f>
        <v>0</v>
      </c>
      <c r="Q450" s="30">
        <f>IFERROR(IF(P450="","",P450*INDEX(Ingredients!$P$5:$P$304,MATCH(D450,Ingredients!$B$5:$B$304,0))),"")</f>
        <v>0</v>
      </c>
      <c r="R450" s="45">
        <f>IFERROR(IF(P450="","",P450*INDEX(Ingredients!$Q$5:$Q$304,MATCH(D450,Ingredients!$B$5:$B$304,0))),"")</f>
        <v>0</v>
      </c>
      <c r="S450" s="45">
        <f>IFERROR(IF(P450="","",P450*INDEX(Ingredients!$R$5:$R$304,MATCH(D450,Ingredients!$B$5:$B$304,0))),"")</f>
        <v>0</v>
      </c>
      <c r="T450" s="45">
        <f>IFERROR(IF(P450="","",P450*INDEX(Ingredients!$S$5:$S$304,MATCH(D450,Ingredients!$B$5:$B$304,0))),"")</f>
        <v>0</v>
      </c>
      <c r="U450" s="45">
        <f>IFERROR(IF(P450="","",P450*INDEX(Ingredients!$T$5:$T$304,MATCH(D450,Ingredients!$B$5:$B$304,0))),"")</f>
        <v>0</v>
      </c>
      <c r="V450" s="17">
        <f>IF(D450="","",IFERROR(INDEX(Ingredients!$W$5:$W$304,MATCH(D450,Ingredients!$B$5:$B$304,0)),"Add to Ingredients"))</f>
        <v>0</v>
      </c>
      <c r="W450" s="17">
        <f>IF(D450="","",IFERROR(INDEX(Ingredients!$C$5:$C$304,MATCH(D450,Ingredients!$B$5:$B$304,0)),"Add to Ingredients"))</f>
        <v>0</v>
      </c>
      <c r="X450" s="45">
        <f>IFERROR(INDEX(Recipes!$AT$5:$AT$204,MATCH(B450,Recipes!$A$5:$A$204,0)),0)</f>
        <v>0</v>
      </c>
      <c r="Y450" s="45">
        <f>IF(OR(J450="",X450=0),"",J450*X450)</f>
        <v>0</v>
      </c>
      <c r="Z450" s="17">
        <f>IF(D450="","",B450&amp;"#"&amp;COUNTIFS($B$5:B450,B450))</f>
        <v>0</v>
      </c>
      <c r="AA450" s="17">
        <f>IF(D450="","",B450&amp;"|"&amp;D450)</f>
        <v>0</v>
      </c>
      <c r="AB450" s="31">
        <f>IF(D450="","",IF(B450="","Add - which recipe?",IF(COUNTIFS(Ingredients!$B$5:$B$304,D450)=0,"Missing - not in the Ingredients tab",IF(E450="","Add - no quantity",IF(F450="","Add - no unit",IF(K450&lt;&gt;L450,"Check - recipe in "&amp;K450&amp;", priced in "&amp;L450,IF(COUNTIFS($AA$5:$AA$1204,AA450)&gt;1,"Duplicate - same ingredient twice","OK")))))))</f>
        <v>0</v>
      </c>
    </row>
    <row r="451" spans="1:28">
      <c r="A451" s="39">
        <f>IF(D451="","","RL-"&amp;TEXT(ROW()-4,"0000"))</f>
        <v>0</v>
      </c>
      <c r="C451" s="17">
        <f>IF(B451="","",IFERROR(INDEX(Recipes!$B$5:$B$204,MATCH(B451,Recipes!$A$5:$A$204,0)),"Not found"))</f>
        <v>0</v>
      </c>
      <c r="J451" s="45">
        <f>IF(E451="","",IFERROR(E451*INDEX(UnitFactors,MATCH(F451,UnitNames,0)),""))</f>
        <v>0</v>
      </c>
      <c r="K451" s="17">
        <f>IF(F451="","",IFERROR(INDEX(UnitBases,MATCH(F451,UnitNames,0)),"?"))</f>
        <v>0</v>
      </c>
      <c r="L451" s="17">
        <f>IF(D451="","",IFERROR(INDEX(Ingredients!$G$5:$G$304,MATCH(D451,Ingredients!$B$5:$B$304,0)),"Add to Ingredients"))</f>
        <v>0</v>
      </c>
      <c r="M451" s="25">
        <f>IF(D451="","",IFERROR(INDEX(Ingredients!$J$5:$J$304,MATCH(D451,Ingredients!$B$5:$B$304,0)),"Add to Ingredients"))</f>
        <v>0</v>
      </c>
      <c r="N451" s="25">
        <f>IF(OR(J451="",M451="",NOT(ISNUMBER(M451))),"",IF(K451&lt;&gt;L451,"",J451*M451))</f>
        <v>0</v>
      </c>
      <c r="O451" s="25">
        <f>IF(N451="","",IFERROR(N451/INDEX(Recipes!$G$5:$G$204,MATCH(B451,Recipes!$A$5:$A$204,0)),""))</f>
        <v>0</v>
      </c>
      <c r="P451" s="30">
        <f>IF(J451="","",IF(K451="each",J451,J451/100))</f>
        <v>0</v>
      </c>
      <c r="Q451" s="30">
        <f>IFERROR(IF(P451="","",P451*INDEX(Ingredients!$P$5:$P$304,MATCH(D451,Ingredients!$B$5:$B$304,0))),"")</f>
        <v>0</v>
      </c>
      <c r="R451" s="45">
        <f>IFERROR(IF(P451="","",P451*INDEX(Ingredients!$Q$5:$Q$304,MATCH(D451,Ingredients!$B$5:$B$304,0))),"")</f>
        <v>0</v>
      </c>
      <c r="S451" s="45">
        <f>IFERROR(IF(P451="","",P451*INDEX(Ingredients!$R$5:$R$304,MATCH(D451,Ingredients!$B$5:$B$304,0))),"")</f>
        <v>0</v>
      </c>
      <c r="T451" s="45">
        <f>IFERROR(IF(P451="","",P451*INDEX(Ingredients!$S$5:$S$304,MATCH(D451,Ingredients!$B$5:$B$304,0))),"")</f>
        <v>0</v>
      </c>
      <c r="U451" s="45">
        <f>IFERROR(IF(P451="","",P451*INDEX(Ingredients!$T$5:$T$304,MATCH(D451,Ingredients!$B$5:$B$304,0))),"")</f>
        <v>0</v>
      </c>
      <c r="V451" s="17">
        <f>IF(D451="","",IFERROR(INDEX(Ingredients!$W$5:$W$304,MATCH(D451,Ingredients!$B$5:$B$304,0)),"Add to Ingredients"))</f>
        <v>0</v>
      </c>
      <c r="W451" s="17">
        <f>IF(D451="","",IFERROR(INDEX(Ingredients!$C$5:$C$304,MATCH(D451,Ingredients!$B$5:$B$304,0)),"Add to Ingredients"))</f>
        <v>0</v>
      </c>
      <c r="X451" s="45">
        <f>IFERROR(INDEX(Recipes!$AT$5:$AT$204,MATCH(B451,Recipes!$A$5:$A$204,0)),0)</f>
        <v>0</v>
      </c>
      <c r="Y451" s="45">
        <f>IF(OR(J451="",X451=0),"",J451*X451)</f>
        <v>0</v>
      </c>
      <c r="Z451" s="17">
        <f>IF(D451="","",B451&amp;"#"&amp;COUNTIFS($B$5:B451,B451))</f>
        <v>0</v>
      </c>
      <c r="AA451" s="17">
        <f>IF(D451="","",B451&amp;"|"&amp;D451)</f>
        <v>0</v>
      </c>
      <c r="AB451" s="31">
        <f>IF(D451="","",IF(B451="","Add - which recipe?",IF(COUNTIFS(Ingredients!$B$5:$B$304,D451)=0,"Missing - not in the Ingredients tab",IF(E451="","Add - no quantity",IF(F451="","Add - no unit",IF(K451&lt;&gt;L451,"Check - recipe in "&amp;K451&amp;", priced in "&amp;L451,IF(COUNTIFS($AA$5:$AA$1204,AA451)&gt;1,"Duplicate - same ingredient twice","OK")))))))</f>
        <v>0</v>
      </c>
    </row>
    <row r="452" spans="1:28">
      <c r="A452" s="39">
        <f>IF(D452="","","RL-"&amp;TEXT(ROW()-4,"0000"))</f>
        <v>0</v>
      </c>
      <c r="C452" s="17">
        <f>IF(B452="","",IFERROR(INDEX(Recipes!$B$5:$B$204,MATCH(B452,Recipes!$A$5:$A$204,0)),"Not found"))</f>
        <v>0</v>
      </c>
      <c r="J452" s="45">
        <f>IF(E452="","",IFERROR(E452*INDEX(UnitFactors,MATCH(F452,UnitNames,0)),""))</f>
        <v>0</v>
      </c>
      <c r="K452" s="17">
        <f>IF(F452="","",IFERROR(INDEX(UnitBases,MATCH(F452,UnitNames,0)),"?"))</f>
        <v>0</v>
      </c>
      <c r="L452" s="17">
        <f>IF(D452="","",IFERROR(INDEX(Ingredients!$G$5:$G$304,MATCH(D452,Ingredients!$B$5:$B$304,0)),"Add to Ingredients"))</f>
        <v>0</v>
      </c>
      <c r="M452" s="25">
        <f>IF(D452="","",IFERROR(INDEX(Ingredients!$J$5:$J$304,MATCH(D452,Ingredients!$B$5:$B$304,0)),"Add to Ingredients"))</f>
        <v>0</v>
      </c>
      <c r="N452" s="25">
        <f>IF(OR(J452="",M452="",NOT(ISNUMBER(M452))),"",IF(K452&lt;&gt;L452,"",J452*M452))</f>
        <v>0</v>
      </c>
      <c r="O452" s="25">
        <f>IF(N452="","",IFERROR(N452/INDEX(Recipes!$G$5:$G$204,MATCH(B452,Recipes!$A$5:$A$204,0)),""))</f>
        <v>0</v>
      </c>
      <c r="P452" s="30">
        <f>IF(J452="","",IF(K452="each",J452,J452/100))</f>
        <v>0</v>
      </c>
      <c r="Q452" s="30">
        <f>IFERROR(IF(P452="","",P452*INDEX(Ingredients!$P$5:$P$304,MATCH(D452,Ingredients!$B$5:$B$304,0))),"")</f>
        <v>0</v>
      </c>
      <c r="R452" s="45">
        <f>IFERROR(IF(P452="","",P452*INDEX(Ingredients!$Q$5:$Q$304,MATCH(D452,Ingredients!$B$5:$B$304,0))),"")</f>
        <v>0</v>
      </c>
      <c r="S452" s="45">
        <f>IFERROR(IF(P452="","",P452*INDEX(Ingredients!$R$5:$R$304,MATCH(D452,Ingredients!$B$5:$B$304,0))),"")</f>
        <v>0</v>
      </c>
      <c r="T452" s="45">
        <f>IFERROR(IF(P452="","",P452*INDEX(Ingredients!$S$5:$S$304,MATCH(D452,Ingredients!$B$5:$B$304,0))),"")</f>
        <v>0</v>
      </c>
      <c r="U452" s="45">
        <f>IFERROR(IF(P452="","",P452*INDEX(Ingredients!$T$5:$T$304,MATCH(D452,Ingredients!$B$5:$B$304,0))),"")</f>
        <v>0</v>
      </c>
      <c r="V452" s="17">
        <f>IF(D452="","",IFERROR(INDEX(Ingredients!$W$5:$W$304,MATCH(D452,Ingredients!$B$5:$B$304,0)),"Add to Ingredients"))</f>
        <v>0</v>
      </c>
      <c r="W452" s="17">
        <f>IF(D452="","",IFERROR(INDEX(Ingredients!$C$5:$C$304,MATCH(D452,Ingredients!$B$5:$B$304,0)),"Add to Ingredients"))</f>
        <v>0</v>
      </c>
      <c r="X452" s="45">
        <f>IFERROR(INDEX(Recipes!$AT$5:$AT$204,MATCH(B452,Recipes!$A$5:$A$204,0)),0)</f>
        <v>0</v>
      </c>
      <c r="Y452" s="45">
        <f>IF(OR(J452="",X452=0),"",J452*X452)</f>
        <v>0</v>
      </c>
      <c r="Z452" s="17">
        <f>IF(D452="","",B452&amp;"#"&amp;COUNTIFS($B$5:B452,B452))</f>
        <v>0</v>
      </c>
      <c r="AA452" s="17">
        <f>IF(D452="","",B452&amp;"|"&amp;D452)</f>
        <v>0</v>
      </c>
      <c r="AB452" s="31">
        <f>IF(D452="","",IF(B452="","Add - which recipe?",IF(COUNTIFS(Ingredients!$B$5:$B$304,D452)=0,"Missing - not in the Ingredients tab",IF(E452="","Add - no quantity",IF(F452="","Add - no unit",IF(K452&lt;&gt;L452,"Check - recipe in "&amp;K452&amp;", priced in "&amp;L452,IF(COUNTIFS($AA$5:$AA$1204,AA452)&gt;1,"Duplicate - same ingredient twice","OK")))))))</f>
        <v>0</v>
      </c>
    </row>
    <row r="453" spans="1:28">
      <c r="A453" s="39">
        <f>IF(D453="","","RL-"&amp;TEXT(ROW()-4,"0000"))</f>
        <v>0</v>
      </c>
      <c r="C453" s="17">
        <f>IF(B453="","",IFERROR(INDEX(Recipes!$B$5:$B$204,MATCH(B453,Recipes!$A$5:$A$204,0)),"Not found"))</f>
        <v>0</v>
      </c>
      <c r="J453" s="45">
        <f>IF(E453="","",IFERROR(E453*INDEX(UnitFactors,MATCH(F453,UnitNames,0)),""))</f>
        <v>0</v>
      </c>
      <c r="K453" s="17">
        <f>IF(F453="","",IFERROR(INDEX(UnitBases,MATCH(F453,UnitNames,0)),"?"))</f>
        <v>0</v>
      </c>
      <c r="L453" s="17">
        <f>IF(D453="","",IFERROR(INDEX(Ingredients!$G$5:$G$304,MATCH(D453,Ingredients!$B$5:$B$304,0)),"Add to Ingredients"))</f>
        <v>0</v>
      </c>
      <c r="M453" s="25">
        <f>IF(D453="","",IFERROR(INDEX(Ingredients!$J$5:$J$304,MATCH(D453,Ingredients!$B$5:$B$304,0)),"Add to Ingredients"))</f>
        <v>0</v>
      </c>
      <c r="N453" s="25">
        <f>IF(OR(J453="",M453="",NOT(ISNUMBER(M453))),"",IF(K453&lt;&gt;L453,"",J453*M453))</f>
        <v>0</v>
      </c>
      <c r="O453" s="25">
        <f>IF(N453="","",IFERROR(N453/INDEX(Recipes!$G$5:$G$204,MATCH(B453,Recipes!$A$5:$A$204,0)),""))</f>
        <v>0</v>
      </c>
      <c r="P453" s="30">
        <f>IF(J453="","",IF(K453="each",J453,J453/100))</f>
        <v>0</v>
      </c>
      <c r="Q453" s="30">
        <f>IFERROR(IF(P453="","",P453*INDEX(Ingredients!$P$5:$P$304,MATCH(D453,Ingredients!$B$5:$B$304,0))),"")</f>
        <v>0</v>
      </c>
      <c r="R453" s="45">
        <f>IFERROR(IF(P453="","",P453*INDEX(Ingredients!$Q$5:$Q$304,MATCH(D453,Ingredients!$B$5:$B$304,0))),"")</f>
        <v>0</v>
      </c>
      <c r="S453" s="45">
        <f>IFERROR(IF(P453="","",P453*INDEX(Ingredients!$R$5:$R$304,MATCH(D453,Ingredients!$B$5:$B$304,0))),"")</f>
        <v>0</v>
      </c>
      <c r="T453" s="45">
        <f>IFERROR(IF(P453="","",P453*INDEX(Ingredients!$S$5:$S$304,MATCH(D453,Ingredients!$B$5:$B$304,0))),"")</f>
        <v>0</v>
      </c>
      <c r="U453" s="45">
        <f>IFERROR(IF(P453="","",P453*INDEX(Ingredients!$T$5:$T$304,MATCH(D453,Ingredients!$B$5:$B$304,0))),"")</f>
        <v>0</v>
      </c>
      <c r="V453" s="17">
        <f>IF(D453="","",IFERROR(INDEX(Ingredients!$W$5:$W$304,MATCH(D453,Ingredients!$B$5:$B$304,0)),"Add to Ingredients"))</f>
        <v>0</v>
      </c>
      <c r="W453" s="17">
        <f>IF(D453="","",IFERROR(INDEX(Ingredients!$C$5:$C$304,MATCH(D453,Ingredients!$B$5:$B$304,0)),"Add to Ingredients"))</f>
        <v>0</v>
      </c>
      <c r="X453" s="45">
        <f>IFERROR(INDEX(Recipes!$AT$5:$AT$204,MATCH(B453,Recipes!$A$5:$A$204,0)),0)</f>
        <v>0</v>
      </c>
      <c r="Y453" s="45">
        <f>IF(OR(J453="",X453=0),"",J453*X453)</f>
        <v>0</v>
      </c>
      <c r="Z453" s="17">
        <f>IF(D453="","",B453&amp;"#"&amp;COUNTIFS($B$5:B453,B453))</f>
        <v>0</v>
      </c>
      <c r="AA453" s="17">
        <f>IF(D453="","",B453&amp;"|"&amp;D453)</f>
        <v>0</v>
      </c>
      <c r="AB453" s="31">
        <f>IF(D453="","",IF(B453="","Add - which recipe?",IF(COUNTIFS(Ingredients!$B$5:$B$304,D453)=0,"Missing - not in the Ingredients tab",IF(E453="","Add - no quantity",IF(F453="","Add - no unit",IF(K453&lt;&gt;L453,"Check - recipe in "&amp;K453&amp;", priced in "&amp;L453,IF(COUNTIFS($AA$5:$AA$1204,AA453)&gt;1,"Duplicate - same ingredient twice","OK")))))))</f>
        <v>0</v>
      </c>
    </row>
    <row r="454" spans="1:28">
      <c r="A454" s="39">
        <f>IF(D454="","","RL-"&amp;TEXT(ROW()-4,"0000"))</f>
        <v>0</v>
      </c>
      <c r="C454" s="17">
        <f>IF(B454="","",IFERROR(INDEX(Recipes!$B$5:$B$204,MATCH(B454,Recipes!$A$5:$A$204,0)),"Not found"))</f>
        <v>0</v>
      </c>
      <c r="J454" s="45">
        <f>IF(E454="","",IFERROR(E454*INDEX(UnitFactors,MATCH(F454,UnitNames,0)),""))</f>
        <v>0</v>
      </c>
      <c r="K454" s="17">
        <f>IF(F454="","",IFERROR(INDEX(UnitBases,MATCH(F454,UnitNames,0)),"?"))</f>
        <v>0</v>
      </c>
      <c r="L454" s="17">
        <f>IF(D454="","",IFERROR(INDEX(Ingredients!$G$5:$G$304,MATCH(D454,Ingredients!$B$5:$B$304,0)),"Add to Ingredients"))</f>
        <v>0</v>
      </c>
      <c r="M454" s="25">
        <f>IF(D454="","",IFERROR(INDEX(Ingredients!$J$5:$J$304,MATCH(D454,Ingredients!$B$5:$B$304,0)),"Add to Ingredients"))</f>
        <v>0</v>
      </c>
      <c r="N454" s="25">
        <f>IF(OR(J454="",M454="",NOT(ISNUMBER(M454))),"",IF(K454&lt;&gt;L454,"",J454*M454))</f>
        <v>0</v>
      </c>
      <c r="O454" s="25">
        <f>IF(N454="","",IFERROR(N454/INDEX(Recipes!$G$5:$G$204,MATCH(B454,Recipes!$A$5:$A$204,0)),""))</f>
        <v>0</v>
      </c>
      <c r="P454" s="30">
        <f>IF(J454="","",IF(K454="each",J454,J454/100))</f>
        <v>0</v>
      </c>
      <c r="Q454" s="30">
        <f>IFERROR(IF(P454="","",P454*INDEX(Ingredients!$P$5:$P$304,MATCH(D454,Ingredients!$B$5:$B$304,0))),"")</f>
        <v>0</v>
      </c>
      <c r="R454" s="45">
        <f>IFERROR(IF(P454="","",P454*INDEX(Ingredients!$Q$5:$Q$304,MATCH(D454,Ingredients!$B$5:$B$304,0))),"")</f>
        <v>0</v>
      </c>
      <c r="S454" s="45">
        <f>IFERROR(IF(P454="","",P454*INDEX(Ingredients!$R$5:$R$304,MATCH(D454,Ingredients!$B$5:$B$304,0))),"")</f>
        <v>0</v>
      </c>
      <c r="T454" s="45">
        <f>IFERROR(IF(P454="","",P454*INDEX(Ingredients!$S$5:$S$304,MATCH(D454,Ingredients!$B$5:$B$304,0))),"")</f>
        <v>0</v>
      </c>
      <c r="U454" s="45">
        <f>IFERROR(IF(P454="","",P454*INDEX(Ingredients!$T$5:$T$304,MATCH(D454,Ingredients!$B$5:$B$304,0))),"")</f>
        <v>0</v>
      </c>
      <c r="V454" s="17">
        <f>IF(D454="","",IFERROR(INDEX(Ingredients!$W$5:$W$304,MATCH(D454,Ingredients!$B$5:$B$304,0)),"Add to Ingredients"))</f>
        <v>0</v>
      </c>
      <c r="W454" s="17">
        <f>IF(D454="","",IFERROR(INDEX(Ingredients!$C$5:$C$304,MATCH(D454,Ingredients!$B$5:$B$304,0)),"Add to Ingredients"))</f>
        <v>0</v>
      </c>
      <c r="X454" s="45">
        <f>IFERROR(INDEX(Recipes!$AT$5:$AT$204,MATCH(B454,Recipes!$A$5:$A$204,0)),0)</f>
        <v>0</v>
      </c>
      <c r="Y454" s="45">
        <f>IF(OR(J454="",X454=0),"",J454*X454)</f>
        <v>0</v>
      </c>
      <c r="Z454" s="17">
        <f>IF(D454="","",B454&amp;"#"&amp;COUNTIFS($B$5:B454,B454))</f>
        <v>0</v>
      </c>
      <c r="AA454" s="17">
        <f>IF(D454="","",B454&amp;"|"&amp;D454)</f>
        <v>0</v>
      </c>
      <c r="AB454" s="31">
        <f>IF(D454="","",IF(B454="","Add - which recipe?",IF(COUNTIFS(Ingredients!$B$5:$B$304,D454)=0,"Missing - not in the Ingredients tab",IF(E454="","Add - no quantity",IF(F454="","Add - no unit",IF(K454&lt;&gt;L454,"Check - recipe in "&amp;K454&amp;", priced in "&amp;L454,IF(COUNTIFS($AA$5:$AA$1204,AA454)&gt;1,"Duplicate - same ingredient twice","OK")))))))</f>
        <v>0</v>
      </c>
    </row>
    <row r="455" spans="1:28">
      <c r="A455" s="39">
        <f>IF(D455="","","RL-"&amp;TEXT(ROW()-4,"0000"))</f>
        <v>0</v>
      </c>
      <c r="C455" s="17">
        <f>IF(B455="","",IFERROR(INDEX(Recipes!$B$5:$B$204,MATCH(B455,Recipes!$A$5:$A$204,0)),"Not found"))</f>
        <v>0</v>
      </c>
      <c r="J455" s="45">
        <f>IF(E455="","",IFERROR(E455*INDEX(UnitFactors,MATCH(F455,UnitNames,0)),""))</f>
        <v>0</v>
      </c>
      <c r="K455" s="17">
        <f>IF(F455="","",IFERROR(INDEX(UnitBases,MATCH(F455,UnitNames,0)),"?"))</f>
        <v>0</v>
      </c>
      <c r="L455" s="17">
        <f>IF(D455="","",IFERROR(INDEX(Ingredients!$G$5:$G$304,MATCH(D455,Ingredients!$B$5:$B$304,0)),"Add to Ingredients"))</f>
        <v>0</v>
      </c>
      <c r="M455" s="25">
        <f>IF(D455="","",IFERROR(INDEX(Ingredients!$J$5:$J$304,MATCH(D455,Ingredients!$B$5:$B$304,0)),"Add to Ingredients"))</f>
        <v>0</v>
      </c>
      <c r="N455" s="25">
        <f>IF(OR(J455="",M455="",NOT(ISNUMBER(M455))),"",IF(K455&lt;&gt;L455,"",J455*M455))</f>
        <v>0</v>
      </c>
      <c r="O455" s="25">
        <f>IF(N455="","",IFERROR(N455/INDEX(Recipes!$G$5:$G$204,MATCH(B455,Recipes!$A$5:$A$204,0)),""))</f>
        <v>0</v>
      </c>
      <c r="P455" s="30">
        <f>IF(J455="","",IF(K455="each",J455,J455/100))</f>
        <v>0</v>
      </c>
      <c r="Q455" s="30">
        <f>IFERROR(IF(P455="","",P455*INDEX(Ingredients!$P$5:$P$304,MATCH(D455,Ingredients!$B$5:$B$304,0))),"")</f>
        <v>0</v>
      </c>
      <c r="R455" s="45">
        <f>IFERROR(IF(P455="","",P455*INDEX(Ingredients!$Q$5:$Q$304,MATCH(D455,Ingredients!$B$5:$B$304,0))),"")</f>
        <v>0</v>
      </c>
      <c r="S455" s="45">
        <f>IFERROR(IF(P455="","",P455*INDEX(Ingredients!$R$5:$R$304,MATCH(D455,Ingredients!$B$5:$B$304,0))),"")</f>
        <v>0</v>
      </c>
      <c r="T455" s="45">
        <f>IFERROR(IF(P455="","",P455*INDEX(Ingredients!$S$5:$S$304,MATCH(D455,Ingredients!$B$5:$B$304,0))),"")</f>
        <v>0</v>
      </c>
      <c r="U455" s="45">
        <f>IFERROR(IF(P455="","",P455*INDEX(Ingredients!$T$5:$T$304,MATCH(D455,Ingredients!$B$5:$B$304,0))),"")</f>
        <v>0</v>
      </c>
      <c r="V455" s="17">
        <f>IF(D455="","",IFERROR(INDEX(Ingredients!$W$5:$W$304,MATCH(D455,Ingredients!$B$5:$B$304,0)),"Add to Ingredients"))</f>
        <v>0</v>
      </c>
      <c r="W455" s="17">
        <f>IF(D455="","",IFERROR(INDEX(Ingredients!$C$5:$C$304,MATCH(D455,Ingredients!$B$5:$B$304,0)),"Add to Ingredients"))</f>
        <v>0</v>
      </c>
      <c r="X455" s="45">
        <f>IFERROR(INDEX(Recipes!$AT$5:$AT$204,MATCH(B455,Recipes!$A$5:$A$204,0)),0)</f>
        <v>0</v>
      </c>
      <c r="Y455" s="45">
        <f>IF(OR(J455="",X455=0),"",J455*X455)</f>
        <v>0</v>
      </c>
      <c r="Z455" s="17">
        <f>IF(D455="","",B455&amp;"#"&amp;COUNTIFS($B$5:B455,B455))</f>
        <v>0</v>
      </c>
      <c r="AA455" s="17">
        <f>IF(D455="","",B455&amp;"|"&amp;D455)</f>
        <v>0</v>
      </c>
      <c r="AB455" s="31">
        <f>IF(D455="","",IF(B455="","Add - which recipe?",IF(COUNTIFS(Ingredients!$B$5:$B$304,D455)=0,"Missing - not in the Ingredients tab",IF(E455="","Add - no quantity",IF(F455="","Add - no unit",IF(K455&lt;&gt;L455,"Check - recipe in "&amp;K455&amp;", priced in "&amp;L455,IF(COUNTIFS($AA$5:$AA$1204,AA455)&gt;1,"Duplicate - same ingredient twice","OK")))))))</f>
        <v>0</v>
      </c>
    </row>
    <row r="456" spans="1:28">
      <c r="A456" s="39">
        <f>IF(D456="","","RL-"&amp;TEXT(ROW()-4,"0000"))</f>
        <v>0</v>
      </c>
      <c r="C456" s="17">
        <f>IF(B456="","",IFERROR(INDEX(Recipes!$B$5:$B$204,MATCH(B456,Recipes!$A$5:$A$204,0)),"Not found"))</f>
        <v>0</v>
      </c>
      <c r="J456" s="45">
        <f>IF(E456="","",IFERROR(E456*INDEX(UnitFactors,MATCH(F456,UnitNames,0)),""))</f>
        <v>0</v>
      </c>
      <c r="K456" s="17">
        <f>IF(F456="","",IFERROR(INDEX(UnitBases,MATCH(F456,UnitNames,0)),"?"))</f>
        <v>0</v>
      </c>
      <c r="L456" s="17">
        <f>IF(D456="","",IFERROR(INDEX(Ingredients!$G$5:$G$304,MATCH(D456,Ingredients!$B$5:$B$304,0)),"Add to Ingredients"))</f>
        <v>0</v>
      </c>
      <c r="M456" s="25">
        <f>IF(D456="","",IFERROR(INDEX(Ingredients!$J$5:$J$304,MATCH(D456,Ingredients!$B$5:$B$304,0)),"Add to Ingredients"))</f>
        <v>0</v>
      </c>
      <c r="N456" s="25">
        <f>IF(OR(J456="",M456="",NOT(ISNUMBER(M456))),"",IF(K456&lt;&gt;L456,"",J456*M456))</f>
        <v>0</v>
      </c>
      <c r="O456" s="25">
        <f>IF(N456="","",IFERROR(N456/INDEX(Recipes!$G$5:$G$204,MATCH(B456,Recipes!$A$5:$A$204,0)),""))</f>
        <v>0</v>
      </c>
      <c r="P456" s="30">
        <f>IF(J456="","",IF(K456="each",J456,J456/100))</f>
        <v>0</v>
      </c>
      <c r="Q456" s="30">
        <f>IFERROR(IF(P456="","",P456*INDEX(Ingredients!$P$5:$P$304,MATCH(D456,Ingredients!$B$5:$B$304,0))),"")</f>
        <v>0</v>
      </c>
      <c r="R456" s="45">
        <f>IFERROR(IF(P456="","",P456*INDEX(Ingredients!$Q$5:$Q$304,MATCH(D456,Ingredients!$B$5:$B$304,0))),"")</f>
        <v>0</v>
      </c>
      <c r="S456" s="45">
        <f>IFERROR(IF(P456="","",P456*INDEX(Ingredients!$R$5:$R$304,MATCH(D456,Ingredients!$B$5:$B$304,0))),"")</f>
        <v>0</v>
      </c>
      <c r="T456" s="45">
        <f>IFERROR(IF(P456="","",P456*INDEX(Ingredients!$S$5:$S$304,MATCH(D456,Ingredients!$B$5:$B$304,0))),"")</f>
        <v>0</v>
      </c>
      <c r="U456" s="45">
        <f>IFERROR(IF(P456="","",P456*INDEX(Ingredients!$T$5:$T$304,MATCH(D456,Ingredients!$B$5:$B$304,0))),"")</f>
        <v>0</v>
      </c>
      <c r="V456" s="17">
        <f>IF(D456="","",IFERROR(INDEX(Ingredients!$W$5:$W$304,MATCH(D456,Ingredients!$B$5:$B$304,0)),"Add to Ingredients"))</f>
        <v>0</v>
      </c>
      <c r="W456" s="17">
        <f>IF(D456="","",IFERROR(INDEX(Ingredients!$C$5:$C$304,MATCH(D456,Ingredients!$B$5:$B$304,0)),"Add to Ingredients"))</f>
        <v>0</v>
      </c>
      <c r="X456" s="45">
        <f>IFERROR(INDEX(Recipes!$AT$5:$AT$204,MATCH(B456,Recipes!$A$5:$A$204,0)),0)</f>
        <v>0</v>
      </c>
      <c r="Y456" s="45">
        <f>IF(OR(J456="",X456=0),"",J456*X456)</f>
        <v>0</v>
      </c>
      <c r="Z456" s="17">
        <f>IF(D456="","",B456&amp;"#"&amp;COUNTIFS($B$5:B456,B456))</f>
        <v>0</v>
      </c>
      <c r="AA456" s="17">
        <f>IF(D456="","",B456&amp;"|"&amp;D456)</f>
        <v>0</v>
      </c>
      <c r="AB456" s="31">
        <f>IF(D456="","",IF(B456="","Add - which recipe?",IF(COUNTIFS(Ingredients!$B$5:$B$304,D456)=0,"Missing - not in the Ingredients tab",IF(E456="","Add - no quantity",IF(F456="","Add - no unit",IF(K456&lt;&gt;L456,"Check - recipe in "&amp;K456&amp;", priced in "&amp;L456,IF(COUNTIFS($AA$5:$AA$1204,AA456)&gt;1,"Duplicate - same ingredient twice","OK")))))))</f>
        <v>0</v>
      </c>
    </row>
    <row r="457" spans="1:28">
      <c r="A457" s="39">
        <f>IF(D457="","","RL-"&amp;TEXT(ROW()-4,"0000"))</f>
        <v>0</v>
      </c>
      <c r="C457" s="17">
        <f>IF(B457="","",IFERROR(INDEX(Recipes!$B$5:$B$204,MATCH(B457,Recipes!$A$5:$A$204,0)),"Not found"))</f>
        <v>0</v>
      </c>
      <c r="J457" s="45">
        <f>IF(E457="","",IFERROR(E457*INDEX(UnitFactors,MATCH(F457,UnitNames,0)),""))</f>
        <v>0</v>
      </c>
      <c r="K457" s="17">
        <f>IF(F457="","",IFERROR(INDEX(UnitBases,MATCH(F457,UnitNames,0)),"?"))</f>
        <v>0</v>
      </c>
      <c r="L457" s="17">
        <f>IF(D457="","",IFERROR(INDEX(Ingredients!$G$5:$G$304,MATCH(D457,Ingredients!$B$5:$B$304,0)),"Add to Ingredients"))</f>
        <v>0</v>
      </c>
      <c r="M457" s="25">
        <f>IF(D457="","",IFERROR(INDEX(Ingredients!$J$5:$J$304,MATCH(D457,Ingredients!$B$5:$B$304,0)),"Add to Ingredients"))</f>
        <v>0</v>
      </c>
      <c r="N457" s="25">
        <f>IF(OR(J457="",M457="",NOT(ISNUMBER(M457))),"",IF(K457&lt;&gt;L457,"",J457*M457))</f>
        <v>0</v>
      </c>
      <c r="O457" s="25">
        <f>IF(N457="","",IFERROR(N457/INDEX(Recipes!$G$5:$G$204,MATCH(B457,Recipes!$A$5:$A$204,0)),""))</f>
        <v>0</v>
      </c>
      <c r="P457" s="30">
        <f>IF(J457="","",IF(K457="each",J457,J457/100))</f>
        <v>0</v>
      </c>
      <c r="Q457" s="30">
        <f>IFERROR(IF(P457="","",P457*INDEX(Ingredients!$P$5:$P$304,MATCH(D457,Ingredients!$B$5:$B$304,0))),"")</f>
        <v>0</v>
      </c>
      <c r="R457" s="45">
        <f>IFERROR(IF(P457="","",P457*INDEX(Ingredients!$Q$5:$Q$304,MATCH(D457,Ingredients!$B$5:$B$304,0))),"")</f>
        <v>0</v>
      </c>
      <c r="S457" s="45">
        <f>IFERROR(IF(P457="","",P457*INDEX(Ingredients!$R$5:$R$304,MATCH(D457,Ingredients!$B$5:$B$304,0))),"")</f>
        <v>0</v>
      </c>
      <c r="T457" s="45">
        <f>IFERROR(IF(P457="","",P457*INDEX(Ingredients!$S$5:$S$304,MATCH(D457,Ingredients!$B$5:$B$304,0))),"")</f>
        <v>0</v>
      </c>
      <c r="U457" s="45">
        <f>IFERROR(IF(P457="","",P457*INDEX(Ingredients!$T$5:$T$304,MATCH(D457,Ingredients!$B$5:$B$304,0))),"")</f>
        <v>0</v>
      </c>
      <c r="V457" s="17">
        <f>IF(D457="","",IFERROR(INDEX(Ingredients!$W$5:$W$304,MATCH(D457,Ingredients!$B$5:$B$304,0)),"Add to Ingredients"))</f>
        <v>0</v>
      </c>
      <c r="W457" s="17">
        <f>IF(D457="","",IFERROR(INDEX(Ingredients!$C$5:$C$304,MATCH(D457,Ingredients!$B$5:$B$304,0)),"Add to Ingredients"))</f>
        <v>0</v>
      </c>
      <c r="X457" s="45">
        <f>IFERROR(INDEX(Recipes!$AT$5:$AT$204,MATCH(B457,Recipes!$A$5:$A$204,0)),0)</f>
        <v>0</v>
      </c>
      <c r="Y457" s="45">
        <f>IF(OR(J457="",X457=0),"",J457*X457)</f>
        <v>0</v>
      </c>
      <c r="Z457" s="17">
        <f>IF(D457="","",B457&amp;"#"&amp;COUNTIFS($B$5:B457,B457))</f>
        <v>0</v>
      </c>
      <c r="AA457" s="17">
        <f>IF(D457="","",B457&amp;"|"&amp;D457)</f>
        <v>0</v>
      </c>
      <c r="AB457" s="31">
        <f>IF(D457="","",IF(B457="","Add - which recipe?",IF(COUNTIFS(Ingredients!$B$5:$B$304,D457)=0,"Missing - not in the Ingredients tab",IF(E457="","Add - no quantity",IF(F457="","Add - no unit",IF(K457&lt;&gt;L457,"Check - recipe in "&amp;K457&amp;", priced in "&amp;L457,IF(COUNTIFS($AA$5:$AA$1204,AA457)&gt;1,"Duplicate - same ingredient twice","OK")))))))</f>
        <v>0</v>
      </c>
    </row>
    <row r="458" spans="1:28">
      <c r="A458" s="39">
        <f>IF(D458="","","RL-"&amp;TEXT(ROW()-4,"0000"))</f>
        <v>0</v>
      </c>
      <c r="C458" s="17">
        <f>IF(B458="","",IFERROR(INDEX(Recipes!$B$5:$B$204,MATCH(B458,Recipes!$A$5:$A$204,0)),"Not found"))</f>
        <v>0</v>
      </c>
      <c r="J458" s="45">
        <f>IF(E458="","",IFERROR(E458*INDEX(UnitFactors,MATCH(F458,UnitNames,0)),""))</f>
        <v>0</v>
      </c>
      <c r="K458" s="17">
        <f>IF(F458="","",IFERROR(INDEX(UnitBases,MATCH(F458,UnitNames,0)),"?"))</f>
        <v>0</v>
      </c>
      <c r="L458" s="17">
        <f>IF(D458="","",IFERROR(INDEX(Ingredients!$G$5:$G$304,MATCH(D458,Ingredients!$B$5:$B$304,0)),"Add to Ingredients"))</f>
        <v>0</v>
      </c>
      <c r="M458" s="25">
        <f>IF(D458="","",IFERROR(INDEX(Ingredients!$J$5:$J$304,MATCH(D458,Ingredients!$B$5:$B$304,0)),"Add to Ingredients"))</f>
        <v>0</v>
      </c>
      <c r="N458" s="25">
        <f>IF(OR(J458="",M458="",NOT(ISNUMBER(M458))),"",IF(K458&lt;&gt;L458,"",J458*M458))</f>
        <v>0</v>
      </c>
      <c r="O458" s="25">
        <f>IF(N458="","",IFERROR(N458/INDEX(Recipes!$G$5:$G$204,MATCH(B458,Recipes!$A$5:$A$204,0)),""))</f>
        <v>0</v>
      </c>
      <c r="P458" s="30">
        <f>IF(J458="","",IF(K458="each",J458,J458/100))</f>
        <v>0</v>
      </c>
      <c r="Q458" s="30">
        <f>IFERROR(IF(P458="","",P458*INDEX(Ingredients!$P$5:$P$304,MATCH(D458,Ingredients!$B$5:$B$304,0))),"")</f>
        <v>0</v>
      </c>
      <c r="R458" s="45">
        <f>IFERROR(IF(P458="","",P458*INDEX(Ingredients!$Q$5:$Q$304,MATCH(D458,Ingredients!$B$5:$B$304,0))),"")</f>
        <v>0</v>
      </c>
      <c r="S458" s="45">
        <f>IFERROR(IF(P458="","",P458*INDEX(Ingredients!$R$5:$R$304,MATCH(D458,Ingredients!$B$5:$B$304,0))),"")</f>
        <v>0</v>
      </c>
      <c r="T458" s="45">
        <f>IFERROR(IF(P458="","",P458*INDEX(Ingredients!$S$5:$S$304,MATCH(D458,Ingredients!$B$5:$B$304,0))),"")</f>
        <v>0</v>
      </c>
      <c r="U458" s="45">
        <f>IFERROR(IF(P458="","",P458*INDEX(Ingredients!$T$5:$T$304,MATCH(D458,Ingredients!$B$5:$B$304,0))),"")</f>
        <v>0</v>
      </c>
      <c r="V458" s="17">
        <f>IF(D458="","",IFERROR(INDEX(Ingredients!$W$5:$W$304,MATCH(D458,Ingredients!$B$5:$B$304,0)),"Add to Ingredients"))</f>
        <v>0</v>
      </c>
      <c r="W458" s="17">
        <f>IF(D458="","",IFERROR(INDEX(Ingredients!$C$5:$C$304,MATCH(D458,Ingredients!$B$5:$B$304,0)),"Add to Ingredients"))</f>
        <v>0</v>
      </c>
      <c r="X458" s="45">
        <f>IFERROR(INDEX(Recipes!$AT$5:$AT$204,MATCH(B458,Recipes!$A$5:$A$204,0)),0)</f>
        <v>0</v>
      </c>
      <c r="Y458" s="45">
        <f>IF(OR(J458="",X458=0),"",J458*X458)</f>
        <v>0</v>
      </c>
      <c r="Z458" s="17">
        <f>IF(D458="","",B458&amp;"#"&amp;COUNTIFS($B$5:B458,B458))</f>
        <v>0</v>
      </c>
      <c r="AA458" s="17">
        <f>IF(D458="","",B458&amp;"|"&amp;D458)</f>
        <v>0</v>
      </c>
      <c r="AB458" s="31">
        <f>IF(D458="","",IF(B458="","Add - which recipe?",IF(COUNTIFS(Ingredients!$B$5:$B$304,D458)=0,"Missing - not in the Ingredients tab",IF(E458="","Add - no quantity",IF(F458="","Add - no unit",IF(K458&lt;&gt;L458,"Check - recipe in "&amp;K458&amp;", priced in "&amp;L458,IF(COUNTIFS($AA$5:$AA$1204,AA458)&gt;1,"Duplicate - same ingredient twice","OK")))))))</f>
        <v>0</v>
      </c>
    </row>
    <row r="459" spans="1:28">
      <c r="A459" s="39">
        <f>IF(D459="","","RL-"&amp;TEXT(ROW()-4,"0000"))</f>
        <v>0</v>
      </c>
      <c r="C459" s="17">
        <f>IF(B459="","",IFERROR(INDEX(Recipes!$B$5:$B$204,MATCH(B459,Recipes!$A$5:$A$204,0)),"Not found"))</f>
        <v>0</v>
      </c>
      <c r="J459" s="45">
        <f>IF(E459="","",IFERROR(E459*INDEX(UnitFactors,MATCH(F459,UnitNames,0)),""))</f>
        <v>0</v>
      </c>
      <c r="K459" s="17">
        <f>IF(F459="","",IFERROR(INDEX(UnitBases,MATCH(F459,UnitNames,0)),"?"))</f>
        <v>0</v>
      </c>
      <c r="L459" s="17">
        <f>IF(D459="","",IFERROR(INDEX(Ingredients!$G$5:$G$304,MATCH(D459,Ingredients!$B$5:$B$304,0)),"Add to Ingredients"))</f>
        <v>0</v>
      </c>
      <c r="M459" s="25">
        <f>IF(D459="","",IFERROR(INDEX(Ingredients!$J$5:$J$304,MATCH(D459,Ingredients!$B$5:$B$304,0)),"Add to Ingredients"))</f>
        <v>0</v>
      </c>
      <c r="N459" s="25">
        <f>IF(OR(J459="",M459="",NOT(ISNUMBER(M459))),"",IF(K459&lt;&gt;L459,"",J459*M459))</f>
        <v>0</v>
      </c>
      <c r="O459" s="25">
        <f>IF(N459="","",IFERROR(N459/INDEX(Recipes!$G$5:$G$204,MATCH(B459,Recipes!$A$5:$A$204,0)),""))</f>
        <v>0</v>
      </c>
      <c r="P459" s="30">
        <f>IF(J459="","",IF(K459="each",J459,J459/100))</f>
        <v>0</v>
      </c>
      <c r="Q459" s="30">
        <f>IFERROR(IF(P459="","",P459*INDEX(Ingredients!$P$5:$P$304,MATCH(D459,Ingredients!$B$5:$B$304,0))),"")</f>
        <v>0</v>
      </c>
      <c r="R459" s="45">
        <f>IFERROR(IF(P459="","",P459*INDEX(Ingredients!$Q$5:$Q$304,MATCH(D459,Ingredients!$B$5:$B$304,0))),"")</f>
        <v>0</v>
      </c>
      <c r="S459" s="45">
        <f>IFERROR(IF(P459="","",P459*INDEX(Ingredients!$R$5:$R$304,MATCH(D459,Ingredients!$B$5:$B$304,0))),"")</f>
        <v>0</v>
      </c>
      <c r="T459" s="45">
        <f>IFERROR(IF(P459="","",P459*INDEX(Ingredients!$S$5:$S$304,MATCH(D459,Ingredients!$B$5:$B$304,0))),"")</f>
        <v>0</v>
      </c>
      <c r="U459" s="45">
        <f>IFERROR(IF(P459="","",P459*INDEX(Ingredients!$T$5:$T$304,MATCH(D459,Ingredients!$B$5:$B$304,0))),"")</f>
        <v>0</v>
      </c>
      <c r="V459" s="17">
        <f>IF(D459="","",IFERROR(INDEX(Ingredients!$W$5:$W$304,MATCH(D459,Ingredients!$B$5:$B$304,0)),"Add to Ingredients"))</f>
        <v>0</v>
      </c>
      <c r="W459" s="17">
        <f>IF(D459="","",IFERROR(INDEX(Ingredients!$C$5:$C$304,MATCH(D459,Ingredients!$B$5:$B$304,0)),"Add to Ingredients"))</f>
        <v>0</v>
      </c>
      <c r="X459" s="45">
        <f>IFERROR(INDEX(Recipes!$AT$5:$AT$204,MATCH(B459,Recipes!$A$5:$A$204,0)),0)</f>
        <v>0</v>
      </c>
      <c r="Y459" s="45">
        <f>IF(OR(J459="",X459=0),"",J459*X459)</f>
        <v>0</v>
      </c>
      <c r="Z459" s="17">
        <f>IF(D459="","",B459&amp;"#"&amp;COUNTIFS($B$5:B459,B459))</f>
        <v>0</v>
      </c>
      <c r="AA459" s="17">
        <f>IF(D459="","",B459&amp;"|"&amp;D459)</f>
        <v>0</v>
      </c>
      <c r="AB459" s="31">
        <f>IF(D459="","",IF(B459="","Add - which recipe?",IF(COUNTIFS(Ingredients!$B$5:$B$304,D459)=0,"Missing - not in the Ingredients tab",IF(E459="","Add - no quantity",IF(F459="","Add - no unit",IF(K459&lt;&gt;L459,"Check - recipe in "&amp;K459&amp;", priced in "&amp;L459,IF(COUNTIFS($AA$5:$AA$1204,AA459)&gt;1,"Duplicate - same ingredient twice","OK")))))))</f>
        <v>0</v>
      </c>
    </row>
    <row r="460" spans="1:28">
      <c r="A460" s="39">
        <f>IF(D460="","","RL-"&amp;TEXT(ROW()-4,"0000"))</f>
        <v>0</v>
      </c>
      <c r="C460" s="17">
        <f>IF(B460="","",IFERROR(INDEX(Recipes!$B$5:$B$204,MATCH(B460,Recipes!$A$5:$A$204,0)),"Not found"))</f>
        <v>0</v>
      </c>
      <c r="J460" s="45">
        <f>IF(E460="","",IFERROR(E460*INDEX(UnitFactors,MATCH(F460,UnitNames,0)),""))</f>
        <v>0</v>
      </c>
      <c r="K460" s="17">
        <f>IF(F460="","",IFERROR(INDEX(UnitBases,MATCH(F460,UnitNames,0)),"?"))</f>
        <v>0</v>
      </c>
      <c r="L460" s="17">
        <f>IF(D460="","",IFERROR(INDEX(Ingredients!$G$5:$G$304,MATCH(D460,Ingredients!$B$5:$B$304,0)),"Add to Ingredients"))</f>
        <v>0</v>
      </c>
      <c r="M460" s="25">
        <f>IF(D460="","",IFERROR(INDEX(Ingredients!$J$5:$J$304,MATCH(D460,Ingredients!$B$5:$B$304,0)),"Add to Ingredients"))</f>
        <v>0</v>
      </c>
      <c r="N460" s="25">
        <f>IF(OR(J460="",M460="",NOT(ISNUMBER(M460))),"",IF(K460&lt;&gt;L460,"",J460*M460))</f>
        <v>0</v>
      </c>
      <c r="O460" s="25">
        <f>IF(N460="","",IFERROR(N460/INDEX(Recipes!$G$5:$G$204,MATCH(B460,Recipes!$A$5:$A$204,0)),""))</f>
        <v>0</v>
      </c>
      <c r="P460" s="30">
        <f>IF(J460="","",IF(K460="each",J460,J460/100))</f>
        <v>0</v>
      </c>
      <c r="Q460" s="30">
        <f>IFERROR(IF(P460="","",P460*INDEX(Ingredients!$P$5:$P$304,MATCH(D460,Ingredients!$B$5:$B$304,0))),"")</f>
        <v>0</v>
      </c>
      <c r="R460" s="45">
        <f>IFERROR(IF(P460="","",P460*INDEX(Ingredients!$Q$5:$Q$304,MATCH(D460,Ingredients!$B$5:$B$304,0))),"")</f>
        <v>0</v>
      </c>
      <c r="S460" s="45">
        <f>IFERROR(IF(P460="","",P460*INDEX(Ingredients!$R$5:$R$304,MATCH(D460,Ingredients!$B$5:$B$304,0))),"")</f>
        <v>0</v>
      </c>
      <c r="T460" s="45">
        <f>IFERROR(IF(P460="","",P460*INDEX(Ingredients!$S$5:$S$304,MATCH(D460,Ingredients!$B$5:$B$304,0))),"")</f>
        <v>0</v>
      </c>
      <c r="U460" s="45">
        <f>IFERROR(IF(P460="","",P460*INDEX(Ingredients!$T$5:$T$304,MATCH(D460,Ingredients!$B$5:$B$304,0))),"")</f>
        <v>0</v>
      </c>
      <c r="V460" s="17">
        <f>IF(D460="","",IFERROR(INDEX(Ingredients!$W$5:$W$304,MATCH(D460,Ingredients!$B$5:$B$304,0)),"Add to Ingredients"))</f>
        <v>0</v>
      </c>
      <c r="W460" s="17">
        <f>IF(D460="","",IFERROR(INDEX(Ingredients!$C$5:$C$304,MATCH(D460,Ingredients!$B$5:$B$304,0)),"Add to Ingredients"))</f>
        <v>0</v>
      </c>
      <c r="X460" s="45">
        <f>IFERROR(INDEX(Recipes!$AT$5:$AT$204,MATCH(B460,Recipes!$A$5:$A$204,0)),0)</f>
        <v>0</v>
      </c>
      <c r="Y460" s="45">
        <f>IF(OR(J460="",X460=0),"",J460*X460)</f>
        <v>0</v>
      </c>
      <c r="Z460" s="17">
        <f>IF(D460="","",B460&amp;"#"&amp;COUNTIFS($B$5:B460,B460))</f>
        <v>0</v>
      </c>
      <c r="AA460" s="17">
        <f>IF(D460="","",B460&amp;"|"&amp;D460)</f>
        <v>0</v>
      </c>
      <c r="AB460" s="31">
        <f>IF(D460="","",IF(B460="","Add - which recipe?",IF(COUNTIFS(Ingredients!$B$5:$B$304,D460)=0,"Missing - not in the Ingredients tab",IF(E460="","Add - no quantity",IF(F460="","Add - no unit",IF(K460&lt;&gt;L460,"Check - recipe in "&amp;K460&amp;", priced in "&amp;L460,IF(COUNTIFS($AA$5:$AA$1204,AA460)&gt;1,"Duplicate - same ingredient twice","OK")))))))</f>
        <v>0</v>
      </c>
    </row>
    <row r="461" spans="1:28">
      <c r="A461" s="39">
        <f>IF(D461="","","RL-"&amp;TEXT(ROW()-4,"0000"))</f>
        <v>0</v>
      </c>
      <c r="C461" s="17">
        <f>IF(B461="","",IFERROR(INDEX(Recipes!$B$5:$B$204,MATCH(B461,Recipes!$A$5:$A$204,0)),"Not found"))</f>
        <v>0</v>
      </c>
      <c r="J461" s="45">
        <f>IF(E461="","",IFERROR(E461*INDEX(UnitFactors,MATCH(F461,UnitNames,0)),""))</f>
        <v>0</v>
      </c>
      <c r="K461" s="17">
        <f>IF(F461="","",IFERROR(INDEX(UnitBases,MATCH(F461,UnitNames,0)),"?"))</f>
        <v>0</v>
      </c>
      <c r="L461" s="17">
        <f>IF(D461="","",IFERROR(INDEX(Ingredients!$G$5:$G$304,MATCH(D461,Ingredients!$B$5:$B$304,0)),"Add to Ingredients"))</f>
        <v>0</v>
      </c>
      <c r="M461" s="25">
        <f>IF(D461="","",IFERROR(INDEX(Ingredients!$J$5:$J$304,MATCH(D461,Ingredients!$B$5:$B$304,0)),"Add to Ingredients"))</f>
        <v>0</v>
      </c>
      <c r="N461" s="25">
        <f>IF(OR(J461="",M461="",NOT(ISNUMBER(M461))),"",IF(K461&lt;&gt;L461,"",J461*M461))</f>
        <v>0</v>
      </c>
      <c r="O461" s="25">
        <f>IF(N461="","",IFERROR(N461/INDEX(Recipes!$G$5:$G$204,MATCH(B461,Recipes!$A$5:$A$204,0)),""))</f>
        <v>0</v>
      </c>
      <c r="P461" s="30">
        <f>IF(J461="","",IF(K461="each",J461,J461/100))</f>
        <v>0</v>
      </c>
      <c r="Q461" s="30">
        <f>IFERROR(IF(P461="","",P461*INDEX(Ingredients!$P$5:$P$304,MATCH(D461,Ingredients!$B$5:$B$304,0))),"")</f>
        <v>0</v>
      </c>
      <c r="R461" s="45">
        <f>IFERROR(IF(P461="","",P461*INDEX(Ingredients!$Q$5:$Q$304,MATCH(D461,Ingredients!$B$5:$B$304,0))),"")</f>
        <v>0</v>
      </c>
      <c r="S461" s="45">
        <f>IFERROR(IF(P461="","",P461*INDEX(Ingredients!$R$5:$R$304,MATCH(D461,Ingredients!$B$5:$B$304,0))),"")</f>
        <v>0</v>
      </c>
      <c r="T461" s="45">
        <f>IFERROR(IF(P461="","",P461*INDEX(Ingredients!$S$5:$S$304,MATCH(D461,Ingredients!$B$5:$B$304,0))),"")</f>
        <v>0</v>
      </c>
      <c r="U461" s="45">
        <f>IFERROR(IF(P461="","",P461*INDEX(Ingredients!$T$5:$T$304,MATCH(D461,Ingredients!$B$5:$B$304,0))),"")</f>
        <v>0</v>
      </c>
      <c r="V461" s="17">
        <f>IF(D461="","",IFERROR(INDEX(Ingredients!$W$5:$W$304,MATCH(D461,Ingredients!$B$5:$B$304,0)),"Add to Ingredients"))</f>
        <v>0</v>
      </c>
      <c r="W461" s="17">
        <f>IF(D461="","",IFERROR(INDEX(Ingredients!$C$5:$C$304,MATCH(D461,Ingredients!$B$5:$B$304,0)),"Add to Ingredients"))</f>
        <v>0</v>
      </c>
      <c r="X461" s="45">
        <f>IFERROR(INDEX(Recipes!$AT$5:$AT$204,MATCH(B461,Recipes!$A$5:$A$204,0)),0)</f>
        <v>0</v>
      </c>
      <c r="Y461" s="45">
        <f>IF(OR(J461="",X461=0),"",J461*X461)</f>
        <v>0</v>
      </c>
      <c r="Z461" s="17">
        <f>IF(D461="","",B461&amp;"#"&amp;COUNTIFS($B$5:B461,B461))</f>
        <v>0</v>
      </c>
      <c r="AA461" s="17">
        <f>IF(D461="","",B461&amp;"|"&amp;D461)</f>
        <v>0</v>
      </c>
      <c r="AB461" s="31">
        <f>IF(D461="","",IF(B461="","Add - which recipe?",IF(COUNTIFS(Ingredients!$B$5:$B$304,D461)=0,"Missing - not in the Ingredients tab",IF(E461="","Add - no quantity",IF(F461="","Add - no unit",IF(K461&lt;&gt;L461,"Check - recipe in "&amp;K461&amp;", priced in "&amp;L461,IF(COUNTIFS($AA$5:$AA$1204,AA461)&gt;1,"Duplicate - same ingredient twice","OK")))))))</f>
        <v>0</v>
      </c>
    </row>
    <row r="462" spans="1:28">
      <c r="A462" s="39">
        <f>IF(D462="","","RL-"&amp;TEXT(ROW()-4,"0000"))</f>
        <v>0</v>
      </c>
      <c r="C462" s="17">
        <f>IF(B462="","",IFERROR(INDEX(Recipes!$B$5:$B$204,MATCH(B462,Recipes!$A$5:$A$204,0)),"Not found"))</f>
        <v>0</v>
      </c>
      <c r="J462" s="45">
        <f>IF(E462="","",IFERROR(E462*INDEX(UnitFactors,MATCH(F462,UnitNames,0)),""))</f>
        <v>0</v>
      </c>
      <c r="K462" s="17">
        <f>IF(F462="","",IFERROR(INDEX(UnitBases,MATCH(F462,UnitNames,0)),"?"))</f>
        <v>0</v>
      </c>
      <c r="L462" s="17">
        <f>IF(D462="","",IFERROR(INDEX(Ingredients!$G$5:$G$304,MATCH(D462,Ingredients!$B$5:$B$304,0)),"Add to Ingredients"))</f>
        <v>0</v>
      </c>
      <c r="M462" s="25">
        <f>IF(D462="","",IFERROR(INDEX(Ingredients!$J$5:$J$304,MATCH(D462,Ingredients!$B$5:$B$304,0)),"Add to Ingredients"))</f>
        <v>0</v>
      </c>
      <c r="N462" s="25">
        <f>IF(OR(J462="",M462="",NOT(ISNUMBER(M462))),"",IF(K462&lt;&gt;L462,"",J462*M462))</f>
        <v>0</v>
      </c>
      <c r="O462" s="25">
        <f>IF(N462="","",IFERROR(N462/INDEX(Recipes!$G$5:$G$204,MATCH(B462,Recipes!$A$5:$A$204,0)),""))</f>
        <v>0</v>
      </c>
      <c r="P462" s="30">
        <f>IF(J462="","",IF(K462="each",J462,J462/100))</f>
        <v>0</v>
      </c>
      <c r="Q462" s="30">
        <f>IFERROR(IF(P462="","",P462*INDEX(Ingredients!$P$5:$P$304,MATCH(D462,Ingredients!$B$5:$B$304,0))),"")</f>
        <v>0</v>
      </c>
      <c r="R462" s="45">
        <f>IFERROR(IF(P462="","",P462*INDEX(Ingredients!$Q$5:$Q$304,MATCH(D462,Ingredients!$B$5:$B$304,0))),"")</f>
        <v>0</v>
      </c>
      <c r="S462" s="45">
        <f>IFERROR(IF(P462="","",P462*INDEX(Ingredients!$R$5:$R$304,MATCH(D462,Ingredients!$B$5:$B$304,0))),"")</f>
        <v>0</v>
      </c>
      <c r="T462" s="45">
        <f>IFERROR(IF(P462="","",P462*INDEX(Ingredients!$S$5:$S$304,MATCH(D462,Ingredients!$B$5:$B$304,0))),"")</f>
        <v>0</v>
      </c>
      <c r="U462" s="45">
        <f>IFERROR(IF(P462="","",P462*INDEX(Ingredients!$T$5:$T$304,MATCH(D462,Ingredients!$B$5:$B$304,0))),"")</f>
        <v>0</v>
      </c>
      <c r="V462" s="17">
        <f>IF(D462="","",IFERROR(INDEX(Ingredients!$W$5:$W$304,MATCH(D462,Ingredients!$B$5:$B$304,0)),"Add to Ingredients"))</f>
        <v>0</v>
      </c>
      <c r="W462" s="17">
        <f>IF(D462="","",IFERROR(INDEX(Ingredients!$C$5:$C$304,MATCH(D462,Ingredients!$B$5:$B$304,0)),"Add to Ingredients"))</f>
        <v>0</v>
      </c>
      <c r="X462" s="45">
        <f>IFERROR(INDEX(Recipes!$AT$5:$AT$204,MATCH(B462,Recipes!$A$5:$A$204,0)),0)</f>
        <v>0</v>
      </c>
      <c r="Y462" s="45">
        <f>IF(OR(J462="",X462=0),"",J462*X462)</f>
        <v>0</v>
      </c>
      <c r="Z462" s="17">
        <f>IF(D462="","",B462&amp;"#"&amp;COUNTIFS($B$5:B462,B462))</f>
        <v>0</v>
      </c>
      <c r="AA462" s="17">
        <f>IF(D462="","",B462&amp;"|"&amp;D462)</f>
        <v>0</v>
      </c>
      <c r="AB462" s="31">
        <f>IF(D462="","",IF(B462="","Add - which recipe?",IF(COUNTIFS(Ingredients!$B$5:$B$304,D462)=0,"Missing - not in the Ingredients tab",IF(E462="","Add - no quantity",IF(F462="","Add - no unit",IF(K462&lt;&gt;L462,"Check - recipe in "&amp;K462&amp;", priced in "&amp;L462,IF(COUNTIFS($AA$5:$AA$1204,AA462)&gt;1,"Duplicate - same ingredient twice","OK")))))))</f>
        <v>0</v>
      </c>
    </row>
    <row r="463" spans="1:28">
      <c r="A463" s="39">
        <f>IF(D463="","","RL-"&amp;TEXT(ROW()-4,"0000"))</f>
        <v>0</v>
      </c>
      <c r="C463" s="17">
        <f>IF(B463="","",IFERROR(INDEX(Recipes!$B$5:$B$204,MATCH(B463,Recipes!$A$5:$A$204,0)),"Not found"))</f>
        <v>0</v>
      </c>
      <c r="J463" s="45">
        <f>IF(E463="","",IFERROR(E463*INDEX(UnitFactors,MATCH(F463,UnitNames,0)),""))</f>
        <v>0</v>
      </c>
      <c r="K463" s="17">
        <f>IF(F463="","",IFERROR(INDEX(UnitBases,MATCH(F463,UnitNames,0)),"?"))</f>
        <v>0</v>
      </c>
      <c r="L463" s="17">
        <f>IF(D463="","",IFERROR(INDEX(Ingredients!$G$5:$G$304,MATCH(D463,Ingredients!$B$5:$B$304,0)),"Add to Ingredients"))</f>
        <v>0</v>
      </c>
      <c r="M463" s="25">
        <f>IF(D463="","",IFERROR(INDEX(Ingredients!$J$5:$J$304,MATCH(D463,Ingredients!$B$5:$B$304,0)),"Add to Ingredients"))</f>
        <v>0</v>
      </c>
      <c r="N463" s="25">
        <f>IF(OR(J463="",M463="",NOT(ISNUMBER(M463))),"",IF(K463&lt;&gt;L463,"",J463*M463))</f>
        <v>0</v>
      </c>
      <c r="O463" s="25">
        <f>IF(N463="","",IFERROR(N463/INDEX(Recipes!$G$5:$G$204,MATCH(B463,Recipes!$A$5:$A$204,0)),""))</f>
        <v>0</v>
      </c>
      <c r="P463" s="30">
        <f>IF(J463="","",IF(K463="each",J463,J463/100))</f>
        <v>0</v>
      </c>
      <c r="Q463" s="30">
        <f>IFERROR(IF(P463="","",P463*INDEX(Ingredients!$P$5:$P$304,MATCH(D463,Ingredients!$B$5:$B$304,0))),"")</f>
        <v>0</v>
      </c>
      <c r="R463" s="45">
        <f>IFERROR(IF(P463="","",P463*INDEX(Ingredients!$Q$5:$Q$304,MATCH(D463,Ingredients!$B$5:$B$304,0))),"")</f>
        <v>0</v>
      </c>
      <c r="S463" s="45">
        <f>IFERROR(IF(P463="","",P463*INDEX(Ingredients!$R$5:$R$304,MATCH(D463,Ingredients!$B$5:$B$304,0))),"")</f>
        <v>0</v>
      </c>
      <c r="T463" s="45">
        <f>IFERROR(IF(P463="","",P463*INDEX(Ingredients!$S$5:$S$304,MATCH(D463,Ingredients!$B$5:$B$304,0))),"")</f>
        <v>0</v>
      </c>
      <c r="U463" s="45">
        <f>IFERROR(IF(P463="","",P463*INDEX(Ingredients!$T$5:$T$304,MATCH(D463,Ingredients!$B$5:$B$304,0))),"")</f>
        <v>0</v>
      </c>
      <c r="V463" s="17">
        <f>IF(D463="","",IFERROR(INDEX(Ingredients!$W$5:$W$304,MATCH(D463,Ingredients!$B$5:$B$304,0)),"Add to Ingredients"))</f>
        <v>0</v>
      </c>
      <c r="W463" s="17">
        <f>IF(D463="","",IFERROR(INDEX(Ingredients!$C$5:$C$304,MATCH(D463,Ingredients!$B$5:$B$304,0)),"Add to Ingredients"))</f>
        <v>0</v>
      </c>
      <c r="X463" s="45">
        <f>IFERROR(INDEX(Recipes!$AT$5:$AT$204,MATCH(B463,Recipes!$A$5:$A$204,0)),0)</f>
        <v>0</v>
      </c>
      <c r="Y463" s="45">
        <f>IF(OR(J463="",X463=0),"",J463*X463)</f>
        <v>0</v>
      </c>
      <c r="Z463" s="17">
        <f>IF(D463="","",B463&amp;"#"&amp;COUNTIFS($B$5:B463,B463))</f>
        <v>0</v>
      </c>
      <c r="AA463" s="17">
        <f>IF(D463="","",B463&amp;"|"&amp;D463)</f>
        <v>0</v>
      </c>
      <c r="AB463" s="31">
        <f>IF(D463="","",IF(B463="","Add - which recipe?",IF(COUNTIFS(Ingredients!$B$5:$B$304,D463)=0,"Missing - not in the Ingredients tab",IF(E463="","Add - no quantity",IF(F463="","Add - no unit",IF(K463&lt;&gt;L463,"Check - recipe in "&amp;K463&amp;", priced in "&amp;L463,IF(COUNTIFS($AA$5:$AA$1204,AA463)&gt;1,"Duplicate - same ingredient twice","OK")))))))</f>
        <v>0</v>
      </c>
    </row>
    <row r="464" spans="1:28">
      <c r="A464" s="39">
        <f>IF(D464="","","RL-"&amp;TEXT(ROW()-4,"0000"))</f>
        <v>0</v>
      </c>
      <c r="C464" s="17">
        <f>IF(B464="","",IFERROR(INDEX(Recipes!$B$5:$B$204,MATCH(B464,Recipes!$A$5:$A$204,0)),"Not found"))</f>
        <v>0</v>
      </c>
      <c r="J464" s="45">
        <f>IF(E464="","",IFERROR(E464*INDEX(UnitFactors,MATCH(F464,UnitNames,0)),""))</f>
        <v>0</v>
      </c>
      <c r="K464" s="17">
        <f>IF(F464="","",IFERROR(INDEX(UnitBases,MATCH(F464,UnitNames,0)),"?"))</f>
        <v>0</v>
      </c>
      <c r="L464" s="17">
        <f>IF(D464="","",IFERROR(INDEX(Ingredients!$G$5:$G$304,MATCH(D464,Ingredients!$B$5:$B$304,0)),"Add to Ingredients"))</f>
        <v>0</v>
      </c>
      <c r="M464" s="25">
        <f>IF(D464="","",IFERROR(INDEX(Ingredients!$J$5:$J$304,MATCH(D464,Ingredients!$B$5:$B$304,0)),"Add to Ingredients"))</f>
        <v>0</v>
      </c>
      <c r="N464" s="25">
        <f>IF(OR(J464="",M464="",NOT(ISNUMBER(M464))),"",IF(K464&lt;&gt;L464,"",J464*M464))</f>
        <v>0</v>
      </c>
      <c r="O464" s="25">
        <f>IF(N464="","",IFERROR(N464/INDEX(Recipes!$G$5:$G$204,MATCH(B464,Recipes!$A$5:$A$204,0)),""))</f>
        <v>0</v>
      </c>
      <c r="P464" s="30">
        <f>IF(J464="","",IF(K464="each",J464,J464/100))</f>
        <v>0</v>
      </c>
      <c r="Q464" s="30">
        <f>IFERROR(IF(P464="","",P464*INDEX(Ingredients!$P$5:$P$304,MATCH(D464,Ingredients!$B$5:$B$304,0))),"")</f>
        <v>0</v>
      </c>
      <c r="R464" s="45">
        <f>IFERROR(IF(P464="","",P464*INDEX(Ingredients!$Q$5:$Q$304,MATCH(D464,Ingredients!$B$5:$B$304,0))),"")</f>
        <v>0</v>
      </c>
      <c r="S464" s="45">
        <f>IFERROR(IF(P464="","",P464*INDEX(Ingredients!$R$5:$R$304,MATCH(D464,Ingredients!$B$5:$B$304,0))),"")</f>
        <v>0</v>
      </c>
      <c r="T464" s="45">
        <f>IFERROR(IF(P464="","",P464*INDEX(Ingredients!$S$5:$S$304,MATCH(D464,Ingredients!$B$5:$B$304,0))),"")</f>
        <v>0</v>
      </c>
      <c r="U464" s="45">
        <f>IFERROR(IF(P464="","",P464*INDEX(Ingredients!$T$5:$T$304,MATCH(D464,Ingredients!$B$5:$B$304,0))),"")</f>
        <v>0</v>
      </c>
      <c r="V464" s="17">
        <f>IF(D464="","",IFERROR(INDEX(Ingredients!$W$5:$W$304,MATCH(D464,Ingredients!$B$5:$B$304,0)),"Add to Ingredients"))</f>
        <v>0</v>
      </c>
      <c r="W464" s="17">
        <f>IF(D464="","",IFERROR(INDEX(Ingredients!$C$5:$C$304,MATCH(D464,Ingredients!$B$5:$B$304,0)),"Add to Ingredients"))</f>
        <v>0</v>
      </c>
      <c r="X464" s="45">
        <f>IFERROR(INDEX(Recipes!$AT$5:$AT$204,MATCH(B464,Recipes!$A$5:$A$204,0)),0)</f>
        <v>0</v>
      </c>
      <c r="Y464" s="45">
        <f>IF(OR(J464="",X464=0),"",J464*X464)</f>
        <v>0</v>
      </c>
      <c r="Z464" s="17">
        <f>IF(D464="","",B464&amp;"#"&amp;COUNTIFS($B$5:B464,B464))</f>
        <v>0</v>
      </c>
      <c r="AA464" s="17">
        <f>IF(D464="","",B464&amp;"|"&amp;D464)</f>
        <v>0</v>
      </c>
      <c r="AB464" s="31">
        <f>IF(D464="","",IF(B464="","Add - which recipe?",IF(COUNTIFS(Ingredients!$B$5:$B$304,D464)=0,"Missing - not in the Ingredients tab",IF(E464="","Add - no quantity",IF(F464="","Add - no unit",IF(K464&lt;&gt;L464,"Check - recipe in "&amp;K464&amp;", priced in "&amp;L464,IF(COUNTIFS($AA$5:$AA$1204,AA464)&gt;1,"Duplicate - same ingredient twice","OK")))))))</f>
        <v>0</v>
      </c>
    </row>
    <row r="465" spans="1:28">
      <c r="A465" s="39">
        <f>IF(D465="","","RL-"&amp;TEXT(ROW()-4,"0000"))</f>
        <v>0</v>
      </c>
      <c r="C465" s="17">
        <f>IF(B465="","",IFERROR(INDEX(Recipes!$B$5:$B$204,MATCH(B465,Recipes!$A$5:$A$204,0)),"Not found"))</f>
        <v>0</v>
      </c>
      <c r="J465" s="45">
        <f>IF(E465="","",IFERROR(E465*INDEX(UnitFactors,MATCH(F465,UnitNames,0)),""))</f>
        <v>0</v>
      </c>
      <c r="K465" s="17">
        <f>IF(F465="","",IFERROR(INDEX(UnitBases,MATCH(F465,UnitNames,0)),"?"))</f>
        <v>0</v>
      </c>
      <c r="L465" s="17">
        <f>IF(D465="","",IFERROR(INDEX(Ingredients!$G$5:$G$304,MATCH(D465,Ingredients!$B$5:$B$304,0)),"Add to Ingredients"))</f>
        <v>0</v>
      </c>
      <c r="M465" s="25">
        <f>IF(D465="","",IFERROR(INDEX(Ingredients!$J$5:$J$304,MATCH(D465,Ingredients!$B$5:$B$304,0)),"Add to Ingredients"))</f>
        <v>0</v>
      </c>
      <c r="N465" s="25">
        <f>IF(OR(J465="",M465="",NOT(ISNUMBER(M465))),"",IF(K465&lt;&gt;L465,"",J465*M465))</f>
        <v>0</v>
      </c>
      <c r="O465" s="25">
        <f>IF(N465="","",IFERROR(N465/INDEX(Recipes!$G$5:$G$204,MATCH(B465,Recipes!$A$5:$A$204,0)),""))</f>
        <v>0</v>
      </c>
      <c r="P465" s="30">
        <f>IF(J465="","",IF(K465="each",J465,J465/100))</f>
        <v>0</v>
      </c>
      <c r="Q465" s="30">
        <f>IFERROR(IF(P465="","",P465*INDEX(Ingredients!$P$5:$P$304,MATCH(D465,Ingredients!$B$5:$B$304,0))),"")</f>
        <v>0</v>
      </c>
      <c r="R465" s="45">
        <f>IFERROR(IF(P465="","",P465*INDEX(Ingredients!$Q$5:$Q$304,MATCH(D465,Ingredients!$B$5:$B$304,0))),"")</f>
        <v>0</v>
      </c>
      <c r="S465" s="45">
        <f>IFERROR(IF(P465="","",P465*INDEX(Ingredients!$R$5:$R$304,MATCH(D465,Ingredients!$B$5:$B$304,0))),"")</f>
        <v>0</v>
      </c>
      <c r="T465" s="45">
        <f>IFERROR(IF(P465="","",P465*INDEX(Ingredients!$S$5:$S$304,MATCH(D465,Ingredients!$B$5:$B$304,0))),"")</f>
        <v>0</v>
      </c>
      <c r="U465" s="45">
        <f>IFERROR(IF(P465="","",P465*INDEX(Ingredients!$T$5:$T$304,MATCH(D465,Ingredients!$B$5:$B$304,0))),"")</f>
        <v>0</v>
      </c>
      <c r="V465" s="17">
        <f>IF(D465="","",IFERROR(INDEX(Ingredients!$W$5:$W$304,MATCH(D465,Ingredients!$B$5:$B$304,0)),"Add to Ingredients"))</f>
        <v>0</v>
      </c>
      <c r="W465" s="17">
        <f>IF(D465="","",IFERROR(INDEX(Ingredients!$C$5:$C$304,MATCH(D465,Ingredients!$B$5:$B$304,0)),"Add to Ingredients"))</f>
        <v>0</v>
      </c>
      <c r="X465" s="45">
        <f>IFERROR(INDEX(Recipes!$AT$5:$AT$204,MATCH(B465,Recipes!$A$5:$A$204,0)),0)</f>
        <v>0</v>
      </c>
      <c r="Y465" s="45">
        <f>IF(OR(J465="",X465=0),"",J465*X465)</f>
        <v>0</v>
      </c>
      <c r="Z465" s="17">
        <f>IF(D465="","",B465&amp;"#"&amp;COUNTIFS($B$5:B465,B465))</f>
        <v>0</v>
      </c>
      <c r="AA465" s="17">
        <f>IF(D465="","",B465&amp;"|"&amp;D465)</f>
        <v>0</v>
      </c>
      <c r="AB465" s="31">
        <f>IF(D465="","",IF(B465="","Add - which recipe?",IF(COUNTIFS(Ingredients!$B$5:$B$304,D465)=0,"Missing - not in the Ingredients tab",IF(E465="","Add - no quantity",IF(F465="","Add - no unit",IF(K465&lt;&gt;L465,"Check - recipe in "&amp;K465&amp;", priced in "&amp;L465,IF(COUNTIFS($AA$5:$AA$1204,AA465)&gt;1,"Duplicate - same ingredient twice","OK")))))))</f>
        <v>0</v>
      </c>
    </row>
    <row r="466" spans="1:28">
      <c r="A466" s="39">
        <f>IF(D466="","","RL-"&amp;TEXT(ROW()-4,"0000"))</f>
        <v>0</v>
      </c>
      <c r="C466" s="17">
        <f>IF(B466="","",IFERROR(INDEX(Recipes!$B$5:$B$204,MATCH(B466,Recipes!$A$5:$A$204,0)),"Not found"))</f>
        <v>0</v>
      </c>
      <c r="J466" s="45">
        <f>IF(E466="","",IFERROR(E466*INDEX(UnitFactors,MATCH(F466,UnitNames,0)),""))</f>
        <v>0</v>
      </c>
      <c r="K466" s="17">
        <f>IF(F466="","",IFERROR(INDEX(UnitBases,MATCH(F466,UnitNames,0)),"?"))</f>
        <v>0</v>
      </c>
      <c r="L466" s="17">
        <f>IF(D466="","",IFERROR(INDEX(Ingredients!$G$5:$G$304,MATCH(D466,Ingredients!$B$5:$B$304,0)),"Add to Ingredients"))</f>
        <v>0</v>
      </c>
      <c r="M466" s="25">
        <f>IF(D466="","",IFERROR(INDEX(Ingredients!$J$5:$J$304,MATCH(D466,Ingredients!$B$5:$B$304,0)),"Add to Ingredients"))</f>
        <v>0</v>
      </c>
      <c r="N466" s="25">
        <f>IF(OR(J466="",M466="",NOT(ISNUMBER(M466))),"",IF(K466&lt;&gt;L466,"",J466*M466))</f>
        <v>0</v>
      </c>
      <c r="O466" s="25">
        <f>IF(N466="","",IFERROR(N466/INDEX(Recipes!$G$5:$G$204,MATCH(B466,Recipes!$A$5:$A$204,0)),""))</f>
        <v>0</v>
      </c>
      <c r="P466" s="30">
        <f>IF(J466="","",IF(K466="each",J466,J466/100))</f>
        <v>0</v>
      </c>
      <c r="Q466" s="30">
        <f>IFERROR(IF(P466="","",P466*INDEX(Ingredients!$P$5:$P$304,MATCH(D466,Ingredients!$B$5:$B$304,0))),"")</f>
        <v>0</v>
      </c>
      <c r="R466" s="45">
        <f>IFERROR(IF(P466="","",P466*INDEX(Ingredients!$Q$5:$Q$304,MATCH(D466,Ingredients!$B$5:$B$304,0))),"")</f>
        <v>0</v>
      </c>
      <c r="S466" s="45">
        <f>IFERROR(IF(P466="","",P466*INDEX(Ingredients!$R$5:$R$304,MATCH(D466,Ingredients!$B$5:$B$304,0))),"")</f>
        <v>0</v>
      </c>
      <c r="T466" s="45">
        <f>IFERROR(IF(P466="","",P466*INDEX(Ingredients!$S$5:$S$304,MATCH(D466,Ingredients!$B$5:$B$304,0))),"")</f>
        <v>0</v>
      </c>
      <c r="U466" s="45">
        <f>IFERROR(IF(P466="","",P466*INDEX(Ingredients!$T$5:$T$304,MATCH(D466,Ingredients!$B$5:$B$304,0))),"")</f>
        <v>0</v>
      </c>
      <c r="V466" s="17">
        <f>IF(D466="","",IFERROR(INDEX(Ingredients!$W$5:$W$304,MATCH(D466,Ingredients!$B$5:$B$304,0)),"Add to Ingredients"))</f>
        <v>0</v>
      </c>
      <c r="W466" s="17">
        <f>IF(D466="","",IFERROR(INDEX(Ingredients!$C$5:$C$304,MATCH(D466,Ingredients!$B$5:$B$304,0)),"Add to Ingredients"))</f>
        <v>0</v>
      </c>
      <c r="X466" s="45">
        <f>IFERROR(INDEX(Recipes!$AT$5:$AT$204,MATCH(B466,Recipes!$A$5:$A$204,0)),0)</f>
        <v>0</v>
      </c>
      <c r="Y466" s="45">
        <f>IF(OR(J466="",X466=0),"",J466*X466)</f>
        <v>0</v>
      </c>
      <c r="Z466" s="17">
        <f>IF(D466="","",B466&amp;"#"&amp;COUNTIFS($B$5:B466,B466))</f>
        <v>0</v>
      </c>
      <c r="AA466" s="17">
        <f>IF(D466="","",B466&amp;"|"&amp;D466)</f>
        <v>0</v>
      </c>
      <c r="AB466" s="31">
        <f>IF(D466="","",IF(B466="","Add - which recipe?",IF(COUNTIFS(Ingredients!$B$5:$B$304,D466)=0,"Missing - not in the Ingredients tab",IF(E466="","Add - no quantity",IF(F466="","Add - no unit",IF(K466&lt;&gt;L466,"Check - recipe in "&amp;K466&amp;", priced in "&amp;L466,IF(COUNTIFS($AA$5:$AA$1204,AA466)&gt;1,"Duplicate - same ingredient twice","OK")))))))</f>
        <v>0</v>
      </c>
    </row>
    <row r="467" spans="1:28">
      <c r="A467" s="39">
        <f>IF(D467="","","RL-"&amp;TEXT(ROW()-4,"0000"))</f>
        <v>0</v>
      </c>
      <c r="C467" s="17">
        <f>IF(B467="","",IFERROR(INDEX(Recipes!$B$5:$B$204,MATCH(B467,Recipes!$A$5:$A$204,0)),"Not found"))</f>
        <v>0</v>
      </c>
      <c r="J467" s="45">
        <f>IF(E467="","",IFERROR(E467*INDEX(UnitFactors,MATCH(F467,UnitNames,0)),""))</f>
        <v>0</v>
      </c>
      <c r="K467" s="17">
        <f>IF(F467="","",IFERROR(INDEX(UnitBases,MATCH(F467,UnitNames,0)),"?"))</f>
        <v>0</v>
      </c>
      <c r="L467" s="17">
        <f>IF(D467="","",IFERROR(INDEX(Ingredients!$G$5:$G$304,MATCH(D467,Ingredients!$B$5:$B$304,0)),"Add to Ingredients"))</f>
        <v>0</v>
      </c>
      <c r="M467" s="25">
        <f>IF(D467="","",IFERROR(INDEX(Ingredients!$J$5:$J$304,MATCH(D467,Ingredients!$B$5:$B$304,0)),"Add to Ingredients"))</f>
        <v>0</v>
      </c>
      <c r="N467" s="25">
        <f>IF(OR(J467="",M467="",NOT(ISNUMBER(M467))),"",IF(K467&lt;&gt;L467,"",J467*M467))</f>
        <v>0</v>
      </c>
      <c r="O467" s="25">
        <f>IF(N467="","",IFERROR(N467/INDEX(Recipes!$G$5:$G$204,MATCH(B467,Recipes!$A$5:$A$204,0)),""))</f>
        <v>0</v>
      </c>
      <c r="P467" s="30">
        <f>IF(J467="","",IF(K467="each",J467,J467/100))</f>
        <v>0</v>
      </c>
      <c r="Q467" s="30">
        <f>IFERROR(IF(P467="","",P467*INDEX(Ingredients!$P$5:$P$304,MATCH(D467,Ingredients!$B$5:$B$304,0))),"")</f>
        <v>0</v>
      </c>
      <c r="R467" s="45">
        <f>IFERROR(IF(P467="","",P467*INDEX(Ingredients!$Q$5:$Q$304,MATCH(D467,Ingredients!$B$5:$B$304,0))),"")</f>
        <v>0</v>
      </c>
      <c r="S467" s="45">
        <f>IFERROR(IF(P467="","",P467*INDEX(Ingredients!$R$5:$R$304,MATCH(D467,Ingredients!$B$5:$B$304,0))),"")</f>
        <v>0</v>
      </c>
      <c r="T467" s="45">
        <f>IFERROR(IF(P467="","",P467*INDEX(Ingredients!$S$5:$S$304,MATCH(D467,Ingredients!$B$5:$B$304,0))),"")</f>
        <v>0</v>
      </c>
      <c r="U467" s="45">
        <f>IFERROR(IF(P467="","",P467*INDEX(Ingredients!$T$5:$T$304,MATCH(D467,Ingredients!$B$5:$B$304,0))),"")</f>
        <v>0</v>
      </c>
      <c r="V467" s="17">
        <f>IF(D467="","",IFERROR(INDEX(Ingredients!$W$5:$W$304,MATCH(D467,Ingredients!$B$5:$B$304,0)),"Add to Ingredients"))</f>
        <v>0</v>
      </c>
      <c r="W467" s="17">
        <f>IF(D467="","",IFERROR(INDEX(Ingredients!$C$5:$C$304,MATCH(D467,Ingredients!$B$5:$B$304,0)),"Add to Ingredients"))</f>
        <v>0</v>
      </c>
      <c r="X467" s="45">
        <f>IFERROR(INDEX(Recipes!$AT$5:$AT$204,MATCH(B467,Recipes!$A$5:$A$204,0)),0)</f>
        <v>0</v>
      </c>
      <c r="Y467" s="45">
        <f>IF(OR(J467="",X467=0),"",J467*X467)</f>
        <v>0</v>
      </c>
      <c r="Z467" s="17">
        <f>IF(D467="","",B467&amp;"#"&amp;COUNTIFS($B$5:B467,B467))</f>
        <v>0</v>
      </c>
      <c r="AA467" s="17">
        <f>IF(D467="","",B467&amp;"|"&amp;D467)</f>
        <v>0</v>
      </c>
      <c r="AB467" s="31">
        <f>IF(D467="","",IF(B467="","Add - which recipe?",IF(COUNTIFS(Ingredients!$B$5:$B$304,D467)=0,"Missing - not in the Ingredients tab",IF(E467="","Add - no quantity",IF(F467="","Add - no unit",IF(K467&lt;&gt;L467,"Check - recipe in "&amp;K467&amp;", priced in "&amp;L467,IF(COUNTIFS($AA$5:$AA$1204,AA467)&gt;1,"Duplicate - same ingredient twice","OK")))))))</f>
        <v>0</v>
      </c>
    </row>
    <row r="468" spans="1:28">
      <c r="A468" s="39">
        <f>IF(D468="","","RL-"&amp;TEXT(ROW()-4,"0000"))</f>
        <v>0</v>
      </c>
      <c r="C468" s="17">
        <f>IF(B468="","",IFERROR(INDEX(Recipes!$B$5:$B$204,MATCH(B468,Recipes!$A$5:$A$204,0)),"Not found"))</f>
        <v>0</v>
      </c>
      <c r="J468" s="45">
        <f>IF(E468="","",IFERROR(E468*INDEX(UnitFactors,MATCH(F468,UnitNames,0)),""))</f>
        <v>0</v>
      </c>
      <c r="K468" s="17">
        <f>IF(F468="","",IFERROR(INDEX(UnitBases,MATCH(F468,UnitNames,0)),"?"))</f>
        <v>0</v>
      </c>
      <c r="L468" s="17">
        <f>IF(D468="","",IFERROR(INDEX(Ingredients!$G$5:$G$304,MATCH(D468,Ingredients!$B$5:$B$304,0)),"Add to Ingredients"))</f>
        <v>0</v>
      </c>
      <c r="M468" s="25">
        <f>IF(D468="","",IFERROR(INDEX(Ingredients!$J$5:$J$304,MATCH(D468,Ingredients!$B$5:$B$304,0)),"Add to Ingredients"))</f>
        <v>0</v>
      </c>
      <c r="N468" s="25">
        <f>IF(OR(J468="",M468="",NOT(ISNUMBER(M468))),"",IF(K468&lt;&gt;L468,"",J468*M468))</f>
        <v>0</v>
      </c>
      <c r="O468" s="25">
        <f>IF(N468="","",IFERROR(N468/INDEX(Recipes!$G$5:$G$204,MATCH(B468,Recipes!$A$5:$A$204,0)),""))</f>
        <v>0</v>
      </c>
      <c r="P468" s="30">
        <f>IF(J468="","",IF(K468="each",J468,J468/100))</f>
        <v>0</v>
      </c>
      <c r="Q468" s="30">
        <f>IFERROR(IF(P468="","",P468*INDEX(Ingredients!$P$5:$P$304,MATCH(D468,Ingredients!$B$5:$B$304,0))),"")</f>
        <v>0</v>
      </c>
      <c r="R468" s="45">
        <f>IFERROR(IF(P468="","",P468*INDEX(Ingredients!$Q$5:$Q$304,MATCH(D468,Ingredients!$B$5:$B$304,0))),"")</f>
        <v>0</v>
      </c>
      <c r="S468" s="45">
        <f>IFERROR(IF(P468="","",P468*INDEX(Ingredients!$R$5:$R$304,MATCH(D468,Ingredients!$B$5:$B$304,0))),"")</f>
        <v>0</v>
      </c>
      <c r="T468" s="45">
        <f>IFERROR(IF(P468="","",P468*INDEX(Ingredients!$S$5:$S$304,MATCH(D468,Ingredients!$B$5:$B$304,0))),"")</f>
        <v>0</v>
      </c>
      <c r="U468" s="45">
        <f>IFERROR(IF(P468="","",P468*INDEX(Ingredients!$T$5:$T$304,MATCH(D468,Ingredients!$B$5:$B$304,0))),"")</f>
        <v>0</v>
      </c>
      <c r="V468" s="17">
        <f>IF(D468="","",IFERROR(INDEX(Ingredients!$W$5:$W$304,MATCH(D468,Ingredients!$B$5:$B$304,0)),"Add to Ingredients"))</f>
        <v>0</v>
      </c>
      <c r="W468" s="17">
        <f>IF(D468="","",IFERROR(INDEX(Ingredients!$C$5:$C$304,MATCH(D468,Ingredients!$B$5:$B$304,0)),"Add to Ingredients"))</f>
        <v>0</v>
      </c>
      <c r="X468" s="45">
        <f>IFERROR(INDEX(Recipes!$AT$5:$AT$204,MATCH(B468,Recipes!$A$5:$A$204,0)),0)</f>
        <v>0</v>
      </c>
      <c r="Y468" s="45">
        <f>IF(OR(J468="",X468=0),"",J468*X468)</f>
        <v>0</v>
      </c>
      <c r="Z468" s="17">
        <f>IF(D468="","",B468&amp;"#"&amp;COUNTIFS($B$5:B468,B468))</f>
        <v>0</v>
      </c>
      <c r="AA468" s="17">
        <f>IF(D468="","",B468&amp;"|"&amp;D468)</f>
        <v>0</v>
      </c>
      <c r="AB468" s="31">
        <f>IF(D468="","",IF(B468="","Add - which recipe?",IF(COUNTIFS(Ingredients!$B$5:$B$304,D468)=0,"Missing - not in the Ingredients tab",IF(E468="","Add - no quantity",IF(F468="","Add - no unit",IF(K468&lt;&gt;L468,"Check - recipe in "&amp;K468&amp;", priced in "&amp;L468,IF(COUNTIFS($AA$5:$AA$1204,AA468)&gt;1,"Duplicate - same ingredient twice","OK")))))))</f>
        <v>0</v>
      </c>
    </row>
    <row r="469" spans="1:28">
      <c r="A469" s="39">
        <f>IF(D469="","","RL-"&amp;TEXT(ROW()-4,"0000"))</f>
        <v>0</v>
      </c>
      <c r="C469" s="17">
        <f>IF(B469="","",IFERROR(INDEX(Recipes!$B$5:$B$204,MATCH(B469,Recipes!$A$5:$A$204,0)),"Not found"))</f>
        <v>0</v>
      </c>
      <c r="J469" s="45">
        <f>IF(E469="","",IFERROR(E469*INDEX(UnitFactors,MATCH(F469,UnitNames,0)),""))</f>
        <v>0</v>
      </c>
      <c r="K469" s="17">
        <f>IF(F469="","",IFERROR(INDEX(UnitBases,MATCH(F469,UnitNames,0)),"?"))</f>
        <v>0</v>
      </c>
      <c r="L469" s="17">
        <f>IF(D469="","",IFERROR(INDEX(Ingredients!$G$5:$G$304,MATCH(D469,Ingredients!$B$5:$B$304,0)),"Add to Ingredients"))</f>
        <v>0</v>
      </c>
      <c r="M469" s="25">
        <f>IF(D469="","",IFERROR(INDEX(Ingredients!$J$5:$J$304,MATCH(D469,Ingredients!$B$5:$B$304,0)),"Add to Ingredients"))</f>
        <v>0</v>
      </c>
      <c r="N469" s="25">
        <f>IF(OR(J469="",M469="",NOT(ISNUMBER(M469))),"",IF(K469&lt;&gt;L469,"",J469*M469))</f>
        <v>0</v>
      </c>
      <c r="O469" s="25">
        <f>IF(N469="","",IFERROR(N469/INDEX(Recipes!$G$5:$G$204,MATCH(B469,Recipes!$A$5:$A$204,0)),""))</f>
        <v>0</v>
      </c>
      <c r="P469" s="30">
        <f>IF(J469="","",IF(K469="each",J469,J469/100))</f>
        <v>0</v>
      </c>
      <c r="Q469" s="30">
        <f>IFERROR(IF(P469="","",P469*INDEX(Ingredients!$P$5:$P$304,MATCH(D469,Ingredients!$B$5:$B$304,0))),"")</f>
        <v>0</v>
      </c>
      <c r="R469" s="45">
        <f>IFERROR(IF(P469="","",P469*INDEX(Ingredients!$Q$5:$Q$304,MATCH(D469,Ingredients!$B$5:$B$304,0))),"")</f>
        <v>0</v>
      </c>
      <c r="S469" s="45">
        <f>IFERROR(IF(P469="","",P469*INDEX(Ingredients!$R$5:$R$304,MATCH(D469,Ingredients!$B$5:$B$304,0))),"")</f>
        <v>0</v>
      </c>
      <c r="T469" s="45">
        <f>IFERROR(IF(P469="","",P469*INDEX(Ingredients!$S$5:$S$304,MATCH(D469,Ingredients!$B$5:$B$304,0))),"")</f>
        <v>0</v>
      </c>
      <c r="U469" s="45">
        <f>IFERROR(IF(P469="","",P469*INDEX(Ingredients!$T$5:$T$304,MATCH(D469,Ingredients!$B$5:$B$304,0))),"")</f>
        <v>0</v>
      </c>
      <c r="V469" s="17">
        <f>IF(D469="","",IFERROR(INDEX(Ingredients!$W$5:$W$304,MATCH(D469,Ingredients!$B$5:$B$304,0)),"Add to Ingredients"))</f>
        <v>0</v>
      </c>
      <c r="W469" s="17">
        <f>IF(D469="","",IFERROR(INDEX(Ingredients!$C$5:$C$304,MATCH(D469,Ingredients!$B$5:$B$304,0)),"Add to Ingredients"))</f>
        <v>0</v>
      </c>
      <c r="X469" s="45">
        <f>IFERROR(INDEX(Recipes!$AT$5:$AT$204,MATCH(B469,Recipes!$A$5:$A$204,0)),0)</f>
        <v>0</v>
      </c>
      <c r="Y469" s="45">
        <f>IF(OR(J469="",X469=0),"",J469*X469)</f>
        <v>0</v>
      </c>
      <c r="Z469" s="17">
        <f>IF(D469="","",B469&amp;"#"&amp;COUNTIFS($B$5:B469,B469))</f>
        <v>0</v>
      </c>
      <c r="AA469" s="17">
        <f>IF(D469="","",B469&amp;"|"&amp;D469)</f>
        <v>0</v>
      </c>
      <c r="AB469" s="31">
        <f>IF(D469="","",IF(B469="","Add - which recipe?",IF(COUNTIFS(Ingredients!$B$5:$B$304,D469)=0,"Missing - not in the Ingredients tab",IF(E469="","Add - no quantity",IF(F469="","Add - no unit",IF(K469&lt;&gt;L469,"Check - recipe in "&amp;K469&amp;", priced in "&amp;L469,IF(COUNTIFS($AA$5:$AA$1204,AA469)&gt;1,"Duplicate - same ingredient twice","OK")))))))</f>
        <v>0</v>
      </c>
    </row>
    <row r="470" spans="1:28">
      <c r="A470" s="39">
        <f>IF(D470="","","RL-"&amp;TEXT(ROW()-4,"0000"))</f>
        <v>0</v>
      </c>
      <c r="C470" s="17">
        <f>IF(B470="","",IFERROR(INDEX(Recipes!$B$5:$B$204,MATCH(B470,Recipes!$A$5:$A$204,0)),"Not found"))</f>
        <v>0</v>
      </c>
      <c r="J470" s="45">
        <f>IF(E470="","",IFERROR(E470*INDEX(UnitFactors,MATCH(F470,UnitNames,0)),""))</f>
        <v>0</v>
      </c>
      <c r="K470" s="17">
        <f>IF(F470="","",IFERROR(INDEX(UnitBases,MATCH(F470,UnitNames,0)),"?"))</f>
        <v>0</v>
      </c>
      <c r="L470" s="17">
        <f>IF(D470="","",IFERROR(INDEX(Ingredients!$G$5:$G$304,MATCH(D470,Ingredients!$B$5:$B$304,0)),"Add to Ingredients"))</f>
        <v>0</v>
      </c>
      <c r="M470" s="25">
        <f>IF(D470="","",IFERROR(INDEX(Ingredients!$J$5:$J$304,MATCH(D470,Ingredients!$B$5:$B$304,0)),"Add to Ingredients"))</f>
        <v>0</v>
      </c>
      <c r="N470" s="25">
        <f>IF(OR(J470="",M470="",NOT(ISNUMBER(M470))),"",IF(K470&lt;&gt;L470,"",J470*M470))</f>
        <v>0</v>
      </c>
      <c r="O470" s="25">
        <f>IF(N470="","",IFERROR(N470/INDEX(Recipes!$G$5:$G$204,MATCH(B470,Recipes!$A$5:$A$204,0)),""))</f>
        <v>0</v>
      </c>
      <c r="P470" s="30">
        <f>IF(J470="","",IF(K470="each",J470,J470/100))</f>
        <v>0</v>
      </c>
      <c r="Q470" s="30">
        <f>IFERROR(IF(P470="","",P470*INDEX(Ingredients!$P$5:$P$304,MATCH(D470,Ingredients!$B$5:$B$304,0))),"")</f>
        <v>0</v>
      </c>
      <c r="R470" s="45">
        <f>IFERROR(IF(P470="","",P470*INDEX(Ingredients!$Q$5:$Q$304,MATCH(D470,Ingredients!$B$5:$B$304,0))),"")</f>
        <v>0</v>
      </c>
      <c r="S470" s="45">
        <f>IFERROR(IF(P470="","",P470*INDEX(Ingredients!$R$5:$R$304,MATCH(D470,Ingredients!$B$5:$B$304,0))),"")</f>
        <v>0</v>
      </c>
      <c r="T470" s="45">
        <f>IFERROR(IF(P470="","",P470*INDEX(Ingredients!$S$5:$S$304,MATCH(D470,Ingredients!$B$5:$B$304,0))),"")</f>
        <v>0</v>
      </c>
      <c r="U470" s="45">
        <f>IFERROR(IF(P470="","",P470*INDEX(Ingredients!$T$5:$T$304,MATCH(D470,Ingredients!$B$5:$B$304,0))),"")</f>
        <v>0</v>
      </c>
      <c r="V470" s="17">
        <f>IF(D470="","",IFERROR(INDEX(Ingredients!$W$5:$W$304,MATCH(D470,Ingredients!$B$5:$B$304,0)),"Add to Ingredients"))</f>
        <v>0</v>
      </c>
      <c r="W470" s="17">
        <f>IF(D470="","",IFERROR(INDEX(Ingredients!$C$5:$C$304,MATCH(D470,Ingredients!$B$5:$B$304,0)),"Add to Ingredients"))</f>
        <v>0</v>
      </c>
      <c r="X470" s="45">
        <f>IFERROR(INDEX(Recipes!$AT$5:$AT$204,MATCH(B470,Recipes!$A$5:$A$204,0)),0)</f>
        <v>0</v>
      </c>
      <c r="Y470" s="45">
        <f>IF(OR(J470="",X470=0),"",J470*X470)</f>
        <v>0</v>
      </c>
      <c r="Z470" s="17">
        <f>IF(D470="","",B470&amp;"#"&amp;COUNTIFS($B$5:B470,B470))</f>
        <v>0</v>
      </c>
      <c r="AA470" s="17">
        <f>IF(D470="","",B470&amp;"|"&amp;D470)</f>
        <v>0</v>
      </c>
      <c r="AB470" s="31">
        <f>IF(D470="","",IF(B470="","Add - which recipe?",IF(COUNTIFS(Ingredients!$B$5:$B$304,D470)=0,"Missing - not in the Ingredients tab",IF(E470="","Add - no quantity",IF(F470="","Add - no unit",IF(K470&lt;&gt;L470,"Check - recipe in "&amp;K470&amp;", priced in "&amp;L470,IF(COUNTIFS($AA$5:$AA$1204,AA470)&gt;1,"Duplicate - same ingredient twice","OK")))))))</f>
        <v>0</v>
      </c>
    </row>
    <row r="471" spans="1:28">
      <c r="A471" s="39">
        <f>IF(D471="","","RL-"&amp;TEXT(ROW()-4,"0000"))</f>
        <v>0</v>
      </c>
      <c r="C471" s="17">
        <f>IF(B471="","",IFERROR(INDEX(Recipes!$B$5:$B$204,MATCH(B471,Recipes!$A$5:$A$204,0)),"Not found"))</f>
        <v>0</v>
      </c>
      <c r="J471" s="45">
        <f>IF(E471="","",IFERROR(E471*INDEX(UnitFactors,MATCH(F471,UnitNames,0)),""))</f>
        <v>0</v>
      </c>
      <c r="K471" s="17">
        <f>IF(F471="","",IFERROR(INDEX(UnitBases,MATCH(F471,UnitNames,0)),"?"))</f>
        <v>0</v>
      </c>
      <c r="L471" s="17">
        <f>IF(D471="","",IFERROR(INDEX(Ingredients!$G$5:$G$304,MATCH(D471,Ingredients!$B$5:$B$304,0)),"Add to Ingredients"))</f>
        <v>0</v>
      </c>
      <c r="M471" s="25">
        <f>IF(D471="","",IFERROR(INDEX(Ingredients!$J$5:$J$304,MATCH(D471,Ingredients!$B$5:$B$304,0)),"Add to Ingredients"))</f>
        <v>0</v>
      </c>
      <c r="N471" s="25">
        <f>IF(OR(J471="",M471="",NOT(ISNUMBER(M471))),"",IF(K471&lt;&gt;L471,"",J471*M471))</f>
        <v>0</v>
      </c>
      <c r="O471" s="25">
        <f>IF(N471="","",IFERROR(N471/INDEX(Recipes!$G$5:$G$204,MATCH(B471,Recipes!$A$5:$A$204,0)),""))</f>
        <v>0</v>
      </c>
      <c r="P471" s="30">
        <f>IF(J471="","",IF(K471="each",J471,J471/100))</f>
        <v>0</v>
      </c>
      <c r="Q471" s="30">
        <f>IFERROR(IF(P471="","",P471*INDEX(Ingredients!$P$5:$P$304,MATCH(D471,Ingredients!$B$5:$B$304,0))),"")</f>
        <v>0</v>
      </c>
      <c r="R471" s="45">
        <f>IFERROR(IF(P471="","",P471*INDEX(Ingredients!$Q$5:$Q$304,MATCH(D471,Ingredients!$B$5:$B$304,0))),"")</f>
        <v>0</v>
      </c>
      <c r="S471" s="45">
        <f>IFERROR(IF(P471="","",P471*INDEX(Ingredients!$R$5:$R$304,MATCH(D471,Ingredients!$B$5:$B$304,0))),"")</f>
        <v>0</v>
      </c>
      <c r="T471" s="45">
        <f>IFERROR(IF(P471="","",P471*INDEX(Ingredients!$S$5:$S$304,MATCH(D471,Ingredients!$B$5:$B$304,0))),"")</f>
        <v>0</v>
      </c>
      <c r="U471" s="45">
        <f>IFERROR(IF(P471="","",P471*INDEX(Ingredients!$T$5:$T$304,MATCH(D471,Ingredients!$B$5:$B$304,0))),"")</f>
        <v>0</v>
      </c>
      <c r="V471" s="17">
        <f>IF(D471="","",IFERROR(INDEX(Ingredients!$W$5:$W$304,MATCH(D471,Ingredients!$B$5:$B$304,0)),"Add to Ingredients"))</f>
        <v>0</v>
      </c>
      <c r="W471" s="17">
        <f>IF(D471="","",IFERROR(INDEX(Ingredients!$C$5:$C$304,MATCH(D471,Ingredients!$B$5:$B$304,0)),"Add to Ingredients"))</f>
        <v>0</v>
      </c>
      <c r="X471" s="45">
        <f>IFERROR(INDEX(Recipes!$AT$5:$AT$204,MATCH(B471,Recipes!$A$5:$A$204,0)),0)</f>
        <v>0</v>
      </c>
      <c r="Y471" s="45">
        <f>IF(OR(J471="",X471=0),"",J471*X471)</f>
        <v>0</v>
      </c>
      <c r="Z471" s="17">
        <f>IF(D471="","",B471&amp;"#"&amp;COUNTIFS($B$5:B471,B471))</f>
        <v>0</v>
      </c>
      <c r="AA471" s="17">
        <f>IF(D471="","",B471&amp;"|"&amp;D471)</f>
        <v>0</v>
      </c>
      <c r="AB471" s="31">
        <f>IF(D471="","",IF(B471="","Add - which recipe?",IF(COUNTIFS(Ingredients!$B$5:$B$304,D471)=0,"Missing - not in the Ingredients tab",IF(E471="","Add - no quantity",IF(F471="","Add - no unit",IF(K471&lt;&gt;L471,"Check - recipe in "&amp;K471&amp;", priced in "&amp;L471,IF(COUNTIFS($AA$5:$AA$1204,AA471)&gt;1,"Duplicate - same ingredient twice","OK")))))))</f>
        <v>0</v>
      </c>
    </row>
    <row r="472" spans="1:28">
      <c r="A472" s="39">
        <f>IF(D472="","","RL-"&amp;TEXT(ROW()-4,"0000"))</f>
        <v>0</v>
      </c>
      <c r="C472" s="17">
        <f>IF(B472="","",IFERROR(INDEX(Recipes!$B$5:$B$204,MATCH(B472,Recipes!$A$5:$A$204,0)),"Not found"))</f>
        <v>0</v>
      </c>
      <c r="J472" s="45">
        <f>IF(E472="","",IFERROR(E472*INDEX(UnitFactors,MATCH(F472,UnitNames,0)),""))</f>
        <v>0</v>
      </c>
      <c r="K472" s="17">
        <f>IF(F472="","",IFERROR(INDEX(UnitBases,MATCH(F472,UnitNames,0)),"?"))</f>
        <v>0</v>
      </c>
      <c r="L472" s="17">
        <f>IF(D472="","",IFERROR(INDEX(Ingredients!$G$5:$G$304,MATCH(D472,Ingredients!$B$5:$B$304,0)),"Add to Ingredients"))</f>
        <v>0</v>
      </c>
      <c r="M472" s="25">
        <f>IF(D472="","",IFERROR(INDEX(Ingredients!$J$5:$J$304,MATCH(D472,Ingredients!$B$5:$B$304,0)),"Add to Ingredients"))</f>
        <v>0</v>
      </c>
      <c r="N472" s="25">
        <f>IF(OR(J472="",M472="",NOT(ISNUMBER(M472))),"",IF(K472&lt;&gt;L472,"",J472*M472))</f>
        <v>0</v>
      </c>
      <c r="O472" s="25">
        <f>IF(N472="","",IFERROR(N472/INDEX(Recipes!$G$5:$G$204,MATCH(B472,Recipes!$A$5:$A$204,0)),""))</f>
        <v>0</v>
      </c>
      <c r="P472" s="30">
        <f>IF(J472="","",IF(K472="each",J472,J472/100))</f>
        <v>0</v>
      </c>
      <c r="Q472" s="30">
        <f>IFERROR(IF(P472="","",P472*INDEX(Ingredients!$P$5:$P$304,MATCH(D472,Ingredients!$B$5:$B$304,0))),"")</f>
        <v>0</v>
      </c>
      <c r="R472" s="45">
        <f>IFERROR(IF(P472="","",P472*INDEX(Ingredients!$Q$5:$Q$304,MATCH(D472,Ingredients!$B$5:$B$304,0))),"")</f>
        <v>0</v>
      </c>
      <c r="S472" s="45">
        <f>IFERROR(IF(P472="","",P472*INDEX(Ingredients!$R$5:$R$304,MATCH(D472,Ingredients!$B$5:$B$304,0))),"")</f>
        <v>0</v>
      </c>
      <c r="T472" s="45">
        <f>IFERROR(IF(P472="","",P472*INDEX(Ingredients!$S$5:$S$304,MATCH(D472,Ingredients!$B$5:$B$304,0))),"")</f>
        <v>0</v>
      </c>
      <c r="U472" s="45">
        <f>IFERROR(IF(P472="","",P472*INDEX(Ingredients!$T$5:$T$304,MATCH(D472,Ingredients!$B$5:$B$304,0))),"")</f>
        <v>0</v>
      </c>
      <c r="V472" s="17">
        <f>IF(D472="","",IFERROR(INDEX(Ingredients!$W$5:$W$304,MATCH(D472,Ingredients!$B$5:$B$304,0)),"Add to Ingredients"))</f>
        <v>0</v>
      </c>
      <c r="W472" s="17">
        <f>IF(D472="","",IFERROR(INDEX(Ingredients!$C$5:$C$304,MATCH(D472,Ingredients!$B$5:$B$304,0)),"Add to Ingredients"))</f>
        <v>0</v>
      </c>
      <c r="X472" s="45">
        <f>IFERROR(INDEX(Recipes!$AT$5:$AT$204,MATCH(B472,Recipes!$A$5:$A$204,0)),0)</f>
        <v>0</v>
      </c>
      <c r="Y472" s="45">
        <f>IF(OR(J472="",X472=0),"",J472*X472)</f>
        <v>0</v>
      </c>
      <c r="Z472" s="17">
        <f>IF(D472="","",B472&amp;"#"&amp;COUNTIFS($B$5:B472,B472))</f>
        <v>0</v>
      </c>
      <c r="AA472" s="17">
        <f>IF(D472="","",B472&amp;"|"&amp;D472)</f>
        <v>0</v>
      </c>
      <c r="AB472" s="31">
        <f>IF(D472="","",IF(B472="","Add - which recipe?",IF(COUNTIFS(Ingredients!$B$5:$B$304,D472)=0,"Missing - not in the Ingredients tab",IF(E472="","Add - no quantity",IF(F472="","Add - no unit",IF(K472&lt;&gt;L472,"Check - recipe in "&amp;K472&amp;", priced in "&amp;L472,IF(COUNTIFS($AA$5:$AA$1204,AA472)&gt;1,"Duplicate - same ingredient twice","OK")))))))</f>
        <v>0</v>
      </c>
    </row>
    <row r="473" spans="1:28">
      <c r="A473" s="39">
        <f>IF(D473="","","RL-"&amp;TEXT(ROW()-4,"0000"))</f>
        <v>0</v>
      </c>
      <c r="C473" s="17">
        <f>IF(B473="","",IFERROR(INDEX(Recipes!$B$5:$B$204,MATCH(B473,Recipes!$A$5:$A$204,0)),"Not found"))</f>
        <v>0</v>
      </c>
      <c r="J473" s="45">
        <f>IF(E473="","",IFERROR(E473*INDEX(UnitFactors,MATCH(F473,UnitNames,0)),""))</f>
        <v>0</v>
      </c>
      <c r="K473" s="17">
        <f>IF(F473="","",IFERROR(INDEX(UnitBases,MATCH(F473,UnitNames,0)),"?"))</f>
        <v>0</v>
      </c>
      <c r="L473" s="17">
        <f>IF(D473="","",IFERROR(INDEX(Ingredients!$G$5:$G$304,MATCH(D473,Ingredients!$B$5:$B$304,0)),"Add to Ingredients"))</f>
        <v>0</v>
      </c>
      <c r="M473" s="25">
        <f>IF(D473="","",IFERROR(INDEX(Ingredients!$J$5:$J$304,MATCH(D473,Ingredients!$B$5:$B$304,0)),"Add to Ingredients"))</f>
        <v>0</v>
      </c>
      <c r="N473" s="25">
        <f>IF(OR(J473="",M473="",NOT(ISNUMBER(M473))),"",IF(K473&lt;&gt;L473,"",J473*M473))</f>
        <v>0</v>
      </c>
      <c r="O473" s="25">
        <f>IF(N473="","",IFERROR(N473/INDEX(Recipes!$G$5:$G$204,MATCH(B473,Recipes!$A$5:$A$204,0)),""))</f>
        <v>0</v>
      </c>
      <c r="P473" s="30">
        <f>IF(J473="","",IF(K473="each",J473,J473/100))</f>
        <v>0</v>
      </c>
      <c r="Q473" s="30">
        <f>IFERROR(IF(P473="","",P473*INDEX(Ingredients!$P$5:$P$304,MATCH(D473,Ingredients!$B$5:$B$304,0))),"")</f>
        <v>0</v>
      </c>
      <c r="R473" s="45">
        <f>IFERROR(IF(P473="","",P473*INDEX(Ingredients!$Q$5:$Q$304,MATCH(D473,Ingredients!$B$5:$B$304,0))),"")</f>
        <v>0</v>
      </c>
      <c r="S473" s="45">
        <f>IFERROR(IF(P473="","",P473*INDEX(Ingredients!$R$5:$R$304,MATCH(D473,Ingredients!$B$5:$B$304,0))),"")</f>
        <v>0</v>
      </c>
      <c r="T473" s="45">
        <f>IFERROR(IF(P473="","",P473*INDEX(Ingredients!$S$5:$S$304,MATCH(D473,Ingredients!$B$5:$B$304,0))),"")</f>
        <v>0</v>
      </c>
      <c r="U473" s="45">
        <f>IFERROR(IF(P473="","",P473*INDEX(Ingredients!$T$5:$T$304,MATCH(D473,Ingredients!$B$5:$B$304,0))),"")</f>
        <v>0</v>
      </c>
      <c r="V473" s="17">
        <f>IF(D473="","",IFERROR(INDEX(Ingredients!$W$5:$W$304,MATCH(D473,Ingredients!$B$5:$B$304,0)),"Add to Ingredients"))</f>
        <v>0</v>
      </c>
      <c r="W473" s="17">
        <f>IF(D473="","",IFERROR(INDEX(Ingredients!$C$5:$C$304,MATCH(D473,Ingredients!$B$5:$B$304,0)),"Add to Ingredients"))</f>
        <v>0</v>
      </c>
      <c r="X473" s="45">
        <f>IFERROR(INDEX(Recipes!$AT$5:$AT$204,MATCH(B473,Recipes!$A$5:$A$204,0)),0)</f>
        <v>0</v>
      </c>
      <c r="Y473" s="45">
        <f>IF(OR(J473="",X473=0),"",J473*X473)</f>
        <v>0</v>
      </c>
      <c r="Z473" s="17">
        <f>IF(D473="","",B473&amp;"#"&amp;COUNTIFS($B$5:B473,B473))</f>
        <v>0</v>
      </c>
      <c r="AA473" s="17">
        <f>IF(D473="","",B473&amp;"|"&amp;D473)</f>
        <v>0</v>
      </c>
      <c r="AB473" s="31">
        <f>IF(D473="","",IF(B473="","Add - which recipe?",IF(COUNTIFS(Ingredients!$B$5:$B$304,D473)=0,"Missing - not in the Ingredients tab",IF(E473="","Add - no quantity",IF(F473="","Add - no unit",IF(K473&lt;&gt;L473,"Check - recipe in "&amp;K473&amp;", priced in "&amp;L473,IF(COUNTIFS($AA$5:$AA$1204,AA473)&gt;1,"Duplicate - same ingredient twice","OK")))))))</f>
        <v>0</v>
      </c>
    </row>
    <row r="474" spans="1:28">
      <c r="A474" s="39">
        <f>IF(D474="","","RL-"&amp;TEXT(ROW()-4,"0000"))</f>
        <v>0</v>
      </c>
      <c r="C474" s="17">
        <f>IF(B474="","",IFERROR(INDEX(Recipes!$B$5:$B$204,MATCH(B474,Recipes!$A$5:$A$204,0)),"Not found"))</f>
        <v>0</v>
      </c>
      <c r="J474" s="45">
        <f>IF(E474="","",IFERROR(E474*INDEX(UnitFactors,MATCH(F474,UnitNames,0)),""))</f>
        <v>0</v>
      </c>
      <c r="K474" s="17">
        <f>IF(F474="","",IFERROR(INDEX(UnitBases,MATCH(F474,UnitNames,0)),"?"))</f>
        <v>0</v>
      </c>
      <c r="L474" s="17">
        <f>IF(D474="","",IFERROR(INDEX(Ingredients!$G$5:$G$304,MATCH(D474,Ingredients!$B$5:$B$304,0)),"Add to Ingredients"))</f>
        <v>0</v>
      </c>
      <c r="M474" s="25">
        <f>IF(D474="","",IFERROR(INDEX(Ingredients!$J$5:$J$304,MATCH(D474,Ingredients!$B$5:$B$304,0)),"Add to Ingredients"))</f>
        <v>0</v>
      </c>
      <c r="N474" s="25">
        <f>IF(OR(J474="",M474="",NOT(ISNUMBER(M474))),"",IF(K474&lt;&gt;L474,"",J474*M474))</f>
        <v>0</v>
      </c>
      <c r="O474" s="25">
        <f>IF(N474="","",IFERROR(N474/INDEX(Recipes!$G$5:$G$204,MATCH(B474,Recipes!$A$5:$A$204,0)),""))</f>
        <v>0</v>
      </c>
      <c r="P474" s="30">
        <f>IF(J474="","",IF(K474="each",J474,J474/100))</f>
        <v>0</v>
      </c>
      <c r="Q474" s="30">
        <f>IFERROR(IF(P474="","",P474*INDEX(Ingredients!$P$5:$P$304,MATCH(D474,Ingredients!$B$5:$B$304,0))),"")</f>
        <v>0</v>
      </c>
      <c r="R474" s="45">
        <f>IFERROR(IF(P474="","",P474*INDEX(Ingredients!$Q$5:$Q$304,MATCH(D474,Ingredients!$B$5:$B$304,0))),"")</f>
        <v>0</v>
      </c>
      <c r="S474" s="45">
        <f>IFERROR(IF(P474="","",P474*INDEX(Ingredients!$R$5:$R$304,MATCH(D474,Ingredients!$B$5:$B$304,0))),"")</f>
        <v>0</v>
      </c>
      <c r="T474" s="45">
        <f>IFERROR(IF(P474="","",P474*INDEX(Ingredients!$S$5:$S$304,MATCH(D474,Ingredients!$B$5:$B$304,0))),"")</f>
        <v>0</v>
      </c>
      <c r="U474" s="45">
        <f>IFERROR(IF(P474="","",P474*INDEX(Ingredients!$T$5:$T$304,MATCH(D474,Ingredients!$B$5:$B$304,0))),"")</f>
        <v>0</v>
      </c>
      <c r="V474" s="17">
        <f>IF(D474="","",IFERROR(INDEX(Ingredients!$W$5:$W$304,MATCH(D474,Ingredients!$B$5:$B$304,0)),"Add to Ingredients"))</f>
        <v>0</v>
      </c>
      <c r="W474" s="17">
        <f>IF(D474="","",IFERROR(INDEX(Ingredients!$C$5:$C$304,MATCH(D474,Ingredients!$B$5:$B$304,0)),"Add to Ingredients"))</f>
        <v>0</v>
      </c>
      <c r="X474" s="45">
        <f>IFERROR(INDEX(Recipes!$AT$5:$AT$204,MATCH(B474,Recipes!$A$5:$A$204,0)),0)</f>
        <v>0</v>
      </c>
      <c r="Y474" s="45">
        <f>IF(OR(J474="",X474=0),"",J474*X474)</f>
        <v>0</v>
      </c>
      <c r="Z474" s="17">
        <f>IF(D474="","",B474&amp;"#"&amp;COUNTIFS($B$5:B474,B474))</f>
        <v>0</v>
      </c>
      <c r="AA474" s="17">
        <f>IF(D474="","",B474&amp;"|"&amp;D474)</f>
        <v>0</v>
      </c>
      <c r="AB474" s="31">
        <f>IF(D474="","",IF(B474="","Add - which recipe?",IF(COUNTIFS(Ingredients!$B$5:$B$304,D474)=0,"Missing - not in the Ingredients tab",IF(E474="","Add - no quantity",IF(F474="","Add - no unit",IF(K474&lt;&gt;L474,"Check - recipe in "&amp;K474&amp;", priced in "&amp;L474,IF(COUNTIFS($AA$5:$AA$1204,AA474)&gt;1,"Duplicate - same ingredient twice","OK")))))))</f>
        <v>0</v>
      </c>
    </row>
    <row r="475" spans="1:28">
      <c r="A475" s="39">
        <f>IF(D475="","","RL-"&amp;TEXT(ROW()-4,"0000"))</f>
        <v>0</v>
      </c>
      <c r="C475" s="17">
        <f>IF(B475="","",IFERROR(INDEX(Recipes!$B$5:$B$204,MATCH(B475,Recipes!$A$5:$A$204,0)),"Not found"))</f>
        <v>0</v>
      </c>
      <c r="J475" s="45">
        <f>IF(E475="","",IFERROR(E475*INDEX(UnitFactors,MATCH(F475,UnitNames,0)),""))</f>
        <v>0</v>
      </c>
      <c r="K475" s="17">
        <f>IF(F475="","",IFERROR(INDEX(UnitBases,MATCH(F475,UnitNames,0)),"?"))</f>
        <v>0</v>
      </c>
      <c r="L475" s="17">
        <f>IF(D475="","",IFERROR(INDEX(Ingredients!$G$5:$G$304,MATCH(D475,Ingredients!$B$5:$B$304,0)),"Add to Ingredients"))</f>
        <v>0</v>
      </c>
      <c r="M475" s="25">
        <f>IF(D475="","",IFERROR(INDEX(Ingredients!$J$5:$J$304,MATCH(D475,Ingredients!$B$5:$B$304,0)),"Add to Ingredients"))</f>
        <v>0</v>
      </c>
      <c r="N475" s="25">
        <f>IF(OR(J475="",M475="",NOT(ISNUMBER(M475))),"",IF(K475&lt;&gt;L475,"",J475*M475))</f>
        <v>0</v>
      </c>
      <c r="O475" s="25">
        <f>IF(N475="","",IFERROR(N475/INDEX(Recipes!$G$5:$G$204,MATCH(B475,Recipes!$A$5:$A$204,0)),""))</f>
        <v>0</v>
      </c>
      <c r="P475" s="30">
        <f>IF(J475="","",IF(K475="each",J475,J475/100))</f>
        <v>0</v>
      </c>
      <c r="Q475" s="30">
        <f>IFERROR(IF(P475="","",P475*INDEX(Ingredients!$P$5:$P$304,MATCH(D475,Ingredients!$B$5:$B$304,0))),"")</f>
        <v>0</v>
      </c>
      <c r="R475" s="45">
        <f>IFERROR(IF(P475="","",P475*INDEX(Ingredients!$Q$5:$Q$304,MATCH(D475,Ingredients!$B$5:$B$304,0))),"")</f>
        <v>0</v>
      </c>
      <c r="S475" s="45">
        <f>IFERROR(IF(P475="","",P475*INDEX(Ingredients!$R$5:$R$304,MATCH(D475,Ingredients!$B$5:$B$304,0))),"")</f>
        <v>0</v>
      </c>
      <c r="T475" s="45">
        <f>IFERROR(IF(P475="","",P475*INDEX(Ingredients!$S$5:$S$304,MATCH(D475,Ingredients!$B$5:$B$304,0))),"")</f>
        <v>0</v>
      </c>
      <c r="U475" s="45">
        <f>IFERROR(IF(P475="","",P475*INDEX(Ingredients!$T$5:$T$304,MATCH(D475,Ingredients!$B$5:$B$304,0))),"")</f>
        <v>0</v>
      </c>
      <c r="V475" s="17">
        <f>IF(D475="","",IFERROR(INDEX(Ingredients!$W$5:$W$304,MATCH(D475,Ingredients!$B$5:$B$304,0)),"Add to Ingredients"))</f>
        <v>0</v>
      </c>
      <c r="W475" s="17">
        <f>IF(D475="","",IFERROR(INDEX(Ingredients!$C$5:$C$304,MATCH(D475,Ingredients!$B$5:$B$304,0)),"Add to Ingredients"))</f>
        <v>0</v>
      </c>
      <c r="X475" s="45">
        <f>IFERROR(INDEX(Recipes!$AT$5:$AT$204,MATCH(B475,Recipes!$A$5:$A$204,0)),0)</f>
        <v>0</v>
      </c>
      <c r="Y475" s="45">
        <f>IF(OR(J475="",X475=0),"",J475*X475)</f>
        <v>0</v>
      </c>
      <c r="Z475" s="17">
        <f>IF(D475="","",B475&amp;"#"&amp;COUNTIFS($B$5:B475,B475))</f>
        <v>0</v>
      </c>
      <c r="AA475" s="17">
        <f>IF(D475="","",B475&amp;"|"&amp;D475)</f>
        <v>0</v>
      </c>
      <c r="AB475" s="31">
        <f>IF(D475="","",IF(B475="","Add - which recipe?",IF(COUNTIFS(Ingredients!$B$5:$B$304,D475)=0,"Missing - not in the Ingredients tab",IF(E475="","Add - no quantity",IF(F475="","Add - no unit",IF(K475&lt;&gt;L475,"Check - recipe in "&amp;K475&amp;", priced in "&amp;L475,IF(COUNTIFS($AA$5:$AA$1204,AA475)&gt;1,"Duplicate - same ingredient twice","OK")))))))</f>
        <v>0</v>
      </c>
    </row>
    <row r="476" spans="1:28">
      <c r="A476" s="39">
        <f>IF(D476="","","RL-"&amp;TEXT(ROW()-4,"0000"))</f>
        <v>0</v>
      </c>
      <c r="C476" s="17">
        <f>IF(B476="","",IFERROR(INDEX(Recipes!$B$5:$B$204,MATCH(B476,Recipes!$A$5:$A$204,0)),"Not found"))</f>
        <v>0</v>
      </c>
      <c r="J476" s="45">
        <f>IF(E476="","",IFERROR(E476*INDEX(UnitFactors,MATCH(F476,UnitNames,0)),""))</f>
        <v>0</v>
      </c>
      <c r="K476" s="17">
        <f>IF(F476="","",IFERROR(INDEX(UnitBases,MATCH(F476,UnitNames,0)),"?"))</f>
        <v>0</v>
      </c>
      <c r="L476" s="17">
        <f>IF(D476="","",IFERROR(INDEX(Ingredients!$G$5:$G$304,MATCH(D476,Ingredients!$B$5:$B$304,0)),"Add to Ingredients"))</f>
        <v>0</v>
      </c>
      <c r="M476" s="25">
        <f>IF(D476="","",IFERROR(INDEX(Ingredients!$J$5:$J$304,MATCH(D476,Ingredients!$B$5:$B$304,0)),"Add to Ingredients"))</f>
        <v>0</v>
      </c>
      <c r="N476" s="25">
        <f>IF(OR(J476="",M476="",NOT(ISNUMBER(M476))),"",IF(K476&lt;&gt;L476,"",J476*M476))</f>
        <v>0</v>
      </c>
      <c r="O476" s="25">
        <f>IF(N476="","",IFERROR(N476/INDEX(Recipes!$G$5:$G$204,MATCH(B476,Recipes!$A$5:$A$204,0)),""))</f>
        <v>0</v>
      </c>
      <c r="P476" s="30">
        <f>IF(J476="","",IF(K476="each",J476,J476/100))</f>
        <v>0</v>
      </c>
      <c r="Q476" s="30">
        <f>IFERROR(IF(P476="","",P476*INDEX(Ingredients!$P$5:$P$304,MATCH(D476,Ingredients!$B$5:$B$304,0))),"")</f>
        <v>0</v>
      </c>
      <c r="R476" s="45">
        <f>IFERROR(IF(P476="","",P476*INDEX(Ingredients!$Q$5:$Q$304,MATCH(D476,Ingredients!$B$5:$B$304,0))),"")</f>
        <v>0</v>
      </c>
      <c r="S476" s="45">
        <f>IFERROR(IF(P476="","",P476*INDEX(Ingredients!$R$5:$R$304,MATCH(D476,Ingredients!$B$5:$B$304,0))),"")</f>
        <v>0</v>
      </c>
      <c r="T476" s="45">
        <f>IFERROR(IF(P476="","",P476*INDEX(Ingredients!$S$5:$S$304,MATCH(D476,Ingredients!$B$5:$B$304,0))),"")</f>
        <v>0</v>
      </c>
      <c r="U476" s="45">
        <f>IFERROR(IF(P476="","",P476*INDEX(Ingredients!$T$5:$T$304,MATCH(D476,Ingredients!$B$5:$B$304,0))),"")</f>
        <v>0</v>
      </c>
      <c r="V476" s="17">
        <f>IF(D476="","",IFERROR(INDEX(Ingredients!$W$5:$W$304,MATCH(D476,Ingredients!$B$5:$B$304,0)),"Add to Ingredients"))</f>
        <v>0</v>
      </c>
      <c r="W476" s="17">
        <f>IF(D476="","",IFERROR(INDEX(Ingredients!$C$5:$C$304,MATCH(D476,Ingredients!$B$5:$B$304,0)),"Add to Ingredients"))</f>
        <v>0</v>
      </c>
      <c r="X476" s="45">
        <f>IFERROR(INDEX(Recipes!$AT$5:$AT$204,MATCH(B476,Recipes!$A$5:$A$204,0)),0)</f>
        <v>0</v>
      </c>
      <c r="Y476" s="45">
        <f>IF(OR(J476="",X476=0),"",J476*X476)</f>
        <v>0</v>
      </c>
      <c r="Z476" s="17">
        <f>IF(D476="","",B476&amp;"#"&amp;COUNTIFS($B$5:B476,B476))</f>
        <v>0</v>
      </c>
      <c r="AA476" s="17">
        <f>IF(D476="","",B476&amp;"|"&amp;D476)</f>
        <v>0</v>
      </c>
      <c r="AB476" s="31">
        <f>IF(D476="","",IF(B476="","Add - which recipe?",IF(COUNTIFS(Ingredients!$B$5:$B$304,D476)=0,"Missing - not in the Ingredients tab",IF(E476="","Add - no quantity",IF(F476="","Add - no unit",IF(K476&lt;&gt;L476,"Check - recipe in "&amp;K476&amp;", priced in "&amp;L476,IF(COUNTIFS($AA$5:$AA$1204,AA476)&gt;1,"Duplicate - same ingredient twice","OK")))))))</f>
        <v>0</v>
      </c>
    </row>
    <row r="477" spans="1:28">
      <c r="A477" s="39">
        <f>IF(D477="","","RL-"&amp;TEXT(ROW()-4,"0000"))</f>
        <v>0</v>
      </c>
      <c r="C477" s="17">
        <f>IF(B477="","",IFERROR(INDEX(Recipes!$B$5:$B$204,MATCH(B477,Recipes!$A$5:$A$204,0)),"Not found"))</f>
        <v>0</v>
      </c>
      <c r="J477" s="45">
        <f>IF(E477="","",IFERROR(E477*INDEX(UnitFactors,MATCH(F477,UnitNames,0)),""))</f>
        <v>0</v>
      </c>
      <c r="K477" s="17">
        <f>IF(F477="","",IFERROR(INDEX(UnitBases,MATCH(F477,UnitNames,0)),"?"))</f>
        <v>0</v>
      </c>
      <c r="L477" s="17">
        <f>IF(D477="","",IFERROR(INDEX(Ingredients!$G$5:$G$304,MATCH(D477,Ingredients!$B$5:$B$304,0)),"Add to Ingredients"))</f>
        <v>0</v>
      </c>
      <c r="M477" s="25">
        <f>IF(D477="","",IFERROR(INDEX(Ingredients!$J$5:$J$304,MATCH(D477,Ingredients!$B$5:$B$304,0)),"Add to Ingredients"))</f>
        <v>0</v>
      </c>
      <c r="N477" s="25">
        <f>IF(OR(J477="",M477="",NOT(ISNUMBER(M477))),"",IF(K477&lt;&gt;L477,"",J477*M477))</f>
        <v>0</v>
      </c>
      <c r="O477" s="25">
        <f>IF(N477="","",IFERROR(N477/INDEX(Recipes!$G$5:$G$204,MATCH(B477,Recipes!$A$5:$A$204,0)),""))</f>
        <v>0</v>
      </c>
      <c r="P477" s="30">
        <f>IF(J477="","",IF(K477="each",J477,J477/100))</f>
        <v>0</v>
      </c>
      <c r="Q477" s="30">
        <f>IFERROR(IF(P477="","",P477*INDEX(Ingredients!$P$5:$P$304,MATCH(D477,Ingredients!$B$5:$B$304,0))),"")</f>
        <v>0</v>
      </c>
      <c r="R477" s="45">
        <f>IFERROR(IF(P477="","",P477*INDEX(Ingredients!$Q$5:$Q$304,MATCH(D477,Ingredients!$B$5:$B$304,0))),"")</f>
        <v>0</v>
      </c>
      <c r="S477" s="45">
        <f>IFERROR(IF(P477="","",P477*INDEX(Ingredients!$R$5:$R$304,MATCH(D477,Ingredients!$B$5:$B$304,0))),"")</f>
        <v>0</v>
      </c>
      <c r="T477" s="45">
        <f>IFERROR(IF(P477="","",P477*INDEX(Ingredients!$S$5:$S$304,MATCH(D477,Ingredients!$B$5:$B$304,0))),"")</f>
        <v>0</v>
      </c>
      <c r="U477" s="45">
        <f>IFERROR(IF(P477="","",P477*INDEX(Ingredients!$T$5:$T$304,MATCH(D477,Ingredients!$B$5:$B$304,0))),"")</f>
        <v>0</v>
      </c>
      <c r="V477" s="17">
        <f>IF(D477="","",IFERROR(INDEX(Ingredients!$W$5:$W$304,MATCH(D477,Ingredients!$B$5:$B$304,0)),"Add to Ingredients"))</f>
        <v>0</v>
      </c>
      <c r="W477" s="17">
        <f>IF(D477="","",IFERROR(INDEX(Ingredients!$C$5:$C$304,MATCH(D477,Ingredients!$B$5:$B$304,0)),"Add to Ingredients"))</f>
        <v>0</v>
      </c>
      <c r="X477" s="45">
        <f>IFERROR(INDEX(Recipes!$AT$5:$AT$204,MATCH(B477,Recipes!$A$5:$A$204,0)),0)</f>
        <v>0</v>
      </c>
      <c r="Y477" s="45">
        <f>IF(OR(J477="",X477=0),"",J477*X477)</f>
        <v>0</v>
      </c>
      <c r="Z477" s="17">
        <f>IF(D477="","",B477&amp;"#"&amp;COUNTIFS($B$5:B477,B477))</f>
        <v>0</v>
      </c>
      <c r="AA477" s="17">
        <f>IF(D477="","",B477&amp;"|"&amp;D477)</f>
        <v>0</v>
      </c>
      <c r="AB477" s="31">
        <f>IF(D477="","",IF(B477="","Add - which recipe?",IF(COUNTIFS(Ingredients!$B$5:$B$304,D477)=0,"Missing - not in the Ingredients tab",IF(E477="","Add - no quantity",IF(F477="","Add - no unit",IF(K477&lt;&gt;L477,"Check - recipe in "&amp;K477&amp;", priced in "&amp;L477,IF(COUNTIFS($AA$5:$AA$1204,AA477)&gt;1,"Duplicate - same ingredient twice","OK")))))))</f>
        <v>0</v>
      </c>
    </row>
    <row r="478" spans="1:28">
      <c r="A478" s="39">
        <f>IF(D478="","","RL-"&amp;TEXT(ROW()-4,"0000"))</f>
        <v>0</v>
      </c>
      <c r="C478" s="17">
        <f>IF(B478="","",IFERROR(INDEX(Recipes!$B$5:$B$204,MATCH(B478,Recipes!$A$5:$A$204,0)),"Not found"))</f>
        <v>0</v>
      </c>
      <c r="J478" s="45">
        <f>IF(E478="","",IFERROR(E478*INDEX(UnitFactors,MATCH(F478,UnitNames,0)),""))</f>
        <v>0</v>
      </c>
      <c r="K478" s="17">
        <f>IF(F478="","",IFERROR(INDEX(UnitBases,MATCH(F478,UnitNames,0)),"?"))</f>
        <v>0</v>
      </c>
      <c r="L478" s="17">
        <f>IF(D478="","",IFERROR(INDEX(Ingredients!$G$5:$G$304,MATCH(D478,Ingredients!$B$5:$B$304,0)),"Add to Ingredients"))</f>
        <v>0</v>
      </c>
      <c r="M478" s="25">
        <f>IF(D478="","",IFERROR(INDEX(Ingredients!$J$5:$J$304,MATCH(D478,Ingredients!$B$5:$B$304,0)),"Add to Ingredients"))</f>
        <v>0</v>
      </c>
      <c r="N478" s="25">
        <f>IF(OR(J478="",M478="",NOT(ISNUMBER(M478))),"",IF(K478&lt;&gt;L478,"",J478*M478))</f>
        <v>0</v>
      </c>
      <c r="O478" s="25">
        <f>IF(N478="","",IFERROR(N478/INDEX(Recipes!$G$5:$G$204,MATCH(B478,Recipes!$A$5:$A$204,0)),""))</f>
        <v>0</v>
      </c>
      <c r="P478" s="30">
        <f>IF(J478="","",IF(K478="each",J478,J478/100))</f>
        <v>0</v>
      </c>
      <c r="Q478" s="30">
        <f>IFERROR(IF(P478="","",P478*INDEX(Ingredients!$P$5:$P$304,MATCH(D478,Ingredients!$B$5:$B$304,0))),"")</f>
        <v>0</v>
      </c>
      <c r="R478" s="45">
        <f>IFERROR(IF(P478="","",P478*INDEX(Ingredients!$Q$5:$Q$304,MATCH(D478,Ingredients!$B$5:$B$304,0))),"")</f>
        <v>0</v>
      </c>
      <c r="S478" s="45">
        <f>IFERROR(IF(P478="","",P478*INDEX(Ingredients!$R$5:$R$304,MATCH(D478,Ingredients!$B$5:$B$304,0))),"")</f>
        <v>0</v>
      </c>
      <c r="T478" s="45">
        <f>IFERROR(IF(P478="","",P478*INDEX(Ingredients!$S$5:$S$304,MATCH(D478,Ingredients!$B$5:$B$304,0))),"")</f>
        <v>0</v>
      </c>
      <c r="U478" s="45">
        <f>IFERROR(IF(P478="","",P478*INDEX(Ingredients!$T$5:$T$304,MATCH(D478,Ingredients!$B$5:$B$304,0))),"")</f>
        <v>0</v>
      </c>
      <c r="V478" s="17">
        <f>IF(D478="","",IFERROR(INDEX(Ingredients!$W$5:$W$304,MATCH(D478,Ingredients!$B$5:$B$304,0)),"Add to Ingredients"))</f>
        <v>0</v>
      </c>
      <c r="W478" s="17">
        <f>IF(D478="","",IFERROR(INDEX(Ingredients!$C$5:$C$304,MATCH(D478,Ingredients!$B$5:$B$304,0)),"Add to Ingredients"))</f>
        <v>0</v>
      </c>
      <c r="X478" s="45">
        <f>IFERROR(INDEX(Recipes!$AT$5:$AT$204,MATCH(B478,Recipes!$A$5:$A$204,0)),0)</f>
        <v>0</v>
      </c>
      <c r="Y478" s="45">
        <f>IF(OR(J478="",X478=0),"",J478*X478)</f>
        <v>0</v>
      </c>
      <c r="Z478" s="17">
        <f>IF(D478="","",B478&amp;"#"&amp;COUNTIFS($B$5:B478,B478))</f>
        <v>0</v>
      </c>
      <c r="AA478" s="17">
        <f>IF(D478="","",B478&amp;"|"&amp;D478)</f>
        <v>0</v>
      </c>
      <c r="AB478" s="31">
        <f>IF(D478="","",IF(B478="","Add - which recipe?",IF(COUNTIFS(Ingredients!$B$5:$B$304,D478)=0,"Missing - not in the Ingredients tab",IF(E478="","Add - no quantity",IF(F478="","Add - no unit",IF(K478&lt;&gt;L478,"Check - recipe in "&amp;K478&amp;", priced in "&amp;L478,IF(COUNTIFS($AA$5:$AA$1204,AA478)&gt;1,"Duplicate - same ingredient twice","OK")))))))</f>
        <v>0</v>
      </c>
    </row>
    <row r="479" spans="1:28">
      <c r="A479" s="39">
        <f>IF(D479="","","RL-"&amp;TEXT(ROW()-4,"0000"))</f>
        <v>0</v>
      </c>
      <c r="C479" s="17">
        <f>IF(B479="","",IFERROR(INDEX(Recipes!$B$5:$B$204,MATCH(B479,Recipes!$A$5:$A$204,0)),"Not found"))</f>
        <v>0</v>
      </c>
      <c r="J479" s="45">
        <f>IF(E479="","",IFERROR(E479*INDEX(UnitFactors,MATCH(F479,UnitNames,0)),""))</f>
        <v>0</v>
      </c>
      <c r="K479" s="17">
        <f>IF(F479="","",IFERROR(INDEX(UnitBases,MATCH(F479,UnitNames,0)),"?"))</f>
        <v>0</v>
      </c>
      <c r="L479" s="17">
        <f>IF(D479="","",IFERROR(INDEX(Ingredients!$G$5:$G$304,MATCH(D479,Ingredients!$B$5:$B$304,0)),"Add to Ingredients"))</f>
        <v>0</v>
      </c>
      <c r="M479" s="25">
        <f>IF(D479="","",IFERROR(INDEX(Ingredients!$J$5:$J$304,MATCH(D479,Ingredients!$B$5:$B$304,0)),"Add to Ingredients"))</f>
        <v>0</v>
      </c>
      <c r="N479" s="25">
        <f>IF(OR(J479="",M479="",NOT(ISNUMBER(M479))),"",IF(K479&lt;&gt;L479,"",J479*M479))</f>
        <v>0</v>
      </c>
      <c r="O479" s="25">
        <f>IF(N479="","",IFERROR(N479/INDEX(Recipes!$G$5:$G$204,MATCH(B479,Recipes!$A$5:$A$204,0)),""))</f>
        <v>0</v>
      </c>
      <c r="P479" s="30">
        <f>IF(J479="","",IF(K479="each",J479,J479/100))</f>
        <v>0</v>
      </c>
      <c r="Q479" s="30">
        <f>IFERROR(IF(P479="","",P479*INDEX(Ingredients!$P$5:$P$304,MATCH(D479,Ingredients!$B$5:$B$304,0))),"")</f>
        <v>0</v>
      </c>
      <c r="R479" s="45">
        <f>IFERROR(IF(P479="","",P479*INDEX(Ingredients!$Q$5:$Q$304,MATCH(D479,Ingredients!$B$5:$B$304,0))),"")</f>
        <v>0</v>
      </c>
      <c r="S479" s="45">
        <f>IFERROR(IF(P479="","",P479*INDEX(Ingredients!$R$5:$R$304,MATCH(D479,Ingredients!$B$5:$B$304,0))),"")</f>
        <v>0</v>
      </c>
      <c r="T479" s="45">
        <f>IFERROR(IF(P479="","",P479*INDEX(Ingredients!$S$5:$S$304,MATCH(D479,Ingredients!$B$5:$B$304,0))),"")</f>
        <v>0</v>
      </c>
      <c r="U479" s="45">
        <f>IFERROR(IF(P479="","",P479*INDEX(Ingredients!$T$5:$T$304,MATCH(D479,Ingredients!$B$5:$B$304,0))),"")</f>
        <v>0</v>
      </c>
      <c r="V479" s="17">
        <f>IF(D479="","",IFERROR(INDEX(Ingredients!$W$5:$W$304,MATCH(D479,Ingredients!$B$5:$B$304,0)),"Add to Ingredients"))</f>
        <v>0</v>
      </c>
      <c r="W479" s="17">
        <f>IF(D479="","",IFERROR(INDEX(Ingredients!$C$5:$C$304,MATCH(D479,Ingredients!$B$5:$B$304,0)),"Add to Ingredients"))</f>
        <v>0</v>
      </c>
      <c r="X479" s="45">
        <f>IFERROR(INDEX(Recipes!$AT$5:$AT$204,MATCH(B479,Recipes!$A$5:$A$204,0)),0)</f>
        <v>0</v>
      </c>
      <c r="Y479" s="45">
        <f>IF(OR(J479="",X479=0),"",J479*X479)</f>
        <v>0</v>
      </c>
      <c r="Z479" s="17">
        <f>IF(D479="","",B479&amp;"#"&amp;COUNTIFS($B$5:B479,B479))</f>
        <v>0</v>
      </c>
      <c r="AA479" s="17">
        <f>IF(D479="","",B479&amp;"|"&amp;D479)</f>
        <v>0</v>
      </c>
      <c r="AB479" s="31">
        <f>IF(D479="","",IF(B479="","Add - which recipe?",IF(COUNTIFS(Ingredients!$B$5:$B$304,D479)=0,"Missing - not in the Ingredients tab",IF(E479="","Add - no quantity",IF(F479="","Add - no unit",IF(K479&lt;&gt;L479,"Check - recipe in "&amp;K479&amp;", priced in "&amp;L479,IF(COUNTIFS($AA$5:$AA$1204,AA479)&gt;1,"Duplicate - same ingredient twice","OK")))))))</f>
        <v>0</v>
      </c>
    </row>
    <row r="480" spans="1:28">
      <c r="A480" s="39">
        <f>IF(D480="","","RL-"&amp;TEXT(ROW()-4,"0000"))</f>
        <v>0</v>
      </c>
      <c r="C480" s="17">
        <f>IF(B480="","",IFERROR(INDEX(Recipes!$B$5:$B$204,MATCH(B480,Recipes!$A$5:$A$204,0)),"Not found"))</f>
        <v>0</v>
      </c>
      <c r="J480" s="45">
        <f>IF(E480="","",IFERROR(E480*INDEX(UnitFactors,MATCH(F480,UnitNames,0)),""))</f>
        <v>0</v>
      </c>
      <c r="K480" s="17">
        <f>IF(F480="","",IFERROR(INDEX(UnitBases,MATCH(F480,UnitNames,0)),"?"))</f>
        <v>0</v>
      </c>
      <c r="L480" s="17">
        <f>IF(D480="","",IFERROR(INDEX(Ingredients!$G$5:$G$304,MATCH(D480,Ingredients!$B$5:$B$304,0)),"Add to Ingredients"))</f>
        <v>0</v>
      </c>
      <c r="M480" s="25">
        <f>IF(D480="","",IFERROR(INDEX(Ingredients!$J$5:$J$304,MATCH(D480,Ingredients!$B$5:$B$304,0)),"Add to Ingredients"))</f>
        <v>0</v>
      </c>
      <c r="N480" s="25">
        <f>IF(OR(J480="",M480="",NOT(ISNUMBER(M480))),"",IF(K480&lt;&gt;L480,"",J480*M480))</f>
        <v>0</v>
      </c>
      <c r="O480" s="25">
        <f>IF(N480="","",IFERROR(N480/INDEX(Recipes!$G$5:$G$204,MATCH(B480,Recipes!$A$5:$A$204,0)),""))</f>
        <v>0</v>
      </c>
      <c r="P480" s="30">
        <f>IF(J480="","",IF(K480="each",J480,J480/100))</f>
        <v>0</v>
      </c>
      <c r="Q480" s="30">
        <f>IFERROR(IF(P480="","",P480*INDEX(Ingredients!$P$5:$P$304,MATCH(D480,Ingredients!$B$5:$B$304,0))),"")</f>
        <v>0</v>
      </c>
      <c r="R480" s="45">
        <f>IFERROR(IF(P480="","",P480*INDEX(Ingredients!$Q$5:$Q$304,MATCH(D480,Ingredients!$B$5:$B$304,0))),"")</f>
        <v>0</v>
      </c>
      <c r="S480" s="45">
        <f>IFERROR(IF(P480="","",P480*INDEX(Ingredients!$R$5:$R$304,MATCH(D480,Ingredients!$B$5:$B$304,0))),"")</f>
        <v>0</v>
      </c>
      <c r="T480" s="45">
        <f>IFERROR(IF(P480="","",P480*INDEX(Ingredients!$S$5:$S$304,MATCH(D480,Ingredients!$B$5:$B$304,0))),"")</f>
        <v>0</v>
      </c>
      <c r="U480" s="45">
        <f>IFERROR(IF(P480="","",P480*INDEX(Ingredients!$T$5:$T$304,MATCH(D480,Ingredients!$B$5:$B$304,0))),"")</f>
        <v>0</v>
      </c>
      <c r="V480" s="17">
        <f>IF(D480="","",IFERROR(INDEX(Ingredients!$W$5:$W$304,MATCH(D480,Ingredients!$B$5:$B$304,0)),"Add to Ingredients"))</f>
        <v>0</v>
      </c>
      <c r="W480" s="17">
        <f>IF(D480="","",IFERROR(INDEX(Ingredients!$C$5:$C$304,MATCH(D480,Ingredients!$B$5:$B$304,0)),"Add to Ingredients"))</f>
        <v>0</v>
      </c>
      <c r="X480" s="45">
        <f>IFERROR(INDEX(Recipes!$AT$5:$AT$204,MATCH(B480,Recipes!$A$5:$A$204,0)),0)</f>
        <v>0</v>
      </c>
      <c r="Y480" s="45">
        <f>IF(OR(J480="",X480=0),"",J480*X480)</f>
        <v>0</v>
      </c>
      <c r="Z480" s="17">
        <f>IF(D480="","",B480&amp;"#"&amp;COUNTIFS($B$5:B480,B480))</f>
        <v>0</v>
      </c>
      <c r="AA480" s="17">
        <f>IF(D480="","",B480&amp;"|"&amp;D480)</f>
        <v>0</v>
      </c>
      <c r="AB480" s="31">
        <f>IF(D480="","",IF(B480="","Add - which recipe?",IF(COUNTIFS(Ingredients!$B$5:$B$304,D480)=0,"Missing - not in the Ingredients tab",IF(E480="","Add - no quantity",IF(F480="","Add - no unit",IF(K480&lt;&gt;L480,"Check - recipe in "&amp;K480&amp;", priced in "&amp;L480,IF(COUNTIFS($AA$5:$AA$1204,AA480)&gt;1,"Duplicate - same ingredient twice","OK")))))))</f>
        <v>0</v>
      </c>
    </row>
    <row r="481" spans="1:28">
      <c r="A481" s="39">
        <f>IF(D481="","","RL-"&amp;TEXT(ROW()-4,"0000"))</f>
        <v>0</v>
      </c>
      <c r="C481" s="17">
        <f>IF(B481="","",IFERROR(INDEX(Recipes!$B$5:$B$204,MATCH(B481,Recipes!$A$5:$A$204,0)),"Not found"))</f>
        <v>0</v>
      </c>
      <c r="J481" s="45">
        <f>IF(E481="","",IFERROR(E481*INDEX(UnitFactors,MATCH(F481,UnitNames,0)),""))</f>
        <v>0</v>
      </c>
      <c r="K481" s="17">
        <f>IF(F481="","",IFERROR(INDEX(UnitBases,MATCH(F481,UnitNames,0)),"?"))</f>
        <v>0</v>
      </c>
      <c r="L481" s="17">
        <f>IF(D481="","",IFERROR(INDEX(Ingredients!$G$5:$G$304,MATCH(D481,Ingredients!$B$5:$B$304,0)),"Add to Ingredients"))</f>
        <v>0</v>
      </c>
      <c r="M481" s="25">
        <f>IF(D481="","",IFERROR(INDEX(Ingredients!$J$5:$J$304,MATCH(D481,Ingredients!$B$5:$B$304,0)),"Add to Ingredients"))</f>
        <v>0</v>
      </c>
      <c r="N481" s="25">
        <f>IF(OR(J481="",M481="",NOT(ISNUMBER(M481))),"",IF(K481&lt;&gt;L481,"",J481*M481))</f>
        <v>0</v>
      </c>
      <c r="O481" s="25">
        <f>IF(N481="","",IFERROR(N481/INDEX(Recipes!$G$5:$G$204,MATCH(B481,Recipes!$A$5:$A$204,0)),""))</f>
        <v>0</v>
      </c>
      <c r="P481" s="30">
        <f>IF(J481="","",IF(K481="each",J481,J481/100))</f>
        <v>0</v>
      </c>
      <c r="Q481" s="30">
        <f>IFERROR(IF(P481="","",P481*INDEX(Ingredients!$P$5:$P$304,MATCH(D481,Ingredients!$B$5:$B$304,0))),"")</f>
        <v>0</v>
      </c>
      <c r="R481" s="45">
        <f>IFERROR(IF(P481="","",P481*INDEX(Ingredients!$Q$5:$Q$304,MATCH(D481,Ingredients!$B$5:$B$304,0))),"")</f>
        <v>0</v>
      </c>
      <c r="S481" s="45">
        <f>IFERROR(IF(P481="","",P481*INDEX(Ingredients!$R$5:$R$304,MATCH(D481,Ingredients!$B$5:$B$304,0))),"")</f>
        <v>0</v>
      </c>
      <c r="T481" s="45">
        <f>IFERROR(IF(P481="","",P481*INDEX(Ingredients!$S$5:$S$304,MATCH(D481,Ingredients!$B$5:$B$304,0))),"")</f>
        <v>0</v>
      </c>
      <c r="U481" s="45">
        <f>IFERROR(IF(P481="","",P481*INDEX(Ingredients!$T$5:$T$304,MATCH(D481,Ingredients!$B$5:$B$304,0))),"")</f>
        <v>0</v>
      </c>
      <c r="V481" s="17">
        <f>IF(D481="","",IFERROR(INDEX(Ingredients!$W$5:$W$304,MATCH(D481,Ingredients!$B$5:$B$304,0)),"Add to Ingredients"))</f>
        <v>0</v>
      </c>
      <c r="W481" s="17">
        <f>IF(D481="","",IFERROR(INDEX(Ingredients!$C$5:$C$304,MATCH(D481,Ingredients!$B$5:$B$304,0)),"Add to Ingredients"))</f>
        <v>0</v>
      </c>
      <c r="X481" s="45">
        <f>IFERROR(INDEX(Recipes!$AT$5:$AT$204,MATCH(B481,Recipes!$A$5:$A$204,0)),0)</f>
        <v>0</v>
      </c>
      <c r="Y481" s="45">
        <f>IF(OR(J481="",X481=0),"",J481*X481)</f>
        <v>0</v>
      </c>
      <c r="Z481" s="17">
        <f>IF(D481="","",B481&amp;"#"&amp;COUNTIFS($B$5:B481,B481))</f>
        <v>0</v>
      </c>
      <c r="AA481" s="17">
        <f>IF(D481="","",B481&amp;"|"&amp;D481)</f>
        <v>0</v>
      </c>
      <c r="AB481" s="31">
        <f>IF(D481="","",IF(B481="","Add - which recipe?",IF(COUNTIFS(Ingredients!$B$5:$B$304,D481)=0,"Missing - not in the Ingredients tab",IF(E481="","Add - no quantity",IF(F481="","Add - no unit",IF(K481&lt;&gt;L481,"Check - recipe in "&amp;K481&amp;", priced in "&amp;L481,IF(COUNTIFS($AA$5:$AA$1204,AA481)&gt;1,"Duplicate - same ingredient twice","OK")))))))</f>
        <v>0</v>
      </c>
    </row>
    <row r="482" spans="1:28">
      <c r="A482" s="39">
        <f>IF(D482="","","RL-"&amp;TEXT(ROW()-4,"0000"))</f>
        <v>0</v>
      </c>
      <c r="C482" s="17">
        <f>IF(B482="","",IFERROR(INDEX(Recipes!$B$5:$B$204,MATCH(B482,Recipes!$A$5:$A$204,0)),"Not found"))</f>
        <v>0</v>
      </c>
      <c r="J482" s="45">
        <f>IF(E482="","",IFERROR(E482*INDEX(UnitFactors,MATCH(F482,UnitNames,0)),""))</f>
        <v>0</v>
      </c>
      <c r="K482" s="17">
        <f>IF(F482="","",IFERROR(INDEX(UnitBases,MATCH(F482,UnitNames,0)),"?"))</f>
        <v>0</v>
      </c>
      <c r="L482" s="17">
        <f>IF(D482="","",IFERROR(INDEX(Ingredients!$G$5:$G$304,MATCH(D482,Ingredients!$B$5:$B$304,0)),"Add to Ingredients"))</f>
        <v>0</v>
      </c>
      <c r="M482" s="25">
        <f>IF(D482="","",IFERROR(INDEX(Ingredients!$J$5:$J$304,MATCH(D482,Ingredients!$B$5:$B$304,0)),"Add to Ingredients"))</f>
        <v>0</v>
      </c>
      <c r="N482" s="25">
        <f>IF(OR(J482="",M482="",NOT(ISNUMBER(M482))),"",IF(K482&lt;&gt;L482,"",J482*M482))</f>
        <v>0</v>
      </c>
      <c r="O482" s="25">
        <f>IF(N482="","",IFERROR(N482/INDEX(Recipes!$G$5:$G$204,MATCH(B482,Recipes!$A$5:$A$204,0)),""))</f>
        <v>0</v>
      </c>
      <c r="P482" s="30">
        <f>IF(J482="","",IF(K482="each",J482,J482/100))</f>
        <v>0</v>
      </c>
      <c r="Q482" s="30">
        <f>IFERROR(IF(P482="","",P482*INDEX(Ingredients!$P$5:$P$304,MATCH(D482,Ingredients!$B$5:$B$304,0))),"")</f>
        <v>0</v>
      </c>
      <c r="R482" s="45">
        <f>IFERROR(IF(P482="","",P482*INDEX(Ingredients!$Q$5:$Q$304,MATCH(D482,Ingredients!$B$5:$B$304,0))),"")</f>
        <v>0</v>
      </c>
      <c r="S482" s="45">
        <f>IFERROR(IF(P482="","",P482*INDEX(Ingredients!$R$5:$R$304,MATCH(D482,Ingredients!$B$5:$B$304,0))),"")</f>
        <v>0</v>
      </c>
      <c r="T482" s="45">
        <f>IFERROR(IF(P482="","",P482*INDEX(Ingredients!$S$5:$S$304,MATCH(D482,Ingredients!$B$5:$B$304,0))),"")</f>
        <v>0</v>
      </c>
      <c r="U482" s="45">
        <f>IFERROR(IF(P482="","",P482*INDEX(Ingredients!$T$5:$T$304,MATCH(D482,Ingredients!$B$5:$B$304,0))),"")</f>
        <v>0</v>
      </c>
      <c r="V482" s="17">
        <f>IF(D482="","",IFERROR(INDEX(Ingredients!$W$5:$W$304,MATCH(D482,Ingredients!$B$5:$B$304,0)),"Add to Ingredients"))</f>
        <v>0</v>
      </c>
      <c r="W482" s="17">
        <f>IF(D482="","",IFERROR(INDEX(Ingredients!$C$5:$C$304,MATCH(D482,Ingredients!$B$5:$B$304,0)),"Add to Ingredients"))</f>
        <v>0</v>
      </c>
      <c r="X482" s="45">
        <f>IFERROR(INDEX(Recipes!$AT$5:$AT$204,MATCH(B482,Recipes!$A$5:$A$204,0)),0)</f>
        <v>0</v>
      </c>
      <c r="Y482" s="45">
        <f>IF(OR(J482="",X482=0),"",J482*X482)</f>
        <v>0</v>
      </c>
      <c r="Z482" s="17">
        <f>IF(D482="","",B482&amp;"#"&amp;COUNTIFS($B$5:B482,B482))</f>
        <v>0</v>
      </c>
      <c r="AA482" s="17">
        <f>IF(D482="","",B482&amp;"|"&amp;D482)</f>
        <v>0</v>
      </c>
      <c r="AB482" s="31">
        <f>IF(D482="","",IF(B482="","Add - which recipe?",IF(COUNTIFS(Ingredients!$B$5:$B$304,D482)=0,"Missing - not in the Ingredients tab",IF(E482="","Add - no quantity",IF(F482="","Add - no unit",IF(K482&lt;&gt;L482,"Check - recipe in "&amp;K482&amp;", priced in "&amp;L482,IF(COUNTIFS($AA$5:$AA$1204,AA482)&gt;1,"Duplicate - same ingredient twice","OK")))))))</f>
        <v>0</v>
      </c>
    </row>
    <row r="483" spans="1:28">
      <c r="A483" s="39">
        <f>IF(D483="","","RL-"&amp;TEXT(ROW()-4,"0000"))</f>
        <v>0</v>
      </c>
      <c r="C483" s="17">
        <f>IF(B483="","",IFERROR(INDEX(Recipes!$B$5:$B$204,MATCH(B483,Recipes!$A$5:$A$204,0)),"Not found"))</f>
        <v>0</v>
      </c>
      <c r="J483" s="45">
        <f>IF(E483="","",IFERROR(E483*INDEX(UnitFactors,MATCH(F483,UnitNames,0)),""))</f>
        <v>0</v>
      </c>
      <c r="K483" s="17">
        <f>IF(F483="","",IFERROR(INDEX(UnitBases,MATCH(F483,UnitNames,0)),"?"))</f>
        <v>0</v>
      </c>
      <c r="L483" s="17">
        <f>IF(D483="","",IFERROR(INDEX(Ingredients!$G$5:$G$304,MATCH(D483,Ingredients!$B$5:$B$304,0)),"Add to Ingredients"))</f>
        <v>0</v>
      </c>
      <c r="M483" s="25">
        <f>IF(D483="","",IFERROR(INDEX(Ingredients!$J$5:$J$304,MATCH(D483,Ingredients!$B$5:$B$304,0)),"Add to Ingredients"))</f>
        <v>0</v>
      </c>
      <c r="N483" s="25">
        <f>IF(OR(J483="",M483="",NOT(ISNUMBER(M483))),"",IF(K483&lt;&gt;L483,"",J483*M483))</f>
        <v>0</v>
      </c>
      <c r="O483" s="25">
        <f>IF(N483="","",IFERROR(N483/INDEX(Recipes!$G$5:$G$204,MATCH(B483,Recipes!$A$5:$A$204,0)),""))</f>
        <v>0</v>
      </c>
      <c r="P483" s="30">
        <f>IF(J483="","",IF(K483="each",J483,J483/100))</f>
        <v>0</v>
      </c>
      <c r="Q483" s="30">
        <f>IFERROR(IF(P483="","",P483*INDEX(Ingredients!$P$5:$P$304,MATCH(D483,Ingredients!$B$5:$B$304,0))),"")</f>
        <v>0</v>
      </c>
      <c r="R483" s="45">
        <f>IFERROR(IF(P483="","",P483*INDEX(Ingredients!$Q$5:$Q$304,MATCH(D483,Ingredients!$B$5:$B$304,0))),"")</f>
        <v>0</v>
      </c>
      <c r="S483" s="45">
        <f>IFERROR(IF(P483="","",P483*INDEX(Ingredients!$R$5:$R$304,MATCH(D483,Ingredients!$B$5:$B$304,0))),"")</f>
        <v>0</v>
      </c>
      <c r="T483" s="45">
        <f>IFERROR(IF(P483="","",P483*INDEX(Ingredients!$S$5:$S$304,MATCH(D483,Ingredients!$B$5:$B$304,0))),"")</f>
        <v>0</v>
      </c>
      <c r="U483" s="45">
        <f>IFERROR(IF(P483="","",P483*INDEX(Ingredients!$T$5:$T$304,MATCH(D483,Ingredients!$B$5:$B$304,0))),"")</f>
        <v>0</v>
      </c>
      <c r="V483" s="17">
        <f>IF(D483="","",IFERROR(INDEX(Ingredients!$W$5:$W$304,MATCH(D483,Ingredients!$B$5:$B$304,0)),"Add to Ingredients"))</f>
        <v>0</v>
      </c>
      <c r="W483" s="17">
        <f>IF(D483="","",IFERROR(INDEX(Ingredients!$C$5:$C$304,MATCH(D483,Ingredients!$B$5:$B$304,0)),"Add to Ingredients"))</f>
        <v>0</v>
      </c>
      <c r="X483" s="45">
        <f>IFERROR(INDEX(Recipes!$AT$5:$AT$204,MATCH(B483,Recipes!$A$5:$A$204,0)),0)</f>
        <v>0</v>
      </c>
      <c r="Y483" s="45">
        <f>IF(OR(J483="",X483=0),"",J483*X483)</f>
        <v>0</v>
      </c>
      <c r="Z483" s="17">
        <f>IF(D483="","",B483&amp;"#"&amp;COUNTIFS($B$5:B483,B483))</f>
        <v>0</v>
      </c>
      <c r="AA483" s="17">
        <f>IF(D483="","",B483&amp;"|"&amp;D483)</f>
        <v>0</v>
      </c>
      <c r="AB483" s="31">
        <f>IF(D483="","",IF(B483="","Add - which recipe?",IF(COUNTIFS(Ingredients!$B$5:$B$304,D483)=0,"Missing - not in the Ingredients tab",IF(E483="","Add - no quantity",IF(F483="","Add - no unit",IF(K483&lt;&gt;L483,"Check - recipe in "&amp;K483&amp;", priced in "&amp;L483,IF(COUNTIFS($AA$5:$AA$1204,AA483)&gt;1,"Duplicate - same ingredient twice","OK")))))))</f>
        <v>0</v>
      </c>
    </row>
    <row r="484" spans="1:28">
      <c r="A484" s="39">
        <f>IF(D484="","","RL-"&amp;TEXT(ROW()-4,"0000"))</f>
        <v>0</v>
      </c>
      <c r="C484" s="17">
        <f>IF(B484="","",IFERROR(INDEX(Recipes!$B$5:$B$204,MATCH(B484,Recipes!$A$5:$A$204,0)),"Not found"))</f>
        <v>0</v>
      </c>
      <c r="J484" s="45">
        <f>IF(E484="","",IFERROR(E484*INDEX(UnitFactors,MATCH(F484,UnitNames,0)),""))</f>
        <v>0</v>
      </c>
      <c r="K484" s="17">
        <f>IF(F484="","",IFERROR(INDEX(UnitBases,MATCH(F484,UnitNames,0)),"?"))</f>
        <v>0</v>
      </c>
      <c r="L484" s="17">
        <f>IF(D484="","",IFERROR(INDEX(Ingredients!$G$5:$G$304,MATCH(D484,Ingredients!$B$5:$B$304,0)),"Add to Ingredients"))</f>
        <v>0</v>
      </c>
      <c r="M484" s="25">
        <f>IF(D484="","",IFERROR(INDEX(Ingredients!$J$5:$J$304,MATCH(D484,Ingredients!$B$5:$B$304,0)),"Add to Ingredients"))</f>
        <v>0</v>
      </c>
      <c r="N484" s="25">
        <f>IF(OR(J484="",M484="",NOT(ISNUMBER(M484))),"",IF(K484&lt;&gt;L484,"",J484*M484))</f>
        <v>0</v>
      </c>
      <c r="O484" s="25">
        <f>IF(N484="","",IFERROR(N484/INDEX(Recipes!$G$5:$G$204,MATCH(B484,Recipes!$A$5:$A$204,0)),""))</f>
        <v>0</v>
      </c>
      <c r="P484" s="30">
        <f>IF(J484="","",IF(K484="each",J484,J484/100))</f>
        <v>0</v>
      </c>
      <c r="Q484" s="30">
        <f>IFERROR(IF(P484="","",P484*INDEX(Ingredients!$P$5:$P$304,MATCH(D484,Ingredients!$B$5:$B$304,0))),"")</f>
        <v>0</v>
      </c>
      <c r="R484" s="45">
        <f>IFERROR(IF(P484="","",P484*INDEX(Ingredients!$Q$5:$Q$304,MATCH(D484,Ingredients!$B$5:$B$304,0))),"")</f>
        <v>0</v>
      </c>
      <c r="S484" s="45">
        <f>IFERROR(IF(P484="","",P484*INDEX(Ingredients!$R$5:$R$304,MATCH(D484,Ingredients!$B$5:$B$304,0))),"")</f>
        <v>0</v>
      </c>
      <c r="T484" s="45">
        <f>IFERROR(IF(P484="","",P484*INDEX(Ingredients!$S$5:$S$304,MATCH(D484,Ingredients!$B$5:$B$304,0))),"")</f>
        <v>0</v>
      </c>
      <c r="U484" s="45">
        <f>IFERROR(IF(P484="","",P484*INDEX(Ingredients!$T$5:$T$304,MATCH(D484,Ingredients!$B$5:$B$304,0))),"")</f>
        <v>0</v>
      </c>
      <c r="V484" s="17">
        <f>IF(D484="","",IFERROR(INDEX(Ingredients!$W$5:$W$304,MATCH(D484,Ingredients!$B$5:$B$304,0)),"Add to Ingredients"))</f>
        <v>0</v>
      </c>
      <c r="W484" s="17">
        <f>IF(D484="","",IFERROR(INDEX(Ingredients!$C$5:$C$304,MATCH(D484,Ingredients!$B$5:$B$304,0)),"Add to Ingredients"))</f>
        <v>0</v>
      </c>
      <c r="X484" s="45">
        <f>IFERROR(INDEX(Recipes!$AT$5:$AT$204,MATCH(B484,Recipes!$A$5:$A$204,0)),0)</f>
        <v>0</v>
      </c>
      <c r="Y484" s="45">
        <f>IF(OR(J484="",X484=0),"",J484*X484)</f>
        <v>0</v>
      </c>
      <c r="Z484" s="17">
        <f>IF(D484="","",B484&amp;"#"&amp;COUNTIFS($B$5:B484,B484))</f>
        <v>0</v>
      </c>
      <c r="AA484" s="17">
        <f>IF(D484="","",B484&amp;"|"&amp;D484)</f>
        <v>0</v>
      </c>
      <c r="AB484" s="31">
        <f>IF(D484="","",IF(B484="","Add - which recipe?",IF(COUNTIFS(Ingredients!$B$5:$B$304,D484)=0,"Missing - not in the Ingredients tab",IF(E484="","Add - no quantity",IF(F484="","Add - no unit",IF(K484&lt;&gt;L484,"Check - recipe in "&amp;K484&amp;", priced in "&amp;L484,IF(COUNTIFS($AA$5:$AA$1204,AA484)&gt;1,"Duplicate - same ingredient twice","OK")))))))</f>
        <v>0</v>
      </c>
    </row>
    <row r="485" spans="1:28">
      <c r="A485" s="39">
        <f>IF(D485="","","RL-"&amp;TEXT(ROW()-4,"0000"))</f>
        <v>0</v>
      </c>
      <c r="C485" s="17">
        <f>IF(B485="","",IFERROR(INDEX(Recipes!$B$5:$B$204,MATCH(B485,Recipes!$A$5:$A$204,0)),"Not found"))</f>
        <v>0</v>
      </c>
      <c r="J485" s="45">
        <f>IF(E485="","",IFERROR(E485*INDEX(UnitFactors,MATCH(F485,UnitNames,0)),""))</f>
        <v>0</v>
      </c>
      <c r="K485" s="17">
        <f>IF(F485="","",IFERROR(INDEX(UnitBases,MATCH(F485,UnitNames,0)),"?"))</f>
        <v>0</v>
      </c>
      <c r="L485" s="17">
        <f>IF(D485="","",IFERROR(INDEX(Ingredients!$G$5:$G$304,MATCH(D485,Ingredients!$B$5:$B$304,0)),"Add to Ingredients"))</f>
        <v>0</v>
      </c>
      <c r="M485" s="25">
        <f>IF(D485="","",IFERROR(INDEX(Ingredients!$J$5:$J$304,MATCH(D485,Ingredients!$B$5:$B$304,0)),"Add to Ingredients"))</f>
        <v>0</v>
      </c>
      <c r="N485" s="25">
        <f>IF(OR(J485="",M485="",NOT(ISNUMBER(M485))),"",IF(K485&lt;&gt;L485,"",J485*M485))</f>
        <v>0</v>
      </c>
      <c r="O485" s="25">
        <f>IF(N485="","",IFERROR(N485/INDEX(Recipes!$G$5:$G$204,MATCH(B485,Recipes!$A$5:$A$204,0)),""))</f>
        <v>0</v>
      </c>
      <c r="P485" s="30">
        <f>IF(J485="","",IF(K485="each",J485,J485/100))</f>
        <v>0</v>
      </c>
      <c r="Q485" s="30">
        <f>IFERROR(IF(P485="","",P485*INDEX(Ingredients!$P$5:$P$304,MATCH(D485,Ingredients!$B$5:$B$304,0))),"")</f>
        <v>0</v>
      </c>
      <c r="R485" s="45">
        <f>IFERROR(IF(P485="","",P485*INDEX(Ingredients!$Q$5:$Q$304,MATCH(D485,Ingredients!$B$5:$B$304,0))),"")</f>
        <v>0</v>
      </c>
      <c r="S485" s="45">
        <f>IFERROR(IF(P485="","",P485*INDEX(Ingredients!$R$5:$R$304,MATCH(D485,Ingredients!$B$5:$B$304,0))),"")</f>
        <v>0</v>
      </c>
      <c r="T485" s="45">
        <f>IFERROR(IF(P485="","",P485*INDEX(Ingredients!$S$5:$S$304,MATCH(D485,Ingredients!$B$5:$B$304,0))),"")</f>
        <v>0</v>
      </c>
      <c r="U485" s="45">
        <f>IFERROR(IF(P485="","",P485*INDEX(Ingredients!$T$5:$T$304,MATCH(D485,Ingredients!$B$5:$B$304,0))),"")</f>
        <v>0</v>
      </c>
      <c r="V485" s="17">
        <f>IF(D485="","",IFERROR(INDEX(Ingredients!$W$5:$W$304,MATCH(D485,Ingredients!$B$5:$B$304,0)),"Add to Ingredients"))</f>
        <v>0</v>
      </c>
      <c r="W485" s="17">
        <f>IF(D485="","",IFERROR(INDEX(Ingredients!$C$5:$C$304,MATCH(D485,Ingredients!$B$5:$B$304,0)),"Add to Ingredients"))</f>
        <v>0</v>
      </c>
      <c r="X485" s="45">
        <f>IFERROR(INDEX(Recipes!$AT$5:$AT$204,MATCH(B485,Recipes!$A$5:$A$204,0)),0)</f>
        <v>0</v>
      </c>
      <c r="Y485" s="45">
        <f>IF(OR(J485="",X485=0),"",J485*X485)</f>
        <v>0</v>
      </c>
      <c r="Z485" s="17">
        <f>IF(D485="","",B485&amp;"#"&amp;COUNTIFS($B$5:B485,B485))</f>
        <v>0</v>
      </c>
      <c r="AA485" s="17">
        <f>IF(D485="","",B485&amp;"|"&amp;D485)</f>
        <v>0</v>
      </c>
      <c r="AB485" s="31">
        <f>IF(D485="","",IF(B485="","Add - which recipe?",IF(COUNTIFS(Ingredients!$B$5:$B$304,D485)=0,"Missing - not in the Ingredients tab",IF(E485="","Add - no quantity",IF(F485="","Add - no unit",IF(K485&lt;&gt;L485,"Check - recipe in "&amp;K485&amp;", priced in "&amp;L485,IF(COUNTIFS($AA$5:$AA$1204,AA485)&gt;1,"Duplicate - same ingredient twice","OK")))))))</f>
        <v>0</v>
      </c>
    </row>
    <row r="486" spans="1:28">
      <c r="A486" s="39">
        <f>IF(D486="","","RL-"&amp;TEXT(ROW()-4,"0000"))</f>
        <v>0</v>
      </c>
      <c r="C486" s="17">
        <f>IF(B486="","",IFERROR(INDEX(Recipes!$B$5:$B$204,MATCH(B486,Recipes!$A$5:$A$204,0)),"Not found"))</f>
        <v>0</v>
      </c>
      <c r="J486" s="45">
        <f>IF(E486="","",IFERROR(E486*INDEX(UnitFactors,MATCH(F486,UnitNames,0)),""))</f>
        <v>0</v>
      </c>
      <c r="K486" s="17">
        <f>IF(F486="","",IFERROR(INDEX(UnitBases,MATCH(F486,UnitNames,0)),"?"))</f>
        <v>0</v>
      </c>
      <c r="L486" s="17">
        <f>IF(D486="","",IFERROR(INDEX(Ingredients!$G$5:$G$304,MATCH(D486,Ingredients!$B$5:$B$304,0)),"Add to Ingredients"))</f>
        <v>0</v>
      </c>
      <c r="M486" s="25">
        <f>IF(D486="","",IFERROR(INDEX(Ingredients!$J$5:$J$304,MATCH(D486,Ingredients!$B$5:$B$304,0)),"Add to Ingredients"))</f>
        <v>0</v>
      </c>
      <c r="N486" s="25">
        <f>IF(OR(J486="",M486="",NOT(ISNUMBER(M486))),"",IF(K486&lt;&gt;L486,"",J486*M486))</f>
        <v>0</v>
      </c>
      <c r="O486" s="25">
        <f>IF(N486="","",IFERROR(N486/INDEX(Recipes!$G$5:$G$204,MATCH(B486,Recipes!$A$5:$A$204,0)),""))</f>
        <v>0</v>
      </c>
      <c r="P486" s="30">
        <f>IF(J486="","",IF(K486="each",J486,J486/100))</f>
        <v>0</v>
      </c>
      <c r="Q486" s="30">
        <f>IFERROR(IF(P486="","",P486*INDEX(Ingredients!$P$5:$P$304,MATCH(D486,Ingredients!$B$5:$B$304,0))),"")</f>
        <v>0</v>
      </c>
      <c r="R486" s="45">
        <f>IFERROR(IF(P486="","",P486*INDEX(Ingredients!$Q$5:$Q$304,MATCH(D486,Ingredients!$B$5:$B$304,0))),"")</f>
        <v>0</v>
      </c>
      <c r="S486" s="45">
        <f>IFERROR(IF(P486="","",P486*INDEX(Ingredients!$R$5:$R$304,MATCH(D486,Ingredients!$B$5:$B$304,0))),"")</f>
        <v>0</v>
      </c>
      <c r="T486" s="45">
        <f>IFERROR(IF(P486="","",P486*INDEX(Ingredients!$S$5:$S$304,MATCH(D486,Ingredients!$B$5:$B$304,0))),"")</f>
        <v>0</v>
      </c>
      <c r="U486" s="45">
        <f>IFERROR(IF(P486="","",P486*INDEX(Ingredients!$T$5:$T$304,MATCH(D486,Ingredients!$B$5:$B$304,0))),"")</f>
        <v>0</v>
      </c>
      <c r="V486" s="17">
        <f>IF(D486="","",IFERROR(INDEX(Ingredients!$W$5:$W$304,MATCH(D486,Ingredients!$B$5:$B$304,0)),"Add to Ingredients"))</f>
        <v>0</v>
      </c>
      <c r="W486" s="17">
        <f>IF(D486="","",IFERROR(INDEX(Ingredients!$C$5:$C$304,MATCH(D486,Ingredients!$B$5:$B$304,0)),"Add to Ingredients"))</f>
        <v>0</v>
      </c>
      <c r="X486" s="45">
        <f>IFERROR(INDEX(Recipes!$AT$5:$AT$204,MATCH(B486,Recipes!$A$5:$A$204,0)),0)</f>
        <v>0</v>
      </c>
      <c r="Y486" s="45">
        <f>IF(OR(J486="",X486=0),"",J486*X486)</f>
        <v>0</v>
      </c>
      <c r="Z486" s="17">
        <f>IF(D486="","",B486&amp;"#"&amp;COUNTIFS($B$5:B486,B486))</f>
        <v>0</v>
      </c>
      <c r="AA486" s="17">
        <f>IF(D486="","",B486&amp;"|"&amp;D486)</f>
        <v>0</v>
      </c>
      <c r="AB486" s="31">
        <f>IF(D486="","",IF(B486="","Add - which recipe?",IF(COUNTIFS(Ingredients!$B$5:$B$304,D486)=0,"Missing - not in the Ingredients tab",IF(E486="","Add - no quantity",IF(F486="","Add - no unit",IF(K486&lt;&gt;L486,"Check - recipe in "&amp;K486&amp;", priced in "&amp;L486,IF(COUNTIFS($AA$5:$AA$1204,AA486)&gt;1,"Duplicate - same ingredient twice","OK")))))))</f>
        <v>0</v>
      </c>
    </row>
    <row r="487" spans="1:28">
      <c r="A487" s="39">
        <f>IF(D487="","","RL-"&amp;TEXT(ROW()-4,"0000"))</f>
        <v>0</v>
      </c>
      <c r="C487" s="17">
        <f>IF(B487="","",IFERROR(INDEX(Recipes!$B$5:$B$204,MATCH(B487,Recipes!$A$5:$A$204,0)),"Not found"))</f>
        <v>0</v>
      </c>
      <c r="J487" s="45">
        <f>IF(E487="","",IFERROR(E487*INDEX(UnitFactors,MATCH(F487,UnitNames,0)),""))</f>
        <v>0</v>
      </c>
      <c r="K487" s="17">
        <f>IF(F487="","",IFERROR(INDEX(UnitBases,MATCH(F487,UnitNames,0)),"?"))</f>
        <v>0</v>
      </c>
      <c r="L487" s="17">
        <f>IF(D487="","",IFERROR(INDEX(Ingredients!$G$5:$G$304,MATCH(D487,Ingredients!$B$5:$B$304,0)),"Add to Ingredients"))</f>
        <v>0</v>
      </c>
      <c r="M487" s="25">
        <f>IF(D487="","",IFERROR(INDEX(Ingredients!$J$5:$J$304,MATCH(D487,Ingredients!$B$5:$B$304,0)),"Add to Ingredients"))</f>
        <v>0</v>
      </c>
      <c r="N487" s="25">
        <f>IF(OR(J487="",M487="",NOT(ISNUMBER(M487))),"",IF(K487&lt;&gt;L487,"",J487*M487))</f>
        <v>0</v>
      </c>
      <c r="O487" s="25">
        <f>IF(N487="","",IFERROR(N487/INDEX(Recipes!$G$5:$G$204,MATCH(B487,Recipes!$A$5:$A$204,0)),""))</f>
        <v>0</v>
      </c>
      <c r="P487" s="30">
        <f>IF(J487="","",IF(K487="each",J487,J487/100))</f>
        <v>0</v>
      </c>
      <c r="Q487" s="30">
        <f>IFERROR(IF(P487="","",P487*INDEX(Ingredients!$P$5:$P$304,MATCH(D487,Ingredients!$B$5:$B$304,0))),"")</f>
        <v>0</v>
      </c>
      <c r="R487" s="45">
        <f>IFERROR(IF(P487="","",P487*INDEX(Ingredients!$Q$5:$Q$304,MATCH(D487,Ingredients!$B$5:$B$304,0))),"")</f>
        <v>0</v>
      </c>
      <c r="S487" s="45">
        <f>IFERROR(IF(P487="","",P487*INDEX(Ingredients!$R$5:$R$304,MATCH(D487,Ingredients!$B$5:$B$304,0))),"")</f>
        <v>0</v>
      </c>
      <c r="T487" s="45">
        <f>IFERROR(IF(P487="","",P487*INDEX(Ingredients!$S$5:$S$304,MATCH(D487,Ingredients!$B$5:$B$304,0))),"")</f>
        <v>0</v>
      </c>
      <c r="U487" s="45">
        <f>IFERROR(IF(P487="","",P487*INDEX(Ingredients!$T$5:$T$304,MATCH(D487,Ingredients!$B$5:$B$304,0))),"")</f>
        <v>0</v>
      </c>
      <c r="V487" s="17">
        <f>IF(D487="","",IFERROR(INDEX(Ingredients!$W$5:$W$304,MATCH(D487,Ingredients!$B$5:$B$304,0)),"Add to Ingredients"))</f>
        <v>0</v>
      </c>
      <c r="W487" s="17">
        <f>IF(D487="","",IFERROR(INDEX(Ingredients!$C$5:$C$304,MATCH(D487,Ingredients!$B$5:$B$304,0)),"Add to Ingredients"))</f>
        <v>0</v>
      </c>
      <c r="X487" s="45">
        <f>IFERROR(INDEX(Recipes!$AT$5:$AT$204,MATCH(B487,Recipes!$A$5:$A$204,0)),0)</f>
        <v>0</v>
      </c>
      <c r="Y487" s="45">
        <f>IF(OR(J487="",X487=0),"",J487*X487)</f>
        <v>0</v>
      </c>
      <c r="Z487" s="17">
        <f>IF(D487="","",B487&amp;"#"&amp;COUNTIFS($B$5:B487,B487))</f>
        <v>0</v>
      </c>
      <c r="AA487" s="17">
        <f>IF(D487="","",B487&amp;"|"&amp;D487)</f>
        <v>0</v>
      </c>
      <c r="AB487" s="31">
        <f>IF(D487="","",IF(B487="","Add - which recipe?",IF(COUNTIFS(Ingredients!$B$5:$B$304,D487)=0,"Missing - not in the Ingredients tab",IF(E487="","Add - no quantity",IF(F487="","Add - no unit",IF(K487&lt;&gt;L487,"Check - recipe in "&amp;K487&amp;", priced in "&amp;L487,IF(COUNTIFS($AA$5:$AA$1204,AA487)&gt;1,"Duplicate - same ingredient twice","OK")))))))</f>
        <v>0</v>
      </c>
    </row>
    <row r="488" spans="1:28">
      <c r="A488" s="39">
        <f>IF(D488="","","RL-"&amp;TEXT(ROW()-4,"0000"))</f>
        <v>0</v>
      </c>
      <c r="C488" s="17">
        <f>IF(B488="","",IFERROR(INDEX(Recipes!$B$5:$B$204,MATCH(B488,Recipes!$A$5:$A$204,0)),"Not found"))</f>
        <v>0</v>
      </c>
      <c r="J488" s="45">
        <f>IF(E488="","",IFERROR(E488*INDEX(UnitFactors,MATCH(F488,UnitNames,0)),""))</f>
        <v>0</v>
      </c>
      <c r="K488" s="17">
        <f>IF(F488="","",IFERROR(INDEX(UnitBases,MATCH(F488,UnitNames,0)),"?"))</f>
        <v>0</v>
      </c>
      <c r="L488" s="17">
        <f>IF(D488="","",IFERROR(INDEX(Ingredients!$G$5:$G$304,MATCH(D488,Ingredients!$B$5:$B$304,0)),"Add to Ingredients"))</f>
        <v>0</v>
      </c>
      <c r="M488" s="25">
        <f>IF(D488="","",IFERROR(INDEX(Ingredients!$J$5:$J$304,MATCH(D488,Ingredients!$B$5:$B$304,0)),"Add to Ingredients"))</f>
        <v>0</v>
      </c>
      <c r="N488" s="25">
        <f>IF(OR(J488="",M488="",NOT(ISNUMBER(M488))),"",IF(K488&lt;&gt;L488,"",J488*M488))</f>
        <v>0</v>
      </c>
      <c r="O488" s="25">
        <f>IF(N488="","",IFERROR(N488/INDEX(Recipes!$G$5:$G$204,MATCH(B488,Recipes!$A$5:$A$204,0)),""))</f>
        <v>0</v>
      </c>
      <c r="P488" s="30">
        <f>IF(J488="","",IF(K488="each",J488,J488/100))</f>
        <v>0</v>
      </c>
      <c r="Q488" s="30">
        <f>IFERROR(IF(P488="","",P488*INDEX(Ingredients!$P$5:$P$304,MATCH(D488,Ingredients!$B$5:$B$304,0))),"")</f>
        <v>0</v>
      </c>
      <c r="R488" s="45">
        <f>IFERROR(IF(P488="","",P488*INDEX(Ingredients!$Q$5:$Q$304,MATCH(D488,Ingredients!$B$5:$B$304,0))),"")</f>
        <v>0</v>
      </c>
      <c r="S488" s="45">
        <f>IFERROR(IF(P488="","",P488*INDEX(Ingredients!$R$5:$R$304,MATCH(D488,Ingredients!$B$5:$B$304,0))),"")</f>
        <v>0</v>
      </c>
      <c r="T488" s="45">
        <f>IFERROR(IF(P488="","",P488*INDEX(Ingredients!$S$5:$S$304,MATCH(D488,Ingredients!$B$5:$B$304,0))),"")</f>
        <v>0</v>
      </c>
      <c r="U488" s="45">
        <f>IFERROR(IF(P488="","",P488*INDEX(Ingredients!$T$5:$T$304,MATCH(D488,Ingredients!$B$5:$B$304,0))),"")</f>
        <v>0</v>
      </c>
      <c r="V488" s="17">
        <f>IF(D488="","",IFERROR(INDEX(Ingredients!$W$5:$W$304,MATCH(D488,Ingredients!$B$5:$B$304,0)),"Add to Ingredients"))</f>
        <v>0</v>
      </c>
      <c r="W488" s="17">
        <f>IF(D488="","",IFERROR(INDEX(Ingredients!$C$5:$C$304,MATCH(D488,Ingredients!$B$5:$B$304,0)),"Add to Ingredients"))</f>
        <v>0</v>
      </c>
      <c r="X488" s="45">
        <f>IFERROR(INDEX(Recipes!$AT$5:$AT$204,MATCH(B488,Recipes!$A$5:$A$204,0)),0)</f>
        <v>0</v>
      </c>
      <c r="Y488" s="45">
        <f>IF(OR(J488="",X488=0),"",J488*X488)</f>
        <v>0</v>
      </c>
      <c r="Z488" s="17">
        <f>IF(D488="","",B488&amp;"#"&amp;COUNTIFS($B$5:B488,B488))</f>
        <v>0</v>
      </c>
      <c r="AA488" s="17">
        <f>IF(D488="","",B488&amp;"|"&amp;D488)</f>
        <v>0</v>
      </c>
      <c r="AB488" s="31">
        <f>IF(D488="","",IF(B488="","Add - which recipe?",IF(COUNTIFS(Ingredients!$B$5:$B$304,D488)=0,"Missing - not in the Ingredients tab",IF(E488="","Add - no quantity",IF(F488="","Add - no unit",IF(K488&lt;&gt;L488,"Check - recipe in "&amp;K488&amp;", priced in "&amp;L488,IF(COUNTIFS($AA$5:$AA$1204,AA488)&gt;1,"Duplicate - same ingredient twice","OK")))))))</f>
        <v>0</v>
      </c>
    </row>
    <row r="489" spans="1:28">
      <c r="A489" s="39">
        <f>IF(D489="","","RL-"&amp;TEXT(ROW()-4,"0000"))</f>
        <v>0</v>
      </c>
      <c r="C489" s="17">
        <f>IF(B489="","",IFERROR(INDEX(Recipes!$B$5:$B$204,MATCH(B489,Recipes!$A$5:$A$204,0)),"Not found"))</f>
        <v>0</v>
      </c>
      <c r="J489" s="45">
        <f>IF(E489="","",IFERROR(E489*INDEX(UnitFactors,MATCH(F489,UnitNames,0)),""))</f>
        <v>0</v>
      </c>
      <c r="K489" s="17">
        <f>IF(F489="","",IFERROR(INDEX(UnitBases,MATCH(F489,UnitNames,0)),"?"))</f>
        <v>0</v>
      </c>
      <c r="L489" s="17">
        <f>IF(D489="","",IFERROR(INDEX(Ingredients!$G$5:$G$304,MATCH(D489,Ingredients!$B$5:$B$304,0)),"Add to Ingredients"))</f>
        <v>0</v>
      </c>
      <c r="M489" s="25">
        <f>IF(D489="","",IFERROR(INDEX(Ingredients!$J$5:$J$304,MATCH(D489,Ingredients!$B$5:$B$304,0)),"Add to Ingredients"))</f>
        <v>0</v>
      </c>
      <c r="N489" s="25">
        <f>IF(OR(J489="",M489="",NOT(ISNUMBER(M489))),"",IF(K489&lt;&gt;L489,"",J489*M489))</f>
        <v>0</v>
      </c>
      <c r="O489" s="25">
        <f>IF(N489="","",IFERROR(N489/INDEX(Recipes!$G$5:$G$204,MATCH(B489,Recipes!$A$5:$A$204,0)),""))</f>
        <v>0</v>
      </c>
      <c r="P489" s="30">
        <f>IF(J489="","",IF(K489="each",J489,J489/100))</f>
        <v>0</v>
      </c>
      <c r="Q489" s="30">
        <f>IFERROR(IF(P489="","",P489*INDEX(Ingredients!$P$5:$P$304,MATCH(D489,Ingredients!$B$5:$B$304,0))),"")</f>
        <v>0</v>
      </c>
      <c r="R489" s="45">
        <f>IFERROR(IF(P489="","",P489*INDEX(Ingredients!$Q$5:$Q$304,MATCH(D489,Ingredients!$B$5:$B$304,0))),"")</f>
        <v>0</v>
      </c>
      <c r="S489" s="45">
        <f>IFERROR(IF(P489="","",P489*INDEX(Ingredients!$R$5:$R$304,MATCH(D489,Ingredients!$B$5:$B$304,0))),"")</f>
        <v>0</v>
      </c>
      <c r="T489" s="45">
        <f>IFERROR(IF(P489="","",P489*INDEX(Ingredients!$S$5:$S$304,MATCH(D489,Ingredients!$B$5:$B$304,0))),"")</f>
        <v>0</v>
      </c>
      <c r="U489" s="45">
        <f>IFERROR(IF(P489="","",P489*INDEX(Ingredients!$T$5:$T$304,MATCH(D489,Ingredients!$B$5:$B$304,0))),"")</f>
        <v>0</v>
      </c>
      <c r="V489" s="17">
        <f>IF(D489="","",IFERROR(INDEX(Ingredients!$W$5:$W$304,MATCH(D489,Ingredients!$B$5:$B$304,0)),"Add to Ingredients"))</f>
        <v>0</v>
      </c>
      <c r="W489" s="17">
        <f>IF(D489="","",IFERROR(INDEX(Ingredients!$C$5:$C$304,MATCH(D489,Ingredients!$B$5:$B$304,0)),"Add to Ingredients"))</f>
        <v>0</v>
      </c>
      <c r="X489" s="45">
        <f>IFERROR(INDEX(Recipes!$AT$5:$AT$204,MATCH(B489,Recipes!$A$5:$A$204,0)),0)</f>
        <v>0</v>
      </c>
      <c r="Y489" s="45">
        <f>IF(OR(J489="",X489=0),"",J489*X489)</f>
        <v>0</v>
      </c>
      <c r="Z489" s="17">
        <f>IF(D489="","",B489&amp;"#"&amp;COUNTIFS($B$5:B489,B489))</f>
        <v>0</v>
      </c>
      <c r="AA489" s="17">
        <f>IF(D489="","",B489&amp;"|"&amp;D489)</f>
        <v>0</v>
      </c>
      <c r="AB489" s="31">
        <f>IF(D489="","",IF(B489="","Add - which recipe?",IF(COUNTIFS(Ingredients!$B$5:$B$304,D489)=0,"Missing - not in the Ingredients tab",IF(E489="","Add - no quantity",IF(F489="","Add - no unit",IF(K489&lt;&gt;L489,"Check - recipe in "&amp;K489&amp;", priced in "&amp;L489,IF(COUNTIFS($AA$5:$AA$1204,AA489)&gt;1,"Duplicate - same ingredient twice","OK")))))))</f>
        <v>0</v>
      </c>
    </row>
    <row r="490" spans="1:28">
      <c r="A490" s="39">
        <f>IF(D490="","","RL-"&amp;TEXT(ROW()-4,"0000"))</f>
        <v>0</v>
      </c>
      <c r="C490" s="17">
        <f>IF(B490="","",IFERROR(INDEX(Recipes!$B$5:$B$204,MATCH(B490,Recipes!$A$5:$A$204,0)),"Not found"))</f>
        <v>0</v>
      </c>
      <c r="J490" s="45">
        <f>IF(E490="","",IFERROR(E490*INDEX(UnitFactors,MATCH(F490,UnitNames,0)),""))</f>
        <v>0</v>
      </c>
      <c r="K490" s="17">
        <f>IF(F490="","",IFERROR(INDEX(UnitBases,MATCH(F490,UnitNames,0)),"?"))</f>
        <v>0</v>
      </c>
      <c r="L490" s="17">
        <f>IF(D490="","",IFERROR(INDEX(Ingredients!$G$5:$G$304,MATCH(D490,Ingredients!$B$5:$B$304,0)),"Add to Ingredients"))</f>
        <v>0</v>
      </c>
      <c r="M490" s="25">
        <f>IF(D490="","",IFERROR(INDEX(Ingredients!$J$5:$J$304,MATCH(D490,Ingredients!$B$5:$B$304,0)),"Add to Ingredients"))</f>
        <v>0</v>
      </c>
      <c r="N490" s="25">
        <f>IF(OR(J490="",M490="",NOT(ISNUMBER(M490))),"",IF(K490&lt;&gt;L490,"",J490*M490))</f>
        <v>0</v>
      </c>
      <c r="O490" s="25">
        <f>IF(N490="","",IFERROR(N490/INDEX(Recipes!$G$5:$G$204,MATCH(B490,Recipes!$A$5:$A$204,0)),""))</f>
        <v>0</v>
      </c>
      <c r="P490" s="30">
        <f>IF(J490="","",IF(K490="each",J490,J490/100))</f>
        <v>0</v>
      </c>
      <c r="Q490" s="30">
        <f>IFERROR(IF(P490="","",P490*INDEX(Ingredients!$P$5:$P$304,MATCH(D490,Ingredients!$B$5:$B$304,0))),"")</f>
        <v>0</v>
      </c>
      <c r="R490" s="45">
        <f>IFERROR(IF(P490="","",P490*INDEX(Ingredients!$Q$5:$Q$304,MATCH(D490,Ingredients!$B$5:$B$304,0))),"")</f>
        <v>0</v>
      </c>
      <c r="S490" s="45">
        <f>IFERROR(IF(P490="","",P490*INDEX(Ingredients!$R$5:$R$304,MATCH(D490,Ingredients!$B$5:$B$304,0))),"")</f>
        <v>0</v>
      </c>
      <c r="T490" s="45">
        <f>IFERROR(IF(P490="","",P490*INDEX(Ingredients!$S$5:$S$304,MATCH(D490,Ingredients!$B$5:$B$304,0))),"")</f>
        <v>0</v>
      </c>
      <c r="U490" s="45">
        <f>IFERROR(IF(P490="","",P490*INDEX(Ingredients!$T$5:$T$304,MATCH(D490,Ingredients!$B$5:$B$304,0))),"")</f>
        <v>0</v>
      </c>
      <c r="V490" s="17">
        <f>IF(D490="","",IFERROR(INDEX(Ingredients!$W$5:$W$304,MATCH(D490,Ingredients!$B$5:$B$304,0)),"Add to Ingredients"))</f>
        <v>0</v>
      </c>
      <c r="W490" s="17">
        <f>IF(D490="","",IFERROR(INDEX(Ingredients!$C$5:$C$304,MATCH(D490,Ingredients!$B$5:$B$304,0)),"Add to Ingredients"))</f>
        <v>0</v>
      </c>
      <c r="X490" s="45">
        <f>IFERROR(INDEX(Recipes!$AT$5:$AT$204,MATCH(B490,Recipes!$A$5:$A$204,0)),0)</f>
        <v>0</v>
      </c>
      <c r="Y490" s="45">
        <f>IF(OR(J490="",X490=0),"",J490*X490)</f>
        <v>0</v>
      </c>
      <c r="Z490" s="17">
        <f>IF(D490="","",B490&amp;"#"&amp;COUNTIFS($B$5:B490,B490))</f>
        <v>0</v>
      </c>
      <c r="AA490" s="17">
        <f>IF(D490="","",B490&amp;"|"&amp;D490)</f>
        <v>0</v>
      </c>
      <c r="AB490" s="31">
        <f>IF(D490="","",IF(B490="","Add - which recipe?",IF(COUNTIFS(Ingredients!$B$5:$B$304,D490)=0,"Missing - not in the Ingredients tab",IF(E490="","Add - no quantity",IF(F490="","Add - no unit",IF(K490&lt;&gt;L490,"Check - recipe in "&amp;K490&amp;", priced in "&amp;L490,IF(COUNTIFS($AA$5:$AA$1204,AA490)&gt;1,"Duplicate - same ingredient twice","OK")))))))</f>
        <v>0</v>
      </c>
    </row>
    <row r="491" spans="1:28">
      <c r="A491" s="39">
        <f>IF(D491="","","RL-"&amp;TEXT(ROW()-4,"0000"))</f>
        <v>0</v>
      </c>
      <c r="C491" s="17">
        <f>IF(B491="","",IFERROR(INDEX(Recipes!$B$5:$B$204,MATCH(B491,Recipes!$A$5:$A$204,0)),"Not found"))</f>
        <v>0</v>
      </c>
      <c r="J491" s="45">
        <f>IF(E491="","",IFERROR(E491*INDEX(UnitFactors,MATCH(F491,UnitNames,0)),""))</f>
        <v>0</v>
      </c>
      <c r="K491" s="17">
        <f>IF(F491="","",IFERROR(INDEX(UnitBases,MATCH(F491,UnitNames,0)),"?"))</f>
        <v>0</v>
      </c>
      <c r="L491" s="17">
        <f>IF(D491="","",IFERROR(INDEX(Ingredients!$G$5:$G$304,MATCH(D491,Ingredients!$B$5:$B$304,0)),"Add to Ingredients"))</f>
        <v>0</v>
      </c>
      <c r="M491" s="25">
        <f>IF(D491="","",IFERROR(INDEX(Ingredients!$J$5:$J$304,MATCH(D491,Ingredients!$B$5:$B$304,0)),"Add to Ingredients"))</f>
        <v>0</v>
      </c>
      <c r="N491" s="25">
        <f>IF(OR(J491="",M491="",NOT(ISNUMBER(M491))),"",IF(K491&lt;&gt;L491,"",J491*M491))</f>
        <v>0</v>
      </c>
      <c r="O491" s="25">
        <f>IF(N491="","",IFERROR(N491/INDEX(Recipes!$G$5:$G$204,MATCH(B491,Recipes!$A$5:$A$204,0)),""))</f>
        <v>0</v>
      </c>
      <c r="P491" s="30">
        <f>IF(J491="","",IF(K491="each",J491,J491/100))</f>
        <v>0</v>
      </c>
      <c r="Q491" s="30">
        <f>IFERROR(IF(P491="","",P491*INDEX(Ingredients!$P$5:$P$304,MATCH(D491,Ingredients!$B$5:$B$304,0))),"")</f>
        <v>0</v>
      </c>
      <c r="R491" s="45">
        <f>IFERROR(IF(P491="","",P491*INDEX(Ingredients!$Q$5:$Q$304,MATCH(D491,Ingredients!$B$5:$B$304,0))),"")</f>
        <v>0</v>
      </c>
      <c r="S491" s="45">
        <f>IFERROR(IF(P491="","",P491*INDEX(Ingredients!$R$5:$R$304,MATCH(D491,Ingredients!$B$5:$B$304,0))),"")</f>
        <v>0</v>
      </c>
      <c r="T491" s="45">
        <f>IFERROR(IF(P491="","",P491*INDEX(Ingredients!$S$5:$S$304,MATCH(D491,Ingredients!$B$5:$B$304,0))),"")</f>
        <v>0</v>
      </c>
      <c r="U491" s="45">
        <f>IFERROR(IF(P491="","",P491*INDEX(Ingredients!$T$5:$T$304,MATCH(D491,Ingredients!$B$5:$B$304,0))),"")</f>
        <v>0</v>
      </c>
      <c r="V491" s="17">
        <f>IF(D491="","",IFERROR(INDEX(Ingredients!$W$5:$W$304,MATCH(D491,Ingredients!$B$5:$B$304,0)),"Add to Ingredients"))</f>
        <v>0</v>
      </c>
      <c r="W491" s="17">
        <f>IF(D491="","",IFERROR(INDEX(Ingredients!$C$5:$C$304,MATCH(D491,Ingredients!$B$5:$B$304,0)),"Add to Ingredients"))</f>
        <v>0</v>
      </c>
      <c r="X491" s="45">
        <f>IFERROR(INDEX(Recipes!$AT$5:$AT$204,MATCH(B491,Recipes!$A$5:$A$204,0)),0)</f>
        <v>0</v>
      </c>
      <c r="Y491" s="45">
        <f>IF(OR(J491="",X491=0),"",J491*X491)</f>
        <v>0</v>
      </c>
      <c r="Z491" s="17">
        <f>IF(D491="","",B491&amp;"#"&amp;COUNTIFS($B$5:B491,B491))</f>
        <v>0</v>
      </c>
      <c r="AA491" s="17">
        <f>IF(D491="","",B491&amp;"|"&amp;D491)</f>
        <v>0</v>
      </c>
      <c r="AB491" s="31">
        <f>IF(D491="","",IF(B491="","Add - which recipe?",IF(COUNTIFS(Ingredients!$B$5:$B$304,D491)=0,"Missing - not in the Ingredients tab",IF(E491="","Add - no quantity",IF(F491="","Add - no unit",IF(K491&lt;&gt;L491,"Check - recipe in "&amp;K491&amp;", priced in "&amp;L491,IF(COUNTIFS($AA$5:$AA$1204,AA491)&gt;1,"Duplicate - same ingredient twice","OK")))))))</f>
        <v>0</v>
      </c>
    </row>
    <row r="492" spans="1:28">
      <c r="A492" s="39">
        <f>IF(D492="","","RL-"&amp;TEXT(ROW()-4,"0000"))</f>
        <v>0</v>
      </c>
      <c r="C492" s="17">
        <f>IF(B492="","",IFERROR(INDEX(Recipes!$B$5:$B$204,MATCH(B492,Recipes!$A$5:$A$204,0)),"Not found"))</f>
        <v>0</v>
      </c>
      <c r="J492" s="45">
        <f>IF(E492="","",IFERROR(E492*INDEX(UnitFactors,MATCH(F492,UnitNames,0)),""))</f>
        <v>0</v>
      </c>
      <c r="K492" s="17">
        <f>IF(F492="","",IFERROR(INDEX(UnitBases,MATCH(F492,UnitNames,0)),"?"))</f>
        <v>0</v>
      </c>
      <c r="L492" s="17">
        <f>IF(D492="","",IFERROR(INDEX(Ingredients!$G$5:$G$304,MATCH(D492,Ingredients!$B$5:$B$304,0)),"Add to Ingredients"))</f>
        <v>0</v>
      </c>
      <c r="M492" s="25">
        <f>IF(D492="","",IFERROR(INDEX(Ingredients!$J$5:$J$304,MATCH(D492,Ingredients!$B$5:$B$304,0)),"Add to Ingredients"))</f>
        <v>0</v>
      </c>
      <c r="N492" s="25">
        <f>IF(OR(J492="",M492="",NOT(ISNUMBER(M492))),"",IF(K492&lt;&gt;L492,"",J492*M492))</f>
        <v>0</v>
      </c>
      <c r="O492" s="25">
        <f>IF(N492="","",IFERROR(N492/INDEX(Recipes!$G$5:$G$204,MATCH(B492,Recipes!$A$5:$A$204,0)),""))</f>
        <v>0</v>
      </c>
      <c r="P492" s="30">
        <f>IF(J492="","",IF(K492="each",J492,J492/100))</f>
        <v>0</v>
      </c>
      <c r="Q492" s="30">
        <f>IFERROR(IF(P492="","",P492*INDEX(Ingredients!$P$5:$P$304,MATCH(D492,Ingredients!$B$5:$B$304,0))),"")</f>
        <v>0</v>
      </c>
      <c r="R492" s="45">
        <f>IFERROR(IF(P492="","",P492*INDEX(Ingredients!$Q$5:$Q$304,MATCH(D492,Ingredients!$B$5:$B$304,0))),"")</f>
        <v>0</v>
      </c>
      <c r="S492" s="45">
        <f>IFERROR(IF(P492="","",P492*INDEX(Ingredients!$R$5:$R$304,MATCH(D492,Ingredients!$B$5:$B$304,0))),"")</f>
        <v>0</v>
      </c>
      <c r="T492" s="45">
        <f>IFERROR(IF(P492="","",P492*INDEX(Ingredients!$S$5:$S$304,MATCH(D492,Ingredients!$B$5:$B$304,0))),"")</f>
        <v>0</v>
      </c>
      <c r="U492" s="45">
        <f>IFERROR(IF(P492="","",P492*INDEX(Ingredients!$T$5:$T$304,MATCH(D492,Ingredients!$B$5:$B$304,0))),"")</f>
        <v>0</v>
      </c>
      <c r="V492" s="17">
        <f>IF(D492="","",IFERROR(INDEX(Ingredients!$W$5:$W$304,MATCH(D492,Ingredients!$B$5:$B$304,0)),"Add to Ingredients"))</f>
        <v>0</v>
      </c>
      <c r="W492" s="17">
        <f>IF(D492="","",IFERROR(INDEX(Ingredients!$C$5:$C$304,MATCH(D492,Ingredients!$B$5:$B$304,0)),"Add to Ingredients"))</f>
        <v>0</v>
      </c>
      <c r="X492" s="45">
        <f>IFERROR(INDEX(Recipes!$AT$5:$AT$204,MATCH(B492,Recipes!$A$5:$A$204,0)),0)</f>
        <v>0</v>
      </c>
      <c r="Y492" s="45">
        <f>IF(OR(J492="",X492=0),"",J492*X492)</f>
        <v>0</v>
      </c>
      <c r="Z492" s="17">
        <f>IF(D492="","",B492&amp;"#"&amp;COUNTIFS($B$5:B492,B492))</f>
        <v>0</v>
      </c>
      <c r="AA492" s="17">
        <f>IF(D492="","",B492&amp;"|"&amp;D492)</f>
        <v>0</v>
      </c>
      <c r="AB492" s="31">
        <f>IF(D492="","",IF(B492="","Add - which recipe?",IF(COUNTIFS(Ingredients!$B$5:$B$304,D492)=0,"Missing - not in the Ingredients tab",IF(E492="","Add - no quantity",IF(F492="","Add - no unit",IF(K492&lt;&gt;L492,"Check - recipe in "&amp;K492&amp;", priced in "&amp;L492,IF(COUNTIFS($AA$5:$AA$1204,AA492)&gt;1,"Duplicate - same ingredient twice","OK")))))))</f>
        <v>0</v>
      </c>
    </row>
    <row r="493" spans="1:28">
      <c r="A493" s="39">
        <f>IF(D493="","","RL-"&amp;TEXT(ROW()-4,"0000"))</f>
        <v>0</v>
      </c>
      <c r="C493" s="17">
        <f>IF(B493="","",IFERROR(INDEX(Recipes!$B$5:$B$204,MATCH(B493,Recipes!$A$5:$A$204,0)),"Not found"))</f>
        <v>0</v>
      </c>
      <c r="J493" s="45">
        <f>IF(E493="","",IFERROR(E493*INDEX(UnitFactors,MATCH(F493,UnitNames,0)),""))</f>
        <v>0</v>
      </c>
      <c r="K493" s="17">
        <f>IF(F493="","",IFERROR(INDEX(UnitBases,MATCH(F493,UnitNames,0)),"?"))</f>
        <v>0</v>
      </c>
      <c r="L493" s="17">
        <f>IF(D493="","",IFERROR(INDEX(Ingredients!$G$5:$G$304,MATCH(D493,Ingredients!$B$5:$B$304,0)),"Add to Ingredients"))</f>
        <v>0</v>
      </c>
      <c r="M493" s="25">
        <f>IF(D493="","",IFERROR(INDEX(Ingredients!$J$5:$J$304,MATCH(D493,Ingredients!$B$5:$B$304,0)),"Add to Ingredients"))</f>
        <v>0</v>
      </c>
      <c r="N493" s="25">
        <f>IF(OR(J493="",M493="",NOT(ISNUMBER(M493))),"",IF(K493&lt;&gt;L493,"",J493*M493))</f>
        <v>0</v>
      </c>
      <c r="O493" s="25">
        <f>IF(N493="","",IFERROR(N493/INDEX(Recipes!$G$5:$G$204,MATCH(B493,Recipes!$A$5:$A$204,0)),""))</f>
        <v>0</v>
      </c>
      <c r="P493" s="30">
        <f>IF(J493="","",IF(K493="each",J493,J493/100))</f>
        <v>0</v>
      </c>
      <c r="Q493" s="30">
        <f>IFERROR(IF(P493="","",P493*INDEX(Ingredients!$P$5:$P$304,MATCH(D493,Ingredients!$B$5:$B$304,0))),"")</f>
        <v>0</v>
      </c>
      <c r="R493" s="45">
        <f>IFERROR(IF(P493="","",P493*INDEX(Ingredients!$Q$5:$Q$304,MATCH(D493,Ingredients!$B$5:$B$304,0))),"")</f>
        <v>0</v>
      </c>
      <c r="S493" s="45">
        <f>IFERROR(IF(P493="","",P493*INDEX(Ingredients!$R$5:$R$304,MATCH(D493,Ingredients!$B$5:$B$304,0))),"")</f>
        <v>0</v>
      </c>
      <c r="T493" s="45">
        <f>IFERROR(IF(P493="","",P493*INDEX(Ingredients!$S$5:$S$304,MATCH(D493,Ingredients!$B$5:$B$304,0))),"")</f>
        <v>0</v>
      </c>
      <c r="U493" s="45">
        <f>IFERROR(IF(P493="","",P493*INDEX(Ingredients!$T$5:$T$304,MATCH(D493,Ingredients!$B$5:$B$304,0))),"")</f>
        <v>0</v>
      </c>
      <c r="V493" s="17">
        <f>IF(D493="","",IFERROR(INDEX(Ingredients!$W$5:$W$304,MATCH(D493,Ingredients!$B$5:$B$304,0)),"Add to Ingredients"))</f>
        <v>0</v>
      </c>
      <c r="W493" s="17">
        <f>IF(D493="","",IFERROR(INDEX(Ingredients!$C$5:$C$304,MATCH(D493,Ingredients!$B$5:$B$304,0)),"Add to Ingredients"))</f>
        <v>0</v>
      </c>
      <c r="X493" s="45">
        <f>IFERROR(INDEX(Recipes!$AT$5:$AT$204,MATCH(B493,Recipes!$A$5:$A$204,0)),0)</f>
        <v>0</v>
      </c>
      <c r="Y493" s="45">
        <f>IF(OR(J493="",X493=0),"",J493*X493)</f>
        <v>0</v>
      </c>
      <c r="Z493" s="17">
        <f>IF(D493="","",B493&amp;"#"&amp;COUNTIFS($B$5:B493,B493))</f>
        <v>0</v>
      </c>
      <c r="AA493" s="17">
        <f>IF(D493="","",B493&amp;"|"&amp;D493)</f>
        <v>0</v>
      </c>
      <c r="AB493" s="31">
        <f>IF(D493="","",IF(B493="","Add - which recipe?",IF(COUNTIFS(Ingredients!$B$5:$B$304,D493)=0,"Missing - not in the Ingredients tab",IF(E493="","Add - no quantity",IF(F493="","Add - no unit",IF(K493&lt;&gt;L493,"Check - recipe in "&amp;K493&amp;", priced in "&amp;L493,IF(COUNTIFS($AA$5:$AA$1204,AA493)&gt;1,"Duplicate - same ingredient twice","OK")))))))</f>
        <v>0</v>
      </c>
    </row>
    <row r="494" spans="1:28">
      <c r="A494" s="39">
        <f>IF(D494="","","RL-"&amp;TEXT(ROW()-4,"0000"))</f>
        <v>0</v>
      </c>
      <c r="C494" s="17">
        <f>IF(B494="","",IFERROR(INDEX(Recipes!$B$5:$B$204,MATCH(B494,Recipes!$A$5:$A$204,0)),"Not found"))</f>
        <v>0</v>
      </c>
      <c r="J494" s="45">
        <f>IF(E494="","",IFERROR(E494*INDEX(UnitFactors,MATCH(F494,UnitNames,0)),""))</f>
        <v>0</v>
      </c>
      <c r="K494" s="17">
        <f>IF(F494="","",IFERROR(INDEX(UnitBases,MATCH(F494,UnitNames,0)),"?"))</f>
        <v>0</v>
      </c>
      <c r="L494" s="17">
        <f>IF(D494="","",IFERROR(INDEX(Ingredients!$G$5:$G$304,MATCH(D494,Ingredients!$B$5:$B$304,0)),"Add to Ingredients"))</f>
        <v>0</v>
      </c>
      <c r="M494" s="25">
        <f>IF(D494="","",IFERROR(INDEX(Ingredients!$J$5:$J$304,MATCH(D494,Ingredients!$B$5:$B$304,0)),"Add to Ingredients"))</f>
        <v>0</v>
      </c>
      <c r="N494" s="25">
        <f>IF(OR(J494="",M494="",NOT(ISNUMBER(M494))),"",IF(K494&lt;&gt;L494,"",J494*M494))</f>
        <v>0</v>
      </c>
      <c r="O494" s="25">
        <f>IF(N494="","",IFERROR(N494/INDEX(Recipes!$G$5:$G$204,MATCH(B494,Recipes!$A$5:$A$204,0)),""))</f>
        <v>0</v>
      </c>
      <c r="P494" s="30">
        <f>IF(J494="","",IF(K494="each",J494,J494/100))</f>
        <v>0</v>
      </c>
      <c r="Q494" s="30">
        <f>IFERROR(IF(P494="","",P494*INDEX(Ingredients!$P$5:$P$304,MATCH(D494,Ingredients!$B$5:$B$304,0))),"")</f>
        <v>0</v>
      </c>
      <c r="R494" s="45">
        <f>IFERROR(IF(P494="","",P494*INDEX(Ingredients!$Q$5:$Q$304,MATCH(D494,Ingredients!$B$5:$B$304,0))),"")</f>
        <v>0</v>
      </c>
      <c r="S494" s="45">
        <f>IFERROR(IF(P494="","",P494*INDEX(Ingredients!$R$5:$R$304,MATCH(D494,Ingredients!$B$5:$B$304,0))),"")</f>
        <v>0</v>
      </c>
      <c r="T494" s="45">
        <f>IFERROR(IF(P494="","",P494*INDEX(Ingredients!$S$5:$S$304,MATCH(D494,Ingredients!$B$5:$B$304,0))),"")</f>
        <v>0</v>
      </c>
      <c r="U494" s="45">
        <f>IFERROR(IF(P494="","",P494*INDEX(Ingredients!$T$5:$T$304,MATCH(D494,Ingredients!$B$5:$B$304,0))),"")</f>
        <v>0</v>
      </c>
      <c r="V494" s="17">
        <f>IF(D494="","",IFERROR(INDEX(Ingredients!$W$5:$W$304,MATCH(D494,Ingredients!$B$5:$B$304,0)),"Add to Ingredients"))</f>
        <v>0</v>
      </c>
      <c r="W494" s="17">
        <f>IF(D494="","",IFERROR(INDEX(Ingredients!$C$5:$C$304,MATCH(D494,Ingredients!$B$5:$B$304,0)),"Add to Ingredients"))</f>
        <v>0</v>
      </c>
      <c r="X494" s="45">
        <f>IFERROR(INDEX(Recipes!$AT$5:$AT$204,MATCH(B494,Recipes!$A$5:$A$204,0)),0)</f>
        <v>0</v>
      </c>
      <c r="Y494" s="45">
        <f>IF(OR(J494="",X494=0),"",J494*X494)</f>
        <v>0</v>
      </c>
      <c r="Z494" s="17">
        <f>IF(D494="","",B494&amp;"#"&amp;COUNTIFS($B$5:B494,B494))</f>
        <v>0</v>
      </c>
      <c r="AA494" s="17">
        <f>IF(D494="","",B494&amp;"|"&amp;D494)</f>
        <v>0</v>
      </c>
      <c r="AB494" s="31">
        <f>IF(D494="","",IF(B494="","Add - which recipe?",IF(COUNTIFS(Ingredients!$B$5:$B$304,D494)=0,"Missing - not in the Ingredients tab",IF(E494="","Add - no quantity",IF(F494="","Add - no unit",IF(K494&lt;&gt;L494,"Check - recipe in "&amp;K494&amp;", priced in "&amp;L494,IF(COUNTIFS($AA$5:$AA$1204,AA494)&gt;1,"Duplicate - same ingredient twice","OK")))))))</f>
        <v>0</v>
      </c>
    </row>
    <row r="495" spans="1:28">
      <c r="A495" s="39">
        <f>IF(D495="","","RL-"&amp;TEXT(ROW()-4,"0000"))</f>
        <v>0</v>
      </c>
      <c r="C495" s="17">
        <f>IF(B495="","",IFERROR(INDEX(Recipes!$B$5:$B$204,MATCH(B495,Recipes!$A$5:$A$204,0)),"Not found"))</f>
        <v>0</v>
      </c>
      <c r="J495" s="45">
        <f>IF(E495="","",IFERROR(E495*INDEX(UnitFactors,MATCH(F495,UnitNames,0)),""))</f>
        <v>0</v>
      </c>
      <c r="K495" s="17">
        <f>IF(F495="","",IFERROR(INDEX(UnitBases,MATCH(F495,UnitNames,0)),"?"))</f>
        <v>0</v>
      </c>
      <c r="L495" s="17">
        <f>IF(D495="","",IFERROR(INDEX(Ingredients!$G$5:$G$304,MATCH(D495,Ingredients!$B$5:$B$304,0)),"Add to Ingredients"))</f>
        <v>0</v>
      </c>
      <c r="M495" s="25">
        <f>IF(D495="","",IFERROR(INDEX(Ingredients!$J$5:$J$304,MATCH(D495,Ingredients!$B$5:$B$304,0)),"Add to Ingredients"))</f>
        <v>0</v>
      </c>
      <c r="N495" s="25">
        <f>IF(OR(J495="",M495="",NOT(ISNUMBER(M495))),"",IF(K495&lt;&gt;L495,"",J495*M495))</f>
        <v>0</v>
      </c>
      <c r="O495" s="25">
        <f>IF(N495="","",IFERROR(N495/INDEX(Recipes!$G$5:$G$204,MATCH(B495,Recipes!$A$5:$A$204,0)),""))</f>
        <v>0</v>
      </c>
      <c r="P495" s="30">
        <f>IF(J495="","",IF(K495="each",J495,J495/100))</f>
        <v>0</v>
      </c>
      <c r="Q495" s="30">
        <f>IFERROR(IF(P495="","",P495*INDEX(Ingredients!$P$5:$P$304,MATCH(D495,Ingredients!$B$5:$B$304,0))),"")</f>
        <v>0</v>
      </c>
      <c r="R495" s="45">
        <f>IFERROR(IF(P495="","",P495*INDEX(Ingredients!$Q$5:$Q$304,MATCH(D495,Ingredients!$B$5:$B$304,0))),"")</f>
        <v>0</v>
      </c>
      <c r="S495" s="45">
        <f>IFERROR(IF(P495="","",P495*INDEX(Ingredients!$R$5:$R$304,MATCH(D495,Ingredients!$B$5:$B$304,0))),"")</f>
        <v>0</v>
      </c>
      <c r="T495" s="45">
        <f>IFERROR(IF(P495="","",P495*INDEX(Ingredients!$S$5:$S$304,MATCH(D495,Ingredients!$B$5:$B$304,0))),"")</f>
        <v>0</v>
      </c>
      <c r="U495" s="45">
        <f>IFERROR(IF(P495="","",P495*INDEX(Ingredients!$T$5:$T$304,MATCH(D495,Ingredients!$B$5:$B$304,0))),"")</f>
        <v>0</v>
      </c>
      <c r="V495" s="17">
        <f>IF(D495="","",IFERROR(INDEX(Ingredients!$W$5:$W$304,MATCH(D495,Ingredients!$B$5:$B$304,0)),"Add to Ingredients"))</f>
        <v>0</v>
      </c>
      <c r="W495" s="17">
        <f>IF(D495="","",IFERROR(INDEX(Ingredients!$C$5:$C$304,MATCH(D495,Ingredients!$B$5:$B$304,0)),"Add to Ingredients"))</f>
        <v>0</v>
      </c>
      <c r="X495" s="45">
        <f>IFERROR(INDEX(Recipes!$AT$5:$AT$204,MATCH(B495,Recipes!$A$5:$A$204,0)),0)</f>
        <v>0</v>
      </c>
      <c r="Y495" s="45">
        <f>IF(OR(J495="",X495=0),"",J495*X495)</f>
        <v>0</v>
      </c>
      <c r="Z495" s="17">
        <f>IF(D495="","",B495&amp;"#"&amp;COUNTIFS($B$5:B495,B495))</f>
        <v>0</v>
      </c>
      <c r="AA495" s="17">
        <f>IF(D495="","",B495&amp;"|"&amp;D495)</f>
        <v>0</v>
      </c>
      <c r="AB495" s="31">
        <f>IF(D495="","",IF(B495="","Add - which recipe?",IF(COUNTIFS(Ingredients!$B$5:$B$304,D495)=0,"Missing - not in the Ingredients tab",IF(E495="","Add - no quantity",IF(F495="","Add - no unit",IF(K495&lt;&gt;L495,"Check - recipe in "&amp;K495&amp;", priced in "&amp;L495,IF(COUNTIFS($AA$5:$AA$1204,AA495)&gt;1,"Duplicate - same ingredient twice","OK")))))))</f>
        <v>0</v>
      </c>
    </row>
    <row r="496" spans="1:28">
      <c r="A496" s="39">
        <f>IF(D496="","","RL-"&amp;TEXT(ROW()-4,"0000"))</f>
        <v>0</v>
      </c>
      <c r="C496" s="17">
        <f>IF(B496="","",IFERROR(INDEX(Recipes!$B$5:$B$204,MATCH(B496,Recipes!$A$5:$A$204,0)),"Not found"))</f>
        <v>0</v>
      </c>
      <c r="J496" s="45">
        <f>IF(E496="","",IFERROR(E496*INDEX(UnitFactors,MATCH(F496,UnitNames,0)),""))</f>
        <v>0</v>
      </c>
      <c r="K496" s="17">
        <f>IF(F496="","",IFERROR(INDEX(UnitBases,MATCH(F496,UnitNames,0)),"?"))</f>
        <v>0</v>
      </c>
      <c r="L496" s="17">
        <f>IF(D496="","",IFERROR(INDEX(Ingredients!$G$5:$G$304,MATCH(D496,Ingredients!$B$5:$B$304,0)),"Add to Ingredients"))</f>
        <v>0</v>
      </c>
      <c r="M496" s="25">
        <f>IF(D496="","",IFERROR(INDEX(Ingredients!$J$5:$J$304,MATCH(D496,Ingredients!$B$5:$B$304,0)),"Add to Ingredients"))</f>
        <v>0</v>
      </c>
      <c r="N496" s="25">
        <f>IF(OR(J496="",M496="",NOT(ISNUMBER(M496))),"",IF(K496&lt;&gt;L496,"",J496*M496))</f>
        <v>0</v>
      </c>
      <c r="O496" s="25">
        <f>IF(N496="","",IFERROR(N496/INDEX(Recipes!$G$5:$G$204,MATCH(B496,Recipes!$A$5:$A$204,0)),""))</f>
        <v>0</v>
      </c>
      <c r="P496" s="30">
        <f>IF(J496="","",IF(K496="each",J496,J496/100))</f>
        <v>0</v>
      </c>
      <c r="Q496" s="30">
        <f>IFERROR(IF(P496="","",P496*INDEX(Ingredients!$P$5:$P$304,MATCH(D496,Ingredients!$B$5:$B$304,0))),"")</f>
        <v>0</v>
      </c>
      <c r="R496" s="45">
        <f>IFERROR(IF(P496="","",P496*INDEX(Ingredients!$Q$5:$Q$304,MATCH(D496,Ingredients!$B$5:$B$304,0))),"")</f>
        <v>0</v>
      </c>
      <c r="S496" s="45">
        <f>IFERROR(IF(P496="","",P496*INDEX(Ingredients!$R$5:$R$304,MATCH(D496,Ingredients!$B$5:$B$304,0))),"")</f>
        <v>0</v>
      </c>
      <c r="T496" s="45">
        <f>IFERROR(IF(P496="","",P496*INDEX(Ingredients!$S$5:$S$304,MATCH(D496,Ingredients!$B$5:$B$304,0))),"")</f>
        <v>0</v>
      </c>
      <c r="U496" s="45">
        <f>IFERROR(IF(P496="","",P496*INDEX(Ingredients!$T$5:$T$304,MATCH(D496,Ingredients!$B$5:$B$304,0))),"")</f>
        <v>0</v>
      </c>
      <c r="V496" s="17">
        <f>IF(D496="","",IFERROR(INDEX(Ingredients!$W$5:$W$304,MATCH(D496,Ingredients!$B$5:$B$304,0)),"Add to Ingredients"))</f>
        <v>0</v>
      </c>
      <c r="W496" s="17">
        <f>IF(D496="","",IFERROR(INDEX(Ingredients!$C$5:$C$304,MATCH(D496,Ingredients!$B$5:$B$304,0)),"Add to Ingredients"))</f>
        <v>0</v>
      </c>
      <c r="X496" s="45">
        <f>IFERROR(INDEX(Recipes!$AT$5:$AT$204,MATCH(B496,Recipes!$A$5:$A$204,0)),0)</f>
        <v>0</v>
      </c>
      <c r="Y496" s="45">
        <f>IF(OR(J496="",X496=0),"",J496*X496)</f>
        <v>0</v>
      </c>
      <c r="Z496" s="17">
        <f>IF(D496="","",B496&amp;"#"&amp;COUNTIFS($B$5:B496,B496))</f>
        <v>0</v>
      </c>
      <c r="AA496" s="17">
        <f>IF(D496="","",B496&amp;"|"&amp;D496)</f>
        <v>0</v>
      </c>
      <c r="AB496" s="31">
        <f>IF(D496="","",IF(B496="","Add - which recipe?",IF(COUNTIFS(Ingredients!$B$5:$B$304,D496)=0,"Missing - not in the Ingredients tab",IF(E496="","Add - no quantity",IF(F496="","Add - no unit",IF(K496&lt;&gt;L496,"Check - recipe in "&amp;K496&amp;", priced in "&amp;L496,IF(COUNTIFS($AA$5:$AA$1204,AA496)&gt;1,"Duplicate - same ingredient twice","OK")))))))</f>
        <v>0</v>
      </c>
    </row>
    <row r="497" spans="1:28">
      <c r="A497" s="39">
        <f>IF(D497="","","RL-"&amp;TEXT(ROW()-4,"0000"))</f>
        <v>0</v>
      </c>
      <c r="C497" s="17">
        <f>IF(B497="","",IFERROR(INDEX(Recipes!$B$5:$B$204,MATCH(B497,Recipes!$A$5:$A$204,0)),"Not found"))</f>
        <v>0</v>
      </c>
      <c r="J497" s="45">
        <f>IF(E497="","",IFERROR(E497*INDEX(UnitFactors,MATCH(F497,UnitNames,0)),""))</f>
        <v>0</v>
      </c>
      <c r="K497" s="17">
        <f>IF(F497="","",IFERROR(INDEX(UnitBases,MATCH(F497,UnitNames,0)),"?"))</f>
        <v>0</v>
      </c>
      <c r="L497" s="17">
        <f>IF(D497="","",IFERROR(INDEX(Ingredients!$G$5:$G$304,MATCH(D497,Ingredients!$B$5:$B$304,0)),"Add to Ingredients"))</f>
        <v>0</v>
      </c>
      <c r="M497" s="25">
        <f>IF(D497="","",IFERROR(INDEX(Ingredients!$J$5:$J$304,MATCH(D497,Ingredients!$B$5:$B$304,0)),"Add to Ingredients"))</f>
        <v>0</v>
      </c>
      <c r="N497" s="25">
        <f>IF(OR(J497="",M497="",NOT(ISNUMBER(M497))),"",IF(K497&lt;&gt;L497,"",J497*M497))</f>
        <v>0</v>
      </c>
      <c r="O497" s="25">
        <f>IF(N497="","",IFERROR(N497/INDEX(Recipes!$G$5:$G$204,MATCH(B497,Recipes!$A$5:$A$204,0)),""))</f>
        <v>0</v>
      </c>
      <c r="P497" s="30">
        <f>IF(J497="","",IF(K497="each",J497,J497/100))</f>
        <v>0</v>
      </c>
      <c r="Q497" s="30">
        <f>IFERROR(IF(P497="","",P497*INDEX(Ingredients!$P$5:$P$304,MATCH(D497,Ingredients!$B$5:$B$304,0))),"")</f>
        <v>0</v>
      </c>
      <c r="R497" s="45">
        <f>IFERROR(IF(P497="","",P497*INDEX(Ingredients!$Q$5:$Q$304,MATCH(D497,Ingredients!$B$5:$B$304,0))),"")</f>
        <v>0</v>
      </c>
      <c r="S497" s="45">
        <f>IFERROR(IF(P497="","",P497*INDEX(Ingredients!$R$5:$R$304,MATCH(D497,Ingredients!$B$5:$B$304,0))),"")</f>
        <v>0</v>
      </c>
      <c r="T497" s="45">
        <f>IFERROR(IF(P497="","",P497*INDEX(Ingredients!$S$5:$S$304,MATCH(D497,Ingredients!$B$5:$B$304,0))),"")</f>
        <v>0</v>
      </c>
      <c r="U497" s="45">
        <f>IFERROR(IF(P497="","",P497*INDEX(Ingredients!$T$5:$T$304,MATCH(D497,Ingredients!$B$5:$B$304,0))),"")</f>
        <v>0</v>
      </c>
      <c r="V497" s="17">
        <f>IF(D497="","",IFERROR(INDEX(Ingredients!$W$5:$W$304,MATCH(D497,Ingredients!$B$5:$B$304,0)),"Add to Ingredients"))</f>
        <v>0</v>
      </c>
      <c r="W497" s="17">
        <f>IF(D497="","",IFERROR(INDEX(Ingredients!$C$5:$C$304,MATCH(D497,Ingredients!$B$5:$B$304,0)),"Add to Ingredients"))</f>
        <v>0</v>
      </c>
      <c r="X497" s="45">
        <f>IFERROR(INDEX(Recipes!$AT$5:$AT$204,MATCH(B497,Recipes!$A$5:$A$204,0)),0)</f>
        <v>0</v>
      </c>
      <c r="Y497" s="45">
        <f>IF(OR(J497="",X497=0),"",J497*X497)</f>
        <v>0</v>
      </c>
      <c r="Z497" s="17">
        <f>IF(D497="","",B497&amp;"#"&amp;COUNTIFS($B$5:B497,B497))</f>
        <v>0</v>
      </c>
      <c r="AA497" s="17">
        <f>IF(D497="","",B497&amp;"|"&amp;D497)</f>
        <v>0</v>
      </c>
      <c r="AB497" s="31">
        <f>IF(D497="","",IF(B497="","Add - which recipe?",IF(COUNTIFS(Ingredients!$B$5:$B$304,D497)=0,"Missing - not in the Ingredients tab",IF(E497="","Add - no quantity",IF(F497="","Add - no unit",IF(K497&lt;&gt;L497,"Check - recipe in "&amp;K497&amp;", priced in "&amp;L497,IF(COUNTIFS($AA$5:$AA$1204,AA497)&gt;1,"Duplicate - same ingredient twice","OK")))))))</f>
        <v>0</v>
      </c>
    </row>
    <row r="498" spans="1:28">
      <c r="A498" s="39">
        <f>IF(D498="","","RL-"&amp;TEXT(ROW()-4,"0000"))</f>
        <v>0</v>
      </c>
      <c r="C498" s="17">
        <f>IF(B498="","",IFERROR(INDEX(Recipes!$B$5:$B$204,MATCH(B498,Recipes!$A$5:$A$204,0)),"Not found"))</f>
        <v>0</v>
      </c>
      <c r="J498" s="45">
        <f>IF(E498="","",IFERROR(E498*INDEX(UnitFactors,MATCH(F498,UnitNames,0)),""))</f>
        <v>0</v>
      </c>
      <c r="K498" s="17">
        <f>IF(F498="","",IFERROR(INDEX(UnitBases,MATCH(F498,UnitNames,0)),"?"))</f>
        <v>0</v>
      </c>
      <c r="L498" s="17">
        <f>IF(D498="","",IFERROR(INDEX(Ingredients!$G$5:$G$304,MATCH(D498,Ingredients!$B$5:$B$304,0)),"Add to Ingredients"))</f>
        <v>0</v>
      </c>
      <c r="M498" s="25">
        <f>IF(D498="","",IFERROR(INDEX(Ingredients!$J$5:$J$304,MATCH(D498,Ingredients!$B$5:$B$304,0)),"Add to Ingredients"))</f>
        <v>0</v>
      </c>
      <c r="N498" s="25">
        <f>IF(OR(J498="",M498="",NOT(ISNUMBER(M498))),"",IF(K498&lt;&gt;L498,"",J498*M498))</f>
        <v>0</v>
      </c>
      <c r="O498" s="25">
        <f>IF(N498="","",IFERROR(N498/INDEX(Recipes!$G$5:$G$204,MATCH(B498,Recipes!$A$5:$A$204,0)),""))</f>
        <v>0</v>
      </c>
      <c r="P498" s="30">
        <f>IF(J498="","",IF(K498="each",J498,J498/100))</f>
        <v>0</v>
      </c>
      <c r="Q498" s="30">
        <f>IFERROR(IF(P498="","",P498*INDEX(Ingredients!$P$5:$P$304,MATCH(D498,Ingredients!$B$5:$B$304,0))),"")</f>
        <v>0</v>
      </c>
      <c r="R498" s="45">
        <f>IFERROR(IF(P498="","",P498*INDEX(Ingredients!$Q$5:$Q$304,MATCH(D498,Ingredients!$B$5:$B$304,0))),"")</f>
        <v>0</v>
      </c>
      <c r="S498" s="45">
        <f>IFERROR(IF(P498="","",P498*INDEX(Ingredients!$R$5:$R$304,MATCH(D498,Ingredients!$B$5:$B$304,0))),"")</f>
        <v>0</v>
      </c>
      <c r="T498" s="45">
        <f>IFERROR(IF(P498="","",P498*INDEX(Ingredients!$S$5:$S$304,MATCH(D498,Ingredients!$B$5:$B$304,0))),"")</f>
        <v>0</v>
      </c>
      <c r="U498" s="45">
        <f>IFERROR(IF(P498="","",P498*INDEX(Ingredients!$T$5:$T$304,MATCH(D498,Ingredients!$B$5:$B$304,0))),"")</f>
        <v>0</v>
      </c>
      <c r="V498" s="17">
        <f>IF(D498="","",IFERROR(INDEX(Ingredients!$W$5:$W$304,MATCH(D498,Ingredients!$B$5:$B$304,0)),"Add to Ingredients"))</f>
        <v>0</v>
      </c>
      <c r="W498" s="17">
        <f>IF(D498="","",IFERROR(INDEX(Ingredients!$C$5:$C$304,MATCH(D498,Ingredients!$B$5:$B$304,0)),"Add to Ingredients"))</f>
        <v>0</v>
      </c>
      <c r="X498" s="45">
        <f>IFERROR(INDEX(Recipes!$AT$5:$AT$204,MATCH(B498,Recipes!$A$5:$A$204,0)),0)</f>
        <v>0</v>
      </c>
      <c r="Y498" s="45">
        <f>IF(OR(J498="",X498=0),"",J498*X498)</f>
        <v>0</v>
      </c>
      <c r="Z498" s="17">
        <f>IF(D498="","",B498&amp;"#"&amp;COUNTIFS($B$5:B498,B498))</f>
        <v>0</v>
      </c>
      <c r="AA498" s="17">
        <f>IF(D498="","",B498&amp;"|"&amp;D498)</f>
        <v>0</v>
      </c>
      <c r="AB498" s="31">
        <f>IF(D498="","",IF(B498="","Add - which recipe?",IF(COUNTIFS(Ingredients!$B$5:$B$304,D498)=0,"Missing - not in the Ingredients tab",IF(E498="","Add - no quantity",IF(F498="","Add - no unit",IF(K498&lt;&gt;L498,"Check - recipe in "&amp;K498&amp;", priced in "&amp;L498,IF(COUNTIFS($AA$5:$AA$1204,AA498)&gt;1,"Duplicate - same ingredient twice","OK")))))))</f>
        <v>0</v>
      </c>
    </row>
    <row r="499" spans="1:28">
      <c r="A499" s="39">
        <f>IF(D499="","","RL-"&amp;TEXT(ROW()-4,"0000"))</f>
        <v>0</v>
      </c>
      <c r="C499" s="17">
        <f>IF(B499="","",IFERROR(INDEX(Recipes!$B$5:$B$204,MATCH(B499,Recipes!$A$5:$A$204,0)),"Not found"))</f>
        <v>0</v>
      </c>
      <c r="J499" s="45">
        <f>IF(E499="","",IFERROR(E499*INDEX(UnitFactors,MATCH(F499,UnitNames,0)),""))</f>
        <v>0</v>
      </c>
      <c r="K499" s="17">
        <f>IF(F499="","",IFERROR(INDEX(UnitBases,MATCH(F499,UnitNames,0)),"?"))</f>
        <v>0</v>
      </c>
      <c r="L499" s="17">
        <f>IF(D499="","",IFERROR(INDEX(Ingredients!$G$5:$G$304,MATCH(D499,Ingredients!$B$5:$B$304,0)),"Add to Ingredients"))</f>
        <v>0</v>
      </c>
      <c r="M499" s="25">
        <f>IF(D499="","",IFERROR(INDEX(Ingredients!$J$5:$J$304,MATCH(D499,Ingredients!$B$5:$B$304,0)),"Add to Ingredients"))</f>
        <v>0</v>
      </c>
      <c r="N499" s="25">
        <f>IF(OR(J499="",M499="",NOT(ISNUMBER(M499))),"",IF(K499&lt;&gt;L499,"",J499*M499))</f>
        <v>0</v>
      </c>
      <c r="O499" s="25">
        <f>IF(N499="","",IFERROR(N499/INDEX(Recipes!$G$5:$G$204,MATCH(B499,Recipes!$A$5:$A$204,0)),""))</f>
        <v>0</v>
      </c>
      <c r="P499" s="30">
        <f>IF(J499="","",IF(K499="each",J499,J499/100))</f>
        <v>0</v>
      </c>
      <c r="Q499" s="30">
        <f>IFERROR(IF(P499="","",P499*INDEX(Ingredients!$P$5:$P$304,MATCH(D499,Ingredients!$B$5:$B$304,0))),"")</f>
        <v>0</v>
      </c>
      <c r="R499" s="45">
        <f>IFERROR(IF(P499="","",P499*INDEX(Ingredients!$Q$5:$Q$304,MATCH(D499,Ingredients!$B$5:$B$304,0))),"")</f>
        <v>0</v>
      </c>
      <c r="S499" s="45">
        <f>IFERROR(IF(P499="","",P499*INDEX(Ingredients!$R$5:$R$304,MATCH(D499,Ingredients!$B$5:$B$304,0))),"")</f>
        <v>0</v>
      </c>
      <c r="T499" s="45">
        <f>IFERROR(IF(P499="","",P499*INDEX(Ingredients!$S$5:$S$304,MATCH(D499,Ingredients!$B$5:$B$304,0))),"")</f>
        <v>0</v>
      </c>
      <c r="U499" s="45">
        <f>IFERROR(IF(P499="","",P499*INDEX(Ingredients!$T$5:$T$304,MATCH(D499,Ingredients!$B$5:$B$304,0))),"")</f>
        <v>0</v>
      </c>
      <c r="V499" s="17">
        <f>IF(D499="","",IFERROR(INDEX(Ingredients!$W$5:$W$304,MATCH(D499,Ingredients!$B$5:$B$304,0)),"Add to Ingredients"))</f>
        <v>0</v>
      </c>
      <c r="W499" s="17">
        <f>IF(D499="","",IFERROR(INDEX(Ingredients!$C$5:$C$304,MATCH(D499,Ingredients!$B$5:$B$304,0)),"Add to Ingredients"))</f>
        <v>0</v>
      </c>
      <c r="X499" s="45">
        <f>IFERROR(INDEX(Recipes!$AT$5:$AT$204,MATCH(B499,Recipes!$A$5:$A$204,0)),0)</f>
        <v>0</v>
      </c>
      <c r="Y499" s="45">
        <f>IF(OR(J499="",X499=0),"",J499*X499)</f>
        <v>0</v>
      </c>
      <c r="Z499" s="17">
        <f>IF(D499="","",B499&amp;"#"&amp;COUNTIFS($B$5:B499,B499))</f>
        <v>0</v>
      </c>
      <c r="AA499" s="17">
        <f>IF(D499="","",B499&amp;"|"&amp;D499)</f>
        <v>0</v>
      </c>
      <c r="AB499" s="31">
        <f>IF(D499="","",IF(B499="","Add - which recipe?",IF(COUNTIFS(Ingredients!$B$5:$B$304,D499)=0,"Missing - not in the Ingredients tab",IF(E499="","Add - no quantity",IF(F499="","Add - no unit",IF(K499&lt;&gt;L499,"Check - recipe in "&amp;K499&amp;", priced in "&amp;L499,IF(COUNTIFS($AA$5:$AA$1204,AA499)&gt;1,"Duplicate - same ingredient twice","OK")))))))</f>
        <v>0</v>
      </c>
    </row>
    <row r="500" spans="1:28">
      <c r="A500" s="39">
        <f>IF(D500="","","RL-"&amp;TEXT(ROW()-4,"0000"))</f>
        <v>0</v>
      </c>
      <c r="C500" s="17">
        <f>IF(B500="","",IFERROR(INDEX(Recipes!$B$5:$B$204,MATCH(B500,Recipes!$A$5:$A$204,0)),"Not found"))</f>
        <v>0</v>
      </c>
      <c r="J500" s="45">
        <f>IF(E500="","",IFERROR(E500*INDEX(UnitFactors,MATCH(F500,UnitNames,0)),""))</f>
        <v>0</v>
      </c>
      <c r="K500" s="17">
        <f>IF(F500="","",IFERROR(INDEX(UnitBases,MATCH(F500,UnitNames,0)),"?"))</f>
        <v>0</v>
      </c>
      <c r="L500" s="17">
        <f>IF(D500="","",IFERROR(INDEX(Ingredients!$G$5:$G$304,MATCH(D500,Ingredients!$B$5:$B$304,0)),"Add to Ingredients"))</f>
        <v>0</v>
      </c>
      <c r="M500" s="25">
        <f>IF(D500="","",IFERROR(INDEX(Ingredients!$J$5:$J$304,MATCH(D500,Ingredients!$B$5:$B$304,0)),"Add to Ingredients"))</f>
        <v>0</v>
      </c>
      <c r="N500" s="25">
        <f>IF(OR(J500="",M500="",NOT(ISNUMBER(M500))),"",IF(K500&lt;&gt;L500,"",J500*M500))</f>
        <v>0</v>
      </c>
      <c r="O500" s="25">
        <f>IF(N500="","",IFERROR(N500/INDEX(Recipes!$G$5:$G$204,MATCH(B500,Recipes!$A$5:$A$204,0)),""))</f>
        <v>0</v>
      </c>
      <c r="P500" s="30">
        <f>IF(J500="","",IF(K500="each",J500,J500/100))</f>
        <v>0</v>
      </c>
      <c r="Q500" s="30">
        <f>IFERROR(IF(P500="","",P500*INDEX(Ingredients!$P$5:$P$304,MATCH(D500,Ingredients!$B$5:$B$304,0))),"")</f>
        <v>0</v>
      </c>
      <c r="R500" s="45">
        <f>IFERROR(IF(P500="","",P500*INDEX(Ingredients!$Q$5:$Q$304,MATCH(D500,Ingredients!$B$5:$B$304,0))),"")</f>
        <v>0</v>
      </c>
      <c r="S500" s="45">
        <f>IFERROR(IF(P500="","",P500*INDEX(Ingredients!$R$5:$R$304,MATCH(D500,Ingredients!$B$5:$B$304,0))),"")</f>
        <v>0</v>
      </c>
      <c r="T500" s="45">
        <f>IFERROR(IF(P500="","",P500*INDEX(Ingredients!$S$5:$S$304,MATCH(D500,Ingredients!$B$5:$B$304,0))),"")</f>
        <v>0</v>
      </c>
      <c r="U500" s="45">
        <f>IFERROR(IF(P500="","",P500*INDEX(Ingredients!$T$5:$T$304,MATCH(D500,Ingredients!$B$5:$B$304,0))),"")</f>
        <v>0</v>
      </c>
      <c r="V500" s="17">
        <f>IF(D500="","",IFERROR(INDEX(Ingredients!$W$5:$W$304,MATCH(D500,Ingredients!$B$5:$B$304,0)),"Add to Ingredients"))</f>
        <v>0</v>
      </c>
      <c r="W500" s="17">
        <f>IF(D500="","",IFERROR(INDEX(Ingredients!$C$5:$C$304,MATCH(D500,Ingredients!$B$5:$B$304,0)),"Add to Ingredients"))</f>
        <v>0</v>
      </c>
      <c r="X500" s="45">
        <f>IFERROR(INDEX(Recipes!$AT$5:$AT$204,MATCH(B500,Recipes!$A$5:$A$204,0)),0)</f>
        <v>0</v>
      </c>
      <c r="Y500" s="45">
        <f>IF(OR(J500="",X500=0),"",J500*X500)</f>
        <v>0</v>
      </c>
      <c r="Z500" s="17">
        <f>IF(D500="","",B500&amp;"#"&amp;COUNTIFS($B$5:B500,B500))</f>
        <v>0</v>
      </c>
      <c r="AA500" s="17">
        <f>IF(D500="","",B500&amp;"|"&amp;D500)</f>
        <v>0</v>
      </c>
      <c r="AB500" s="31">
        <f>IF(D500="","",IF(B500="","Add - which recipe?",IF(COUNTIFS(Ingredients!$B$5:$B$304,D500)=0,"Missing - not in the Ingredients tab",IF(E500="","Add - no quantity",IF(F500="","Add - no unit",IF(K500&lt;&gt;L500,"Check - recipe in "&amp;K500&amp;", priced in "&amp;L500,IF(COUNTIFS($AA$5:$AA$1204,AA500)&gt;1,"Duplicate - same ingredient twice","OK")))))))</f>
        <v>0</v>
      </c>
    </row>
    <row r="501" spans="1:28">
      <c r="A501" s="39">
        <f>IF(D501="","","RL-"&amp;TEXT(ROW()-4,"0000"))</f>
        <v>0</v>
      </c>
      <c r="C501" s="17">
        <f>IF(B501="","",IFERROR(INDEX(Recipes!$B$5:$B$204,MATCH(B501,Recipes!$A$5:$A$204,0)),"Not found"))</f>
        <v>0</v>
      </c>
      <c r="J501" s="45">
        <f>IF(E501="","",IFERROR(E501*INDEX(UnitFactors,MATCH(F501,UnitNames,0)),""))</f>
        <v>0</v>
      </c>
      <c r="K501" s="17">
        <f>IF(F501="","",IFERROR(INDEX(UnitBases,MATCH(F501,UnitNames,0)),"?"))</f>
        <v>0</v>
      </c>
      <c r="L501" s="17">
        <f>IF(D501="","",IFERROR(INDEX(Ingredients!$G$5:$G$304,MATCH(D501,Ingredients!$B$5:$B$304,0)),"Add to Ingredients"))</f>
        <v>0</v>
      </c>
      <c r="M501" s="25">
        <f>IF(D501="","",IFERROR(INDEX(Ingredients!$J$5:$J$304,MATCH(D501,Ingredients!$B$5:$B$304,0)),"Add to Ingredients"))</f>
        <v>0</v>
      </c>
      <c r="N501" s="25">
        <f>IF(OR(J501="",M501="",NOT(ISNUMBER(M501))),"",IF(K501&lt;&gt;L501,"",J501*M501))</f>
        <v>0</v>
      </c>
      <c r="O501" s="25">
        <f>IF(N501="","",IFERROR(N501/INDEX(Recipes!$G$5:$G$204,MATCH(B501,Recipes!$A$5:$A$204,0)),""))</f>
        <v>0</v>
      </c>
      <c r="P501" s="30">
        <f>IF(J501="","",IF(K501="each",J501,J501/100))</f>
        <v>0</v>
      </c>
      <c r="Q501" s="30">
        <f>IFERROR(IF(P501="","",P501*INDEX(Ingredients!$P$5:$P$304,MATCH(D501,Ingredients!$B$5:$B$304,0))),"")</f>
        <v>0</v>
      </c>
      <c r="R501" s="45">
        <f>IFERROR(IF(P501="","",P501*INDEX(Ingredients!$Q$5:$Q$304,MATCH(D501,Ingredients!$B$5:$B$304,0))),"")</f>
        <v>0</v>
      </c>
      <c r="S501" s="45">
        <f>IFERROR(IF(P501="","",P501*INDEX(Ingredients!$R$5:$R$304,MATCH(D501,Ingredients!$B$5:$B$304,0))),"")</f>
        <v>0</v>
      </c>
      <c r="T501" s="45">
        <f>IFERROR(IF(P501="","",P501*INDEX(Ingredients!$S$5:$S$304,MATCH(D501,Ingredients!$B$5:$B$304,0))),"")</f>
        <v>0</v>
      </c>
      <c r="U501" s="45">
        <f>IFERROR(IF(P501="","",P501*INDEX(Ingredients!$T$5:$T$304,MATCH(D501,Ingredients!$B$5:$B$304,0))),"")</f>
        <v>0</v>
      </c>
      <c r="V501" s="17">
        <f>IF(D501="","",IFERROR(INDEX(Ingredients!$W$5:$W$304,MATCH(D501,Ingredients!$B$5:$B$304,0)),"Add to Ingredients"))</f>
        <v>0</v>
      </c>
      <c r="W501" s="17">
        <f>IF(D501="","",IFERROR(INDEX(Ingredients!$C$5:$C$304,MATCH(D501,Ingredients!$B$5:$B$304,0)),"Add to Ingredients"))</f>
        <v>0</v>
      </c>
      <c r="X501" s="45">
        <f>IFERROR(INDEX(Recipes!$AT$5:$AT$204,MATCH(B501,Recipes!$A$5:$A$204,0)),0)</f>
        <v>0</v>
      </c>
      <c r="Y501" s="45">
        <f>IF(OR(J501="",X501=0),"",J501*X501)</f>
        <v>0</v>
      </c>
      <c r="Z501" s="17">
        <f>IF(D501="","",B501&amp;"#"&amp;COUNTIFS($B$5:B501,B501))</f>
        <v>0</v>
      </c>
      <c r="AA501" s="17">
        <f>IF(D501="","",B501&amp;"|"&amp;D501)</f>
        <v>0</v>
      </c>
      <c r="AB501" s="31">
        <f>IF(D501="","",IF(B501="","Add - which recipe?",IF(COUNTIFS(Ingredients!$B$5:$B$304,D501)=0,"Missing - not in the Ingredients tab",IF(E501="","Add - no quantity",IF(F501="","Add - no unit",IF(K501&lt;&gt;L501,"Check - recipe in "&amp;K501&amp;", priced in "&amp;L501,IF(COUNTIFS($AA$5:$AA$1204,AA501)&gt;1,"Duplicate - same ingredient twice","OK")))))))</f>
        <v>0</v>
      </c>
    </row>
    <row r="502" spans="1:28">
      <c r="A502" s="39">
        <f>IF(D502="","","RL-"&amp;TEXT(ROW()-4,"0000"))</f>
        <v>0</v>
      </c>
      <c r="C502" s="17">
        <f>IF(B502="","",IFERROR(INDEX(Recipes!$B$5:$B$204,MATCH(B502,Recipes!$A$5:$A$204,0)),"Not found"))</f>
        <v>0</v>
      </c>
      <c r="J502" s="45">
        <f>IF(E502="","",IFERROR(E502*INDEX(UnitFactors,MATCH(F502,UnitNames,0)),""))</f>
        <v>0</v>
      </c>
      <c r="K502" s="17">
        <f>IF(F502="","",IFERROR(INDEX(UnitBases,MATCH(F502,UnitNames,0)),"?"))</f>
        <v>0</v>
      </c>
      <c r="L502" s="17">
        <f>IF(D502="","",IFERROR(INDEX(Ingredients!$G$5:$G$304,MATCH(D502,Ingredients!$B$5:$B$304,0)),"Add to Ingredients"))</f>
        <v>0</v>
      </c>
      <c r="M502" s="25">
        <f>IF(D502="","",IFERROR(INDEX(Ingredients!$J$5:$J$304,MATCH(D502,Ingredients!$B$5:$B$304,0)),"Add to Ingredients"))</f>
        <v>0</v>
      </c>
      <c r="N502" s="25">
        <f>IF(OR(J502="",M502="",NOT(ISNUMBER(M502))),"",IF(K502&lt;&gt;L502,"",J502*M502))</f>
        <v>0</v>
      </c>
      <c r="O502" s="25">
        <f>IF(N502="","",IFERROR(N502/INDEX(Recipes!$G$5:$G$204,MATCH(B502,Recipes!$A$5:$A$204,0)),""))</f>
        <v>0</v>
      </c>
      <c r="P502" s="30">
        <f>IF(J502="","",IF(K502="each",J502,J502/100))</f>
        <v>0</v>
      </c>
      <c r="Q502" s="30">
        <f>IFERROR(IF(P502="","",P502*INDEX(Ingredients!$P$5:$P$304,MATCH(D502,Ingredients!$B$5:$B$304,0))),"")</f>
        <v>0</v>
      </c>
      <c r="R502" s="45">
        <f>IFERROR(IF(P502="","",P502*INDEX(Ingredients!$Q$5:$Q$304,MATCH(D502,Ingredients!$B$5:$B$304,0))),"")</f>
        <v>0</v>
      </c>
      <c r="S502" s="45">
        <f>IFERROR(IF(P502="","",P502*INDEX(Ingredients!$R$5:$R$304,MATCH(D502,Ingredients!$B$5:$B$304,0))),"")</f>
        <v>0</v>
      </c>
      <c r="T502" s="45">
        <f>IFERROR(IF(P502="","",P502*INDEX(Ingredients!$S$5:$S$304,MATCH(D502,Ingredients!$B$5:$B$304,0))),"")</f>
        <v>0</v>
      </c>
      <c r="U502" s="45">
        <f>IFERROR(IF(P502="","",P502*INDEX(Ingredients!$T$5:$T$304,MATCH(D502,Ingredients!$B$5:$B$304,0))),"")</f>
        <v>0</v>
      </c>
      <c r="V502" s="17">
        <f>IF(D502="","",IFERROR(INDEX(Ingredients!$W$5:$W$304,MATCH(D502,Ingredients!$B$5:$B$304,0)),"Add to Ingredients"))</f>
        <v>0</v>
      </c>
      <c r="W502" s="17">
        <f>IF(D502="","",IFERROR(INDEX(Ingredients!$C$5:$C$304,MATCH(D502,Ingredients!$B$5:$B$304,0)),"Add to Ingredients"))</f>
        <v>0</v>
      </c>
      <c r="X502" s="45">
        <f>IFERROR(INDEX(Recipes!$AT$5:$AT$204,MATCH(B502,Recipes!$A$5:$A$204,0)),0)</f>
        <v>0</v>
      </c>
      <c r="Y502" s="45">
        <f>IF(OR(J502="",X502=0),"",J502*X502)</f>
        <v>0</v>
      </c>
      <c r="Z502" s="17">
        <f>IF(D502="","",B502&amp;"#"&amp;COUNTIFS($B$5:B502,B502))</f>
        <v>0</v>
      </c>
      <c r="AA502" s="17">
        <f>IF(D502="","",B502&amp;"|"&amp;D502)</f>
        <v>0</v>
      </c>
      <c r="AB502" s="31">
        <f>IF(D502="","",IF(B502="","Add - which recipe?",IF(COUNTIFS(Ingredients!$B$5:$B$304,D502)=0,"Missing - not in the Ingredients tab",IF(E502="","Add - no quantity",IF(F502="","Add - no unit",IF(K502&lt;&gt;L502,"Check - recipe in "&amp;K502&amp;", priced in "&amp;L502,IF(COUNTIFS($AA$5:$AA$1204,AA502)&gt;1,"Duplicate - same ingredient twice","OK")))))))</f>
        <v>0</v>
      </c>
    </row>
    <row r="503" spans="1:28">
      <c r="A503" s="39">
        <f>IF(D503="","","RL-"&amp;TEXT(ROW()-4,"0000"))</f>
        <v>0</v>
      </c>
      <c r="C503" s="17">
        <f>IF(B503="","",IFERROR(INDEX(Recipes!$B$5:$B$204,MATCH(B503,Recipes!$A$5:$A$204,0)),"Not found"))</f>
        <v>0</v>
      </c>
      <c r="J503" s="45">
        <f>IF(E503="","",IFERROR(E503*INDEX(UnitFactors,MATCH(F503,UnitNames,0)),""))</f>
        <v>0</v>
      </c>
      <c r="K503" s="17">
        <f>IF(F503="","",IFERROR(INDEX(UnitBases,MATCH(F503,UnitNames,0)),"?"))</f>
        <v>0</v>
      </c>
      <c r="L503" s="17">
        <f>IF(D503="","",IFERROR(INDEX(Ingredients!$G$5:$G$304,MATCH(D503,Ingredients!$B$5:$B$304,0)),"Add to Ingredients"))</f>
        <v>0</v>
      </c>
      <c r="M503" s="25">
        <f>IF(D503="","",IFERROR(INDEX(Ingredients!$J$5:$J$304,MATCH(D503,Ingredients!$B$5:$B$304,0)),"Add to Ingredients"))</f>
        <v>0</v>
      </c>
      <c r="N503" s="25">
        <f>IF(OR(J503="",M503="",NOT(ISNUMBER(M503))),"",IF(K503&lt;&gt;L503,"",J503*M503))</f>
        <v>0</v>
      </c>
      <c r="O503" s="25">
        <f>IF(N503="","",IFERROR(N503/INDEX(Recipes!$G$5:$G$204,MATCH(B503,Recipes!$A$5:$A$204,0)),""))</f>
        <v>0</v>
      </c>
      <c r="P503" s="30">
        <f>IF(J503="","",IF(K503="each",J503,J503/100))</f>
        <v>0</v>
      </c>
      <c r="Q503" s="30">
        <f>IFERROR(IF(P503="","",P503*INDEX(Ingredients!$P$5:$P$304,MATCH(D503,Ingredients!$B$5:$B$304,0))),"")</f>
        <v>0</v>
      </c>
      <c r="R503" s="45">
        <f>IFERROR(IF(P503="","",P503*INDEX(Ingredients!$Q$5:$Q$304,MATCH(D503,Ingredients!$B$5:$B$304,0))),"")</f>
        <v>0</v>
      </c>
      <c r="S503" s="45">
        <f>IFERROR(IF(P503="","",P503*INDEX(Ingredients!$R$5:$R$304,MATCH(D503,Ingredients!$B$5:$B$304,0))),"")</f>
        <v>0</v>
      </c>
      <c r="T503" s="45">
        <f>IFERROR(IF(P503="","",P503*INDEX(Ingredients!$S$5:$S$304,MATCH(D503,Ingredients!$B$5:$B$304,0))),"")</f>
        <v>0</v>
      </c>
      <c r="U503" s="45">
        <f>IFERROR(IF(P503="","",P503*INDEX(Ingredients!$T$5:$T$304,MATCH(D503,Ingredients!$B$5:$B$304,0))),"")</f>
        <v>0</v>
      </c>
      <c r="V503" s="17">
        <f>IF(D503="","",IFERROR(INDEX(Ingredients!$W$5:$W$304,MATCH(D503,Ingredients!$B$5:$B$304,0)),"Add to Ingredients"))</f>
        <v>0</v>
      </c>
      <c r="W503" s="17">
        <f>IF(D503="","",IFERROR(INDEX(Ingredients!$C$5:$C$304,MATCH(D503,Ingredients!$B$5:$B$304,0)),"Add to Ingredients"))</f>
        <v>0</v>
      </c>
      <c r="X503" s="45">
        <f>IFERROR(INDEX(Recipes!$AT$5:$AT$204,MATCH(B503,Recipes!$A$5:$A$204,0)),0)</f>
        <v>0</v>
      </c>
      <c r="Y503" s="45">
        <f>IF(OR(J503="",X503=0),"",J503*X503)</f>
        <v>0</v>
      </c>
      <c r="Z503" s="17">
        <f>IF(D503="","",B503&amp;"#"&amp;COUNTIFS($B$5:B503,B503))</f>
        <v>0</v>
      </c>
      <c r="AA503" s="17">
        <f>IF(D503="","",B503&amp;"|"&amp;D503)</f>
        <v>0</v>
      </c>
      <c r="AB503" s="31">
        <f>IF(D503="","",IF(B503="","Add - which recipe?",IF(COUNTIFS(Ingredients!$B$5:$B$304,D503)=0,"Missing - not in the Ingredients tab",IF(E503="","Add - no quantity",IF(F503="","Add - no unit",IF(K503&lt;&gt;L503,"Check - recipe in "&amp;K503&amp;", priced in "&amp;L503,IF(COUNTIFS($AA$5:$AA$1204,AA503)&gt;1,"Duplicate - same ingredient twice","OK")))))))</f>
        <v>0</v>
      </c>
    </row>
    <row r="504" spans="1:28">
      <c r="A504" s="39">
        <f>IF(D504="","","RL-"&amp;TEXT(ROW()-4,"0000"))</f>
        <v>0</v>
      </c>
      <c r="C504" s="17">
        <f>IF(B504="","",IFERROR(INDEX(Recipes!$B$5:$B$204,MATCH(B504,Recipes!$A$5:$A$204,0)),"Not found"))</f>
        <v>0</v>
      </c>
      <c r="J504" s="45">
        <f>IF(E504="","",IFERROR(E504*INDEX(UnitFactors,MATCH(F504,UnitNames,0)),""))</f>
        <v>0</v>
      </c>
      <c r="K504" s="17">
        <f>IF(F504="","",IFERROR(INDEX(UnitBases,MATCH(F504,UnitNames,0)),"?"))</f>
        <v>0</v>
      </c>
      <c r="L504" s="17">
        <f>IF(D504="","",IFERROR(INDEX(Ingredients!$G$5:$G$304,MATCH(D504,Ingredients!$B$5:$B$304,0)),"Add to Ingredients"))</f>
        <v>0</v>
      </c>
      <c r="M504" s="25">
        <f>IF(D504="","",IFERROR(INDEX(Ingredients!$J$5:$J$304,MATCH(D504,Ingredients!$B$5:$B$304,0)),"Add to Ingredients"))</f>
        <v>0</v>
      </c>
      <c r="N504" s="25">
        <f>IF(OR(J504="",M504="",NOT(ISNUMBER(M504))),"",IF(K504&lt;&gt;L504,"",J504*M504))</f>
        <v>0</v>
      </c>
      <c r="O504" s="25">
        <f>IF(N504="","",IFERROR(N504/INDEX(Recipes!$G$5:$G$204,MATCH(B504,Recipes!$A$5:$A$204,0)),""))</f>
        <v>0</v>
      </c>
      <c r="P504" s="30">
        <f>IF(J504="","",IF(K504="each",J504,J504/100))</f>
        <v>0</v>
      </c>
      <c r="Q504" s="30">
        <f>IFERROR(IF(P504="","",P504*INDEX(Ingredients!$P$5:$P$304,MATCH(D504,Ingredients!$B$5:$B$304,0))),"")</f>
        <v>0</v>
      </c>
      <c r="R504" s="45">
        <f>IFERROR(IF(P504="","",P504*INDEX(Ingredients!$Q$5:$Q$304,MATCH(D504,Ingredients!$B$5:$B$304,0))),"")</f>
        <v>0</v>
      </c>
      <c r="S504" s="45">
        <f>IFERROR(IF(P504="","",P504*INDEX(Ingredients!$R$5:$R$304,MATCH(D504,Ingredients!$B$5:$B$304,0))),"")</f>
        <v>0</v>
      </c>
      <c r="T504" s="45">
        <f>IFERROR(IF(P504="","",P504*INDEX(Ingredients!$S$5:$S$304,MATCH(D504,Ingredients!$B$5:$B$304,0))),"")</f>
        <v>0</v>
      </c>
      <c r="U504" s="45">
        <f>IFERROR(IF(P504="","",P504*INDEX(Ingredients!$T$5:$T$304,MATCH(D504,Ingredients!$B$5:$B$304,0))),"")</f>
        <v>0</v>
      </c>
      <c r="V504" s="17">
        <f>IF(D504="","",IFERROR(INDEX(Ingredients!$W$5:$W$304,MATCH(D504,Ingredients!$B$5:$B$304,0)),"Add to Ingredients"))</f>
        <v>0</v>
      </c>
      <c r="W504" s="17">
        <f>IF(D504="","",IFERROR(INDEX(Ingredients!$C$5:$C$304,MATCH(D504,Ingredients!$B$5:$B$304,0)),"Add to Ingredients"))</f>
        <v>0</v>
      </c>
      <c r="X504" s="45">
        <f>IFERROR(INDEX(Recipes!$AT$5:$AT$204,MATCH(B504,Recipes!$A$5:$A$204,0)),0)</f>
        <v>0</v>
      </c>
      <c r="Y504" s="45">
        <f>IF(OR(J504="",X504=0),"",J504*X504)</f>
        <v>0</v>
      </c>
      <c r="Z504" s="17">
        <f>IF(D504="","",B504&amp;"#"&amp;COUNTIFS($B$5:B504,B504))</f>
        <v>0</v>
      </c>
      <c r="AA504" s="17">
        <f>IF(D504="","",B504&amp;"|"&amp;D504)</f>
        <v>0</v>
      </c>
      <c r="AB504" s="31">
        <f>IF(D504="","",IF(B504="","Add - which recipe?",IF(COUNTIFS(Ingredients!$B$5:$B$304,D504)=0,"Missing - not in the Ingredients tab",IF(E504="","Add - no quantity",IF(F504="","Add - no unit",IF(K504&lt;&gt;L504,"Check - recipe in "&amp;K504&amp;", priced in "&amp;L504,IF(COUNTIFS($AA$5:$AA$1204,AA504)&gt;1,"Duplicate - same ingredient twice","OK")))))))</f>
        <v>0</v>
      </c>
    </row>
    <row r="505" spans="1:28">
      <c r="A505" s="39">
        <f>IF(D505="","","RL-"&amp;TEXT(ROW()-4,"0000"))</f>
        <v>0</v>
      </c>
      <c r="C505" s="17">
        <f>IF(B505="","",IFERROR(INDEX(Recipes!$B$5:$B$204,MATCH(B505,Recipes!$A$5:$A$204,0)),"Not found"))</f>
        <v>0</v>
      </c>
      <c r="J505" s="45">
        <f>IF(E505="","",IFERROR(E505*INDEX(UnitFactors,MATCH(F505,UnitNames,0)),""))</f>
        <v>0</v>
      </c>
      <c r="K505" s="17">
        <f>IF(F505="","",IFERROR(INDEX(UnitBases,MATCH(F505,UnitNames,0)),"?"))</f>
        <v>0</v>
      </c>
      <c r="L505" s="17">
        <f>IF(D505="","",IFERROR(INDEX(Ingredients!$G$5:$G$304,MATCH(D505,Ingredients!$B$5:$B$304,0)),"Add to Ingredients"))</f>
        <v>0</v>
      </c>
      <c r="M505" s="25">
        <f>IF(D505="","",IFERROR(INDEX(Ingredients!$J$5:$J$304,MATCH(D505,Ingredients!$B$5:$B$304,0)),"Add to Ingredients"))</f>
        <v>0</v>
      </c>
      <c r="N505" s="25">
        <f>IF(OR(J505="",M505="",NOT(ISNUMBER(M505))),"",IF(K505&lt;&gt;L505,"",J505*M505))</f>
        <v>0</v>
      </c>
      <c r="O505" s="25">
        <f>IF(N505="","",IFERROR(N505/INDEX(Recipes!$G$5:$G$204,MATCH(B505,Recipes!$A$5:$A$204,0)),""))</f>
        <v>0</v>
      </c>
      <c r="P505" s="30">
        <f>IF(J505="","",IF(K505="each",J505,J505/100))</f>
        <v>0</v>
      </c>
      <c r="Q505" s="30">
        <f>IFERROR(IF(P505="","",P505*INDEX(Ingredients!$P$5:$P$304,MATCH(D505,Ingredients!$B$5:$B$304,0))),"")</f>
        <v>0</v>
      </c>
      <c r="R505" s="45">
        <f>IFERROR(IF(P505="","",P505*INDEX(Ingredients!$Q$5:$Q$304,MATCH(D505,Ingredients!$B$5:$B$304,0))),"")</f>
        <v>0</v>
      </c>
      <c r="S505" s="45">
        <f>IFERROR(IF(P505="","",P505*INDEX(Ingredients!$R$5:$R$304,MATCH(D505,Ingredients!$B$5:$B$304,0))),"")</f>
        <v>0</v>
      </c>
      <c r="T505" s="45">
        <f>IFERROR(IF(P505="","",P505*INDEX(Ingredients!$S$5:$S$304,MATCH(D505,Ingredients!$B$5:$B$304,0))),"")</f>
        <v>0</v>
      </c>
      <c r="U505" s="45">
        <f>IFERROR(IF(P505="","",P505*INDEX(Ingredients!$T$5:$T$304,MATCH(D505,Ingredients!$B$5:$B$304,0))),"")</f>
        <v>0</v>
      </c>
      <c r="V505" s="17">
        <f>IF(D505="","",IFERROR(INDEX(Ingredients!$W$5:$W$304,MATCH(D505,Ingredients!$B$5:$B$304,0)),"Add to Ingredients"))</f>
        <v>0</v>
      </c>
      <c r="W505" s="17">
        <f>IF(D505="","",IFERROR(INDEX(Ingredients!$C$5:$C$304,MATCH(D505,Ingredients!$B$5:$B$304,0)),"Add to Ingredients"))</f>
        <v>0</v>
      </c>
      <c r="X505" s="45">
        <f>IFERROR(INDEX(Recipes!$AT$5:$AT$204,MATCH(B505,Recipes!$A$5:$A$204,0)),0)</f>
        <v>0</v>
      </c>
      <c r="Y505" s="45">
        <f>IF(OR(J505="",X505=0),"",J505*X505)</f>
        <v>0</v>
      </c>
      <c r="Z505" s="17">
        <f>IF(D505="","",B505&amp;"#"&amp;COUNTIFS($B$5:B505,B505))</f>
        <v>0</v>
      </c>
      <c r="AA505" s="17">
        <f>IF(D505="","",B505&amp;"|"&amp;D505)</f>
        <v>0</v>
      </c>
      <c r="AB505" s="31">
        <f>IF(D505="","",IF(B505="","Add - which recipe?",IF(COUNTIFS(Ingredients!$B$5:$B$304,D505)=0,"Missing - not in the Ingredients tab",IF(E505="","Add - no quantity",IF(F505="","Add - no unit",IF(K505&lt;&gt;L505,"Check - recipe in "&amp;K505&amp;", priced in "&amp;L505,IF(COUNTIFS($AA$5:$AA$1204,AA505)&gt;1,"Duplicate - same ingredient twice","OK")))))))</f>
        <v>0</v>
      </c>
    </row>
    <row r="506" spans="1:28">
      <c r="A506" s="39">
        <f>IF(D506="","","RL-"&amp;TEXT(ROW()-4,"0000"))</f>
        <v>0</v>
      </c>
      <c r="C506" s="17">
        <f>IF(B506="","",IFERROR(INDEX(Recipes!$B$5:$B$204,MATCH(B506,Recipes!$A$5:$A$204,0)),"Not found"))</f>
        <v>0</v>
      </c>
      <c r="J506" s="45">
        <f>IF(E506="","",IFERROR(E506*INDEX(UnitFactors,MATCH(F506,UnitNames,0)),""))</f>
        <v>0</v>
      </c>
      <c r="K506" s="17">
        <f>IF(F506="","",IFERROR(INDEX(UnitBases,MATCH(F506,UnitNames,0)),"?"))</f>
        <v>0</v>
      </c>
      <c r="L506" s="17">
        <f>IF(D506="","",IFERROR(INDEX(Ingredients!$G$5:$G$304,MATCH(D506,Ingredients!$B$5:$B$304,0)),"Add to Ingredients"))</f>
        <v>0</v>
      </c>
      <c r="M506" s="25">
        <f>IF(D506="","",IFERROR(INDEX(Ingredients!$J$5:$J$304,MATCH(D506,Ingredients!$B$5:$B$304,0)),"Add to Ingredients"))</f>
        <v>0</v>
      </c>
      <c r="N506" s="25">
        <f>IF(OR(J506="",M506="",NOT(ISNUMBER(M506))),"",IF(K506&lt;&gt;L506,"",J506*M506))</f>
        <v>0</v>
      </c>
      <c r="O506" s="25">
        <f>IF(N506="","",IFERROR(N506/INDEX(Recipes!$G$5:$G$204,MATCH(B506,Recipes!$A$5:$A$204,0)),""))</f>
        <v>0</v>
      </c>
      <c r="P506" s="30">
        <f>IF(J506="","",IF(K506="each",J506,J506/100))</f>
        <v>0</v>
      </c>
      <c r="Q506" s="30">
        <f>IFERROR(IF(P506="","",P506*INDEX(Ingredients!$P$5:$P$304,MATCH(D506,Ingredients!$B$5:$B$304,0))),"")</f>
        <v>0</v>
      </c>
      <c r="R506" s="45">
        <f>IFERROR(IF(P506="","",P506*INDEX(Ingredients!$Q$5:$Q$304,MATCH(D506,Ingredients!$B$5:$B$304,0))),"")</f>
        <v>0</v>
      </c>
      <c r="S506" s="45">
        <f>IFERROR(IF(P506="","",P506*INDEX(Ingredients!$R$5:$R$304,MATCH(D506,Ingredients!$B$5:$B$304,0))),"")</f>
        <v>0</v>
      </c>
      <c r="T506" s="45">
        <f>IFERROR(IF(P506="","",P506*INDEX(Ingredients!$S$5:$S$304,MATCH(D506,Ingredients!$B$5:$B$304,0))),"")</f>
        <v>0</v>
      </c>
      <c r="U506" s="45">
        <f>IFERROR(IF(P506="","",P506*INDEX(Ingredients!$T$5:$T$304,MATCH(D506,Ingredients!$B$5:$B$304,0))),"")</f>
        <v>0</v>
      </c>
      <c r="V506" s="17">
        <f>IF(D506="","",IFERROR(INDEX(Ingredients!$W$5:$W$304,MATCH(D506,Ingredients!$B$5:$B$304,0)),"Add to Ingredients"))</f>
        <v>0</v>
      </c>
      <c r="W506" s="17">
        <f>IF(D506="","",IFERROR(INDEX(Ingredients!$C$5:$C$304,MATCH(D506,Ingredients!$B$5:$B$304,0)),"Add to Ingredients"))</f>
        <v>0</v>
      </c>
      <c r="X506" s="45">
        <f>IFERROR(INDEX(Recipes!$AT$5:$AT$204,MATCH(B506,Recipes!$A$5:$A$204,0)),0)</f>
        <v>0</v>
      </c>
      <c r="Y506" s="45">
        <f>IF(OR(J506="",X506=0),"",J506*X506)</f>
        <v>0</v>
      </c>
      <c r="Z506" s="17">
        <f>IF(D506="","",B506&amp;"#"&amp;COUNTIFS($B$5:B506,B506))</f>
        <v>0</v>
      </c>
      <c r="AA506" s="17">
        <f>IF(D506="","",B506&amp;"|"&amp;D506)</f>
        <v>0</v>
      </c>
      <c r="AB506" s="31">
        <f>IF(D506="","",IF(B506="","Add - which recipe?",IF(COUNTIFS(Ingredients!$B$5:$B$304,D506)=0,"Missing - not in the Ingredients tab",IF(E506="","Add - no quantity",IF(F506="","Add - no unit",IF(K506&lt;&gt;L506,"Check - recipe in "&amp;K506&amp;", priced in "&amp;L506,IF(COUNTIFS($AA$5:$AA$1204,AA506)&gt;1,"Duplicate - same ingredient twice","OK")))))))</f>
        <v>0</v>
      </c>
    </row>
    <row r="507" spans="1:28">
      <c r="A507" s="39">
        <f>IF(D507="","","RL-"&amp;TEXT(ROW()-4,"0000"))</f>
        <v>0</v>
      </c>
      <c r="C507" s="17">
        <f>IF(B507="","",IFERROR(INDEX(Recipes!$B$5:$B$204,MATCH(B507,Recipes!$A$5:$A$204,0)),"Not found"))</f>
        <v>0</v>
      </c>
      <c r="J507" s="45">
        <f>IF(E507="","",IFERROR(E507*INDEX(UnitFactors,MATCH(F507,UnitNames,0)),""))</f>
        <v>0</v>
      </c>
      <c r="K507" s="17">
        <f>IF(F507="","",IFERROR(INDEX(UnitBases,MATCH(F507,UnitNames,0)),"?"))</f>
        <v>0</v>
      </c>
      <c r="L507" s="17">
        <f>IF(D507="","",IFERROR(INDEX(Ingredients!$G$5:$G$304,MATCH(D507,Ingredients!$B$5:$B$304,0)),"Add to Ingredients"))</f>
        <v>0</v>
      </c>
      <c r="M507" s="25">
        <f>IF(D507="","",IFERROR(INDEX(Ingredients!$J$5:$J$304,MATCH(D507,Ingredients!$B$5:$B$304,0)),"Add to Ingredients"))</f>
        <v>0</v>
      </c>
      <c r="N507" s="25">
        <f>IF(OR(J507="",M507="",NOT(ISNUMBER(M507))),"",IF(K507&lt;&gt;L507,"",J507*M507))</f>
        <v>0</v>
      </c>
      <c r="O507" s="25">
        <f>IF(N507="","",IFERROR(N507/INDEX(Recipes!$G$5:$G$204,MATCH(B507,Recipes!$A$5:$A$204,0)),""))</f>
        <v>0</v>
      </c>
      <c r="P507" s="30">
        <f>IF(J507="","",IF(K507="each",J507,J507/100))</f>
        <v>0</v>
      </c>
      <c r="Q507" s="30">
        <f>IFERROR(IF(P507="","",P507*INDEX(Ingredients!$P$5:$P$304,MATCH(D507,Ingredients!$B$5:$B$304,0))),"")</f>
        <v>0</v>
      </c>
      <c r="R507" s="45">
        <f>IFERROR(IF(P507="","",P507*INDEX(Ingredients!$Q$5:$Q$304,MATCH(D507,Ingredients!$B$5:$B$304,0))),"")</f>
        <v>0</v>
      </c>
      <c r="S507" s="45">
        <f>IFERROR(IF(P507="","",P507*INDEX(Ingredients!$R$5:$R$304,MATCH(D507,Ingredients!$B$5:$B$304,0))),"")</f>
        <v>0</v>
      </c>
      <c r="T507" s="45">
        <f>IFERROR(IF(P507="","",P507*INDEX(Ingredients!$S$5:$S$304,MATCH(D507,Ingredients!$B$5:$B$304,0))),"")</f>
        <v>0</v>
      </c>
      <c r="U507" s="45">
        <f>IFERROR(IF(P507="","",P507*INDEX(Ingredients!$T$5:$T$304,MATCH(D507,Ingredients!$B$5:$B$304,0))),"")</f>
        <v>0</v>
      </c>
      <c r="V507" s="17">
        <f>IF(D507="","",IFERROR(INDEX(Ingredients!$W$5:$W$304,MATCH(D507,Ingredients!$B$5:$B$304,0)),"Add to Ingredients"))</f>
        <v>0</v>
      </c>
      <c r="W507" s="17">
        <f>IF(D507="","",IFERROR(INDEX(Ingredients!$C$5:$C$304,MATCH(D507,Ingredients!$B$5:$B$304,0)),"Add to Ingredients"))</f>
        <v>0</v>
      </c>
      <c r="X507" s="45">
        <f>IFERROR(INDEX(Recipes!$AT$5:$AT$204,MATCH(B507,Recipes!$A$5:$A$204,0)),0)</f>
        <v>0</v>
      </c>
      <c r="Y507" s="45">
        <f>IF(OR(J507="",X507=0),"",J507*X507)</f>
        <v>0</v>
      </c>
      <c r="Z507" s="17">
        <f>IF(D507="","",B507&amp;"#"&amp;COUNTIFS($B$5:B507,B507))</f>
        <v>0</v>
      </c>
      <c r="AA507" s="17">
        <f>IF(D507="","",B507&amp;"|"&amp;D507)</f>
        <v>0</v>
      </c>
      <c r="AB507" s="31">
        <f>IF(D507="","",IF(B507="","Add - which recipe?",IF(COUNTIFS(Ingredients!$B$5:$B$304,D507)=0,"Missing - not in the Ingredients tab",IF(E507="","Add - no quantity",IF(F507="","Add - no unit",IF(K507&lt;&gt;L507,"Check - recipe in "&amp;K507&amp;", priced in "&amp;L507,IF(COUNTIFS($AA$5:$AA$1204,AA507)&gt;1,"Duplicate - same ingredient twice","OK")))))))</f>
        <v>0</v>
      </c>
    </row>
    <row r="508" spans="1:28">
      <c r="A508" s="39">
        <f>IF(D508="","","RL-"&amp;TEXT(ROW()-4,"0000"))</f>
        <v>0</v>
      </c>
      <c r="C508" s="17">
        <f>IF(B508="","",IFERROR(INDEX(Recipes!$B$5:$B$204,MATCH(B508,Recipes!$A$5:$A$204,0)),"Not found"))</f>
        <v>0</v>
      </c>
      <c r="J508" s="45">
        <f>IF(E508="","",IFERROR(E508*INDEX(UnitFactors,MATCH(F508,UnitNames,0)),""))</f>
        <v>0</v>
      </c>
      <c r="K508" s="17">
        <f>IF(F508="","",IFERROR(INDEX(UnitBases,MATCH(F508,UnitNames,0)),"?"))</f>
        <v>0</v>
      </c>
      <c r="L508" s="17">
        <f>IF(D508="","",IFERROR(INDEX(Ingredients!$G$5:$G$304,MATCH(D508,Ingredients!$B$5:$B$304,0)),"Add to Ingredients"))</f>
        <v>0</v>
      </c>
      <c r="M508" s="25">
        <f>IF(D508="","",IFERROR(INDEX(Ingredients!$J$5:$J$304,MATCH(D508,Ingredients!$B$5:$B$304,0)),"Add to Ingredients"))</f>
        <v>0</v>
      </c>
      <c r="N508" s="25">
        <f>IF(OR(J508="",M508="",NOT(ISNUMBER(M508))),"",IF(K508&lt;&gt;L508,"",J508*M508))</f>
        <v>0</v>
      </c>
      <c r="O508" s="25">
        <f>IF(N508="","",IFERROR(N508/INDEX(Recipes!$G$5:$G$204,MATCH(B508,Recipes!$A$5:$A$204,0)),""))</f>
        <v>0</v>
      </c>
      <c r="P508" s="30">
        <f>IF(J508="","",IF(K508="each",J508,J508/100))</f>
        <v>0</v>
      </c>
      <c r="Q508" s="30">
        <f>IFERROR(IF(P508="","",P508*INDEX(Ingredients!$P$5:$P$304,MATCH(D508,Ingredients!$B$5:$B$304,0))),"")</f>
        <v>0</v>
      </c>
      <c r="R508" s="45">
        <f>IFERROR(IF(P508="","",P508*INDEX(Ingredients!$Q$5:$Q$304,MATCH(D508,Ingredients!$B$5:$B$304,0))),"")</f>
        <v>0</v>
      </c>
      <c r="S508" s="45">
        <f>IFERROR(IF(P508="","",P508*INDEX(Ingredients!$R$5:$R$304,MATCH(D508,Ingredients!$B$5:$B$304,0))),"")</f>
        <v>0</v>
      </c>
      <c r="T508" s="45">
        <f>IFERROR(IF(P508="","",P508*INDEX(Ingredients!$S$5:$S$304,MATCH(D508,Ingredients!$B$5:$B$304,0))),"")</f>
        <v>0</v>
      </c>
      <c r="U508" s="45">
        <f>IFERROR(IF(P508="","",P508*INDEX(Ingredients!$T$5:$T$304,MATCH(D508,Ingredients!$B$5:$B$304,0))),"")</f>
        <v>0</v>
      </c>
      <c r="V508" s="17">
        <f>IF(D508="","",IFERROR(INDEX(Ingredients!$W$5:$W$304,MATCH(D508,Ingredients!$B$5:$B$304,0)),"Add to Ingredients"))</f>
        <v>0</v>
      </c>
      <c r="W508" s="17">
        <f>IF(D508="","",IFERROR(INDEX(Ingredients!$C$5:$C$304,MATCH(D508,Ingredients!$B$5:$B$304,0)),"Add to Ingredients"))</f>
        <v>0</v>
      </c>
      <c r="X508" s="45">
        <f>IFERROR(INDEX(Recipes!$AT$5:$AT$204,MATCH(B508,Recipes!$A$5:$A$204,0)),0)</f>
        <v>0</v>
      </c>
      <c r="Y508" s="45">
        <f>IF(OR(J508="",X508=0),"",J508*X508)</f>
        <v>0</v>
      </c>
      <c r="Z508" s="17">
        <f>IF(D508="","",B508&amp;"#"&amp;COUNTIFS($B$5:B508,B508))</f>
        <v>0</v>
      </c>
      <c r="AA508" s="17">
        <f>IF(D508="","",B508&amp;"|"&amp;D508)</f>
        <v>0</v>
      </c>
      <c r="AB508" s="31">
        <f>IF(D508="","",IF(B508="","Add - which recipe?",IF(COUNTIFS(Ingredients!$B$5:$B$304,D508)=0,"Missing - not in the Ingredients tab",IF(E508="","Add - no quantity",IF(F508="","Add - no unit",IF(K508&lt;&gt;L508,"Check - recipe in "&amp;K508&amp;", priced in "&amp;L508,IF(COUNTIFS($AA$5:$AA$1204,AA508)&gt;1,"Duplicate - same ingredient twice","OK")))))))</f>
        <v>0</v>
      </c>
    </row>
    <row r="509" spans="1:28">
      <c r="A509" s="39">
        <f>IF(D509="","","RL-"&amp;TEXT(ROW()-4,"0000"))</f>
        <v>0</v>
      </c>
      <c r="C509" s="17">
        <f>IF(B509="","",IFERROR(INDEX(Recipes!$B$5:$B$204,MATCH(B509,Recipes!$A$5:$A$204,0)),"Not found"))</f>
        <v>0</v>
      </c>
      <c r="J509" s="45">
        <f>IF(E509="","",IFERROR(E509*INDEX(UnitFactors,MATCH(F509,UnitNames,0)),""))</f>
        <v>0</v>
      </c>
      <c r="K509" s="17">
        <f>IF(F509="","",IFERROR(INDEX(UnitBases,MATCH(F509,UnitNames,0)),"?"))</f>
        <v>0</v>
      </c>
      <c r="L509" s="17">
        <f>IF(D509="","",IFERROR(INDEX(Ingredients!$G$5:$G$304,MATCH(D509,Ingredients!$B$5:$B$304,0)),"Add to Ingredients"))</f>
        <v>0</v>
      </c>
      <c r="M509" s="25">
        <f>IF(D509="","",IFERROR(INDEX(Ingredients!$J$5:$J$304,MATCH(D509,Ingredients!$B$5:$B$304,0)),"Add to Ingredients"))</f>
        <v>0</v>
      </c>
      <c r="N509" s="25">
        <f>IF(OR(J509="",M509="",NOT(ISNUMBER(M509))),"",IF(K509&lt;&gt;L509,"",J509*M509))</f>
        <v>0</v>
      </c>
      <c r="O509" s="25">
        <f>IF(N509="","",IFERROR(N509/INDEX(Recipes!$G$5:$G$204,MATCH(B509,Recipes!$A$5:$A$204,0)),""))</f>
        <v>0</v>
      </c>
      <c r="P509" s="30">
        <f>IF(J509="","",IF(K509="each",J509,J509/100))</f>
        <v>0</v>
      </c>
      <c r="Q509" s="30">
        <f>IFERROR(IF(P509="","",P509*INDEX(Ingredients!$P$5:$P$304,MATCH(D509,Ingredients!$B$5:$B$304,0))),"")</f>
        <v>0</v>
      </c>
      <c r="R509" s="45">
        <f>IFERROR(IF(P509="","",P509*INDEX(Ingredients!$Q$5:$Q$304,MATCH(D509,Ingredients!$B$5:$B$304,0))),"")</f>
        <v>0</v>
      </c>
      <c r="S509" s="45">
        <f>IFERROR(IF(P509="","",P509*INDEX(Ingredients!$R$5:$R$304,MATCH(D509,Ingredients!$B$5:$B$304,0))),"")</f>
        <v>0</v>
      </c>
      <c r="T509" s="45">
        <f>IFERROR(IF(P509="","",P509*INDEX(Ingredients!$S$5:$S$304,MATCH(D509,Ingredients!$B$5:$B$304,0))),"")</f>
        <v>0</v>
      </c>
      <c r="U509" s="45">
        <f>IFERROR(IF(P509="","",P509*INDEX(Ingredients!$T$5:$T$304,MATCH(D509,Ingredients!$B$5:$B$304,0))),"")</f>
        <v>0</v>
      </c>
      <c r="V509" s="17">
        <f>IF(D509="","",IFERROR(INDEX(Ingredients!$W$5:$W$304,MATCH(D509,Ingredients!$B$5:$B$304,0)),"Add to Ingredients"))</f>
        <v>0</v>
      </c>
      <c r="W509" s="17">
        <f>IF(D509="","",IFERROR(INDEX(Ingredients!$C$5:$C$304,MATCH(D509,Ingredients!$B$5:$B$304,0)),"Add to Ingredients"))</f>
        <v>0</v>
      </c>
      <c r="X509" s="45">
        <f>IFERROR(INDEX(Recipes!$AT$5:$AT$204,MATCH(B509,Recipes!$A$5:$A$204,0)),0)</f>
        <v>0</v>
      </c>
      <c r="Y509" s="45">
        <f>IF(OR(J509="",X509=0),"",J509*X509)</f>
        <v>0</v>
      </c>
      <c r="Z509" s="17">
        <f>IF(D509="","",B509&amp;"#"&amp;COUNTIFS($B$5:B509,B509))</f>
        <v>0</v>
      </c>
      <c r="AA509" s="17">
        <f>IF(D509="","",B509&amp;"|"&amp;D509)</f>
        <v>0</v>
      </c>
      <c r="AB509" s="31">
        <f>IF(D509="","",IF(B509="","Add - which recipe?",IF(COUNTIFS(Ingredients!$B$5:$B$304,D509)=0,"Missing - not in the Ingredients tab",IF(E509="","Add - no quantity",IF(F509="","Add - no unit",IF(K509&lt;&gt;L509,"Check - recipe in "&amp;K509&amp;", priced in "&amp;L509,IF(COUNTIFS($AA$5:$AA$1204,AA509)&gt;1,"Duplicate - same ingredient twice","OK")))))))</f>
        <v>0</v>
      </c>
    </row>
    <row r="510" spans="1:28">
      <c r="A510" s="39">
        <f>IF(D510="","","RL-"&amp;TEXT(ROW()-4,"0000"))</f>
        <v>0</v>
      </c>
      <c r="C510" s="17">
        <f>IF(B510="","",IFERROR(INDEX(Recipes!$B$5:$B$204,MATCH(B510,Recipes!$A$5:$A$204,0)),"Not found"))</f>
        <v>0</v>
      </c>
      <c r="J510" s="45">
        <f>IF(E510="","",IFERROR(E510*INDEX(UnitFactors,MATCH(F510,UnitNames,0)),""))</f>
        <v>0</v>
      </c>
      <c r="K510" s="17">
        <f>IF(F510="","",IFERROR(INDEX(UnitBases,MATCH(F510,UnitNames,0)),"?"))</f>
        <v>0</v>
      </c>
      <c r="L510" s="17">
        <f>IF(D510="","",IFERROR(INDEX(Ingredients!$G$5:$G$304,MATCH(D510,Ingredients!$B$5:$B$304,0)),"Add to Ingredients"))</f>
        <v>0</v>
      </c>
      <c r="M510" s="25">
        <f>IF(D510="","",IFERROR(INDEX(Ingredients!$J$5:$J$304,MATCH(D510,Ingredients!$B$5:$B$304,0)),"Add to Ingredients"))</f>
        <v>0</v>
      </c>
      <c r="N510" s="25">
        <f>IF(OR(J510="",M510="",NOT(ISNUMBER(M510))),"",IF(K510&lt;&gt;L510,"",J510*M510))</f>
        <v>0</v>
      </c>
      <c r="O510" s="25">
        <f>IF(N510="","",IFERROR(N510/INDEX(Recipes!$G$5:$G$204,MATCH(B510,Recipes!$A$5:$A$204,0)),""))</f>
        <v>0</v>
      </c>
      <c r="P510" s="30">
        <f>IF(J510="","",IF(K510="each",J510,J510/100))</f>
        <v>0</v>
      </c>
      <c r="Q510" s="30">
        <f>IFERROR(IF(P510="","",P510*INDEX(Ingredients!$P$5:$P$304,MATCH(D510,Ingredients!$B$5:$B$304,0))),"")</f>
        <v>0</v>
      </c>
      <c r="R510" s="45">
        <f>IFERROR(IF(P510="","",P510*INDEX(Ingredients!$Q$5:$Q$304,MATCH(D510,Ingredients!$B$5:$B$304,0))),"")</f>
        <v>0</v>
      </c>
      <c r="S510" s="45">
        <f>IFERROR(IF(P510="","",P510*INDEX(Ingredients!$R$5:$R$304,MATCH(D510,Ingredients!$B$5:$B$304,0))),"")</f>
        <v>0</v>
      </c>
      <c r="T510" s="45">
        <f>IFERROR(IF(P510="","",P510*INDEX(Ingredients!$S$5:$S$304,MATCH(D510,Ingredients!$B$5:$B$304,0))),"")</f>
        <v>0</v>
      </c>
      <c r="U510" s="45">
        <f>IFERROR(IF(P510="","",P510*INDEX(Ingredients!$T$5:$T$304,MATCH(D510,Ingredients!$B$5:$B$304,0))),"")</f>
        <v>0</v>
      </c>
      <c r="V510" s="17">
        <f>IF(D510="","",IFERROR(INDEX(Ingredients!$W$5:$W$304,MATCH(D510,Ingredients!$B$5:$B$304,0)),"Add to Ingredients"))</f>
        <v>0</v>
      </c>
      <c r="W510" s="17">
        <f>IF(D510="","",IFERROR(INDEX(Ingredients!$C$5:$C$304,MATCH(D510,Ingredients!$B$5:$B$304,0)),"Add to Ingredients"))</f>
        <v>0</v>
      </c>
      <c r="X510" s="45">
        <f>IFERROR(INDEX(Recipes!$AT$5:$AT$204,MATCH(B510,Recipes!$A$5:$A$204,0)),0)</f>
        <v>0</v>
      </c>
      <c r="Y510" s="45">
        <f>IF(OR(J510="",X510=0),"",J510*X510)</f>
        <v>0</v>
      </c>
      <c r="Z510" s="17">
        <f>IF(D510="","",B510&amp;"#"&amp;COUNTIFS($B$5:B510,B510))</f>
        <v>0</v>
      </c>
      <c r="AA510" s="17">
        <f>IF(D510="","",B510&amp;"|"&amp;D510)</f>
        <v>0</v>
      </c>
      <c r="AB510" s="31">
        <f>IF(D510="","",IF(B510="","Add - which recipe?",IF(COUNTIFS(Ingredients!$B$5:$B$304,D510)=0,"Missing - not in the Ingredients tab",IF(E510="","Add - no quantity",IF(F510="","Add - no unit",IF(K510&lt;&gt;L510,"Check - recipe in "&amp;K510&amp;", priced in "&amp;L510,IF(COUNTIFS($AA$5:$AA$1204,AA510)&gt;1,"Duplicate - same ingredient twice","OK")))))))</f>
        <v>0</v>
      </c>
    </row>
    <row r="511" spans="1:28">
      <c r="A511" s="39">
        <f>IF(D511="","","RL-"&amp;TEXT(ROW()-4,"0000"))</f>
        <v>0</v>
      </c>
      <c r="C511" s="17">
        <f>IF(B511="","",IFERROR(INDEX(Recipes!$B$5:$B$204,MATCH(B511,Recipes!$A$5:$A$204,0)),"Not found"))</f>
        <v>0</v>
      </c>
      <c r="J511" s="45">
        <f>IF(E511="","",IFERROR(E511*INDEX(UnitFactors,MATCH(F511,UnitNames,0)),""))</f>
        <v>0</v>
      </c>
      <c r="K511" s="17">
        <f>IF(F511="","",IFERROR(INDEX(UnitBases,MATCH(F511,UnitNames,0)),"?"))</f>
        <v>0</v>
      </c>
      <c r="L511" s="17">
        <f>IF(D511="","",IFERROR(INDEX(Ingredients!$G$5:$G$304,MATCH(D511,Ingredients!$B$5:$B$304,0)),"Add to Ingredients"))</f>
        <v>0</v>
      </c>
      <c r="M511" s="25">
        <f>IF(D511="","",IFERROR(INDEX(Ingredients!$J$5:$J$304,MATCH(D511,Ingredients!$B$5:$B$304,0)),"Add to Ingredients"))</f>
        <v>0</v>
      </c>
      <c r="N511" s="25">
        <f>IF(OR(J511="",M511="",NOT(ISNUMBER(M511))),"",IF(K511&lt;&gt;L511,"",J511*M511))</f>
        <v>0</v>
      </c>
      <c r="O511" s="25">
        <f>IF(N511="","",IFERROR(N511/INDEX(Recipes!$G$5:$G$204,MATCH(B511,Recipes!$A$5:$A$204,0)),""))</f>
        <v>0</v>
      </c>
      <c r="P511" s="30">
        <f>IF(J511="","",IF(K511="each",J511,J511/100))</f>
        <v>0</v>
      </c>
      <c r="Q511" s="30">
        <f>IFERROR(IF(P511="","",P511*INDEX(Ingredients!$P$5:$P$304,MATCH(D511,Ingredients!$B$5:$B$304,0))),"")</f>
        <v>0</v>
      </c>
      <c r="R511" s="45">
        <f>IFERROR(IF(P511="","",P511*INDEX(Ingredients!$Q$5:$Q$304,MATCH(D511,Ingredients!$B$5:$B$304,0))),"")</f>
        <v>0</v>
      </c>
      <c r="S511" s="45">
        <f>IFERROR(IF(P511="","",P511*INDEX(Ingredients!$R$5:$R$304,MATCH(D511,Ingredients!$B$5:$B$304,0))),"")</f>
        <v>0</v>
      </c>
      <c r="T511" s="45">
        <f>IFERROR(IF(P511="","",P511*INDEX(Ingredients!$S$5:$S$304,MATCH(D511,Ingredients!$B$5:$B$304,0))),"")</f>
        <v>0</v>
      </c>
      <c r="U511" s="45">
        <f>IFERROR(IF(P511="","",P511*INDEX(Ingredients!$T$5:$T$304,MATCH(D511,Ingredients!$B$5:$B$304,0))),"")</f>
        <v>0</v>
      </c>
      <c r="V511" s="17">
        <f>IF(D511="","",IFERROR(INDEX(Ingredients!$W$5:$W$304,MATCH(D511,Ingredients!$B$5:$B$304,0)),"Add to Ingredients"))</f>
        <v>0</v>
      </c>
      <c r="W511" s="17">
        <f>IF(D511="","",IFERROR(INDEX(Ingredients!$C$5:$C$304,MATCH(D511,Ingredients!$B$5:$B$304,0)),"Add to Ingredients"))</f>
        <v>0</v>
      </c>
      <c r="X511" s="45">
        <f>IFERROR(INDEX(Recipes!$AT$5:$AT$204,MATCH(B511,Recipes!$A$5:$A$204,0)),0)</f>
        <v>0</v>
      </c>
      <c r="Y511" s="45">
        <f>IF(OR(J511="",X511=0),"",J511*X511)</f>
        <v>0</v>
      </c>
      <c r="Z511" s="17">
        <f>IF(D511="","",B511&amp;"#"&amp;COUNTIFS($B$5:B511,B511))</f>
        <v>0</v>
      </c>
      <c r="AA511" s="17">
        <f>IF(D511="","",B511&amp;"|"&amp;D511)</f>
        <v>0</v>
      </c>
      <c r="AB511" s="31">
        <f>IF(D511="","",IF(B511="","Add - which recipe?",IF(COUNTIFS(Ingredients!$B$5:$B$304,D511)=0,"Missing - not in the Ingredients tab",IF(E511="","Add - no quantity",IF(F511="","Add - no unit",IF(K511&lt;&gt;L511,"Check - recipe in "&amp;K511&amp;", priced in "&amp;L511,IF(COUNTIFS($AA$5:$AA$1204,AA511)&gt;1,"Duplicate - same ingredient twice","OK")))))))</f>
        <v>0</v>
      </c>
    </row>
    <row r="512" spans="1:28">
      <c r="A512" s="39">
        <f>IF(D512="","","RL-"&amp;TEXT(ROW()-4,"0000"))</f>
        <v>0</v>
      </c>
      <c r="C512" s="17">
        <f>IF(B512="","",IFERROR(INDEX(Recipes!$B$5:$B$204,MATCH(B512,Recipes!$A$5:$A$204,0)),"Not found"))</f>
        <v>0</v>
      </c>
      <c r="J512" s="45">
        <f>IF(E512="","",IFERROR(E512*INDEX(UnitFactors,MATCH(F512,UnitNames,0)),""))</f>
        <v>0</v>
      </c>
      <c r="K512" s="17">
        <f>IF(F512="","",IFERROR(INDEX(UnitBases,MATCH(F512,UnitNames,0)),"?"))</f>
        <v>0</v>
      </c>
      <c r="L512" s="17">
        <f>IF(D512="","",IFERROR(INDEX(Ingredients!$G$5:$G$304,MATCH(D512,Ingredients!$B$5:$B$304,0)),"Add to Ingredients"))</f>
        <v>0</v>
      </c>
      <c r="M512" s="25">
        <f>IF(D512="","",IFERROR(INDEX(Ingredients!$J$5:$J$304,MATCH(D512,Ingredients!$B$5:$B$304,0)),"Add to Ingredients"))</f>
        <v>0</v>
      </c>
      <c r="N512" s="25">
        <f>IF(OR(J512="",M512="",NOT(ISNUMBER(M512))),"",IF(K512&lt;&gt;L512,"",J512*M512))</f>
        <v>0</v>
      </c>
      <c r="O512" s="25">
        <f>IF(N512="","",IFERROR(N512/INDEX(Recipes!$G$5:$G$204,MATCH(B512,Recipes!$A$5:$A$204,0)),""))</f>
        <v>0</v>
      </c>
      <c r="P512" s="30">
        <f>IF(J512="","",IF(K512="each",J512,J512/100))</f>
        <v>0</v>
      </c>
      <c r="Q512" s="30">
        <f>IFERROR(IF(P512="","",P512*INDEX(Ingredients!$P$5:$P$304,MATCH(D512,Ingredients!$B$5:$B$304,0))),"")</f>
        <v>0</v>
      </c>
      <c r="R512" s="45">
        <f>IFERROR(IF(P512="","",P512*INDEX(Ingredients!$Q$5:$Q$304,MATCH(D512,Ingredients!$B$5:$B$304,0))),"")</f>
        <v>0</v>
      </c>
      <c r="S512" s="45">
        <f>IFERROR(IF(P512="","",P512*INDEX(Ingredients!$R$5:$R$304,MATCH(D512,Ingredients!$B$5:$B$304,0))),"")</f>
        <v>0</v>
      </c>
      <c r="T512" s="45">
        <f>IFERROR(IF(P512="","",P512*INDEX(Ingredients!$S$5:$S$304,MATCH(D512,Ingredients!$B$5:$B$304,0))),"")</f>
        <v>0</v>
      </c>
      <c r="U512" s="45">
        <f>IFERROR(IF(P512="","",P512*INDEX(Ingredients!$T$5:$T$304,MATCH(D512,Ingredients!$B$5:$B$304,0))),"")</f>
        <v>0</v>
      </c>
      <c r="V512" s="17">
        <f>IF(D512="","",IFERROR(INDEX(Ingredients!$W$5:$W$304,MATCH(D512,Ingredients!$B$5:$B$304,0)),"Add to Ingredients"))</f>
        <v>0</v>
      </c>
      <c r="W512" s="17">
        <f>IF(D512="","",IFERROR(INDEX(Ingredients!$C$5:$C$304,MATCH(D512,Ingredients!$B$5:$B$304,0)),"Add to Ingredients"))</f>
        <v>0</v>
      </c>
      <c r="X512" s="45">
        <f>IFERROR(INDEX(Recipes!$AT$5:$AT$204,MATCH(B512,Recipes!$A$5:$A$204,0)),0)</f>
        <v>0</v>
      </c>
      <c r="Y512" s="45">
        <f>IF(OR(J512="",X512=0),"",J512*X512)</f>
        <v>0</v>
      </c>
      <c r="Z512" s="17">
        <f>IF(D512="","",B512&amp;"#"&amp;COUNTIFS($B$5:B512,B512))</f>
        <v>0</v>
      </c>
      <c r="AA512" s="17">
        <f>IF(D512="","",B512&amp;"|"&amp;D512)</f>
        <v>0</v>
      </c>
      <c r="AB512" s="31">
        <f>IF(D512="","",IF(B512="","Add - which recipe?",IF(COUNTIFS(Ingredients!$B$5:$B$304,D512)=0,"Missing - not in the Ingredients tab",IF(E512="","Add - no quantity",IF(F512="","Add - no unit",IF(K512&lt;&gt;L512,"Check - recipe in "&amp;K512&amp;", priced in "&amp;L512,IF(COUNTIFS($AA$5:$AA$1204,AA512)&gt;1,"Duplicate - same ingredient twice","OK")))))))</f>
        <v>0</v>
      </c>
    </row>
    <row r="513" spans="1:28">
      <c r="A513" s="39">
        <f>IF(D513="","","RL-"&amp;TEXT(ROW()-4,"0000"))</f>
        <v>0</v>
      </c>
      <c r="C513" s="17">
        <f>IF(B513="","",IFERROR(INDEX(Recipes!$B$5:$B$204,MATCH(B513,Recipes!$A$5:$A$204,0)),"Not found"))</f>
        <v>0</v>
      </c>
      <c r="J513" s="45">
        <f>IF(E513="","",IFERROR(E513*INDEX(UnitFactors,MATCH(F513,UnitNames,0)),""))</f>
        <v>0</v>
      </c>
      <c r="K513" s="17">
        <f>IF(F513="","",IFERROR(INDEX(UnitBases,MATCH(F513,UnitNames,0)),"?"))</f>
        <v>0</v>
      </c>
      <c r="L513" s="17">
        <f>IF(D513="","",IFERROR(INDEX(Ingredients!$G$5:$G$304,MATCH(D513,Ingredients!$B$5:$B$304,0)),"Add to Ingredients"))</f>
        <v>0</v>
      </c>
      <c r="M513" s="25">
        <f>IF(D513="","",IFERROR(INDEX(Ingredients!$J$5:$J$304,MATCH(D513,Ingredients!$B$5:$B$304,0)),"Add to Ingredients"))</f>
        <v>0</v>
      </c>
      <c r="N513" s="25">
        <f>IF(OR(J513="",M513="",NOT(ISNUMBER(M513))),"",IF(K513&lt;&gt;L513,"",J513*M513))</f>
        <v>0</v>
      </c>
      <c r="O513" s="25">
        <f>IF(N513="","",IFERROR(N513/INDEX(Recipes!$G$5:$G$204,MATCH(B513,Recipes!$A$5:$A$204,0)),""))</f>
        <v>0</v>
      </c>
      <c r="P513" s="30">
        <f>IF(J513="","",IF(K513="each",J513,J513/100))</f>
        <v>0</v>
      </c>
      <c r="Q513" s="30">
        <f>IFERROR(IF(P513="","",P513*INDEX(Ingredients!$P$5:$P$304,MATCH(D513,Ingredients!$B$5:$B$304,0))),"")</f>
        <v>0</v>
      </c>
      <c r="R513" s="45">
        <f>IFERROR(IF(P513="","",P513*INDEX(Ingredients!$Q$5:$Q$304,MATCH(D513,Ingredients!$B$5:$B$304,0))),"")</f>
        <v>0</v>
      </c>
      <c r="S513" s="45">
        <f>IFERROR(IF(P513="","",P513*INDEX(Ingredients!$R$5:$R$304,MATCH(D513,Ingredients!$B$5:$B$304,0))),"")</f>
        <v>0</v>
      </c>
      <c r="T513" s="45">
        <f>IFERROR(IF(P513="","",P513*INDEX(Ingredients!$S$5:$S$304,MATCH(D513,Ingredients!$B$5:$B$304,0))),"")</f>
        <v>0</v>
      </c>
      <c r="U513" s="45">
        <f>IFERROR(IF(P513="","",P513*INDEX(Ingredients!$T$5:$T$304,MATCH(D513,Ingredients!$B$5:$B$304,0))),"")</f>
        <v>0</v>
      </c>
      <c r="V513" s="17">
        <f>IF(D513="","",IFERROR(INDEX(Ingredients!$W$5:$W$304,MATCH(D513,Ingredients!$B$5:$B$304,0)),"Add to Ingredients"))</f>
        <v>0</v>
      </c>
      <c r="W513" s="17">
        <f>IF(D513="","",IFERROR(INDEX(Ingredients!$C$5:$C$304,MATCH(D513,Ingredients!$B$5:$B$304,0)),"Add to Ingredients"))</f>
        <v>0</v>
      </c>
      <c r="X513" s="45">
        <f>IFERROR(INDEX(Recipes!$AT$5:$AT$204,MATCH(B513,Recipes!$A$5:$A$204,0)),0)</f>
        <v>0</v>
      </c>
      <c r="Y513" s="45">
        <f>IF(OR(J513="",X513=0),"",J513*X513)</f>
        <v>0</v>
      </c>
      <c r="Z513" s="17">
        <f>IF(D513="","",B513&amp;"#"&amp;COUNTIFS($B$5:B513,B513))</f>
        <v>0</v>
      </c>
      <c r="AA513" s="17">
        <f>IF(D513="","",B513&amp;"|"&amp;D513)</f>
        <v>0</v>
      </c>
      <c r="AB513" s="31">
        <f>IF(D513="","",IF(B513="","Add - which recipe?",IF(COUNTIFS(Ingredients!$B$5:$B$304,D513)=0,"Missing - not in the Ingredients tab",IF(E513="","Add - no quantity",IF(F513="","Add - no unit",IF(K513&lt;&gt;L513,"Check - recipe in "&amp;K513&amp;", priced in "&amp;L513,IF(COUNTIFS($AA$5:$AA$1204,AA513)&gt;1,"Duplicate - same ingredient twice","OK")))))))</f>
        <v>0</v>
      </c>
    </row>
    <row r="514" spans="1:28">
      <c r="A514" s="39">
        <f>IF(D514="","","RL-"&amp;TEXT(ROW()-4,"0000"))</f>
        <v>0</v>
      </c>
      <c r="C514" s="17">
        <f>IF(B514="","",IFERROR(INDEX(Recipes!$B$5:$B$204,MATCH(B514,Recipes!$A$5:$A$204,0)),"Not found"))</f>
        <v>0</v>
      </c>
      <c r="J514" s="45">
        <f>IF(E514="","",IFERROR(E514*INDEX(UnitFactors,MATCH(F514,UnitNames,0)),""))</f>
        <v>0</v>
      </c>
      <c r="K514" s="17">
        <f>IF(F514="","",IFERROR(INDEX(UnitBases,MATCH(F514,UnitNames,0)),"?"))</f>
        <v>0</v>
      </c>
      <c r="L514" s="17">
        <f>IF(D514="","",IFERROR(INDEX(Ingredients!$G$5:$G$304,MATCH(D514,Ingredients!$B$5:$B$304,0)),"Add to Ingredients"))</f>
        <v>0</v>
      </c>
      <c r="M514" s="25">
        <f>IF(D514="","",IFERROR(INDEX(Ingredients!$J$5:$J$304,MATCH(D514,Ingredients!$B$5:$B$304,0)),"Add to Ingredients"))</f>
        <v>0</v>
      </c>
      <c r="N514" s="25">
        <f>IF(OR(J514="",M514="",NOT(ISNUMBER(M514))),"",IF(K514&lt;&gt;L514,"",J514*M514))</f>
        <v>0</v>
      </c>
      <c r="O514" s="25">
        <f>IF(N514="","",IFERROR(N514/INDEX(Recipes!$G$5:$G$204,MATCH(B514,Recipes!$A$5:$A$204,0)),""))</f>
        <v>0</v>
      </c>
      <c r="P514" s="30">
        <f>IF(J514="","",IF(K514="each",J514,J514/100))</f>
        <v>0</v>
      </c>
      <c r="Q514" s="30">
        <f>IFERROR(IF(P514="","",P514*INDEX(Ingredients!$P$5:$P$304,MATCH(D514,Ingredients!$B$5:$B$304,0))),"")</f>
        <v>0</v>
      </c>
      <c r="R514" s="45">
        <f>IFERROR(IF(P514="","",P514*INDEX(Ingredients!$Q$5:$Q$304,MATCH(D514,Ingredients!$B$5:$B$304,0))),"")</f>
        <v>0</v>
      </c>
      <c r="S514" s="45">
        <f>IFERROR(IF(P514="","",P514*INDEX(Ingredients!$R$5:$R$304,MATCH(D514,Ingredients!$B$5:$B$304,0))),"")</f>
        <v>0</v>
      </c>
      <c r="T514" s="45">
        <f>IFERROR(IF(P514="","",P514*INDEX(Ingredients!$S$5:$S$304,MATCH(D514,Ingredients!$B$5:$B$304,0))),"")</f>
        <v>0</v>
      </c>
      <c r="U514" s="45">
        <f>IFERROR(IF(P514="","",P514*INDEX(Ingredients!$T$5:$T$304,MATCH(D514,Ingredients!$B$5:$B$304,0))),"")</f>
        <v>0</v>
      </c>
      <c r="V514" s="17">
        <f>IF(D514="","",IFERROR(INDEX(Ingredients!$W$5:$W$304,MATCH(D514,Ingredients!$B$5:$B$304,0)),"Add to Ingredients"))</f>
        <v>0</v>
      </c>
      <c r="W514" s="17">
        <f>IF(D514="","",IFERROR(INDEX(Ingredients!$C$5:$C$304,MATCH(D514,Ingredients!$B$5:$B$304,0)),"Add to Ingredients"))</f>
        <v>0</v>
      </c>
      <c r="X514" s="45">
        <f>IFERROR(INDEX(Recipes!$AT$5:$AT$204,MATCH(B514,Recipes!$A$5:$A$204,0)),0)</f>
        <v>0</v>
      </c>
      <c r="Y514" s="45">
        <f>IF(OR(J514="",X514=0),"",J514*X514)</f>
        <v>0</v>
      </c>
      <c r="Z514" s="17">
        <f>IF(D514="","",B514&amp;"#"&amp;COUNTIFS($B$5:B514,B514))</f>
        <v>0</v>
      </c>
      <c r="AA514" s="17">
        <f>IF(D514="","",B514&amp;"|"&amp;D514)</f>
        <v>0</v>
      </c>
      <c r="AB514" s="31">
        <f>IF(D514="","",IF(B514="","Add - which recipe?",IF(COUNTIFS(Ingredients!$B$5:$B$304,D514)=0,"Missing - not in the Ingredients tab",IF(E514="","Add - no quantity",IF(F514="","Add - no unit",IF(K514&lt;&gt;L514,"Check - recipe in "&amp;K514&amp;", priced in "&amp;L514,IF(COUNTIFS($AA$5:$AA$1204,AA514)&gt;1,"Duplicate - same ingredient twice","OK")))))))</f>
        <v>0</v>
      </c>
    </row>
    <row r="515" spans="1:28">
      <c r="A515" s="39">
        <f>IF(D515="","","RL-"&amp;TEXT(ROW()-4,"0000"))</f>
        <v>0</v>
      </c>
      <c r="C515" s="17">
        <f>IF(B515="","",IFERROR(INDEX(Recipes!$B$5:$B$204,MATCH(B515,Recipes!$A$5:$A$204,0)),"Not found"))</f>
        <v>0</v>
      </c>
      <c r="J515" s="45">
        <f>IF(E515="","",IFERROR(E515*INDEX(UnitFactors,MATCH(F515,UnitNames,0)),""))</f>
        <v>0</v>
      </c>
      <c r="K515" s="17">
        <f>IF(F515="","",IFERROR(INDEX(UnitBases,MATCH(F515,UnitNames,0)),"?"))</f>
        <v>0</v>
      </c>
      <c r="L515" s="17">
        <f>IF(D515="","",IFERROR(INDEX(Ingredients!$G$5:$G$304,MATCH(D515,Ingredients!$B$5:$B$304,0)),"Add to Ingredients"))</f>
        <v>0</v>
      </c>
      <c r="M515" s="25">
        <f>IF(D515="","",IFERROR(INDEX(Ingredients!$J$5:$J$304,MATCH(D515,Ingredients!$B$5:$B$304,0)),"Add to Ingredients"))</f>
        <v>0</v>
      </c>
      <c r="N515" s="25">
        <f>IF(OR(J515="",M515="",NOT(ISNUMBER(M515))),"",IF(K515&lt;&gt;L515,"",J515*M515))</f>
        <v>0</v>
      </c>
      <c r="O515" s="25">
        <f>IF(N515="","",IFERROR(N515/INDEX(Recipes!$G$5:$G$204,MATCH(B515,Recipes!$A$5:$A$204,0)),""))</f>
        <v>0</v>
      </c>
      <c r="P515" s="30">
        <f>IF(J515="","",IF(K515="each",J515,J515/100))</f>
        <v>0</v>
      </c>
      <c r="Q515" s="30">
        <f>IFERROR(IF(P515="","",P515*INDEX(Ingredients!$P$5:$P$304,MATCH(D515,Ingredients!$B$5:$B$304,0))),"")</f>
        <v>0</v>
      </c>
      <c r="R515" s="45">
        <f>IFERROR(IF(P515="","",P515*INDEX(Ingredients!$Q$5:$Q$304,MATCH(D515,Ingredients!$B$5:$B$304,0))),"")</f>
        <v>0</v>
      </c>
      <c r="S515" s="45">
        <f>IFERROR(IF(P515="","",P515*INDEX(Ingredients!$R$5:$R$304,MATCH(D515,Ingredients!$B$5:$B$304,0))),"")</f>
        <v>0</v>
      </c>
      <c r="T515" s="45">
        <f>IFERROR(IF(P515="","",P515*INDEX(Ingredients!$S$5:$S$304,MATCH(D515,Ingredients!$B$5:$B$304,0))),"")</f>
        <v>0</v>
      </c>
      <c r="U515" s="45">
        <f>IFERROR(IF(P515="","",P515*INDEX(Ingredients!$T$5:$T$304,MATCH(D515,Ingredients!$B$5:$B$304,0))),"")</f>
        <v>0</v>
      </c>
      <c r="V515" s="17">
        <f>IF(D515="","",IFERROR(INDEX(Ingredients!$W$5:$W$304,MATCH(D515,Ingredients!$B$5:$B$304,0)),"Add to Ingredients"))</f>
        <v>0</v>
      </c>
      <c r="W515" s="17">
        <f>IF(D515="","",IFERROR(INDEX(Ingredients!$C$5:$C$304,MATCH(D515,Ingredients!$B$5:$B$304,0)),"Add to Ingredients"))</f>
        <v>0</v>
      </c>
      <c r="X515" s="45">
        <f>IFERROR(INDEX(Recipes!$AT$5:$AT$204,MATCH(B515,Recipes!$A$5:$A$204,0)),0)</f>
        <v>0</v>
      </c>
      <c r="Y515" s="45">
        <f>IF(OR(J515="",X515=0),"",J515*X515)</f>
        <v>0</v>
      </c>
      <c r="Z515" s="17">
        <f>IF(D515="","",B515&amp;"#"&amp;COUNTIFS($B$5:B515,B515))</f>
        <v>0</v>
      </c>
      <c r="AA515" s="17">
        <f>IF(D515="","",B515&amp;"|"&amp;D515)</f>
        <v>0</v>
      </c>
      <c r="AB515" s="31">
        <f>IF(D515="","",IF(B515="","Add - which recipe?",IF(COUNTIFS(Ingredients!$B$5:$B$304,D515)=0,"Missing - not in the Ingredients tab",IF(E515="","Add - no quantity",IF(F515="","Add - no unit",IF(K515&lt;&gt;L515,"Check - recipe in "&amp;K515&amp;", priced in "&amp;L515,IF(COUNTIFS($AA$5:$AA$1204,AA515)&gt;1,"Duplicate - same ingredient twice","OK")))))))</f>
        <v>0</v>
      </c>
    </row>
    <row r="516" spans="1:28">
      <c r="A516" s="39">
        <f>IF(D516="","","RL-"&amp;TEXT(ROW()-4,"0000"))</f>
        <v>0</v>
      </c>
      <c r="C516" s="17">
        <f>IF(B516="","",IFERROR(INDEX(Recipes!$B$5:$B$204,MATCH(B516,Recipes!$A$5:$A$204,0)),"Not found"))</f>
        <v>0</v>
      </c>
      <c r="J516" s="45">
        <f>IF(E516="","",IFERROR(E516*INDEX(UnitFactors,MATCH(F516,UnitNames,0)),""))</f>
        <v>0</v>
      </c>
      <c r="K516" s="17">
        <f>IF(F516="","",IFERROR(INDEX(UnitBases,MATCH(F516,UnitNames,0)),"?"))</f>
        <v>0</v>
      </c>
      <c r="L516" s="17">
        <f>IF(D516="","",IFERROR(INDEX(Ingredients!$G$5:$G$304,MATCH(D516,Ingredients!$B$5:$B$304,0)),"Add to Ingredients"))</f>
        <v>0</v>
      </c>
      <c r="M516" s="25">
        <f>IF(D516="","",IFERROR(INDEX(Ingredients!$J$5:$J$304,MATCH(D516,Ingredients!$B$5:$B$304,0)),"Add to Ingredients"))</f>
        <v>0</v>
      </c>
      <c r="N516" s="25">
        <f>IF(OR(J516="",M516="",NOT(ISNUMBER(M516))),"",IF(K516&lt;&gt;L516,"",J516*M516))</f>
        <v>0</v>
      </c>
      <c r="O516" s="25">
        <f>IF(N516="","",IFERROR(N516/INDEX(Recipes!$G$5:$G$204,MATCH(B516,Recipes!$A$5:$A$204,0)),""))</f>
        <v>0</v>
      </c>
      <c r="P516" s="30">
        <f>IF(J516="","",IF(K516="each",J516,J516/100))</f>
        <v>0</v>
      </c>
      <c r="Q516" s="30">
        <f>IFERROR(IF(P516="","",P516*INDEX(Ingredients!$P$5:$P$304,MATCH(D516,Ingredients!$B$5:$B$304,0))),"")</f>
        <v>0</v>
      </c>
      <c r="R516" s="45">
        <f>IFERROR(IF(P516="","",P516*INDEX(Ingredients!$Q$5:$Q$304,MATCH(D516,Ingredients!$B$5:$B$304,0))),"")</f>
        <v>0</v>
      </c>
      <c r="S516" s="45">
        <f>IFERROR(IF(P516="","",P516*INDEX(Ingredients!$R$5:$R$304,MATCH(D516,Ingredients!$B$5:$B$304,0))),"")</f>
        <v>0</v>
      </c>
      <c r="T516" s="45">
        <f>IFERROR(IF(P516="","",P516*INDEX(Ingredients!$S$5:$S$304,MATCH(D516,Ingredients!$B$5:$B$304,0))),"")</f>
        <v>0</v>
      </c>
      <c r="U516" s="45">
        <f>IFERROR(IF(P516="","",P516*INDEX(Ingredients!$T$5:$T$304,MATCH(D516,Ingredients!$B$5:$B$304,0))),"")</f>
        <v>0</v>
      </c>
      <c r="V516" s="17">
        <f>IF(D516="","",IFERROR(INDEX(Ingredients!$W$5:$W$304,MATCH(D516,Ingredients!$B$5:$B$304,0)),"Add to Ingredients"))</f>
        <v>0</v>
      </c>
      <c r="W516" s="17">
        <f>IF(D516="","",IFERROR(INDEX(Ingredients!$C$5:$C$304,MATCH(D516,Ingredients!$B$5:$B$304,0)),"Add to Ingredients"))</f>
        <v>0</v>
      </c>
      <c r="X516" s="45">
        <f>IFERROR(INDEX(Recipes!$AT$5:$AT$204,MATCH(B516,Recipes!$A$5:$A$204,0)),0)</f>
        <v>0</v>
      </c>
      <c r="Y516" s="45">
        <f>IF(OR(J516="",X516=0),"",J516*X516)</f>
        <v>0</v>
      </c>
      <c r="Z516" s="17">
        <f>IF(D516="","",B516&amp;"#"&amp;COUNTIFS($B$5:B516,B516))</f>
        <v>0</v>
      </c>
      <c r="AA516" s="17">
        <f>IF(D516="","",B516&amp;"|"&amp;D516)</f>
        <v>0</v>
      </c>
      <c r="AB516" s="31">
        <f>IF(D516="","",IF(B516="","Add - which recipe?",IF(COUNTIFS(Ingredients!$B$5:$B$304,D516)=0,"Missing - not in the Ingredients tab",IF(E516="","Add - no quantity",IF(F516="","Add - no unit",IF(K516&lt;&gt;L516,"Check - recipe in "&amp;K516&amp;", priced in "&amp;L516,IF(COUNTIFS($AA$5:$AA$1204,AA516)&gt;1,"Duplicate - same ingredient twice","OK")))))))</f>
        <v>0</v>
      </c>
    </row>
    <row r="517" spans="1:28">
      <c r="A517" s="39">
        <f>IF(D517="","","RL-"&amp;TEXT(ROW()-4,"0000"))</f>
        <v>0</v>
      </c>
      <c r="C517" s="17">
        <f>IF(B517="","",IFERROR(INDEX(Recipes!$B$5:$B$204,MATCH(B517,Recipes!$A$5:$A$204,0)),"Not found"))</f>
        <v>0</v>
      </c>
      <c r="J517" s="45">
        <f>IF(E517="","",IFERROR(E517*INDEX(UnitFactors,MATCH(F517,UnitNames,0)),""))</f>
        <v>0</v>
      </c>
      <c r="K517" s="17">
        <f>IF(F517="","",IFERROR(INDEX(UnitBases,MATCH(F517,UnitNames,0)),"?"))</f>
        <v>0</v>
      </c>
      <c r="L517" s="17">
        <f>IF(D517="","",IFERROR(INDEX(Ingredients!$G$5:$G$304,MATCH(D517,Ingredients!$B$5:$B$304,0)),"Add to Ingredients"))</f>
        <v>0</v>
      </c>
      <c r="M517" s="25">
        <f>IF(D517="","",IFERROR(INDEX(Ingredients!$J$5:$J$304,MATCH(D517,Ingredients!$B$5:$B$304,0)),"Add to Ingredients"))</f>
        <v>0</v>
      </c>
      <c r="N517" s="25">
        <f>IF(OR(J517="",M517="",NOT(ISNUMBER(M517))),"",IF(K517&lt;&gt;L517,"",J517*M517))</f>
        <v>0</v>
      </c>
      <c r="O517" s="25">
        <f>IF(N517="","",IFERROR(N517/INDEX(Recipes!$G$5:$G$204,MATCH(B517,Recipes!$A$5:$A$204,0)),""))</f>
        <v>0</v>
      </c>
      <c r="P517" s="30">
        <f>IF(J517="","",IF(K517="each",J517,J517/100))</f>
        <v>0</v>
      </c>
      <c r="Q517" s="30">
        <f>IFERROR(IF(P517="","",P517*INDEX(Ingredients!$P$5:$P$304,MATCH(D517,Ingredients!$B$5:$B$304,0))),"")</f>
        <v>0</v>
      </c>
      <c r="R517" s="45">
        <f>IFERROR(IF(P517="","",P517*INDEX(Ingredients!$Q$5:$Q$304,MATCH(D517,Ingredients!$B$5:$B$304,0))),"")</f>
        <v>0</v>
      </c>
      <c r="S517" s="45">
        <f>IFERROR(IF(P517="","",P517*INDEX(Ingredients!$R$5:$R$304,MATCH(D517,Ingredients!$B$5:$B$304,0))),"")</f>
        <v>0</v>
      </c>
      <c r="T517" s="45">
        <f>IFERROR(IF(P517="","",P517*INDEX(Ingredients!$S$5:$S$304,MATCH(D517,Ingredients!$B$5:$B$304,0))),"")</f>
        <v>0</v>
      </c>
      <c r="U517" s="45">
        <f>IFERROR(IF(P517="","",P517*INDEX(Ingredients!$T$5:$T$304,MATCH(D517,Ingredients!$B$5:$B$304,0))),"")</f>
        <v>0</v>
      </c>
      <c r="V517" s="17">
        <f>IF(D517="","",IFERROR(INDEX(Ingredients!$W$5:$W$304,MATCH(D517,Ingredients!$B$5:$B$304,0)),"Add to Ingredients"))</f>
        <v>0</v>
      </c>
      <c r="W517" s="17">
        <f>IF(D517="","",IFERROR(INDEX(Ingredients!$C$5:$C$304,MATCH(D517,Ingredients!$B$5:$B$304,0)),"Add to Ingredients"))</f>
        <v>0</v>
      </c>
      <c r="X517" s="45">
        <f>IFERROR(INDEX(Recipes!$AT$5:$AT$204,MATCH(B517,Recipes!$A$5:$A$204,0)),0)</f>
        <v>0</v>
      </c>
      <c r="Y517" s="45">
        <f>IF(OR(J517="",X517=0),"",J517*X517)</f>
        <v>0</v>
      </c>
      <c r="Z517" s="17">
        <f>IF(D517="","",B517&amp;"#"&amp;COUNTIFS($B$5:B517,B517))</f>
        <v>0</v>
      </c>
      <c r="AA517" s="17">
        <f>IF(D517="","",B517&amp;"|"&amp;D517)</f>
        <v>0</v>
      </c>
      <c r="AB517" s="31">
        <f>IF(D517="","",IF(B517="","Add - which recipe?",IF(COUNTIFS(Ingredients!$B$5:$B$304,D517)=0,"Missing - not in the Ingredients tab",IF(E517="","Add - no quantity",IF(F517="","Add - no unit",IF(K517&lt;&gt;L517,"Check - recipe in "&amp;K517&amp;", priced in "&amp;L517,IF(COUNTIFS($AA$5:$AA$1204,AA517)&gt;1,"Duplicate - same ingredient twice","OK")))))))</f>
        <v>0</v>
      </c>
    </row>
    <row r="518" spans="1:28">
      <c r="A518" s="39">
        <f>IF(D518="","","RL-"&amp;TEXT(ROW()-4,"0000"))</f>
        <v>0</v>
      </c>
      <c r="C518" s="17">
        <f>IF(B518="","",IFERROR(INDEX(Recipes!$B$5:$B$204,MATCH(B518,Recipes!$A$5:$A$204,0)),"Not found"))</f>
        <v>0</v>
      </c>
      <c r="J518" s="45">
        <f>IF(E518="","",IFERROR(E518*INDEX(UnitFactors,MATCH(F518,UnitNames,0)),""))</f>
        <v>0</v>
      </c>
      <c r="K518" s="17">
        <f>IF(F518="","",IFERROR(INDEX(UnitBases,MATCH(F518,UnitNames,0)),"?"))</f>
        <v>0</v>
      </c>
      <c r="L518" s="17">
        <f>IF(D518="","",IFERROR(INDEX(Ingredients!$G$5:$G$304,MATCH(D518,Ingredients!$B$5:$B$304,0)),"Add to Ingredients"))</f>
        <v>0</v>
      </c>
      <c r="M518" s="25">
        <f>IF(D518="","",IFERROR(INDEX(Ingredients!$J$5:$J$304,MATCH(D518,Ingredients!$B$5:$B$304,0)),"Add to Ingredients"))</f>
        <v>0</v>
      </c>
      <c r="N518" s="25">
        <f>IF(OR(J518="",M518="",NOT(ISNUMBER(M518))),"",IF(K518&lt;&gt;L518,"",J518*M518))</f>
        <v>0</v>
      </c>
      <c r="O518" s="25">
        <f>IF(N518="","",IFERROR(N518/INDEX(Recipes!$G$5:$G$204,MATCH(B518,Recipes!$A$5:$A$204,0)),""))</f>
        <v>0</v>
      </c>
      <c r="P518" s="30">
        <f>IF(J518="","",IF(K518="each",J518,J518/100))</f>
        <v>0</v>
      </c>
      <c r="Q518" s="30">
        <f>IFERROR(IF(P518="","",P518*INDEX(Ingredients!$P$5:$P$304,MATCH(D518,Ingredients!$B$5:$B$304,0))),"")</f>
        <v>0</v>
      </c>
      <c r="R518" s="45">
        <f>IFERROR(IF(P518="","",P518*INDEX(Ingredients!$Q$5:$Q$304,MATCH(D518,Ingredients!$B$5:$B$304,0))),"")</f>
        <v>0</v>
      </c>
      <c r="S518" s="45">
        <f>IFERROR(IF(P518="","",P518*INDEX(Ingredients!$R$5:$R$304,MATCH(D518,Ingredients!$B$5:$B$304,0))),"")</f>
        <v>0</v>
      </c>
      <c r="T518" s="45">
        <f>IFERROR(IF(P518="","",P518*INDEX(Ingredients!$S$5:$S$304,MATCH(D518,Ingredients!$B$5:$B$304,0))),"")</f>
        <v>0</v>
      </c>
      <c r="U518" s="45">
        <f>IFERROR(IF(P518="","",P518*INDEX(Ingredients!$T$5:$T$304,MATCH(D518,Ingredients!$B$5:$B$304,0))),"")</f>
        <v>0</v>
      </c>
      <c r="V518" s="17">
        <f>IF(D518="","",IFERROR(INDEX(Ingredients!$W$5:$W$304,MATCH(D518,Ingredients!$B$5:$B$304,0)),"Add to Ingredients"))</f>
        <v>0</v>
      </c>
      <c r="W518" s="17">
        <f>IF(D518="","",IFERROR(INDEX(Ingredients!$C$5:$C$304,MATCH(D518,Ingredients!$B$5:$B$304,0)),"Add to Ingredients"))</f>
        <v>0</v>
      </c>
      <c r="X518" s="45">
        <f>IFERROR(INDEX(Recipes!$AT$5:$AT$204,MATCH(B518,Recipes!$A$5:$A$204,0)),0)</f>
        <v>0</v>
      </c>
      <c r="Y518" s="45">
        <f>IF(OR(J518="",X518=0),"",J518*X518)</f>
        <v>0</v>
      </c>
      <c r="Z518" s="17">
        <f>IF(D518="","",B518&amp;"#"&amp;COUNTIFS($B$5:B518,B518))</f>
        <v>0</v>
      </c>
      <c r="AA518" s="17">
        <f>IF(D518="","",B518&amp;"|"&amp;D518)</f>
        <v>0</v>
      </c>
      <c r="AB518" s="31">
        <f>IF(D518="","",IF(B518="","Add - which recipe?",IF(COUNTIFS(Ingredients!$B$5:$B$304,D518)=0,"Missing - not in the Ingredients tab",IF(E518="","Add - no quantity",IF(F518="","Add - no unit",IF(K518&lt;&gt;L518,"Check - recipe in "&amp;K518&amp;", priced in "&amp;L518,IF(COUNTIFS($AA$5:$AA$1204,AA518)&gt;1,"Duplicate - same ingredient twice","OK")))))))</f>
        <v>0</v>
      </c>
    </row>
    <row r="519" spans="1:28">
      <c r="A519" s="39">
        <f>IF(D519="","","RL-"&amp;TEXT(ROW()-4,"0000"))</f>
        <v>0</v>
      </c>
      <c r="C519" s="17">
        <f>IF(B519="","",IFERROR(INDEX(Recipes!$B$5:$B$204,MATCH(B519,Recipes!$A$5:$A$204,0)),"Not found"))</f>
        <v>0</v>
      </c>
      <c r="J519" s="45">
        <f>IF(E519="","",IFERROR(E519*INDEX(UnitFactors,MATCH(F519,UnitNames,0)),""))</f>
        <v>0</v>
      </c>
      <c r="K519" s="17">
        <f>IF(F519="","",IFERROR(INDEX(UnitBases,MATCH(F519,UnitNames,0)),"?"))</f>
        <v>0</v>
      </c>
      <c r="L519" s="17">
        <f>IF(D519="","",IFERROR(INDEX(Ingredients!$G$5:$G$304,MATCH(D519,Ingredients!$B$5:$B$304,0)),"Add to Ingredients"))</f>
        <v>0</v>
      </c>
      <c r="M519" s="25">
        <f>IF(D519="","",IFERROR(INDEX(Ingredients!$J$5:$J$304,MATCH(D519,Ingredients!$B$5:$B$304,0)),"Add to Ingredients"))</f>
        <v>0</v>
      </c>
      <c r="N519" s="25">
        <f>IF(OR(J519="",M519="",NOT(ISNUMBER(M519))),"",IF(K519&lt;&gt;L519,"",J519*M519))</f>
        <v>0</v>
      </c>
      <c r="O519" s="25">
        <f>IF(N519="","",IFERROR(N519/INDEX(Recipes!$G$5:$G$204,MATCH(B519,Recipes!$A$5:$A$204,0)),""))</f>
        <v>0</v>
      </c>
      <c r="P519" s="30">
        <f>IF(J519="","",IF(K519="each",J519,J519/100))</f>
        <v>0</v>
      </c>
      <c r="Q519" s="30">
        <f>IFERROR(IF(P519="","",P519*INDEX(Ingredients!$P$5:$P$304,MATCH(D519,Ingredients!$B$5:$B$304,0))),"")</f>
        <v>0</v>
      </c>
      <c r="R519" s="45">
        <f>IFERROR(IF(P519="","",P519*INDEX(Ingredients!$Q$5:$Q$304,MATCH(D519,Ingredients!$B$5:$B$304,0))),"")</f>
        <v>0</v>
      </c>
      <c r="S519" s="45">
        <f>IFERROR(IF(P519="","",P519*INDEX(Ingredients!$R$5:$R$304,MATCH(D519,Ingredients!$B$5:$B$304,0))),"")</f>
        <v>0</v>
      </c>
      <c r="T519" s="45">
        <f>IFERROR(IF(P519="","",P519*INDEX(Ingredients!$S$5:$S$304,MATCH(D519,Ingredients!$B$5:$B$304,0))),"")</f>
        <v>0</v>
      </c>
      <c r="U519" s="45">
        <f>IFERROR(IF(P519="","",P519*INDEX(Ingredients!$T$5:$T$304,MATCH(D519,Ingredients!$B$5:$B$304,0))),"")</f>
        <v>0</v>
      </c>
      <c r="V519" s="17">
        <f>IF(D519="","",IFERROR(INDEX(Ingredients!$W$5:$W$304,MATCH(D519,Ingredients!$B$5:$B$304,0)),"Add to Ingredients"))</f>
        <v>0</v>
      </c>
      <c r="W519" s="17">
        <f>IF(D519="","",IFERROR(INDEX(Ingredients!$C$5:$C$304,MATCH(D519,Ingredients!$B$5:$B$304,0)),"Add to Ingredients"))</f>
        <v>0</v>
      </c>
      <c r="X519" s="45">
        <f>IFERROR(INDEX(Recipes!$AT$5:$AT$204,MATCH(B519,Recipes!$A$5:$A$204,0)),0)</f>
        <v>0</v>
      </c>
      <c r="Y519" s="45">
        <f>IF(OR(J519="",X519=0),"",J519*X519)</f>
        <v>0</v>
      </c>
      <c r="Z519" s="17">
        <f>IF(D519="","",B519&amp;"#"&amp;COUNTIFS($B$5:B519,B519))</f>
        <v>0</v>
      </c>
      <c r="AA519" s="17">
        <f>IF(D519="","",B519&amp;"|"&amp;D519)</f>
        <v>0</v>
      </c>
      <c r="AB519" s="31">
        <f>IF(D519="","",IF(B519="","Add - which recipe?",IF(COUNTIFS(Ingredients!$B$5:$B$304,D519)=0,"Missing - not in the Ingredients tab",IF(E519="","Add - no quantity",IF(F519="","Add - no unit",IF(K519&lt;&gt;L519,"Check - recipe in "&amp;K519&amp;", priced in "&amp;L519,IF(COUNTIFS($AA$5:$AA$1204,AA519)&gt;1,"Duplicate - same ingredient twice","OK")))))))</f>
        <v>0</v>
      </c>
    </row>
    <row r="520" spans="1:28">
      <c r="A520" s="39">
        <f>IF(D520="","","RL-"&amp;TEXT(ROW()-4,"0000"))</f>
        <v>0</v>
      </c>
      <c r="C520" s="17">
        <f>IF(B520="","",IFERROR(INDEX(Recipes!$B$5:$B$204,MATCH(B520,Recipes!$A$5:$A$204,0)),"Not found"))</f>
        <v>0</v>
      </c>
      <c r="J520" s="45">
        <f>IF(E520="","",IFERROR(E520*INDEX(UnitFactors,MATCH(F520,UnitNames,0)),""))</f>
        <v>0</v>
      </c>
      <c r="K520" s="17">
        <f>IF(F520="","",IFERROR(INDEX(UnitBases,MATCH(F520,UnitNames,0)),"?"))</f>
        <v>0</v>
      </c>
      <c r="L520" s="17">
        <f>IF(D520="","",IFERROR(INDEX(Ingredients!$G$5:$G$304,MATCH(D520,Ingredients!$B$5:$B$304,0)),"Add to Ingredients"))</f>
        <v>0</v>
      </c>
      <c r="M520" s="25">
        <f>IF(D520="","",IFERROR(INDEX(Ingredients!$J$5:$J$304,MATCH(D520,Ingredients!$B$5:$B$304,0)),"Add to Ingredients"))</f>
        <v>0</v>
      </c>
      <c r="N520" s="25">
        <f>IF(OR(J520="",M520="",NOT(ISNUMBER(M520))),"",IF(K520&lt;&gt;L520,"",J520*M520))</f>
        <v>0</v>
      </c>
      <c r="O520" s="25">
        <f>IF(N520="","",IFERROR(N520/INDEX(Recipes!$G$5:$G$204,MATCH(B520,Recipes!$A$5:$A$204,0)),""))</f>
        <v>0</v>
      </c>
      <c r="P520" s="30">
        <f>IF(J520="","",IF(K520="each",J520,J520/100))</f>
        <v>0</v>
      </c>
      <c r="Q520" s="30">
        <f>IFERROR(IF(P520="","",P520*INDEX(Ingredients!$P$5:$P$304,MATCH(D520,Ingredients!$B$5:$B$304,0))),"")</f>
        <v>0</v>
      </c>
      <c r="R520" s="45">
        <f>IFERROR(IF(P520="","",P520*INDEX(Ingredients!$Q$5:$Q$304,MATCH(D520,Ingredients!$B$5:$B$304,0))),"")</f>
        <v>0</v>
      </c>
      <c r="S520" s="45">
        <f>IFERROR(IF(P520="","",P520*INDEX(Ingredients!$R$5:$R$304,MATCH(D520,Ingredients!$B$5:$B$304,0))),"")</f>
        <v>0</v>
      </c>
      <c r="T520" s="45">
        <f>IFERROR(IF(P520="","",P520*INDEX(Ingredients!$S$5:$S$304,MATCH(D520,Ingredients!$B$5:$B$304,0))),"")</f>
        <v>0</v>
      </c>
      <c r="U520" s="45">
        <f>IFERROR(IF(P520="","",P520*INDEX(Ingredients!$T$5:$T$304,MATCH(D520,Ingredients!$B$5:$B$304,0))),"")</f>
        <v>0</v>
      </c>
      <c r="V520" s="17">
        <f>IF(D520="","",IFERROR(INDEX(Ingredients!$W$5:$W$304,MATCH(D520,Ingredients!$B$5:$B$304,0)),"Add to Ingredients"))</f>
        <v>0</v>
      </c>
      <c r="W520" s="17">
        <f>IF(D520="","",IFERROR(INDEX(Ingredients!$C$5:$C$304,MATCH(D520,Ingredients!$B$5:$B$304,0)),"Add to Ingredients"))</f>
        <v>0</v>
      </c>
      <c r="X520" s="45">
        <f>IFERROR(INDEX(Recipes!$AT$5:$AT$204,MATCH(B520,Recipes!$A$5:$A$204,0)),0)</f>
        <v>0</v>
      </c>
      <c r="Y520" s="45">
        <f>IF(OR(J520="",X520=0),"",J520*X520)</f>
        <v>0</v>
      </c>
      <c r="Z520" s="17">
        <f>IF(D520="","",B520&amp;"#"&amp;COUNTIFS($B$5:B520,B520))</f>
        <v>0</v>
      </c>
      <c r="AA520" s="17">
        <f>IF(D520="","",B520&amp;"|"&amp;D520)</f>
        <v>0</v>
      </c>
      <c r="AB520" s="31">
        <f>IF(D520="","",IF(B520="","Add - which recipe?",IF(COUNTIFS(Ingredients!$B$5:$B$304,D520)=0,"Missing - not in the Ingredients tab",IF(E520="","Add - no quantity",IF(F520="","Add - no unit",IF(K520&lt;&gt;L520,"Check - recipe in "&amp;K520&amp;", priced in "&amp;L520,IF(COUNTIFS($AA$5:$AA$1204,AA520)&gt;1,"Duplicate - same ingredient twice","OK")))))))</f>
        <v>0</v>
      </c>
    </row>
    <row r="521" spans="1:28">
      <c r="A521" s="39">
        <f>IF(D521="","","RL-"&amp;TEXT(ROW()-4,"0000"))</f>
        <v>0</v>
      </c>
      <c r="C521" s="17">
        <f>IF(B521="","",IFERROR(INDEX(Recipes!$B$5:$B$204,MATCH(B521,Recipes!$A$5:$A$204,0)),"Not found"))</f>
        <v>0</v>
      </c>
      <c r="J521" s="45">
        <f>IF(E521="","",IFERROR(E521*INDEX(UnitFactors,MATCH(F521,UnitNames,0)),""))</f>
        <v>0</v>
      </c>
      <c r="K521" s="17">
        <f>IF(F521="","",IFERROR(INDEX(UnitBases,MATCH(F521,UnitNames,0)),"?"))</f>
        <v>0</v>
      </c>
      <c r="L521" s="17">
        <f>IF(D521="","",IFERROR(INDEX(Ingredients!$G$5:$G$304,MATCH(D521,Ingredients!$B$5:$B$304,0)),"Add to Ingredients"))</f>
        <v>0</v>
      </c>
      <c r="M521" s="25">
        <f>IF(D521="","",IFERROR(INDEX(Ingredients!$J$5:$J$304,MATCH(D521,Ingredients!$B$5:$B$304,0)),"Add to Ingredients"))</f>
        <v>0</v>
      </c>
      <c r="N521" s="25">
        <f>IF(OR(J521="",M521="",NOT(ISNUMBER(M521))),"",IF(K521&lt;&gt;L521,"",J521*M521))</f>
        <v>0</v>
      </c>
      <c r="O521" s="25">
        <f>IF(N521="","",IFERROR(N521/INDEX(Recipes!$G$5:$G$204,MATCH(B521,Recipes!$A$5:$A$204,0)),""))</f>
        <v>0</v>
      </c>
      <c r="P521" s="30">
        <f>IF(J521="","",IF(K521="each",J521,J521/100))</f>
        <v>0</v>
      </c>
      <c r="Q521" s="30">
        <f>IFERROR(IF(P521="","",P521*INDEX(Ingredients!$P$5:$P$304,MATCH(D521,Ingredients!$B$5:$B$304,0))),"")</f>
        <v>0</v>
      </c>
      <c r="R521" s="45">
        <f>IFERROR(IF(P521="","",P521*INDEX(Ingredients!$Q$5:$Q$304,MATCH(D521,Ingredients!$B$5:$B$304,0))),"")</f>
        <v>0</v>
      </c>
      <c r="S521" s="45">
        <f>IFERROR(IF(P521="","",P521*INDEX(Ingredients!$R$5:$R$304,MATCH(D521,Ingredients!$B$5:$B$304,0))),"")</f>
        <v>0</v>
      </c>
      <c r="T521" s="45">
        <f>IFERROR(IF(P521="","",P521*INDEX(Ingredients!$S$5:$S$304,MATCH(D521,Ingredients!$B$5:$B$304,0))),"")</f>
        <v>0</v>
      </c>
      <c r="U521" s="45">
        <f>IFERROR(IF(P521="","",P521*INDEX(Ingredients!$T$5:$T$304,MATCH(D521,Ingredients!$B$5:$B$304,0))),"")</f>
        <v>0</v>
      </c>
      <c r="V521" s="17">
        <f>IF(D521="","",IFERROR(INDEX(Ingredients!$W$5:$W$304,MATCH(D521,Ingredients!$B$5:$B$304,0)),"Add to Ingredients"))</f>
        <v>0</v>
      </c>
      <c r="W521" s="17">
        <f>IF(D521="","",IFERROR(INDEX(Ingredients!$C$5:$C$304,MATCH(D521,Ingredients!$B$5:$B$304,0)),"Add to Ingredients"))</f>
        <v>0</v>
      </c>
      <c r="X521" s="45">
        <f>IFERROR(INDEX(Recipes!$AT$5:$AT$204,MATCH(B521,Recipes!$A$5:$A$204,0)),0)</f>
        <v>0</v>
      </c>
      <c r="Y521" s="45">
        <f>IF(OR(J521="",X521=0),"",J521*X521)</f>
        <v>0</v>
      </c>
      <c r="Z521" s="17">
        <f>IF(D521="","",B521&amp;"#"&amp;COUNTIFS($B$5:B521,B521))</f>
        <v>0</v>
      </c>
      <c r="AA521" s="17">
        <f>IF(D521="","",B521&amp;"|"&amp;D521)</f>
        <v>0</v>
      </c>
      <c r="AB521" s="31">
        <f>IF(D521="","",IF(B521="","Add - which recipe?",IF(COUNTIFS(Ingredients!$B$5:$B$304,D521)=0,"Missing - not in the Ingredients tab",IF(E521="","Add - no quantity",IF(F521="","Add - no unit",IF(K521&lt;&gt;L521,"Check - recipe in "&amp;K521&amp;", priced in "&amp;L521,IF(COUNTIFS($AA$5:$AA$1204,AA521)&gt;1,"Duplicate - same ingredient twice","OK")))))))</f>
        <v>0</v>
      </c>
    </row>
    <row r="522" spans="1:28">
      <c r="A522" s="39">
        <f>IF(D522="","","RL-"&amp;TEXT(ROW()-4,"0000"))</f>
        <v>0</v>
      </c>
      <c r="C522" s="17">
        <f>IF(B522="","",IFERROR(INDEX(Recipes!$B$5:$B$204,MATCH(B522,Recipes!$A$5:$A$204,0)),"Not found"))</f>
        <v>0</v>
      </c>
      <c r="J522" s="45">
        <f>IF(E522="","",IFERROR(E522*INDEX(UnitFactors,MATCH(F522,UnitNames,0)),""))</f>
        <v>0</v>
      </c>
      <c r="K522" s="17">
        <f>IF(F522="","",IFERROR(INDEX(UnitBases,MATCH(F522,UnitNames,0)),"?"))</f>
        <v>0</v>
      </c>
      <c r="L522" s="17">
        <f>IF(D522="","",IFERROR(INDEX(Ingredients!$G$5:$G$304,MATCH(D522,Ingredients!$B$5:$B$304,0)),"Add to Ingredients"))</f>
        <v>0</v>
      </c>
      <c r="M522" s="25">
        <f>IF(D522="","",IFERROR(INDEX(Ingredients!$J$5:$J$304,MATCH(D522,Ingredients!$B$5:$B$304,0)),"Add to Ingredients"))</f>
        <v>0</v>
      </c>
      <c r="N522" s="25">
        <f>IF(OR(J522="",M522="",NOT(ISNUMBER(M522))),"",IF(K522&lt;&gt;L522,"",J522*M522))</f>
        <v>0</v>
      </c>
      <c r="O522" s="25">
        <f>IF(N522="","",IFERROR(N522/INDEX(Recipes!$G$5:$G$204,MATCH(B522,Recipes!$A$5:$A$204,0)),""))</f>
        <v>0</v>
      </c>
      <c r="P522" s="30">
        <f>IF(J522="","",IF(K522="each",J522,J522/100))</f>
        <v>0</v>
      </c>
      <c r="Q522" s="30">
        <f>IFERROR(IF(P522="","",P522*INDEX(Ingredients!$P$5:$P$304,MATCH(D522,Ingredients!$B$5:$B$304,0))),"")</f>
        <v>0</v>
      </c>
      <c r="R522" s="45">
        <f>IFERROR(IF(P522="","",P522*INDEX(Ingredients!$Q$5:$Q$304,MATCH(D522,Ingredients!$B$5:$B$304,0))),"")</f>
        <v>0</v>
      </c>
      <c r="S522" s="45">
        <f>IFERROR(IF(P522="","",P522*INDEX(Ingredients!$R$5:$R$304,MATCH(D522,Ingredients!$B$5:$B$304,0))),"")</f>
        <v>0</v>
      </c>
      <c r="T522" s="45">
        <f>IFERROR(IF(P522="","",P522*INDEX(Ingredients!$S$5:$S$304,MATCH(D522,Ingredients!$B$5:$B$304,0))),"")</f>
        <v>0</v>
      </c>
      <c r="U522" s="45">
        <f>IFERROR(IF(P522="","",P522*INDEX(Ingredients!$T$5:$T$304,MATCH(D522,Ingredients!$B$5:$B$304,0))),"")</f>
        <v>0</v>
      </c>
      <c r="V522" s="17">
        <f>IF(D522="","",IFERROR(INDEX(Ingredients!$W$5:$W$304,MATCH(D522,Ingredients!$B$5:$B$304,0)),"Add to Ingredients"))</f>
        <v>0</v>
      </c>
      <c r="W522" s="17">
        <f>IF(D522="","",IFERROR(INDEX(Ingredients!$C$5:$C$304,MATCH(D522,Ingredients!$B$5:$B$304,0)),"Add to Ingredients"))</f>
        <v>0</v>
      </c>
      <c r="X522" s="45">
        <f>IFERROR(INDEX(Recipes!$AT$5:$AT$204,MATCH(B522,Recipes!$A$5:$A$204,0)),0)</f>
        <v>0</v>
      </c>
      <c r="Y522" s="45">
        <f>IF(OR(J522="",X522=0),"",J522*X522)</f>
        <v>0</v>
      </c>
      <c r="Z522" s="17">
        <f>IF(D522="","",B522&amp;"#"&amp;COUNTIFS($B$5:B522,B522))</f>
        <v>0</v>
      </c>
      <c r="AA522" s="17">
        <f>IF(D522="","",B522&amp;"|"&amp;D522)</f>
        <v>0</v>
      </c>
      <c r="AB522" s="31">
        <f>IF(D522="","",IF(B522="","Add - which recipe?",IF(COUNTIFS(Ingredients!$B$5:$B$304,D522)=0,"Missing - not in the Ingredients tab",IF(E522="","Add - no quantity",IF(F522="","Add - no unit",IF(K522&lt;&gt;L522,"Check - recipe in "&amp;K522&amp;", priced in "&amp;L522,IF(COUNTIFS($AA$5:$AA$1204,AA522)&gt;1,"Duplicate - same ingredient twice","OK")))))))</f>
        <v>0</v>
      </c>
    </row>
    <row r="523" spans="1:28">
      <c r="A523" s="39">
        <f>IF(D523="","","RL-"&amp;TEXT(ROW()-4,"0000"))</f>
        <v>0</v>
      </c>
      <c r="C523" s="17">
        <f>IF(B523="","",IFERROR(INDEX(Recipes!$B$5:$B$204,MATCH(B523,Recipes!$A$5:$A$204,0)),"Not found"))</f>
        <v>0</v>
      </c>
      <c r="J523" s="45">
        <f>IF(E523="","",IFERROR(E523*INDEX(UnitFactors,MATCH(F523,UnitNames,0)),""))</f>
        <v>0</v>
      </c>
      <c r="K523" s="17">
        <f>IF(F523="","",IFERROR(INDEX(UnitBases,MATCH(F523,UnitNames,0)),"?"))</f>
        <v>0</v>
      </c>
      <c r="L523" s="17">
        <f>IF(D523="","",IFERROR(INDEX(Ingredients!$G$5:$G$304,MATCH(D523,Ingredients!$B$5:$B$304,0)),"Add to Ingredients"))</f>
        <v>0</v>
      </c>
      <c r="M523" s="25">
        <f>IF(D523="","",IFERROR(INDEX(Ingredients!$J$5:$J$304,MATCH(D523,Ingredients!$B$5:$B$304,0)),"Add to Ingredients"))</f>
        <v>0</v>
      </c>
      <c r="N523" s="25">
        <f>IF(OR(J523="",M523="",NOT(ISNUMBER(M523))),"",IF(K523&lt;&gt;L523,"",J523*M523))</f>
        <v>0</v>
      </c>
      <c r="O523" s="25">
        <f>IF(N523="","",IFERROR(N523/INDEX(Recipes!$G$5:$G$204,MATCH(B523,Recipes!$A$5:$A$204,0)),""))</f>
        <v>0</v>
      </c>
      <c r="P523" s="30">
        <f>IF(J523="","",IF(K523="each",J523,J523/100))</f>
        <v>0</v>
      </c>
      <c r="Q523" s="30">
        <f>IFERROR(IF(P523="","",P523*INDEX(Ingredients!$P$5:$P$304,MATCH(D523,Ingredients!$B$5:$B$304,0))),"")</f>
        <v>0</v>
      </c>
      <c r="R523" s="45">
        <f>IFERROR(IF(P523="","",P523*INDEX(Ingredients!$Q$5:$Q$304,MATCH(D523,Ingredients!$B$5:$B$304,0))),"")</f>
        <v>0</v>
      </c>
      <c r="S523" s="45">
        <f>IFERROR(IF(P523="","",P523*INDEX(Ingredients!$R$5:$R$304,MATCH(D523,Ingredients!$B$5:$B$304,0))),"")</f>
        <v>0</v>
      </c>
      <c r="T523" s="45">
        <f>IFERROR(IF(P523="","",P523*INDEX(Ingredients!$S$5:$S$304,MATCH(D523,Ingredients!$B$5:$B$304,0))),"")</f>
        <v>0</v>
      </c>
      <c r="U523" s="45">
        <f>IFERROR(IF(P523="","",P523*INDEX(Ingredients!$T$5:$T$304,MATCH(D523,Ingredients!$B$5:$B$304,0))),"")</f>
        <v>0</v>
      </c>
      <c r="V523" s="17">
        <f>IF(D523="","",IFERROR(INDEX(Ingredients!$W$5:$W$304,MATCH(D523,Ingredients!$B$5:$B$304,0)),"Add to Ingredients"))</f>
        <v>0</v>
      </c>
      <c r="W523" s="17">
        <f>IF(D523="","",IFERROR(INDEX(Ingredients!$C$5:$C$304,MATCH(D523,Ingredients!$B$5:$B$304,0)),"Add to Ingredients"))</f>
        <v>0</v>
      </c>
      <c r="X523" s="45">
        <f>IFERROR(INDEX(Recipes!$AT$5:$AT$204,MATCH(B523,Recipes!$A$5:$A$204,0)),0)</f>
        <v>0</v>
      </c>
      <c r="Y523" s="45">
        <f>IF(OR(J523="",X523=0),"",J523*X523)</f>
        <v>0</v>
      </c>
      <c r="Z523" s="17">
        <f>IF(D523="","",B523&amp;"#"&amp;COUNTIFS($B$5:B523,B523))</f>
        <v>0</v>
      </c>
      <c r="AA523" s="17">
        <f>IF(D523="","",B523&amp;"|"&amp;D523)</f>
        <v>0</v>
      </c>
      <c r="AB523" s="31">
        <f>IF(D523="","",IF(B523="","Add - which recipe?",IF(COUNTIFS(Ingredients!$B$5:$B$304,D523)=0,"Missing - not in the Ingredients tab",IF(E523="","Add - no quantity",IF(F523="","Add - no unit",IF(K523&lt;&gt;L523,"Check - recipe in "&amp;K523&amp;", priced in "&amp;L523,IF(COUNTIFS($AA$5:$AA$1204,AA523)&gt;1,"Duplicate - same ingredient twice","OK")))))))</f>
        <v>0</v>
      </c>
    </row>
    <row r="524" spans="1:28">
      <c r="A524" s="39">
        <f>IF(D524="","","RL-"&amp;TEXT(ROW()-4,"0000"))</f>
        <v>0</v>
      </c>
      <c r="C524" s="17">
        <f>IF(B524="","",IFERROR(INDEX(Recipes!$B$5:$B$204,MATCH(B524,Recipes!$A$5:$A$204,0)),"Not found"))</f>
        <v>0</v>
      </c>
      <c r="J524" s="45">
        <f>IF(E524="","",IFERROR(E524*INDEX(UnitFactors,MATCH(F524,UnitNames,0)),""))</f>
        <v>0</v>
      </c>
      <c r="K524" s="17">
        <f>IF(F524="","",IFERROR(INDEX(UnitBases,MATCH(F524,UnitNames,0)),"?"))</f>
        <v>0</v>
      </c>
      <c r="L524" s="17">
        <f>IF(D524="","",IFERROR(INDEX(Ingredients!$G$5:$G$304,MATCH(D524,Ingredients!$B$5:$B$304,0)),"Add to Ingredients"))</f>
        <v>0</v>
      </c>
      <c r="M524" s="25">
        <f>IF(D524="","",IFERROR(INDEX(Ingredients!$J$5:$J$304,MATCH(D524,Ingredients!$B$5:$B$304,0)),"Add to Ingredients"))</f>
        <v>0</v>
      </c>
      <c r="N524" s="25">
        <f>IF(OR(J524="",M524="",NOT(ISNUMBER(M524))),"",IF(K524&lt;&gt;L524,"",J524*M524))</f>
        <v>0</v>
      </c>
      <c r="O524" s="25">
        <f>IF(N524="","",IFERROR(N524/INDEX(Recipes!$G$5:$G$204,MATCH(B524,Recipes!$A$5:$A$204,0)),""))</f>
        <v>0</v>
      </c>
      <c r="P524" s="30">
        <f>IF(J524="","",IF(K524="each",J524,J524/100))</f>
        <v>0</v>
      </c>
      <c r="Q524" s="30">
        <f>IFERROR(IF(P524="","",P524*INDEX(Ingredients!$P$5:$P$304,MATCH(D524,Ingredients!$B$5:$B$304,0))),"")</f>
        <v>0</v>
      </c>
      <c r="R524" s="45">
        <f>IFERROR(IF(P524="","",P524*INDEX(Ingredients!$Q$5:$Q$304,MATCH(D524,Ingredients!$B$5:$B$304,0))),"")</f>
        <v>0</v>
      </c>
      <c r="S524" s="45">
        <f>IFERROR(IF(P524="","",P524*INDEX(Ingredients!$R$5:$R$304,MATCH(D524,Ingredients!$B$5:$B$304,0))),"")</f>
        <v>0</v>
      </c>
      <c r="T524" s="45">
        <f>IFERROR(IF(P524="","",P524*INDEX(Ingredients!$S$5:$S$304,MATCH(D524,Ingredients!$B$5:$B$304,0))),"")</f>
        <v>0</v>
      </c>
      <c r="U524" s="45">
        <f>IFERROR(IF(P524="","",P524*INDEX(Ingredients!$T$5:$T$304,MATCH(D524,Ingredients!$B$5:$B$304,0))),"")</f>
        <v>0</v>
      </c>
      <c r="V524" s="17">
        <f>IF(D524="","",IFERROR(INDEX(Ingredients!$W$5:$W$304,MATCH(D524,Ingredients!$B$5:$B$304,0)),"Add to Ingredients"))</f>
        <v>0</v>
      </c>
      <c r="W524" s="17">
        <f>IF(D524="","",IFERROR(INDEX(Ingredients!$C$5:$C$304,MATCH(D524,Ingredients!$B$5:$B$304,0)),"Add to Ingredients"))</f>
        <v>0</v>
      </c>
      <c r="X524" s="45">
        <f>IFERROR(INDEX(Recipes!$AT$5:$AT$204,MATCH(B524,Recipes!$A$5:$A$204,0)),0)</f>
        <v>0</v>
      </c>
      <c r="Y524" s="45">
        <f>IF(OR(J524="",X524=0),"",J524*X524)</f>
        <v>0</v>
      </c>
      <c r="Z524" s="17">
        <f>IF(D524="","",B524&amp;"#"&amp;COUNTIFS($B$5:B524,B524))</f>
        <v>0</v>
      </c>
      <c r="AA524" s="17">
        <f>IF(D524="","",B524&amp;"|"&amp;D524)</f>
        <v>0</v>
      </c>
      <c r="AB524" s="31">
        <f>IF(D524="","",IF(B524="","Add - which recipe?",IF(COUNTIFS(Ingredients!$B$5:$B$304,D524)=0,"Missing - not in the Ingredients tab",IF(E524="","Add - no quantity",IF(F524="","Add - no unit",IF(K524&lt;&gt;L524,"Check - recipe in "&amp;K524&amp;", priced in "&amp;L524,IF(COUNTIFS($AA$5:$AA$1204,AA524)&gt;1,"Duplicate - same ingredient twice","OK")))))))</f>
        <v>0</v>
      </c>
    </row>
    <row r="525" spans="1:28">
      <c r="A525" s="39">
        <f>IF(D525="","","RL-"&amp;TEXT(ROW()-4,"0000"))</f>
        <v>0</v>
      </c>
      <c r="C525" s="17">
        <f>IF(B525="","",IFERROR(INDEX(Recipes!$B$5:$B$204,MATCH(B525,Recipes!$A$5:$A$204,0)),"Not found"))</f>
        <v>0</v>
      </c>
      <c r="J525" s="45">
        <f>IF(E525="","",IFERROR(E525*INDEX(UnitFactors,MATCH(F525,UnitNames,0)),""))</f>
        <v>0</v>
      </c>
      <c r="K525" s="17">
        <f>IF(F525="","",IFERROR(INDEX(UnitBases,MATCH(F525,UnitNames,0)),"?"))</f>
        <v>0</v>
      </c>
      <c r="L525" s="17">
        <f>IF(D525="","",IFERROR(INDEX(Ingredients!$G$5:$G$304,MATCH(D525,Ingredients!$B$5:$B$304,0)),"Add to Ingredients"))</f>
        <v>0</v>
      </c>
      <c r="M525" s="25">
        <f>IF(D525="","",IFERROR(INDEX(Ingredients!$J$5:$J$304,MATCH(D525,Ingredients!$B$5:$B$304,0)),"Add to Ingredients"))</f>
        <v>0</v>
      </c>
      <c r="N525" s="25">
        <f>IF(OR(J525="",M525="",NOT(ISNUMBER(M525))),"",IF(K525&lt;&gt;L525,"",J525*M525))</f>
        <v>0</v>
      </c>
      <c r="O525" s="25">
        <f>IF(N525="","",IFERROR(N525/INDEX(Recipes!$G$5:$G$204,MATCH(B525,Recipes!$A$5:$A$204,0)),""))</f>
        <v>0</v>
      </c>
      <c r="P525" s="30">
        <f>IF(J525="","",IF(K525="each",J525,J525/100))</f>
        <v>0</v>
      </c>
      <c r="Q525" s="30">
        <f>IFERROR(IF(P525="","",P525*INDEX(Ingredients!$P$5:$P$304,MATCH(D525,Ingredients!$B$5:$B$304,0))),"")</f>
        <v>0</v>
      </c>
      <c r="R525" s="45">
        <f>IFERROR(IF(P525="","",P525*INDEX(Ingredients!$Q$5:$Q$304,MATCH(D525,Ingredients!$B$5:$B$304,0))),"")</f>
        <v>0</v>
      </c>
      <c r="S525" s="45">
        <f>IFERROR(IF(P525="","",P525*INDEX(Ingredients!$R$5:$R$304,MATCH(D525,Ingredients!$B$5:$B$304,0))),"")</f>
        <v>0</v>
      </c>
      <c r="T525" s="45">
        <f>IFERROR(IF(P525="","",P525*INDEX(Ingredients!$S$5:$S$304,MATCH(D525,Ingredients!$B$5:$B$304,0))),"")</f>
        <v>0</v>
      </c>
      <c r="U525" s="45">
        <f>IFERROR(IF(P525="","",P525*INDEX(Ingredients!$T$5:$T$304,MATCH(D525,Ingredients!$B$5:$B$304,0))),"")</f>
        <v>0</v>
      </c>
      <c r="V525" s="17">
        <f>IF(D525="","",IFERROR(INDEX(Ingredients!$W$5:$W$304,MATCH(D525,Ingredients!$B$5:$B$304,0)),"Add to Ingredients"))</f>
        <v>0</v>
      </c>
      <c r="W525" s="17">
        <f>IF(D525="","",IFERROR(INDEX(Ingredients!$C$5:$C$304,MATCH(D525,Ingredients!$B$5:$B$304,0)),"Add to Ingredients"))</f>
        <v>0</v>
      </c>
      <c r="X525" s="45">
        <f>IFERROR(INDEX(Recipes!$AT$5:$AT$204,MATCH(B525,Recipes!$A$5:$A$204,0)),0)</f>
        <v>0</v>
      </c>
      <c r="Y525" s="45">
        <f>IF(OR(J525="",X525=0),"",J525*X525)</f>
        <v>0</v>
      </c>
      <c r="Z525" s="17">
        <f>IF(D525="","",B525&amp;"#"&amp;COUNTIFS($B$5:B525,B525))</f>
        <v>0</v>
      </c>
      <c r="AA525" s="17">
        <f>IF(D525="","",B525&amp;"|"&amp;D525)</f>
        <v>0</v>
      </c>
      <c r="AB525" s="31">
        <f>IF(D525="","",IF(B525="","Add - which recipe?",IF(COUNTIFS(Ingredients!$B$5:$B$304,D525)=0,"Missing - not in the Ingredients tab",IF(E525="","Add - no quantity",IF(F525="","Add - no unit",IF(K525&lt;&gt;L525,"Check - recipe in "&amp;K525&amp;", priced in "&amp;L525,IF(COUNTIFS($AA$5:$AA$1204,AA525)&gt;1,"Duplicate - same ingredient twice","OK")))))))</f>
        <v>0</v>
      </c>
    </row>
    <row r="526" spans="1:28">
      <c r="A526" s="39">
        <f>IF(D526="","","RL-"&amp;TEXT(ROW()-4,"0000"))</f>
        <v>0</v>
      </c>
      <c r="C526" s="17">
        <f>IF(B526="","",IFERROR(INDEX(Recipes!$B$5:$B$204,MATCH(B526,Recipes!$A$5:$A$204,0)),"Not found"))</f>
        <v>0</v>
      </c>
      <c r="J526" s="45">
        <f>IF(E526="","",IFERROR(E526*INDEX(UnitFactors,MATCH(F526,UnitNames,0)),""))</f>
        <v>0</v>
      </c>
      <c r="K526" s="17">
        <f>IF(F526="","",IFERROR(INDEX(UnitBases,MATCH(F526,UnitNames,0)),"?"))</f>
        <v>0</v>
      </c>
      <c r="L526" s="17">
        <f>IF(D526="","",IFERROR(INDEX(Ingredients!$G$5:$G$304,MATCH(D526,Ingredients!$B$5:$B$304,0)),"Add to Ingredients"))</f>
        <v>0</v>
      </c>
      <c r="M526" s="25">
        <f>IF(D526="","",IFERROR(INDEX(Ingredients!$J$5:$J$304,MATCH(D526,Ingredients!$B$5:$B$304,0)),"Add to Ingredients"))</f>
        <v>0</v>
      </c>
      <c r="N526" s="25">
        <f>IF(OR(J526="",M526="",NOT(ISNUMBER(M526))),"",IF(K526&lt;&gt;L526,"",J526*M526))</f>
        <v>0</v>
      </c>
      <c r="O526" s="25">
        <f>IF(N526="","",IFERROR(N526/INDEX(Recipes!$G$5:$G$204,MATCH(B526,Recipes!$A$5:$A$204,0)),""))</f>
        <v>0</v>
      </c>
      <c r="P526" s="30">
        <f>IF(J526="","",IF(K526="each",J526,J526/100))</f>
        <v>0</v>
      </c>
      <c r="Q526" s="30">
        <f>IFERROR(IF(P526="","",P526*INDEX(Ingredients!$P$5:$P$304,MATCH(D526,Ingredients!$B$5:$B$304,0))),"")</f>
        <v>0</v>
      </c>
      <c r="R526" s="45">
        <f>IFERROR(IF(P526="","",P526*INDEX(Ingredients!$Q$5:$Q$304,MATCH(D526,Ingredients!$B$5:$B$304,0))),"")</f>
        <v>0</v>
      </c>
      <c r="S526" s="45">
        <f>IFERROR(IF(P526="","",P526*INDEX(Ingredients!$R$5:$R$304,MATCH(D526,Ingredients!$B$5:$B$304,0))),"")</f>
        <v>0</v>
      </c>
      <c r="T526" s="45">
        <f>IFERROR(IF(P526="","",P526*INDEX(Ingredients!$S$5:$S$304,MATCH(D526,Ingredients!$B$5:$B$304,0))),"")</f>
        <v>0</v>
      </c>
      <c r="U526" s="45">
        <f>IFERROR(IF(P526="","",P526*INDEX(Ingredients!$T$5:$T$304,MATCH(D526,Ingredients!$B$5:$B$304,0))),"")</f>
        <v>0</v>
      </c>
      <c r="V526" s="17">
        <f>IF(D526="","",IFERROR(INDEX(Ingredients!$W$5:$W$304,MATCH(D526,Ingredients!$B$5:$B$304,0)),"Add to Ingredients"))</f>
        <v>0</v>
      </c>
      <c r="W526" s="17">
        <f>IF(D526="","",IFERROR(INDEX(Ingredients!$C$5:$C$304,MATCH(D526,Ingredients!$B$5:$B$304,0)),"Add to Ingredients"))</f>
        <v>0</v>
      </c>
      <c r="X526" s="45">
        <f>IFERROR(INDEX(Recipes!$AT$5:$AT$204,MATCH(B526,Recipes!$A$5:$A$204,0)),0)</f>
        <v>0</v>
      </c>
      <c r="Y526" s="45">
        <f>IF(OR(J526="",X526=0),"",J526*X526)</f>
        <v>0</v>
      </c>
      <c r="Z526" s="17">
        <f>IF(D526="","",B526&amp;"#"&amp;COUNTIFS($B$5:B526,B526))</f>
        <v>0</v>
      </c>
      <c r="AA526" s="17">
        <f>IF(D526="","",B526&amp;"|"&amp;D526)</f>
        <v>0</v>
      </c>
      <c r="AB526" s="31">
        <f>IF(D526="","",IF(B526="","Add - which recipe?",IF(COUNTIFS(Ingredients!$B$5:$B$304,D526)=0,"Missing - not in the Ingredients tab",IF(E526="","Add - no quantity",IF(F526="","Add - no unit",IF(K526&lt;&gt;L526,"Check - recipe in "&amp;K526&amp;", priced in "&amp;L526,IF(COUNTIFS($AA$5:$AA$1204,AA526)&gt;1,"Duplicate - same ingredient twice","OK")))))))</f>
        <v>0</v>
      </c>
    </row>
    <row r="527" spans="1:28">
      <c r="A527" s="39">
        <f>IF(D527="","","RL-"&amp;TEXT(ROW()-4,"0000"))</f>
        <v>0</v>
      </c>
      <c r="C527" s="17">
        <f>IF(B527="","",IFERROR(INDEX(Recipes!$B$5:$B$204,MATCH(B527,Recipes!$A$5:$A$204,0)),"Not found"))</f>
        <v>0</v>
      </c>
      <c r="J527" s="45">
        <f>IF(E527="","",IFERROR(E527*INDEX(UnitFactors,MATCH(F527,UnitNames,0)),""))</f>
        <v>0</v>
      </c>
      <c r="K527" s="17">
        <f>IF(F527="","",IFERROR(INDEX(UnitBases,MATCH(F527,UnitNames,0)),"?"))</f>
        <v>0</v>
      </c>
      <c r="L527" s="17">
        <f>IF(D527="","",IFERROR(INDEX(Ingredients!$G$5:$G$304,MATCH(D527,Ingredients!$B$5:$B$304,0)),"Add to Ingredients"))</f>
        <v>0</v>
      </c>
      <c r="M527" s="25">
        <f>IF(D527="","",IFERROR(INDEX(Ingredients!$J$5:$J$304,MATCH(D527,Ingredients!$B$5:$B$304,0)),"Add to Ingredients"))</f>
        <v>0</v>
      </c>
      <c r="N527" s="25">
        <f>IF(OR(J527="",M527="",NOT(ISNUMBER(M527))),"",IF(K527&lt;&gt;L527,"",J527*M527))</f>
        <v>0</v>
      </c>
      <c r="O527" s="25">
        <f>IF(N527="","",IFERROR(N527/INDEX(Recipes!$G$5:$G$204,MATCH(B527,Recipes!$A$5:$A$204,0)),""))</f>
        <v>0</v>
      </c>
      <c r="P527" s="30">
        <f>IF(J527="","",IF(K527="each",J527,J527/100))</f>
        <v>0</v>
      </c>
      <c r="Q527" s="30">
        <f>IFERROR(IF(P527="","",P527*INDEX(Ingredients!$P$5:$P$304,MATCH(D527,Ingredients!$B$5:$B$304,0))),"")</f>
        <v>0</v>
      </c>
      <c r="R527" s="45">
        <f>IFERROR(IF(P527="","",P527*INDEX(Ingredients!$Q$5:$Q$304,MATCH(D527,Ingredients!$B$5:$B$304,0))),"")</f>
        <v>0</v>
      </c>
      <c r="S527" s="45">
        <f>IFERROR(IF(P527="","",P527*INDEX(Ingredients!$R$5:$R$304,MATCH(D527,Ingredients!$B$5:$B$304,0))),"")</f>
        <v>0</v>
      </c>
      <c r="T527" s="45">
        <f>IFERROR(IF(P527="","",P527*INDEX(Ingredients!$S$5:$S$304,MATCH(D527,Ingredients!$B$5:$B$304,0))),"")</f>
        <v>0</v>
      </c>
      <c r="U527" s="45">
        <f>IFERROR(IF(P527="","",P527*INDEX(Ingredients!$T$5:$T$304,MATCH(D527,Ingredients!$B$5:$B$304,0))),"")</f>
        <v>0</v>
      </c>
      <c r="V527" s="17">
        <f>IF(D527="","",IFERROR(INDEX(Ingredients!$W$5:$W$304,MATCH(D527,Ingredients!$B$5:$B$304,0)),"Add to Ingredients"))</f>
        <v>0</v>
      </c>
      <c r="W527" s="17">
        <f>IF(D527="","",IFERROR(INDEX(Ingredients!$C$5:$C$304,MATCH(D527,Ingredients!$B$5:$B$304,0)),"Add to Ingredients"))</f>
        <v>0</v>
      </c>
      <c r="X527" s="45">
        <f>IFERROR(INDEX(Recipes!$AT$5:$AT$204,MATCH(B527,Recipes!$A$5:$A$204,0)),0)</f>
        <v>0</v>
      </c>
      <c r="Y527" s="45">
        <f>IF(OR(J527="",X527=0),"",J527*X527)</f>
        <v>0</v>
      </c>
      <c r="Z527" s="17">
        <f>IF(D527="","",B527&amp;"#"&amp;COUNTIFS($B$5:B527,B527))</f>
        <v>0</v>
      </c>
      <c r="AA527" s="17">
        <f>IF(D527="","",B527&amp;"|"&amp;D527)</f>
        <v>0</v>
      </c>
      <c r="AB527" s="31">
        <f>IF(D527="","",IF(B527="","Add - which recipe?",IF(COUNTIFS(Ingredients!$B$5:$B$304,D527)=0,"Missing - not in the Ingredients tab",IF(E527="","Add - no quantity",IF(F527="","Add - no unit",IF(K527&lt;&gt;L527,"Check - recipe in "&amp;K527&amp;", priced in "&amp;L527,IF(COUNTIFS($AA$5:$AA$1204,AA527)&gt;1,"Duplicate - same ingredient twice","OK")))))))</f>
        <v>0</v>
      </c>
    </row>
    <row r="528" spans="1:28">
      <c r="A528" s="39">
        <f>IF(D528="","","RL-"&amp;TEXT(ROW()-4,"0000"))</f>
        <v>0</v>
      </c>
      <c r="C528" s="17">
        <f>IF(B528="","",IFERROR(INDEX(Recipes!$B$5:$B$204,MATCH(B528,Recipes!$A$5:$A$204,0)),"Not found"))</f>
        <v>0</v>
      </c>
      <c r="J528" s="45">
        <f>IF(E528="","",IFERROR(E528*INDEX(UnitFactors,MATCH(F528,UnitNames,0)),""))</f>
        <v>0</v>
      </c>
      <c r="K528" s="17">
        <f>IF(F528="","",IFERROR(INDEX(UnitBases,MATCH(F528,UnitNames,0)),"?"))</f>
        <v>0</v>
      </c>
      <c r="L528" s="17">
        <f>IF(D528="","",IFERROR(INDEX(Ingredients!$G$5:$G$304,MATCH(D528,Ingredients!$B$5:$B$304,0)),"Add to Ingredients"))</f>
        <v>0</v>
      </c>
      <c r="M528" s="25">
        <f>IF(D528="","",IFERROR(INDEX(Ingredients!$J$5:$J$304,MATCH(D528,Ingredients!$B$5:$B$304,0)),"Add to Ingredients"))</f>
        <v>0</v>
      </c>
      <c r="N528" s="25">
        <f>IF(OR(J528="",M528="",NOT(ISNUMBER(M528))),"",IF(K528&lt;&gt;L528,"",J528*M528))</f>
        <v>0</v>
      </c>
      <c r="O528" s="25">
        <f>IF(N528="","",IFERROR(N528/INDEX(Recipes!$G$5:$G$204,MATCH(B528,Recipes!$A$5:$A$204,0)),""))</f>
        <v>0</v>
      </c>
      <c r="P528" s="30">
        <f>IF(J528="","",IF(K528="each",J528,J528/100))</f>
        <v>0</v>
      </c>
      <c r="Q528" s="30">
        <f>IFERROR(IF(P528="","",P528*INDEX(Ingredients!$P$5:$P$304,MATCH(D528,Ingredients!$B$5:$B$304,0))),"")</f>
        <v>0</v>
      </c>
      <c r="R528" s="45">
        <f>IFERROR(IF(P528="","",P528*INDEX(Ingredients!$Q$5:$Q$304,MATCH(D528,Ingredients!$B$5:$B$304,0))),"")</f>
        <v>0</v>
      </c>
      <c r="S528" s="45">
        <f>IFERROR(IF(P528="","",P528*INDEX(Ingredients!$R$5:$R$304,MATCH(D528,Ingredients!$B$5:$B$304,0))),"")</f>
        <v>0</v>
      </c>
      <c r="T528" s="45">
        <f>IFERROR(IF(P528="","",P528*INDEX(Ingredients!$S$5:$S$304,MATCH(D528,Ingredients!$B$5:$B$304,0))),"")</f>
        <v>0</v>
      </c>
      <c r="U528" s="45">
        <f>IFERROR(IF(P528="","",P528*INDEX(Ingredients!$T$5:$T$304,MATCH(D528,Ingredients!$B$5:$B$304,0))),"")</f>
        <v>0</v>
      </c>
      <c r="V528" s="17">
        <f>IF(D528="","",IFERROR(INDEX(Ingredients!$W$5:$W$304,MATCH(D528,Ingredients!$B$5:$B$304,0)),"Add to Ingredients"))</f>
        <v>0</v>
      </c>
      <c r="W528" s="17">
        <f>IF(D528="","",IFERROR(INDEX(Ingredients!$C$5:$C$304,MATCH(D528,Ingredients!$B$5:$B$304,0)),"Add to Ingredients"))</f>
        <v>0</v>
      </c>
      <c r="X528" s="45">
        <f>IFERROR(INDEX(Recipes!$AT$5:$AT$204,MATCH(B528,Recipes!$A$5:$A$204,0)),0)</f>
        <v>0</v>
      </c>
      <c r="Y528" s="45">
        <f>IF(OR(J528="",X528=0),"",J528*X528)</f>
        <v>0</v>
      </c>
      <c r="Z528" s="17">
        <f>IF(D528="","",B528&amp;"#"&amp;COUNTIFS($B$5:B528,B528))</f>
        <v>0</v>
      </c>
      <c r="AA528" s="17">
        <f>IF(D528="","",B528&amp;"|"&amp;D528)</f>
        <v>0</v>
      </c>
      <c r="AB528" s="31">
        <f>IF(D528="","",IF(B528="","Add - which recipe?",IF(COUNTIFS(Ingredients!$B$5:$B$304,D528)=0,"Missing - not in the Ingredients tab",IF(E528="","Add - no quantity",IF(F528="","Add - no unit",IF(K528&lt;&gt;L528,"Check - recipe in "&amp;K528&amp;", priced in "&amp;L528,IF(COUNTIFS($AA$5:$AA$1204,AA528)&gt;1,"Duplicate - same ingredient twice","OK")))))))</f>
        <v>0</v>
      </c>
    </row>
    <row r="529" spans="1:28">
      <c r="A529" s="39">
        <f>IF(D529="","","RL-"&amp;TEXT(ROW()-4,"0000"))</f>
        <v>0</v>
      </c>
      <c r="C529" s="17">
        <f>IF(B529="","",IFERROR(INDEX(Recipes!$B$5:$B$204,MATCH(B529,Recipes!$A$5:$A$204,0)),"Not found"))</f>
        <v>0</v>
      </c>
      <c r="J529" s="45">
        <f>IF(E529="","",IFERROR(E529*INDEX(UnitFactors,MATCH(F529,UnitNames,0)),""))</f>
        <v>0</v>
      </c>
      <c r="K529" s="17">
        <f>IF(F529="","",IFERROR(INDEX(UnitBases,MATCH(F529,UnitNames,0)),"?"))</f>
        <v>0</v>
      </c>
      <c r="L529" s="17">
        <f>IF(D529="","",IFERROR(INDEX(Ingredients!$G$5:$G$304,MATCH(D529,Ingredients!$B$5:$B$304,0)),"Add to Ingredients"))</f>
        <v>0</v>
      </c>
      <c r="M529" s="25">
        <f>IF(D529="","",IFERROR(INDEX(Ingredients!$J$5:$J$304,MATCH(D529,Ingredients!$B$5:$B$304,0)),"Add to Ingredients"))</f>
        <v>0</v>
      </c>
      <c r="N529" s="25">
        <f>IF(OR(J529="",M529="",NOT(ISNUMBER(M529))),"",IF(K529&lt;&gt;L529,"",J529*M529))</f>
        <v>0</v>
      </c>
      <c r="O529" s="25">
        <f>IF(N529="","",IFERROR(N529/INDEX(Recipes!$G$5:$G$204,MATCH(B529,Recipes!$A$5:$A$204,0)),""))</f>
        <v>0</v>
      </c>
      <c r="P529" s="30">
        <f>IF(J529="","",IF(K529="each",J529,J529/100))</f>
        <v>0</v>
      </c>
      <c r="Q529" s="30">
        <f>IFERROR(IF(P529="","",P529*INDEX(Ingredients!$P$5:$P$304,MATCH(D529,Ingredients!$B$5:$B$304,0))),"")</f>
        <v>0</v>
      </c>
      <c r="R529" s="45">
        <f>IFERROR(IF(P529="","",P529*INDEX(Ingredients!$Q$5:$Q$304,MATCH(D529,Ingredients!$B$5:$B$304,0))),"")</f>
        <v>0</v>
      </c>
      <c r="S529" s="45">
        <f>IFERROR(IF(P529="","",P529*INDEX(Ingredients!$R$5:$R$304,MATCH(D529,Ingredients!$B$5:$B$304,0))),"")</f>
        <v>0</v>
      </c>
      <c r="T529" s="45">
        <f>IFERROR(IF(P529="","",P529*INDEX(Ingredients!$S$5:$S$304,MATCH(D529,Ingredients!$B$5:$B$304,0))),"")</f>
        <v>0</v>
      </c>
      <c r="U529" s="45">
        <f>IFERROR(IF(P529="","",P529*INDEX(Ingredients!$T$5:$T$304,MATCH(D529,Ingredients!$B$5:$B$304,0))),"")</f>
        <v>0</v>
      </c>
      <c r="V529" s="17">
        <f>IF(D529="","",IFERROR(INDEX(Ingredients!$W$5:$W$304,MATCH(D529,Ingredients!$B$5:$B$304,0)),"Add to Ingredients"))</f>
        <v>0</v>
      </c>
      <c r="W529" s="17">
        <f>IF(D529="","",IFERROR(INDEX(Ingredients!$C$5:$C$304,MATCH(D529,Ingredients!$B$5:$B$304,0)),"Add to Ingredients"))</f>
        <v>0</v>
      </c>
      <c r="X529" s="45">
        <f>IFERROR(INDEX(Recipes!$AT$5:$AT$204,MATCH(B529,Recipes!$A$5:$A$204,0)),0)</f>
        <v>0</v>
      </c>
      <c r="Y529" s="45">
        <f>IF(OR(J529="",X529=0),"",J529*X529)</f>
        <v>0</v>
      </c>
      <c r="Z529" s="17">
        <f>IF(D529="","",B529&amp;"#"&amp;COUNTIFS($B$5:B529,B529))</f>
        <v>0</v>
      </c>
      <c r="AA529" s="17">
        <f>IF(D529="","",B529&amp;"|"&amp;D529)</f>
        <v>0</v>
      </c>
      <c r="AB529" s="31">
        <f>IF(D529="","",IF(B529="","Add - which recipe?",IF(COUNTIFS(Ingredients!$B$5:$B$304,D529)=0,"Missing - not in the Ingredients tab",IF(E529="","Add - no quantity",IF(F529="","Add - no unit",IF(K529&lt;&gt;L529,"Check - recipe in "&amp;K529&amp;", priced in "&amp;L529,IF(COUNTIFS($AA$5:$AA$1204,AA529)&gt;1,"Duplicate - same ingredient twice","OK")))))))</f>
        <v>0</v>
      </c>
    </row>
    <row r="530" spans="1:28">
      <c r="A530" s="39">
        <f>IF(D530="","","RL-"&amp;TEXT(ROW()-4,"0000"))</f>
        <v>0</v>
      </c>
      <c r="C530" s="17">
        <f>IF(B530="","",IFERROR(INDEX(Recipes!$B$5:$B$204,MATCH(B530,Recipes!$A$5:$A$204,0)),"Not found"))</f>
        <v>0</v>
      </c>
      <c r="J530" s="45">
        <f>IF(E530="","",IFERROR(E530*INDEX(UnitFactors,MATCH(F530,UnitNames,0)),""))</f>
        <v>0</v>
      </c>
      <c r="K530" s="17">
        <f>IF(F530="","",IFERROR(INDEX(UnitBases,MATCH(F530,UnitNames,0)),"?"))</f>
        <v>0</v>
      </c>
      <c r="L530" s="17">
        <f>IF(D530="","",IFERROR(INDEX(Ingredients!$G$5:$G$304,MATCH(D530,Ingredients!$B$5:$B$304,0)),"Add to Ingredients"))</f>
        <v>0</v>
      </c>
      <c r="M530" s="25">
        <f>IF(D530="","",IFERROR(INDEX(Ingredients!$J$5:$J$304,MATCH(D530,Ingredients!$B$5:$B$304,0)),"Add to Ingredients"))</f>
        <v>0</v>
      </c>
      <c r="N530" s="25">
        <f>IF(OR(J530="",M530="",NOT(ISNUMBER(M530))),"",IF(K530&lt;&gt;L530,"",J530*M530))</f>
        <v>0</v>
      </c>
      <c r="O530" s="25">
        <f>IF(N530="","",IFERROR(N530/INDEX(Recipes!$G$5:$G$204,MATCH(B530,Recipes!$A$5:$A$204,0)),""))</f>
        <v>0</v>
      </c>
      <c r="P530" s="30">
        <f>IF(J530="","",IF(K530="each",J530,J530/100))</f>
        <v>0</v>
      </c>
      <c r="Q530" s="30">
        <f>IFERROR(IF(P530="","",P530*INDEX(Ingredients!$P$5:$P$304,MATCH(D530,Ingredients!$B$5:$B$304,0))),"")</f>
        <v>0</v>
      </c>
      <c r="R530" s="45">
        <f>IFERROR(IF(P530="","",P530*INDEX(Ingredients!$Q$5:$Q$304,MATCH(D530,Ingredients!$B$5:$B$304,0))),"")</f>
        <v>0</v>
      </c>
      <c r="S530" s="45">
        <f>IFERROR(IF(P530="","",P530*INDEX(Ingredients!$R$5:$R$304,MATCH(D530,Ingredients!$B$5:$B$304,0))),"")</f>
        <v>0</v>
      </c>
      <c r="T530" s="45">
        <f>IFERROR(IF(P530="","",P530*INDEX(Ingredients!$S$5:$S$304,MATCH(D530,Ingredients!$B$5:$B$304,0))),"")</f>
        <v>0</v>
      </c>
      <c r="U530" s="45">
        <f>IFERROR(IF(P530="","",P530*INDEX(Ingredients!$T$5:$T$304,MATCH(D530,Ingredients!$B$5:$B$304,0))),"")</f>
        <v>0</v>
      </c>
      <c r="V530" s="17">
        <f>IF(D530="","",IFERROR(INDEX(Ingredients!$W$5:$W$304,MATCH(D530,Ingredients!$B$5:$B$304,0)),"Add to Ingredients"))</f>
        <v>0</v>
      </c>
      <c r="W530" s="17">
        <f>IF(D530="","",IFERROR(INDEX(Ingredients!$C$5:$C$304,MATCH(D530,Ingredients!$B$5:$B$304,0)),"Add to Ingredients"))</f>
        <v>0</v>
      </c>
      <c r="X530" s="45">
        <f>IFERROR(INDEX(Recipes!$AT$5:$AT$204,MATCH(B530,Recipes!$A$5:$A$204,0)),0)</f>
        <v>0</v>
      </c>
      <c r="Y530" s="45">
        <f>IF(OR(J530="",X530=0),"",J530*X530)</f>
        <v>0</v>
      </c>
      <c r="Z530" s="17">
        <f>IF(D530="","",B530&amp;"#"&amp;COUNTIFS($B$5:B530,B530))</f>
        <v>0</v>
      </c>
      <c r="AA530" s="17">
        <f>IF(D530="","",B530&amp;"|"&amp;D530)</f>
        <v>0</v>
      </c>
      <c r="AB530" s="31">
        <f>IF(D530="","",IF(B530="","Add - which recipe?",IF(COUNTIFS(Ingredients!$B$5:$B$304,D530)=0,"Missing - not in the Ingredients tab",IF(E530="","Add - no quantity",IF(F530="","Add - no unit",IF(K530&lt;&gt;L530,"Check - recipe in "&amp;K530&amp;", priced in "&amp;L530,IF(COUNTIFS($AA$5:$AA$1204,AA530)&gt;1,"Duplicate - same ingredient twice","OK")))))))</f>
        <v>0</v>
      </c>
    </row>
    <row r="531" spans="1:28">
      <c r="A531" s="39">
        <f>IF(D531="","","RL-"&amp;TEXT(ROW()-4,"0000"))</f>
        <v>0</v>
      </c>
      <c r="C531" s="17">
        <f>IF(B531="","",IFERROR(INDEX(Recipes!$B$5:$B$204,MATCH(B531,Recipes!$A$5:$A$204,0)),"Not found"))</f>
        <v>0</v>
      </c>
      <c r="J531" s="45">
        <f>IF(E531="","",IFERROR(E531*INDEX(UnitFactors,MATCH(F531,UnitNames,0)),""))</f>
        <v>0</v>
      </c>
      <c r="K531" s="17">
        <f>IF(F531="","",IFERROR(INDEX(UnitBases,MATCH(F531,UnitNames,0)),"?"))</f>
        <v>0</v>
      </c>
      <c r="L531" s="17">
        <f>IF(D531="","",IFERROR(INDEX(Ingredients!$G$5:$G$304,MATCH(D531,Ingredients!$B$5:$B$304,0)),"Add to Ingredients"))</f>
        <v>0</v>
      </c>
      <c r="M531" s="25">
        <f>IF(D531="","",IFERROR(INDEX(Ingredients!$J$5:$J$304,MATCH(D531,Ingredients!$B$5:$B$304,0)),"Add to Ingredients"))</f>
        <v>0</v>
      </c>
      <c r="N531" s="25">
        <f>IF(OR(J531="",M531="",NOT(ISNUMBER(M531))),"",IF(K531&lt;&gt;L531,"",J531*M531))</f>
        <v>0</v>
      </c>
      <c r="O531" s="25">
        <f>IF(N531="","",IFERROR(N531/INDEX(Recipes!$G$5:$G$204,MATCH(B531,Recipes!$A$5:$A$204,0)),""))</f>
        <v>0</v>
      </c>
      <c r="P531" s="30">
        <f>IF(J531="","",IF(K531="each",J531,J531/100))</f>
        <v>0</v>
      </c>
      <c r="Q531" s="30">
        <f>IFERROR(IF(P531="","",P531*INDEX(Ingredients!$P$5:$P$304,MATCH(D531,Ingredients!$B$5:$B$304,0))),"")</f>
        <v>0</v>
      </c>
      <c r="R531" s="45">
        <f>IFERROR(IF(P531="","",P531*INDEX(Ingredients!$Q$5:$Q$304,MATCH(D531,Ingredients!$B$5:$B$304,0))),"")</f>
        <v>0</v>
      </c>
      <c r="S531" s="45">
        <f>IFERROR(IF(P531="","",P531*INDEX(Ingredients!$R$5:$R$304,MATCH(D531,Ingredients!$B$5:$B$304,0))),"")</f>
        <v>0</v>
      </c>
      <c r="T531" s="45">
        <f>IFERROR(IF(P531="","",P531*INDEX(Ingredients!$S$5:$S$304,MATCH(D531,Ingredients!$B$5:$B$304,0))),"")</f>
        <v>0</v>
      </c>
      <c r="U531" s="45">
        <f>IFERROR(IF(P531="","",P531*INDEX(Ingredients!$T$5:$T$304,MATCH(D531,Ingredients!$B$5:$B$304,0))),"")</f>
        <v>0</v>
      </c>
      <c r="V531" s="17">
        <f>IF(D531="","",IFERROR(INDEX(Ingredients!$W$5:$W$304,MATCH(D531,Ingredients!$B$5:$B$304,0)),"Add to Ingredients"))</f>
        <v>0</v>
      </c>
      <c r="W531" s="17">
        <f>IF(D531="","",IFERROR(INDEX(Ingredients!$C$5:$C$304,MATCH(D531,Ingredients!$B$5:$B$304,0)),"Add to Ingredients"))</f>
        <v>0</v>
      </c>
      <c r="X531" s="45">
        <f>IFERROR(INDEX(Recipes!$AT$5:$AT$204,MATCH(B531,Recipes!$A$5:$A$204,0)),0)</f>
        <v>0</v>
      </c>
      <c r="Y531" s="45">
        <f>IF(OR(J531="",X531=0),"",J531*X531)</f>
        <v>0</v>
      </c>
      <c r="Z531" s="17">
        <f>IF(D531="","",B531&amp;"#"&amp;COUNTIFS($B$5:B531,B531))</f>
        <v>0</v>
      </c>
      <c r="AA531" s="17">
        <f>IF(D531="","",B531&amp;"|"&amp;D531)</f>
        <v>0</v>
      </c>
      <c r="AB531" s="31">
        <f>IF(D531="","",IF(B531="","Add - which recipe?",IF(COUNTIFS(Ingredients!$B$5:$B$304,D531)=0,"Missing - not in the Ingredients tab",IF(E531="","Add - no quantity",IF(F531="","Add - no unit",IF(K531&lt;&gt;L531,"Check - recipe in "&amp;K531&amp;", priced in "&amp;L531,IF(COUNTIFS($AA$5:$AA$1204,AA531)&gt;1,"Duplicate - same ingredient twice","OK")))))))</f>
        <v>0</v>
      </c>
    </row>
    <row r="532" spans="1:28">
      <c r="A532" s="39">
        <f>IF(D532="","","RL-"&amp;TEXT(ROW()-4,"0000"))</f>
        <v>0</v>
      </c>
      <c r="C532" s="17">
        <f>IF(B532="","",IFERROR(INDEX(Recipes!$B$5:$B$204,MATCH(B532,Recipes!$A$5:$A$204,0)),"Not found"))</f>
        <v>0</v>
      </c>
      <c r="J532" s="45">
        <f>IF(E532="","",IFERROR(E532*INDEX(UnitFactors,MATCH(F532,UnitNames,0)),""))</f>
        <v>0</v>
      </c>
      <c r="K532" s="17">
        <f>IF(F532="","",IFERROR(INDEX(UnitBases,MATCH(F532,UnitNames,0)),"?"))</f>
        <v>0</v>
      </c>
      <c r="L532" s="17">
        <f>IF(D532="","",IFERROR(INDEX(Ingredients!$G$5:$G$304,MATCH(D532,Ingredients!$B$5:$B$304,0)),"Add to Ingredients"))</f>
        <v>0</v>
      </c>
      <c r="M532" s="25">
        <f>IF(D532="","",IFERROR(INDEX(Ingredients!$J$5:$J$304,MATCH(D532,Ingredients!$B$5:$B$304,0)),"Add to Ingredients"))</f>
        <v>0</v>
      </c>
      <c r="N532" s="25">
        <f>IF(OR(J532="",M532="",NOT(ISNUMBER(M532))),"",IF(K532&lt;&gt;L532,"",J532*M532))</f>
        <v>0</v>
      </c>
      <c r="O532" s="25">
        <f>IF(N532="","",IFERROR(N532/INDEX(Recipes!$G$5:$G$204,MATCH(B532,Recipes!$A$5:$A$204,0)),""))</f>
        <v>0</v>
      </c>
      <c r="P532" s="30">
        <f>IF(J532="","",IF(K532="each",J532,J532/100))</f>
        <v>0</v>
      </c>
      <c r="Q532" s="30">
        <f>IFERROR(IF(P532="","",P532*INDEX(Ingredients!$P$5:$P$304,MATCH(D532,Ingredients!$B$5:$B$304,0))),"")</f>
        <v>0</v>
      </c>
      <c r="R532" s="45">
        <f>IFERROR(IF(P532="","",P532*INDEX(Ingredients!$Q$5:$Q$304,MATCH(D532,Ingredients!$B$5:$B$304,0))),"")</f>
        <v>0</v>
      </c>
      <c r="S532" s="45">
        <f>IFERROR(IF(P532="","",P532*INDEX(Ingredients!$R$5:$R$304,MATCH(D532,Ingredients!$B$5:$B$304,0))),"")</f>
        <v>0</v>
      </c>
      <c r="T532" s="45">
        <f>IFERROR(IF(P532="","",P532*INDEX(Ingredients!$S$5:$S$304,MATCH(D532,Ingredients!$B$5:$B$304,0))),"")</f>
        <v>0</v>
      </c>
      <c r="U532" s="45">
        <f>IFERROR(IF(P532="","",P532*INDEX(Ingredients!$T$5:$T$304,MATCH(D532,Ingredients!$B$5:$B$304,0))),"")</f>
        <v>0</v>
      </c>
      <c r="V532" s="17">
        <f>IF(D532="","",IFERROR(INDEX(Ingredients!$W$5:$W$304,MATCH(D532,Ingredients!$B$5:$B$304,0)),"Add to Ingredients"))</f>
        <v>0</v>
      </c>
      <c r="W532" s="17">
        <f>IF(D532="","",IFERROR(INDEX(Ingredients!$C$5:$C$304,MATCH(D532,Ingredients!$B$5:$B$304,0)),"Add to Ingredients"))</f>
        <v>0</v>
      </c>
      <c r="X532" s="45">
        <f>IFERROR(INDEX(Recipes!$AT$5:$AT$204,MATCH(B532,Recipes!$A$5:$A$204,0)),0)</f>
        <v>0</v>
      </c>
      <c r="Y532" s="45">
        <f>IF(OR(J532="",X532=0),"",J532*X532)</f>
        <v>0</v>
      </c>
      <c r="Z532" s="17">
        <f>IF(D532="","",B532&amp;"#"&amp;COUNTIFS($B$5:B532,B532))</f>
        <v>0</v>
      </c>
      <c r="AA532" s="17">
        <f>IF(D532="","",B532&amp;"|"&amp;D532)</f>
        <v>0</v>
      </c>
      <c r="AB532" s="31">
        <f>IF(D532="","",IF(B532="","Add - which recipe?",IF(COUNTIFS(Ingredients!$B$5:$B$304,D532)=0,"Missing - not in the Ingredients tab",IF(E532="","Add - no quantity",IF(F532="","Add - no unit",IF(K532&lt;&gt;L532,"Check - recipe in "&amp;K532&amp;", priced in "&amp;L532,IF(COUNTIFS($AA$5:$AA$1204,AA532)&gt;1,"Duplicate - same ingredient twice","OK")))))))</f>
        <v>0</v>
      </c>
    </row>
    <row r="533" spans="1:28">
      <c r="A533" s="39">
        <f>IF(D533="","","RL-"&amp;TEXT(ROW()-4,"0000"))</f>
        <v>0</v>
      </c>
      <c r="C533" s="17">
        <f>IF(B533="","",IFERROR(INDEX(Recipes!$B$5:$B$204,MATCH(B533,Recipes!$A$5:$A$204,0)),"Not found"))</f>
        <v>0</v>
      </c>
      <c r="J533" s="45">
        <f>IF(E533="","",IFERROR(E533*INDEX(UnitFactors,MATCH(F533,UnitNames,0)),""))</f>
        <v>0</v>
      </c>
      <c r="K533" s="17">
        <f>IF(F533="","",IFERROR(INDEX(UnitBases,MATCH(F533,UnitNames,0)),"?"))</f>
        <v>0</v>
      </c>
      <c r="L533" s="17">
        <f>IF(D533="","",IFERROR(INDEX(Ingredients!$G$5:$G$304,MATCH(D533,Ingredients!$B$5:$B$304,0)),"Add to Ingredients"))</f>
        <v>0</v>
      </c>
      <c r="M533" s="25">
        <f>IF(D533="","",IFERROR(INDEX(Ingredients!$J$5:$J$304,MATCH(D533,Ingredients!$B$5:$B$304,0)),"Add to Ingredients"))</f>
        <v>0</v>
      </c>
      <c r="N533" s="25">
        <f>IF(OR(J533="",M533="",NOT(ISNUMBER(M533))),"",IF(K533&lt;&gt;L533,"",J533*M533))</f>
        <v>0</v>
      </c>
      <c r="O533" s="25">
        <f>IF(N533="","",IFERROR(N533/INDEX(Recipes!$G$5:$G$204,MATCH(B533,Recipes!$A$5:$A$204,0)),""))</f>
        <v>0</v>
      </c>
      <c r="P533" s="30">
        <f>IF(J533="","",IF(K533="each",J533,J533/100))</f>
        <v>0</v>
      </c>
      <c r="Q533" s="30">
        <f>IFERROR(IF(P533="","",P533*INDEX(Ingredients!$P$5:$P$304,MATCH(D533,Ingredients!$B$5:$B$304,0))),"")</f>
        <v>0</v>
      </c>
      <c r="R533" s="45">
        <f>IFERROR(IF(P533="","",P533*INDEX(Ingredients!$Q$5:$Q$304,MATCH(D533,Ingredients!$B$5:$B$304,0))),"")</f>
        <v>0</v>
      </c>
      <c r="S533" s="45">
        <f>IFERROR(IF(P533="","",P533*INDEX(Ingredients!$R$5:$R$304,MATCH(D533,Ingredients!$B$5:$B$304,0))),"")</f>
        <v>0</v>
      </c>
      <c r="T533" s="45">
        <f>IFERROR(IF(P533="","",P533*INDEX(Ingredients!$S$5:$S$304,MATCH(D533,Ingredients!$B$5:$B$304,0))),"")</f>
        <v>0</v>
      </c>
      <c r="U533" s="45">
        <f>IFERROR(IF(P533="","",P533*INDEX(Ingredients!$T$5:$T$304,MATCH(D533,Ingredients!$B$5:$B$304,0))),"")</f>
        <v>0</v>
      </c>
      <c r="V533" s="17">
        <f>IF(D533="","",IFERROR(INDEX(Ingredients!$W$5:$W$304,MATCH(D533,Ingredients!$B$5:$B$304,0)),"Add to Ingredients"))</f>
        <v>0</v>
      </c>
      <c r="W533" s="17">
        <f>IF(D533="","",IFERROR(INDEX(Ingredients!$C$5:$C$304,MATCH(D533,Ingredients!$B$5:$B$304,0)),"Add to Ingredients"))</f>
        <v>0</v>
      </c>
      <c r="X533" s="45">
        <f>IFERROR(INDEX(Recipes!$AT$5:$AT$204,MATCH(B533,Recipes!$A$5:$A$204,0)),0)</f>
        <v>0</v>
      </c>
      <c r="Y533" s="45">
        <f>IF(OR(J533="",X533=0),"",J533*X533)</f>
        <v>0</v>
      </c>
      <c r="Z533" s="17">
        <f>IF(D533="","",B533&amp;"#"&amp;COUNTIFS($B$5:B533,B533))</f>
        <v>0</v>
      </c>
      <c r="AA533" s="17">
        <f>IF(D533="","",B533&amp;"|"&amp;D533)</f>
        <v>0</v>
      </c>
      <c r="AB533" s="31">
        <f>IF(D533="","",IF(B533="","Add - which recipe?",IF(COUNTIFS(Ingredients!$B$5:$B$304,D533)=0,"Missing - not in the Ingredients tab",IF(E533="","Add - no quantity",IF(F533="","Add - no unit",IF(K533&lt;&gt;L533,"Check - recipe in "&amp;K533&amp;", priced in "&amp;L533,IF(COUNTIFS($AA$5:$AA$1204,AA533)&gt;1,"Duplicate - same ingredient twice","OK")))))))</f>
        <v>0</v>
      </c>
    </row>
    <row r="534" spans="1:28">
      <c r="A534" s="39">
        <f>IF(D534="","","RL-"&amp;TEXT(ROW()-4,"0000"))</f>
        <v>0</v>
      </c>
      <c r="C534" s="17">
        <f>IF(B534="","",IFERROR(INDEX(Recipes!$B$5:$B$204,MATCH(B534,Recipes!$A$5:$A$204,0)),"Not found"))</f>
        <v>0</v>
      </c>
      <c r="J534" s="45">
        <f>IF(E534="","",IFERROR(E534*INDEX(UnitFactors,MATCH(F534,UnitNames,0)),""))</f>
        <v>0</v>
      </c>
      <c r="K534" s="17">
        <f>IF(F534="","",IFERROR(INDEX(UnitBases,MATCH(F534,UnitNames,0)),"?"))</f>
        <v>0</v>
      </c>
      <c r="L534" s="17">
        <f>IF(D534="","",IFERROR(INDEX(Ingredients!$G$5:$G$304,MATCH(D534,Ingredients!$B$5:$B$304,0)),"Add to Ingredients"))</f>
        <v>0</v>
      </c>
      <c r="M534" s="25">
        <f>IF(D534="","",IFERROR(INDEX(Ingredients!$J$5:$J$304,MATCH(D534,Ingredients!$B$5:$B$304,0)),"Add to Ingredients"))</f>
        <v>0</v>
      </c>
      <c r="N534" s="25">
        <f>IF(OR(J534="",M534="",NOT(ISNUMBER(M534))),"",IF(K534&lt;&gt;L534,"",J534*M534))</f>
        <v>0</v>
      </c>
      <c r="O534" s="25">
        <f>IF(N534="","",IFERROR(N534/INDEX(Recipes!$G$5:$G$204,MATCH(B534,Recipes!$A$5:$A$204,0)),""))</f>
        <v>0</v>
      </c>
      <c r="P534" s="30">
        <f>IF(J534="","",IF(K534="each",J534,J534/100))</f>
        <v>0</v>
      </c>
      <c r="Q534" s="30">
        <f>IFERROR(IF(P534="","",P534*INDEX(Ingredients!$P$5:$P$304,MATCH(D534,Ingredients!$B$5:$B$304,0))),"")</f>
        <v>0</v>
      </c>
      <c r="R534" s="45">
        <f>IFERROR(IF(P534="","",P534*INDEX(Ingredients!$Q$5:$Q$304,MATCH(D534,Ingredients!$B$5:$B$304,0))),"")</f>
        <v>0</v>
      </c>
      <c r="S534" s="45">
        <f>IFERROR(IF(P534="","",P534*INDEX(Ingredients!$R$5:$R$304,MATCH(D534,Ingredients!$B$5:$B$304,0))),"")</f>
        <v>0</v>
      </c>
      <c r="T534" s="45">
        <f>IFERROR(IF(P534="","",P534*INDEX(Ingredients!$S$5:$S$304,MATCH(D534,Ingredients!$B$5:$B$304,0))),"")</f>
        <v>0</v>
      </c>
      <c r="U534" s="45">
        <f>IFERROR(IF(P534="","",P534*INDEX(Ingredients!$T$5:$T$304,MATCH(D534,Ingredients!$B$5:$B$304,0))),"")</f>
        <v>0</v>
      </c>
      <c r="V534" s="17">
        <f>IF(D534="","",IFERROR(INDEX(Ingredients!$W$5:$W$304,MATCH(D534,Ingredients!$B$5:$B$304,0)),"Add to Ingredients"))</f>
        <v>0</v>
      </c>
      <c r="W534" s="17">
        <f>IF(D534="","",IFERROR(INDEX(Ingredients!$C$5:$C$304,MATCH(D534,Ingredients!$B$5:$B$304,0)),"Add to Ingredients"))</f>
        <v>0</v>
      </c>
      <c r="X534" s="45">
        <f>IFERROR(INDEX(Recipes!$AT$5:$AT$204,MATCH(B534,Recipes!$A$5:$A$204,0)),0)</f>
        <v>0</v>
      </c>
      <c r="Y534" s="45">
        <f>IF(OR(J534="",X534=0),"",J534*X534)</f>
        <v>0</v>
      </c>
      <c r="Z534" s="17">
        <f>IF(D534="","",B534&amp;"#"&amp;COUNTIFS($B$5:B534,B534))</f>
        <v>0</v>
      </c>
      <c r="AA534" s="17">
        <f>IF(D534="","",B534&amp;"|"&amp;D534)</f>
        <v>0</v>
      </c>
      <c r="AB534" s="31">
        <f>IF(D534="","",IF(B534="","Add - which recipe?",IF(COUNTIFS(Ingredients!$B$5:$B$304,D534)=0,"Missing - not in the Ingredients tab",IF(E534="","Add - no quantity",IF(F534="","Add - no unit",IF(K534&lt;&gt;L534,"Check - recipe in "&amp;K534&amp;", priced in "&amp;L534,IF(COUNTIFS($AA$5:$AA$1204,AA534)&gt;1,"Duplicate - same ingredient twice","OK")))))))</f>
        <v>0</v>
      </c>
    </row>
    <row r="535" spans="1:28">
      <c r="A535" s="39">
        <f>IF(D535="","","RL-"&amp;TEXT(ROW()-4,"0000"))</f>
        <v>0</v>
      </c>
      <c r="C535" s="17">
        <f>IF(B535="","",IFERROR(INDEX(Recipes!$B$5:$B$204,MATCH(B535,Recipes!$A$5:$A$204,0)),"Not found"))</f>
        <v>0</v>
      </c>
      <c r="J535" s="45">
        <f>IF(E535="","",IFERROR(E535*INDEX(UnitFactors,MATCH(F535,UnitNames,0)),""))</f>
        <v>0</v>
      </c>
      <c r="K535" s="17">
        <f>IF(F535="","",IFERROR(INDEX(UnitBases,MATCH(F535,UnitNames,0)),"?"))</f>
        <v>0</v>
      </c>
      <c r="L535" s="17">
        <f>IF(D535="","",IFERROR(INDEX(Ingredients!$G$5:$G$304,MATCH(D535,Ingredients!$B$5:$B$304,0)),"Add to Ingredients"))</f>
        <v>0</v>
      </c>
      <c r="M535" s="25">
        <f>IF(D535="","",IFERROR(INDEX(Ingredients!$J$5:$J$304,MATCH(D535,Ingredients!$B$5:$B$304,0)),"Add to Ingredients"))</f>
        <v>0</v>
      </c>
      <c r="N535" s="25">
        <f>IF(OR(J535="",M535="",NOT(ISNUMBER(M535))),"",IF(K535&lt;&gt;L535,"",J535*M535))</f>
        <v>0</v>
      </c>
      <c r="O535" s="25">
        <f>IF(N535="","",IFERROR(N535/INDEX(Recipes!$G$5:$G$204,MATCH(B535,Recipes!$A$5:$A$204,0)),""))</f>
        <v>0</v>
      </c>
      <c r="P535" s="30">
        <f>IF(J535="","",IF(K535="each",J535,J535/100))</f>
        <v>0</v>
      </c>
      <c r="Q535" s="30">
        <f>IFERROR(IF(P535="","",P535*INDEX(Ingredients!$P$5:$P$304,MATCH(D535,Ingredients!$B$5:$B$304,0))),"")</f>
        <v>0</v>
      </c>
      <c r="R535" s="45">
        <f>IFERROR(IF(P535="","",P535*INDEX(Ingredients!$Q$5:$Q$304,MATCH(D535,Ingredients!$B$5:$B$304,0))),"")</f>
        <v>0</v>
      </c>
      <c r="S535" s="45">
        <f>IFERROR(IF(P535="","",P535*INDEX(Ingredients!$R$5:$R$304,MATCH(D535,Ingredients!$B$5:$B$304,0))),"")</f>
        <v>0</v>
      </c>
      <c r="T535" s="45">
        <f>IFERROR(IF(P535="","",P535*INDEX(Ingredients!$S$5:$S$304,MATCH(D535,Ingredients!$B$5:$B$304,0))),"")</f>
        <v>0</v>
      </c>
      <c r="U535" s="45">
        <f>IFERROR(IF(P535="","",P535*INDEX(Ingredients!$T$5:$T$304,MATCH(D535,Ingredients!$B$5:$B$304,0))),"")</f>
        <v>0</v>
      </c>
      <c r="V535" s="17">
        <f>IF(D535="","",IFERROR(INDEX(Ingredients!$W$5:$W$304,MATCH(D535,Ingredients!$B$5:$B$304,0)),"Add to Ingredients"))</f>
        <v>0</v>
      </c>
      <c r="W535" s="17">
        <f>IF(D535="","",IFERROR(INDEX(Ingredients!$C$5:$C$304,MATCH(D535,Ingredients!$B$5:$B$304,0)),"Add to Ingredients"))</f>
        <v>0</v>
      </c>
      <c r="X535" s="45">
        <f>IFERROR(INDEX(Recipes!$AT$5:$AT$204,MATCH(B535,Recipes!$A$5:$A$204,0)),0)</f>
        <v>0</v>
      </c>
      <c r="Y535" s="45">
        <f>IF(OR(J535="",X535=0),"",J535*X535)</f>
        <v>0</v>
      </c>
      <c r="Z535" s="17">
        <f>IF(D535="","",B535&amp;"#"&amp;COUNTIFS($B$5:B535,B535))</f>
        <v>0</v>
      </c>
      <c r="AA535" s="17">
        <f>IF(D535="","",B535&amp;"|"&amp;D535)</f>
        <v>0</v>
      </c>
      <c r="AB535" s="31">
        <f>IF(D535="","",IF(B535="","Add - which recipe?",IF(COUNTIFS(Ingredients!$B$5:$B$304,D535)=0,"Missing - not in the Ingredients tab",IF(E535="","Add - no quantity",IF(F535="","Add - no unit",IF(K535&lt;&gt;L535,"Check - recipe in "&amp;K535&amp;", priced in "&amp;L535,IF(COUNTIFS($AA$5:$AA$1204,AA535)&gt;1,"Duplicate - same ingredient twice","OK")))))))</f>
        <v>0</v>
      </c>
    </row>
    <row r="536" spans="1:28">
      <c r="A536" s="39">
        <f>IF(D536="","","RL-"&amp;TEXT(ROW()-4,"0000"))</f>
        <v>0</v>
      </c>
      <c r="C536" s="17">
        <f>IF(B536="","",IFERROR(INDEX(Recipes!$B$5:$B$204,MATCH(B536,Recipes!$A$5:$A$204,0)),"Not found"))</f>
        <v>0</v>
      </c>
      <c r="J536" s="45">
        <f>IF(E536="","",IFERROR(E536*INDEX(UnitFactors,MATCH(F536,UnitNames,0)),""))</f>
        <v>0</v>
      </c>
      <c r="K536" s="17">
        <f>IF(F536="","",IFERROR(INDEX(UnitBases,MATCH(F536,UnitNames,0)),"?"))</f>
        <v>0</v>
      </c>
      <c r="L536" s="17">
        <f>IF(D536="","",IFERROR(INDEX(Ingredients!$G$5:$G$304,MATCH(D536,Ingredients!$B$5:$B$304,0)),"Add to Ingredients"))</f>
        <v>0</v>
      </c>
      <c r="M536" s="25">
        <f>IF(D536="","",IFERROR(INDEX(Ingredients!$J$5:$J$304,MATCH(D536,Ingredients!$B$5:$B$304,0)),"Add to Ingredients"))</f>
        <v>0</v>
      </c>
      <c r="N536" s="25">
        <f>IF(OR(J536="",M536="",NOT(ISNUMBER(M536))),"",IF(K536&lt;&gt;L536,"",J536*M536))</f>
        <v>0</v>
      </c>
      <c r="O536" s="25">
        <f>IF(N536="","",IFERROR(N536/INDEX(Recipes!$G$5:$G$204,MATCH(B536,Recipes!$A$5:$A$204,0)),""))</f>
        <v>0</v>
      </c>
      <c r="P536" s="30">
        <f>IF(J536="","",IF(K536="each",J536,J536/100))</f>
        <v>0</v>
      </c>
      <c r="Q536" s="30">
        <f>IFERROR(IF(P536="","",P536*INDEX(Ingredients!$P$5:$P$304,MATCH(D536,Ingredients!$B$5:$B$304,0))),"")</f>
        <v>0</v>
      </c>
      <c r="R536" s="45">
        <f>IFERROR(IF(P536="","",P536*INDEX(Ingredients!$Q$5:$Q$304,MATCH(D536,Ingredients!$B$5:$B$304,0))),"")</f>
        <v>0</v>
      </c>
      <c r="S536" s="45">
        <f>IFERROR(IF(P536="","",P536*INDEX(Ingredients!$R$5:$R$304,MATCH(D536,Ingredients!$B$5:$B$304,0))),"")</f>
        <v>0</v>
      </c>
      <c r="T536" s="45">
        <f>IFERROR(IF(P536="","",P536*INDEX(Ingredients!$S$5:$S$304,MATCH(D536,Ingredients!$B$5:$B$304,0))),"")</f>
        <v>0</v>
      </c>
      <c r="U536" s="45">
        <f>IFERROR(IF(P536="","",P536*INDEX(Ingredients!$T$5:$T$304,MATCH(D536,Ingredients!$B$5:$B$304,0))),"")</f>
        <v>0</v>
      </c>
      <c r="V536" s="17">
        <f>IF(D536="","",IFERROR(INDEX(Ingredients!$W$5:$W$304,MATCH(D536,Ingredients!$B$5:$B$304,0)),"Add to Ingredients"))</f>
        <v>0</v>
      </c>
      <c r="W536" s="17">
        <f>IF(D536="","",IFERROR(INDEX(Ingredients!$C$5:$C$304,MATCH(D536,Ingredients!$B$5:$B$304,0)),"Add to Ingredients"))</f>
        <v>0</v>
      </c>
      <c r="X536" s="45">
        <f>IFERROR(INDEX(Recipes!$AT$5:$AT$204,MATCH(B536,Recipes!$A$5:$A$204,0)),0)</f>
        <v>0</v>
      </c>
      <c r="Y536" s="45">
        <f>IF(OR(J536="",X536=0),"",J536*X536)</f>
        <v>0</v>
      </c>
      <c r="Z536" s="17">
        <f>IF(D536="","",B536&amp;"#"&amp;COUNTIFS($B$5:B536,B536))</f>
        <v>0</v>
      </c>
      <c r="AA536" s="17">
        <f>IF(D536="","",B536&amp;"|"&amp;D536)</f>
        <v>0</v>
      </c>
      <c r="AB536" s="31">
        <f>IF(D536="","",IF(B536="","Add - which recipe?",IF(COUNTIFS(Ingredients!$B$5:$B$304,D536)=0,"Missing - not in the Ingredients tab",IF(E536="","Add - no quantity",IF(F536="","Add - no unit",IF(K536&lt;&gt;L536,"Check - recipe in "&amp;K536&amp;", priced in "&amp;L536,IF(COUNTIFS($AA$5:$AA$1204,AA536)&gt;1,"Duplicate - same ingredient twice","OK")))))))</f>
        <v>0</v>
      </c>
    </row>
    <row r="537" spans="1:28">
      <c r="A537" s="39">
        <f>IF(D537="","","RL-"&amp;TEXT(ROW()-4,"0000"))</f>
        <v>0</v>
      </c>
      <c r="C537" s="17">
        <f>IF(B537="","",IFERROR(INDEX(Recipes!$B$5:$B$204,MATCH(B537,Recipes!$A$5:$A$204,0)),"Not found"))</f>
        <v>0</v>
      </c>
      <c r="J537" s="45">
        <f>IF(E537="","",IFERROR(E537*INDEX(UnitFactors,MATCH(F537,UnitNames,0)),""))</f>
        <v>0</v>
      </c>
      <c r="K537" s="17">
        <f>IF(F537="","",IFERROR(INDEX(UnitBases,MATCH(F537,UnitNames,0)),"?"))</f>
        <v>0</v>
      </c>
      <c r="L537" s="17">
        <f>IF(D537="","",IFERROR(INDEX(Ingredients!$G$5:$G$304,MATCH(D537,Ingredients!$B$5:$B$304,0)),"Add to Ingredients"))</f>
        <v>0</v>
      </c>
      <c r="M537" s="25">
        <f>IF(D537="","",IFERROR(INDEX(Ingredients!$J$5:$J$304,MATCH(D537,Ingredients!$B$5:$B$304,0)),"Add to Ingredients"))</f>
        <v>0</v>
      </c>
      <c r="N537" s="25">
        <f>IF(OR(J537="",M537="",NOT(ISNUMBER(M537))),"",IF(K537&lt;&gt;L537,"",J537*M537))</f>
        <v>0</v>
      </c>
      <c r="O537" s="25">
        <f>IF(N537="","",IFERROR(N537/INDEX(Recipes!$G$5:$G$204,MATCH(B537,Recipes!$A$5:$A$204,0)),""))</f>
        <v>0</v>
      </c>
      <c r="P537" s="30">
        <f>IF(J537="","",IF(K537="each",J537,J537/100))</f>
        <v>0</v>
      </c>
      <c r="Q537" s="30">
        <f>IFERROR(IF(P537="","",P537*INDEX(Ingredients!$P$5:$P$304,MATCH(D537,Ingredients!$B$5:$B$304,0))),"")</f>
        <v>0</v>
      </c>
      <c r="R537" s="45">
        <f>IFERROR(IF(P537="","",P537*INDEX(Ingredients!$Q$5:$Q$304,MATCH(D537,Ingredients!$B$5:$B$304,0))),"")</f>
        <v>0</v>
      </c>
      <c r="S537" s="45">
        <f>IFERROR(IF(P537="","",P537*INDEX(Ingredients!$R$5:$R$304,MATCH(D537,Ingredients!$B$5:$B$304,0))),"")</f>
        <v>0</v>
      </c>
      <c r="T537" s="45">
        <f>IFERROR(IF(P537="","",P537*INDEX(Ingredients!$S$5:$S$304,MATCH(D537,Ingredients!$B$5:$B$304,0))),"")</f>
        <v>0</v>
      </c>
      <c r="U537" s="45">
        <f>IFERROR(IF(P537="","",P537*INDEX(Ingredients!$T$5:$T$304,MATCH(D537,Ingredients!$B$5:$B$304,0))),"")</f>
        <v>0</v>
      </c>
      <c r="V537" s="17">
        <f>IF(D537="","",IFERROR(INDEX(Ingredients!$W$5:$W$304,MATCH(D537,Ingredients!$B$5:$B$304,0)),"Add to Ingredients"))</f>
        <v>0</v>
      </c>
      <c r="W537" s="17">
        <f>IF(D537="","",IFERROR(INDEX(Ingredients!$C$5:$C$304,MATCH(D537,Ingredients!$B$5:$B$304,0)),"Add to Ingredients"))</f>
        <v>0</v>
      </c>
      <c r="X537" s="45">
        <f>IFERROR(INDEX(Recipes!$AT$5:$AT$204,MATCH(B537,Recipes!$A$5:$A$204,0)),0)</f>
        <v>0</v>
      </c>
      <c r="Y537" s="45">
        <f>IF(OR(J537="",X537=0),"",J537*X537)</f>
        <v>0</v>
      </c>
      <c r="Z537" s="17">
        <f>IF(D537="","",B537&amp;"#"&amp;COUNTIFS($B$5:B537,B537))</f>
        <v>0</v>
      </c>
      <c r="AA537" s="17">
        <f>IF(D537="","",B537&amp;"|"&amp;D537)</f>
        <v>0</v>
      </c>
      <c r="AB537" s="31">
        <f>IF(D537="","",IF(B537="","Add - which recipe?",IF(COUNTIFS(Ingredients!$B$5:$B$304,D537)=0,"Missing - not in the Ingredients tab",IF(E537="","Add - no quantity",IF(F537="","Add - no unit",IF(K537&lt;&gt;L537,"Check - recipe in "&amp;K537&amp;", priced in "&amp;L537,IF(COUNTIFS($AA$5:$AA$1204,AA537)&gt;1,"Duplicate - same ingredient twice","OK")))))))</f>
        <v>0</v>
      </c>
    </row>
    <row r="538" spans="1:28">
      <c r="A538" s="39">
        <f>IF(D538="","","RL-"&amp;TEXT(ROW()-4,"0000"))</f>
        <v>0</v>
      </c>
      <c r="C538" s="17">
        <f>IF(B538="","",IFERROR(INDEX(Recipes!$B$5:$B$204,MATCH(B538,Recipes!$A$5:$A$204,0)),"Not found"))</f>
        <v>0</v>
      </c>
      <c r="J538" s="45">
        <f>IF(E538="","",IFERROR(E538*INDEX(UnitFactors,MATCH(F538,UnitNames,0)),""))</f>
        <v>0</v>
      </c>
      <c r="K538" s="17">
        <f>IF(F538="","",IFERROR(INDEX(UnitBases,MATCH(F538,UnitNames,0)),"?"))</f>
        <v>0</v>
      </c>
      <c r="L538" s="17">
        <f>IF(D538="","",IFERROR(INDEX(Ingredients!$G$5:$G$304,MATCH(D538,Ingredients!$B$5:$B$304,0)),"Add to Ingredients"))</f>
        <v>0</v>
      </c>
      <c r="M538" s="25">
        <f>IF(D538="","",IFERROR(INDEX(Ingredients!$J$5:$J$304,MATCH(D538,Ingredients!$B$5:$B$304,0)),"Add to Ingredients"))</f>
        <v>0</v>
      </c>
      <c r="N538" s="25">
        <f>IF(OR(J538="",M538="",NOT(ISNUMBER(M538))),"",IF(K538&lt;&gt;L538,"",J538*M538))</f>
        <v>0</v>
      </c>
      <c r="O538" s="25">
        <f>IF(N538="","",IFERROR(N538/INDEX(Recipes!$G$5:$G$204,MATCH(B538,Recipes!$A$5:$A$204,0)),""))</f>
        <v>0</v>
      </c>
      <c r="P538" s="30">
        <f>IF(J538="","",IF(K538="each",J538,J538/100))</f>
        <v>0</v>
      </c>
      <c r="Q538" s="30">
        <f>IFERROR(IF(P538="","",P538*INDEX(Ingredients!$P$5:$P$304,MATCH(D538,Ingredients!$B$5:$B$304,0))),"")</f>
        <v>0</v>
      </c>
      <c r="R538" s="45">
        <f>IFERROR(IF(P538="","",P538*INDEX(Ingredients!$Q$5:$Q$304,MATCH(D538,Ingredients!$B$5:$B$304,0))),"")</f>
        <v>0</v>
      </c>
      <c r="S538" s="45">
        <f>IFERROR(IF(P538="","",P538*INDEX(Ingredients!$R$5:$R$304,MATCH(D538,Ingredients!$B$5:$B$304,0))),"")</f>
        <v>0</v>
      </c>
      <c r="T538" s="45">
        <f>IFERROR(IF(P538="","",P538*INDEX(Ingredients!$S$5:$S$304,MATCH(D538,Ingredients!$B$5:$B$304,0))),"")</f>
        <v>0</v>
      </c>
      <c r="U538" s="45">
        <f>IFERROR(IF(P538="","",P538*INDEX(Ingredients!$T$5:$T$304,MATCH(D538,Ingredients!$B$5:$B$304,0))),"")</f>
        <v>0</v>
      </c>
      <c r="V538" s="17">
        <f>IF(D538="","",IFERROR(INDEX(Ingredients!$W$5:$W$304,MATCH(D538,Ingredients!$B$5:$B$304,0)),"Add to Ingredients"))</f>
        <v>0</v>
      </c>
      <c r="W538" s="17">
        <f>IF(D538="","",IFERROR(INDEX(Ingredients!$C$5:$C$304,MATCH(D538,Ingredients!$B$5:$B$304,0)),"Add to Ingredients"))</f>
        <v>0</v>
      </c>
      <c r="X538" s="45">
        <f>IFERROR(INDEX(Recipes!$AT$5:$AT$204,MATCH(B538,Recipes!$A$5:$A$204,0)),0)</f>
        <v>0</v>
      </c>
      <c r="Y538" s="45">
        <f>IF(OR(J538="",X538=0),"",J538*X538)</f>
        <v>0</v>
      </c>
      <c r="Z538" s="17">
        <f>IF(D538="","",B538&amp;"#"&amp;COUNTIFS($B$5:B538,B538))</f>
        <v>0</v>
      </c>
      <c r="AA538" s="17">
        <f>IF(D538="","",B538&amp;"|"&amp;D538)</f>
        <v>0</v>
      </c>
      <c r="AB538" s="31">
        <f>IF(D538="","",IF(B538="","Add - which recipe?",IF(COUNTIFS(Ingredients!$B$5:$B$304,D538)=0,"Missing - not in the Ingredients tab",IF(E538="","Add - no quantity",IF(F538="","Add - no unit",IF(K538&lt;&gt;L538,"Check - recipe in "&amp;K538&amp;", priced in "&amp;L538,IF(COUNTIFS($AA$5:$AA$1204,AA538)&gt;1,"Duplicate - same ingredient twice","OK")))))))</f>
        <v>0</v>
      </c>
    </row>
    <row r="539" spans="1:28">
      <c r="A539" s="39">
        <f>IF(D539="","","RL-"&amp;TEXT(ROW()-4,"0000"))</f>
        <v>0</v>
      </c>
      <c r="C539" s="17">
        <f>IF(B539="","",IFERROR(INDEX(Recipes!$B$5:$B$204,MATCH(B539,Recipes!$A$5:$A$204,0)),"Not found"))</f>
        <v>0</v>
      </c>
      <c r="J539" s="45">
        <f>IF(E539="","",IFERROR(E539*INDEX(UnitFactors,MATCH(F539,UnitNames,0)),""))</f>
        <v>0</v>
      </c>
      <c r="K539" s="17">
        <f>IF(F539="","",IFERROR(INDEX(UnitBases,MATCH(F539,UnitNames,0)),"?"))</f>
        <v>0</v>
      </c>
      <c r="L539" s="17">
        <f>IF(D539="","",IFERROR(INDEX(Ingredients!$G$5:$G$304,MATCH(D539,Ingredients!$B$5:$B$304,0)),"Add to Ingredients"))</f>
        <v>0</v>
      </c>
      <c r="M539" s="25">
        <f>IF(D539="","",IFERROR(INDEX(Ingredients!$J$5:$J$304,MATCH(D539,Ingredients!$B$5:$B$304,0)),"Add to Ingredients"))</f>
        <v>0</v>
      </c>
      <c r="N539" s="25">
        <f>IF(OR(J539="",M539="",NOT(ISNUMBER(M539))),"",IF(K539&lt;&gt;L539,"",J539*M539))</f>
        <v>0</v>
      </c>
      <c r="O539" s="25">
        <f>IF(N539="","",IFERROR(N539/INDEX(Recipes!$G$5:$G$204,MATCH(B539,Recipes!$A$5:$A$204,0)),""))</f>
        <v>0</v>
      </c>
      <c r="P539" s="30">
        <f>IF(J539="","",IF(K539="each",J539,J539/100))</f>
        <v>0</v>
      </c>
      <c r="Q539" s="30">
        <f>IFERROR(IF(P539="","",P539*INDEX(Ingredients!$P$5:$P$304,MATCH(D539,Ingredients!$B$5:$B$304,0))),"")</f>
        <v>0</v>
      </c>
      <c r="R539" s="45">
        <f>IFERROR(IF(P539="","",P539*INDEX(Ingredients!$Q$5:$Q$304,MATCH(D539,Ingredients!$B$5:$B$304,0))),"")</f>
        <v>0</v>
      </c>
      <c r="S539" s="45">
        <f>IFERROR(IF(P539="","",P539*INDEX(Ingredients!$R$5:$R$304,MATCH(D539,Ingredients!$B$5:$B$304,0))),"")</f>
        <v>0</v>
      </c>
      <c r="T539" s="45">
        <f>IFERROR(IF(P539="","",P539*INDEX(Ingredients!$S$5:$S$304,MATCH(D539,Ingredients!$B$5:$B$304,0))),"")</f>
        <v>0</v>
      </c>
      <c r="U539" s="45">
        <f>IFERROR(IF(P539="","",P539*INDEX(Ingredients!$T$5:$T$304,MATCH(D539,Ingredients!$B$5:$B$304,0))),"")</f>
        <v>0</v>
      </c>
      <c r="V539" s="17">
        <f>IF(D539="","",IFERROR(INDEX(Ingredients!$W$5:$W$304,MATCH(D539,Ingredients!$B$5:$B$304,0)),"Add to Ingredients"))</f>
        <v>0</v>
      </c>
      <c r="W539" s="17">
        <f>IF(D539="","",IFERROR(INDEX(Ingredients!$C$5:$C$304,MATCH(D539,Ingredients!$B$5:$B$304,0)),"Add to Ingredients"))</f>
        <v>0</v>
      </c>
      <c r="X539" s="45">
        <f>IFERROR(INDEX(Recipes!$AT$5:$AT$204,MATCH(B539,Recipes!$A$5:$A$204,0)),0)</f>
        <v>0</v>
      </c>
      <c r="Y539" s="45">
        <f>IF(OR(J539="",X539=0),"",J539*X539)</f>
        <v>0</v>
      </c>
      <c r="Z539" s="17">
        <f>IF(D539="","",B539&amp;"#"&amp;COUNTIFS($B$5:B539,B539))</f>
        <v>0</v>
      </c>
      <c r="AA539" s="17">
        <f>IF(D539="","",B539&amp;"|"&amp;D539)</f>
        <v>0</v>
      </c>
      <c r="AB539" s="31">
        <f>IF(D539="","",IF(B539="","Add - which recipe?",IF(COUNTIFS(Ingredients!$B$5:$B$304,D539)=0,"Missing - not in the Ingredients tab",IF(E539="","Add - no quantity",IF(F539="","Add - no unit",IF(K539&lt;&gt;L539,"Check - recipe in "&amp;K539&amp;", priced in "&amp;L539,IF(COUNTIFS($AA$5:$AA$1204,AA539)&gt;1,"Duplicate - same ingredient twice","OK")))))))</f>
        <v>0</v>
      </c>
    </row>
    <row r="540" spans="1:28">
      <c r="A540" s="39">
        <f>IF(D540="","","RL-"&amp;TEXT(ROW()-4,"0000"))</f>
        <v>0</v>
      </c>
      <c r="C540" s="17">
        <f>IF(B540="","",IFERROR(INDEX(Recipes!$B$5:$B$204,MATCH(B540,Recipes!$A$5:$A$204,0)),"Not found"))</f>
        <v>0</v>
      </c>
      <c r="J540" s="45">
        <f>IF(E540="","",IFERROR(E540*INDEX(UnitFactors,MATCH(F540,UnitNames,0)),""))</f>
        <v>0</v>
      </c>
      <c r="K540" s="17">
        <f>IF(F540="","",IFERROR(INDEX(UnitBases,MATCH(F540,UnitNames,0)),"?"))</f>
        <v>0</v>
      </c>
      <c r="L540" s="17">
        <f>IF(D540="","",IFERROR(INDEX(Ingredients!$G$5:$G$304,MATCH(D540,Ingredients!$B$5:$B$304,0)),"Add to Ingredients"))</f>
        <v>0</v>
      </c>
      <c r="M540" s="25">
        <f>IF(D540="","",IFERROR(INDEX(Ingredients!$J$5:$J$304,MATCH(D540,Ingredients!$B$5:$B$304,0)),"Add to Ingredients"))</f>
        <v>0</v>
      </c>
      <c r="N540" s="25">
        <f>IF(OR(J540="",M540="",NOT(ISNUMBER(M540))),"",IF(K540&lt;&gt;L540,"",J540*M540))</f>
        <v>0</v>
      </c>
      <c r="O540" s="25">
        <f>IF(N540="","",IFERROR(N540/INDEX(Recipes!$G$5:$G$204,MATCH(B540,Recipes!$A$5:$A$204,0)),""))</f>
        <v>0</v>
      </c>
      <c r="P540" s="30">
        <f>IF(J540="","",IF(K540="each",J540,J540/100))</f>
        <v>0</v>
      </c>
      <c r="Q540" s="30">
        <f>IFERROR(IF(P540="","",P540*INDEX(Ingredients!$P$5:$P$304,MATCH(D540,Ingredients!$B$5:$B$304,0))),"")</f>
        <v>0</v>
      </c>
      <c r="R540" s="45">
        <f>IFERROR(IF(P540="","",P540*INDEX(Ingredients!$Q$5:$Q$304,MATCH(D540,Ingredients!$B$5:$B$304,0))),"")</f>
        <v>0</v>
      </c>
      <c r="S540" s="45">
        <f>IFERROR(IF(P540="","",P540*INDEX(Ingredients!$R$5:$R$304,MATCH(D540,Ingredients!$B$5:$B$304,0))),"")</f>
        <v>0</v>
      </c>
      <c r="T540" s="45">
        <f>IFERROR(IF(P540="","",P540*INDEX(Ingredients!$S$5:$S$304,MATCH(D540,Ingredients!$B$5:$B$304,0))),"")</f>
        <v>0</v>
      </c>
      <c r="U540" s="45">
        <f>IFERROR(IF(P540="","",P540*INDEX(Ingredients!$T$5:$T$304,MATCH(D540,Ingredients!$B$5:$B$304,0))),"")</f>
        <v>0</v>
      </c>
      <c r="V540" s="17">
        <f>IF(D540="","",IFERROR(INDEX(Ingredients!$W$5:$W$304,MATCH(D540,Ingredients!$B$5:$B$304,0)),"Add to Ingredients"))</f>
        <v>0</v>
      </c>
      <c r="W540" s="17">
        <f>IF(D540="","",IFERROR(INDEX(Ingredients!$C$5:$C$304,MATCH(D540,Ingredients!$B$5:$B$304,0)),"Add to Ingredients"))</f>
        <v>0</v>
      </c>
      <c r="X540" s="45">
        <f>IFERROR(INDEX(Recipes!$AT$5:$AT$204,MATCH(B540,Recipes!$A$5:$A$204,0)),0)</f>
        <v>0</v>
      </c>
      <c r="Y540" s="45">
        <f>IF(OR(J540="",X540=0),"",J540*X540)</f>
        <v>0</v>
      </c>
      <c r="Z540" s="17">
        <f>IF(D540="","",B540&amp;"#"&amp;COUNTIFS($B$5:B540,B540))</f>
        <v>0</v>
      </c>
      <c r="AA540" s="17">
        <f>IF(D540="","",B540&amp;"|"&amp;D540)</f>
        <v>0</v>
      </c>
      <c r="AB540" s="31">
        <f>IF(D540="","",IF(B540="","Add - which recipe?",IF(COUNTIFS(Ingredients!$B$5:$B$304,D540)=0,"Missing - not in the Ingredients tab",IF(E540="","Add - no quantity",IF(F540="","Add - no unit",IF(K540&lt;&gt;L540,"Check - recipe in "&amp;K540&amp;", priced in "&amp;L540,IF(COUNTIFS($AA$5:$AA$1204,AA540)&gt;1,"Duplicate - same ingredient twice","OK")))))))</f>
        <v>0</v>
      </c>
    </row>
    <row r="541" spans="1:28">
      <c r="A541" s="39">
        <f>IF(D541="","","RL-"&amp;TEXT(ROW()-4,"0000"))</f>
        <v>0</v>
      </c>
      <c r="C541" s="17">
        <f>IF(B541="","",IFERROR(INDEX(Recipes!$B$5:$B$204,MATCH(B541,Recipes!$A$5:$A$204,0)),"Not found"))</f>
        <v>0</v>
      </c>
      <c r="J541" s="45">
        <f>IF(E541="","",IFERROR(E541*INDEX(UnitFactors,MATCH(F541,UnitNames,0)),""))</f>
        <v>0</v>
      </c>
      <c r="K541" s="17">
        <f>IF(F541="","",IFERROR(INDEX(UnitBases,MATCH(F541,UnitNames,0)),"?"))</f>
        <v>0</v>
      </c>
      <c r="L541" s="17">
        <f>IF(D541="","",IFERROR(INDEX(Ingredients!$G$5:$G$304,MATCH(D541,Ingredients!$B$5:$B$304,0)),"Add to Ingredients"))</f>
        <v>0</v>
      </c>
      <c r="M541" s="25">
        <f>IF(D541="","",IFERROR(INDEX(Ingredients!$J$5:$J$304,MATCH(D541,Ingredients!$B$5:$B$304,0)),"Add to Ingredients"))</f>
        <v>0</v>
      </c>
      <c r="N541" s="25">
        <f>IF(OR(J541="",M541="",NOT(ISNUMBER(M541))),"",IF(K541&lt;&gt;L541,"",J541*M541))</f>
        <v>0</v>
      </c>
      <c r="O541" s="25">
        <f>IF(N541="","",IFERROR(N541/INDEX(Recipes!$G$5:$G$204,MATCH(B541,Recipes!$A$5:$A$204,0)),""))</f>
        <v>0</v>
      </c>
      <c r="P541" s="30">
        <f>IF(J541="","",IF(K541="each",J541,J541/100))</f>
        <v>0</v>
      </c>
      <c r="Q541" s="30">
        <f>IFERROR(IF(P541="","",P541*INDEX(Ingredients!$P$5:$P$304,MATCH(D541,Ingredients!$B$5:$B$304,0))),"")</f>
        <v>0</v>
      </c>
      <c r="R541" s="45">
        <f>IFERROR(IF(P541="","",P541*INDEX(Ingredients!$Q$5:$Q$304,MATCH(D541,Ingredients!$B$5:$B$304,0))),"")</f>
        <v>0</v>
      </c>
      <c r="S541" s="45">
        <f>IFERROR(IF(P541="","",P541*INDEX(Ingredients!$R$5:$R$304,MATCH(D541,Ingredients!$B$5:$B$304,0))),"")</f>
        <v>0</v>
      </c>
      <c r="T541" s="45">
        <f>IFERROR(IF(P541="","",P541*INDEX(Ingredients!$S$5:$S$304,MATCH(D541,Ingredients!$B$5:$B$304,0))),"")</f>
        <v>0</v>
      </c>
      <c r="U541" s="45">
        <f>IFERROR(IF(P541="","",P541*INDEX(Ingredients!$T$5:$T$304,MATCH(D541,Ingredients!$B$5:$B$304,0))),"")</f>
        <v>0</v>
      </c>
      <c r="V541" s="17">
        <f>IF(D541="","",IFERROR(INDEX(Ingredients!$W$5:$W$304,MATCH(D541,Ingredients!$B$5:$B$304,0)),"Add to Ingredients"))</f>
        <v>0</v>
      </c>
      <c r="W541" s="17">
        <f>IF(D541="","",IFERROR(INDEX(Ingredients!$C$5:$C$304,MATCH(D541,Ingredients!$B$5:$B$304,0)),"Add to Ingredients"))</f>
        <v>0</v>
      </c>
      <c r="X541" s="45">
        <f>IFERROR(INDEX(Recipes!$AT$5:$AT$204,MATCH(B541,Recipes!$A$5:$A$204,0)),0)</f>
        <v>0</v>
      </c>
      <c r="Y541" s="45">
        <f>IF(OR(J541="",X541=0),"",J541*X541)</f>
        <v>0</v>
      </c>
      <c r="Z541" s="17">
        <f>IF(D541="","",B541&amp;"#"&amp;COUNTIFS($B$5:B541,B541))</f>
        <v>0</v>
      </c>
      <c r="AA541" s="17">
        <f>IF(D541="","",B541&amp;"|"&amp;D541)</f>
        <v>0</v>
      </c>
      <c r="AB541" s="31">
        <f>IF(D541="","",IF(B541="","Add - which recipe?",IF(COUNTIFS(Ingredients!$B$5:$B$304,D541)=0,"Missing - not in the Ingredients tab",IF(E541="","Add - no quantity",IF(F541="","Add - no unit",IF(K541&lt;&gt;L541,"Check - recipe in "&amp;K541&amp;", priced in "&amp;L541,IF(COUNTIFS($AA$5:$AA$1204,AA541)&gt;1,"Duplicate - same ingredient twice","OK")))))))</f>
        <v>0</v>
      </c>
    </row>
    <row r="542" spans="1:28">
      <c r="A542" s="39">
        <f>IF(D542="","","RL-"&amp;TEXT(ROW()-4,"0000"))</f>
        <v>0</v>
      </c>
      <c r="C542" s="17">
        <f>IF(B542="","",IFERROR(INDEX(Recipes!$B$5:$B$204,MATCH(B542,Recipes!$A$5:$A$204,0)),"Not found"))</f>
        <v>0</v>
      </c>
      <c r="J542" s="45">
        <f>IF(E542="","",IFERROR(E542*INDEX(UnitFactors,MATCH(F542,UnitNames,0)),""))</f>
        <v>0</v>
      </c>
      <c r="K542" s="17">
        <f>IF(F542="","",IFERROR(INDEX(UnitBases,MATCH(F542,UnitNames,0)),"?"))</f>
        <v>0</v>
      </c>
      <c r="L542" s="17">
        <f>IF(D542="","",IFERROR(INDEX(Ingredients!$G$5:$G$304,MATCH(D542,Ingredients!$B$5:$B$304,0)),"Add to Ingredients"))</f>
        <v>0</v>
      </c>
      <c r="M542" s="25">
        <f>IF(D542="","",IFERROR(INDEX(Ingredients!$J$5:$J$304,MATCH(D542,Ingredients!$B$5:$B$304,0)),"Add to Ingredients"))</f>
        <v>0</v>
      </c>
      <c r="N542" s="25">
        <f>IF(OR(J542="",M542="",NOT(ISNUMBER(M542))),"",IF(K542&lt;&gt;L542,"",J542*M542))</f>
        <v>0</v>
      </c>
      <c r="O542" s="25">
        <f>IF(N542="","",IFERROR(N542/INDEX(Recipes!$G$5:$G$204,MATCH(B542,Recipes!$A$5:$A$204,0)),""))</f>
        <v>0</v>
      </c>
      <c r="P542" s="30">
        <f>IF(J542="","",IF(K542="each",J542,J542/100))</f>
        <v>0</v>
      </c>
      <c r="Q542" s="30">
        <f>IFERROR(IF(P542="","",P542*INDEX(Ingredients!$P$5:$P$304,MATCH(D542,Ingredients!$B$5:$B$304,0))),"")</f>
        <v>0</v>
      </c>
      <c r="R542" s="45">
        <f>IFERROR(IF(P542="","",P542*INDEX(Ingredients!$Q$5:$Q$304,MATCH(D542,Ingredients!$B$5:$B$304,0))),"")</f>
        <v>0</v>
      </c>
      <c r="S542" s="45">
        <f>IFERROR(IF(P542="","",P542*INDEX(Ingredients!$R$5:$R$304,MATCH(D542,Ingredients!$B$5:$B$304,0))),"")</f>
        <v>0</v>
      </c>
      <c r="T542" s="45">
        <f>IFERROR(IF(P542="","",P542*INDEX(Ingredients!$S$5:$S$304,MATCH(D542,Ingredients!$B$5:$B$304,0))),"")</f>
        <v>0</v>
      </c>
      <c r="U542" s="45">
        <f>IFERROR(IF(P542="","",P542*INDEX(Ingredients!$T$5:$T$304,MATCH(D542,Ingredients!$B$5:$B$304,0))),"")</f>
        <v>0</v>
      </c>
      <c r="V542" s="17">
        <f>IF(D542="","",IFERROR(INDEX(Ingredients!$W$5:$W$304,MATCH(D542,Ingredients!$B$5:$B$304,0)),"Add to Ingredients"))</f>
        <v>0</v>
      </c>
      <c r="W542" s="17">
        <f>IF(D542="","",IFERROR(INDEX(Ingredients!$C$5:$C$304,MATCH(D542,Ingredients!$B$5:$B$304,0)),"Add to Ingredients"))</f>
        <v>0</v>
      </c>
      <c r="X542" s="45">
        <f>IFERROR(INDEX(Recipes!$AT$5:$AT$204,MATCH(B542,Recipes!$A$5:$A$204,0)),0)</f>
        <v>0</v>
      </c>
      <c r="Y542" s="45">
        <f>IF(OR(J542="",X542=0),"",J542*X542)</f>
        <v>0</v>
      </c>
      <c r="Z542" s="17">
        <f>IF(D542="","",B542&amp;"#"&amp;COUNTIFS($B$5:B542,B542))</f>
        <v>0</v>
      </c>
      <c r="AA542" s="17">
        <f>IF(D542="","",B542&amp;"|"&amp;D542)</f>
        <v>0</v>
      </c>
      <c r="AB542" s="31">
        <f>IF(D542="","",IF(B542="","Add - which recipe?",IF(COUNTIFS(Ingredients!$B$5:$B$304,D542)=0,"Missing - not in the Ingredients tab",IF(E542="","Add - no quantity",IF(F542="","Add - no unit",IF(K542&lt;&gt;L542,"Check - recipe in "&amp;K542&amp;", priced in "&amp;L542,IF(COUNTIFS($AA$5:$AA$1204,AA542)&gt;1,"Duplicate - same ingredient twice","OK")))))))</f>
        <v>0</v>
      </c>
    </row>
    <row r="543" spans="1:28">
      <c r="A543" s="39">
        <f>IF(D543="","","RL-"&amp;TEXT(ROW()-4,"0000"))</f>
        <v>0</v>
      </c>
      <c r="C543" s="17">
        <f>IF(B543="","",IFERROR(INDEX(Recipes!$B$5:$B$204,MATCH(B543,Recipes!$A$5:$A$204,0)),"Not found"))</f>
        <v>0</v>
      </c>
      <c r="J543" s="45">
        <f>IF(E543="","",IFERROR(E543*INDEX(UnitFactors,MATCH(F543,UnitNames,0)),""))</f>
        <v>0</v>
      </c>
      <c r="K543" s="17">
        <f>IF(F543="","",IFERROR(INDEX(UnitBases,MATCH(F543,UnitNames,0)),"?"))</f>
        <v>0</v>
      </c>
      <c r="L543" s="17">
        <f>IF(D543="","",IFERROR(INDEX(Ingredients!$G$5:$G$304,MATCH(D543,Ingredients!$B$5:$B$304,0)),"Add to Ingredients"))</f>
        <v>0</v>
      </c>
      <c r="M543" s="25">
        <f>IF(D543="","",IFERROR(INDEX(Ingredients!$J$5:$J$304,MATCH(D543,Ingredients!$B$5:$B$304,0)),"Add to Ingredients"))</f>
        <v>0</v>
      </c>
      <c r="N543" s="25">
        <f>IF(OR(J543="",M543="",NOT(ISNUMBER(M543))),"",IF(K543&lt;&gt;L543,"",J543*M543))</f>
        <v>0</v>
      </c>
      <c r="O543" s="25">
        <f>IF(N543="","",IFERROR(N543/INDEX(Recipes!$G$5:$G$204,MATCH(B543,Recipes!$A$5:$A$204,0)),""))</f>
        <v>0</v>
      </c>
      <c r="P543" s="30">
        <f>IF(J543="","",IF(K543="each",J543,J543/100))</f>
        <v>0</v>
      </c>
      <c r="Q543" s="30">
        <f>IFERROR(IF(P543="","",P543*INDEX(Ingredients!$P$5:$P$304,MATCH(D543,Ingredients!$B$5:$B$304,0))),"")</f>
        <v>0</v>
      </c>
      <c r="R543" s="45">
        <f>IFERROR(IF(P543="","",P543*INDEX(Ingredients!$Q$5:$Q$304,MATCH(D543,Ingredients!$B$5:$B$304,0))),"")</f>
        <v>0</v>
      </c>
      <c r="S543" s="45">
        <f>IFERROR(IF(P543="","",P543*INDEX(Ingredients!$R$5:$R$304,MATCH(D543,Ingredients!$B$5:$B$304,0))),"")</f>
        <v>0</v>
      </c>
      <c r="T543" s="45">
        <f>IFERROR(IF(P543="","",P543*INDEX(Ingredients!$S$5:$S$304,MATCH(D543,Ingredients!$B$5:$B$304,0))),"")</f>
        <v>0</v>
      </c>
      <c r="U543" s="45">
        <f>IFERROR(IF(P543="","",P543*INDEX(Ingredients!$T$5:$T$304,MATCH(D543,Ingredients!$B$5:$B$304,0))),"")</f>
        <v>0</v>
      </c>
      <c r="V543" s="17">
        <f>IF(D543="","",IFERROR(INDEX(Ingredients!$W$5:$W$304,MATCH(D543,Ingredients!$B$5:$B$304,0)),"Add to Ingredients"))</f>
        <v>0</v>
      </c>
      <c r="W543" s="17">
        <f>IF(D543="","",IFERROR(INDEX(Ingredients!$C$5:$C$304,MATCH(D543,Ingredients!$B$5:$B$304,0)),"Add to Ingredients"))</f>
        <v>0</v>
      </c>
      <c r="X543" s="45">
        <f>IFERROR(INDEX(Recipes!$AT$5:$AT$204,MATCH(B543,Recipes!$A$5:$A$204,0)),0)</f>
        <v>0</v>
      </c>
      <c r="Y543" s="45">
        <f>IF(OR(J543="",X543=0),"",J543*X543)</f>
        <v>0</v>
      </c>
      <c r="Z543" s="17">
        <f>IF(D543="","",B543&amp;"#"&amp;COUNTIFS($B$5:B543,B543))</f>
        <v>0</v>
      </c>
      <c r="AA543" s="17">
        <f>IF(D543="","",B543&amp;"|"&amp;D543)</f>
        <v>0</v>
      </c>
      <c r="AB543" s="31">
        <f>IF(D543="","",IF(B543="","Add - which recipe?",IF(COUNTIFS(Ingredients!$B$5:$B$304,D543)=0,"Missing - not in the Ingredients tab",IF(E543="","Add - no quantity",IF(F543="","Add - no unit",IF(K543&lt;&gt;L543,"Check - recipe in "&amp;K543&amp;", priced in "&amp;L543,IF(COUNTIFS($AA$5:$AA$1204,AA543)&gt;1,"Duplicate - same ingredient twice","OK")))))))</f>
        <v>0</v>
      </c>
    </row>
    <row r="544" spans="1:28">
      <c r="A544" s="39">
        <f>IF(D544="","","RL-"&amp;TEXT(ROW()-4,"0000"))</f>
        <v>0</v>
      </c>
      <c r="C544" s="17">
        <f>IF(B544="","",IFERROR(INDEX(Recipes!$B$5:$B$204,MATCH(B544,Recipes!$A$5:$A$204,0)),"Not found"))</f>
        <v>0</v>
      </c>
      <c r="J544" s="45">
        <f>IF(E544="","",IFERROR(E544*INDEX(UnitFactors,MATCH(F544,UnitNames,0)),""))</f>
        <v>0</v>
      </c>
      <c r="K544" s="17">
        <f>IF(F544="","",IFERROR(INDEX(UnitBases,MATCH(F544,UnitNames,0)),"?"))</f>
        <v>0</v>
      </c>
      <c r="L544" s="17">
        <f>IF(D544="","",IFERROR(INDEX(Ingredients!$G$5:$G$304,MATCH(D544,Ingredients!$B$5:$B$304,0)),"Add to Ingredients"))</f>
        <v>0</v>
      </c>
      <c r="M544" s="25">
        <f>IF(D544="","",IFERROR(INDEX(Ingredients!$J$5:$J$304,MATCH(D544,Ingredients!$B$5:$B$304,0)),"Add to Ingredients"))</f>
        <v>0</v>
      </c>
      <c r="N544" s="25">
        <f>IF(OR(J544="",M544="",NOT(ISNUMBER(M544))),"",IF(K544&lt;&gt;L544,"",J544*M544))</f>
        <v>0</v>
      </c>
      <c r="O544" s="25">
        <f>IF(N544="","",IFERROR(N544/INDEX(Recipes!$G$5:$G$204,MATCH(B544,Recipes!$A$5:$A$204,0)),""))</f>
        <v>0</v>
      </c>
      <c r="P544" s="30">
        <f>IF(J544="","",IF(K544="each",J544,J544/100))</f>
        <v>0</v>
      </c>
      <c r="Q544" s="30">
        <f>IFERROR(IF(P544="","",P544*INDEX(Ingredients!$P$5:$P$304,MATCH(D544,Ingredients!$B$5:$B$304,0))),"")</f>
        <v>0</v>
      </c>
      <c r="R544" s="45">
        <f>IFERROR(IF(P544="","",P544*INDEX(Ingredients!$Q$5:$Q$304,MATCH(D544,Ingredients!$B$5:$B$304,0))),"")</f>
        <v>0</v>
      </c>
      <c r="S544" s="45">
        <f>IFERROR(IF(P544="","",P544*INDEX(Ingredients!$R$5:$R$304,MATCH(D544,Ingredients!$B$5:$B$304,0))),"")</f>
        <v>0</v>
      </c>
      <c r="T544" s="45">
        <f>IFERROR(IF(P544="","",P544*INDEX(Ingredients!$S$5:$S$304,MATCH(D544,Ingredients!$B$5:$B$304,0))),"")</f>
        <v>0</v>
      </c>
      <c r="U544" s="45">
        <f>IFERROR(IF(P544="","",P544*INDEX(Ingredients!$T$5:$T$304,MATCH(D544,Ingredients!$B$5:$B$304,0))),"")</f>
        <v>0</v>
      </c>
      <c r="V544" s="17">
        <f>IF(D544="","",IFERROR(INDEX(Ingredients!$W$5:$W$304,MATCH(D544,Ingredients!$B$5:$B$304,0)),"Add to Ingredients"))</f>
        <v>0</v>
      </c>
      <c r="W544" s="17">
        <f>IF(D544="","",IFERROR(INDEX(Ingredients!$C$5:$C$304,MATCH(D544,Ingredients!$B$5:$B$304,0)),"Add to Ingredients"))</f>
        <v>0</v>
      </c>
      <c r="X544" s="45">
        <f>IFERROR(INDEX(Recipes!$AT$5:$AT$204,MATCH(B544,Recipes!$A$5:$A$204,0)),0)</f>
        <v>0</v>
      </c>
      <c r="Y544" s="45">
        <f>IF(OR(J544="",X544=0),"",J544*X544)</f>
        <v>0</v>
      </c>
      <c r="Z544" s="17">
        <f>IF(D544="","",B544&amp;"#"&amp;COUNTIFS($B$5:B544,B544))</f>
        <v>0</v>
      </c>
      <c r="AA544" s="17">
        <f>IF(D544="","",B544&amp;"|"&amp;D544)</f>
        <v>0</v>
      </c>
      <c r="AB544" s="31">
        <f>IF(D544="","",IF(B544="","Add - which recipe?",IF(COUNTIFS(Ingredients!$B$5:$B$304,D544)=0,"Missing - not in the Ingredients tab",IF(E544="","Add - no quantity",IF(F544="","Add - no unit",IF(K544&lt;&gt;L544,"Check - recipe in "&amp;K544&amp;", priced in "&amp;L544,IF(COUNTIFS($AA$5:$AA$1204,AA544)&gt;1,"Duplicate - same ingredient twice","OK")))))))</f>
        <v>0</v>
      </c>
    </row>
    <row r="545" spans="1:28">
      <c r="A545" s="39">
        <f>IF(D545="","","RL-"&amp;TEXT(ROW()-4,"0000"))</f>
        <v>0</v>
      </c>
      <c r="C545" s="17">
        <f>IF(B545="","",IFERROR(INDEX(Recipes!$B$5:$B$204,MATCH(B545,Recipes!$A$5:$A$204,0)),"Not found"))</f>
        <v>0</v>
      </c>
      <c r="J545" s="45">
        <f>IF(E545="","",IFERROR(E545*INDEX(UnitFactors,MATCH(F545,UnitNames,0)),""))</f>
        <v>0</v>
      </c>
      <c r="K545" s="17">
        <f>IF(F545="","",IFERROR(INDEX(UnitBases,MATCH(F545,UnitNames,0)),"?"))</f>
        <v>0</v>
      </c>
      <c r="L545" s="17">
        <f>IF(D545="","",IFERROR(INDEX(Ingredients!$G$5:$G$304,MATCH(D545,Ingredients!$B$5:$B$304,0)),"Add to Ingredients"))</f>
        <v>0</v>
      </c>
      <c r="M545" s="25">
        <f>IF(D545="","",IFERROR(INDEX(Ingredients!$J$5:$J$304,MATCH(D545,Ingredients!$B$5:$B$304,0)),"Add to Ingredients"))</f>
        <v>0</v>
      </c>
      <c r="N545" s="25">
        <f>IF(OR(J545="",M545="",NOT(ISNUMBER(M545))),"",IF(K545&lt;&gt;L545,"",J545*M545))</f>
        <v>0</v>
      </c>
      <c r="O545" s="25">
        <f>IF(N545="","",IFERROR(N545/INDEX(Recipes!$G$5:$G$204,MATCH(B545,Recipes!$A$5:$A$204,0)),""))</f>
        <v>0</v>
      </c>
      <c r="P545" s="30">
        <f>IF(J545="","",IF(K545="each",J545,J545/100))</f>
        <v>0</v>
      </c>
      <c r="Q545" s="30">
        <f>IFERROR(IF(P545="","",P545*INDEX(Ingredients!$P$5:$P$304,MATCH(D545,Ingredients!$B$5:$B$304,0))),"")</f>
        <v>0</v>
      </c>
      <c r="R545" s="45">
        <f>IFERROR(IF(P545="","",P545*INDEX(Ingredients!$Q$5:$Q$304,MATCH(D545,Ingredients!$B$5:$B$304,0))),"")</f>
        <v>0</v>
      </c>
      <c r="S545" s="45">
        <f>IFERROR(IF(P545="","",P545*INDEX(Ingredients!$R$5:$R$304,MATCH(D545,Ingredients!$B$5:$B$304,0))),"")</f>
        <v>0</v>
      </c>
      <c r="T545" s="45">
        <f>IFERROR(IF(P545="","",P545*INDEX(Ingredients!$S$5:$S$304,MATCH(D545,Ingredients!$B$5:$B$304,0))),"")</f>
        <v>0</v>
      </c>
      <c r="U545" s="45">
        <f>IFERROR(IF(P545="","",P545*INDEX(Ingredients!$T$5:$T$304,MATCH(D545,Ingredients!$B$5:$B$304,0))),"")</f>
        <v>0</v>
      </c>
      <c r="V545" s="17">
        <f>IF(D545="","",IFERROR(INDEX(Ingredients!$W$5:$W$304,MATCH(D545,Ingredients!$B$5:$B$304,0)),"Add to Ingredients"))</f>
        <v>0</v>
      </c>
      <c r="W545" s="17">
        <f>IF(D545="","",IFERROR(INDEX(Ingredients!$C$5:$C$304,MATCH(D545,Ingredients!$B$5:$B$304,0)),"Add to Ingredients"))</f>
        <v>0</v>
      </c>
      <c r="X545" s="45">
        <f>IFERROR(INDEX(Recipes!$AT$5:$AT$204,MATCH(B545,Recipes!$A$5:$A$204,0)),0)</f>
        <v>0</v>
      </c>
      <c r="Y545" s="45">
        <f>IF(OR(J545="",X545=0),"",J545*X545)</f>
        <v>0</v>
      </c>
      <c r="Z545" s="17">
        <f>IF(D545="","",B545&amp;"#"&amp;COUNTIFS($B$5:B545,B545))</f>
        <v>0</v>
      </c>
      <c r="AA545" s="17">
        <f>IF(D545="","",B545&amp;"|"&amp;D545)</f>
        <v>0</v>
      </c>
      <c r="AB545" s="31">
        <f>IF(D545="","",IF(B545="","Add - which recipe?",IF(COUNTIFS(Ingredients!$B$5:$B$304,D545)=0,"Missing - not in the Ingredients tab",IF(E545="","Add - no quantity",IF(F545="","Add - no unit",IF(K545&lt;&gt;L545,"Check - recipe in "&amp;K545&amp;", priced in "&amp;L545,IF(COUNTIFS($AA$5:$AA$1204,AA545)&gt;1,"Duplicate - same ingredient twice","OK")))))))</f>
        <v>0</v>
      </c>
    </row>
    <row r="546" spans="1:28">
      <c r="A546" s="39">
        <f>IF(D546="","","RL-"&amp;TEXT(ROW()-4,"0000"))</f>
        <v>0</v>
      </c>
      <c r="C546" s="17">
        <f>IF(B546="","",IFERROR(INDEX(Recipes!$B$5:$B$204,MATCH(B546,Recipes!$A$5:$A$204,0)),"Not found"))</f>
        <v>0</v>
      </c>
      <c r="J546" s="45">
        <f>IF(E546="","",IFERROR(E546*INDEX(UnitFactors,MATCH(F546,UnitNames,0)),""))</f>
        <v>0</v>
      </c>
      <c r="K546" s="17">
        <f>IF(F546="","",IFERROR(INDEX(UnitBases,MATCH(F546,UnitNames,0)),"?"))</f>
        <v>0</v>
      </c>
      <c r="L546" s="17">
        <f>IF(D546="","",IFERROR(INDEX(Ingredients!$G$5:$G$304,MATCH(D546,Ingredients!$B$5:$B$304,0)),"Add to Ingredients"))</f>
        <v>0</v>
      </c>
      <c r="M546" s="25">
        <f>IF(D546="","",IFERROR(INDEX(Ingredients!$J$5:$J$304,MATCH(D546,Ingredients!$B$5:$B$304,0)),"Add to Ingredients"))</f>
        <v>0</v>
      </c>
      <c r="N546" s="25">
        <f>IF(OR(J546="",M546="",NOT(ISNUMBER(M546))),"",IF(K546&lt;&gt;L546,"",J546*M546))</f>
        <v>0</v>
      </c>
      <c r="O546" s="25">
        <f>IF(N546="","",IFERROR(N546/INDEX(Recipes!$G$5:$G$204,MATCH(B546,Recipes!$A$5:$A$204,0)),""))</f>
        <v>0</v>
      </c>
      <c r="P546" s="30">
        <f>IF(J546="","",IF(K546="each",J546,J546/100))</f>
        <v>0</v>
      </c>
      <c r="Q546" s="30">
        <f>IFERROR(IF(P546="","",P546*INDEX(Ingredients!$P$5:$P$304,MATCH(D546,Ingredients!$B$5:$B$304,0))),"")</f>
        <v>0</v>
      </c>
      <c r="R546" s="45">
        <f>IFERROR(IF(P546="","",P546*INDEX(Ingredients!$Q$5:$Q$304,MATCH(D546,Ingredients!$B$5:$B$304,0))),"")</f>
        <v>0</v>
      </c>
      <c r="S546" s="45">
        <f>IFERROR(IF(P546="","",P546*INDEX(Ingredients!$R$5:$R$304,MATCH(D546,Ingredients!$B$5:$B$304,0))),"")</f>
        <v>0</v>
      </c>
      <c r="T546" s="45">
        <f>IFERROR(IF(P546="","",P546*INDEX(Ingredients!$S$5:$S$304,MATCH(D546,Ingredients!$B$5:$B$304,0))),"")</f>
        <v>0</v>
      </c>
      <c r="U546" s="45">
        <f>IFERROR(IF(P546="","",P546*INDEX(Ingredients!$T$5:$T$304,MATCH(D546,Ingredients!$B$5:$B$304,0))),"")</f>
        <v>0</v>
      </c>
      <c r="V546" s="17">
        <f>IF(D546="","",IFERROR(INDEX(Ingredients!$W$5:$W$304,MATCH(D546,Ingredients!$B$5:$B$304,0)),"Add to Ingredients"))</f>
        <v>0</v>
      </c>
      <c r="W546" s="17">
        <f>IF(D546="","",IFERROR(INDEX(Ingredients!$C$5:$C$304,MATCH(D546,Ingredients!$B$5:$B$304,0)),"Add to Ingredients"))</f>
        <v>0</v>
      </c>
      <c r="X546" s="45">
        <f>IFERROR(INDEX(Recipes!$AT$5:$AT$204,MATCH(B546,Recipes!$A$5:$A$204,0)),0)</f>
        <v>0</v>
      </c>
      <c r="Y546" s="45">
        <f>IF(OR(J546="",X546=0),"",J546*X546)</f>
        <v>0</v>
      </c>
      <c r="Z546" s="17">
        <f>IF(D546="","",B546&amp;"#"&amp;COUNTIFS($B$5:B546,B546))</f>
        <v>0</v>
      </c>
      <c r="AA546" s="17">
        <f>IF(D546="","",B546&amp;"|"&amp;D546)</f>
        <v>0</v>
      </c>
      <c r="AB546" s="31">
        <f>IF(D546="","",IF(B546="","Add - which recipe?",IF(COUNTIFS(Ingredients!$B$5:$B$304,D546)=0,"Missing - not in the Ingredients tab",IF(E546="","Add - no quantity",IF(F546="","Add - no unit",IF(K546&lt;&gt;L546,"Check - recipe in "&amp;K546&amp;", priced in "&amp;L546,IF(COUNTIFS($AA$5:$AA$1204,AA546)&gt;1,"Duplicate - same ingredient twice","OK")))))))</f>
        <v>0</v>
      </c>
    </row>
    <row r="547" spans="1:28">
      <c r="A547" s="39">
        <f>IF(D547="","","RL-"&amp;TEXT(ROW()-4,"0000"))</f>
        <v>0</v>
      </c>
      <c r="C547" s="17">
        <f>IF(B547="","",IFERROR(INDEX(Recipes!$B$5:$B$204,MATCH(B547,Recipes!$A$5:$A$204,0)),"Not found"))</f>
        <v>0</v>
      </c>
      <c r="J547" s="45">
        <f>IF(E547="","",IFERROR(E547*INDEX(UnitFactors,MATCH(F547,UnitNames,0)),""))</f>
        <v>0</v>
      </c>
      <c r="K547" s="17">
        <f>IF(F547="","",IFERROR(INDEX(UnitBases,MATCH(F547,UnitNames,0)),"?"))</f>
        <v>0</v>
      </c>
      <c r="L547" s="17">
        <f>IF(D547="","",IFERROR(INDEX(Ingredients!$G$5:$G$304,MATCH(D547,Ingredients!$B$5:$B$304,0)),"Add to Ingredients"))</f>
        <v>0</v>
      </c>
      <c r="M547" s="25">
        <f>IF(D547="","",IFERROR(INDEX(Ingredients!$J$5:$J$304,MATCH(D547,Ingredients!$B$5:$B$304,0)),"Add to Ingredients"))</f>
        <v>0</v>
      </c>
      <c r="N547" s="25">
        <f>IF(OR(J547="",M547="",NOT(ISNUMBER(M547))),"",IF(K547&lt;&gt;L547,"",J547*M547))</f>
        <v>0</v>
      </c>
      <c r="O547" s="25">
        <f>IF(N547="","",IFERROR(N547/INDEX(Recipes!$G$5:$G$204,MATCH(B547,Recipes!$A$5:$A$204,0)),""))</f>
        <v>0</v>
      </c>
      <c r="P547" s="30">
        <f>IF(J547="","",IF(K547="each",J547,J547/100))</f>
        <v>0</v>
      </c>
      <c r="Q547" s="30">
        <f>IFERROR(IF(P547="","",P547*INDEX(Ingredients!$P$5:$P$304,MATCH(D547,Ingredients!$B$5:$B$304,0))),"")</f>
        <v>0</v>
      </c>
      <c r="R547" s="45">
        <f>IFERROR(IF(P547="","",P547*INDEX(Ingredients!$Q$5:$Q$304,MATCH(D547,Ingredients!$B$5:$B$304,0))),"")</f>
        <v>0</v>
      </c>
      <c r="S547" s="45">
        <f>IFERROR(IF(P547="","",P547*INDEX(Ingredients!$R$5:$R$304,MATCH(D547,Ingredients!$B$5:$B$304,0))),"")</f>
        <v>0</v>
      </c>
      <c r="T547" s="45">
        <f>IFERROR(IF(P547="","",P547*INDEX(Ingredients!$S$5:$S$304,MATCH(D547,Ingredients!$B$5:$B$304,0))),"")</f>
        <v>0</v>
      </c>
      <c r="U547" s="45">
        <f>IFERROR(IF(P547="","",P547*INDEX(Ingredients!$T$5:$T$304,MATCH(D547,Ingredients!$B$5:$B$304,0))),"")</f>
        <v>0</v>
      </c>
      <c r="V547" s="17">
        <f>IF(D547="","",IFERROR(INDEX(Ingredients!$W$5:$W$304,MATCH(D547,Ingredients!$B$5:$B$304,0)),"Add to Ingredients"))</f>
        <v>0</v>
      </c>
      <c r="W547" s="17">
        <f>IF(D547="","",IFERROR(INDEX(Ingredients!$C$5:$C$304,MATCH(D547,Ingredients!$B$5:$B$304,0)),"Add to Ingredients"))</f>
        <v>0</v>
      </c>
      <c r="X547" s="45">
        <f>IFERROR(INDEX(Recipes!$AT$5:$AT$204,MATCH(B547,Recipes!$A$5:$A$204,0)),0)</f>
        <v>0</v>
      </c>
      <c r="Y547" s="45">
        <f>IF(OR(J547="",X547=0),"",J547*X547)</f>
        <v>0</v>
      </c>
      <c r="Z547" s="17">
        <f>IF(D547="","",B547&amp;"#"&amp;COUNTIFS($B$5:B547,B547))</f>
        <v>0</v>
      </c>
      <c r="AA547" s="17">
        <f>IF(D547="","",B547&amp;"|"&amp;D547)</f>
        <v>0</v>
      </c>
      <c r="AB547" s="31">
        <f>IF(D547="","",IF(B547="","Add - which recipe?",IF(COUNTIFS(Ingredients!$B$5:$B$304,D547)=0,"Missing - not in the Ingredients tab",IF(E547="","Add - no quantity",IF(F547="","Add - no unit",IF(K547&lt;&gt;L547,"Check - recipe in "&amp;K547&amp;", priced in "&amp;L547,IF(COUNTIFS($AA$5:$AA$1204,AA547)&gt;1,"Duplicate - same ingredient twice","OK")))))))</f>
        <v>0</v>
      </c>
    </row>
    <row r="548" spans="1:28">
      <c r="A548" s="39">
        <f>IF(D548="","","RL-"&amp;TEXT(ROW()-4,"0000"))</f>
        <v>0</v>
      </c>
      <c r="C548" s="17">
        <f>IF(B548="","",IFERROR(INDEX(Recipes!$B$5:$B$204,MATCH(B548,Recipes!$A$5:$A$204,0)),"Not found"))</f>
        <v>0</v>
      </c>
      <c r="J548" s="45">
        <f>IF(E548="","",IFERROR(E548*INDEX(UnitFactors,MATCH(F548,UnitNames,0)),""))</f>
        <v>0</v>
      </c>
      <c r="K548" s="17">
        <f>IF(F548="","",IFERROR(INDEX(UnitBases,MATCH(F548,UnitNames,0)),"?"))</f>
        <v>0</v>
      </c>
      <c r="L548" s="17">
        <f>IF(D548="","",IFERROR(INDEX(Ingredients!$G$5:$G$304,MATCH(D548,Ingredients!$B$5:$B$304,0)),"Add to Ingredients"))</f>
        <v>0</v>
      </c>
      <c r="M548" s="25">
        <f>IF(D548="","",IFERROR(INDEX(Ingredients!$J$5:$J$304,MATCH(D548,Ingredients!$B$5:$B$304,0)),"Add to Ingredients"))</f>
        <v>0</v>
      </c>
      <c r="N548" s="25">
        <f>IF(OR(J548="",M548="",NOT(ISNUMBER(M548))),"",IF(K548&lt;&gt;L548,"",J548*M548))</f>
        <v>0</v>
      </c>
      <c r="O548" s="25">
        <f>IF(N548="","",IFERROR(N548/INDEX(Recipes!$G$5:$G$204,MATCH(B548,Recipes!$A$5:$A$204,0)),""))</f>
        <v>0</v>
      </c>
      <c r="P548" s="30">
        <f>IF(J548="","",IF(K548="each",J548,J548/100))</f>
        <v>0</v>
      </c>
      <c r="Q548" s="30">
        <f>IFERROR(IF(P548="","",P548*INDEX(Ingredients!$P$5:$P$304,MATCH(D548,Ingredients!$B$5:$B$304,0))),"")</f>
        <v>0</v>
      </c>
      <c r="R548" s="45">
        <f>IFERROR(IF(P548="","",P548*INDEX(Ingredients!$Q$5:$Q$304,MATCH(D548,Ingredients!$B$5:$B$304,0))),"")</f>
        <v>0</v>
      </c>
      <c r="S548" s="45">
        <f>IFERROR(IF(P548="","",P548*INDEX(Ingredients!$R$5:$R$304,MATCH(D548,Ingredients!$B$5:$B$304,0))),"")</f>
        <v>0</v>
      </c>
      <c r="T548" s="45">
        <f>IFERROR(IF(P548="","",P548*INDEX(Ingredients!$S$5:$S$304,MATCH(D548,Ingredients!$B$5:$B$304,0))),"")</f>
        <v>0</v>
      </c>
      <c r="U548" s="45">
        <f>IFERROR(IF(P548="","",P548*INDEX(Ingredients!$T$5:$T$304,MATCH(D548,Ingredients!$B$5:$B$304,0))),"")</f>
        <v>0</v>
      </c>
      <c r="V548" s="17">
        <f>IF(D548="","",IFERROR(INDEX(Ingredients!$W$5:$W$304,MATCH(D548,Ingredients!$B$5:$B$304,0)),"Add to Ingredients"))</f>
        <v>0</v>
      </c>
      <c r="W548" s="17">
        <f>IF(D548="","",IFERROR(INDEX(Ingredients!$C$5:$C$304,MATCH(D548,Ingredients!$B$5:$B$304,0)),"Add to Ingredients"))</f>
        <v>0</v>
      </c>
      <c r="X548" s="45">
        <f>IFERROR(INDEX(Recipes!$AT$5:$AT$204,MATCH(B548,Recipes!$A$5:$A$204,0)),0)</f>
        <v>0</v>
      </c>
      <c r="Y548" s="45">
        <f>IF(OR(J548="",X548=0),"",J548*X548)</f>
        <v>0</v>
      </c>
      <c r="Z548" s="17">
        <f>IF(D548="","",B548&amp;"#"&amp;COUNTIFS($B$5:B548,B548))</f>
        <v>0</v>
      </c>
      <c r="AA548" s="17">
        <f>IF(D548="","",B548&amp;"|"&amp;D548)</f>
        <v>0</v>
      </c>
      <c r="AB548" s="31">
        <f>IF(D548="","",IF(B548="","Add - which recipe?",IF(COUNTIFS(Ingredients!$B$5:$B$304,D548)=0,"Missing - not in the Ingredients tab",IF(E548="","Add - no quantity",IF(F548="","Add - no unit",IF(K548&lt;&gt;L548,"Check - recipe in "&amp;K548&amp;", priced in "&amp;L548,IF(COUNTIFS($AA$5:$AA$1204,AA548)&gt;1,"Duplicate - same ingredient twice","OK")))))))</f>
        <v>0</v>
      </c>
    </row>
    <row r="549" spans="1:28">
      <c r="A549" s="39">
        <f>IF(D549="","","RL-"&amp;TEXT(ROW()-4,"0000"))</f>
        <v>0</v>
      </c>
      <c r="C549" s="17">
        <f>IF(B549="","",IFERROR(INDEX(Recipes!$B$5:$B$204,MATCH(B549,Recipes!$A$5:$A$204,0)),"Not found"))</f>
        <v>0</v>
      </c>
      <c r="J549" s="45">
        <f>IF(E549="","",IFERROR(E549*INDEX(UnitFactors,MATCH(F549,UnitNames,0)),""))</f>
        <v>0</v>
      </c>
      <c r="K549" s="17">
        <f>IF(F549="","",IFERROR(INDEX(UnitBases,MATCH(F549,UnitNames,0)),"?"))</f>
        <v>0</v>
      </c>
      <c r="L549" s="17">
        <f>IF(D549="","",IFERROR(INDEX(Ingredients!$G$5:$G$304,MATCH(D549,Ingredients!$B$5:$B$304,0)),"Add to Ingredients"))</f>
        <v>0</v>
      </c>
      <c r="M549" s="25">
        <f>IF(D549="","",IFERROR(INDEX(Ingredients!$J$5:$J$304,MATCH(D549,Ingredients!$B$5:$B$304,0)),"Add to Ingredients"))</f>
        <v>0</v>
      </c>
      <c r="N549" s="25">
        <f>IF(OR(J549="",M549="",NOT(ISNUMBER(M549))),"",IF(K549&lt;&gt;L549,"",J549*M549))</f>
        <v>0</v>
      </c>
      <c r="O549" s="25">
        <f>IF(N549="","",IFERROR(N549/INDEX(Recipes!$G$5:$G$204,MATCH(B549,Recipes!$A$5:$A$204,0)),""))</f>
        <v>0</v>
      </c>
      <c r="P549" s="30">
        <f>IF(J549="","",IF(K549="each",J549,J549/100))</f>
        <v>0</v>
      </c>
      <c r="Q549" s="30">
        <f>IFERROR(IF(P549="","",P549*INDEX(Ingredients!$P$5:$P$304,MATCH(D549,Ingredients!$B$5:$B$304,0))),"")</f>
        <v>0</v>
      </c>
      <c r="R549" s="45">
        <f>IFERROR(IF(P549="","",P549*INDEX(Ingredients!$Q$5:$Q$304,MATCH(D549,Ingredients!$B$5:$B$304,0))),"")</f>
        <v>0</v>
      </c>
      <c r="S549" s="45">
        <f>IFERROR(IF(P549="","",P549*INDEX(Ingredients!$R$5:$R$304,MATCH(D549,Ingredients!$B$5:$B$304,0))),"")</f>
        <v>0</v>
      </c>
      <c r="T549" s="45">
        <f>IFERROR(IF(P549="","",P549*INDEX(Ingredients!$S$5:$S$304,MATCH(D549,Ingredients!$B$5:$B$304,0))),"")</f>
        <v>0</v>
      </c>
      <c r="U549" s="45">
        <f>IFERROR(IF(P549="","",P549*INDEX(Ingredients!$T$5:$T$304,MATCH(D549,Ingredients!$B$5:$B$304,0))),"")</f>
        <v>0</v>
      </c>
      <c r="V549" s="17">
        <f>IF(D549="","",IFERROR(INDEX(Ingredients!$W$5:$W$304,MATCH(D549,Ingredients!$B$5:$B$304,0)),"Add to Ingredients"))</f>
        <v>0</v>
      </c>
      <c r="W549" s="17">
        <f>IF(D549="","",IFERROR(INDEX(Ingredients!$C$5:$C$304,MATCH(D549,Ingredients!$B$5:$B$304,0)),"Add to Ingredients"))</f>
        <v>0</v>
      </c>
      <c r="X549" s="45">
        <f>IFERROR(INDEX(Recipes!$AT$5:$AT$204,MATCH(B549,Recipes!$A$5:$A$204,0)),0)</f>
        <v>0</v>
      </c>
      <c r="Y549" s="45">
        <f>IF(OR(J549="",X549=0),"",J549*X549)</f>
        <v>0</v>
      </c>
      <c r="Z549" s="17">
        <f>IF(D549="","",B549&amp;"#"&amp;COUNTIFS($B$5:B549,B549))</f>
        <v>0</v>
      </c>
      <c r="AA549" s="17">
        <f>IF(D549="","",B549&amp;"|"&amp;D549)</f>
        <v>0</v>
      </c>
      <c r="AB549" s="31">
        <f>IF(D549="","",IF(B549="","Add - which recipe?",IF(COUNTIFS(Ingredients!$B$5:$B$304,D549)=0,"Missing - not in the Ingredients tab",IF(E549="","Add - no quantity",IF(F549="","Add - no unit",IF(K549&lt;&gt;L549,"Check - recipe in "&amp;K549&amp;", priced in "&amp;L549,IF(COUNTIFS($AA$5:$AA$1204,AA549)&gt;1,"Duplicate - same ingredient twice","OK")))))))</f>
        <v>0</v>
      </c>
    </row>
    <row r="550" spans="1:28">
      <c r="A550" s="39">
        <f>IF(D550="","","RL-"&amp;TEXT(ROW()-4,"0000"))</f>
        <v>0</v>
      </c>
      <c r="C550" s="17">
        <f>IF(B550="","",IFERROR(INDEX(Recipes!$B$5:$B$204,MATCH(B550,Recipes!$A$5:$A$204,0)),"Not found"))</f>
        <v>0</v>
      </c>
      <c r="J550" s="45">
        <f>IF(E550="","",IFERROR(E550*INDEX(UnitFactors,MATCH(F550,UnitNames,0)),""))</f>
        <v>0</v>
      </c>
      <c r="K550" s="17">
        <f>IF(F550="","",IFERROR(INDEX(UnitBases,MATCH(F550,UnitNames,0)),"?"))</f>
        <v>0</v>
      </c>
      <c r="L550" s="17">
        <f>IF(D550="","",IFERROR(INDEX(Ingredients!$G$5:$G$304,MATCH(D550,Ingredients!$B$5:$B$304,0)),"Add to Ingredients"))</f>
        <v>0</v>
      </c>
      <c r="M550" s="25">
        <f>IF(D550="","",IFERROR(INDEX(Ingredients!$J$5:$J$304,MATCH(D550,Ingredients!$B$5:$B$304,0)),"Add to Ingredients"))</f>
        <v>0</v>
      </c>
      <c r="N550" s="25">
        <f>IF(OR(J550="",M550="",NOT(ISNUMBER(M550))),"",IF(K550&lt;&gt;L550,"",J550*M550))</f>
        <v>0</v>
      </c>
      <c r="O550" s="25">
        <f>IF(N550="","",IFERROR(N550/INDEX(Recipes!$G$5:$G$204,MATCH(B550,Recipes!$A$5:$A$204,0)),""))</f>
        <v>0</v>
      </c>
      <c r="P550" s="30">
        <f>IF(J550="","",IF(K550="each",J550,J550/100))</f>
        <v>0</v>
      </c>
      <c r="Q550" s="30">
        <f>IFERROR(IF(P550="","",P550*INDEX(Ingredients!$P$5:$P$304,MATCH(D550,Ingredients!$B$5:$B$304,0))),"")</f>
        <v>0</v>
      </c>
      <c r="R550" s="45">
        <f>IFERROR(IF(P550="","",P550*INDEX(Ingredients!$Q$5:$Q$304,MATCH(D550,Ingredients!$B$5:$B$304,0))),"")</f>
        <v>0</v>
      </c>
      <c r="S550" s="45">
        <f>IFERROR(IF(P550="","",P550*INDEX(Ingredients!$R$5:$R$304,MATCH(D550,Ingredients!$B$5:$B$304,0))),"")</f>
        <v>0</v>
      </c>
      <c r="T550" s="45">
        <f>IFERROR(IF(P550="","",P550*INDEX(Ingredients!$S$5:$S$304,MATCH(D550,Ingredients!$B$5:$B$304,0))),"")</f>
        <v>0</v>
      </c>
      <c r="U550" s="45">
        <f>IFERROR(IF(P550="","",P550*INDEX(Ingredients!$T$5:$T$304,MATCH(D550,Ingredients!$B$5:$B$304,0))),"")</f>
        <v>0</v>
      </c>
      <c r="V550" s="17">
        <f>IF(D550="","",IFERROR(INDEX(Ingredients!$W$5:$W$304,MATCH(D550,Ingredients!$B$5:$B$304,0)),"Add to Ingredients"))</f>
        <v>0</v>
      </c>
      <c r="W550" s="17">
        <f>IF(D550="","",IFERROR(INDEX(Ingredients!$C$5:$C$304,MATCH(D550,Ingredients!$B$5:$B$304,0)),"Add to Ingredients"))</f>
        <v>0</v>
      </c>
      <c r="X550" s="45">
        <f>IFERROR(INDEX(Recipes!$AT$5:$AT$204,MATCH(B550,Recipes!$A$5:$A$204,0)),0)</f>
        <v>0</v>
      </c>
      <c r="Y550" s="45">
        <f>IF(OR(J550="",X550=0),"",J550*X550)</f>
        <v>0</v>
      </c>
      <c r="Z550" s="17">
        <f>IF(D550="","",B550&amp;"#"&amp;COUNTIFS($B$5:B550,B550))</f>
        <v>0</v>
      </c>
      <c r="AA550" s="17">
        <f>IF(D550="","",B550&amp;"|"&amp;D550)</f>
        <v>0</v>
      </c>
      <c r="AB550" s="31">
        <f>IF(D550="","",IF(B550="","Add - which recipe?",IF(COUNTIFS(Ingredients!$B$5:$B$304,D550)=0,"Missing - not in the Ingredients tab",IF(E550="","Add - no quantity",IF(F550="","Add - no unit",IF(K550&lt;&gt;L550,"Check - recipe in "&amp;K550&amp;", priced in "&amp;L550,IF(COUNTIFS($AA$5:$AA$1204,AA550)&gt;1,"Duplicate - same ingredient twice","OK")))))))</f>
        <v>0</v>
      </c>
    </row>
    <row r="551" spans="1:28">
      <c r="A551" s="39">
        <f>IF(D551="","","RL-"&amp;TEXT(ROW()-4,"0000"))</f>
        <v>0</v>
      </c>
      <c r="C551" s="17">
        <f>IF(B551="","",IFERROR(INDEX(Recipes!$B$5:$B$204,MATCH(B551,Recipes!$A$5:$A$204,0)),"Not found"))</f>
        <v>0</v>
      </c>
      <c r="J551" s="45">
        <f>IF(E551="","",IFERROR(E551*INDEX(UnitFactors,MATCH(F551,UnitNames,0)),""))</f>
        <v>0</v>
      </c>
      <c r="K551" s="17">
        <f>IF(F551="","",IFERROR(INDEX(UnitBases,MATCH(F551,UnitNames,0)),"?"))</f>
        <v>0</v>
      </c>
      <c r="L551" s="17">
        <f>IF(D551="","",IFERROR(INDEX(Ingredients!$G$5:$G$304,MATCH(D551,Ingredients!$B$5:$B$304,0)),"Add to Ingredients"))</f>
        <v>0</v>
      </c>
      <c r="M551" s="25">
        <f>IF(D551="","",IFERROR(INDEX(Ingredients!$J$5:$J$304,MATCH(D551,Ingredients!$B$5:$B$304,0)),"Add to Ingredients"))</f>
        <v>0</v>
      </c>
      <c r="N551" s="25">
        <f>IF(OR(J551="",M551="",NOT(ISNUMBER(M551))),"",IF(K551&lt;&gt;L551,"",J551*M551))</f>
        <v>0</v>
      </c>
      <c r="O551" s="25">
        <f>IF(N551="","",IFERROR(N551/INDEX(Recipes!$G$5:$G$204,MATCH(B551,Recipes!$A$5:$A$204,0)),""))</f>
        <v>0</v>
      </c>
      <c r="P551" s="30">
        <f>IF(J551="","",IF(K551="each",J551,J551/100))</f>
        <v>0</v>
      </c>
      <c r="Q551" s="30">
        <f>IFERROR(IF(P551="","",P551*INDEX(Ingredients!$P$5:$P$304,MATCH(D551,Ingredients!$B$5:$B$304,0))),"")</f>
        <v>0</v>
      </c>
      <c r="R551" s="45">
        <f>IFERROR(IF(P551="","",P551*INDEX(Ingredients!$Q$5:$Q$304,MATCH(D551,Ingredients!$B$5:$B$304,0))),"")</f>
        <v>0</v>
      </c>
      <c r="S551" s="45">
        <f>IFERROR(IF(P551="","",P551*INDEX(Ingredients!$R$5:$R$304,MATCH(D551,Ingredients!$B$5:$B$304,0))),"")</f>
        <v>0</v>
      </c>
      <c r="T551" s="45">
        <f>IFERROR(IF(P551="","",P551*INDEX(Ingredients!$S$5:$S$304,MATCH(D551,Ingredients!$B$5:$B$304,0))),"")</f>
        <v>0</v>
      </c>
      <c r="U551" s="45">
        <f>IFERROR(IF(P551="","",P551*INDEX(Ingredients!$T$5:$T$304,MATCH(D551,Ingredients!$B$5:$B$304,0))),"")</f>
        <v>0</v>
      </c>
      <c r="V551" s="17">
        <f>IF(D551="","",IFERROR(INDEX(Ingredients!$W$5:$W$304,MATCH(D551,Ingredients!$B$5:$B$304,0)),"Add to Ingredients"))</f>
        <v>0</v>
      </c>
      <c r="W551" s="17">
        <f>IF(D551="","",IFERROR(INDEX(Ingredients!$C$5:$C$304,MATCH(D551,Ingredients!$B$5:$B$304,0)),"Add to Ingredients"))</f>
        <v>0</v>
      </c>
      <c r="X551" s="45">
        <f>IFERROR(INDEX(Recipes!$AT$5:$AT$204,MATCH(B551,Recipes!$A$5:$A$204,0)),0)</f>
        <v>0</v>
      </c>
      <c r="Y551" s="45">
        <f>IF(OR(J551="",X551=0),"",J551*X551)</f>
        <v>0</v>
      </c>
      <c r="Z551" s="17">
        <f>IF(D551="","",B551&amp;"#"&amp;COUNTIFS($B$5:B551,B551))</f>
        <v>0</v>
      </c>
      <c r="AA551" s="17">
        <f>IF(D551="","",B551&amp;"|"&amp;D551)</f>
        <v>0</v>
      </c>
      <c r="AB551" s="31">
        <f>IF(D551="","",IF(B551="","Add - which recipe?",IF(COUNTIFS(Ingredients!$B$5:$B$304,D551)=0,"Missing - not in the Ingredients tab",IF(E551="","Add - no quantity",IF(F551="","Add - no unit",IF(K551&lt;&gt;L551,"Check - recipe in "&amp;K551&amp;", priced in "&amp;L551,IF(COUNTIFS($AA$5:$AA$1204,AA551)&gt;1,"Duplicate - same ingredient twice","OK")))))))</f>
        <v>0</v>
      </c>
    </row>
    <row r="552" spans="1:28">
      <c r="A552" s="39">
        <f>IF(D552="","","RL-"&amp;TEXT(ROW()-4,"0000"))</f>
        <v>0</v>
      </c>
      <c r="C552" s="17">
        <f>IF(B552="","",IFERROR(INDEX(Recipes!$B$5:$B$204,MATCH(B552,Recipes!$A$5:$A$204,0)),"Not found"))</f>
        <v>0</v>
      </c>
      <c r="J552" s="45">
        <f>IF(E552="","",IFERROR(E552*INDEX(UnitFactors,MATCH(F552,UnitNames,0)),""))</f>
        <v>0</v>
      </c>
      <c r="K552" s="17">
        <f>IF(F552="","",IFERROR(INDEX(UnitBases,MATCH(F552,UnitNames,0)),"?"))</f>
        <v>0</v>
      </c>
      <c r="L552" s="17">
        <f>IF(D552="","",IFERROR(INDEX(Ingredients!$G$5:$G$304,MATCH(D552,Ingredients!$B$5:$B$304,0)),"Add to Ingredients"))</f>
        <v>0</v>
      </c>
      <c r="M552" s="25">
        <f>IF(D552="","",IFERROR(INDEX(Ingredients!$J$5:$J$304,MATCH(D552,Ingredients!$B$5:$B$304,0)),"Add to Ingredients"))</f>
        <v>0</v>
      </c>
      <c r="N552" s="25">
        <f>IF(OR(J552="",M552="",NOT(ISNUMBER(M552))),"",IF(K552&lt;&gt;L552,"",J552*M552))</f>
        <v>0</v>
      </c>
      <c r="O552" s="25">
        <f>IF(N552="","",IFERROR(N552/INDEX(Recipes!$G$5:$G$204,MATCH(B552,Recipes!$A$5:$A$204,0)),""))</f>
        <v>0</v>
      </c>
      <c r="P552" s="30">
        <f>IF(J552="","",IF(K552="each",J552,J552/100))</f>
        <v>0</v>
      </c>
      <c r="Q552" s="30">
        <f>IFERROR(IF(P552="","",P552*INDEX(Ingredients!$P$5:$P$304,MATCH(D552,Ingredients!$B$5:$B$304,0))),"")</f>
        <v>0</v>
      </c>
      <c r="R552" s="45">
        <f>IFERROR(IF(P552="","",P552*INDEX(Ingredients!$Q$5:$Q$304,MATCH(D552,Ingredients!$B$5:$B$304,0))),"")</f>
        <v>0</v>
      </c>
      <c r="S552" s="45">
        <f>IFERROR(IF(P552="","",P552*INDEX(Ingredients!$R$5:$R$304,MATCH(D552,Ingredients!$B$5:$B$304,0))),"")</f>
        <v>0</v>
      </c>
      <c r="T552" s="45">
        <f>IFERROR(IF(P552="","",P552*INDEX(Ingredients!$S$5:$S$304,MATCH(D552,Ingredients!$B$5:$B$304,0))),"")</f>
        <v>0</v>
      </c>
      <c r="U552" s="45">
        <f>IFERROR(IF(P552="","",P552*INDEX(Ingredients!$T$5:$T$304,MATCH(D552,Ingredients!$B$5:$B$304,0))),"")</f>
        <v>0</v>
      </c>
      <c r="V552" s="17">
        <f>IF(D552="","",IFERROR(INDEX(Ingredients!$W$5:$W$304,MATCH(D552,Ingredients!$B$5:$B$304,0)),"Add to Ingredients"))</f>
        <v>0</v>
      </c>
      <c r="W552" s="17">
        <f>IF(D552="","",IFERROR(INDEX(Ingredients!$C$5:$C$304,MATCH(D552,Ingredients!$B$5:$B$304,0)),"Add to Ingredients"))</f>
        <v>0</v>
      </c>
      <c r="X552" s="45">
        <f>IFERROR(INDEX(Recipes!$AT$5:$AT$204,MATCH(B552,Recipes!$A$5:$A$204,0)),0)</f>
        <v>0</v>
      </c>
      <c r="Y552" s="45">
        <f>IF(OR(J552="",X552=0),"",J552*X552)</f>
        <v>0</v>
      </c>
      <c r="Z552" s="17">
        <f>IF(D552="","",B552&amp;"#"&amp;COUNTIFS($B$5:B552,B552))</f>
        <v>0</v>
      </c>
      <c r="AA552" s="17">
        <f>IF(D552="","",B552&amp;"|"&amp;D552)</f>
        <v>0</v>
      </c>
      <c r="AB552" s="31">
        <f>IF(D552="","",IF(B552="","Add - which recipe?",IF(COUNTIFS(Ingredients!$B$5:$B$304,D552)=0,"Missing - not in the Ingredients tab",IF(E552="","Add - no quantity",IF(F552="","Add - no unit",IF(K552&lt;&gt;L552,"Check - recipe in "&amp;K552&amp;", priced in "&amp;L552,IF(COUNTIFS($AA$5:$AA$1204,AA552)&gt;1,"Duplicate - same ingredient twice","OK")))))))</f>
        <v>0</v>
      </c>
    </row>
    <row r="553" spans="1:28">
      <c r="A553" s="39">
        <f>IF(D553="","","RL-"&amp;TEXT(ROW()-4,"0000"))</f>
        <v>0</v>
      </c>
      <c r="C553" s="17">
        <f>IF(B553="","",IFERROR(INDEX(Recipes!$B$5:$B$204,MATCH(B553,Recipes!$A$5:$A$204,0)),"Not found"))</f>
        <v>0</v>
      </c>
      <c r="J553" s="45">
        <f>IF(E553="","",IFERROR(E553*INDEX(UnitFactors,MATCH(F553,UnitNames,0)),""))</f>
        <v>0</v>
      </c>
      <c r="K553" s="17">
        <f>IF(F553="","",IFERROR(INDEX(UnitBases,MATCH(F553,UnitNames,0)),"?"))</f>
        <v>0</v>
      </c>
      <c r="L553" s="17">
        <f>IF(D553="","",IFERROR(INDEX(Ingredients!$G$5:$G$304,MATCH(D553,Ingredients!$B$5:$B$304,0)),"Add to Ingredients"))</f>
        <v>0</v>
      </c>
      <c r="M553" s="25">
        <f>IF(D553="","",IFERROR(INDEX(Ingredients!$J$5:$J$304,MATCH(D553,Ingredients!$B$5:$B$304,0)),"Add to Ingredients"))</f>
        <v>0</v>
      </c>
      <c r="N553" s="25">
        <f>IF(OR(J553="",M553="",NOT(ISNUMBER(M553))),"",IF(K553&lt;&gt;L553,"",J553*M553))</f>
        <v>0</v>
      </c>
      <c r="O553" s="25">
        <f>IF(N553="","",IFERROR(N553/INDEX(Recipes!$G$5:$G$204,MATCH(B553,Recipes!$A$5:$A$204,0)),""))</f>
        <v>0</v>
      </c>
      <c r="P553" s="30">
        <f>IF(J553="","",IF(K553="each",J553,J553/100))</f>
        <v>0</v>
      </c>
      <c r="Q553" s="30">
        <f>IFERROR(IF(P553="","",P553*INDEX(Ingredients!$P$5:$P$304,MATCH(D553,Ingredients!$B$5:$B$304,0))),"")</f>
        <v>0</v>
      </c>
      <c r="R553" s="45">
        <f>IFERROR(IF(P553="","",P553*INDEX(Ingredients!$Q$5:$Q$304,MATCH(D553,Ingredients!$B$5:$B$304,0))),"")</f>
        <v>0</v>
      </c>
      <c r="S553" s="45">
        <f>IFERROR(IF(P553="","",P553*INDEX(Ingredients!$R$5:$R$304,MATCH(D553,Ingredients!$B$5:$B$304,0))),"")</f>
        <v>0</v>
      </c>
      <c r="T553" s="45">
        <f>IFERROR(IF(P553="","",P553*INDEX(Ingredients!$S$5:$S$304,MATCH(D553,Ingredients!$B$5:$B$304,0))),"")</f>
        <v>0</v>
      </c>
      <c r="U553" s="45">
        <f>IFERROR(IF(P553="","",P553*INDEX(Ingredients!$T$5:$T$304,MATCH(D553,Ingredients!$B$5:$B$304,0))),"")</f>
        <v>0</v>
      </c>
      <c r="V553" s="17">
        <f>IF(D553="","",IFERROR(INDEX(Ingredients!$W$5:$W$304,MATCH(D553,Ingredients!$B$5:$B$304,0)),"Add to Ingredients"))</f>
        <v>0</v>
      </c>
      <c r="W553" s="17">
        <f>IF(D553="","",IFERROR(INDEX(Ingredients!$C$5:$C$304,MATCH(D553,Ingredients!$B$5:$B$304,0)),"Add to Ingredients"))</f>
        <v>0</v>
      </c>
      <c r="X553" s="45">
        <f>IFERROR(INDEX(Recipes!$AT$5:$AT$204,MATCH(B553,Recipes!$A$5:$A$204,0)),0)</f>
        <v>0</v>
      </c>
      <c r="Y553" s="45">
        <f>IF(OR(J553="",X553=0),"",J553*X553)</f>
        <v>0</v>
      </c>
      <c r="Z553" s="17">
        <f>IF(D553="","",B553&amp;"#"&amp;COUNTIFS($B$5:B553,B553))</f>
        <v>0</v>
      </c>
      <c r="AA553" s="17">
        <f>IF(D553="","",B553&amp;"|"&amp;D553)</f>
        <v>0</v>
      </c>
      <c r="AB553" s="31">
        <f>IF(D553="","",IF(B553="","Add - which recipe?",IF(COUNTIFS(Ingredients!$B$5:$B$304,D553)=0,"Missing - not in the Ingredients tab",IF(E553="","Add - no quantity",IF(F553="","Add - no unit",IF(K553&lt;&gt;L553,"Check - recipe in "&amp;K553&amp;", priced in "&amp;L553,IF(COUNTIFS($AA$5:$AA$1204,AA553)&gt;1,"Duplicate - same ingredient twice","OK")))))))</f>
        <v>0</v>
      </c>
    </row>
    <row r="554" spans="1:28">
      <c r="A554" s="39">
        <f>IF(D554="","","RL-"&amp;TEXT(ROW()-4,"0000"))</f>
        <v>0</v>
      </c>
      <c r="C554" s="17">
        <f>IF(B554="","",IFERROR(INDEX(Recipes!$B$5:$B$204,MATCH(B554,Recipes!$A$5:$A$204,0)),"Not found"))</f>
        <v>0</v>
      </c>
      <c r="J554" s="45">
        <f>IF(E554="","",IFERROR(E554*INDEX(UnitFactors,MATCH(F554,UnitNames,0)),""))</f>
        <v>0</v>
      </c>
      <c r="K554" s="17">
        <f>IF(F554="","",IFERROR(INDEX(UnitBases,MATCH(F554,UnitNames,0)),"?"))</f>
        <v>0</v>
      </c>
      <c r="L554" s="17">
        <f>IF(D554="","",IFERROR(INDEX(Ingredients!$G$5:$G$304,MATCH(D554,Ingredients!$B$5:$B$304,0)),"Add to Ingredients"))</f>
        <v>0</v>
      </c>
      <c r="M554" s="25">
        <f>IF(D554="","",IFERROR(INDEX(Ingredients!$J$5:$J$304,MATCH(D554,Ingredients!$B$5:$B$304,0)),"Add to Ingredients"))</f>
        <v>0</v>
      </c>
      <c r="N554" s="25">
        <f>IF(OR(J554="",M554="",NOT(ISNUMBER(M554))),"",IF(K554&lt;&gt;L554,"",J554*M554))</f>
        <v>0</v>
      </c>
      <c r="O554" s="25">
        <f>IF(N554="","",IFERROR(N554/INDEX(Recipes!$G$5:$G$204,MATCH(B554,Recipes!$A$5:$A$204,0)),""))</f>
        <v>0</v>
      </c>
      <c r="P554" s="30">
        <f>IF(J554="","",IF(K554="each",J554,J554/100))</f>
        <v>0</v>
      </c>
      <c r="Q554" s="30">
        <f>IFERROR(IF(P554="","",P554*INDEX(Ingredients!$P$5:$P$304,MATCH(D554,Ingredients!$B$5:$B$304,0))),"")</f>
        <v>0</v>
      </c>
      <c r="R554" s="45">
        <f>IFERROR(IF(P554="","",P554*INDEX(Ingredients!$Q$5:$Q$304,MATCH(D554,Ingredients!$B$5:$B$304,0))),"")</f>
        <v>0</v>
      </c>
      <c r="S554" s="45">
        <f>IFERROR(IF(P554="","",P554*INDEX(Ingredients!$R$5:$R$304,MATCH(D554,Ingredients!$B$5:$B$304,0))),"")</f>
        <v>0</v>
      </c>
      <c r="T554" s="45">
        <f>IFERROR(IF(P554="","",P554*INDEX(Ingredients!$S$5:$S$304,MATCH(D554,Ingredients!$B$5:$B$304,0))),"")</f>
        <v>0</v>
      </c>
      <c r="U554" s="45">
        <f>IFERROR(IF(P554="","",P554*INDEX(Ingredients!$T$5:$T$304,MATCH(D554,Ingredients!$B$5:$B$304,0))),"")</f>
        <v>0</v>
      </c>
      <c r="V554" s="17">
        <f>IF(D554="","",IFERROR(INDEX(Ingredients!$W$5:$W$304,MATCH(D554,Ingredients!$B$5:$B$304,0)),"Add to Ingredients"))</f>
        <v>0</v>
      </c>
      <c r="W554" s="17">
        <f>IF(D554="","",IFERROR(INDEX(Ingredients!$C$5:$C$304,MATCH(D554,Ingredients!$B$5:$B$304,0)),"Add to Ingredients"))</f>
        <v>0</v>
      </c>
      <c r="X554" s="45">
        <f>IFERROR(INDEX(Recipes!$AT$5:$AT$204,MATCH(B554,Recipes!$A$5:$A$204,0)),0)</f>
        <v>0</v>
      </c>
      <c r="Y554" s="45">
        <f>IF(OR(J554="",X554=0),"",J554*X554)</f>
        <v>0</v>
      </c>
      <c r="Z554" s="17">
        <f>IF(D554="","",B554&amp;"#"&amp;COUNTIFS($B$5:B554,B554))</f>
        <v>0</v>
      </c>
      <c r="AA554" s="17">
        <f>IF(D554="","",B554&amp;"|"&amp;D554)</f>
        <v>0</v>
      </c>
      <c r="AB554" s="31">
        <f>IF(D554="","",IF(B554="","Add - which recipe?",IF(COUNTIFS(Ingredients!$B$5:$B$304,D554)=0,"Missing - not in the Ingredients tab",IF(E554="","Add - no quantity",IF(F554="","Add - no unit",IF(K554&lt;&gt;L554,"Check - recipe in "&amp;K554&amp;", priced in "&amp;L554,IF(COUNTIFS($AA$5:$AA$1204,AA554)&gt;1,"Duplicate - same ingredient twice","OK")))))))</f>
        <v>0</v>
      </c>
    </row>
    <row r="555" spans="1:28">
      <c r="A555" s="39">
        <f>IF(D555="","","RL-"&amp;TEXT(ROW()-4,"0000"))</f>
        <v>0</v>
      </c>
      <c r="C555" s="17">
        <f>IF(B555="","",IFERROR(INDEX(Recipes!$B$5:$B$204,MATCH(B555,Recipes!$A$5:$A$204,0)),"Not found"))</f>
        <v>0</v>
      </c>
      <c r="J555" s="45">
        <f>IF(E555="","",IFERROR(E555*INDEX(UnitFactors,MATCH(F555,UnitNames,0)),""))</f>
        <v>0</v>
      </c>
      <c r="K555" s="17">
        <f>IF(F555="","",IFERROR(INDEX(UnitBases,MATCH(F555,UnitNames,0)),"?"))</f>
        <v>0</v>
      </c>
      <c r="L555" s="17">
        <f>IF(D555="","",IFERROR(INDEX(Ingredients!$G$5:$G$304,MATCH(D555,Ingredients!$B$5:$B$304,0)),"Add to Ingredients"))</f>
        <v>0</v>
      </c>
      <c r="M555" s="25">
        <f>IF(D555="","",IFERROR(INDEX(Ingredients!$J$5:$J$304,MATCH(D555,Ingredients!$B$5:$B$304,0)),"Add to Ingredients"))</f>
        <v>0</v>
      </c>
      <c r="N555" s="25">
        <f>IF(OR(J555="",M555="",NOT(ISNUMBER(M555))),"",IF(K555&lt;&gt;L555,"",J555*M555))</f>
        <v>0</v>
      </c>
      <c r="O555" s="25">
        <f>IF(N555="","",IFERROR(N555/INDEX(Recipes!$G$5:$G$204,MATCH(B555,Recipes!$A$5:$A$204,0)),""))</f>
        <v>0</v>
      </c>
      <c r="P555" s="30">
        <f>IF(J555="","",IF(K555="each",J555,J555/100))</f>
        <v>0</v>
      </c>
      <c r="Q555" s="30">
        <f>IFERROR(IF(P555="","",P555*INDEX(Ingredients!$P$5:$P$304,MATCH(D555,Ingredients!$B$5:$B$304,0))),"")</f>
        <v>0</v>
      </c>
      <c r="R555" s="45">
        <f>IFERROR(IF(P555="","",P555*INDEX(Ingredients!$Q$5:$Q$304,MATCH(D555,Ingredients!$B$5:$B$304,0))),"")</f>
        <v>0</v>
      </c>
      <c r="S555" s="45">
        <f>IFERROR(IF(P555="","",P555*INDEX(Ingredients!$R$5:$R$304,MATCH(D555,Ingredients!$B$5:$B$304,0))),"")</f>
        <v>0</v>
      </c>
      <c r="T555" s="45">
        <f>IFERROR(IF(P555="","",P555*INDEX(Ingredients!$S$5:$S$304,MATCH(D555,Ingredients!$B$5:$B$304,0))),"")</f>
        <v>0</v>
      </c>
      <c r="U555" s="45">
        <f>IFERROR(IF(P555="","",P555*INDEX(Ingredients!$T$5:$T$304,MATCH(D555,Ingredients!$B$5:$B$304,0))),"")</f>
        <v>0</v>
      </c>
      <c r="V555" s="17">
        <f>IF(D555="","",IFERROR(INDEX(Ingredients!$W$5:$W$304,MATCH(D555,Ingredients!$B$5:$B$304,0)),"Add to Ingredients"))</f>
        <v>0</v>
      </c>
      <c r="W555" s="17">
        <f>IF(D555="","",IFERROR(INDEX(Ingredients!$C$5:$C$304,MATCH(D555,Ingredients!$B$5:$B$304,0)),"Add to Ingredients"))</f>
        <v>0</v>
      </c>
      <c r="X555" s="45">
        <f>IFERROR(INDEX(Recipes!$AT$5:$AT$204,MATCH(B555,Recipes!$A$5:$A$204,0)),0)</f>
        <v>0</v>
      </c>
      <c r="Y555" s="45">
        <f>IF(OR(J555="",X555=0),"",J555*X555)</f>
        <v>0</v>
      </c>
      <c r="Z555" s="17">
        <f>IF(D555="","",B555&amp;"#"&amp;COUNTIFS($B$5:B555,B555))</f>
        <v>0</v>
      </c>
      <c r="AA555" s="17">
        <f>IF(D555="","",B555&amp;"|"&amp;D555)</f>
        <v>0</v>
      </c>
      <c r="AB555" s="31">
        <f>IF(D555="","",IF(B555="","Add - which recipe?",IF(COUNTIFS(Ingredients!$B$5:$B$304,D555)=0,"Missing - not in the Ingredients tab",IF(E555="","Add - no quantity",IF(F555="","Add - no unit",IF(K555&lt;&gt;L555,"Check - recipe in "&amp;K555&amp;", priced in "&amp;L555,IF(COUNTIFS($AA$5:$AA$1204,AA555)&gt;1,"Duplicate - same ingredient twice","OK")))))))</f>
        <v>0</v>
      </c>
    </row>
    <row r="556" spans="1:28">
      <c r="A556" s="39">
        <f>IF(D556="","","RL-"&amp;TEXT(ROW()-4,"0000"))</f>
        <v>0</v>
      </c>
      <c r="C556" s="17">
        <f>IF(B556="","",IFERROR(INDEX(Recipes!$B$5:$B$204,MATCH(B556,Recipes!$A$5:$A$204,0)),"Not found"))</f>
        <v>0</v>
      </c>
      <c r="J556" s="45">
        <f>IF(E556="","",IFERROR(E556*INDEX(UnitFactors,MATCH(F556,UnitNames,0)),""))</f>
        <v>0</v>
      </c>
      <c r="K556" s="17">
        <f>IF(F556="","",IFERROR(INDEX(UnitBases,MATCH(F556,UnitNames,0)),"?"))</f>
        <v>0</v>
      </c>
      <c r="L556" s="17">
        <f>IF(D556="","",IFERROR(INDEX(Ingredients!$G$5:$G$304,MATCH(D556,Ingredients!$B$5:$B$304,0)),"Add to Ingredients"))</f>
        <v>0</v>
      </c>
      <c r="M556" s="25">
        <f>IF(D556="","",IFERROR(INDEX(Ingredients!$J$5:$J$304,MATCH(D556,Ingredients!$B$5:$B$304,0)),"Add to Ingredients"))</f>
        <v>0</v>
      </c>
      <c r="N556" s="25">
        <f>IF(OR(J556="",M556="",NOT(ISNUMBER(M556))),"",IF(K556&lt;&gt;L556,"",J556*M556))</f>
        <v>0</v>
      </c>
      <c r="O556" s="25">
        <f>IF(N556="","",IFERROR(N556/INDEX(Recipes!$G$5:$G$204,MATCH(B556,Recipes!$A$5:$A$204,0)),""))</f>
        <v>0</v>
      </c>
      <c r="P556" s="30">
        <f>IF(J556="","",IF(K556="each",J556,J556/100))</f>
        <v>0</v>
      </c>
      <c r="Q556" s="30">
        <f>IFERROR(IF(P556="","",P556*INDEX(Ingredients!$P$5:$P$304,MATCH(D556,Ingredients!$B$5:$B$304,0))),"")</f>
        <v>0</v>
      </c>
      <c r="R556" s="45">
        <f>IFERROR(IF(P556="","",P556*INDEX(Ingredients!$Q$5:$Q$304,MATCH(D556,Ingredients!$B$5:$B$304,0))),"")</f>
        <v>0</v>
      </c>
      <c r="S556" s="45">
        <f>IFERROR(IF(P556="","",P556*INDEX(Ingredients!$R$5:$R$304,MATCH(D556,Ingredients!$B$5:$B$304,0))),"")</f>
        <v>0</v>
      </c>
      <c r="T556" s="45">
        <f>IFERROR(IF(P556="","",P556*INDEX(Ingredients!$S$5:$S$304,MATCH(D556,Ingredients!$B$5:$B$304,0))),"")</f>
        <v>0</v>
      </c>
      <c r="U556" s="45">
        <f>IFERROR(IF(P556="","",P556*INDEX(Ingredients!$T$5:$T$304,MATCH(D556,Ingredients!$B$5:$B$304,0))),"")</f>
        <v>0</v>
      </c>
      <c r="V556" s="17">
        <f>IF(D556="","",IFERROR(INDEX(Ingredients!$W$5:$W$304,MATCH(D556,Ingredients!$B$5:$B$304,0)),"Add to Ingredients"))</f>
        <v>0</v>
      </c>
      <c r="W556" s="17">
        <f>IF(D556="","",IFERROR(INDEX(Ingredients!$C$5:$C$304,MATCH(D556,Ingredients!$B$5:$B$304,0)),"Add to Ingredients"))</f>
        <v>0</v>
      </c>
      <c r="X556" s="45">
        <f>IFERROR(INDEX(Recipes!$AT$5:$AT$204,MATCH(B556,Recipes!$A$5:$A$204,0)),0)</f>
        <v>0</v>
      </c>
      <c r="Y556" s="45">
        <f>IF(OR(J556="",X556=0),"",J556*X556)</f>
        <v>0</v>
      </c>
      <c r="Z556" s="17">
        <f>IF(D556="","",B556&amp;"#"&amp;COUNTIFS($B$5:B556,B556))</f>
        <v>0</v>
      </c>
      <c r="AA556" s="17">
        <f>IF(D556="","",B556&amp;"|"&amp;D556)</f>
        <v>0</v>
      </c>
      <c r="AB556" s="31">
        <f>IF(D556="","",IF(B556="","Add - which recipe?",IF(COUNTIFS(Ingredients!$B$5:$B$304,D556)=0,"Missing - not in the Ingredients tab",IF(E556="","Add - no quantity",IF(F556="","Add - no unit",IF(K556&lt;&gt;L556,"Check - recipe in "&amp;K556&amp;", priced in "&amp;L556,IF(COUNTIFS($AA$5:$AA$1204,AA556)&gt;1,"Duplicate - same ingredient twice","OK")))))))</f>
        <v>0</v>
      </c>
    </row>
    <row r="557" spans="1:28">
      <c r="A557" s="39">
        <f>IF(D557="","","RL-"&amp;TEXT(ROW()-4,"0000"))</f>
        <v>0</v>
      </c>
      <c r="C557" s="17">
        <f>IF(B557="","",IFERROR(INDEX(Recipes!$B$5:$B$204,MATCH(B557,Recipes!$A$5:$A$204,0)),"Not found"))</f>
        <v>0</v>
      </c>
      <c r="J557" s="45">
        <f>IF(E557="","",IFERROR(E557*INDEX(UnitFactors,MATCH(F557,UnitNames,0)),""))</f>
        <v>0</v>
      </c>
      <c r="K557" s="17">
        <f>IF(F557="","",IFERROR(INDEX(UnitBases,MATCH(F557,UnitNames,0)),"?"))</f>
        <v>0</v>
      </c>
      <c r="L557" s="17">
        <f>IF(D557="","",IFERROR(INDEX(Ingredients!$G$5:$G$304,MATCH(D557,Ingredients!$B$5:$B$304,0)),"Add to Ingredients"))</f>
        <v>0</v>
      </c>
      <c r="M557" s="25">
        <f>IF(D557="","",IFERROR(INDEX(Ingredients!$J$5:$J$304,MATCH(D557,Ingredients!$B$5:$B$304,0)),"Add to Ingredients"))</f>
        <v>0</v>
      </c>
      <c r="N557" s="25">
        <f>IF(OR(J557="",M557="",NOT(ISNUMBER(M557))),"",IF(K557&lt;&gt;L557,"",J557*M557))</f>
        <v>0</v>
      </c>
      <c r="O557" s="25">
        <f>IF(N557="","",IFERROR(N557/INDEX(Recipes!$G$5:$G$204,MATCH(B557,Recipes!$A$5:$A$204,0)),""))</f>
        <v>0</v>
      </c>
      <c r="P557" s="30">
        <f>IF(J557="","",IF(K557="each",J557,J557/100))</f>
        <v>0</v>
      </c>
      <c r="Q557" s="30">
        <f>IFERROR(IF(P557="","",P557*INDEX(Ingredients!$P$5:$P$304,MATCH(D557,Ingredients!$B$5:$B$304,0))),"")</f>
        <v>0</v>
      </c>
      <c r="R557" s="45">
        <f>IFERROR(IF(P557="","",P557*INDEX(Ingredients!$Q$5:$Q$304,MATCH(D557,Ingredients!$B$5:$B$304,0))),"")</f>
        <v>0</v>
      </c>
      <c r="S557" s="45">
        <f>IFERROR(IF(P557="","",P557*INDEX(Ingredients!$R$5:$R$304,MATCH(D557,Ingredients!$B$5:$B$304,0))),"")</f>
        <v>0</v>
      </c>
      <c r="T557" s="45">
        <f>IFERROR(IF(P557="","",P557*INDEX(Ingredients!$S$5:$S$304,MATCH(D557,Ingredients!$B$5:$B$304,0))),"")</f>
        <v>0</v>
      </c>
      <c r="U557" s="45">
        <f>IFERROR(IF(P557="","",P557*INDEX(Ingredients!$T$5:$T$304,MATCH(D557,Ingredients!$B$5:$B$304,0))),"")</f>
        <v>0</v>
      </c>
      <c r="V557" s="17">
        <f>IF(D557="","",IFERROR(INDEX(Ingredients!$W$5:$W$304,MATCH(D557,Ingredients!$B$5:$B$304,0)),"Add to Ingredients"))</f>
        <v>0</v>
      </c>
      <c r="W557" s="17">
        <f>IF(D557="","",IFERROR(INDEX(Ingredients!$C$5:$C$304,MATCH(D557,Ingredients!$B$5:$B$304,0)),"Add to Ingredients"))</f>
        <v>0</v>
      </c>
      <c r="X557" s="45">
        <f>IFERROR(INDEX(Recipes!$AT$5:$AT$204,MATCH(B557,Recipes!$A$5:$A$204,0)),0)</f>
        <v>0</v>
      </c>
      <c r="Y557" s="45">
        <f>IF(OR(J557="",X557=0),"",J557*X557)</f>
        <v>0</v>
      </c>
      <c r="Z557" s="17">
        <f>IF(D557="","",B557&amp;"#"&amp;COUNTIFS($B$5:B557,B557))</f>
        <v>0</v>
      </c>
      <c r="AA557" s="17">
        <f>IF(D557="","",B557&amp;"|"&amp;D557)</f>
        <v>0</v>
      </c>
      <c r="AB557" s="31">
        <f>IF(D557="","",IF(B557="","Add - which recipe?",IF(COUNTIFS(Ingredients!$B$5:$B$304,D557)=0,"Missing - not in the Ingredients tab",IF(E557="","Add - no quantity",IF(F557="","Add - no unit",IF(K557&lt;&gt;L557,"Check - recipe in "&amp;K557&amp;", priced in "&amp;L557,IF(COUNTIFS($AA$5:$AA$1204,AA557)&gt;1,"Duplicate - same ingredient twice","OK")))))))</f>
        <v>0</v>
      </c>
    </row>
    <row r="558" spans="1:28">
      <c r="A558" s="39">
        <f>IF(D558="","","RL-"&amp;TEXT(ROW()-4,"0000"))</f>
        <v>0</v>
      </c>
      <c r="C558" s="17">
        <f>IF(B558="","",IFERROR(INDEX(Recipes!$B$5:$B$204,MATCH(B558,Recipes!$A$5:$A$204,0)),"Not found"))</f>
        <v>0</v>
      </c>
      <c r="J558" s="45">
        <f>IF(E558="","",IFERROR(E558*INDEX(UnitFactors,MATCH(F558,UnitNames,0)),""))</f>
        <v>0</v>
      </c>
      <c r="K558" s="17">
        <f>IF(F558="","",IFERROR(INDEX(UnitBases,MATCH(F558,UnitNames,0)),"?"))</f>
        <v>0</v>
      </c>
      <c r="L558" s="17">
        <f>IF(D558="","",IFERROR(INDEX(Ingredients!$G$5:$G$304,MATCH(D558,Ingredients!$B$5:$B$304,0)),"Add to Ingredients"))</f>
        <v>0</v>
      </c>
      <c r="M558" s="25">
        <f>IF(D558="","",IFERROR(INDEX(Ingredients!$J$5:$J$304,MATCH(D558,Ingredients!$B$5:$B$304,0)),"Add to Ingredients"))</f>
        <v>0</v>
      </c>
      <c r="N558" s="25">
        <f>IF(OR(J558="",M558="",NOT(ISNUMBER(M558))),"",IF(K558&lt;&gt;L558,"",J558*M558))</f>
        <v>0</v>
      </c>
      <c r="O558" s="25">
        <f>IF(N558="","",IFERROR(N558/INDEX(Recipes!$G$5:$G$204,MATCH(B558,Recipes!$A$5:$A$204,0)),""))</f>
        <v>0</v>
      </c>
      <c r="P558" s="30">
        <f>IF(J558="","",IF(K558="each",J558,J558/100))</f>
        <v>0</v>
      </c>
      <c r="Q558" s="30">
        <f>IFERROR(IF(P558="","",P558*INDEX(Ingredients!$P$5:$P$304,MATCH(D558,Ingredients!$B$5:$B$304,0))),"")</f>
        <v>0</v>
      </c>
      <c r="R558" s="45">
        <f>IFERROR(IF(P558="","",P558*INDEX(Ingredients!$Q$5:$Q$304,MATCH(D558,Ingredients!$B$5:$B$304,0))),"")</f>
        <v>0</v>
      </c>
      <c r="S558" s="45">
        <f>IFERROR(IF(P558="","",P558*INDEX(Ingredients!$R$5:$R$304,MATCH(D558,Ingredients!$B$5:$B$304,0))),"")</f>
        <v>0</v>
      </c>
      <c r="T558" s="45">
        <f>IFERROR(IF(P558="","",P558*INDEX(Ingredients!$S$5:$S$304,MATCH(D558,Ingredients!$B$5:$B$304,0))),"")</f>
        <v>0</v>
      </c>
      <c r="U558" s="45">
        <f>IFERROR(IF(P558="","",P558*INDEX(Ingredients!$T$5:$T$304,MATCH(D558,Ingredients!$B$5:$B$304,0))),"")</f>
        <v>0</v>
      </c>
      <c r="V558" s="17">
        <f>IF(D558="","",IFERROR(INDEX(Ingredients!$W$5:$W$304,MATCH(D558,Ingredients!$B$5:$B$304,0)),"Add to Ingredients"))</f>
        <v>0</v>
      </c>
      <c r="W558" s="17">
        <f>IF(D558="","",IFERROR(INDEX(Ingredients!$C$5:$C$304,MATCH(D558,Ingredients!$B$5:$B$304,0)),"Add to Ingredients"))</f>
        <v>0</v>
      </c>
      <c r="X558" s="45">
        <f>IFERROR(INDEX(Recipes!$AT$5:$AT$204,MATCH(B558,Recipes!$A$5:$A$204,0)),0)</f>
        <v>0</v>
      </c>
      <c r="Y558" s="45">
        <f>IF(OR(J558="",X558=0),"",J558*X558)</f>
        <v>0</v>
      </c>
      <c r="Z558" s="17">
        <f>IF(D558="","",B558&amp;"#"&amp;COUNTIFS($B$5:B558,B558))</f>
        <v>0</v>
      </c>
      <c r="AA558" s="17">
        <f>IF(D558="","",B558&amp;"|"&amp;D558)</f>
        <v>0</v>
      </c>
      <c r="AB558" s="31">
        <f>IF(D558="","",IF(B558="","Add - which recipe?",IF(COUNTIFS(Ingredients!$B$5:$B$304,D558)=0,"Missing - not in the Ingredients tab",IF(E558="","Add - no quantity",IF(F558="","Add - no unit",IF(K558&lt;&gt;L558,"Check - recipe in "&amp;K558&amp;", priced in "&amp;L558,IF(COUNTIFS($AA$5:$AA$1204,AA558)&gt;1,"Duplicate - same ingredient twice","OK")))))))</f>
        <v>0</v>
      </c>
    </row>
    <row r="559" spans="1:28">
      <c r="A559" s="39">
        <f>IF(D559="","","RL-"&amp;TEXT(ROW()-4,"0000"))</f>
        <v>0</v>
      </c>
      <c r="C559" s="17">
        <f>IF(B559="","",IFERROR(INDEX(Recipes!$B$5:$B$204,MATCH(B559,Recipes!$A$5:$A$204,0)),"Not found"))</f>
        <v>0</v>
      </c>
      <c r="J559" s="45">
        <f>IF(E559="","",IFERROR(E559*INDEX(UnitFactors,MATCH(F559,UnitNames,0)),""))</f>
        <v>0</v>
      </c>
      <c r="K559" s="17">
        <f>IF(F559="","",IFERROR(INDEX(UnitBases,MATCH(F559,UnitNames,0)),"?"))</f>
        <v>0</v>
      </c>
      <c r="L559" s="17">
        <f>IF(D559="","",IFERROR(INDEX(Ingredients!$G$5:$G$304,MATCH(D559,Ingredients!$B$5:$B$304,0)),"Add to Ingredients"))</f>
        <v>0</v>
      </c>
      <c r="M559" s="25">
        <f>IF(D559="","",IFERROR(INDEX(Ingredients!$J$5:$J$304,MATCH(D559,Ingredients!$B$5:$B$304,0)),"Add to Ingredients"))</f>
        <v>0</v>
      </c>
      <c r="N559" s="25">
        <f>IF(OR(J559="",M559="",NOT(ISNUMBER(M559))),"",IF(K559&lt;&gt;L559,"",J559*M559))</f>
        <v>0</v>
      </c>
      <c r="O559" s="25">
        <f>IF(N559="","",IFERROR(N559/INDEX(Recipes!$G$5:$G$204,MATCH(B559,Recipes!$A$5:$A$204,0)),""))</f>
        <v>0</v>
      </c>
      <c r="P559" s="30">
        <f>IF(J559="","",IF(K559="each",J559,J559/100))</f>
        <v>0</v>
      </c>
      <c r="Q559" s="30">
        <f>IFERROR(IF(P559="","",P559*INDEX(Ingredients!$P$5:$P$304,MATCH(D559,Ingredients!$B$5:$B$304,0))),"")</f>
        <v>0</v>
      </c>
      <c r="R559" s="45">
        <f>IFERROR(IF(P559="","",P559*INDEX(Ingredients!$Q$5:$Q$304,MATCH(D559,Ingredients!$B$5:$B$304,0))),"")</f>
        <v>0</v>
      </c>
      <c r="S559" s="45">
        <f>IFERROR(IF(P559="","",P559*INDEX(Ingredients!$R$5:$R$304,MATCH(D559,Ingredients!$B$5:$B$304,0))),"")</f>
        <v>0</v>
      </c>
      <c r="T559" s="45">
        <f>IFERROR(IF(P559="","",P559*INDEX(Ingredients!$S$5:$S$304,MATCH(D559,Ingredients!$B$5:$B$304,0))),"")</f>
        <v>0</v>
      </c>
      <c r="U559" s="45">
        <f>IFERROR(IF(P559="","",P559*INDEX(Ingredients!$T$5:$T$304,MATCH(D559,Ingredients!$B$5:$B$304,0))),"")</f>
        <v>0</v>
      </c>
      <c r="V559" s="17">
        <f>IF(D559="","",IFERROR(INDEX(Ingredients!$W$5:$W$304,MATCH(D559,Ingredients!$B$5:$B$304,0)),"Add to Ingredients"))</f>
        <v>0</v>
      </c>
      <c r="W559" s="17">
        <f>IF(D559="","",IFERROR(INDEX(Ingredients!$C$5:$C$304,MATCH(D559,Ingredients!$B$5:$B$304,0)),"Add to Ingredients"))</f>
        <v>0</v>
      </c>
      <c r="X559" s="45">
        <f>IFERROR(INDEX(Recipes!$AT$5:$AT$204,MATCH(B559,Recipes!$A$5:$A$204,0)),0)</f>
        <v>0</v>
      </c>
      <c r="Y559" s="45">
        <f>IF(OR(J559="",X559=0),"",J559*X559)</f>
        <v>0</v>
      </c>
      <c r="Z559" s="17">
        <f>IF(D559="","",B559&amp;"#"&amp;COUNTIFS($B$5:B559,B559))</f>
        <v>0</v>
      </c>
      <c r="AA559" s="17">
        <f>IF(D559="","",B559&amp;"|"&amp;D559)</f>
        <v>0</v>
      </c>
      <c r="AB559" s="31">
        <f>IF(D559="","",IF(B559="","Add - which recipe?",IF(COUNTIFS(Ingredients!$B$5:$B$304,D559)=0,"Missing - not in the Ingredients tab",IF(E559="","Add - no quantity",IF(F559="","Add - no unit",IF(K559&lt;&gt;L559,"Check - recipe in "&amp;K559&amp;", priced in "&amp;L559,IF(COUNTIFS($AA$5:$AA$1204,AA559)&gt;1,"Duplicate - same ingredient twice","OK")))))))</f>
        <v>0</v>
      </c>
    </row>
    <row r="560" spans="1:28">
      <c r="A560" s="39">
        <f>IF(D560="","","RL-"&amp;TEXT(ROW()-4,"0000"))</f>
        <v>0</v>
      </c>
      <c r="C560" s="17">
        <f>IF(B560="","",IFERROR(INDEX(Recipes!$B$5:$B$204,MATCH(B560,Recipes!$A$5:$A$204,0)),"Not found"))</f>
        <v>0</v>
      </c>
      <c r="J560" s="45">
        <f>IF(E560="","",IFERROR(E560*INDEX(UnitFactors,MATCH(F560,UnitNames,0)),""))</f>
        <v>0</v>
      </c>
      <c r="K560" s="17">
        <f>IF(F560="","",IFERROR(INDEX(UnitBases,MATCH(F560,UnitNames,0)),"?"))</f>
        <v>0</v>
      </c>
      <c r="L560" s="17">
        <f>IF(D560="","",IFERROR(INDEX(Ingredients!$G$5:$G$304,MATCH(D560,Ingredients!$B$5:$B$304,0)),"Add to Ingredients"))</f>
        <v>0</v>
      </c>
      <c r="M560" s="25">
        <f>IF(D560="","",IFERROR(INDEX(Ingredients!$J$5:$J$304,MATCH(D560,Ingredients!$B$5:$B$304,0)),"Add to Ingredients"))</f>
        <v>0</v>
      </c>
      <c r="N560" s="25">
        <f>IF(OR(J560="",M560="",NOT(ISNUMBER(M560))),"",IF(K560&lt;&gt;L560,"",J560*M560))</f>
        <v>0</v>
      </c>
      <c r="O560" s="25">
        <f>IF(N560="","",IFERROR(N560/INDEX(Recipes!$G$5:$G$204,MATCH(B560,Recipes!$A$5:$A$204,0)),""))</f>
        <v>0</v>
      </c>
      <c r="P560" s="30">
        <f>IF(J560="","",IF(K560="each",J560,J560/100))</f>
        <v>0</v>
      </c>
      <c r="Q560" s="30">
        <f>IFERROR(IF(P560="","",P560*INDEX(Ingredients!$P$5:$P$304,MATCH(D560,Ingredients!$B$5:$B$304,0))),"")</f>
        <v>0</v>
      </c>
      <c r="R560" s="45">
        <f>IFERROR(IF(P560="","",P560*INDEX(Ingredients!$Q$5:$Q$304,MATCH(D560,Ingredients!$B$5:$B$304,0))),"")</f>
        <v>0</v>
      </c>
      <c r="S560" s="45">
        <f>IFERROR(IF(P560="","",P560*INDEX(Ingredients!$R$5:$R$304,MATCH(D560,Ingredients!$B$5:$B$304,0))),"")</f>
        <v>0</v>
      </c>
      <c r="T560" s="45">
        <f>IFERROR(IF(P560="","",P560*INDEX(Ingredients!$S$5:$S$304,MATCH(D560,Ingredients!$B$5:$B$304,0))),"")</f>
        <v>0</v>
      </c>
      <c r="U560" s="45">
        <f>IFERROR(IF(P560="","",P560*INDEX(Ingredients!$T$5:$T$304,MATCH(D560,Ingredients!$B$5:$B$304,0))),"")</f>
        <v>0</v>
      </c>
      <c r="V560" s="17">
        <f>IF(D560="","",IFERROR(INDEX(Ingredients!$W$5:$W$304,MATCH(D560,Ingredients!$B$5:$B$304,0)),"Add to Ingredients"))</f>
        <v>0</v>
      </c>
      <c r="W560" s="17">
        <f>IF(D560="","",IFERROR(INDEX(Ingredients!$C$5:$C$304,MATCH(D560,Ingredients!$B$5:$B$304,0)),"Add to Ingredients"))</f>
        <v>0</v>
      </c>
      <c r="X560" s="45">
        <f>IFERROR(INDEX(Recipes!$AT$5:$AT$204,MATCH(B560,Recipes!$A$5:$A$204,0)),0)</f>
        <v>0</v>
      </c>
      <c r="Y560" s="45">
        <f>IF(OR(J560="",X560=0),"",J560*X560)</f>
        <v>0</v>
      </c>
      <c r="Z560" s="17">
        <f>IF(D560="","",B560&amp;"#"&amp;COUNTIFS($B$5:B560,B560))</f>
        <v>0</v>
      </c>
      <c r="AA560" s="17">
        <f>IF(D560="","",B560&amp;"|"&amp;D560)</f>
        <v>0</v>
      </c>
      <c r="AB560" s="31">
        <f>IF(D560="","",IF(B560="","Add - which recipe?",IF(COUNTIFS(Ingredients!$B$5:$B$304,D560)=0,"Missing - not in the Ingredients tab",IF(E560="","Add - no quantity",IF(F560="","Add - no unit",IF(K560&lt;&gt;L560,"Check - recipe in "&amp;K560&amp;", priced in "&amp;L560,IF(COUNTIFS($AA$5:$AA$1204,AA560)&gt;1,"Duplicate - same ingredient twice","OK")))))))</f>
        <v>0</v>
      </c>
    </row>
    <row r="561" spans="1:28">
      <c r="A561" s="39">
        <f>IF(D561="","","RL-"&amp;TEXT(ROW()-4,"0000"))</f>
        <v>0</v>
      </c>
      <c r="C561" s="17">
        <f>IF(B561="","",IFERROR(INDEX(Recipes!$B$5:$B$204,MATCH(B561,Recipes!$A$5:$A$204,0)),"Not found"))</f>
        <v>0</v>
      </c>
      <c r="J561" s="45">
        <f>IF(E561="","",IFERROR(E561*INDEX(UnitFactors,MATCH(F561,UnitNames,0)),""))</f>
        <v>0</v>
      </c>
      <c r="K561" s="17">
        <f>IF(F561="","",IFERROR(INDEX(UnitBases,MATCH(F561,UnitNames,0)),"?"))</f>
        <v>0</v>
      </c>
      <c r="L561" s="17">
        <f>IF(D561="","",IFERROR(INDEX(Ingredients!$G$5:$G$304,MATCH(D561,Ingredients!$B$5:$B$304,0)),"Add to Ingredients"))</f>
        <v>0</v>
      </c>
      <c r="M561" s="25">
        <f>IF(D561="","",IFERROR(INDEX(Ingredients!$J$5:$J$304,MATCH(D561,Ingredients!$B$5:$B$304,0)),"Add to Ingredients"))</f>
        <v>0</v>
      </c>
      <c r="N561" s="25">
        <f>IF(OR(J561="",M561="",NOT(ISNUMBER(M561))),"",IF(K561&lt;&gt;L561,"",J561*M561))</f>
        <v>0</v>
      </c>
      <c r="O561" s="25">
        <f>IF(N561="","",IFERROR(N561/INDEX(Recipes!$G$5:$G$204,MATCH(B561,Recipes!$A$5:$A$204,0)),""))</f>
        <v>0</v>
      </c>
      <c r="P561" s="30">
        <f>IF(J561="","",IF(K561="each",J561,J561/100))</f>
        <v>0</v>
      </c>
      <c r="Q561" s="30">
        <f>IFERROR(IF(P561="","",P561*INDEX(Ingredients!$P$5:$P$304,MATCH(D561,Ingredients!$B$5:$B$304,0))),"")</f>
        <v>0</v>
      </c>
      <c r="R561" s="45">
        <f>IFERROR(IF(P561="","",P561*INDEX(Ingredients!$Q$5:$Q$304,MATCH(D561,Ingredients!$B$5:$B$304,0))),"")</f>
        <v>0</v>
      </c>
      <c r="S561" s="45">
        <f>IFERROR(IF(P561="","",P561*INDEX(Ingredients!$R$5:$R$304,MATCH(D561,Ingredients!$B$5:$B$304,0))),"")</f>
        <v>0</v>
      </c>
      <c r="T561" s="45">
        <f>IFERROR(IF(P561="","",P561*INDEX(Ingredients!$S$5:$S$304,MATCH(D561,Ingredients!$B$5:$B$304,0))),"")</f>
        <v>0</v>
      </c>
      <c r="U561" s="45">
        <f>IFERROR(IF(P561="","",P561*INDEX(Ingredients!$T$5:$T$304,MATCH(D561,Ingredients!$B$5:$B$304,0))),"")</f>
        <v>0</v>
      </c>
      <c r="V561" s="17">
        <f>IF(D561="","",IFERROR(INDEX(Ingredients!$W$5:$W$304,MATCH(D561,Ingredients!$B$5:$B$304,0)),"Add to Ingredients"))</f>
        <v>0</v>
      </c>
      <c r="W561" s="17">
        <f>IF(D561="","",IFERROR(INDEX(Ingredients!$C$5:$C$304,MATCH(D561,Ingredients!$B$5:$B$304,0)),"Add to Ingredients"))</f>
        <v>0</v>
      </c>
      <c r="X561" s="45">
        <f>IFERROR(INDEX(Recipes!$AT$5:$AT$204,MATCH(B561,Recipes!$A$5:$A$204,0)),0)</f>
        <v>0</v>
      </c>
      <c r="Y561" s="45">
        <f>IF(OR(J561="",X561=0),"",J561*X561)</f>
        <v>0</v>
      </c>
      <c r="Z561" s="17">
        <f>IF(D561="","",B561&amp;"#"&amp;COUNTIFS($B$5:B561,B561))</f>
        <v>0</v>
      </c>
      <c r="AA561" s="17">
        <f>IF(D561="","",B561&amp;"|"&amp;D561)</f>
        <v>0</v>
      </c>
      <c r="AB561" s="31">
        <f>IF(D561="","",IF(B561="","Add - which recipe?",IF(COUNTIFS(Ingredients!$B$5:$B$304,D561)=0,"Missing - not in the Ingredients tab",IF(E561="","Add - no quantity",IF(F561="","Add - no unit",IF(K561&lt;&gt;L561,"Check - recipe in "&amp;K561&amp;", priced in "&amp;L561,IF(COUNTIFS($AA$5:$AA$1204,AA561)&gt;1,"Duplicate - same ingredient twice","OK")))))))</f>
        <v>0</v>
      </c>
    </row>
    <row r="562" spans="1:28">
      <c r="A562" s="39">
        <f>IF(D562="","","RL-"&amp;TEXT(ROW()-4,"0000"))</f>
        <v>0</v>
      </c>
      <c r="C562" s="17">
        <f>IF(B562="","",IFERROR(INDEX(Recipes!$B$5:$B$204,MATCH(B562,Recipes!$A$5:$A$204,0)),"Not found"))</f>
        <v>0</v>
      </c>
      <c r="J562" s="45">
        <f>IF(E562="","",IFERROR(E562*INDEX(UnitFactors,MATCH(F562,UnitNames,0)),""))</f>
        <v>0</v>
      </c>
      <c r="K562" s="17">
        <f>IF(F562="","",IFERROR(INDEX(UnitBases,MATCH(F562,UnitNames,0)),"?"))</f>
        <v>0</v>
      </c>
      <c r="L562" s="17">
        <f>IF(D562="","",IFERROR(INDEX(Ingredients!$G$5:$G$304,MATCH(D562,Ingredients!$B$5:$B$304,0)),"Add to Ingredients"))</f>
        <v>0</v>
      </c>
      <c r="M562" s="25">
        <f>IF(D562="","",IFERROR(INDEX(Ingredients!$J$5:$J$304,MATCH(D562,Ingredients!$B$5:$B$304,0)),"Add to Ingredients"))</f>
        <v>0</v>
      </c>
      <c r="N562" s="25">
        <f>IF(OR(J562="",M562="",NOT(ISNUMBER(M562))),"",IF(K562&lt;&gt;L562,"",J562*M562))</f>
        <v>0</v>
      </c>
      <c r="O562" s="25">
        <f>IF(N562="","",IFERROR(N562/INDEX(Recipes!$G$5:$G$204,MATCH(B562,Recipes!$A$5:$A$204,0)),""))</f>
        <v>0</v>
      </c>
      <c r="P562" s="30">
        <f>IF(J562="","",IF(K562="each",J562,J562/100))</f>
        <v>0</v>
      </c>
      <c r="Q562" s="30">
        <f>IFERROR(IF(P562="","",P562*INDEX(Ingredients!$P$5:$P$304,MATCH(D562,Ingredients!$B$5:$B$304,0))),"")</f>
        <v>0</v>
      </c>
      <c r="R562" s="45">
        <f>IFERROR(IF(P562="","",P562*INDEX(Ingredients!$Q$5:$Q$304,MATCH(D562,Ingredients!$B$5:$B$304,0))),"")</f>
        <v>0</v>
      </c>
      <c r="S562" s="45">
        <f>IFERROR(IF(P562="","",P562*INDEX(Ingredients!$R$5:$R$304,MATCH(D562,Ingredients!$B$5:$B$304,0))),"")</f>
        <v>0</v>
      </c>
      <c r="T562" s="45">
        <f>IFERROR(IF(P562="","",P562*INDEX(Ingredients!$S$5:$S$304,MATCH(D562,Ingredients!$B$5:$B$304,0))),"")</f>
        <v>0</v>
      </c>
      <c r="U562" s="45">
        <f>IFERROR(IF(P562="","",P562*INDEX(Ingredients!$T$5:$T$304,MATCH(D562,Ingredients!$B$5:$B$304,0))),"")</f>
        <v>0</v>
      </c>
      <c r="V562" s="17">
        <f>IF(D562="","",IFERROR(INDEX(Ingredients!$W$5:$W$304,MATCH(D562,Ingredients!$B$5:$B$304,0)),"Add to Ingredients"))</f>
        <v>0</v>
      </c>
      <c r="W562" s="17">
        <f>IF(D562="","",IFERROR(INDEX(Ingredients!$C$5:$C$304,MATCH(D562,Ingredients!$B$5:$B$304,0)),"Add to Ingredients"))</f>
        <v>0</v>
      </c>
      <c r="X562" s="45">
        <f>IFERROR(INDEX(Recipes!$AT$5:$AT$204,MATCH(B562,Recipes!$A$5:$A$204,0)),0)</f>
        <v>0</v>
      </c>
      <c r="Y562" s="45">
        <f>IF(OR(J562="",X562=0),"",J562*X562)</f>
        <v>0</v>
      </c>
      <c r="Z562" s="17">
        <f>IF(D562="","",B562&amp;"#"&amp;COUNTIFS($B$5:B562,B562))</f>
        <v>0</v>
      </c>
      <c r="AA562" s="17">
        <f>IF(D562="","",B562&amp;"|"&amp;D562)</f>
        <v>0</v>
      </c>
      <c r="AB562" s="31">
        <f>IF(D562="","",IF(B562="","Add - which recipe?",IF(COUNTIFS(Ingredients!$B$5:$B$304,D562)=0,"Missing - not in the Ingredients tab",IF(E562="","Add - no quantity",IF(F562="","Add - no unit",IF(K562&lt;&gt;L562,"Check - recipe in "&amp;K562&amp;", priced in "&amp;L562,IF(COUNTIFS($AA$5:$AA$1204,AA562)&gt;1,"Duplicate - same ingredient twice","OK")))))))</f>
        <v>0</v>
      </c>
    </row>
    <row r="563" spans="1:28">
      <c r="A563" s="39">
        <f>IF(D563="","","RL-"&amp;TEXT(ROW()-4,"0000"))</f>
        <v>0</v>
      </c>
      <c r="C563" s="17">
        <f>IF(B563="","",IFERROR(INDEX(Recipes!$B$5:$B$204,MATCH(B563,Recipes!$A$5:$A$204,0)),"Not found"))</f>
        <v>0</v>
      </c>
      <c r="J563" s="45">
        <f>IF(E563="","",IFERROR(E563*INDEX(UnitFactors,MATCH(F563,UnitNames,0)),""))</f>
        <v>0</v>
      </c>
      <c r="K563" s="17">
        <f>IF(F563="","",IFERROR(INDEX(UnitBases,MATCH(F563,UnitNames,0)),"?"))</f>
        <v>0</v>
      </c>
      <c r="L563" s="17">
        <f>IF(D563="","",IFERROR(INDEX(Ingredients!$G$5:$G$304,MATCH(D563,Ingredients!$B$5:$B$304,0)),"Add to Ingredients"))</f>
        <v>0</v>
      </c>
      <c r="M563" s="25">
        <f>IF(D563="","",IFERROR(INDEX(Ingredients!$J$5:$J$304,MATCH(D563,Ingredients!$B$5:$B$304,0)),"Add to Ingredients"))</f>
        <v>0</v>
      </c>
      <c r="N563" s="25">
        <f>IF(OR(J563="",M563="",NOT(ISNUMBER(M563))),"",IF(K563&lt;&gt;L563,"",J563*M563))</f>
        <v>0</v>
      </c>
      <c r="O563" s="25">
        <f>IF(N563="","",IFERROR(N563/INDEX(Recipes!$G$5:$G$204,MATCH(B563,Recipes!$A$5:$A$204,0)),""))</f>
        <v>0</v>
      </c>
      <c r="P563" s="30">
        <f>IF(J563="","",IF(K563="each",J563,J563/100))</f>
        <v>0</v>
      </c>
      <c r="Q563" s="30">
        <f>IFERROR(IF(P563="","",P563*INDEX(Ingredients!$P$5:$P$304,MATCH(D563,Ingredients!$B$5:$B$304,0))),"")</f>
        <v>0</v>
      </c>
      <c r="R563" s="45">
        <f>IFERROR(IF(P563="","",P563*INDEX(Ingredients!$Q$5:$Q$304,MATCH(D563,Ingredients!$B$5:$B$304,0))),"")</f>
        <v>0</v>
      </c>
      <c r="S563" s="45">
        <f>IFERROR(IF(P563="","",P563*INDEX(Ingredients!$R$5:$R$304,MATCH(D563,Ingredients!$B$5:$B$304,0))),"")</f>
        <v>0</v>
      </c>
      <c r="T563" s="45">
        <f>IFERROR(IF(P563="","",P563*INDEX(Ingredients!$S$5:$S$304,MATCH(D563,Ingredients!$B$5:$B$304,0))),"")</f>
        <v>0</v>
      </c>
      <c r="U563" s="45">
        <f>IFERROR(IF(P563="","",P563*INDEX(Ingredients!$T$5:$T$304,MATCH(D563,Ingredients!$B$5:$B$304,0))),"")</f>
        <v>0</v>
      </c>
      <c r="V563" s="17">
        <f>IF(D563="","",IFERROR(INDEX(Ingredients!$W$5:$W$304,MATCH(D563,Ingredients!$B$5:$B$304,0)),"Add to Ingredients"))</f>
        <v>0</v>
      </c>
      <c r="W563" s="17">
        <f>IF(D563="","",IFERROR(INDEX(Ingredients!$C$5:$C$304,MATCH(D563,Ingredients!$B$5:$B$304,0)),"Add to Ingredients"))</f>
        <v>0</v>
      </c>
      <c r="X563" s="45">
        <f>IFERROR(INDEX(Recipes!$AT$5:$AT$204,MATCH(B563,Recipes!$A$5:$A$204,0)),0)</f>
        <v>0</v>
      </c>
      <c r="Y563" s="45">
        <f>IF(OR(J563="",X563=0),"",J563*X563)</f>
        <v>0</v>
      </c>
      <c r="Z563" s="17">
        <f>IF(D563="","",B563&amp;"#"&amp;COUNTIFS($B$5:B563,B563))</f>
        <v>0</v>
      </c>
      <c r="AA563" s="17">
        <f>IF(D563="","",B563&amp;"|"&amp;D563)</f>
        <v>0</v>
      </c>
      <c r="AB563" s="31">
        <f>IF(D563="","",IF(B563="","Add - which recipe?",IF(COUNTIFS(Ingredients!$B$5:$B$304,D563)=0,"Missing - not in the Ingredients tab",IF(E563="","Add - no quantity",IF(F563="","Add - no unit",IF(K563&lt;&gt;L563,"Check - recipe in "&amp;K563&amp;", priced in "&amp;L563,IF(COUNTIFS($AA$5:$AA$1204,AA563)&gt;1,"Duplicate - same ingredient twice","OK")))))))</f>
        <v>0</v>
      </c>
    </row>
    <row r="564" spans="1:28">
      <c r="A564" s="39">
        <f>IF(D564="","","RL-"&amp;TEXT(ROW()-4,"0000"))</f>
        <v>0</v>
      </c>
      <c r="C564" s="17">
        <f>IF(B564="","",IFERROR(INDEX(Recipes!$B$5:$B$204,MATCH(B564,Recipes!$A$5:$A$204,0)),"Not found"))</f>
        <v>0</v>
      </c>
      <c r="J564" s="45">
        <f>IF(E564="","",IFERROR(E564*INDEX(UnitFactors,MATCH(F564,UnitNames,0)),""))</f>
        <v>0</v>
      </c>
      <c r="K564" s="17">
        <f>IF(F564="","",IFERROR(INDEX(UnitBases,MATCH(F564,UnitNames,0)),"?"))</f>
        <v>0</v>
      </c>
      <c r="L564" s="17">
        <f>IF(D564="","",IFERROR(INDEX(Ingredients!$G$5:$G$304,MATCH(D564,Ingredients!$B$5:$B$304,0)),"Add to Ingredients"))</f>
        <v>0</v>
      </c>
      <c r="M564" s="25">
        <f>IF(D564="","",IFERROR(INDEX(Ingredients!$J$5:$J$304,MATCH(D564,Ingredients!$B$5:$B$304,0)),"Add to Ingredients"))</f>
        <v>0</v>
      </c>
      <c r="N564" s="25">
        <f>IF(OR(J564="",M564="",NOT(ISNUMBER(M564))),"",IF(K564&lt;&gt;L564,"",J564*M564))</f>
        <v>0</v>
      </c>
      <c r="O564" s="25">
        <f>IF(N564="","",IFERROR(N564/INDEX(Recipes!$G$5:$G$204,MATCH(B564,Recipes!$A$5:$A$204,0)),""))</f>
        <v>0</v>
      </c>
      <c r="P564" s="30">
        <f>IF(J564="","",IF(K564="each",J564,J564/100))</f>
        <v>0</v>
      </c>
      <c r="Q564" s="30">
        <f>IFERROR(IF(P564="","",P564*INDEX(Ingredients!$P$5:$P$304,MATCH(D564,Ingredients!$B$5:$B$304,0))),"")</f>
        <v>0</v>
      </c>
      <c r="R564" s="45">
        <f>IFERROR(IF(P564="","",P564*INDEX(Ingredients!$Q$5:$Q$304,MATCH(D564,Ingredients!$B$5:$B$304,0))),"")</f>
        <v>0</v>
      </c>
      <c r="S564" s="45">
        <f>IFERROR(IF(P564="","",P564*INDEX(Ingredients!$R$5:$R$304,MATCH(D564,Ingredients!$B$5:$B$304,0))),"")</f>
        <v>0</v>
      </c>
      <c r="T564" s="45">
        <f>IFERROR(IF(P564="","",P564*INDEX(Ingredients!$S$5:$S$304,MATCH(D564,Ingredients!$B$5:$B$304,0))),"")</f>
        <v>0</v>
      </c>
      <c r="U564" s="45">
        <f>IFERROR(IF(P564="","",P564*INDEX(Ingredients!$T$5:$T$304,MATCH(D564,Ingredients!$B$5:$B$304,0))),"")</f>
        <v>0</v>
      </c>
      <c r="V564" s="17">
        <f>IF(D564="","",IFERROR(INDEX(Ingredients!$W$5:$W$304,MATCH(D564,Ingredients!$B$5:$B$304,0)),"Add to Ingredients"))</f>
        <v>0</v>
      </c>
      <c r="W564" s="17">
        <f>IF(D564="","",IFERROR(INDEX(Ingredients!$C$5:$C$304,MATCH(D564,Ingredients!$B$5:$B$304,0)),"Add to Ingredients"))</f>
        <v>0</v>
      </c>
      <c r="X564" s="45">
        <f>IFERROR(INDEX(Recipes!$AT$5:$AT$204,MATCH(B564,Recipes!$A$5:$A$204,0)),0)</f>
        <v>0</v>
      </c>
      <c r="Y564" s="45">
        <f>IF(OR(J564="",X564=0),"",J564*X564)</f>
        <v>0</v>
      </c>
      <c r="Z564" s="17">
        <f>IF(D564="","",B564&amp;"#"&amp;COUNTIFS($B$5:B564,B564))</f>
        <v>0</v>
      </c>
      <c r="AA564" s="17">
        <f>IF(D564="","",B564&amp;"|"&amp;D564)</f>
        <v>0</v>
      </c>
      <c r="AB564" s="31">
        <f>IF(D564="","",IF(B564="","Add - which recipe?",IF(COUNTIFS(Ingredients!$B$5:$B$304,D564)=0,"Missing - not in the Ingredients tab",IF(E564="","Add - no quantity",IF(F564="","Add - no unit",IF(K564&lt;&gt;L564,"Check - recipe in "&amp;K564&amp;", priced in "&amp;L564,IF(COUNTIFS($AA$5:$AA$1204,AA564)&gt;1,"Duplicate - same ingredient twice","OK")))))))</f>
        <v>0</v>
      </c>
    </row>
    <row r="565" spans="1:28">
      <c r="A565" s="39">
        <f>IF(D565="","","RL-"&amp;TEXT(ROW()-4,"0000"))</f>
        <v>0</v>
      </c>
      <c r="C565" s="17">
        <f>IF(B565="","",IFERROR(INDEX(Recipes!$B$5:$B$204,MATCH(B565,Recipes!$A$5:$A$204,0)),"Not found"))</f>
        <v>0</v>
      </c>
      <c r="J565" s="45">
        <f>IF(E565="","",IFERROR(E565*INDEX(UnitFactors,MATCH(F565,UnitNames,0)),""))</f>
        <v>0</v>
      </c>
      <c r="K565" s="17">
        <f>IF(F565="","",IFERROR(INDEX(UnitBases,MATCH(F565,UnitNames,0)),"?"))</f>
        <v>0</v>
      </c>
      <c r="L565" s="17">
        <f>IF(D565="","",IFERROR(INDEX(Ingredients!$G$5:$G$304,MATCH(D565,Ingredients!$B$5:$B$304,0)),"Add to Ingredients"))</f>
        <v>0</v>
      </c>
      <c r="M565" s="25">
        <f>IF(D565="","",IFERROR(INDEX(Ingredients!$J$5:$J$304,MATCH(D565,Ingredients!$B$5:$B$304,0)),"Add to Ingredients"))</f>
        <v>0</v>
      </c>
      <c r="N565" s="25">
        <f>IF(OR(J565="",M565="",NOT(ISNUMBER(M565))),"",IF(K565&lt;&gt;L565,"",J565*M565))</f>
        <v>0</v>
      </c>
      <c r="O565" s="25">
        <f>IF(N565="","",IFERROR(N565/INDEX(Recipes!$G$5:$G$204,MATCH(B565,Recipes!$A$5:$A$204,0)),""))</f>
        <v>0</v>
      </c>
      <c r="P565" s="30">
        <f>IF(J565="","",IF(K565="each",J565,J565/100))</f>
        <v>0</v>
      </c>
      <c r="Q565" s="30">
        <f>IFERROR(IF(P565="","",P565*INDEX(Ingredients!$P$5:$P$304,MATCH(D565,Ingredients!$B$5:$B$304,0))),"")</f>
        <v>0</v>
      </c>
      <c r="R565" s="45">
        <f>IFERROR(IF(P565="","",P565*INDEX(Ingredients!$Q$5:$Q$304,MATCH(D565,Ingredients!$B$5:$B$304,0))),"")</f>
        <v>0</v>
      </c>
      <c r="S565" s="45">
        <f>IFERROR(IF(P565="","",P565*INDEX(Ingredients!$R$5:$R$304,MATCH(D565,Ingredients!$B$5:$B$304,0))),"")</f>
        <v>0</v>
      </c>
      <c r="T565" s="45">
        <f>IFERROR(IF(P565="","",P565*INDEX(Ingredients!$S$5:$S$304,MATCH(D565,Ingredients!$B$5:$B$304,0))),"")</f>
        <v>0</v>
      </c>
      <c r="U565" s="45">
        <f>IFERROR(IF(P565="","",P565*INDEX(Ingredients!$T$5:$T$304,MATCH(D565,Ingredients!$B$5:$B$304,0))),"")</f>
        <v>0</v>
      </c>
      <c r="V565" s="17">
        <f>IF(D565="","",IFERROR(INDEX(Ingredients!$W$5:$W$304,MATCH(D565,Ingredients!$B$5:$B$304,0)),"Add to Ingredients"))</f>
        <v>0</v>
      </c>
      <c r="W565" s="17">
        <f>IF(D565="","",IFERROR(INDEX(Ingredients!$C$5:$C$304,MATCH(D565,Ingredients!$B$5:$B$304,0)),"Add to Ingredients"))</f>
        <v>0</v>
      </c>
      <c r="X565" s="45">
        <f>IFERROR(INDEX(Recipes!$AT$5:$AT$204,MATCH(B565,Recipes!$A$5:$A$204,0)),0)</f>
        <v>0</v>
      </c>
      <c r="Y565" s="45">
        <f>IF(OR(J565="",X565=0),"",J565*X565)</f>
        <v>0</v>
      </c>
      <c r="Z565" s="17">
        <f>IF(D565="","",B565&amp;"#"&amp;COUNTIFS($B$5:B565,B565))</f>
        <v>0</v>
      </c>
      <c r="AA565" s="17">
        <f>IF(D565="","",B565&amp;"|"&amp;D565)</f>
        <v>0</v>
      </c>
      <c r="AB565" s="31">
        <f>IF(D565="","",IF(B565="","Add - which recipe?",IF(COUNTIFS(Ingredients!$B$5:$B$304,D565)=0,"Missing - not in the Ingredients tab",IF(E565="","Add - no quantity",IF(F565="","Add - no unit",IF(K565&lt;&gt;L565,"Check - recipe in "&amp;K565&amp;", priced in "&amp;L565,IF(COUNTIFS($AA$5:$AA$1204,AA565)&gt;1,"Duplicate - same ingredient twice","OK")))))))</f>
        <v>0</v>
      </c>
    </row>
    <row r="566" spans="1:28">
      <c r="A566" s="39">
        <f>IF(D566="","","RL-"&amp;TEXT(ROW()-4,"0000"))</f>
        <v>0</v>
      </c>
      <c r="C566" s="17">
        <f>IF(B566="","",IFERROR(INDEX(Recipes!$B$5:$B$204,MATCH(B566,Recipes!$A$5:$A$204,0)),"Not found"))</f>
        <v>0</v>
      </c>
      <c r="J566" s="45">
        <f>IF(E566="","",IFERROR(E566*INDEX(UnitFactors,MATCH(F566,UnitNames,0)),""))</f>
        <v>0</v>
      </c>
      <c r="K566" s="17">
        <f>IF(F566="","",IFERROR(INDEX(UnitBases,MATCH(F566,UnitNames,0)),"?"))</f>
        <v>0</v>
      </c>
      <c r="L566" s="17">
        <f>IF(D566="","",IFERROR(INDEX(Ingredients!$G$5:$G$304,MATCH(D566,Ingredients!$B$5:$B$304,0)),"Add to Ingredients"))</f>
        <v>0</v>
      </c>
      <c r="M566" s="25">
        <f>IF(D566="","",IFERROR(INDEX(Ingredients!$J$5:$J$304,MATCH(D566,Ingredients!$B$5:$B$304,0)),"Add to Ingredients"))</f>
        <v>0</v>
      </c>
      <c r="N566" s="25">
        <f>IF(OR(J566="",M566="",NOT(ISNUMBER(M566))),"",IF(K566&lt;&gt;L566,"",J566*M566))</f>
        <v>0</v>
      </c>
      <c r="O566" s="25">
        <f>IF(N566="","",IFERROR(N566/INDEX(Recipes!$G$5:$G$204,MATCH(B566,Recipes!$A$5:$A$204,0)),""))</f>
        <v>0</v>
      </c>
      <c r="P566" s="30">
        <f>IF(J566="","",IF(K566="each",J566,J566/100))</f>
        <v>0</v>
      </c>
      <c r="Q566" s="30">
        <f>IFERROR(IF(P566="","",P566*INDEX(Ingredients!$P$5:$P$304,MATCH(D566,Ingredients!$B$5:$B$304,0))),"")</f>
        <v>0</v>
      </c>
      <c r="R566" s="45">
        <f>IFERROR(IF(P566="","",P566*INDEX(Ingredients!$Q$5:$Q$304,MATCH(D566,Ingredients!$B$5:$B$304,0))),"")</f>
        <v>0</v>
      </c>
      <c r="S566" s="45">
        <f>IFERROR(IF(P566="","",P566*INDEX(Ingredients!$R$5:$R$304,MATCH(D566,Ingredients!$B$5:$B$304,0))),"")</f>
        <v>0</v>
      </c>
      <c r="T566" s="45">
        <f>IFERROR(IF(P566="","",P566*INDEX(Ingredients!$S$5:$S$304,MATCH(D566,Ingredients!$B$5:$B$304,0))),"")</f>
        <v>0</v>
      </c>
      <c r="U566" s="45">
        <f>IFERROR(IF(P566="","",P566*INDEX(Ingredients!$T$5:$T$304,MATCH(D566,Ingredients!$B$5:$B$304,0))),"")</f>
        <v>0</v>
      </c>
      <c r="V566" s="17">
        <f>IF(D566="","",IFERROR(INDEX(Ingredients!$W$5:$W$304,MATCH(D566,Ingredients!$B$5:$B$304,0)),"Add to Ingredients"))</f>
        <v>0</v>
      </c>
      <c r="W566" s="17">
        <f>IF(D566="","",IFERROR(INDEX(Ingredients!$C$5:$C$304,MATCH(D566,Ingredients!$B$5:$B$304,0)),"Add to Ingredients"))</f>
        <v>0</v>
      </c>
      <c r="X566" s="45">
        <f>IFERROR(INDEX(Recipes!$AT$5:$AT$204,MATCH(B566,Recipes!$A$5:$A$204,0)),0)</f>
        <v>0</v>
      </c>
      <c r="Y566" s="45">
        <f>IF(OR(J566="",X566=0),"",J566*X566)</f>
        <v>0</v>
      </c>
      <c r="Z566" s="17">
        <f>IF(D566="","",B566&amp;"#"&amp;COUNTIFS($B$5:B566,B566))</f>
        <v>0</v>
      </c>
      <c r="AA566" s="17">
        <f>IF(D566="","",B566&amp;"|"&amp;D566)</f>
        <v>0</v>
      </c>
      <c r="AB566" s="31">
        <f>IF(D566="","",IF(B566="","Add - which recipe?",IF(COUNTIFS(Ingredients!$B$5:$B$304,D566)=0,"Missing - not in the Ingredients tab",IF(E566="","Add - no quantity",IF(F566="","Add - no unit",IF(K566&lt;&gt;L566,"Check - recipe in "&amp;K566&amp;", priced in "&amp;L566,IF(COUNTIFS($AA$5:$AA$1204,AA566)&gt;1,"Duplicate - same ingredient twice","OK")))))))</f>
        <v>0</v>
      </c>
    </row>
    <row r="567" spans="1:28">
      <c r="A567" s="39">
        <f>IF(D567="","","RL-"&amp;TEXT(ROW()-4,"0000"))</f>
        <v>0</v>
      </c>
      <c r="C567" s="17">
        <f>IF(B567="","",IFERROR(INDEX(Recipes!$B$5:$B$204,MATCH(B567,Recipes!$A$5:$A$204,0)),"Not found"))</f>
        <v>0</v>
      </c>
      <c r="J567" s="45">
        <f>IF(E567="","",IFERROR(E567*INDEX(UnitFactors,MATCH(F567,UnitNames,0)),""))</f>
        <v>0</v>
      </c>
      <c r="K567" s="17">
        <f>IF(F567="","",IFERROR(INDEX(UnitBases,MATCH(F567,UnitNames,0)),"?"))</f>
        <v>0</v>
      </c>
      <c r="L567" s="17">
        <f>IF(D567="","",IFERROR(INDEX(Ingredients!$G$5:$G$304,MATCH(D567,Ingredients!$B$5:$B$304,0)),"Add to Ingredients"))</f>
        <v>0</v>
      </c>
      <c r="M567" s="25">
        <f>IF(D567="","",IFERROR(INDEX(Ingredients!$J$5:$J$304,MATCH(D567,Ingredients!$B$5:$B$304,0)),"Add to Ingredients"))</f>
        <v>0</v>
      </c>
      <c r="N567" s="25">
        <f>IF(OR(J567="",M567="",NOT(ISNUMBER(M567))),"",IF(K567&lt;&gt;L567,"",J567*M567))</f>
        <v>0</v>
      </c>
      <c r="O567" s="25">
        <f>IF(N567="","",IFERROR(N567/INDEX(Recipes!$G$5:$G$204,MATCH(B567,Recipes!$A$5:$A$204,0)),""))</f>
        <v>0</v>
      </c>
      <c r="P567" s="30">
        <f>IF(J567="","",IF(K567="each",J567,J567/100))</f>
        <v>0</v>
      </c>
      <c r="Q567" s="30">
        <f>IFERROR(IF(P567="","",P567*INDEX(Ingredients!$P$5:$P$304,MATCH(D567,Ingredients!$B$5:$B$304,0))),"")</f>
        <v>0</v>
      </c>
      <c r="R567" s="45">
        <f>IFERROR(IF(P567="","",P567*INDEX(Ingredients!$Q$5:$Q$304,MATCH(D567,Ingredients!$B$5:$B$304,0))),"")</f>
        <v>0</v>
      </c>
      <c r="S567" s="45">
        <f>IFERROR(IF(P567="","",P567*INDEX(Ingredients!$R$5:$R$304,MATCH(D567,Ingredients!$B$5:$B$304,0))),"")</f>
        <v>0</v>
      </c>
      <c r="T567" s="45">
        <f>IFERROR(IF(P567="","",P567*INDEX(Ingredients!$S$5:$S$304,MATCH(D567,Ingredients!$B$5:$B$304,0))),"")</f>
        <v>0</v>
      </c>
      <c r="U567" s="45">
        <f>IFERROR(IF(P567="","",P567*INDEX(Ingredients!$T$5:$T$304,MATCH(D567,Ingredients!$B$5:$B$304,0))),"")</f>
        <v>0</v>
      </c>
      <c r="V567" s="17">
        <f>IF(D567="","",IFERROR(INDEX(Ingredients!$W$5:$W$304,MATCH(D567,Ingredients!$B$5:$B$304,0)),"Add to Ingredients"))</f>
        <v>0</v>
      </c>
      <c r="W567" s="17">
        <f>IF(D567="","",IFERROR(INDEX(Ingredients!$C$5:$C$304,MATCH(D567,Ingredients!$B$5:$B$304,0)),"Add to Ingredients"))</f>
        <v>0</v>
      </c>
      <c r="X567" s="45">
        <f>IFERROR(INDEX(Recipes!$AT$5:$AT$204,MATCH(B567,Recipes!$A$5:$A$204,0)),0)</f>
        <v>0</v>
      </c>
      <c r="Y567" s="45">
        <f>IF(OR(J567="",X567=0),"",J567*X567)</f>
        <v>0</v>
      </c>
      <c r="Z567" s="17">
        <f>IF(D567="","",B567&amp;"#"&amp;COUNTIFS($B$5:B567,B567))</f>
        <v>0</v>
      </c>
      <c r="AA567" s="17">
        <f>IF(D567="","",B567&amp;"|"&amp;D567)</f>
        <v>0</v>
      </c>
      <c r="AB567" s="31">
        <f>IF(D567="","",IF(B567="","Add - which recipe?",IF(COUNTIFS(Ingredients!$B$5:$B$304,D567)=0,"Missing - not in the Ingredients tab",IF(E567="","Add - no quantity",IF(F567="","Add - no unit",IF(K567&lt;&gt;L567,"Check - recipe in "&amp;K567&amp;", priced in "&amp;L567,IF(COUNTIFS($AA$5:$AA$1204,AA567)&gt;1,"Duplicate - same ingredient twice","OK")))))))</f>
        <v>0</v>
      </c>
    </row>
    <row r="568" spans="1:28">
      <c r="A568" s="39">
        <f>IF(D568="","","RL-"&amp;TEXT(ROW()-4,"0000"))</f>
        <v>0</v>
      </c>
      <c r="C568" s="17">
        <f>IF(B568="","",IFERROR(INDEX(Recipes!$B$5:$B$204,MATCH(B568,Recipes!$A$5:$A$204,0)),"Not found"))</f>
        <v>0</v>
      </c>
      <c r="J568" s="45">
        <f>IF(E568="","",IFERROR(E568*INDEX(UnitFactors,MATCH(F568,UnitNames,0)),""))</f>
        <v>0</v>
      </c>
      <c r="K568" s="17">
        <f>IF(F568="","",IFERROR(INDEX(UnitBases,MATCH(F568,UnitNames,0)),"?"))</f>
        <v>0</v>
      </c>
      <c r="L568" s="17">
        <f>IF(D568="","",IFERROR(INDEX(Ingredients!$G$5:$G$304,MATCH(D568,Ingredients!$B$5:$B$304,0)),"Add to Ingredients"))</f>
        <v>0</v>
      </c>
      <c r="M568" s="25">
        <f>IF(D568="","",IFERROR(INDEX(Ingredients!$J$5:$J$304,MATCH(D568,Ingredients!$B$5:$B$304,0)),"Add to Ingredients"))</f>
        <v>0</v>
      </c>
      <c r="N568" s="25">
        <f>IF(OR(J568="",M568="",NOT(ISNUMBER(M568))),"",IF(K568&lt;&gt;L568,"",J568*M568))</f>
        <v>0</v>
      </c>
      <c r="O568" s="25">
        <f>IF(N568="","",IFERROR(N568/INDEX(Recipes!$G$5:$G$204,MATCH(B568,Recipes!$A$5:$A$204,0)),""))</f>
        <v>0</v>
      </c>
      <c r="P568" s="30">
        <f>IF(J568="","",IF(K568="each",J568,J568/100))</f>
        <v>0</v>
      </c>
      <c r="Q568" s="30">
        <f>IFERROR(IF(P568="","",P568*INDEX(Ingredients!$P$5:$P$304,MATCH(D568,Ingredients!$B$5:$B$304,0))),"")</f>
        <v>0</v>
      </c>
      <c r="R568" s="45">
        <f>IFERROR(IF(P568="","",P568*INDEX(Ingredients!$Q$5:$Q$304,MATCH(D568,Ingredients!$B$5:$B$304,0))),"")</f>
        <v>0</v>
      </c>
      <c r="S568" s="45">
        <f>IFERROR(IF(P568="","",P568*INDEX(Ingredients!$R$5:$R$304,MATCH(D568,Ingredients!$B$5:$B$304,0))),"")</f>
        <v>0</v>
      </c>
      <c r="T568" s="45">
        <f>IFERROR(IF(P568="","",P568*INDEX(Ingredients!$S$5:$S$304,MATCH(D568,Ingredients!$B$5:$B$304,0))),"")</f>
        <v>0</v>
      </c>
      <c r="U568" s="45">
        <f>IFERROR(IF(P568="","",P568*INDEX(Ingredients!$T$5:$T$304,MATCH(D568,Ingredients!$B$5:$B$304,0))),"")</f>
        <v>0</v>
      </c>
      <c r="V568" s="17">
        <f>IF(D568="","",IFERROR(INDEX(Ingredients!$W$5:$W$304,MATCH(D568,Ingredients!$B$5:$B$304,0)),"Add to Ingredients"))</f>
        <v>0</v>
      </c>
      <c r="W568" s="17">
        <f>IF(D568="","",IFERROR(INDEX(Ingredients!$C$5:$C$304,MATCH(D568,Ingredients!$B$5:$B$304,0)),"Add to Ingredients"))</f>
        <v>0</v>
      </c>
      <c r="X568" s="45">
        <f>IFERROR(INDEX(Recipes!$AT$5:$AT$204,MATCH(B568,Recipes!$A$5:$A$204,0)),0)</f>
        <v>0</v>
      </c>
      <c r="Y568" s="45">
        <f>IF(OR(J568="",X568=0),"",J568*X568)</f>
        <v>0</v>
      </c>
      <c r="Z568" s="17">
        <f>IF(D568="","",B568&amp;"#"&amp;COUNTIFS($B$5:B568,B568))</f>
        <v>0</v>
      </c>
      <c r="AA568" s="17">
        <f>IF(D568="","",B568&amp;"|"&amp;D568)</f>
        <v>0</v>
      </c>
      <c r="AB568" s="31">
        <f>IF(D568="","",IF(B568="","Add - which recipe?",IF(COUNTIFS(Ingredients!$B$5:$B$304,D568)=0,"Missing - not in the Ingredients tab",IF(E568="","Add - no quantity",IF(F568="","Add - no unit",IF(K568&lt;&gt;L568,"Check - recipe in "&amp;K568&amp;", priced in "&amp;L568,IF(COUNTIFS($AA$5:$AA$1204,AA568)&gt;1,"Duplicate - same ingredient twice","OK")))))))</f>
        <v>0</v>
      </c>
    </row>
    <row r="569" spans="1:28">
      <c r="A569" s="39">
        <f>IF(D569="","","RL-"&amp;TEXT(ROW()-4,"0000"))</f>
        <v>0</v>
      </c>
      <c r="C569" s="17">
        <f>IF(B569="","",IFERROR(INDEX(Recipes!$B$5:$B$204,MATCH(B569,Recipes!$A$5:$A$204,0)),"Not found"))</f>
        <v>0</v>
      </c>
      <c r="J569" s="45">
        <f>IF(E569="","",IFERROR(E569*INDEX(UnitFactors,MATCH(F569,UnitNames,0)),""))</f>
        <v>0</v>
      </c>
      <c r="K569" s="17">
        <f>IF(F569="","",IFERROR(INDEX(UnitBases,MATCH(F569,UnitNames,0)),"?"))</f>
        <v>0</v>
      </c>
      <c r="L569" s="17">
        <f>IF(D569="","",IFERROR(INDEX(Ingredients!$G$5:$G$304,MATCH(D569,Ingredients!$B$5:$B$304,0)),"Add to Ingredients"))</f>
        <v>0</v>
      </c>
      <c r="M569" s="25">
        <f>IF(D569="","",IFERROR(INDEX(Ingredients!$J$5:$J$304,MATCH(D569,Ingredients!$B$5:$B$304,0)),"Add to Ingredients"))</f>
        <v>0</v>
      </c>
      <c r="N569" s="25">
        <f>IF(OR(J569="",M569="",NOT(ISNUMBER(M569))),"",IF(K569&lt;&gt;L569,"",J569*M569))</f>
        <v>0</v>
      </c>
      <c r="O569" s="25">
        <f>IF(N569="","",IFERROR(N569/INDEX(Recipes!$G$5:$G$204,MATCH(B569,Recipes!$A$5:$A$204,0)),""))</f>
        <v>0</v>
      </c>
      <c r="P569" s="30">
        <f>IF(J569="","",IF(K569="each",J569,J569/100))</f>
        <v>0</v>
      </c>
      <c r="Q569" s="30">
        <f>IFERROR(IF(P569="","",P569*INDEX(Ingredients!$P$5:$P$304,MATCH(D569,Ingredients!$B$5:$B$304,0))),"")</f>
        <v>0</v>
      </c>
      <c r="R569" s="45">
        <f>IFERROR(IF(P569="","",P569*INDEX(Ingredients!$Q$5:$Q$304,MATCH(D569,Ingredients!$B$5:$B$304,0))),"")</f>
        <v>0</v>
      </c>
      <c r="S569" s="45">
        <f>IFERROR(IF(P569="","",P569*INDEX(Ingredients!$R$5:$R$304,MATCH(D569,Ingredients!$B$5:$B$304,0))),"")</f>
        <v>0</v>
      </c>
      <c r="T569" s="45">
        <f>IFERROR(IF(P569="","",P569*INDEX(Ingredients!$S$5:$S$304,MATCH(D569,Ingredients!$B$5:$B$304,0))),"")</f>
        <v>0</v>
      </c>
      <c r="U569" s="45">
        <f>IFERROR(IF(P569="","",P569*INDEX(Ingredients!$T$5:$T$304,MATCH(D569,Ingredients!$B$5:$B$304,0))),"")</f>
        <v>0</v>
      </c>
      <c r="V569" s="17">
        <f>IF(D569="","",IFERROR(INDEX(Ingredients!$W$5:$W$304,MATCH(D569,Ingredients!$B$5:$B$304,0)),"Add to Ingredients"))</f>
        <v>0</v>
      </c>
      <c r="W569" s="17">
        <f>IF(D569="","",IFERROR(INDEX(Ingredients!$C$5:$C$304,MATCH(D569,Ingredients!$B$5:$B$304,0)),"Add to Ingredients"))</f>
        <v>0</v>
      </c>
      <c r="X569" s="45">
        <f>IFERROR(INDEX(Recipes!$AT$5:$AT$204,MATCH(B569,Recipes!$A$5:$A$204,0)),0)</f>
        <v>0</v>
      </c>
      <c r="Y569" s="45">
        <f>IF(OR(J569="",X569=0),"",J569*X569)</f>
        <v>0</v>
      </c>
      <c r="Z569" s="17">
        <f>IF(D569="","",B569&amp;"#"&amp;COUNTIFS($B$5:B569,B569))</f>
        <v>0</v>
      </c>
      <c r="AA569" s="17">
        <f>IF(D569="","",B569&amp;"|"&amp;D569)</f>
        <v>0</v>
      </c>
      <c r="AB569" s="31">
        <f>IF(D569="","",IF(B569="","Add - which recipe?",IF(COUNTIFS(Ingredients!$B$5:$B$304,D569)=0,"Missing - not in the Ingredients tab",IF(E569="","Add - no quantity",IF(F569="","Add - no unit",IF(K569&lt;&gt;L569,"Check - recipe in "&amp;K569&amp;", priced in "&amp;L569,IF(COUNTIFS($AA$5:$AA$1204,AA569)&gt;1,"Duplicate - same ingredient twice","OK")))))))</f>
        <v>0</v>
      </c>
    </row>
    <row r="570" spans="1:28">
      <c r="A570" s="39">
        <f>IF(D570="","","RL-"&amp;TEXT(ROW()-4,"0000"))</f>
        <v>0</v>
      </c>
      <c r="C570" s="17">
        <f>IF(B570="","",IFERROR(INDEX(Recipes!$B$5:$B$204,MATCH(B570,Recipes!$A$5:$A$204,0)),"Not found"))</f>
        <v>0</v>
      </c>
      <c r="J570" s="45">
        <f>IF(E570="","",IFERROR(E570*INDEX(UnitFactors,MATCH(F570,UnitNames,0)),""))</f>
        <v>0</v>
      </c>
      <c r="K570" s="17">
        <f>IF(F570="","",IFERROR(INDEX(UnitBases,MATCH(F570,UnitNames,0)),"?"))</f>
        <v>0</v>
      </c>
      <c r="L570" s="17">
        <f>IF(D570="","",IFERROR(INDEX(Ingredients!$G$5:$G$304,MATCH(D570,Ingredients!$B$5:$B$304,0)),"Add to Ingredients"))</f>
        <v>0</v>
      </c>
      <c r="M570" s="25">
        <f>IF(D570="","",IFERROR(INDEX(Ingredients!$J$5:$J$304,MATCH(D570,Ingredients!$B$5:$B$304,0)),"Add to Ingredients"))</f>
        <v>0</v>
      </c>
      <c r="N570" s="25">
        <f>IF(OR(J570="",M570="",NOT(ISNUMBER(M570))),"",IF(K570&lt;&gt;L570,"",J570*M570))</f>
        <v>0</v>
      </c>
      <c r="O570" s="25">
        <f>IF(N570="","",IFERROR(N570/INDEX(Recipes!$G$5:$G$204,MATCH(B570,Recipes!$A$5:$A$204,0)),""))</f>
        <v>0</v>
      </c>
      <c r="P570" s="30">
        <f>IF(J570="","",IF(K570="each",J570,J570/100))</f>
        <v>0</v>
      </c>
      <c r="Q570" s="30">
        <f>IFERROR(IF(P570="","",P570*INDEX(Ingredients!$P$5:$P$304,MATCH(D570,Ingredients!$B$5:$B$304,0))),"")</f>
        <v>0</v>
      </c>
      <c r="R570" s="45">
        <f>IFERROR(IF(P570="","",P570*INDEX(Ingredients!$Q$5:$Q$304,MATCH(D570,Ingredients!$B$5:$B$304,0))),"")</f>
        <v>0</v>
      </c>
      <c r="S570" s="45">
        <f>IFERROR(IF(P570="","",P570*INDEX(Ingredients!$R$5:$R$304,MATCH(D570,Ingredients!$B$5:$B$304,0))),"")</f>
        <v>0</v>
      </c>
      <c r="T570" s="45">
        <f>IFERROR(IF(P570="","",P570*INDEX(Ingredients!$S$5:$S$304,MATCH(D570,Ingredients!$B$5:$B$304,0))),"")</f>
        <v>0</v>
      </c>
      <c r="U570" s="45">
        <f>IFERROR(IF(P570="","",P570*INDEX(Ingredients!$T$5:$T$304,MATCH(D570,Ingredients!$B$5:$B$304,0))),"")</f>
        <v>0</v>
      </c>
      <c r="V570" s="17">
        <f>IF(D570="","",IFERROR(INDEX(Ingredients!$W$5:$W$304,MATCH(D570,Ingredients!$B$5:$B$304,0)),"Add to Ingredients"))</f>
        <v>0</v>
      </c>
      <c r="W570" s="17">
        <f>IF(D570="","",IFERROR(INDEX(Ingredients!$C$5:$C$304,MATCH(D570,Ingredients!$B$5:$B$304,0)),"Add to Ingredients"))</f>
        <v>0</v>
      </c>
      <c r="X570" s="45">
        <f>IFERROR(INDEX(Recipes!$AT$5:$AT$204,MATCH(B570,Recipes!$A$5:$A$204,0)),0)</f>
        <v>0</v>
      </c>
      <c r="Y570" s="45">
        <f>IF(OR(J570="",X570=0),"",J570*X570)</f>
        <v>0</v>
      </c>
      <c r="Z570" s="17">
        <f>IF(D570="","",B570&amp;"#"&amp;COUNTIFS($B$5:B570,B570))</f>
        <v>0</v>
      </c>
      <c r="AA570" s="17">
        <f>IF(D570="","",B570&amp;"|"&amp;D570)</f>
        <v>0</v>
      </c>
      <c r="AB570" s="31">
        <f>IF(D570="","",IF(B570="","Add - which recipe?",IF(COUNTIFS(Ingredients!$B$5:$B$304,D570)=0,"Missing - not in the Ingredients tab",IF(E570="","Add - no quantity",IF(F570="","Add - no unit",IF(K570&lt;&gt;L570,"Check - recipe in "&amp;K570&amp;", priced in "&amp;L570,IF(COUNTIFS($AA$5:$AA$1204,AA570)&gt;1,"Duplicate - same ingredient twice","OK")))))))</f>
        <v>0</v>
      </c>
    </row>
    <row r="571" spans="1:28">
      <c r="A571" s="39">
        <f>IF(D571="","","RL-"&amp;TEXT(ROW()-4,"0000"))</f>
        <v>0</v>
      </c>
      <c r="C571" s="17">
        <f>IF(B571="","",IFERROR(INDEX(Recipes!$B$5:$B$204,MATCH(B571,Recipes!$A$5:$A$204,0)),"Not found"))</f>
        <v>0</v>
      </c>
      <c r="J571" s="45">
        <f>IF(E571="","",IFERROR(E571*INDEX(UnitFactors,MATCH(F571,UnitNames,0)),""))</f>
        <v>0</v>
      </c>
      <c r="K571" s="17">
        <f>IF(F571="","",IFERROR(INDEX(UnitBases,MATCH(F571,UnitNames,0)),"?"))</f>
        <v>0</v>
      </c>
      <c r="L571" s="17">
        <f>IF(D571="","",IFERROR(INDEX(Ingredients!$G$5:$G$304,MATCH(D571,Ingredients!$B$5:$B$304,0)),"Add to Ingredients"))</f>
        <v>0</v>
      </c>
      <c r="M571" s="25">
        <f>IF(D571="","",IFERROR(INDEX(Ingredients!$J$5:$J$304,MATCH(D571,Ingredients!$B$5:$B$304,0)),"Add to Ingredients"))</f>
        <v>0</v>
      </c>
      <c r="N571" s="25">
        <f>IF(OR(J571="",M571="",NOT(ISNUMBER(M571))),"",IF(K571&lt;&gt;L571,"",J571*M571))</f>
        <v>0</v>
      </c>
      <c r="O571" s="25">
        <f>IF(N571="","",IFERROR(N571/INDEX(Recipes!$G$5:$G$204,MATCH(B571,Recipes!$A$5:$A$204,0)),""))</f>
        <v>0</v>
      </c>
      <c r="P571" s="30">
        <f>IF(J571="","",IF(K571="each",J571,J571/100))</f>
        <v>0</v>
      </c>
      <c r="Q571" s="30">
        <f>IFERROR(IF(P571="","",P571*INDEX(Ingredients!$P$5:$P$304,MATCH(D571,Ingredients!$B$5:$B$304,0))),"")</f>
        <v>0</v>
      </c>
      <c r="R571" s="45">
        <f>IFERROR(IF(P571="","",P571*INDEX(Ingredients!$Q$5:$Q$304,MATCH(D571,Ingredients!$B$5:$B$304,0))),"")</f>
        <v>0</v>
      </c>
      <c r="S571" s="45">
        <f>IFERROR(IF(P571="","",P571*INDEX(Ingredients!$R$5:$R$304,MATCH(D571,Ingredients!$B$5:$B$304,0))),"")</f>
        <v>0</v>
      </c>
      <c r="T571" s="45">
        <f>IFERROR(IF(P571="","",P571*INDEX(Ingredients!$S$5:$S$304,MATCH(D571,Ingredients!$B$5:$B$304,0))),"")</f>
        <v>0</v>
      </c>
      <c r="U571" s="45">
        <f>IFERROR(IF(P571="","",P571*INDEX(Ingredients!$T$5:$T$304,MATCH(D571,Ingredients!$B$5:$B$304,0))),"")</f>
        <v>0</v>
      </c>
      <c r="V571" s="17">
        <f>IF(D571="","",IFERROR(INDEX(Ingredients!$W$5:$W$304,MATCH(D571,Ingredients!$B$5:$B$304,0)),"Add to Ingredients"))</f>
        <v>0</v>
      </c>
      <c r="W571" s="17">
        <f>IF(D571="","",IFERROR(INDEX(Ingredients!$C$5:$C$304,MATCH(D571,Ingredients!$B$5:$B$304,0)),"Add to Ingredients"))</f>
        <v>0</v>
      </c>
      <c r="X571" s="45">
        <f>IFERROR(INDEX(Recipes!$AT$5:$AT$204,MATCH(B571,Recipes!$A$5:$A$204,0)),0)</f>
        <v>0</v>
      </c>
      <c r="Y571" s="45">
        <f>IF(OR(J571="",X571=0),"",J571*X571)</f>
        <v>0</v>
      </c>
      <c r="Z571" s="17">
        <f>IF(D571="","",B571&amp;"#"&amp;COUNTIFS($B$5:B571,B571))</f>
        <v>0</v>
      </c>
      <c r="AA571" s="17">
        <f>IF(D571="","",B571&amp;"|"&amp;D571)</f>
        <v>0</v>
      </c>
      <c r="AB571" s="31">
        <f>IF(D571="","",IF(B571="","Add - which recipe?",IF(COUNTIFS(Ingredients!$B$5:$B$304,D571)=0,"Missing - not in the Ingredients tab",IF(E571="","Add - no quantity",IF(F571="","Add - no unit",IF(K571&lt;&gt;L571,"Check - recipe in "&amp;K571&amp;", priced in "&amp;L571,IF(COUNTIFS($AA$5:$AA$1204,AA571)&gt;1,"Duplicate - same ingredient twice","OK")))))))</f>
        <v>0</v>
      </c>
    </row>
    <row r="572" spans="1:28">
      <c r="A572" s="39">
        <f>IF(D572="","","RL-"&amp;TEXT(ROW()-4,"0000"))</f>
        <v>0</v>
      </c>
      <c r="C572" s="17">
        <f>IF(B572="","",IFERROR(INDEX(Recipes!$B$5:$B$204,MATCH(B572,Recipes!$A$5:$A$204,0)),"Not found"))</f>
        <v>0</v>
      </c>
      <c r="J572" s="45">
        <f>IF(E572="","",IFERROR(E572*INDEX(UnitFactors,MATCH(F572,UnitNames,0)),""))</f>
        <v>0</v>
      </c>
      <c r="K572" s="17">
        <f>IF(F572="","",IFERROR(INDEX(UnitBases,MATCH(F572,UnitNames,0)),"?"))</f>
        <v>0</v>
      </c>
      <c r="L572" s="17">
        <f>IF(D572="","",IFERROR(INDEX(Ingredients!$G$5:$G$304,MATCH(D572,Ingredients!$B$5:$B$304,0)),"Add to Ingredients"))</f>
        <v>0</v>
      </c>
      <c r="M572" s="25">
        <f>IF(D572="","",IFERROR(INDEX(Ingredients!$J$5:$J$304,MATCH(D572,Ingredients!$B$5:$B$304,0)),"Add to Ingredients"))</f>
        <v>0</v>
      </c>
      <c r="N572" s="25">
        <f>IF(OR(J572="",M572="",NOT(ISNUMBER(M572))),"",IF(K572&lt;&gt;L572,"",J572*M572))</f>
        <v>0</v>
      </c>
      <c r="O572" s="25">
        <f>IF(N572="","",IFERROR(N572/INDEX(Recipes!$G$5:$G$204,MATCH(B572,Recipes!$A$5:$A$204,0)),""))</f>
        <v>0</v>
      </c>
      <c r="P572" s="30">
        <f>IF(J572="","",IF(K572="each",J572,J572/100))</f>
        <v>0</v>
      </c>
      <c r="Q572" s="30">
        <f>IFERROR(IF(P572="","",P572*INDEX(Ingredients!$P$5:$P$304,MATCH(D572,Ingredients!$B$5:$B$304,0))),"")</f>
        <v>0</v>
      </c>
      <c r="R572" s="45">
        <f>IFERROR(IF(P572="","",P572*INDEX(Ingredients!$Q$5:$Q$304,MATCH(D572,Ingredients!$B$5:$B$304,0))),"")</f>
        <v>0</v>
      </c>
      <c r="S572" s="45">
        <f>IFERROR(IF(P572="","",P572*INDEX(Ingredients!$R$5:$R$304,MATCH(D572,Ingredients!$B$5:$B$304,0))),"")</f>
        <v>0</v>
      </c>
      <c r="T572" s="45">
        <f>IFERROR(IF(P572="","",P572*INDEX(Ingredients!$S$5:$S$304,MATCH(D572,Ingredients!$B$5:$B$304,0))),"")</f>
        <v>0</v>
      </c>
      <c r="U572" s="45">
        <f>IFERROR(IF(P572="","",P572*INDEX(Ingredients!$T$5:$T$304,MATCH(D572,Ingredients!$B$5:$B$304,0))),"")</f>
        <v>0</v>
      </c>
      <c r="V572" s="17">
        <f>IF(D572="","",IFERROR(INDEX(Ingredients!$W$5:$W$304,MATCH(D572,Ingredients!$B$5:$B$304,0)),"Add to Ingredients"))</f>
        <v>0</v>
      </c>
      <c r="W572" s="17">
        <f>IF(D572="","",IFERROR(INDEX(Ingredients!$C$5:$C$304,MATCH(D572,Ingredients!$B$5:$B$304,0)),"Add to Ingredients"))</f>
        <v>0</v>
      </c>
      <c r="X572" s="45">
        <f>IFERROR(INDEX(Recipes!$AT$5:$AT$204,MATCH(B572,Recipes!$A$5:$A$204,0)),0)</f>
        <v>0</v>
      </c>
      <c r="Y572" s="45">
        <f>IF(OR(J572="",X572=0),"",J572*X572)</f>
        <v>0</v>
      </c>
      <c r="Z572" s="17">
        <f>IF(D572="","",B572&amp;"#"&amp;COUNTIFS($B$5:B572,B572))</f>
        <v>0</v>
      </c>
      <c r="AA572" s="17">
        <f>IF(D572="","",B572&amp;"|"&amp;D572)</f>
        <v>0</v>
      </c>
      <c r="AB572" s="31">
        <f>IF(D572="","",IF(B572="","Add - which recipe?",IF(COUNTIFS(Ingredients!$B$5:$B$304,D572)=0,"Missing - not in the Ingredients tab",IF(E572="","Add - no quantity",IF(F572="","Add - no unit",IF(K572&lt;&gt;L572,"Check - recipe in "&amp;K572&amp;", priced in "&amp;L572,IF(COUNTIFS($AA$5:$AA$1204,AA572)&gt;1,"Duplicate - same ingredient twice","OK")))))))</f>
        <v>0</v>
      </c>
    </row>
    <row r="573" spans="1:28">
      <c r="A573" s="39">
        <f>IF(D573="","","RL-"&amp;TEXT(ROW()-4,"0000"))</f>
        <v>0</v>
      </c>
      <c r="C573" s="17">
        <f>IF(B573="","",IFERROR(INDEX(Recipes!$B$5:$B$204,MATCH(B573,Recipes!$A$5:$A$204,0)),"Not found"))</f>
        <v>0</v>
      </c>
      <c r="J573" s="45">
        <f>IF(E573="","",IFERROR(E573*INDEX(UnitFactors,MATCH(F573,UnitNames,0)),""))</f>
        <v>0</v>
      </c>
      <c r="K573" s="17">
        <f>IF(F573="","",IFERROR(INDEX(UnitBases,MATCH(F573,UnitNames,0)),"?"))</f>
        <v>0</v>
      </c>
      <c r="L573" s="17">
        <f>IF(D573="","",IFERROR(INDEX(Ingredients!$G$5:$G$304,MATCH(D573,Ingredients!$B$5:$B$304,0)),"Add to Ingredients"))</f>
        <v>0</v>
      </c>
      <c r="M573" s="25">
        <f>IF(D573="","",IFERROR(INDEX(Ingredients!$J$5:$J$304,MATCH(D573,Ingredients!$B$5:$B$304,0)),"Add to Ingredients"))</f>
        <v>0</v>
      </c>
      <c r="N573" s="25">
        <f>IF(OR(J573="",M573="",NOT(ISNUMBER(M573))),"",IF(K573&lt;&gt;L573,"",J573*M573))</f>
        <v>0</v>
      </c>
      <c r="O573" s="25">
        <f>IF(N573="","",IFERROR(N573/INDEX(Recipes!$G$5:$G$204,MATCH(B573,Recipes!$A$5:$A$204,0)),""))</f>
        <v>0</v>
      </c>
      <c r="P573" s="30">
        <f>IF(J573="","",IF(K573="each",J573,J573/100))</f>
        <v>0</v>
      </c>
      <c r="Q573" s="30">
        <f>IFERROR(IF(P573="","",P573*INDEX(Ingredients!$P$5:$P$304,MATCH(D573,Ingredients!$B$5:$B$304,0))),"")</f>
        <v>0</v>
      </c>
      <c r="R573" s="45">
        <f>IFERROR(IF(P573="","",P573*INDEX(Ingredients!$Q$5:$Q$304,MATCH(D573,Ingredients!$B$5:$B$304,0))),"")</f>
        <v>0</v>
      </c>
      <c r="S573" s="45">
        <f>IFERROR(IF(P573="","",P573*INDEX(Ingredients!$R$5:$R$304,MATCH(D573,Ingredients!$B$5:$B$304,0))),"")</f>
        <v>0</v>
      </c>
      <c r="T573" s="45">
        <f>IFERROR(IF(P573="","",P573*INDEX(Ingredients!$S$5:$S$304,MATCH(D573,Ingredients!$B$5:$B$304,0))),"")</f>
        <v>0</v>
      </c>
      <c r="U573" s="45">
        <f>IFERROR(IF(P573="","",P573*INDEX(Ingredients!$T$5:$T$304,MATCH(D573,Ingredients!$B$5:$B$304,0))),"")</f>
        <v>0</v>
      </c>
      <c r="V573" s="17">
        <f>IF(D573="","",IFERROR(INDEX(Ingredients!$W$5:$W$304,MATCH(D573,Ingredients!$B$5:$B$304,0)),"Add to Ingredients"))</f>
        <v>0</v>
      </c>
      <c r="W573" s="17">
        <f>IF(D573="","",IFERROR(INDEX(Ingredients!$C$5:$C$304,MATCH(D573,Ingredients!$B$5:$B$304,0)),"Add to Ingredients"))</f>
        <v>0</v>
      </c>
      <c r="X573" s="45">
        <f>IFERROR(INDEX(Recipes!$AT$5:$AT$204,MATCH(B573,Recipes!$A$5:$A$204,0)),0)</f>
        <v>0</v>
      </c>
      <c r="Y573" s="45">
        <f>IF(OR(J573="",X573=0),"",J573*X573)</f>
        <v>0</v>
      </c>
      <c r="Z573" s="17">
        <f>IF(D573="","",B573&amp;"#"&amp;COUNTIFS($B$5:B573,B573))</f>
        <v>0</v>
      </c>
      <c r="AA573" s="17">
        <f>IF(D573="","",B573&amp;"|"&amp;D573)</f>
        <v>0</v>
      </c>
      <c r="AB573" s="31">
        <f>IF(D573="","",IF(B573="","Add - which recipe?",IF(COUNTIFS(Ingredients!$B$5:$B$304,D573)=0,"Missing - not in the Ingredients tab",IF(E573="","Add - no quantity",IF(F573="","Add - no unit",IF(K573&lt;&gt;L573,"Check - recipe in "&amp;K573&amp;", priced in "&amp;L573,IF(COUNTIFS($AA$5:$AA$1204,AA573)&gt;1,"Duplicate - same ingredient twice","OK")))))))</f>
        <v>0</v>
      </c>
    </row>
    <row r="574" spans="1:28">
      <c r="A574" s="39">
        <f>IF(D574="","","RL-"&amp;TEXT(ROW()-4,"0000"))</f>
        <v>0</v>
      </c>
      <c r="C574" s="17">
        <f>IF(B574="","",IFERROR(INDEX(Recipes!$B$5:$B$204,MATCH(B574,Recipes!$A$5:$A$204,0)),"Not found"))</f>
        <v>0</v>
      </c>
      <c r="J574" s="45">
        <f>IF(E574="","",IFERROR(E574*INDEX(UnitFactors,MATCH(F574,UnitNames,0)),""))</f>
        <v>0</v>
      </c>
      <c r="K574" s="17">
        <f>IF(F574="","",IFERROR(INDEX(UnitBases,MATCH(F574,UnitNames,0)),"?"))</f>
        <v>0</v>
      </c>
      <c r="L574" s="17">
        <f>IF(D574="","",IFERROR(INDEX(Ingredients!$G$5:$G$304,MATCH(D574,Ingredients!$B$5:$B$304,0)),"Add to Ingredients"))</f>
        <v>0</v>
      </c>
      <c r="M574" s="25">
        <f>IF(D574="","",IFERROR(INDEX(Ingredients!$J$5:$J$304,MATCH(D574,Ingredients!$B$5:$B$304,0)),"Add to Ingredients"))</f>
        <v>0</v>
      </c>
      <c r="N574" s="25">
        <f>IF(OR(J574="",M574="",NOT(ISNUMBER(M574))),"",IF(K574&lt;&gt;L574,"",J574*M574))</f>
        <v>0</v>
      </c>
      <c r="O574" s="25">
        <f>IF(N574="","",IFERROR(N574/INDEX(Recipes!$G$5:$G$204,MATCH(B574,Recipes!$A$5:$A$204,0)),""))</f>
        <v>0</v>
      </c>
      <c r="P574" s="30">
        <f>IF(J574="","",IF(K574="each",J574,J574/100))</f>
        <v>0</v>
      </c>
      <c r="Q574" s="30">
        <f>IFERROR(IF(P574="","",P574*INDEX(Ingredients!$P$5:$P$304,MATCH(D574,Ingredients!$B$5:$B$304,0))),"")</f>
        <v>0</v>
      </c>
      <c r="R574" s="45">
        <f>IFERROR(IF(P574="","",P574*INDEX(Ingredients!$Q$5:$Q$304,MATCH(D574,Ingredients!$B$5:$B$304,0))),"")</f>
        <v>0</v>
      </c>
      <c r="S574" s="45">
        <f>IFERROR(IF(P574="","",P574*INDEX(Ingredients!$R$5:$R$304,MATCH(D574,Ingredients!$B$5:$B$304,0))),"")</f>
        <v>0</v>
      </c>
      <c r="T574" s="45">
        <f>IFERROR(IF(P574="","",P574*INDEX(Ingredients!$S$5:$S$304,MATCH(D574,Ingredients!$B$5:$B$304,0))),"")</f>
        <v>0</v>
      </c>
      <c r="U574" s="45">
        <f>IFERROR(IF(P574="","",P574*INDEX(Ingredients!$T$5:$T$304,MATCH(D574,Ingredients!$B$5:$B$304,0))),"")</f>
        <v>0</v>
      </c>
      <c r="V574" s="17">
        <f>IF(D574="","",IFERROR(INDEX(Ingredients!$W$5:$W$304,MATCH(D574,Ingredients!$B$5:$B$304,0)),"Add to Ingredients"))</f>
        <v>0</v>
      </c>
      <c r="W574" s="17">
        <f>IF(D574="","",IFERROR(INDEX(Ingredients!$C$5:$C$304,MATCH(D574,Ingredients!$B$5:$B$304,0)),"Add to Ingredients"))</f>
        <v>0</v>
      </c>
      <c r="X574" s="45">
        <f>IFERROR(INDEX(Recipes!$AT$5:$AT$204,MATCH(B574,Recipes!$A$5:$A$204,0)),0)</f>
        <v>0</v>
      </c>
      <c r="Y574" s="45">
        <f>IF(OR(J574="",X574=0),"",J574*X574)</f>
        <v>0</v>
      </c>
      <c r="Z574" s="17">
        <f>IF(D574="","",B574&amp;"#"&amp;COUNTIFS($B$5:B574,B574))</f>
        <v>0</v>
      </c>
      <c r="AA574" s="17">
        <f>IF(D574="","",B574&amp;"|"&amp;D574)</f>
        <v>0</v>
      </c>
      <c r="AB574" s="31">
        <f>IF(D574="","",IF(B574="","Add - which recipe?",IF(COUNTIFS(Ingredients!$B$5:$B$304,D574)=0,"Missing - not in the Ingredients tab",IF(E574="","Add - no quantity",IF(F574="","Add - no unit",IF(K574&lt;&gt;L574,"Check - recipe in "&amp;K574&amp;", priced in "&amp;L574,IF(COUNTIFS($AA$5:$AA$1204,AA574)&gt;1,"Duplicate - same ingredient twice","OK")))))))</f>
        <v>0</v>
      </c>
    </row>
    <row r="575" spans="1:28">
      <c r="A575" s="39">
        <f>IF(D575="","","RL-"&amp;TEXT(ROW()-4,"0000"))</f>
        <v>0</v>
      </c>
      <c r="C575" s="17">
        <f>IF(B575="","",IFERROR(INDEX(Recipes!$B$5:$B$204,MATCH(B575,Recipes!$A$5:$A$204,0)),"Not found"))</f>
        <v>0</v>
      </c>
      <c r="J575" s="45">
        <f>IF(E575="","",IFERROR(E575*INDEX(UnitFactors,MATCH(F575,UnitNames,0)),""))</f>
        <v>0</v>
      </c>
      <c r="K575" s="17">
        <f>IF(F575="","",IFERROR(INDEX(UnitBases,MATCH(F575,UnitNames,0)),"?"))</f>
        <v>0</v>
      </c>
      <c r="L575" s="17">
        <f>IF(D575="","",IFERROR(INDEX(Ingredients!$G$5:$G$304,MATCH(D575,Ingredients!$B$5:$B$304,0)),"Add to Ingredients"))</f>
        <v>0</v>
      </c>
      <c r="M575" s="25">
        <f>IF(D575="","",IFERROR(INDEX(Ingredients!$J$5:$J$304,MATCH(D575,Ingredients!$B$5:$B$304,0)),"Add to Ingredients"))</f>
        <v>0</v>
      </c>
      <c r="N575" s="25">
        <f>IF(OR(J575="",M575="",NOT(ISNUMBER(M575))),"",IF(K575&lt;&gt;L575,"",J575*M575))</f>
        <v>0</v>
      </c>
      <c r="O575" s="25">
        <f>IF(N575="","",IFERROR(N575/INDEX(Recipes!$G$5:$G$204,MATCH(B575,Recipes!$A$5:$A$204,0)),""))</f>
        <v>0</v>
      </c>
      <c r="P575" s="30">
        <f>IF(J575="","",IF(K575="each",J575,J575/100))</f>
        <v>0</v>
      </c>
      <c r="Q575" s="30">
        <f>IFERROR(IF(P575="","",P575*INDEX(Ingredients!$P$5:$P$304,MATCH(D575,Ingredients!$B$5:$B$304,0))),"")</f>
        <v>0</v>
      </c>
      <c r="R575" s="45">
        <f>IFERROR(IF(P575="","",P575*INDEX(Ingredients!$Q$5:$Q$304,MATCH(D575,Ingredients!$B$5:$B$304,0))),"")</f>
        <v>0</v>
      </c>
      <c r="S575" s="45">
        <f>IFERROR(IF(P575="","",P575*INDEX(Ingredients!$R$5:$R$304,MATCH(D575,Ingredients!$B$5:$B$304,0))),"")</f>
        <v>0</v>
      </c>
      <c r="T575" s="45">
        <f>IFERROR(IF(P575="","",P575*INDEX(Ingredients!$S$5:$S$304,MATCH(D575,Ingredients!$B$5:$B$304,0))),"")</f>
        <v>0</v>
      </c>
      <c r="U575" s="45">
        <f>IFERROR(IF(P575="","",P575*INDEX(Ingredients!$T$5:$T$304,MATCH(D575,Ingredients!$B$5:$B$304,0))),"")</f>
        <v>0</v>
      </c>
      <c r="V575" s="17">
        <f>IF(D575="","",IFERROR(INDEX(Ingredients!$W$5:$W$304,MATCH(D575,Ingredients!$B$5:$B$304,0)),"Add to Ingredients"))</f>
        <v>0</v>
      </c>
      <c r="W575" s="17">
        <f>IF(D575="","",IFERROR(INDEX(Ingredients!$C$5:$C$304,MATCH(D575,Ingredients!$B$5:$B$304,0)),"Add to Ingredients"))</f>
        <v>0</v>
      </c>
      <c r="X575" s="45">
        <f>IFERROR(INDEX(Recipes!$AT$5:$AT$204,MATCH(B575,Recipes!$A$5:$A$204,0)),0)</f>
        <v>0</v>
      </c>
      <c r="Y575" s="45">
        <f>IF(OR(J575="",X575=0),"",J575*X575)</f>
        <v>0</v>
      </c>
      <c r="Z575" s="17">
        <f>IF(D575="","",B575&amp;"#"&amp;COUNTIFS($B$5:B575,B575))</f>
        <v>0</v>
      </c>
      <c r="AA575" s="17">
        <f>IF(D575="","",B575&amp;"|"&amp;D575)</f>
        <v>0</v>
      </c>
      <c r="AB575" s="31">
        <f>IF(D575="","",IF(B575="","Add - which recipe?",IF(COUNTIFS(Ingredients!$B$5:$B$304,D575)=0,"Missing - not in the Ingredients tab",IF(E575="","Add - no quantity",IF(F575="","Add - no unit",IF(K575&lt;&gt;L575,"Check - recipe in "&amp;K575&amp;", priced in "&amp;L575,IF(COUNTIFS($AA$5:$AA$1204,AA575)&gt;1,"Duplicate - same ingredient twice","OK")))))))</f>
        <v>0</v>
      </c>
    </row>
    <row r="576" spans="1:28">
      <c r="A576" s="39">
        <f>IF(D576="","","RL-"&amp;TEXT(ROW()-4,"0000"))</f>
        <v>0</v>
      </c>
      <c r="C576" s="17">
        <f>IF(B576="","",IFERROR(INDEX(Recipes!$B$5:$B$204,MATCH(B576,Recipes!$A$5:$A$204,0)),"Not found"))</f>
        <v>0</v>
      </c>
      <c r="J576" s="45">
        <f>IF(E576="","",IFERROR(E576*INDEX(UnitFactors,MATCH(F576,UnitNames,0)),""))</f>
        <v>0</v>
      </c>
      <c r="K576" s="17">
        <f>IF(F576="","",IFERROR(INDEX(UnitBases,MATCH(F576,UnitNames,0)),"?"))</f>
        <v>0</v>
      </c>
      <c r="L576" s="17">
        <f>IF(D576="","",IFERROR(INDEX(Ingredients!$G$5:$G$304,MATCH(D576,Ingredients!$B$5:$B$304,0)),"Add to Ingredients"))</f>
        <v>0</v>
      </c>
      <c r="M576" s="25">
        <f>IF(D576="","",IFERROR(INDEX(Ingredients!$J$5:$J$304,MATCH(D576,Ingredients!$B$5:$B$304,0)),"Add to Ingredients"))</f>
        <v>0</v>
      </c>
      <c r="N576" s="25">
        <f>IF(OR(J576="",M576="",NOT(ISNUMBER(M576))),"",IF(K576&lt;&gt;L576,"",J576*M576))</f>
        <v>0</v>
      </c>
      <c r="O576" s="25">
        <f>IF(N576="","",IFERROR(N576/INDEX(Recipes!$G$5:$G$204,MATCH(B576,Recipes!$A$5:$A$204,0)),""))</f>
        <v>0</v>
      </c>
      <c r="P576" s="30">
        <f>IF(J576="","",IF(K576="each",J576,J576/100))</f>
        <v>0</v>
      </c>
      <c r="Q576" s="30">
        <f>IFERROR(IF(P576="","",P576*INDEX(Ingredients!$P$5:$P$304,MATCH(D576,Ingredients!$B$5:$B$304,0))),"")</f>
        <v>0</v>
      </c>
      <c r="R576" s="45">
        <f>IFERROR(IF(P576="","",P576*INDEX(Ingredients!$Q$5:$Q$304,MATCH(D576,Ingredients!$B$5:$B$304,0))),"")</f>
        <v>0</v>
      </c>
      <c r="S576" s="45">
        <f>IFERROR(IF(P576="","",P576*INDEX(Ingredients!$R$5:$R$304,MATCH(D576,Ingredients!$B$5:$B$304,0))),"")</f>
        <v>0</v>
      </c>
      <c r="T576" s="45">
        <f>IFERROR(IF(P576="","",P576*INDEX(Ingredients!$S$5:$S$304,MATCH(D576,Ingredients!$B$5:$B$304,0))),"")</f>
        <v>0</v>
      </c>
      <c r="U576" s="45">
        <f>IFERROR(IF(P576="","",P576*INDEX(Ingredients!$T$5:$T$304,MATCH(D576,Ingredients!$B$5:$B$304,0))),"")</f>
        <v>0</v>
      </c>
      <c r="V576" s="17">
        <f>IF(D576="","",IFERROR(INDEX(Ingredients!$W$5:$W$304,MATCH(D576,Ingredients!$B$5:$B$304,0)),"Add to Ingredients"))</f>
        <v>0</v>
      </c>
      <c r="W576" s="17">
        <f>IF(D576="","",IFERROR(INDEX(Ingredients!$C$5:$C$304,MATCH(D576,Ingredients!$B$5:$B$304,0)),"Add to Ingredients"))</f>
        <v>0</v>
      </c>
      <c r="X576" s="45">
        <f>IFERROR(INDEX(Recipes!$AT$5:$AT$204,MATCH(B576,Recipes!$A$5:$A$204,0)),0)</f>
        <v>0</v>
      </c>
      <c r="Y576" s="45">
        <f>IF(OR(J576="",X576=0),"",J576*X576)</f>
        <v>0</v>
      </c>
      <c r="Z576" s="17">
        <f>IF(D576="","",B576&amp;"#"&amp;COUNTIFS($B$5:B576,B576))</f>
        <v>0</v>
      </c>
      <c r="AA576" s="17">
        <f>IF(D576="","",B576&amp;"|"&amp;D576)</f>
        <v>0</v>
      </c>
      <c r="AB576" s="31">
        <f>IF(D576="","",IF(B576="","Add - which recipe?",IF(COUNTIFS(Ingredients!$B$5:$B$304,D576)=0,"Missing - not in the Ingredients tab",IF(E576="","Add - no quantity",IF(F576="","Add - no unit",IF(K576&lt;&gt;L576,"Check - recipe in "&amp;K576&amp;", priced in "&amp;L576,IF(COUNTIFS($AA$5:$AA$1204,AA576)&gt;1,"Duplicate - same ingredient twice","OK")))))))</f>
        <v>0</v>
      </c>
    </row>
    <row r="577" spans="1:28">
      <c r="A577" s="39">
        <f>IF(D577="","","RL-"&amp;TEXT(ROW()-4,"0000"))</f>
        <v>0</v>
      </c>
      <c r="C577" s="17">
        <f>IF(B577="","",IFERROR(INDEX(Recipes!$B$5:$B$204,MATCH(B577,Recipes!$A$5:$A$204,0)),"Not found"))</f>
        <v>0</v>
      </c>
      <c r="J577" s="45">
        <f>IF(E577="","",IFERROR(E577*INDEX(UnitFactors,MATCH(F577,UnitNames,0)),""))</f>
        <v>0</v>
      </c>
      <c r="K577" s="17">
        <f>IF(F577="","",IFERROR(INDEX(UnitBases,MATCH(F577,UnitNames,0)),"?"))</f>
        <v>0</v>
      </c>
      <c r="L577" s="17">
        <f>IF(D577="","",IFERROR(INDEX(Ingredients!$G$5:$G$304,MATCH(D577,Ingredients!$B$5:$B$304,0)),"Add to Ingredients"))</f>
        <v>0</v>
      </c>
      <c r="M577" s="25">
        <f>IF(D577="","",IFERROR(INDEX(Ingredients!$J$5:$J$304,MATCH(D577,Ingredients!$B$5:$B$304,0)),"Add to Ingredients"))</f>
        <v>0</v>
      </c>
      <c r="N577" s="25">
        <f>IF(OR(J577="",M577="",NOT(ISNUMBER(M577))),"",IF(K577&lt;&gt;L577,"",J577*M577))</f>
        <v>0</v>
      </c>
      <c r="O577" s="25">
        <f>IF(N577="","",IFERROR(N577/INDEX(Recipes!$G$5:$G$204,MATCH(B577,Recipes!$A$5:$A$204,0)),""))</f>
        <v>0</v>
      </c>
      <c r="P577" s="30">
        <f>IF(J577="","",IF(K577="each",J577,J577/100))</f>
        <v>0</v>
      </c>
      <c r="Q577" s="30">
        <f>IFERROR(IF(P577="","",P577*INDEX(Ingredients!$P$5:$P$304,MATCH(D577,Ingredients!$B$5:$B$304,0))),"")</f>
        <v>0</v>
      </c>
      <c r="R577" s="45">
        <f>IFERROR(IF(P577="","",P577*INDEX(Ingredients!$Q$5:$Q$304,MATCH(D577,Ingredients!$B$5:$B$304,0))),"")</f>
        <v>0</v>
      </c>
      <c r="S577" s="45">
        <f>IFERROR(IF(P577="","",P577*INDEX(Ingredients!$R$5:$R$304,MATCH(D577,Ingredients!$B$5:$B$304,0))),"")</f>
        <v>0</v>
      </c>
      <c r="T577" s="45">
        <f>IFERROR(IF(P577="","",P577*INDEX(Ingredients!$S$5:$S$304,MATCH(D577,Ingredients!$B$5:$B$304,0))),"")</f>
        <v>0</v>
      </c>
      <c r="U577" s="45">
        <f>IFERROR(IF(P577="","",P577*INDEX(Ingredients!$T$5:$T$304,MATCH(D577,Ingredients!$B$5:$B$304,0))),"")</f>
        <v>0</v>
      </c>
      <c r="V577" s="17">
        <f>IF(D577="","",IFERROR(INDEX(Ingredients!$W$5:$W$304,MATCH(D577,Ingredients!$B$5:$B$304,0)),"Add to Ingredients"))</f>
        <v>0</v>
      </c>
      <c r="W577" s="17">
        <f>IF(D577="","",IFERROR(INDEX(Ingredients!$C$5:$C$304,MATCH(D577,Ingredients!$B$5:$B$304,0)),"Add to Ingredients"))</f>
        <v>0</v>
      </c>
      <c r="X577" s="45">
        <f>IFERROR(INDEX(Recipes!$AT$5:$AT$204,MATCH(B577,Recipes!$A$5:$A$204,0)),0)</f>
        <v>0</v>
      </c>
      <c r="Y577" s="45">
        <f>IF(OR(J577="",X577=0),"",J577*X577)</f>
        <v>0</v>
      </c>
      <c r="Z577" s="17">
        <f>IF(D577="","",B577&amp;"#"&amp;COUNTIFS($B$5:B577,B577))</f>
        <v>0</v>
      </c>
      <c r="AA577" s="17">
        <f>IF(D577="","",B577&amp;"|"&amp;D577)</f>
        <v>0</v>
      </c>
      <c r="AB577" s="31">
        <f>IF(D577="","",IF(B577="","Add - which recipe?",IF(COUNTIFS(Ingredients!$B$5:$B$304,D577)=0,"Missing - not in the Ingredients tab",IF(E577="","Add - no quantity",IF(F577="","Add - no unit",IF(K577&lt;&gt;L577,"Check - recipe in "&amp;K577&amp;", priced in "&amp;L577,IF(COUNTIFS($AA$5:$AA$1204,AA577)&gt;1,"Duplicate - same ingredient twice","OK")))))))</f>
        <v>0</v>
      </c>
    </row>
    <row r="578" spans="1:28">
      <c r="A578" s="39">
        <f>IF(D578="","","RL-"&amp;TEXT(ROW()-4,"0000"))</f>
        <v>0</v>
      </c>
      <c r="C578" s="17">
        <f>IF(B578="","",IFERROR(INDEX(Recipes!$B$5:$B$204,MATCH(B578,Recipes!$A$5:$A$204,0)),"Not found"))</f>
        <v>0</v>
      </c>
      <c r="J578" s="45">
        <f>IF(E578="","",IFERROR(E578*INDEX(UnitFactors,MATCH(F578,UnitNames,0)),""))</f>
        <v>0</v>
      </c>
      <c r="K578" s="17">
        <f>IF(F578="","",IFERROR(INDEX(UnitBases,MATCH(F578,UnitNames,0)),"?"))</f>
        <v>0</v>
      </c>
      <c r="L578" s="17">
        <f>IF(D578="","",IFERROR(INDEX(Ingredients!$G$5:$G$304,MATCH(D578,Ingredients!$B$5:$B$304,0)),"Add to Ingredients"))</f>
        <v>0</v>
      </c>
      <c r="M578" s="25">
        <f>IF(D578="","",IFERROR(INDEX(Ingredients!$J$5:$J$304,MATCH(D578,Ingredients!$B$5:$B$304,0)),"Add to Ingredients"))</f>
        <v>0</v>
      </c>
      <c r="N578" s="25">
        <f>IF(OR(J578="",M578="",NOT(ISNUMBER(M578))),"",IF(K578&lt;&gt;L578,"",J578*M578))</f>
        <v>0</v>
      </c>
      <c r="O578" s="25">
        <f>IF(N578="","",IFERROR(N578/INDEX(Recipes!$G$5:$G$204,MATCH(B578,Recipes!$A$5:$A$204,0)),""))</f>
        <v>0</v>
      </c>
      <c r="P578" s="30">
        <f>IF(J578="","",IF(K578="each",J578,J578/100))</f>
        <v>0</v>
      </c>
      <c r="Q578" s="30">
        <f>IFERROR(IF(P578="","",P578*INDEX(Ingredients!$P$5:$P$304,MATCH(D578,Ingredients!$B$5:$B$304,0))),"")</f>
        <v>0</v>
      </c>
      <c r="R578" s="45">
        <f>IFERROR(IF(P578="","",P578*INDEX(Ingredients!$Q$5:$Q$304,MATCH(D578,Ingredients!$B$5:$B$304,0))),"")</f>
        <v>0</v>
      </c>
      <c r="S578" s="45">
        <f>IFERROR(IF(P578="","",P578*INDEX(Ingredients!$R$5:$R$304,MATCH(D578,Ingredients!$B$5:$B$304,0))),"")</f>
        <v>0</v>
      </c>
      <c r="T578" s="45">
        <f>IFERROR(IF(P578="","",P578*INDEX(Ingredients!$S$5:$S$304,MATCH(D578,Ingredients!$B$5:$B$304,0))),"")</f>
        <v>0</v>
      </c>
      <c r="U578" s="45">
        <f>IFERROR(IF(P578="","",P578*INDEX(Ingredients!$T$5:$T$304,MATCH(D578,Ingredients!$B$5:$B$304,0))),"")</f>
        <v>0</v>
      </c>
      <c r="V578" s="17">
        <f>IF(D578="","",IFERROR(INDEX(Ingredients!$W$5:$W$304,MATCH(D578,Ingredients!$B$5:$B$304,0)),"Add to Ingredients"))</f>
        <v>0</v>
      </c>
      <c r="W578" s="17">
        <f>IF(D578="","",IFERROR(INDEX(Ingredients!$C$5:$C$304,MATCH(D578,Ingredients!$B$5:$B$304,0)),"Add to Ingredients"))</f>
        <v>0</v>
      </c>
      <c r="X578" s="45">
        <f>IFERROR(INDEX(Recipes!$AT$5:$AT$204,MATCH(B578,Recipes!$A$5:$A$204,0)),0)</f>
        <v>0</v>
      </c>
      <c r="Y578" s="45">
        <f>IF(OR(J578="",X578=0),"",J578*X578)</f>
        <v>0</v>
      </c>
      <c r="Z578" s="17">
        <f>IF(D578="","",B578&amp;"#"&amp;COUNTIFS($B$5:B578,B578))</f>
        <v>0</v>
      </c>
      <c r="AA578" s="17">
        <f>IF(D578="","",B578&amp;"|"&amp;D578)</f>
        <v>0</v>
      </c>
      <c r="AB578" s="31">
        <f>IF(D578="","",IF(B578="","Add - which recipe?",IF(COUNTIFS(Ingredients!$B$5:$B$304,D578)=0,"Missing - not in the Ingredients tab",IF(E578="","Add - no quantity",IF(F578="","Add - no unit",IF(K578&lt;&gt;L578,"Check - recipe in "&amp;K578&amp;", priced in "&amp;L578,IF(COUNTIFS($AA$5:$AA$1204,AA578)&gt;1,"Duplicate - same ingredient twice","OK")))))))</f>
        <v>0</v>
      </c>
    </row>
    <row r="579" spans="1:28">
      <c r="A579" s="39">
        <f>IF(D579="","","RL-"&amp;TEXT(ROW()-4,"0000"))</f>
        <v>0</v>
      </c>
      <c r="C579" s="17">
        <f>IF(B579="","",IFERROR(INDEX(Recipes!$B$5:$B$204,MATCH(B579,Recipes!$A$5:$A$204,0)),"Not found"))</f>
        <v>0</v>
      </c>
      <c r="J579" s="45">
        <f>IF(E579="","",IFERROR(E579*INDEX(UnitFactors,MATCH(F579,UnitNames,0)),""))</f>
        <v>0</v>
      </c>
      <c r="K579" s="17">
        <f>IF(F579="","",IFERROR(INDEX(UnitBases,MATCH(F579,UnitNames,0)),"?"))</f>
        <v>0</v>
      </c>
      <c r="L579" s="17">
        <f>IF(D579="","",IFERROR(INDEX(Ingredients!$G$5:$G$304,MATCH(D579,Ingredients!$B$5:$B$304,0)),"Add to Ingredients"))</f>
        <v>0</v>
      </c>
      <c r="M579" s="25">
        <f>IF(D579="","",IFERROR(INDEX(Ingredients!$J$5:$J$304,MATCH(D579,Ingredients!$B$5:$B$304,0)),"Add to Ingredients"))</f>
        <v>0</v>
      </c>
      <c r="N579" s="25">
        <f>IF(OR(J579="",M579="",NOT(ISNUMBER(M579))),"",IF(K579&lt;&gt;L579,"",J579*M579))</f>
        <v>0</v>
      </c>
      <c r="O579" s="25">
        <f>IF(N579="","",IFERROR(N579/INDEX(Recipes!$G$5:$G$204,MATCH(B579,Recipes!$A$5:$A$204,0)),""))</f>
        <v>0</v>
      </c>
      <c r="P579" s="30">
        <f>IF(J579="","",IF(K579="each",J579,J579/100))</f>
        <v>0</v>
      </c>
      <c r="Q579" s="30">
        <f>IFERROR(IF(P579="","",P579*INDEX(Ingredients!$P$5:$P$304,MATCH(D579,Ingredients!$B$5:$B$304,0))),"")</f>
        <v>0</v>
      </c>
      <c r="R579" s="45">
        <f>IFERROR(IF(P579="","",P579*INDEX(Ingredients!$Q$5:$Q$304,MATCH(D579,Ingredients!$B$5:$B$304,0))),"")</f>
        <v>0</v>
      </c>
      <c r="S579" s="45">
        <f>IFERROR(IF(P579="","",P579*INDEX(Ingredients!$R$5:$R$304,MATCH(D579,Ingredients!$B$5:$B$304,0))),"")</f>
        <v>0</v>
      </c>
      <c r="T579" s="45">
        <f>IFERROR(IF(P579="","",P579*INDEX(Ingredients!$S$5:$S$304,MATCH(D579,Ingredients!$B$5:$B$304,0))),"")</f>
        <v>0</v>
      </c>
      <c r="U579" s="45">
        <f>IFERROR(IF(P579="","",P579*INDEX(Ingredients!$T$5:$T$304,MATCH(D579,Ingredients!$B$5:$B$304,0))),"")</f>
        <v>0</v>
      </c>
      <c r="V579" s="17">
        <f>IF(D579="","",IFERROR(INDEX(Ingredients!$W$5:$W$304,MATCH(D579,Ingredients!$B$5:$B$304,0)),"Add to Ingredients"))</f>
        <v>0</v>
      </c>
      <c r="W579" s="17">
        <f>IF(D579="","",IFERROR(INDEX(Ingredients!$C$5:$C$304,MATCH(D579,Ingredients!$B$5:$B$304,0)),"Add to Ingredients"))</f>
        <v>0</v>
      </c>
      <c r="X579" s="45">
        <f>IFERROR(INDEX(Recipes!$AT$5:$AT$204,MATCH(B579,Recipes!$A$5:$A$204,0)),0)</f>
        <v>0</v>
      </c>
      <c r="Y579" s="45">
        <f>IF(OR(J579="",X579=0),"",J579*X579)</f>
        <v>0</v>
      </c>
      <c r="Z579" s="17">
        <f>IF(D579="","",B579&amp;"#"&amp;COUNTIFS($B$5:B579,B579))</f>
        <v>0</v>
      </c>
      <c r="AA579" s="17">
        <f>IF(D579="","",B579&amp;"|"&amp;D579)</f>
        <v>0</v>
      </c>
      <c r="AB579" s="31">
        <f>IF(D579="","",IF(B579="","Add - which recipe?",IF(COUNTIFS(Ingredients!$B$5:$B$304,D579)=0,"Missing - not in the Ingredients tab",IF(E579="","Add - no quantity",IF(F579="","Add - no unit",IF(K579&lt;&gt;L579,"Check - recipe in "&amp;K579&amp;", priced in "&amp;L579,IF(COUNTIFS($AA$5:$AA$1204,AA579)&gt;1,"Duplicate - same ingredient twice","OK")))))))</f>
        <v>0</v>
      </c>
    </row>
    <row r="580" spans="1:28">
      <c r="A580" s="39">
        <f>IF(D580="","","RL-"&amp;TEXT(ROW()-4,"0000"))</f>
        <v>0</v>
      </c>
      <c r="C580" s="17">
        <f>IF(B580="","",IFERROR(INDEX(Recipes!$B$5:$B$204,MATCH(B580,Recipes!$A$5:$A$204,0)),"Not found"))</f>
        <v>0</v>
      </c>
      <c r="J580" s="45">
        <f>IF(E580="","",IFERROR(E580*INDEX(UnitFactors,MATCH(F580,UnitNames,0)),""))</f>
        <v>0</v>
      </c>
      <c r="K580" s="17">
        <f>IF(F580="","",IFERROR(INDEX(UnitBases,MATCH(F580,UnitNames,0)),"?"))</f>
        <v>0</v>
      </c>
      <c r="L580" s="17">
        <f>IF(D580="","",IFERROR(INDEX(Ingredients!$G$5:$G$304,MATCH(D580,Ingredients!$B$5:$B$304,0)),"Add to Ingredients"))</f>
        <v>0</v>
      </c>
      <c r="M580" s="25">
        <f>IF(D580="","",IFERROR(INDEX(Ingredients!$J$5:$J$304,MATCH(D580,Ingredients!$B$5:$B$304,0)),"Add to Ingredients"))</f>
        <v>0</v>
      </c>
      <c r="N580" s="25">
        <f>IF(OR(J580="",M580="",NOT(ISNUMBER(M580))),"",IF(K580&lt;&gt;L580,"",J580*M580))</f>
        <v>0</v>
      </c>
      <c r="O580" s="25">
        <f>IF(N580="","",IFERROR(N580/INDEX(Recipes!$G$5:$G$204,MATCH(B580,Recipes!$A$5:$A$204,0)),""))</f>
        <v>0</v>
      </c>
      <c r="P580" s="30">
        <f>IF(J580="","",IF(K580="each",J580,J580/100))</f>
        <v>0</v>
      </c>
      <c r="Q580" s="30">
        <f>IFERROR(IF(P580="","",P580*INDEX(Ingredients!$P$5:$P$304,MATCH(D580,Ingredients!$B$5:$B$304,0))),"")</f>
        <v>0</v>
      </c>
      <c r="R580" s="45">
        <f>IFERROR(IF(P580="","",P580*INDEX(Ingredients!$Q$5:$Q$304,MATCH(D580,Ingredients!$B$5:$B$304,0))),"")</f>
        <v>0</v>
      </c>
      <c r="S580" s="45">
        <f>IFERROR(IF(P580="","",P580*INDEX(Ingredients!$R$5:$R$304,MATCH(D580,Ingredients!$B$5:$B$304,0))),"")</f>
        <v>0</v>
      </c>
      <c r="T580" s="45">
        <f>IFERROR(IF(P580="","",P580*INDEX(Ingredients!$S$5:$S$304,MATCH(D580,Ingredients!$B$5:$B$304,0))),"")</f>
        <v>0</v>
      </c>
      <c r="U580" s="45">
        <f>IFERROR(IF(P580="","",P580*INDEX(Ingredients!$T$5:$T$304,MATCH(D580,Ingredients!$B$5:$B$304,0))),"")</f>
        <v>0</v>
      </c>
      <c r="V580" s="17">
        <f>IF(D580="","",IFERROR(INDEX(Ingredients!$W$5:$W$304,MATCH(D580,Ingredients!$B$5:$B$304,0)),"Add to Ingredients"))</f>
        <v>0</v>
      </c>
      <c r="W580" s="17">
        <f>IF(D580="","",IFERROR(INDEX(Ingredients!$C$5:$C$304,MATCH(D580,Ingredients!$B$5:$B$304,0)),"Add to Ingredients"))</f>
        <v>0</v>
      </c>
      <c r="X580" s="45">
        <f>IFERROR(INDEX(Recipes!$AT$5:$AT$204,MATCH(B580,Recipes!$A$5:$A$204,0)),0)</f>
        <v>0</v>
      </c>
      <c r="Y580" s="45">
        <f>IF(OR(J580="",X580=0),"",J580*X580)</f>
        <v>0</v>
      </c>
      <c r="Z580" s="17">
        <f>IF(D580="","",B580&amp;"#"&amp;COUNTIFS($B$5:B580,B580))</f>
        <v>0</v>
      </c>
      <c r="AA580" s="17">
        <f>IF(D580="","",B580&amp;"|"&amp;D580)</f>
        <v>0</v>
      </c>
      <c r="AB580" s="31">
        <f>IF(D580="","",IF(B580="","Add - which recipe?",IF(COUNTIFS(Ingredients!$B$5:$B$304,D580)=0,"Missing - not in the Ingredients tab",IF(E580="","Add - no quantity",IF(F580="","Add - no unit",IF(K580&lt;&gt;L580,"Check - recipe in "&amp;K580&amp;", priced in "&amp;L580,IF(COUNTIFS($AA$5:$AA$1204,AA580)&gt;1,"Duplicate - same ingredient twice","OK")))))))</f>
        <v>0</v>
      </c>
    </row>
    <row r="581" spans="1:28">
      <c r="A581" s="39">
        <f>IF(D581="","","RL-"&amp;TEXT(ROW()-4,"0000"))</f>
        <v>0</v>
      </c>
      <c r="C581" s="17">
        <f>IF(B581="","",IFERROR(INDEX(Recipes!$B$5:$B$204,MATCH(B581,Recipes!$A$5:$A$204,0)),"Not found"))</f>
        <v>0</v>
      </c>
      <c r="J581" s="45">
        <f>IF(E581="","",IFERROR(E581*INDEX(UnitFactors,MATCH(F581,UnitNames,0)),""))</f>
        <v>0</v>
      </c>
      <c r="K581" s="17">
        <f>IF(F581="","",IFERROR(INDEX(UnitBases,MATCH(F581,UnitNames,0)),"?"))</f>
        <v>0</v>
      </c>
      <c r="L581" s="17">
        <f>IF(D581="","",IFERROR(INDEX(Ingredients!$G$5:$G$304,MATCH(D581,Ingredients!$B$5:$B$304,0)),"Add to Ingredients"))</f>
        <v>0</v>
      </c>
      <c r="M581" s="25">
        <f>IF(D581="","",IFERROR(INDEX(Ingredients!$J$5:$J$304,MATCH(D581,Ingredients!$B$5:$B$304,0)),"Add to Ingredients"))</f>
        <v>0</v>
      </c>
      <c r="N581" s="25">
        <f>IF(OR(J581="",M581="",NOT(ISNUMBER(M581))),"",IF(K581&lt;&gt;L581,"",J581*M581))</f>
        <v>0</v>
      </c>
      <c r="O581" s="25">
        <f>IF(N581="","",IFERROR(N581/INDEX(Recipes!$G$5:$G$204,MATCH(B581,Recipes!$A$5:$A$204,0)),""))</f>
        <v>0</v>
      </c>
      <c r="P581" s="30">
        <f>IF(J581="","",IF(K581="each",J581,J581/100))</f>
        <v>0</v>
      </c>
      <c r="Q581" s="30">
        <f>IFERROR(IF(P581="","",P581*INDEX(Ingredients!$P$5:$P$304,MATCH(D581,Ingredients!$B$5:$B$304,0))),"")</f>
        <v>0</v>
      </c>
      <c r="R581" s="45">
        <f>IFERROR(IF(P581="","",P581*INDEX(Ingredients!$Q$5:$Q$304,MATCH(D581,Ingredients!$B$5:$B$304,0))),"")</f>
        <v>0</v>
      </c>
      <c r="S581" s="45">
        <f>IFERROR(IF(P581="","",P581*INDEX(Ingredients!$R$5:$R$304,MATCH(D581,Ingredients!$B$5:$B$304,0))),"")</f>
        <v>0</v>
      </c>
      <c r="T581" s="45">
        <f>IFERROR(IF(P581="","",P581*INDEX(Ingredients!$S$5:$S$304,MATCH(D581,Ingredients!$B$5:$B$304,0))),"")</f>
        <v>0</v>
      </c>
      <c r="U581" s="45">
        <f>IFERROR(IF(P581="","",P581*INDEX(Ingredients!$T$5:$T$304,MATCH(D581,Ingredients!$B$5:$B$304,0))),"")</f>
        <v>0</v>
      </c>
      <c r="V581" s="17">
        <f>IF(D581="","",IFERROR(INDEX(Ingredients!$W$5:$W$304,MATCH(D581,Ingredients!$B$5:$B$304,0)),"Add to Ingredients"))</f>
        <v>0</v>
      </c>
      <c r="W581" s="17">
        <f>IF(D581="","",IFERROR(INDEX(Ingredients!$C$5:$C$304,MATCH(D581,Ingredients!$B$5:$B$304,0)),"Add to Ingredients"))</f>
        <v>0</v>
      </c>
      <c r="X581" s="45">
        <f>IFERROR(INDEX(Recipes!$AT$5:$AT$204,MATCH(B581,Recipes!$A$5:$A$204,0)),0)</f>
        <v>0</v>
      </c>
      <c r="Y581" s="45">
        <f>IF(OR(J581="",X581=0),"",J581*X581)</f>
        <v>0</v>
      </c>
      <c r="Z581" s="17">
        <f>IF(D581="","",B581&amp;"#"&amp;COUNTIFS($B$5:B581,B581))</f>
        <v>0</v>
      </c>
      <c r="AA581" s="17">
        <f>IF(D581="","",B581&amp;"|"&amp;D581)</f>
        <v>0</v>
      </c>
      <c r="AB581" s="31">
        <f>IF(D581="","",IF(B581="","Add - which recipe?",IF(COUNTIFS(Ingredients!$B$5:$B$304,D581)=0,"Missing - not in the Ingredients tab",IF(E581="","Add - no quantity",IF(F581="","Add - no unit",IF(K581&lt;&gt;L581,"Check - recipe in "&amp;K581&amp;", priced in "&amp;L581,IF(COUNTIFS($AA$5:$AA$1204,AA581)&gt;1,"Duplicate - same ingredient twice","OK")))))))</f>
        <v>0</v>
      </c>
    </row>
    <row r="582" spans="1:28">
      <c r="A582" s="39">
        <f>IF(D582="","","RL-"&amp;TEXT(ROW()-4,"0000"))</f>
        <v>0</v>
      </c>
      <c r="C582" s="17">
        <f>IF(B582="","",IFERROR(INDEX(Recipes!$B$5:$B$204,MATCH(B582,Recipes!$A$5:$A$204,0)),"Not found"))</f>
        <v>0</v>
      </c>
      <c r="J582" s="45">
        <f>IF(E582="","",IFERROR(E582*INDEX(UnitFactors,MATCH(F582,UnitNames,0)),""))</f>
        <v>0</v>
      </c>
      <c r="K582" s="17">
        <f>IF(F582="","",IFERROR(INDEX(UnitBases,MATCH(F582,UnitNames,0)),"?"))</f>
        <v>0</v>
      </c>
      <c r="L582" s="17">
        <f>IF(D582="","",IFERROR(INDEX(Ingredients!$G$5:$G$304,MATCH(D582,Ingredients!$B$5:$B$304,0)),"Add to Ingredients"))</f>
        <v>0</v>
      </c>
      <c r="M582" s="25">
        <f>IF(D582="","",IFERROR(INDEX(Ingredients!$J$5:$J$304,MATCH(D582,Ingredients!$B$5:$B$304,0)),"Add to Ingredients"))</f>
        <v>0</v>
      </c>
      <c r="N582" s="25">
        <f>IF(OR(J582="",M582="",NOT(ISNUMBER(M582))),"",IF(K582&lt;&gt;L582,"",J582*M582))</f>
        <v>0</v>
      </c>
      <c r="O582" s="25">
        <f>IF(N582="","",IFERROR(N582/INDEX(Recipes!$G$5:$G$204,MATCH(B582,Recipes!$A$5:$A$204,0)),""))</f>
        <v>0</v>
      </c>
      <c r="P582" s="30">
        <f>IF(J582="","",IF(K582="each",J582,J582/100))</f>
        <v>0</v>
      </c>
      <c r="Q582" s="30">
        <f>IFERROR(IF(P582="","",P582*INDEX(Ingredients!$P$5:$P$304,MATCH(D582,Ingredients!$B$5:$B$304,0))),"")</f>
        <v>0</v>
      </c>
      <c r="R582" s="45">
        <f>IFERROR(IF(P582="","",P582*INDEX(Ingredients!$Q$5:$Q$304,MATCH(D582,Ingredients!$B$5:$B$304,0))),"")</f>
        <v>0</v>
      </c>
      <c r="S582" s="45">
        <f>IFERROR(IF(P582="","",P582*INDEX(Ingredients!$R$5:$R$304,MATCH(D582,Ingredients!$B$5:$B$304,0))),"")</f>
        <v>0</v>
      </c>
      <c r="T582" s="45">
        <f>IFERROR(IF(P582="","",P582*INDEX(Ingredients!$S$5:$S$304,MATCH(D582,Ingredients!$B$5:$B$304,0))),"")</f>
        <v>0</v>
      </c>
      <c r="U582" s="45">
        <f>IFERROR(IF(P582="","",P582*INDEX(Ingredients!$T$5:$T$304,MATCH(D582,Ingredients!$B$5:$B$304,0))),"")</f>
        <v>0</v>
      </c>
      <c r="V582" s="17">
        <f>IF(D582="","",IFERROR(INDEX(Ingredients!$W$5:$W$304,MATCH(D582,Ingredients!$B$5:$B$304,0)),"Add to Ingredients"))</f>
        <v>0</v>
      </c>
      <c r="W582" s="17">
        <f>IF(D582="","",IFERROR(INDEX(Ingredients!$C$5:$C$304,MATCH(D582,Ingredients!$B$5:$B$304,0)),"Add to Ingredients"))</f>
        <v>0</v>
      </c>
      <c r="X582" s="45">
        <f>IFERROR(INDEX(Recipes!$AT$5:$AT$204,MATCH(B582,Recipes!$A$5:$A$204,0)),0)</f>
        <v>0</v>
      </c>
      <c r="Y582" s="45">
        <f>IF(OR(J582="",X582=0),"",J582*X582)</f>
        <v>0</v>
      </c>
      <c r="Z582" s="17">
        <f>IF(D582="","",B582&amp;"#"&amp;COUNTIFS($B$5:B582,B582))</f>
        <v>0</v>
      </c>
      <c r="AA582" s="17">
        <f>IF(D582="","",B582&amp;"|"&amp;D582)</f>
        <v>0</v>
      </c>
      <c r="AB582" s="31">
        <f>IF(D582="","",IF(B582="","Add - which recipe?",IF(COUNTIFS(Ingredients!$B$5:$B$304,D582)=0,"Missing - not in the Ingredients tab",IF(E582="","Add - no quantity",IF(F582="","Add - no unit",IF(K582&lt;&gt;L582,"Check - recipe in "&amp;K582&amp;", priced in "&amp;L582,IF(COUNTIFS($AA$5:$AA$1204,AA582)&gt;1,"Duplicate - same ingredient twice","OK")))))))</f>
        <v>0</v>
      </c>
    </row>
    <row r="583" spans="1:28">
      <c r="A583" s="39">
        <f>IF(D583="","","RL-"&amp;TEXT(ROW()-4,"0000"))</f>
        <v>0</v>
      </c>
      <c r="C583" s="17">
        <f>IF(B583="","",IFERROR(INDEX(Recipes!$B$5:$B$204,MATCH(B583,Recipes!$A$5:$A$204,0)),"Not found"))</f>
        <v>0</v>
      </c>
      <c r="J583" s="45">
        <f>IF(E583="","",IFERROR(E583*INDEX(UnitFactors,MATCH(F583,UnitNames,0)),""))</f>
        <v>0</v>
      </c>
      <c r="K583" s="17">
        <f>IF(F583="","",IFERROR(INDEX(UnitBases,MATCH(F583,UnitNames,0)),"?"))</f>
        <v>0</v>
      </c>
      <c r="L583" s="17">
        <f>IF(D583="","",IFERROR(INDEX(Ingredients!$G$5:$G$304,MATCH(D583,Ingredients!$B$5:$B$304,0)),"Add to Ingredients"))</f>
        <v>0</v>
      </c>
      <c r="M583" s="25">
        <f>IF(D583="","",IFERROR(INDEX(Ingredients!$J$5:$J$304,MATCH(D583,Ingredients!$B$5:$B$304,0)),"Add to Ingredients"))</f>
        <v>0</v>
      </c>
      <c r="N583" s="25">
        <f>IF(OR(J583="",M583="",NOT(ISNUMBER(M583))),"",IF(K583&lt;&gt;L583,"",J583*M583))</f>
        <v>0</v>
      </c>
      <c r="O583" s="25">
        <f>IF(N583="","",IFERROR(N583/INDEX(Recipes!$G$5:$G$204,MATCH(B583,Recipes!$A$5:$A$204,0)),""))</f>
        <v>0</v>
      </c>
      <c r="P583" s="30">
        <f>IF(J583="","",IF(K583="each",J583,J583/100))</f>
        <v>0</v>
      </c>
      <c r="Q583" s="30">
        <f>IFERROR(IF(P583="","",P583*INDEX(Ingredients!$P$5:$P$304,MATCH(D583,Ingredients!$B$5:$B$304,0))),"")</f>
        <v>0</v>
      </c>
      <c r="R583" s="45">
        <f>IFERROR(IF(P583="","",P583*INDEX(Ingredients!$Q$5:$Q$304,MATCH(D583,Ingredients!$B$5:$B$304,0))),"")</f>
        <v>0</v>
      </c>
      <c r="S583" s="45">
        <f>IFERROR(IF(P583="","",P583*INDEX(Ingredients!$R$5:$R$304,MATCH(D583,Ingredients!$B$5:$B$304,0))),"")</f>
        <v>0</v>
      </c>
      <c r="T583" s="45">
        <f>IFERROR(IF(P583="","",P583*INDEX(Ingredients!$S$5:$S$304,MATCH(D583,Ingredients!$B$5:$B$304,0))),"")</f>
        <v>0</v>
      </c>
      <c r="U583" s="45">
        <f>IFERROR(IF(P583="","",P583*INDEX(Ingredients!$T$5:$T$304,MATCH(D583,Ingredients!$B$5:$B$304,0))),"")</f>
        <v>0</v>
      </c>
      <c r="V583" s="17">
        <f>IF(D583="","",IFERROR(INDEX(Ingredients!$W$5:$W$304,MATCH(D583,Ingredients!$B$5:$B$304,0)),"Add to Ingredients"))</f>
        <v>0</v>
      </c>
      <c r="W583" s="17">
        <f>IF(D583="","",IFERROR(INDEX(Ingredients!$C$5:$C$304,MATCH(D583,Ingredients!$B$5:$B$304,0)),"Add to Ingredients"))</f>
        <v>0</v>
      </c>
      <c r="X583" s="45">
        <f>IFERROR(INDEX(Recipes!$AT$5:$AT$204,MATCH(B583,Recipes!$A$5:$A$204,0)),0)</f>
        <v>0</v>
      </c>
      <c r="Y583" s="45">
        <f>IF(OR(J583="",X583=0),"",J583*X583)</f>
        <v>0</v>
      </c>
      <c r="Z583" s="17">
        <f>IF(D583="","",B583&amp;"#"&amp;COUNTIFS($B$5:B583,B583))</f>
        <v>0</v>
      </c>
      <c r="AA583" s="17">
        <f>IF(D583="","",B583&amp;"|"&amp;D583)</f>
        <v>0</v>
      </c>
      <c r="AB583" s="31">
        <f>IF(D583="","",IF(B583="","Add - which recipe?",IF(COUNTIFS(Ingredients!$B$5:$B$304,D583)=0,"Missing - not in the Ingredients tab",IF(E583="","Add - no quantity",IF(F583="","Add - no unit",IF(K583&lt;&gt;L583,"Check - recipe in "&amp;K583&amp;", priced in "&amp;L583,IF(COUNTIFS($AA$5:$AA$1204,AA583)&gt;1,"Duplicate - same ingredient twice","OK")))))))</f>
        <v>0</v>
      </c>
    </row>
    <row r="584" spans="1:28">
      <c r="A584" s="39">
        <f>IF(D584="","","RL-"&amp;TEXT(ROW()-4,"0000"))</f>
        <v>0</v>
      </c>
      <c r="C584" s="17">
        <f>IF(B584="","",IFERROR(INDEX(Recipes!$B$5:$B$204,MATCH(B584,Recipes!$A$5:$A$204,0)),"Not found"))</f>
        <v>0</v>
      </c>
      <c r="J584" s="45">
        <f>IF(E584="","",IFERROR(E584*INDEX(UnitFactors,MATCH(F584,UnitNames,0)),""))</f>
        <v>0</v>
      </c>
      <c r="K584" s="17">
        <f>IF(F584="","",IFERROR(INDEX(UnitBases,MATCH(F584,UnitNames,0)),"?"))</f>
        <v>0</v>
      </c>
      <c r="L584" s="17">
        <f>IF(D584="","",IFERROR(INDEX(Ingredients!$G$5:$G$304,MATCH(D584,Ingredients!$B$5:$B$304,0)),"Add to Ingredients"))</f>
        <v>0</v>
      </c>
      <c r="M584" s="25">
        <f>IF(D584="","",IFERROR(INDEX(Ingredients!$J$5:$J$304,MATCH(D584,Ingredients!$B$5:$B$304,0)),"Add to Ingredients"))</f>
        <v>0</v>
      </c>
      <c r="N584" s="25">
        <f>IF(OR(J584="",M584="",NOT(ISNUMBER(M584))),"",IF(K584&lt;&gt;L584,"",J584*M584))</f>
        <v>0</v>
      </c>
      <c r="O584" s="25">
        <f>IF(N584="","",IFERROR(N584/INDEX(Recipes!$G$5:$G$204,MATCH(B584,Recipes!$A$5:$A$204,0)),""))</f>
        <v>0</v>
      </c>
      <c r="P584" s="30">
        <f>IF(J584="","",IF(K584="each",J584,J584/100))</f>
        <v>0</v>
      </c>
      <c r="Q584" s="30">
        <f>IFERROR(IF(P584="","",P584*INDEX(Ingredients!$P$5:$P$304,MATCH(D584,Ingredients!$B$5:$B$304,0))),"")</f>
        <v>0</v>
      </c>
      <c r="R584" s="45">
        <f>IFERROR(IF(P584="","",P584*INDEX(Ingredients!$Q$5:$Q$304,MATCH(D584,Ingredients!$B$5:$B$304,0))),"")</f>
        <v>0</v>
      </c>
      <c r="S584" s="45">
        <f>IFERROR(IF(P584="","",P584*INDEX(Ingredients!$R$5:$R$304,MATCH(D584,Ingredients!$B$5:$B$304,0))),"")</f>
        <v>0</v>
      </c>
      <c r="T584" s="45">
        <f>IFERROR(IF(P584="","",P584*INDEX(Ingredients!$S$5:$S$304,MATCH(D584,Ingredients!$B$5:$B$304,0))),"")</f>
        <v>0</v>
      </c>
      <c r="U584" s="45">
        <f>IFERROR(IF(P584="","",P584*INDEX(Ingredients!$T$5:$T$304,MATCH(D584,Ingredients!$B$5:$B$304,0))),"")</f>
        <v>0</v>
      </c>
      <c r="V584" s="17">
        <f>IF(D584="","",IFERROR(INDEX(Ingredients!$W$5:$W$304,MATCH(D584,Ingredients!$B$5:$B$304,0)),"Add to Ingredients"))</f>
        <v>0</v>
      </c>
      <c r="W584" s="17">
        <f>IF(D584="","",IFERROR(INDEX(Ingredients!$C$5:$C$304,MATCH(D584,Ingredients!$B$5:$B$304,0)),"Add to Ingredients"))</f>
        <v>0</v>
      </c>
      <c r="X584" s="45">
        <f>IFERROR(INDEX(Recipes!$AT$5:$AT$204,MATCH(B584,Recipes!$A$5:$A$204,0)),0)</f>
        <v>0</v>
      </c>
      <c r="Y584" s="45">
        <f>IF(OR(J584="",X584=0),"",J584*X584)</f>
        <v>0</v>
      </c>
      <c r="Z584" s="17">
        <f>IF(D584="","",B584&amp;"#"&amp;COUNTIFS($B$5:B584,B584))</f>
        <v>0</v>
      </c>
      <c r="AA584" s="17">
        <f>IF(D584="","",B584&amp;"|"&amp;D584)</f>
        <v>0</v>
      </c>
      <c r="AB584" s="31">
        <f>IF(D584="","",IF(B584="","Add - which recipe?",IF(COUNTIFS(Ingredients!$B$5:$B$304,D584)=0,"Missing - not in the Ingredients tab",IF(E584="","Add - no quantity",IF(F584="","Add - no unit",IF(K584&lt;&gt;L584,"Check - recipe in "&amp;K584&amp;", priced in "&amp;L584,IF(COUNTIFS($AA$5:$AA$1204,AA584)&gt;1,"Duplicate - same ingredient twice","OK")))))))</f>
        <v>0</v>
      </c>
    </row>
    <row r="585" spans="1:28">
      <c r="A585" s="39">
        <f>IF(D585="","","RL-"&amp;TEXT(ROW()-4,"0000"))</f>
        <v>0</v>
      </c>
      <c r="C585" s="17">
        <f>IF(B585="","",IFERROR(INDEX(Recipes!$B$5:$B$204,MATCH(B585,Recipes!$A$5:$A$204,0)),"Not found"))</f>
        <v>0</v>
      </c>
      <c r="J585" s="45">
        <f>IF(E585="","",IFERROR(E585*INDEX(UnitFactors,MATCH(F585,UnitNames,0)),""))</f>
        <v>0</v>
      </c>
      <c r="K585" s="17">
        <f>IF(F585="","",IFERROR(INDEX(UnitBases,MATCH(F585,UnitNames,0)),"?"))</f>
        <v>0</v>
      </c>
      <c r="L585" s="17">
        <f>IF(D585="","",IFERROR(INDEX(Ingredients!$G$5:$G$304,MATCH(D585,Ingredients!$B$5:$B$304,0)),"Add to Ingredients"))</f>
        <v>0</v>
      </c>
      <c r="M585" s="25">
        <f>IF(D585="","",IFERROR(INDEX(Ingredients!$J$5:$J$304,MATCH(D585,Ingredients!$B$5:$B$304,0)),"Add to Ingredients"))</f>
        <v>0</v>
      </c>
      <c r="N585" s="25">
        <f>IF(OR(J585="",M585="",NOT(ISNUMBER(M585))),"",IF(K585&lt;&gt;L585,"",J585*M585))</f>
        <v>0</v>
      </c>
      <c r="O585" s="25">
        <f>IF(N585="","",IFERROR(N585/INDEX(Recipes!$G$5:$G$204,MATCH(B585,Recipes!$A$5:$A$204,0)),""))</f>
        <v>0</v>
      </c>
      <c r="P585" s="30">
        <f>IF(J585="","",IF(K585="each",J585,J585/100))</f>
        <v>0</v>
      </c>
      <c r="Q585" s="30">
        <f>IFERROR(IF(P585="","",P585*INDEX(Ingredients!$P$5:$P$304,MATCH(D585,Ingredients!$B$5:$B$304,0))),"")</f>
        <v>0</v>
      </c>
      <c r="R585" s="45">
        <f>IFERROR(IF(P585="","",P585*INDEX(Ingredients!$Q$5:$Q$304,MATCH(D585,Ingredients!$B$5:$B$304,0))),"")</f>
        <v>0</v>
      </c>
      <c r="S585" s="45">
        <f>IFERROR(IF(P585="","",P585*INDEX(Ingredients!$R$5:$R$304,MATCH(D585,Ingredients!$B$5:$B$304,0))),"")</f>
        <v>0</v>
      </c>
      <c r="T585" s="45">
        <f>IFERROR(IF(P585="","",P585*INDEX(Ingredients!$S$5:$S$304,MATCH(D585,Ingredients!$B$5:$B$304,0))),"")</f>
        <v>0</v>
      </c>
      <c r="U585" s="45">
        <f>IFERROR(IF(P585="","",P585*INDEX(Ingredients!$T$5:$T$304,MATCH(D585,Ingredients!$B$5:$B$304,0))),"")</f>
        <v>0</v>
      </c>
      <c r="V585" s="17">
        <f>IF(D585="","",IFERROR(INDEX(Ingredients!$W$5:$W$304,MATCH(D585,Ingredients!$B$5:$B$304,0)),"Add to Ingredients"))</f>
        <v>0</v>
      </c>
      <c r="W585" s="17">
        <f>IF(D585="","",IFERROR(INDEX(Ingredients!$C$5:$C$304,MATCH(D585,Ingredients!$B$5:$B$304,0)),"Add to Ingredients"))</f>
        <v>0</v>
      </c>
      <c r="X585" s="45">
        <f>IFERROR(INDEX(Recipes!$AT$5:$AT$204,MATCH(B585,Recipes!$A$5:$A$204,0)),0)</f>
        <v>0</v>
      </c>
      <c r="Y585" s="45">
        <f>IF(OR(J585="",X585=0),"",J585*X585)</f>
        <v>0</v>
      </c>
      <c r="Z585" s="17">
        <f>IF(D585="","",B585&amp;"#"&amp;COUNTIFS($B$5:B585,B585))</f>
        <v>0</v>
      </c>
      <c r="AA585" s="17">
        <f>IF(D585="","",B585&amp;"|"&amp;D585)</f>
        <v>0</v>
      </c>
      <c r="AB585" s="31">
        <f>IF(D585="","",IF(B585="","Add - which recipe?",IF(COUNTIFS(Ingredients!$B$5:$B$304,D585)=0,"Missing - not in the Ingredients tab",IF(E585="","Add - no quantity",IF(F585="","Add - no unit",IF(K585&lt;&gt;L585,"Check - recipe in "&amp;K585&amp;", priced in "&amp;L585,IF(COUNTIFS($AA$5:$AA$1204,AA585)&gt;1,"Duplicate - same ingredient twice","OK")))))))</f>
        <v>0</v>
      </c>
    </row>
    <row r="586" spans="1:28">
      <c r="A586" s="39">
        <f>IF(D586="","","RL-"&amp;TEXT(ROW()-4,"0000"))</f>
        <v>0</v>
      </c>
      <c r="C586" s="17">
        <f>IF(B586="","",IFERROR(INDEX(Recipes!$B$5:$B$204,MATCH(B586,Recipes!$A$5:$A$204,0)),"Not found"))</f>
        <v>0</v>
      </c>
      <c r="J586" s="45">
        <f>IF(E586="","",IFERROR(E586*INDEX(UnitFactors,MATCH(F586,UnitNames,0)),""))</f>
        <v>0</v>
      </c>
      <c r="K586" s="17">
        <f>IF(F586="","",IFERROR(INDEX(UnitBases,MATCH(F586,UnitNames,0)),"?"))</f>
        <v>0</v>
      </c>
      <c r="L586" s="17">
        <f>IF(D586="","",IFERROR(INDEX(Ingredients!$G$5:$G$304,MATCH(D586,Ingredients!$B$5:$B$304,0)),"Add to Ingredients"))</f>
        <v>0</v>
      </c>
      <c r="M586" s="25">
        <f>IF(D586="","",IFERROR(INDEX(Ingredients!$J$5:$J$304,MATCH(D586,Ingredients!$B$5:$B$304,0)),"Add to Ingredients"))</f>
        <v>0</v>
      </c>
      <c r="N586" s="25">
        <f>IF(OR(J586="",M586="",NOT(ISNUMBER(M586))),"",IF(K586&lt;&gt;L586,"",J586*M586))</f>
        <v>0</v>
      </c>
      <c r="O586" s="25">
        <f>IF(N586="","",IFERROR(N586/INDEX(Recipes!$G$5:$G$204,MATCH(B586,Recipes!$A$5:$A$204,0)),""))</f>
        <v>0</v>
      </c>
      <c r="P586" s="30">
        <f>IF(J586="","",IF(K586="each",J586,J586/100))</f>
        <v>0</v>
      </c>
      <c r="Q586" s="30">
        <f>IFERROR(IF(P586="","",P586*INDEX(Ingredients!$P$5:$P$304,MATCH(D586,Ingredients!$B$5:$B$304,0))),"")</f>
        <v>0</v>
      </c>
      <c r="R586" s="45">
        <f>IFERROR(IF(P586="","",P586*INDEX(Ingredients!$Q$5:$Q$304,MATCH(D586,Ingredients!$B$5:$B$304,0))),"")</f>
        <v>0</v>
      </c>
      <c r="S586" s="45">
        <f>IFERROR(IF(P586="","",P586*INDEX(Ingredients!$R$5:$R$304,MATCH(D586,Ingredients!$B$5:$B$304,0))),"")</f>
        <v>0</v>
      </c>
      <c r="T586" s="45">
        <f>IFERROR(IF(P586="","",P586*INDEX(Ingredients!$S$5:$S$304,MATCH(D586,Ingredients!$B$5:$B$304,0))),"")</f>
        <v>0</v>
      </c>
      <c r="U586" s="45">
        <f>IFERROR(IF(P586="","",P586*INDEX(Ingredients!$T$5:$T$304,MATCH(D586,Ingredients!$B$5:$B$304,0))),"")</f>
        <v>0</v>
      </c>
      <c r="V586" s="17">
        <f>IF(D586="","",IFERROR(INDEX(Ingredients!$W$5:$W$304,MATCH(D586,Ingredients!$B$5:$B$304,0)),"Add to Ingredients"))</f>
        <v>0</v>
      </c>
      <c r="W586" s="17">
        <f>IF(D586="","",IFERROR(INDEX(Ingredients!$C$5:$C$304,MATCH(D586,Ingredients!$B$5:$B$304,0)),"Add to Ingredients"))</f>
        <v>0</v>
      </c>
      <c r="X586" s="45">
        <f>IFERROR(INDEX(Recipes!$AT$5:$AT$204,MATCH(B586,Recipes!$A$5:$A$204,0)),0)</f>
        <v>0</v>
      </c>
      <c r="Y586" s="45">
        <f>IF(OR(J586="",X586=0),"",J586*X586)</f>
        <v>0</v>
      </c>
      <c r="Z586" s="17">
        <f>IF(D586="","",B586&amp;"#"&amp;COUNTIFS($B$5:B586,B586))</f>
        <v>0</v>
      </c>
      <c r="AA586" s="17">
        <f>IF(D586="","",B586&amp;"|"&amp;D586)</f>
        <v>0</v>
      </c>
      <c r="AB586" s="31">
        <f>IF(D586="","",IF(B586="","Add - which recipe?",IF(COUNTIFS(Ingredients!$B$5:$B$304,D586)=0,"Missing - not in the Ingredients tab",IF(E586="","Add - no quantity",IF(F586="","Add - no unit",IF(K586&lt;&gt;L586,"Check - recipe in "&amp;K586&amp;", priced in "&amp;L586,IF(COUNTIFS($AA$5:$AA$1204,AA586)&gt;1,"Duplicate - same ingredient twice","OK")))))))</f>
        <v>0</v>
      </c>
    </row>
    <row r="587" spans="1:28">
      <c r="A587" s="39">
        <f>IF(D587="","","RL-"&amp;TEXT(ROW()-4,"0000"))</f>
        <v>0</v>
      </c>
      <c r="C587" s="17">
        <f>IF(B587="","",IFERROR(INDEX(Recipes!$B$5:$B$204,MATCH(B587,Recipes!$A$5:$A$204,0)),"Not found"))</f>
        <v>0</v>
      </c>
      <c r="J587" s="45">
        <f>IF(E587="","",IFERROR(E587*INDEX(UnitFactors,MATCH(F587,UnitNames,0)),""))</f>
        <v>0</v>
      </c>
      <c r="K587" s="17">
        <f>IF(F587="","",IFERROR(INDEX(UnitBases,MATCH(F587,UnitNames,0)),"?"))</f>
        <v>0</v>
      </c>
      <c r="L587" s="17">
        <f>IF(D587="","",IFERROR(INDEX(Ingredients!$G$5:$G$304,MATCH(D587,Ingredients!$B$5:$B$304,0)),"Add to Ingredients"))</f>
        <v>0</v>
      </c>
      <c r="M587" s="25">
        <f>IF(D587="","",IFERROR(INDEX(Ingredients!$J$5:$J$304,MATCH(D587,Ingredients!$B$5:$B$304,0)),"Add to Ingredients"))</f>
        <v>0</v>
      </c>
      <c r="N587" s="25">
        <f>IF(OR(J587="",M587="",NOT(ISNUMBER(M587))),"",IF(K587&lt;&gt;L587,"",J587*M587))</f>
        <v>0</v>
      </c>
      <c r="O587" s="25">
        <f>IF(N587="","",IFERROR(N587/INDEX(Recipes!$G$5:$G$204,MATCH(B587,Recipes!$A$5:$A$204,0)),""))</f>
        <v>0</v>
      </c>
      <c r="P587" s="30">
        <f>IF(J587="","",IF(K587="each",J587,J587/100))</f>
        <v>0</v>
      </c>
      <c r="Q587" s="30">
        <f>IFERROR(IF(P587="","",P587*INDEX(Ingredients!$P$5:$P$304,MATCH(D587,Ingredients!$B$5:$B$304,0))),"")</f>
        <v>0</v>
      </c>
      <c r="R587" s="45">
        <f>IFERROR(IF(P587="","",P587*INDEX(Ingredients!$Q$5:$Q$304,MATCH(D587,Ingredients!$B$5:$B$304,0))),"")</f>
        <v>0</v>
      </c>
      <c r="S587" s="45">
        <f>IFERROR(IF(P587="","",P587*INDEX(Ingredients!$R$5:$R$304,MATCH(D587,Ingredients!$B$5:$B$304,0))),"")</f>
        <v>0</v>
      </c>
      <c r="T587" s="45">
        <f>IFERROR(IF(P587="","",P587*INDEX(Ingredients!$S$5:$S$304,MATCH(D587,Ingredients!$B$5:$B$304,0))),"")</f>
        <v>0</v>
      </c>
      <c r="U587" s="45">
        <f>IFERROR(IF(P587="","",P587*INDEX(Ingredients!$T$5:$T$304,MATCH(D587,Ingredients!$B$5:$B$304,0))),"")</f>
        <v>0</v>
      </c>
      <c r="V587" s="17">
        <f>IF(D587="","",IFERROR(INDEX(Ingredients!$W$5:$W$304,MATCH(D587,Ingredients!$B$5:$B$304,0)),"Add to Ingredients"))</f>
        <v>0</v>
      </c>
      <c r="W587" s="17">
        <f>IF(D587="","",IFERROR(INDEX(Ingredients!$C$5:$C$304,MATCH(D587,Ingredients!$B$5:$B$304,0)),"Add to Ingredients"))</f>
        <v>0</v>
      </c>
      <c r="X587" s="45">
        <f>IFERROR(INDEX(Recipes!$AT$5:$AT$204,MATCH(B587,Recipes!$A$5:$A$204,0)),0)</f>
        <v>0</v>
      </c>
      <c r="Y587" s="45">
        <f>IF(OR(J587="",X587=0),"",J587*X587)</f>
        <v>0</v>
      </c>
      <c r="Z587" s="17">
        <f>IF(D587="","",B587&amp;"#"&amp;COUNTIFS($B$5:B587,B587))</f>
        <v>0</v>
      </c>
      <c r="AA587" s="17">
        <f>IF(D587="","",B587&amp;"|"&amp;D587)</f>
        <v>0</v>
      </c>
      <c r="AB587" s="31">
        <f>IF(D587="","",IF(B587="","Add - which recipe?",IF(COUNTIFS(Ingredients!$B$5:$B$304,D587)=0,"Missing - not in the Ingredients tab",IF(E587="","Add - no quantity",IF(F587="","Add - no unit",IF(K587&lt;&gt;L587,"Check - recipe in "&amp;K587&amp;", priced in "&amp;L587,IF(COUNTIFS($AA$5:$AA$1204,AA587)&gt;1,"Duplicate - same ingredient twice","OK")))))))</f>
        <v>0</v>
      </c>
    </row>
    <row r="588" spans="1:28">
      <c r="A588" s="39">
        <f>IF(D588="","","RL-"&amp;TEXT(ROW()-4,"0000"))</f>
        <v>0</v>
      </c>
      <c r="C588" s="17">
        <f>IF(B588="","",IFERROR(INDEX(Recipes!$B$5:$B$204,MATCH(B588,Recipes!$A$5:$A$204,0)),"Not found"))</f>
        <v>0</v>
      </c>
      <c r="J588" s="45">
        <f>IF(E588="","",IFERROR(E588*INDEX(UnitFactors,MATCH(F588,UnitNames,0)),""))</f>
        <v>0</v>
      </c>
      <c r="K588" s="17">
        <f>IF(F588="","",IFERROR(INDEX(UnitBases,MATCH(F588,UnitNames,0)),"?"))</f>
        <v>0</v>
      </c>
      <c r="L588" s="17">
        <f>IF(D588="","",IFERROR(INDEX(Ingredients!$G$5:$G$304,MATCH(D588,Ingredients!$B$5:$B$304,0)),"Add to Ingredients"))</f>
        <v>0</v>
      </c>
      <c r="M588" s="25">
        <f>IF(D588="","",IFERROR(INDEX(Ingredients!$J$5:$J$304,MATCH(D588,Ingredients!$B$5:$B$304,0)),"Add to Ingredients"))</f>
        <v>0</v>
      </c>
      <c r="N588" s="25">
        <f>IF(OR(J588="",M588="",NOT(ISNUMBER(M588))),"",IF(K588&lt;&gt;L588,"",J588*M588))</f>
        <v>0</v>
      </c>
      <c r="O588" s="25">
        <f>IF(N588="","",IFERROR(N588/INDEX(Recipes!$G$5:$G$204,MATCH(B588,Recipes!$A$5:$A$204,0)),""))</f>
        <v>0</v>
      </c>
      <c r="P588" s="30">
        <f>IF(J588="","",IF(K588="each",J588,J588/100))</f>
        <v>0</v>
      </c>
      <c r="Q588" s="30">
        <f>IFERROR(IF(P588="","",P588*INDEX(Ingredients!$P$5:$P$304,MATCH(D588,Ingredients!$B$5:$B$304,0))),"")</f>
        <v>0</v>
      </c>
      <c r="R588" s="45">
        <f>IFERROR(IF(P588="","",P588*INDEX(Ingredients!$Q$5:$Q$304,MATCH(D588,Ingredients!$B$5:$B$304,0))),"")</f>
        <v>0</v>
      </c>
      <c r="S588" s="45">
        <f>IFERROR(IF(P588="","",P588*INDEX(Ingredients!$R$5:$R$304,MATCH(D588,Ingredients!$B$5:$B$304,0))),"")</f>
        <v>0</v>
      </c>
      <c r="T588" s="45">
        <f>IFERROR(IF(P588="","",P588*INDEX(Ingredients!$S$5:$S$304,MATCH(D588,Ingredients!$B$5:$B$304,0))),"")</f>
        <v>0</v>
      </c>
      <c r="U588" s="45">
        <f>IFERROR(IF(P588="","",P588*INDEX(Ingredients!$T$5:$T$304,MATCH(D588,Ingredients!$B$5:$B$304,0))),"")</f>
        <v>0</v>
      </c>
      <c r="V588" s="17">
        <f>IF(D588="","",IFERROR(INDEX(Ingredients!$W$5:$W$304,MATCH(D588,Ingredients!$B$5:$B$304,0)),"Add to Ingredients"))</f>
        <v>0</v>
      </c>
      <c r="W588" s="17">
        <f>IF(D588="","",IFERROR(INDEX(Ingredients!$C$5:$C$304,MATCH(D588,Ingredients!$B$5:$B$304,0)),"Add to Ingredients"))</f>
        <v>0</v>
      </c>
      <c r="X588" s="45">
        <f>IFERROR(INDEX(Recipes!$AT$5:$AT$204,MATCH(B588,Recipes!$A$5:$A$204,0)),0)</f>
        <v>0</v>
      </c>
      <c r="Y588" s="45">
        <f>IF(OR(J588="",X588=0),"",J588*X588)</f>
        <v>0</v>
      </c>
      <c r="Z588" s="17">
        <f>IF(D588="","",B588&amp;"#"&amp;COUNTIFS($B$5:B588,B588))</f>
        <v>0</v>
      </c>
      <c r="AA588" s="17">
        <f>IF(D588="","",B588&amp;"|"&amp;D588)</f>
        <v>0</v>
      </c>
      <c r="AB588" s="31">
        <f>IF(D588="","",IF(B588="","Add - which recipe?",IF(COUNTIFS(Ingredients!$B$5:$B$304,D588)=0,"Missing - not in the Ingredients tab",IF(E588="","Add - no quantity",IF(F588="","Add - no unit",IF(K588&lt;&gt;L588,"Check - recipe in "&amp;K588&amp;", priced in "&amp;L588,IF(COUNTIFS($AA$5:$AA$1204,AA588)&gt;1,"Duplicate - same ingredient twice","OK")))))))</f>
        <v>0</v>
      </c>
    </row>
    <row r="589" spans="1:28">
      <c r="A589" s="39">
        <f>IF(D589="","","RL-"&amp;TEXT(ROW()-4,"0000"))</f>
        <v>0</v>
      </c>
      <c r="C589" s="17">
        <f>IF(B589="","",IFERROR(INDEX(Recipes!$B$5:$B$204,MATCH(B589,Recipes!$A$5:$A$204,0)),"Not found"))</f>
        <v>0</v>
      </c>
      <c r="J589" s="45">
        <f>IF(E589="","",IFERROR(E589*INDEX(UnitFactors,MATCH(F589,UnitNames,0)),""))</f>
        <v>0</v>
      </c>
      <c r="K589" s="17">
        <f>IF(F589="","",IFERROR(INDEX(UnitBases,MATCH(F589,UnitNames,0)),"?"))</f>
        <v>0</v>
      </c>
      <c r="L589" s="17">
        <f>IF(D589="","",IFERROR(INDEX(Ingredients!$G$5:$G$304,MATCH(D589,Ingredients!$B$5:$B$304,0)),"Add to Ingredients"))</f>
        <v>0</v>
      </c>
      <c r="M589" s="25">
        <f>IF(D589="","",IFERROR(INDEX(Ingredients!$J$5:$J$304,MATCH(D589,Ingredients!$B$5:$B$304,0)),"Add to Ingredients"))</f>
        <v>0</v>
      </c>
      <c r="N589" s="25">
        <f>IF(OR(J589="",M589="",NOT(ISNUMBER(M589))),"",IF(K589&lt;&gt;L589,"",J589*M589))</f>
        <v>0</v>
      </c>
      <c r="O589" s="25">
        <f>IF(N589="","",IFERROR(N589/INDEX(Recipes!$G$5:$G$204,MATCH(B589,Recipes!$A$5:$A$204,0)),""))</f>
        <v>0</v>
      </c>
      <c r="P589" s="30">
        <f>IF(J589="","",IF(K589="each",J589,J589/100))</f>
        <v>0</v>
      </c>
      <c r="Q589" s="30">
        <f>IFERROR(IF(P589="","",P589*INDEX(Ingredients!$P$5:$P$304,MATCH(D589,Ingredients!$B$5:$B$304,0))),"")</f>
        <v>0</v>
      </c>
      <c r="R589" s="45">
        <f>IFERROR(IF(P589="","",P589*INDEX(Ingredients!$Q$5:$Q$304,MATCH(D589,Ingredients!$B$5:$B$304,0))),"")</f>
        <v>0</v>
      </c>
      <c r="S589" s="45">
        <f>IFERROR(IF(P589="","",P589*INDEX(Ingredients!$R$5:$R$304,MATCH(D589,Ingredients!$B$5:$B$304,0))),"")</f>
        <v>0</v>
      </c>
      <c r="T589" s="45">
        <f>IFERROR(IF(P589="","",P589*INDEX(Ingredients!$S$5:$S$304,MATCH(D589,Ingredients!$B$5:$B$304,0))),"")</f>
        <v>0</v>
      </c>
      <c r="U589" s="45">
        <f>IFERROR(IF(P589="","",P589*INDEX(Ingredients!$T$5:$T$304,MATCH(D589,Ingredients!$B$5:$B$304,0))),"")</f>
        <v>0</v>
      </c>
      <c r="V589" s="17">
        <f>IF(D589="","",IFERROR(INDEX(Ingredients!$W$5:$W$304,MATCH(D589,Ingredients!$B$5:$B$304,0)),"Add to Ingredients"))</f>
        <v>0</v>
      </c>
      <c r="W589" s="17">
        <f>IF(D589="","",IFERROR(INDEX(Ingredients!$C$5:$C$304,MATCH(D589,Ingredients!$B$5:$B$304,0)),"Add to Ingredients"))</f>
        <v>0</v>
      </c>
      <c r="X589" s="45">
        <f>IFERROR(INDEX(Recipes!$AT$5:$AT$204,MATCH(B589,Recipes!$A$5:$A$204,0)),0)</f>
        <v>0</v>
      </c>
      <c r="Y589" s="45">
        <f>IF(OR(J589="",X589=0),"",J589*X589)</f>
        <v>0</v>
      </c>
      <c r="Z589" s="17">
        <f>IF(D589="","",B589&amp;"#"&amp;COUNTIFS($B$5:B589,B589))</f>
        <v>0</v>
      </c>
      <c r="AA589" s="17">
        <f>IF(D589="","",B589&amp;"|"&amp;D589)</f>
        <v>0</v>
      </c>
      <c r="AB589" s="31">
        <f>IF(D589="","",IF(B589="","Add - which recipe?",IF(COUNTIFS(Ingredients!$B$5:$B$304,D589)=0,"Missing - not in the Ingredients tab",IF(E589="","Add - no quantity",IF(F589="","Add - no unit",IF(K589&lt;&gt;L589,"Check - recipe in "&amp;K589&amp;", priced in "&amp;L589,IF(COUNTIFS($AA$5:$AA$1204,AA589)&gt;1,"Duplicate - same ingredient twice","OK")))))))</f>
        <v>0</v>
      </c>
    </row>
    <row r="590" spans="1:28">
      <c r="A590" s="39">
        <f>IF(D590="","","RL-"&amp;TEXT(ROW()-4,"0000"))</f>
        <v>0</v>
      </c>
      <c r="C590" s="17">
        <f>IF(B590="","",IFERROR(INDEX(Recipes!$B$5:$B$204,MATCH(B590,Recipes!$A$5:$A$204,0)),"Not found"))</f>
        <v>0</v>
      </c>
      <c r="J590" s="45">
        <f>IF(E590="","",IFERROR(E590*INDEX(UnitFactors,MATCH(F590,UnitNames,0)),""))</f>
        <v>0</v>
      </c>
      <c r="K590" s="17">
        <f>IF(F590="","",IFERROR(INDEX(UnitBases,MATCH(F590,UnitNames,0)),"?"))</f>
        <v>0</v>
      </c>
      <c r="L590" s="17">
        <f>IF(D590="","",IFERROR(INDEX(Ingredients!$G$5:$G$304,MATCH(D590,Ingredients!$B$5:$B$304,0)),"Add to Ingredients"))</f>
        <v>0</v>
      </c>
      <c r="M590" s="25">
        <f>IF(D590="","",IFERROR(INDEX(Ingredients!$J$5:$J$304,MATCH(D590,Ingredients!$B$5:$B$304,0)),"Add to Ingredients"))</f>
        <v>0</v>
      </c>
      <c r="N590" s="25">
        <f>IF(OR(J590="",M590="",NOT(ISNUMBER(M590))),"",IF(K590&lt;&gt;L590,"",J590*M590))</f>
        <v>0</v>
      </c>
      <c r="O590" s="25">
        <f>IF(N590="","",IFERROR(N590/INDEX(Recipes!$G$5:$G$204,MATCH(B590,Recipes!$A$5:$A$204,0)),""))</f>
        <v>0</v>
      </c>
      <c r="P590" s="30">
        <f>IF(J590="","",IF(K590="each",J590,J590/100))</f>
        <v>0</v>
      </c>
      <c r="Q590" s="30">
        <f>IFERROR(IF(P590="","",P590*INDEX(Ingredients!$P$5:$P$304,MATCH(D590,Ingredients!$B$5:$B$304,0))),"")</f>
        <v>0</v>
      </c>
      <c r="R590" s="45">
        <f>IFERROR(IF(P590="","",P590*INDEX(Ingredients!$Q$5:$Q$304,MATCH(D590,Ingredients!$B$5:$B$304,0))),"")</f>
        <v>0</v>
      </c>
      <c r="S590" s="45">
        <f>IFERROR(IF(P590="","",P590*INDEX(Ingredients!$R$5:$R$304,MATCH(D590,Ingredients!$B$5:$B$304,0))),"")</f>
        <v>0</v>
      </c>
      <c r="T590" s="45">
        <f>IFERROR(IF(P590="","",P590*INDEX(Ingredients!$S$5:$S$304,MATCH(D590,Ingredients!$B$5:$B$304,0))),"")</f>
        <v>0</v>
      </c>
      <c r="U590" s="45">
        <f>IFERROR(IF(P590="","",P590*INDEX(Ingredients!$T$5:$T$304,MATCH(D590,Ingredients!$B$5:$B$304,0))),"")</f>
        <v>0</v>
      </c>
      <c r="V590" s="17">
        <f>IF(D590="","",IFERROR(INDEX(Ingredients!$W$5:$W$304,MATCH(D590,Ingredients!$B$5:$B$304,0)),"Add to Ingredients"))</f>
        <v>0</v>
      </c>
      <c r="W590" s="17">
        <f>IF(D590="","",IFERROR(INDEX(Ingredients!$C$5:$C$304,MATCH(D590,Ingredients!$B$5:$B$304,0)),"Add to Ingredients"))</f>
        <v>0</v>
      </c>
      <c r="X590" s="45">
        <f>IFERROR(INDEX(Recipes!$AT$5:$AT$204,MATCH(B590,Recipes!$A$5:$A$204,0)),0)</f>
        <v>0</v>
      </c>
      <c r="Y590" s="45">
        <f>IF(OR(J590="",X590=0),"",J590*X590)</f>
        <v>0</v>
      </c>
      <c r="Z590" s="17">
        <f>IF(D590="","",B590&amp;"#"&amp;COUNTIFS($B$5:B590,B590))</f>
        <v>0</v>
      </c>
      <c r="AA590" s="17">
        <f>IF(D590="","",B590&amp;"|"&amp;D590)</f>
        <v>0</v>
      </c>
      <c r="AB590" s="31">
        <f>IF(D590="","",IF(B590="","Add - which recipe?",IF(COUNTIFS(Ingredients!$B$5:$B$304,D590)=0,"Missing - not in the Ingredients tab",IF(E590="","Add - no quantity",IF(F590="","Add - no unit",IF(K590&lt;&gt;L590,"Check - recipe in "&amp;K590&amp;", priced in "&amp;L590,IF(COUNTIFS($AA$5:$AA$1204,AA590)&gt;1,"Duplicate - same ingredient twice","OK")))))))</f>
        <v>0</v>
      </c>
    </row>
    <row r="591" spans="1:28">
      <c r="A591" s="39">
        <f>IF(D591="","","RL-"&amp;TEXT(ROW()-4,"0000"))</f>
        <v>0</v>
      </c>
      <c r="C591" s="17">
        <f>IF(B591="","",IFERROR(INDEX(Recipes!$B$5:$B$204,MATCH(B591,Recipes!$A$5:$A$204,0)),"Not found"))</f>
        <v>0</v>
      </c>
      <c r="J591" s="45">
        <f>IF(E591="","",IFERROR(E591*INDEX(UnitFactors,MATCH(F591,UnitNames,0)),""))</f>
        <v>0</v>
      </c>
      <c r="K591" s="17">
        <f>IF(F591="","",IFERROR(INDEX(UnitBases,MATCH(F591,UnitNames,0)),"?"))</f>
        <v>0</v>
      </c>
      <c r="L591" s="17">
        <f>IF(D591="","",IFERROR(INDEX(Ingredients!$G$5:$G$304,MATCH(D591,Ingredients!$B$5:$B$304,0)),"Add to Ingredients"))</f>
        <v>0</v>
      </c>
      <c r="M591" s="25">
        <f>IF(D591="","",IFERROR(INDEX(Ingredients!$J$5:$J$304,MATCH(D591,Ingredients!$B$5:$B$304,0)),"Add to Ingredients"))</f>
        <v>0</v>
      </c>
      <c r="N591" s="25">
        <f>IF(OR(J591="",M591="",NOT(ISNUMBER(M591))),"",IF(K591&lt;&gt;L591,"",J591*M591))</f>
        <v>0</v>
      </c>
      <c r="O591" s="25">
        <f>IF(N591="","",IFERROR(N591/INDEX(Recipes!$G$5:$G$204,MATCH(B591,Recipes!$A$5:$A$204,0)),""))</f>
        <v>0</v>
      </c>
      <c r="P591" s="30">
        <f>IF(J591="","",IF(K591="each",J591,J591/100))</f>
        <v>0</v>
      </c>
      <c r="Q591" s="30">
        <f>IFERROR(IF(P591="","",P591*INDEX(Ingredients!$P$5:$P$304,MATCH(D591,Ingredients!$B$5:$B$304,0))),"")</f>
        <v>0</v>
      </c>
      <c r="R591" s="45">
        <f>IFERROR(IF(P591="","",P591*INDEX(Ingredients!$Q$5:$Q$304,MATCH(D591,Ingredients!$B$5:$B$304,0))),"")</f>
        <v>0</v>
      </c>
      <c r="S591" s="45">
        <f>IFERROR(IF(P591="","",P591*INDEX(Ingredients!$R$5:$R$304,MATCH(D591,Ingredients!$B$5:$B$304,0))),"")</f>
        <v>0</v>
      </c>
      <c r="T591" s="45">
        <f>IFERROR(IF(P591="","",P591*INDEX(Ingredients!$S$5:$S$304,MATCH(D591,Ingredients!$B$5:$B$304,0))),"")</f>
        <v>0</v>
      </c>
      <c r="U591" s="45">
        <f>IFERROR(IF(P591="","",P591*INDEX(Ingredients!$T$5:$T$304,MATCH(D591,Ingredients!$B$5:$B$304,0))),"")</f>
        <v>0</v>
      </c>
      <c r="V591" s="17">
        <f>IF(D591="","",IFERROR(INDEX(Ingredients!$W$5:$W$304,MATCH(D591,Ingredients!$B$5:$B$304,0)),"Add to Ingredients"))</f>
        <v>0</v>
      </c>
      <c r="W591" s="17">
        <f>IF(D591="","",IFERROR(INDEX(Ingredients!$C$5:$C$304,MATCH(D591,Ingredients!$B$5:$B$304,0)),"Add to Ingredients"))</f>
        <v>0</v>
      </c>
      <c r="X591" s="45">
        <f>IFERROR(INDEX(Recipes!$AT$5:$AT$204,MATCH(B591,Recipes!$A$5:$A$204,0)),0)</f>
        <v>0</v>
      </c>
      <c r="Y591" s="45">
        <f>IF(OR(J591="",X591=0),"",J591*X591)</f>
        <v>0</v>
      </c>
      <c r="Z591" s="17">
        <f>IF(D591="","",B591&amp;"#"&amp;COUNTIFS($B$5:B591,B591))</f>
        <v>0</v>
      </c>
      <c r="AA591" s="17">
        <f>IF(D591="","",B591&amp;"|"&amp;D591)</f>
        <v>0</v>
      </c>
      <c r="AB591" s="31">
        <f>IF(D591="","",IF(B591="","Add - which recipe?",IF(COUNTIFS(Ingredients!$B$5:$B$304,D591)=0,"Missing - not in the Ingredients tab",IF(E591="","Add - no quantity",IF(F591="","Add - no unit",IF(K591&lt;&gt;L591,"Check - recipe in "&amp;K591&amp;", priced in "&amp;L591,IF(COUNTIFS($AA$5:$AA$1204,AA591)&gt;1,"Duplicate - same ingredient twice","OK")))))))</f>
        <v>0</v>
      </c>
    </row>
    <row r="592" spans="1:28">
      <c r="A592" s="39">
        <f>IF(D592="","","RL-"&amp;TEXT(ROW()-4,"0000"))</f>
        <v>0</v>
      </c>
      <c r="C592" s="17">
        <f>IF(B592="","",IFERROR(INDEX(Recipes!$B$5:$B$204,MATCH(B592,Recipes!$A$5:$A$204,0)),"Not found"))</f>
        <v>0</v>
      </c>
      <c r="J592" s="45">
        <f>IF(E592="","",IFERROR(E592*INDEX(UnitFactors,MATCH(F592,UnitNames,0)),""))</f>
        <v>0</v>
      </c>
      <c r="K592" s="17">
        <f>IF(F592="","",IFERROR(INDEX(UnitBases,MATCH(F592,UnitNames,0)),"?"))</f>
        <v>0</v>
      </c>
      <c r="L592" s="17">
        <f>IF(D592="","",IFERROR(INDEX(Ingredients!$G$5:$G$304,MATCH(D592,Ingredients!$B$5:$B$304,0)),"Add to Ingredients"))</f>
        <v>0</v>
      </c>
      <c r="M592" s="25">
        <f>IF(D592="","",IFERROR(INDEX(Ingredients!$J$5:$J$304,MATCH(D592,Ingredients!$B$5:$B$304,0)),"Add to Ingredients"))</f>
        <v>0</v>
      </c>
      <c r="N592" s="25">
        <f>IF(OR(J592="",M592="",NOT(ISNUMBER(M592))),"",IF(K592&lt;&gt;L592,"",J592*M592))</f>
        <v>0</v>
      </c>
      <c r="O592" s="25">
        <f>IF(N592="","",IFERROR(N592/INDEX(Recipes!$G$5:$G$204,MATCH(B592,Recipes!$A$5:$A$204,0)),""))</f>
        <v>0</v>
      </c>
      <c r="P592" s="30">
        <f>IF(J592="","",IF(K592="each",J592,J592/100))</f>
        <v>0</v>
      </c>
      <c r="Q592" s="30">
        <f>IFERROR(IF(P592="","",P592*INDEX(Ingredients!$P$5:$P$304,MATCH(D592,Ingredients!$B$5:$B$304,0))),"")</f>
        <v>0</v>
      </c>
      <c r="R592" s="45">
        <f>IFERROR(IF(P592="","",P592*INDEX(Ingredients!$Q$5:$Q$304,MATCH(D592,Ingredients!$B$5:$B$304,0))),"")</f>
        <v>0</v>
      </c>
      <c r="S592" s="45">
        <f>IFERROR(IF(P592="","",P592*INDEX(Ingredients!$R$5:$R$304,MATCH(D592,Ingredients!$B$5:$B$304,0))),"")</f>
        <v>0</v>
      </c>
      <c r="T592" s="45">
        <f>IFERROR(IF(P592="","",P592*INDEX(Ingredients!$S$5:$S$304,MATCH(D592,Ingredients!$B$5:$B$304,0))),"")</f>
        <v>0</v>
      </c>
      <c r="U592" s="45">
        <f>IFERROR(IF(P592="","",P592*INDEX(Ingredients!$T$5:$T$304,MATCH(D592,Ingredients!$B$5:$B$304,0))),"")</f>
        <v>0</v>
      </c>
      <c r="V592" s="17">
        <f>IF(D592="","",IFERROR(INDEX(Ingredients!$W$5:$W$304,MATCH(D592,Ingredients!$B$5:$B$304,0)),"Add to Ingredients"))</f>
        <v>0</v>
      </c>
      <c r="W592" s="17">
        <f>IF(D592="","",IFERROR(INDEX(Ingredients!$C$5:$C$304,MATCH(D592,Ingredients!$B$5:$B$304,0)),"Add to Ingredients"))</f>
        <v>0</v>
      </c>
      <c r="X592" s="45">
        <f>IFERROR(INDEX(Recipes!$AT$5:$AT$204,MATCH(B592,Recipes!$A$5:$A$204,0)),0)</f>
        <v>0</v>
      </c>
      <c r="Y592" s="45">
        <f>IF(OR(J592="",X592=0),"",J592*X592)</f>
        <v>0</v>
      </c>
      <c r="Z592" s="17">
        <f>IF(D592="","",B592&amp;"#"&amp;COUNTIFS($B$5:B592,B592))</f>
        <v>0</v>
      </c>
      <c r="AA592" s="17">
        <f>IF(D592="","",B592&amp;"|"&amp;D592)</f>
        <v>0</v>
      </c>
      <c r="AB592" s="31">
        <f>IF(D592="","",IF(B592="","Add - which recipe?",IF(COUNTIFS(Ingredients!$B$5:$B$304,D592)=0,"Missing - not in the Ingredients tab",IF(E592="","Add - no quantity",IF(F592="","Add - no unit",IF(K592&lt;&gt;L592,"Check - recipe in "&amp;K592&amp;", priced in "&amp;L592,IF(COUNTIFS($AA$5:$AA$1204,AA592)&gt;1,"Duplicate - same ingredient twice","OK")))))))</f>
        <v>0</v>
      </c>
    </row>
    <row r="593" spans="1:28">
      <c r="A593" s="39">
        <f>IF(D593="","","RL-"&amp;TEXT(ROW()-4,"0000"))</f>
        <v>0</v>
      </c>
      <c r="C593" s="17">
        <f>IF(B593="","",IFERROR(INDEX(Recipes!$B$5:$B$204,MATCH(B593,Recipes!$A$5:$A$204,0)),"Not found"))</f>
        <v>0</v>
      </c>
      <c r="J593" s="45">
        <f>IF(E593="","",IFERROR(E593*INDEX(UnitFactors,MATCH(F593,UnitNames,0)),""))</f>
        <v>0</v>
      </c>
      <c r="K593" s="17">
        <f>IF(F593="","",IFERROR(INDEX(UnitBases,MATCH(F593,UnitNames,0)),"?"))</f>
        <v>0</v>
      </c>
      <c r="L593" s="17">
        <f>IF(D593="","",IFERROR(INDEX(Ingredients!$G$5:$G$304,MATCH(D593,Ingredients!$B$5:$B$304,0)),"Add to Ingredients"))</f>
        <v>0</v>
      </c>
      <c r="M593" s="25">
        <f>IF(D593="","",IFERROR(INDEX(Ingredients!$J$5:$J$304,MATCH(D593,Ingredients!$B$5:$B$304,0)),"Add to Ingredients"))</f>
        <v>0</v>
      </c>
      <c r="N593" s="25">
        <f>IF(OR(J593="",M593="",NOT(ISNUMBER(M593))),"",IF(K593&lt;&gt;L593,"",J593*M593))</f>
        <v>0</v>
      </c>
      <c r="O593" s="25">
        <f>IF(N593="","",IFERROR(N593/INDEX(Recipes!$G$5:$G$204,MATCH(B593,Recipes!$A$5:$A$204,0)),""))</f>
        <v>0</v>
      </c>
      <c r="P593" s="30">
        <f>IF(J593="","",IF(K593="each",J593,J593/100))</f>
        <v>0</v>
      </c>
      <c r="Q593" s="30">
        <f>IFERROR(IF(P593="","",P593*INDEX(Ingredients!$P$5:$P$304,MATCH(D593,Ingredients!$B$5:$B$304,0))),"")</f>
        <v>0</v>
      </c>
      <c r="R593" s="45">
        <f>IFERROR(IF(P593="","",P593*INDEX(Ingredients!$Q$5:$Q$304,MATCH(D593,Ingredients!$B$5:$B$304,0))),"")</f>
        <v>0</v>
      </c>
      <c r="S593" s="45">
        <f>IFERROR(IF(P593="","",P593*INDEX(Ingredients!$R$5:$R$304,MATCH(D593,Ingredients!$B$5:$B$304,0))),"")</f>
        <v>0</v>
      </c>
      <c r="T593" s="45">
        <f>IFERROR(IF(P593="","",P593*INDEX(Ingredients!$S$5:$S$304,MATCH(D593,Ingredients!$B$5:$B$304,0))),"")</f>
        <v>0</v>
      </c>
      <c r="U593" s="45">
        <f>IFERROR(IF(P593="","",P593*INDEX(Ingredients!$T$5:$T$304,MATCH(D593,Ingredients!$B$5:$B$304,0))),"")</f>
        <v>0</v>
      </c>
      <c r="V593" s="17">
        <f>IF(D593="","",IFERROR(INDEX(Ingredients!$W$5:$W$304,MATCH(D593,Ingredients!$B$5:$B$304,0)),"Add to Ingredients"))</f>
        <v>0</v>
      </c>
      <c r="W593" s="17">
        <f>IF(D593="","",IFERROR(INDEX(Ingredients!$C$5:$C$304,MATCH(D593,Ingredients!$B$5:$B$304,0)),"Add to Ingredients"))</f>
        <v>0</v>
      </c>
      <c r="X593" s="45">
        <f>IFERROR(INDEX(Recipes!$AT$5:$AT$204,MATCH(B593,Recipes!$A$5:$A$204,0)),0)</f>
        <v>0</v>
      </c>
      <c r="Y593" s="45">
        <f>IF(OR(J593="",X593=0),"",J593*X593)</f>
        <v>0</v>
      </c>
      <c r="Z593" s="17">
        <f>IF(D593="","",B593&amp;"#"&amp;COUNTIFS($B$5:B593,B593))</f>
        <v>0</v>
      </c>
      <c r="AA593" s="17">
        <f>IF(D593="","",B593&amp;"|"&amp;D593)</f>
        <v>0</v>
      </c>
      <c r="AB593" s="31">
        <f>IF(D593="","",IF(B593="","Add - which recipe?",IF(COUNTIFS(Ingredients!$B$5:$B$304,D593)=0,"Missing - not in the Ingredients tab",IF(E593="","Add - no quantity",IF(F593="","Add - no unit",IF(K593&lt;&gt;L593,"Check - recipe in "&amp;K593&amp;", priced in "&amp;L593,IF(COUNTIFS($AA$5:$AA$1204,AA593)&gt;1,"Duplicate - same ingredient twice","OK")))))))</f>
        <v>0</v>
      </c>
    </row>
    <row r="594" spans="1:28">
      <c r="A594" s="39">
        <f>IF(D594="","","RL-"&amp;TEXT(ROW()-4,"0000"))</f>
        <v>0</v>
      </c>
      <c r="C594" s="17">
        <f>IF(B594="","",IFERROR(INDEX(Recipes!$B$5:$B$204,MATCH(B594,Recipes!$A$5:$A$204,0)),"Not found"))</f>
        <v>0</v>
      </c>
      <c r="J594" s="45">
        <f>IF(E594="","",IFERROR(E594*INDEX(UnitFactors,MATCH(F594,UnitNames,0)),""))</f>
        <v>0</v>
      </c>
      <c r="K594" s="17">
        <f>IF(F594="","",IFERROR(INDEX(UnitBases,MATCH(F594,UnitNames,0)),"?"))</f>
        <v>0</v>
      </c>
      <c r="L594" s="17">
        <f>IF(D594="","",IFERROR(INDEX(Ingredients!$G$5:$G$304,MATCH(D594,Ingredients!$B$5:$B$304,0)),"Add to Ingredients"))</f>
        <v>0</v>
      </c>
      <c r="M594" s="25">
        <f>IF(D594="","",IFERROR(INDEX(Ingredients!$J$5:$J$304,MATCH(D594,Ingredients!$B$5:$B$304,0)),"Add to Ingredients"))</f>
        <v>0</v>
      </c>
      <c r="N594" s="25">
        <f>IF(OR(J594="",M594="",NOT(ISNUMBER(M594))),"",IF(K594&lt;&gt;L594,"",J594*M594))</f>
        <v>0</v>
      </c>
      <c r="O594" s="25">
        <f>IF(N594="","",IFERROR(N594/INDEX(Recipes!$G$5:$G$204,MATCH(B594,Recipes!$A$5:$A$204,0)),""))</f>
        <v>0</v>
      </c>
      <c r="P594" s="30">
        <f>IF(J594="","",IF(K594="each",J594,J594/100))</f>
        <v>0</v>
      </c>
      <c r="Q594" s="30">
        <f>IFERROR(IF(P594="","",P594*INDEX(Ingredients!$P$5:$P$304,MATCH(D594,Ingredients!$B$5:$B$304,0))),"")</f>
        <v>0</v>
      </c>
      <c r="R594" s="45">
        <f>IFERROR(IF(P594="","",P594*INDEX(Ingredients!$Q$5:$Q$304,MATCH(D594,Ingredients!$B$5:$B$304,0))),"")</f>
        <v>0</v>
      </c>
      <c r="S594" s="45">
        <f>IFERROR(IF(P594="","",P594*INDEX(Ingredients!$R$5:$R$304,MATCH(D594,Ingredients!$B$5:$B$304,0))),"")</f>
        <v>0</v>
      </c>
      <c r="T594" s="45">
        <f>IFERROR(IF(P594="","",P594*INDEX(Ingredients!$S$5:$S$304,MATCH(D594,Ingredients!$B$5:$B$304,0))),"")</f>
        <v>0</v>
      </c>
      <c r="U594" s="45">
        <f>IFERROR(IF(P594="","",P594*INDEX(Ingredients!$T$5:$T$304,MATCH(D594,Ingredients!$B$5:$B$304,0))),"")</f>
        <v>0</v>
      </c>
      <c r="V594" s="17">
        <f>IF(D594="","",IFERROR(INDEX(Ingredients!$W$5:$W$304,MATCH(D594,Ingredients!$B$5:$B$304,0)),"Add to Ingredients"))</f>
        <v>0</v>
      </c>
      <c r="W594" s="17">
        <f>IF(D594="","",IFERROR(INDEX(Ingredients!$C$5:$C$304,MATCH(D594,Ingredients!$B$5:$B$304,0)),"Add to Ingredients"))</f>
        <v>0</v>
      </c>
      <c r="X594" s="45">
        <f>IFERROR(INDEX(Recipes!$AT$5:$AT$204,MATCH(B594,Recipes!$A$5:$A$204,0)),0)</f>
        <v>0</v>
      </c>
      <c r="Y594" s="45">
        <f>IF(OR(J594="",X594=0),"",J594*X594)</f>
        <v>0</v>
      </c>
      <c r="Z594" s="17">
        <f>IF(D594="","",B594&amp;"#"&amp;COUNTIFS($B$5:B594,B594))</f>
        <v>0</v>
      </c>
      <c r="AA594" s="17">
        <f>IF(D594="","",B594&amp;"|"&amp;D594)</f>
        <v>0</v>
      </c>
      <c r="AB594" s="31">
        <f>IF(D594="","",IF(B594="","Add - which recipe?",IF(COUNTIFS(Ingredients!$B$5:$B$304,D594)=0,"Missing - not in the Ingredients tab",IF(E594="","Add - no quantity",IF(F594="","Add - no unit",IF(K594&lt;&gt;L594,"Check - recipe in "&amp;K594&amp;", priced in "&amp;L594,IF(COUNTIFS($AA$5:$AA$1204,AA594)&gt;1,"Duplicate - same ingredient twice","OK")))))))</f>
        <v>0</v>
      </c>
    </row>
    <row r="595" spans="1:28">
      <c r="A595" s="39">
        <f>IF(D595="","","RL-"&amp;TEXT(ROW()-4,"0000"))</f>
        <v>0</v>
      </c>
      <c r="C595" s="17">
        <f>IF(B595="","",IFERROR(INDEX(Recipes!$B$5:$B$204,MATCH(B595,Recipes!$A$5:$A$204,0)),"Not found"))</f>
        <v>0</v>
      </c>
      <c r="J595" s="45">
        <f>IF(E595="","",IFERROR(E595*INDEX(UnitFactors,MATCH(F595,UnitNames,0)),""))</f>
        <v>0</v>
      </c>
      <c r="K595" s="17">
        <f>IF(F595="","",IFERROR(INDEX(UnitBases,MATCH(F595,UnitNames,0)),"?"))</f>
        <v>0</v>
      </c>
      <c r="L595" s="17">
        <f>IF(D595="","",IFERROR(INDEX(Ingredients!$G$5:$G$304,MATCH(D595,Ingredients!$B$5:$B$304,0)),"Add to Ingredients"))</f>
        <v>0</v>
      </c>
      <c r="M595" s="25">
        <f>IF(D595="","",IFERROR(INDEX(Ingredients!$J$5:$J$304,MATCH(D595,Ingredients!$B$5:$B$304,0)),"Add to Ingredients"))</f>
        <v>0</v>
      </c>
      <c r="N595" s="25">
        <f>IF(OR(J595="",M595="",NOT(ISNUMBER(M595))),"",IF(K595&lt;&gt;L595,"",J595*M595))</f>
        <v>0</v>
      </c>
      <c r="O595" s="25">
        <f>IF(N595="","",IFERROR(N595/INDEX(Recipes!$G$5:$G$204,MATCH(B595,Recipes!$A$5:$A$204,0)),""))</f>
        <v>0</v>
      </c>
      <c r="P595" s="30">
        <f>IF(J595="","",IF(K595="each",J595,J595/100))</f>
        <v>0</v>
      </c>
      <c r="Q595" s="30">
        <f>IFERROR(IF(P595="","",P595*INDEX(Ingredients!$P$5:$P$304,MATCH(D595,Ingredients!$B$5:$B$304,0))),"")</f>
        <v>0</v>
      </c>
      <c r="R595" s="45">
        <f>IFERROR(IF(P595="","",P595*INDEX(Ingredients!$Q$5:$Q$304,MATCH(D595,Ingredients!$B$5:$B$304,0))),"")</f>
        <v>0</v>
      </c>
      <c r="S595" s="45">
        <f>IFERROR(IF(P595="","",P595*INDEX(Ingredients!$R$5:$R$304,MATCH(D595,Ingredients!$B$5:$B$304,0))),"")</f>
        <v>0</v>
      </c>
      <c r="T595" s="45">
        <f>IFERROR(IF(P595="","",P595*INDEX(Ingredients!$S$5:$S$304,MATCH(D595,Ingredients!$B$5:$B$304,0))),"")</f>
        <v>0</v>
      </c>
      <c r="U595" s="45">
        <f>IFERROR(IF(P595="","",P595*INDEX(Ingredients!$T$5:$T$304,MATCH(D595,Ingredients!$B$5:$B$304,0))),"")</f>
        <v>0</v>
      </c>
      <c r="V595" s="17">
        <f>IF(D595="","",IFERROR(INDEX(Ingredients!$W$5:$W$304,MATCH(D595,Ingredients!$B$5:$B$304,0)),"Add to Ingredients"))</f>
        <v>0</v>
      </c>
      <c r="W595" s="17">
        <f>IF(D595="","",IFERROR(INDEX(Ingredients!$C$5:$C$304,MATCH(D595,Ingredients!$B$5:$B$304,0)),"Add to Ingredients"))</f>
        <v>0</v>
      </c>
      <c r="X595" s="45">
        <f>IFERROR(INDEX(Recipes!$AT$5:$AT$204,MATCH(B595,Recipes!$A$5:$A$204,0)),0)</f>
        <v>0</v>
      </c>
      <c r="Y595" s="45">
        <f>IF(OR(J595="",X595=0),"",J595*X595)</f>
        <v>0</v>
      </c>
      <c r="Z595" s="17">
        <f>IF(D595="","",B595&amp;"#"&amp;COUNTIFS($B$5:B595,B595))</f>
        <v>0</v>
      </c>
      <c r="AA595" s="17">
        <f>IF(D595="","",B595&amp;"|"&amp;D595)</f>
        <v>0</v>
      </c>
      <c r="AB595" s="31">
        <f>IF(D595="","",IF(B595="","Add - which recipe?",IF(COUNTIFS(Ingredients!$B$5:$B$304,D595)=0,"Missing - not in the Ingredients tab",IF(E595="","Add - no quantity",IF(F595="","Add - no unit",IF(K595&lt;&gt;L595,"Check - recipe in "&amp;K595&amp;", priced in "&amp;L595,IF(COUNTIFS($AA$5:$AA$1204,AA595)&gt;1,"Duplicate - same ingredient twice","OK")))))))</f>
        <v>0</v>
      </c>
    </row>
    <row r="596" spans="1:28">
      <c r="A596" s="39">
        <f>IF(D596="","","RL-"&amp;TEXT(ROW()-4,"0000"))</f>
        <v>0</v>
      </c>
      <c r="C596" s="17">
        <f>IF(B596="","",IFERROR(INDEX(Recipes!$B$5:$B$204,MATCH(B596,Recipes!$A$5:$A$204,0)),"Not found"))</f>
        <v>0</v>
      </c>
      <c r="J596" s="45">
        <f>IF(E596="","",IFERROR(E596*INDEX(UnitFactors,MATCH(F596,UnitNames,0)),""))</f>
        <v>0</v>
      </c>
      <c r="K596" s="17">
        <f>IF(F596="","",IFERROR(INDEX(UnitBases,MATCH(F596,UnitNames,0)),"?"))</f>
        <v>0</v>
      </c>
      <c r="L596" s="17">
        <f>IF(D596="","",IFERROR(INDEX(Ingredients!$G$5:$G$304,MATCH(D596,Ingredients!$B$5:$B$304,0)),"Add to Ingredients"))</f>
        <v>0</v>
      </c>
      <c r="M596" s="25">
        <f>IF(D596="","",IFERROR(INDEX(Ingredients!$J$5:$J$304,MATCH(D596,Ingredients!$B$5:$B$304,0)),"Add to Ingredients"))</f>
        <v>0</v>
      </c>
      <c r="N596" s="25">
        <f>IF(OR(J596="",M596="",NOT(ISNUMBER(M596))),"",IF(K596&lt;&gt;L596,"",J596*M596))</f>
        <v>0</v>
      </c>
      <c r="O596" s="25">
        <f>IF(N596="","",IFERROR(N596/INDEX(Recipes!$G$5:$G$204,MATCH(B596,Recipes!$A$5:$A$204,0)),""))</f>
        <v>0</v>
      </c>
      <c r="P596" s="30">
        <f>IF(J596="","",IF(K596="each",J596,J596/100))</f>
        <v>0</v>
      </c>
      <c r="Q596" s="30">
        <f>IFERROR(IF(P596="","",P596*INDEX(Ingredients!$P$5:$P$304,MATCH(D596,Ingredients!$B$5:$B$304,0))),"")</f>
        <v>0</v>
      </c>
      <c r="R596" s="45">
        <f>IFERROR(IF(P596="","",P596*INDEX(Ingredients!$Q$5:$Q$304,MATCH(D596,Ingredients!$B$5:$B$304,0))),"")</f>
        <v>0</v>
      </c>
      <c r="S596" s="45">
        <f>IFERROR(IF(P596="","",P596*INDEX(Ingredients!$R$5:$R$304,MATCH(D596,Ingredients!$B$5:$B$304,0))),"")</f>
        <v>0</v>
      </c>
      <c r="T596" s="45">
        <f>IFERROR(IF(P596="","",P596*INDEX(Ingredients!$S$5:$S$304,MATCH(D596,Ingredients!$B$5:$B$304,0))),"")</f>
        <v>0</v>
      </c>
      <c r="U596" s="45">
        <f>IFERROR(IF(P596="","",P596*INDEX(Ingredients!$T$5:$T$304,MATCH(D596,Ingredients!$B$5:$B$304,0))),"")</f>
        <v>0</v>
      </c>
      <c r="V596" s="17">
        <f>IF(D596="","",IFERROR(INDEX(Ingredients!$W$5:$W$304,MATCH(D596,Ingredients!$B$5:$B$304,0)),"Add to Ingredients"))</f>
        <v>0</v>
      </c>
      <c r="W596" s="17">
        <f>IF(D596="","",IFERROR(INDEX(Ingredients!$C$5:$C$304,MATCH(D596,Ingredients!$B$5:$B$304,0)),"Add to Ingredients"))</f>
        <v>0</v>
      </c>
      <c r="X596" s="45">
        <f>IFERROR(INDEX(Recipes!$AT$5:$AT$204,MATCH(B596,Recipes!$A$5:$A$204,0)),0)</f>
        <v>0</v>
      </c>
      <c r="Y596" s="45">
        <f>IF(OR(J596="",X596=0),"",J596*X596)</f>
        <v>0</v>
      </c>
      <c r="Z596" s="17">
        <f>IF(D596="","",B596&amp;"#"&amp;COUNTIFS($B$5:B596,B596))</f>
        <v>0</v>
      </c>
      <c r="AA596" s="17">
        <f>IF(D596="","",B596&amp;"|"&amp;D596)</f>
        <v>0</v>
      </c>
      <c r="AB596" s="31">
        <f>IF(D596="","",IF(B596="","Add - which recipe?",IF(COUNTIFS(Ingredients!$B$5:$B$304,D596)=0,"Missing - not in the Ingredients tab",IF(E596="","Add - no quantity",IF(F596="","Add - no unit",IF(K596&lt;&gt;L596,"Check - recipe in "&amp;K596&amp;", priced in "&amp;L596,IF(COUNTIFS($AA$5:$AA$1204,AA596)&gt;1,"Duplicate - same ingredient twice","OK")))))))</f>
        <v>0</v>
      </c>
    </row>
    <row r="597" spans="1:28">
      <c r="A597" s="39">
        <f>IF(D597="","","RL-"&amp;TEXT(ROW()-4,"0000"))</f>
        <v>0</v>
      </c>
      <c r="C597" s="17">
        <f>IF(B597="","",IFERROR(INDEX(Recipes!$B$5:$B$204,MATCH(B597,Recipes!$A$5:$A$204,0)),"Not found"))</f>
        <v>0</v>
      </c>
      <c r="J597" s="45">
        <f>IF(E597="","",IFERROR(E597*INDEX(UnitFactors,MATCH(F597,UnitNames,0)),""))</f>
        <v>0</v>
      </c>
      <c r="K597" s="17">
        <f>IF(F597="","",IFERROR(INDEX(UnitBases,MATCH(F597,UnitNames,0)),"?"))</f>
        <v>0</v>
      </c>
      <c r="L597" s="17">
        <f>IF(D597="","",IFERROR(INDEX(Ingredients!$G$5:$G$304,MATCH(D597,Ingredients!$B$5:$B$304,0)),"Add to Ingredients"))</f>
        <v>0</v>
      </c>
      <c r="M597" s="25">
        <f>IF(D597="","",IFERROR(INDEX(Ingredients!$J$5:$J$304,MATCH(D597,Ingredients!$B$5:$B$304,0)),"Add to Ingredients"))</f>
        <v>0</v>
      </c>
      <c r="N597" s="25">
        <f>IF(OR(J597="",M597="",NOT(ISNUMBER(M597))),"",IF(K597&lt;&gt;L597,"",J597*M597))</f>
        <v>0</v>
      </c>
      <c r="O597" s="25">
        <f>IF(N597="","",IFERROR(N597/INDEX(Recipes!$G$5:$G$204,MATCH(B597,Recipes!$A$5:$A$204,0)),""))</f>
        <v>0</v>
      </c>
      <c r="P597" s="30">
        <f>IF(J597="","",IF(K597="each",J597,J597/100))</f>
        <v>0</v>
      </c>
      <c r="Q597" s="30">
        <f>IFERROR(IF(P597="","",P597*INDEX(Ingredients!$P$5:$P$304,MATCH(D597,Ingredients!$B$5:$B$304,0))),"")</f>
        <v>0</v>
      </c>
      <c r="R597" s="45">
        <f>IFERROR(IF(P597="","",P597*INDEX(Ingredients!$Q$5:$Q$304,MATCH(D597,Ingredients!$B$5:$B$304,0))),"")</f>
        <v>0</v>
      </c>
      <c r="S597" s="45">
        <f>IFERROR(IF(P597="","",P597*INDEX(Ingredients!$R$5:$R$304,MATCH(D597,Ingredients!$B$5:$B$304,0))),"")</f>
        <v>0</v>
      </c>
      <c r="T597" s="45">
        <f>IFERROR(IF(P597="","",P597*INDEX(Ingredients!$S$5:$S$304,MATCH(D597,Ingredients!$B$5:$B$304,0))),"")</f>
        <v>0</v>
      </c>
      <c r="U597" s="45">
        <f>IFERROR(IF(P597="","",P597*INDEX(Ingredients!$T$5:$T$304,MATCH(D597,Ingredients!$B$5:$B$304,0))),"")</f>
        <v>0</v>
      </c>
      <c r="V597" s="17">
        <f>IF(D597="","",IFERROR(INDEX(Ingredients!$W$5:$W$304,MATCH(D597,Ingredients!$B$5:$B$304,0)),"Add to Ingredients"))</f>
        <v>0</v>
      </c>
      <c r="W597" s="17">
        <f>IF(D597="","",IFERROR(INDEX(Ingredients!$C$5:$C$304,MATCH(D597,Ingredients!$B$5:$B$304,0)),"Add to Ingredients"))</f>
        <v>0</v>
      </c>
      <c r="X597" s="45">
        <f>IFERROR(INDEX(Recipes!$AT$5:$AT$204,MATCH(B597,Recipes!$A$5:$A$204,0)),0)</f>
        <v>0</v>
      </c>
      <c r="Y597" s="45">
        <f>IF(OR(J597="",X597=0),"",J597*X597)</f>
        <v>0</v>
      </c>
      <c r="Z597" s="17">
        <f>IF(D597="","",B597&amp;"#"&amp;COUNTIFS($B$5:B597,B597))</f>
        <v>0</v>
      </c>
      <c r="AA597" s="17">
        <f>IF(D597="","",B597&amp;"|"&amp;D597)</f>
        <v>0</v>
      </c>
      <c r="AB597" s="31">
        <f>IF(D597="","",IF(B597="","Add - which recipe?",IF(COUNTIFS(Ingredients!$B$5:$B$304,D597)=0,"Missing - not in the Ingredients tab",IF(E597="","Add - no quantity",IF(F597="","Add - no unit",IF(K597&lt;&gt;L597,"Check - recipe in "&amp;K597&amp;", priced in "&amp;L597,IF(COUNTIFS($AA$5:$AA$1204,AA597)&gt;1,"Duplicate - same ingredient twice","OK")))))))</f>
        <v>0</v>
      </c>
    </row>
    <row r="598" spans="1:28">
      <c r="A598" s="39">
        <f>IF(D598="","","RL-"&amp;TEXT(ROW()-4,"0000"))</f>
        <v>0</v>
      </c>
      <c r="C598" s="17">
        <f>IF(B598="","",IFERROR(INDEX(Recipes!$B$5:$B$204,MATCH(B598,Recipes!$A$5:$A$204,0)),"Not found"))</f>
        <v>0</v>
      </c>
      <c r="J598" s="45">
        <f>IF(E598="","",IFERROR(E598*INDEX(UnitFactors,MATCH(F598,UnitNames,0)),""))</f>
        <v>0</v>
      </c>
      <c r="K598" s="17">
        <f>IF(F598="","",IFERROR(INDEX(UnitBases,MATCH(F598,UnitNames,0)),"?"))</f>
        <v>0</v>
      </c>
      <c r="L598" s="17">
        <f>IF(D598="","",IFERROR(INDEX(Ingredients!$G$5:$G$304,MATCH(D598,Ingredients!$B$5:$B$304,0)),"Add to Ingredients"))</f>
        <v>0</v>
      </c>
      <c r="M598" s="25">
        <f>IF(D598="","",IFERROR(INDEX(Ingredients!$J$5:$J$304,MATCH(D598,Ingredients!$B$5:$B$304,0)),"Add to Ingredients"))</f>
        <v>0</v>
      </c>
      <c r="N598" s="25">
        <f>IF(OR(J598="",M598="",NOT(ISNUMBER(M598))),"",IF(K598&lt;&gt;L598,"",J598*M598))</f>
        <v>0</v>
      </c>
      <c r="O598" s="25">
        <f>IF(N598="","",IFERROR(N598/INDEX(Recipes!$G$5:$G$204,MATCH(B598,Recipes!$A$5:$A$204,0)),""))</f>
        <v>0</v>
      </c>
      <c r="P598" s="30">
        <f>IF(J598="","",IF(K598="each",J598,J598/100))</f>
        <v>0</v>
      </c>
      <c r="Q598" s="30">
        <f>IFERROR(IF(P598="","",P598*INDEX(Ingredients!$P$5:$P$304,MATCH(D598,Ingredients!$B$5:$B$304,0))),"")</f>
        <v>0</v>
      </c>
      <c r="R598" s="45">
        <f>IFERROR(IF(P598="","",P598*INDEX(Ingredients!$Q$5:$Q$304,MATCH(D598,Ingredients!$B$5:$B$304,0))),"")</f>
        <v>0</v>
      </c>
      <c r="S598" s="45">
        <f>IFERROR(IF(P598="","",P598*INDEX(Ingredients!$R$5:$R$304,MATCH(D598,Ingredients!$B$5:$B$304,0))),"")</f>
        <v>0</v>
      </c>
      <c r="T598" s="45">
        <f>IFERROR(IF(P598="","",P598*INDEX(Ingredients!$S$5:$S$304,MATCH(D598,Ingredients!$B$5:$B$304,0))),"")</f>
        <v>0</v>
      </c>
      <c r="U598" s="45">
        <f>IFERROR(IF(P598="","",P598*INDEX(Ingredients!$T$5:$T$304,MATCH(D598,Ingredients!$B$5:$B$304,0))),"")</f>
        <v>0</v>
      </c>
      <c r="V598" s="17">
        <f>IF(D598="","",IFERROR(INDEX(Ingredients!$W$5:$W$304,MATCH(D598,Ingredients!$B$5:$B$304,0)),"Add to Ingredients"))</f>
        <v>0</v>
      </c>
      <c r="W598" s="17">
        <f>IF(D598="","",IFERROR(INDEX(Ingredients!$C$5:$C$304,MATCH(D598,Ingredients!$B$5:$B$304,0)),"Add to Ingredients"))</f>
        <v>0</v>
      </c>
      <c r="X598" s="45">
        <f>IFERROR(INDEX(Recipes!$AT$5:$AT$204,MATCH(B598,Recipes!$A$5:$A$204,0)),0)</f>
        <v>0</v>
      </c>
      <c r="Y598" s="45">
        <f>IF(OR(J598="",X598=0),"",J598*X598)</f>
        <v>0</v>
      </c>
      <c r="Z598" s="17">
        <f>IF(D598="","",B598&amp;"#"&amp;COUNTIFS($B$5:B598,B598))</f>
        <v>0</v>
      </c>
      <c r="AA598" s="17">
        <f>IF(D598="","",B598&amp;"|"&amp;D598)</f>
        <v>0</v>
      </c>
      <c r="AB598" s="31">
        <f>IF(D598="","",IF(B598="","Add - which recipe?",IF(COUNTIFS(Ingredients!$B$5:$B$304,D598)=0,"Missing - not in the Ingredients tab",IF(E598="","Add - no quantity",IF(F598="","Add - no unit",IF(K598&lt;&gt;L598,"Check - recipe in "&amp;K598&amp;", priced in "&amp;L598,IF(COUNTIFS($AA$5:$AA$1204,AA598)&gt;1,"Duplicate - same ingredient twice","OK")))))))</f>
        <v>0</v>
      </c>
    </row>
    <row r="599" spans="1:28">
      <c r="A599" s="39">
        <f>IF(D599="","","RL-"&amp;TEXT(ROW()-4,"0000"))</f>
        <v>0</v>
      </c>
      <c r="C599" s="17">
        <f>IF(B599="","",IFERROR(INDEX(Recipes!$B$5:$B$204,MATCH(B599,Recipes!$A$5:$A$204,0)),"Not found"))</f>
        <v>0</v>
      </c>
      <c r="J599" s="45">
        <f>IF(E599="","",IFERROR(E599*INDEX(UnitFactors,MATCH(F599,UnitNames,0)),""))</f>
        <v>0</v>
      </c>
      <c r="K599" s="17">
        <f>IF(F599="","",IFERROR(INDEX(UnitBases,MATCH(F599,UnitNames,0)),"?"))</f>
        <v>0</v>
      </c>
      <c r="L599" s="17">
        <f>IF(D599="","",IFERROR(INDEX(Ingredients!$G$5:$G$304,MATCH(D599,Ingredients!$B$5:$B$304,0)),"Add to Ingredients"))</f>
        <v>0</v>
      </c>
      <c r="M599" s="25">
        <f>IF(D599="","",IFERROR(INDEX(Ingredients!$J$5:$J$304,MATCH(D599,Ingredients!$B$5:$B$304,0)),"Add to Ingredients"))</f>
        <v>0</v>
      </c>
      <c r="N599" s="25">
        <f>IF(OR(J599="",M599="",NOT(ISNUMBER(M599))),"",IF(K599&lt;&gt;L599,"",J599*M599))</f>
        <v>0</v>
      </c>
      <c r="O599" s="25">
        <f>IF(N599="","",IFERROR(N599/INDEX(Recipes!$G$5:$G$204,MATCH(B599,Recipes!$A$5:$A$204,0)),""))</f>
        <v>0</v>
      </c>
      <c r="P599" s="30">
        <f>IF(J599="","",IF(K599="each",J599,J599/100))</f>
        <v>0</v>
      </c>
      <c r="Q599" s="30">
        <f>IFERROR(IF(P599="","",P599*INDEX(Ingredients!$P$5:$P$304,MATCH(D599,Ingredients!$B$5:$B$304,0))),"")</f>
        <v>0</v>
      </c>
      <c r="R599" s="45">
        <f>IFERROR(IF(P599="","",P599*INDEX(Ingredients!$Q$5:$Q$304,MATCH(D599,Ingredients!$B$5:$B$304,0))),"")</f>
        <v>0</v>
      </c>
      <c r="S599" s="45">
        <f>IFERROR(IF(P599="","",P599*INDEX(Ingredients!$R$5:$R$304,MATCH(D599,Ingredients!$B$5:$B$304,0))),"")</f>
        <v>0</v>
      </c>
      <c r="T599" s="45">
        <f>IFERROR(IF(P599="","",P599*INDEX(Ingredients!$S$5:$S$304,MATCH(D599,Ingredients!$B$5:$B$304,0))),"")</f>
        <v>0</v>
      </c>
      <c r="U599" s="45">
        <f>IFERROR(IF(P599="","",P599*INDEX(Ingredients!$T$5:$T$304,MATCH(D599,Ingredients!$B$5:$B$304,0))),"")</f>
        <v>0</v>
      </c>
      <c r="V599" s="17">
        <f>IF(D599="","",IFERROR(INDEX(Ingredients!$W$5:$W$304,MATCH(D599,Ingredients!$B$5:$B$304,0)),"Add to Ingredients"))</f>
        <v>0</v>
      </c>
      <c r="W599" s="17">
        <f>IF(D599="","",IFERROR(INDEX(Ingredients!$C$5:$C$304,MATCH(D599,Ingredients!$B$5:$B$304,0)),"Add to Ingredients"))</f>
        <v>0</v>
      </c>
      <c r="X599" s="45">
        <f>IFERROR(INDEX(Recipes!$AT$5:$AT$204,MATCH(B599,Recipes!$A$5:$A$204,0)),0)</f>
        <v>0</v>
      </c>
      <c r="Y599" s="45">
        <f>IF(OR(J599="",X599=0),"",J599*X599)</f>
        <v>0</v>
      </c>
      <c r="Z599" s="17">
        <f>IF(D599="","",B599&amp;"#"&amp;COUNTIFS($B$5:B599,B599))</f>
        <v>0</v>
      </c>
      <c r="AA599" s="17">
        <f>IF(D599="","",B599&amp;"|"&amp;D599)</f>
        <v>0</v>
      </c>
      <c r="AB599" s="31">
        <f>IF(D599="","",IF(B599="","Add - which recipe?",IF(COUNTIFS(Ingredients!$B$5:$B$304,D599)=0,"Missing - not in the Ingredients tab",IF(E599="","Add - no quantity",IF(F599="","Add - no unit",IF(K599&lt;&gt;L599,"Check - recipe in "&amp;K599&amp;", priced in "&amp;L599,IF(COUNTIFS($AA$5:$AA$1204,AA599)&gt;1,"Duplicate - same ingredient twice","OK")))))))</f>
        <v>0</v>
      </c>
    </row>
    <row r="600" spans="1:28">
      <c r="A600" s="39">
        <f>IF(D600="","","RL-"&amp;TEXT(ROW()-4,"0000"))</f>
        <v>0</v>
      </c>
      <c r="C600" s="17">
        <f>IF(B600="","",IFERROR(INDEX(Recipes!$B$5:$B$204,MATCH(B600,Recipes!$A$5:$A$204,0)),"Not found"))</f>
        <v>0</v>
      </c>
      <c r="J600" s="45">
        <f>IF(E600="","",IFERROR(E600*INDEX(UnitFactors,MATCH(F600,UnitNames,0)),""))</f>
        <v>0</v>
      </c>
      <c r="K600" s="17">
        <f>IF(F600="","",IFERROR(INDEX(UnitBases,MATCH(F600,UnitNames,0)),"?"))</f>
        <v>0</v>
      </c>
      <c r="L600" s="17">
        <f>IF(D600="","",IFERROR(INDEX(Ingredients!$G$5:$G$304,MATCH(D600,Ingredients!$B$5:$B$304,0)),"Add to Ingredients"))</f>
        <v>0</v>
      </c>
      <c r="M600" s="25">
        <f>IF(D600="","",IFERROR(INDEX(Ingredients!$J$5:$J$304,MATCH(D600,Ingredients!$B$5:$B$304,0)),"Add to Ingredients"))</f>
        <v>0</v>
      </c>
      <c r="N600" s="25">
        <f>IF(OR(J600="",M600="",NOT(ISNUMBER(M600))),"",IF(K600&lt;&gt;L600,"",J600*M600))</f>
        <v>0</v>
      </c>
      <c r="O600" s="25">
        <f>IF(N600="","",IFERROR(N600/INDEX(Recipes!$G$5:$G$204,MATCH(B600,Recipes!$A$5:$A$204,0)),""))</f>
        <v>0</v>
      </c>
      <c r="P600" s="30">
        <f>IF(J600="","",IF(K600="each",J600,J600/100))</f>
        <v>0</v>
      </c>
      <c r="Q600" s="30">
        <f>IFERROR(IF(P600="","",P600*INDEX(Ingredients!$P$5:$P$304,MATCH(D600,Ingredients!$B$5:$B$304,0))),"")</f>
        <v>0</v>
      </c>
      <c r="R600" s="45">
        <f>IFERROR(IF(P600="","",P600*INDEX(Ingredients!$Q$5:$Q$304,MATCH(D600,Ingredients!$B$5:$B$304,0))),"")</f>
        <v>0</v>
      </c>
      <c r="S600" s="45">
        <f>IFERROR(IF(P600="","",P600*INDEX(Ingredients!$R$5:$R$304,MATCH(D600,Ingredients!$B$5:$B$304,0))),"")</f>
        <v>0</v>
      </c>
      <c r="T600" s="45">
        <f>IFERROR(IF(P600="","",P600*INDEX(Ingredients!$S$5:$S$304,MATCH(D600,Ingredients!$B$5:$B$304,0))),"")</f>
        <v>0</v>
      </c>
      <c r="U600" s="45">
        <f>IFERROR(IF(P600="","",P600*INDEX(Ingredients!$T$5:$T$304,MATCH(D600,Ingredients!$B$5:$B$304,0))),"")</f>
        <v>0</v>
      </c>
      <c r="V600" s="17">
        <f>IF(D600="","",IFERROR(INDEX(Ingredients!$W$5:$W$304,MATCH(D600,Ingredients!$B$5:$B$304,0)),"Add to Ingredients"))</f>
        <v>0</v>
      </c>
      <c r="W600" s="17">
        <f>IF(D600="","",IFERROR(INDEX(Ingredients!$C$5:$C$304,MATCH(D600,Ingredients!$B$5:$B$304,0)),"Add to Ingredients"))</f>
        <v>0</v>
      </c>
      <c r="X600" s="45">
        <f>IFERROR(INDEX(Recipes!$AT$5:$AT$204,MATCH(B600,Recipes!$A$5:$A$204,0)),0)</f>
        <v>0</v>
      </c>
      <c r="Y600" s="45">
        <f>IF(OR(J600="",X600=0),"",J600*X600)</f>
        <v>0</v>
      </c>
      <c r="Z600" s="17">
        <f>IF(D600="","",B600&amp;"#"&amp;COUNTIFS($B$5:B600,B600))</f>
        <v>0</v>
      </c>
      <c r="AA600" s="17">
        <f>IF(D600="","",B600&amp;"|"&amp;D600)</f>
        <v>0</v>
      </c>
      <c r="AB600" s="31">
        <f>IF(D600="","",IF(B600="","Add - which recipe?",IF(COUNTIFS(Ingredients!$B$5:$B$304,D600)=0,"Missing - not in the Ingredients tab",IF(E600="","Add - no quantity",IF(F600="","Add - no unit",IF(K600&lt;&gt;L600,"Check - recipe in "&amp;K600&amp;", priced in "&amp;L600,IF(COUNTIFS($AA$5:$AA$1204,AA600)&gt;1,"Duplicate - same ingredient twice","OK")))))))</f>
        <v>0</v>
      </c>
    </row>
    <row r="601" spans="1:28">
      <c r="A601" s="39">
        <f>IF(D601="","","RL-"&amp;TEXT(ROW()-4,"0000"))</f>
        <v>0</v>
      </c>
      <c r="C601" s="17">
        <f>IF(B601="","",IFERROR(INDEX(Recipes!$B$5:$B$204,MATCH(B601,Recipes!$A$5:$A$204,0)),"Not found"))</f>
        <v>0</v>
      </c>
      <c r="J601" s="45">
        <f>IF(E601="","",IFERROR(E601*INDEX(UnitFactors,MATCH(F601,UnitNames,0)),""))</f>
        <v>0</v>
      </c>
      <c r="K601" s="17">
        <f>IF(F601="","",IFERROR(INDEX(UnitBases,MATCH(F601,UnitNames,0)),"?"))</f>
        <v>0</v>
      </c>
      <c r="L601" s="17">
        <f>IF(D601="","",IFERROR(INDEX(Ingredients!$G$5:$G$304,MATCH(D601,Ingredients!$B$5:$B$304,0)),"Add to Ingredients"))</f>
        <v>0</v>
      </c>
      <c r="M601" s="25">
        <f>IF(D601="","",IFERROR(INDEX(Ingredients!$J$5:$J$304,MATCH(D601,Ingredients!$B$5:$B$304,0)),"Add to Ingredients"))</f>
        <v>0</v>
      </c>
      <c r="N601" s="25">
        <f>IF(OR(J601="",M601="",NOT(ISNUMBER(M601))),"",IF(K601&lt;&gt;L601,"",J601*M601))</f>
        <v>0</v>
      </c>
      <c r="O601" s="25">
        <f>IF(N601="","",IFERROR(N601/INDEX(Recipes!$G$5:$G$204,MATCH(B601,Recipes!$A$5:$A$204,0)),""))</f>
        <v>0</v>
      </c>
      <c r="P601" s="30">
        <f>IF(J601="","",IF(K601="each",J601,J601/100))</f>
        <v>0</v>
      </c>
      <c r="Q601" s="30">
        <f>IFERROR(IF(P601="","",P601*INDEX(Ingredients!$P$5:$P$304,MATCH(D601,Ingredients!$B$5:$B$304,0))),"")</f>
        <v>0</v>
      </c>
      <c r="R601" s="45">
        <f>IFERROR(IF(P601="","",P601*INDEX(Ingredients!$Q$5:$Q$304,MATCH(D601,Ingredients!$B$5:$B$304,0))),"")</f>
        <v>0</v>
      </c>
      <c r="S601" s="45">
        <f>IFERROR(IF(P601="","",P601*INDEX(Ingredients!$R$5:$R$304,MATCH(D601,Ingredients!$B$5:$B$304,0))),"")</f>
        <v>0</v>
      </c>
      <c r="T601" s="45">
        <f>IFERROR(IF(P601="","",P601*INDEX(Ingredients!$S$5:$S$304,MATCH(D601,Ingredients!$B$5:$B$304,0))),"")</f>
        <v>0</v>
      </c>
      <c r="U601" s="45">
        <f>IFERROR(IF(P601="","",P601*INDEX(Ingredients!$T$5:$T$304,MATCH(D601,Ingredients!$B$5:$B$304,0))),"")</f>
        <v>0</v>
      </c>
      <c r="V601" s="17">
        <f>IF(D601="","",IFERROR(INDEX(Ingredients!$W$5:$W$304,MATCH(D601,Ingredients!$B$5:$B$304,0)),"Add to Ingredients"))</f>
        <v>0</v>
      </c>
      <c r="W601" s="17">
        <f>IF(D601="","",IFERROR(INDEX(Ingredients!$C$5:$C$304,MATCH(D601,Ingredients!$B$5:$B$304,0)),"Add to Ingredients"))</f>
        <v>0</v>
      </c>
      <c r="X601" s="45">
        <f>IFERROR(INDEX(Recipes!$AT$5:$AT$204,MATCH(B601,Recipes!$A$5:$A$204,0)),0)</f>
        <v>0</v>
      </c>
      <c r="Y601" s="45">
        <f>IF(OR(J601="",X601=0),"",J601*X601)</f>
        <v>0</v>
      </c>
      <c r="Z601" s="17">
        <f>IF(D601="","",B601&amp;"#"&amp;COUNTIFS($B$5:B601,B601))</f>
        <v>0</v>
      </c>
      <c r="AA601" s="17">
        <f>IF(D601="","",B601&amp;"|"&amp;D601)</f>
        <v>0</v>
      </c>
      <c r="AB601" s="31">
        <f>IF(D601="","",IF(B601="","Add - which recipe?",IF(COUNTIFS(Ingredients!$B$5:$B$304,D601)=0,"Missing - not in the Ingredients tab",IF(E601="","Add - no quantity",IF(F601="","Add - no unit",IF(K601&lt;&gt;L601,"Check - recipe in "&amp;K601&amp;", priced in "&amp;L601,IF(COUNTIFS($AA$5:$AA$1204,AA601)&gt;1,"Duplicate - same ingredient twice","OK")))))))</f>
        <v>0</v>
      </c>
    </row>
    <row r="602" spans="1:28">
      <c r="A602" s="39">
        <f>IF(D602="","","RL-"&amp;TEXT(ROW()-4,"0000"))</f>
        <v>0</v>
      </c>
      <c r="C602" s="17">
        <f>IF(B602="","",IFERROR(INDEX(Recipes!$B$5:$B$204,MATCH(B602,Recipes!$A$5:$A$204,0)),"Not found"))</f>
        <v>0</v>
      </c>
      <c r="J602" s="45">
        <f>IF(E602="","",IFERROR(E602*INDEX(UnitFactors,MATCH(F602,UnitNames,0)),""))</f>
        <v>0</v>
      </c>
      <c r="K602" s="17">
        <f>IF(F602="","",IFERROR(INDEX(UnitBases,MATCH(F602,UnitNames,0)),"?"))</f>
        <v>0</v>
      </c>
      <c r="L602" s="17">
        <f>IF(D602="","",IFERROR(INDEX(Ingredients!$G$5:$G$304,MATCH(D602,Ingredients!$B$5:$B$304,0)),"Add to Ingredients"))</f>
        <v>0</v>
      </c>
      <c r="M602" s="25">
        <f>IF(D602="","",IFERROR(INDEX(Ingredients!$J$5:$J$304,MATCH(D602,Ingredients!$B$5:$B$304,0)),"Add to Ingredients"))</f>
        <v>0</v>
      </c>
      <c r="N602" s="25">
        <f>IF(OR(J602="",M602="",NOT(ISNUMBER(M602))),"",IF(K602&lt;&gt;L602,"",J602*M602))</f>
        <v>0</v>
      </c>
      <c r="O602" s="25">
        <f>IF(N602="","",IFERROR(N602/INDEX(Recipes!$G$5:$G$204,MATCH(B602,Recipes!$A$5:$A$204,0)),""))</f>
        <v>0</v>
      </c>
      <c r="P602" s="30">
        <f>IF(J602="","",IF(K602="each",J602,J602/100))</f>
        <v>0</v>
      </c>
      <c r="Q602" s="30">
        <f>IFERROR(IF(P602="","",P602*INDEX(Ingredients!$P$5:$P$304,MATCH(D602,Ingredients!$B$5:$B$304,0))),"")</f>
        <v>0</v>
      </c>
      <c r="R602" s="45">
        <f>IFERROR(IF(P602="","",P602*INDEX(Ingredients!$Q$5:$Q$304,MATCH(D602,Ingredients!$B$5:$B$304,0))),"")</f>
        <v>0</v>
      </c>
      <c r="S602" s="45">
        <f>IFERROR(IF(P602="","",P602*INDEX(Ingredients!$R$5:$R$304,MATCH(D602,Ingredients!$B$5:$B$304,0))),"")</f>
        <v>0</v>
      </c>
      <c r="T602" s="45">
        <f>IFERROR(IF(P602="","",P602*INDEX(Ingredients!$S$5:$S$304,MATCH(D602,Ingredients!$B$5:$B$304,0))),"")</f>
        <v>0</v>
      </c>
      <c r="U602" s="45">
        <f>IFERROR(IF(P602="","",P602*INDEX(Ingredients!$T$5:$T$304,MATCH(D602,Ingredients!$B$5:$B$304,0))),"")</f>
        <v>0</v>
      </c>
      <c r="V602" s="17">
        <f>IF(D602="","",IFERROR(INDEX(Ingredients!$W$5:$W$304,MATCH(D602,Ingredients!$B$5:$B$304,0)),"Add to Ingredients"))</f>
        <v>0</v>
      </c>
      <c r="W602" s="17">
        <f>IF(D602="","",IFERROR(INDEX(Ingredients!$C$5:$C$304,MATCH(D602,Ingredients!$B$5:$B$304,0)),"Add to Ingredients"))</f>
        <v>0</v>
      </c>
      <c r="X602" s="45">
        <f>IFERROR(INDEX(Recipes!$AT$5:$AT$204,MATCH(B602,Recipes!$A$5:$A$204,0)),0)</f>
        <v>0</v>
      </c>
      <c r="Y602" s="45">
        <f>IF(OR(J602="",X602=0),"",J602*X602)</f>
        <v>0</v>
      </c>
      <c r="Z602" s="17">
        <f>IF(D602="","",B602&amp;"#"&amp;COUNTIFS($B$5:B602,B602))</f>
        <v>0</v>
      </c>
      <c r="AA602" s="17">
        <f>IF(D602="","",B602&amp;"|"&amp;D602)</f>
        <v>0</v>
      </c>
      <c r="AB602" s="31">
        <f>IF(D602="","",IF(B602="","Add - which recipe?",IF(COUNTIFS(Ingredients!$B$5:$B$304,D602)=0,"Missing - not in the Ingredients tab",IF(E602="","Add - no quantity",IF(F602="","Add - no unit",IF(K602&lt;&gt;L602,"Check - recipe in "&amp;K602&amp;", priced in "&amp;L602,IF(COUNTIFS($AA$5:$AA$1204,AA602)&gt;1,"Duplicate - same ingredient twice","OK")))))))</f>
        <v>0</v>
      </c>
    </row>
    <row r="603" spans="1:28">
      <c r="A603" s="39">
        <f>IF(D603="","","RL-"&amp;TEXT(ROW()-4,"0000"))</f>
        <v>0</v>
      </c>
      <c r="C603" s="17">
        <f>IF(B603="","",IFERROR(INDEX(Recipes!$B$5:$B$204,MATCH(B603,Recipes!$A$5:$A$204,0)),"Not found"))</f>
        <v>0</v>
      </c>
      <c r="J603" s="45">
        <f>IF(E603="","",IFERROR(E603*INDEX(UnitFactors,MATCH(F603,UnitNames,0)),""))</f>
        <v>0</v>
      </c>
      <c r="K603" s="17">
        <f>IF(F603="","",IFERROR(INDEX(UnitBases,MATCH(F603,UnitNames,0)),"?"))</f>
        <v>0</v>
      </c>
      <c r="L603" s="17">
        <f>IF(D603="","",IFERROR(INDEX(Ingredients!$G$5:$G$304,MATCH(D603,Ingredients!$B$5:$B$304,0)),"Add to Ingredients"))</f>
        <v>0</v>
      </c>
      <c r="M603" s="25">
        <f>IF(D603="","",IFERROR(INDEX(Ingredients!$J$5:$J$304,MATCH(D603,Ingredients!$B$5:$B$304,0)),"Add to Ingredients"))</f>
        <v>0</v>
      </c>
      <c r="N603" s="25">
        <f>IF(OR(J603="",M603="",NOT(ISNUMBER(M603))),"",IF(K603&lt;&gt;L603,"",J603*M603))</f>
        <v>0</v>
      </c>
      <c r="O603" s="25">
        <f>IF(N603="","",IFERROR(N603/INDEX(Recipes!$G$5:$G$204,MATCH(B603,Recipes!$A$5:$A$204,0)),""))</f>
        <v>0</v>
      </c>
      <c r="P603" s="30">
        <f>IF(J603="","",IF(K603="each",J603,J603/100))</f>
        <v>0</v>
      </c>
      <c r="Q603" s="30">
        <f>IFERROR(IF(P603="","",P603*INDEX(Ingredients!$P$5:$P$304,MATCH(D603,Ingredients!$B$5:$B$304,0))),"")</f>
        <v>0</v>
      </c>
      <c r="R603" s="45">
        <f>IFERROR(IF(P603="","",P603*INDEX(Ingredients!$Q$5:$Q$304,MATCH(D603,Ingredients!$B$5:$B$304,0))),"")</f>
        <v>0</v>
      </c>
      <c r="S603" s="45">
        <f>IFERROR(IF(P603="","",P603*INDEX(Ingredients!$R$5:$R$304,MATCH(D603,Ingredients!$B$5:$B$304,0))),"")</f>
        <v>0</v>
      </c>
      <c r="T603" s="45">
        <f>IFERROR(IF(P603="","",P603*INDEX(Ingredients!$S$5:$S$304,MATCH(D603,Ingredients!$B$5:$B$304,0))),"")</f>
        <v>0</v>
      </c>
      <c r="U603" s="45">
        <f>IFERROR(IF(P603="","",P603*INDEX(Ingredients!$T$5:$T$304,MATCH(D603,Ingredients!$B$5:$B$304,0))),"")</f>
        <v>0</v>
      </c>
      <c r="V603" s="17">
        <f>IF(D603="","",IFERROR(INDEX(Ingredients!$W$5:$W$304,MATCH(D603,Ingredients!$B$5:$B$304,0)),"Add to Ingredients"))</f>
        <v>0</v>
      </c>
      <c r="W603" s="17">
        <f>IF(D603="","",IFERROR(INDEX(Ingredients!$C$5:$C$304,MATCH(D603,Ingredients!$B$5:$B$304,0)),"Add to Ingredients"))</f>
        <v>0</v>
      </c>
      <c r="X603" s="45">
        <f>IFERROR(INDEX(Recipes!$AT$5:$AT$204,MATCH(B603,Recipes!$A$5:$A$204,0)),0)</f>
        <v>0</v>
      </c>
      <c r="Y603" s="45">
        <f>IF(OR(J603="",X603=0),"",J603*X603)</f>
        <v>0</v>
      </c>
      <c r="Z603" s="17">
        <f>IF(D603="","",B603&amp;"#"&amp;COUNTIFS($B$5:B603,B603))</f>
        <v>0</v>
      </c>
      <c r="AA603" s="17">
        <f>IF(D603="","",B603&amp;"|"&amp;D603)</f>
        <v>0</v>
      </c>
      <c r="AB603" s="31">
        <f>IF(D603="","",IF(B603="","Add - which recipe?",IF(COUNTIFS(Ingredients!$B$5:$B$304,D603)=0,"Missing - not in the Ingredients tab",IF(E603="","Add - no quantity",IF(F603="","Add - no unit",IF(K603&lt;&gt;L603,"Check - recipe in "&amp;K603&amp;", priced in "&amp;L603,IF(COUNTIFS($AA$5:$AA$1204,AA603)&gt;1,"Duplicate - same ingredient twice","OK")))))))</f>
        <v>0</v>
      </c>
    </row>
    <row r="604" spans="1:28">
      <c r="A604" s="39">
        <f>IF(D604="","","RL-"&amp;TEXT(ROW()-4,"0000"))</f>
        <v>0</v>
      </c>
      <c r="C604" s="17">
        <f>IF(B604="","",IFERROR(INDEX(Recipes!$B$5:$B$204,MATCH(B604,Recipes!$A$5:$A$204,0)),"Not found"))</f>
        <v>0</v>
      </c>
      <c r="J604" s="45">
        <f>IF(E604="","",IFERROR(E604*INDEX(UnitFactors,MATCH(F604,UnitNames,0)),""))</f>
        <v>0</v>
      </c>
      <c r="K604" s="17">
        <f>IF(F604="","",IFERROR(INDEX(UnitBases,MATCH(F604,UnitNames,0)),"?"))</f>
        <v>0</v>
      </c>
      <c r="L604" s="17">
        <f>IF(D604="","",IFERROR(INDEX(Ingredients!$G$5:$G$304,MATCH(D604,Ingredients!$B$5:$B$304,0)),"Add to Ingredients"))</f>
        <v>0</v>
      </c>
      <c r="M604" s="25">
        <f>IF(D604="","",IFERROR(INDEX(Ingredients!$J$5:$J$304,MATCH(D604,Ingredients!$B$5:$B$304,0)),"Add to Ingredients"))</f>
        <v>0</v>
      </c>
      <c r="N604" s="25">
        <f>IF(OR(J604="",M604="",NOT(ISNUMBER(M604))),"",IF(K604&lt;&gt;L604,"",J604*M604))</f>
        <v>0</v>
      </c>
      <c r="O604" s="25">
        <f>IF(N604="","",IFERROR(N604/INDEX(Recipes!$G$5:$G$204,MATCH(B604,Recipes!$A$5:$A$204,0)),""))</f>
        <v>0</v>
      </c>
      <c r="P604" s="30">
        <f>IF(J604="","",IF(K604="each",J604,J604/100))</f>
        <v>0</v>
      </c>
      <c r="Q604" s="30">
        <f>IFERROR(IF(P604="","",P604*INDEX(Ingredients!$P$5:$P$304,MATCH(D604,Ingredients!$B$5:$B$304,0))),"")</f>
        <v>0</v>
      </c>
      <c r="R604" s="45">
        <f>IFERROR(IF(P604="","",P604*INDEX(Ingredients!$Q$5:$Q$304,MATCH(D604,Ingredients!$B$5:$B$304,0))),"")</f>
        <v>0</v>
      </c>
      <c r="S604" s="45">
        <f>IFERROR(IF(P604="","",P604*INDEX(Ingredients!$R$5:$R$304,MATCH(D604,Ingredients!$B$5:$B$304,0))),"")</f>
        <v>0</v>
      </c>
      <c r="T604" s="45">
        <f>IFERROR(IF(P604="","",P604*INDEX(Ingredients!$S$5:$S$304,MATCH(D604,Ingredients!$B$5:$B$304,0))),"")</f>
        <v>0</v>
      </c>
      <c r="U604" s="45">
        <f>IFERROR(IF(P604="","",P604*INDEX(Ingredients!$T$5:$T$304,MATCH(D604,Ingredients!$B$5:$B$304,0))),"")</f>
        <v>0</v>
      </c>
      <c r="V604" s="17">
        <f>IF(D604="","",IFERROR(INDEX(Ingredients!$W$5:$W$304,MATCH(D604,Ingredients!$B$5:$B$304,0)),"Add to Ingredients"))</f>
        <v>0</v>
      </c>
      <c r="W604" s="17">
        <f>IF(D604="","",IFERROR(INDEX(Ingredients!$C$5:$C$304,MATCH(D604,Ingredients!$B$5:$B$304,0)),"Add to Ingredients"))</f>
        <v>0</v>
      </c>
      <c r="X604" s="45">
        <f>IFERROR(INDEX(Recipes!$AT$5:$AT$204,MATCH(B604,Recipes!$A$5:$A$204,0)),0)</f>
        <v>0</v>
      </c>
      <c r="Y604" s="45">
        <f>IF(OR(J604="",X604=0),"",J604*X604)</f>
        <v>0</v>
      </c>
      <c r="Z604" s="17">
        <f>IF(D604="","",B604&amp;"#"&amp;COUNTIFS($B$5:B604,B604))</f>
        <v>0</v>
      </c>
      <c r="AA604" s="17">
        <f>IF(D604="","",B604&amp;"|"&amp;D604)</f>
        <v>0</v>
      </c>
      <c r="AB604" s="31">
        <f>IF(D604="","",IF(B604="","Add - which recipe?",IF(COUNTIFS(Ingredients!$B$5:$B$304,D604)=0,"Missing - not in the Ingredients tab",IF(E604="","Add - no quantity",IF(F604="","Add - no unit",IF(K604&lt;&gt;L604,"Check - recipe in "&amp;K604&amp;", priced in "&amp;L604,IF(COUNTIFS($AA$5:$AA$1204,AA604)&gt;1,"Duplicate - same ingredient twice","OK")))))))</f>
        <v>0</v>
      </c>
    </row>
    <row r="605" spans="1:28">
      <c r="A605" s="39">
        <f>IF(D605="","","RL-"&amp;TEXT(ROW()-4,"0000"))</f>
        <v>0</v>
      </c>
      <c r="C605" s="17">
        <f>IF(B605="","",IFERROR(INDEX(Recipes!$B$5:$B$204,MATCH(B605,Recipes!$A$5:$A$204,0)),"Not found"))</f>
        <v>0</v>
      </c>
      <c r="J605" s="45">
        <f>IF(E605="","",IFERROR(E605*INDEX(UnitFactors,MATCH(F605,UnitNames,0)),""))</f>
        <v>0</v>
      </c>
      <c r="K605" s="17">
        <f>IF(F605="","",IFERROR(INDEX(UnitBases,MATCH(F605,UnitNames,0)),"?"))</f>
        <v>0</v>
      </c>
      <c r="L605" s="17">
        <f>IF(D605="","",IFERROR(INDEX(Ingredients!$G$5:$G$304,MATCH(D605,Ingredients!$B$5:$B$304,0)),"Add to Ingredients"))</f>
        <v>0</v>
      </c>
      <c r="M605" s="25">
        <f>IF(D605="","",IFERROR(INDEX(Ingredients!$J$5:$J$304,MATCH(D605,Ingredients!$B$5:$B$304,0)),"Add to Ingredients"))</f>
        <v>0</v>
      </c>
      <c r="N605" s="25">
        <f>IF(OR(J605="",M605="",NOT(ISNUMBER(M605))),"",IF(K605&lt;&gt;L605,"",J605*M605))</f>
        <v>0</v>
      </c>
      <c r="O605" s="25">
        <f>IF(N605="","",IFERROR(N605/INDEX(Recipes!$G$5:$G$204,MATCH(B605,Recipes!$A$5:$A$204,0)),""))</f>
        <v>0</v>
      </c>
      <c r="P605" s="30">
        <f>IF(J605="","",IF(K605="each",J605,J605/100))</f>
        <v>0</v>
      </c>
      <c r="Q605" s="30">
        <f>IFERROR(IF(P605="","",P605*INDEX(Ingredients!$P$5:$P$304,MATCH(D605,Ingredients!$B$5:$B$304,0))),"")</f>
        <v>0</v>
      </c>
      <c r="R605" s="45">
        <f>IFERROR(IF(P605="","",P605*INDEX(Ingredients!$Q$5:$Q$304,MATCH(D605,Ingredients!$B$5:$B$304,0))),"")</f>
        <v>0</v>
      </c>
      <c r="S605" s="45">
        <f>IFERROR(IF(P605="","",P605*INDEX(Ingredients!$R$5:$R$304,MATCH(D605,Ingredients!$B$5:$B$304,0))),"")</f>
        <v>0</v>
      </c>
      <c r="T605" s="45">
        <f>IFERROR(IF(P605="","",P605*INDEX(Ingredients!$S$5:$S$304,MATCH(D605,Ingredients!$B$5:$B$304,0))),"")</f>
        <v>0</v>
      </c>
      <c r="U605" s="45">
        <f>IFERROR(IF(P605="","",P605*INDEX(Ingredients!$T$5:$T$304,MATCH(D605,Ingredients!$B$5:$B$304,0))),"")</f>
        <v>0</v>
      </c>
      <c r="V605" s="17">
        <f>IF(D605="","",IFERROR(INDEX(Ingredients!$W$5:$W$304,MATCH(D605,Ingredients!$B$5:$B$304,0)),"Add to Ingredients"))</f>
        <v>0</v>
      </c>
      <c r="W605" s="17">
        <f>IF(D605="","",IFERROR(INDEX(Ingredients!$C$5:$C$304,MATCH(D605,Ingredients!$B$5:$B$304,0)),"Add to Ingredients"))</f>
        <v>0</v>
      </c>
      <c r="X605" s="45">
        <f>IFERROR(INDEX(Recipes!$AT$5:$AT$204,MATCH(B605,Recipes!$A$5:$A$204,0)),0)</f>
        <v>0</v>
      </c>
      <c r="Y605" s="45">
        <f>IF(OR(J605="",X605=0),"",J605*X605)</f>
        <v>0</v>
      </c>
      <c r="Z605" s="17">
        <f>IF(D605="","",B605&amp;"#"&amp;COUNTIFS($B$5:B605,B605))</f>
        <v>0</v>
      </c>
      <c r="AA605" s="17">
        <f>IF(D605="","",B605&amp;"|"&amp;D605)</f>
        <v>0</v>
      </c>
      <c r="AB605" s="31">
        <f>IF(D605="","",IF(B605="","Add - which recipe?",IF(COUNTIFS(Ingredients!$B$5:$B$304,D605)=0,"Missing - not in the Ingredients tab",IF(E605="","Add - no quantity",IF(F605="","Add - no unit",IF(K605&lt;&gt;L605,"Check - recipe in "&amp;K605&amp;", priced in "&amp;L605,IF(COUNTIFS($AA$5:$AA$1204,AA605)&gt;1,"Duplicate - same ingredient twice","OK")))))))</f>
        <v>0</v>
      </c>
    </row>
    <row r="606" spans="1:28">
      <c r="A606" s="39">
        <f>IF(D606="","","RL-"&amp;TEXT(ROW()-4,"0000"))</f>
        <v>0</v>
      </c>
      <c r="C606" s="17">
        <f>IF(B606="","",IFERROR(INDEX(Recipes!$B$5:$B$204,MATCH(B606,Recipes!$A$5:$A$204,0)),"Not found"))</f>
        <v>0</v>
      </c>
      <c r="J606" s="45">
        <f>IF(E606="","",IFERROR(E606*INDEX(UnitFactors,MATCH(F606,UnitNames,0)),""))</f>
        <v>0</v>
      </c>
      <c r="K606" s="17">
        <f>IF(F606="","",IFERROR(INDEX(UnitBases,MATCH(F606,UnitNames,0)),"?"))</f>
        <v>0</v>
      </c>
      <c r="L606" s="17">
        <f>IF(D606="","",IFERROR(INDEX(Ingredients!$G$5:$G$304,MATCH(D606,Ingredients!$B$5:$B$304,0)),"Add to Ingredients"))</f>
        <v>0</v>
      </c>
      <c r="M606" s="25">
        <f>IF(D606="","",IFERROR(INDEX(Ingredients!$J$5:$J$304,MATCH(D606,Ingredients!$B$5:$B$304,0)),"Add to Ingredients"))</f>
        <v>0</v>
      </c>
      <c r="N606" s="25">
        <f>IF(OR(J606="",M606="",NOT(ISNUMBER(M606))),"",IF(K606&lt;&gt;L606,"",J606*M606))</f>
        <v>0</v>
      </c>
      <c r="O606" s="25">
        <f>IF(N606="","",IFERROR(N606/INDEX(Recipes!$G$5:$G$204,MATCH(B606,Recipes!$A$5:$A$204,0)),""))</f>
        <v>0</v>
      </c>
      <c r="P606" s="30">
        <f>IF(J606="","",IF(K606="each",J606,J606/100))</f>
        <v>0</v>
      </c>
      <c r="Q606" s="30">
        <f>IFERROR(IF(P606="","",P606*INDEX(Ingredients!$P$5:$P$304,MATCH(D606,Ingredients!$B$5:$B$304,0))),"")</f>
        <v>0</v>
      </c>
      <c r="R606" s="45">
        <f>IFERROR(IF(P606="","",P606*INDEX(Ingredients!$Q$5:$Q$304,MATCH(D606,Ingredients!$B$5:$B$304,0))),"")</f>
        <v>0</v>
      </c>
      <c r="S606" s="45">
        <f>IFERROR(IF(P606="","",P606*INDEX(Ingredients!$R$5:$R$304,MATCH(D606,Ingredients!$B$5:$B$304,0))),"")</f>
        <v>0</v>
      </c>
      <c r="T606" s="45">
        <f>IFERROR(IF(P606="","",P606*INDEX(Ingredients!$S$5:$S$304,MATCH(D606,Ingredients!$B$5:$B$304,0))),"")</f>
        <v>0</v>
      </c>
      <c r="U606" s="45">
        <f>IFERROR(IF(P606="","",P606*INDEX(Ingredients!$T$5:$T$304,MATCH(D606,Ingredients!$B$5:$B$304,0))),"")</f>
        <v>0</v>
      </c>
      <c r="V606" s="17">
        <f>IF(D606="","",IFERROR(INDEX(Ingredients!$W$5:$W$304,MATCH(D606,Ingredients!$B$5:$B$304,0)),"Add to Ingredients"))</f>
        <v>0</v>
      </c>
      <c r="W606" s="17">
        <f>IF(D606="","",IFERROR(INDEX(Ingredients!$C$5:$C$304,MATCH(D606,Ingredients!$B$5:$B$304,0)),"Add to Ingredients"))</f>
        <v>0</v>
      </c>
      <c r="X606" s="45">
        <f>IFERROR(INDEX(Recipes!$AT$5:$AT$204,MATCH(B606,Recipes!$A$5:$A$204,0)),0)</f>
        <v>0</v>
      </c>
      <c r="Y606" s="45">
        <f>IF(OR(J606="",X606=0),"",J606*X606)</f>
        <v>0</v>
      </c>
      <c r="Z606" s="17">
        <f>IF(D606="","",B606&amp;"#"&amp;COUNTIFS($B$5:B606,B606))</f>
        <v>0</v>
      </c>
      <c r="AA606" s="17">
        <f>IF(D606="","",B606&amp;"|"&amp;D606)</f>
        <v>0</v>
      </c>
      <c r="AB606" s="31">
        <f>IF(D606="","",IF(B606="","Add - which recipe?",IF(COUNTIFS(Ingredients!$B$5:$B$304,D606)=0,"Missing - not in the Ingredients tab",IF(E606="","Add - no quantity",IF(F606="","Add - no unit",IF(K606&lt;&gt;L606,"Check - recipe in "&amp;K606&amp;", priced in "&amp;L606,IF(COUNTIFS($AA$5:$AA$1204,AA606)&gt;1,"Duplicate - same ingredient twice","OK")))))))</f>
        <v>0</v>
      </c>
    </row>
    <row r="607" spans="1:28">
      <c r="A607" s="39">
        <f>IF(D607="","","RL-"&amp;TEXT(ROW()-4,"0000"))</f>
        <v>0</v>
      </c>
      <c r="C607" s="17">
        <f>IF(B607="","",IFERROR(INDEX(Recipes!$B$5:$B$204,MATCH(B607,Recipes!$A$5:$A$204,0)),"Not found"))</f>
        <v>0</v>
      </c>
      <c r="J607" s="45">
        <f>IF(E607="","",IFERROR(E607*INDEX(UnitFactors,MATCH(F607,UnitNames,0)),""))</f>
        <v>0</v>
      </c>
      <c r="K607" s="17">
        <f>IF(F607="","",IFERROR(INDEX(UnitBases,MATCH(F607,UnitNames,0)),"?"))</f>
        <v>0</v>
      </c>
      <c r="L607" s="17">
        <f>IF(D607="","",IFERROR(INDEX(Ingredients!$G$5:$G$304,MATCH(D607,Ingredients!$B$5:$B$304,0)),"Add to Ingredients"))</f>
        <v>0</v>
      </c>
      <c r="M607" s="25">
        <f>IF(D607="","",IFERROR(INDEX(Ingredients!$J$5:$J$304,MATCH(D607,Ingredients!$B$5:$B$304,0)),"Add to Ingredients"))</f>
        <v>0</v>
      </c>
      <c r="N607" s="25">
        <f>IF(OR(J607="",M607="",NOT(ISNUMBER(M607))),"",IF(K607&lt;&gt;L607,"",J607*M607))</f>
        <v>0</v>
      </c>
      <c r="O607" s="25">
        <f>IF(N607="","",IFERROR(N607/INDEX(Recipes!$G$5:$G$204,MATCH(B607,Recipes!$A$5:$A$204,0)),""))</f>
        <v>0</v>
      </c>
      <c r="P607" s="30">
        <f>IF(J607="","",IF(K607="each",J607,J607/100))</f>
        <v>0</v>
      </c>
      <c r="Q607" s="30">
        <f>IFERROR(IF(P607="","",P607*INDEX(Ingredients!$P$5:$P$304,MATCH(D607,Ingredients!$B$5:$B$304,0))),"")</f>
        <v>0</v>
      </c>
      <c r="R607" s="45">
        <f>IFERROR(IF(P607="","",P607*INDEX(Ingredients!$Q$5:$Q$304,MATCH(D607,Ingredients!$B$5:$B$304,0))),"")</f>
        <v>0</v>
      </c>
      <c r="S607" s="45">
        <f>IFERROR(IF(P607="","",P607*INDEX(Ingredients!$R$5:$R$304,MATCH(D607,Ingredients!$B$5:$B$304,0))),"")</f>
        <v>0</v>
      </c>
      <c r="T607" s="45">
        <f>IFERROR(IF(P607="","",P607*INDEX(Ingredients!$S$5:$S$304,MATCH(D607,Ingredients!$B$5:$B$304,0))),"")</f>
        <v>0</v>
      </c>
      <c r="U607" s="45">
        <f>IFERROR(IF(P607="","",P607*INDEX(Ingredients!$T$5:$T$304,MATCH(D607,Ingredients!$B$5:$B$304,0))),"")</f>
        <v>0</v>
      </c>
      <c r="V607" s="17">
        <f>IF(D607="","",IFERROR(INDEX(Ingredients!$W$5:$W$304,MATCH(D607,Ingredients!$B$5:$B$304,0)),"Add to Ingredients"))</f>
        <v>0</v>
      </c>
      <c r="W607" s="17">
        <f>IF(D607="","",IFERROR(INDEX(Ingredients!$C$5:$C$304,MATCH(D607,Ingredients!$B$5:$B$304,0)),"Add to Ingredients"))</f>
        <v>0</v>
      </c>
      <c r="X607" s="45">
        <f>IFERROR(INDEX(Recipes!$AT$5:$AT$204,MATCH(B607,Recipes!$A$5:$A$204,0)),0)</f>
        <v>0</v>
      </c>
      <c r="Y607" s="45">
        <f>IF(OR(J607="",X607=0),"",J607*X607)</f>
        <v>0</v>
      </c>
      <c r="Z607" s="17">
        <f>IF(D607="","",B607&amp;"#"&amp;COUNTIFS($B$5:B607,B607))</f>
        <v>0</v>
      </c>
      <c r="AA607" s="17">
        <f>IF(D607="","",B607&amp;"|"&amp;D607)</f>
        <v>0</v>
      </c>
      <c r="AB607" s="31">
        <f>IF(D607="","",IF(B607="","Add - which recipe?",IF(COUNTIFS(Ingredients!$B$5:$B$304,D607)=0,"Missing - not in the Ingredients tab",IF(E607="","Add - no quantity",IF(F607="","Add - no unit",IF(K607&lt;&gt;L607,"Check - recipe in "&amp;K607&amp;", priced in "&amp;L607,IF(COUNTIFS($AA$5:$AA$1204,AA607)&gt;1,"Duplicate - same ingredient twice","OK")))))))</f>
        <v>0</v>
      </c>
    </row>
    <row r="608" spans="1:28">
      <c r="A608" s="39">
        <f>IF(D608="","","RL-"&amp;TEXT(ROW()-4,"0000"))</f>
        <v>0</v>
      </c>
      <c r="C608" s="17">
        <f>IF(B608="","",IFERROR(INDEX(Recipes!$B$5:$B$204,MATCH(B608,Recipes!$A$5:$A$204,0)),"Not found"))</f>
        <v>0</v>
      </c>
      <c r="J608" s="45">
        <f>IF(E608="","",IFERROR(E608*INDEX(UnitFactors,MATCH(F608,UnitNames,0)),""))</f>
        <v>0</v>
      </c>
      <c r="K608" s="17">
        <f>IF(F608="","",IFERROR(INDEX(UnitBases,MATCH(F608,UnitNames,0)),"?"))</f>
        <v>0</v>
      </c>
      <c r="L608" s="17">
        <f>IF(D608="","",IFERROR(INDEX(Ingredients!$G$5:$G$304,MATCH(D608,Ingredients!$B$5:$B$304,0)),"Add to Ingredients"))</f>
        <v>0</v>
      </c>
      <c r="M608" s="25">
        <f>IF(D608="","",IFERROR(INDEX(Ingredients!$J$5:$J$304,MATCH(D608,Ingredients!$B$5:$B$304,0)),"Add to Ingredients"))</f>
        <v>0</v>
      </c>
      <c r="N608" s="25">
        <f>IF(OR(J608="",M608="",NOT(ISNUMBER(M608))),"",IF(K608&lt;&gt;L608,"",J608*M608))</f>
        <v>0</v>
      </c>
      <c r="O608" s="25">
        <f>IF(N608="","",IFERROR(N608/INDEX(Recipes!$G$5:$G$204,MATCH(B608,Recipes!$A$5:$A$204,0)),""))</f>
        <v>0</v>
      </c>
      <c r="P608" s="30">
        <f>IF(J608="","",IF(K608="each",J608,J608/100))</f>
        <v>0</v>
      </c>
      <c r="Q608" s="30">
        <f>IFERROR(IF(P608="","",P608*INDEX(Ingredients!$P$5:$P$304,MATCH(D608,Ingredients!$B$5:$B$304,0))),"")</f>
        <v>0</v>
      </c>
      <c r="R608" s="45">
        <f>IFERROR(IF(P608="","",P608*INDEX(Ingredients!$Q$5:$Q$304,MATCH(D608,Ingredients!$B$5:$B$304,0))),"")</f>
        <v>0</v>
      </c>
      <c r="S608" s="45">
        <f>IFERROR(IF(P608="","",P608*INDEX(Ingredients!$R$5:$R$304,MATCH(D608,Ingredients!$B$5:$B$304,0))),"")</f>
        <v>0</v>
      </c>
      <c r="T608" s="45">
        <f>IFERROR(IF(P608="","",P608*INDEX(Ingredients!$S$5:$S$304,MATCH(D608,Ingredients!$B$5:$B$304,0))),"")</f>
        <v>0</v>
      </c>
      <c r="U608" s="45">
        <f>IFERROR(IF(P608="","",P608*INDEX(Ingredients!$T$5:$T$304,MATCH(D608,Ingredients!$B$5:$B$304,0))),"")</f>
        <v>0</v>
      </c>
      <c r="V608" s="17">
        <f>IF(D608="","",IFERROR(INDEX(Ingredients!$W$5:$W$304,MATCH(D608,Ingredients!$B$5:$B$304,0)),"Add to Ingredients"))</f>
        <v>0</v>
      </c>
      <c r="W608" s="17">
        <f>IF(D608="","",IFERROR(INDEX(Ingredients!$C$5:$C$304,MATCH(D608,Ingredients!$B$5:$B$304,0)),"Add to Ingredients"))</f>
        <v>0</v>
      </c>
      <c r="X608" s="45">
        <f>IFERROR(INDEX(Recipes!$AT$5:$AT$204,MATCH(B608,Recipes!$A$5:$A$204,0)),0)</f>
        <v>0</v>
      </c>
      <c r="Y608" s="45">
        <f>IF(OR(J608="",X608=0),"",J608*X608)</f>
        <v>0</v>
      </c>
      <c r="Z608" s="17">
        <f>IF(D608="","",B608&amp;"#"&amp;COUNTIFS($B$5:B608,B608))</f>
        <v>0</v>
      </c>
      <c r="AA608" s="17">
        <f>IF(D608="","",B608&amp;"|"&amp;D608)</f>
        <v>0</v>
      </c>
      <c r="AB608" s="31">
        <f>IF(D608="","",IF(B608="","Add - which recipe?",IF(COUNTIFS(Ingredients!$B$5:$B$304,D608)=0,"Missing - not in the Ingredients tab",IF(E608="","Add - no quantity",IF(F608="","Add - no unit",IF(K608&lt;&gt;L608,"Check - recipe in "&amp;K608&amp;", priced in "&amp;L608,IF(COUNTIFS($AA$5:$AA$1204,AA608)&gt;1,"Duplicate - same ingredient twice","OK")))))))</f>
        <v>0</v>
      </c>
    </row>
    <row r="609" spans="1:28">
      <c r="A609" s="39">
        <f>IF(D609="","","RL-"&amp;TEXT(ROW()-4,"0000"))</f>
        <v>0</v>
      </c>
      <c r="C609" s="17">
        <f>IF(B609="","",IFERROR(INDEX(Recipes!$B$5:$B$204,MATCH(B609,Recipes!$A$5:$A$204,0)),"Not found"))</f>
        <v>0</v>
      </c>
      <c r="J609" s="45">
        <f>IF(E609="","",IFERROR(E609*INDEX(UnitFactors,MATCH(F609,UnitNames,0)),""))</f>
        <v>0</v>
      </c>
      <c r="K609" s="17">
        <f>IF(F609="","",IFERROR(INDEX(UnitBases,MATCH(F609,UnitNames,0)),"?"))</f>
        <v>0</v>
      </c>
      <c r="L609" s="17">
        <f>IF(D609="","",IFERROR(INDEX(Ingredients!$G$5:$G$304,MATCH(D609,Ingredients!$B$5:$B$304,0)),"Add to Ingredients"))</f>
        <v>0</v>
      </c>
      <c r="M609" s="25">
        <f>IF(D609="","",IFERROR(INDEX(Ingredients!$J$5:$J$304,MATCH(D609,Ingredients!$B$5:$B$304,0)),"Add to Ingredients"))</f>
        <v>0</v>
      </c>
      <c r="N609" s="25">
        <f>IF(OR(J609="",M609="",NOT(ISNUMBER(M609))),"",IF(K609&lt;&gt;L609,"",J609*M609))</f>
        <v>0</v>
      </c>
      <c r="O609" s="25">
        <f>IF(N609="","",IFERROR(N609/INDEX(Recipes!$G$5:$G$204,MATCH(B609,Recipes!$A$5:$A$204,0)),""))</f>
        <v>0</v>
      </c>
      <c r="P609" s="30">
        <f>IF(J609="","",IF(K609="each",J609,J609/100))</f>
        <v>0</v>
      </c>
      <c r="Q609" s="30">
        <f>IFERROR(IF(P609="","",P609*INDEX(Ingredients!$P$5:$P$304,MATCH(D609,Ingredients!$B$5:$B$304,0))),"")</f>
        <v>0</v>
      </c>
      <c r="R609" s="45">
        <f>IFERROR(IF(P609="","",P609*INDEX(Ingredients!$Q$5:$Q$304,MATCH(D609,Ingredients!$B$5:$B$304,0))),"")</f>
        <v>0</v>
      </c>
      <c r="S609" s="45">
        <f>IFERROR(IF(P609="","",P609*INDEX(Ingredients!$R$5:$R$304,MATCH(D609,Ingredients!$B$5:$B$304,0))),"")</f>
        <v>0</v>
      </c>
      <c r="T609" s="45">
        <f>IFERROR(IF(P609="","",P609*INDEX(Ingredients!$S$5:$S$304,MATCH(D609,Ingredients!$B$5:$B$304,0))),"")</f>
        <v>0</v>
      </c>
      <c r="U609" s="45">
        <f>IFERROR(IF(P609="","",P609*INDEX(Ingredients!$T$5:$T$304,MATCH(D609,Ingredients!$B$5:$B$304,0))),"")</f>
        <v>0</v>
      </c>
      <c r="V609" s="17">
        <f>IF(D609="","",IFERROR(INDEX(Ingredients!$W$5:$W$304,MATCH(D609,Ingredients!$B$5:$B$304,0)),"Add to Ingredients"))</f>
        <v>0</v>
      </c>
      <c r="W609" s="17">
        <f>IF(D609="","",IFERROR(INDEX(Ingredients!$C$5:$C$304,MATCH(D609,Ingredients!$B$5:$B$304,0)),"Add to Ingredients"))</f>
        <v>0</v>
      </c>
      <c r="X609" s="45">
        <f>IFERROR(INDEX(Recipes!$AT$5:$AT$204,MATCH(B609,Recipes!$A$5:$A$204,0)),0)</f>
        <v>0</v>
      </c>
      <c r="Y609" s="45">
        <f>IF(OR(J609="",X609=0),"",J609*X609)</f>
        <v>0</v>
      </c>
      <c r="Z609" s="17">
        <f>IF(D609="","",B609&amp;"#"&amp;COUNTIFS($B$5:B609,B609))</f>
        <v>0</v>
      </c>
      <c r="AA609" s="17">
        <f>IF(D609="","",B609&amp;"|"&amp;D609)</f>
        <v>0</v>
      </c>
      <c r="AB609" s="31">
        <f>IF(D609="","",IF(B609="","Add - which recipe?",IF(COUNTIFS(Ingredients!$B$5:$B$304,D609)=0,"Missing - not in the Ingredients tab",IF(E609="","Add - no quantity",IF(F609="","Add - no unit",IF(K609&lt;&gt;L609,"Check - recipe in "&amp;K609&amp;", priced in "&amp;L609,IF(COUNTIFS($AA$5:$AA$1204,AA609)&gt;1,"Duplicate - same ingredient twice","OK")))))))</f>
        <v>0</v>
      </c>
    </row>
    <row r="610" spans="1:28">
      <c r="A610" s="39">
        <f>IF(D610="","","RL-"&amp;TEXT(ROW()-4,"0000"))</f>
        <v>0</v>
      </c>
      <c r="C610" s="17">
        <f>IF(B610="","",IFERROR(INDEX(Recipes!$B$5:$B$204,MATCH(B610,Recipes!$A$5:$A$204,0)),"Not found"))</f>
        <v>0</v>
      </c>
      <c r="J610" s="45">
        <f>IF(E610="","",IFERROR(E610*INDEX(UnitFactors,MATCH(F610,UnitNames,0)),""))</f>
        <v>0</v>
      </c>
      <c r="K610" s="17">
        <f>IF(F610="","",IFERROR(INDEX(UnitBases,MATCH(F610,UnitNames,0)),"?"))</f>
        <v>0</v>
      </c>
      <c r="L610" s="17">
        <f>IF(D610="","",IFERROR(INDEX(Ingredients!$G$5:$G$304,MATCH(D610,Ingredients!$B$5:$B$304,0)),"Add to Ingredients"))</f>
        <v>0</v>
      </c>
      <c r="M610" s="25">
        <f>IF(D610="","",IFERROR(INDEX(Ingredients!$J$5:$J$304,MATCH(D610,Ingredients!$B$5:$B$304,0)),"Add to Ingredients"))</f>
        <v>0</v>
      </c>
      <c r="N610" s="25">
        <f>IF(OR(J610="",M610="",NOT(ISNUMBER(M610))),"",IF(K610&lt;&gt;L610,"",J610*M610))</f>
        <v>0</v>
      </c>
      <c r="O610" s="25">
        <f>IF(N610="","",IFERROR(N610/INDEX(Recipes!$G$5:$G$204,MATCH(B610,Recipes!$A$5:$A$204,0)),""))</f>
        <v>0</v>
      </c>
      <c r="P610" s="30">
        <f>IF(J610="","",IF(K610="each",J610,J610/100))</f>
        <v>0</v>
      </c>
      <c r="Q610" s="30">
        <f>IFERROR(IF(P610="","",P610*INDEX(Ingredients!$P$5:$P$304,MATCH(D610,Ingredients!$B$5:$B$304,0))),"")</f>
        <v>0</v>
      </c>
      <c r="R610" s="45">
        <f>IFERROR(IF(P610="","",P610*INDEX(Ingredients!$Q$5:$Q$304,MATCH(D610,Ingredients!$B$5:$B$304,0))),"")</f>
        <v>0</v>
      </c>
      <c r="S610" s="45">
        <f>IFERROR(IF(P610="","",P610*INDEX(Ingredients!$R$5:$R$304,MATCH(D610,Ingredients!$B$5:$B$304,0))),"")</f>
        <v>0</v>
      </c>
      <c r="T610" s="45">
        <f>IFERROR(IF(P610="","",P610*INDEX(Ingredients!$S$5:$S$304,MATCH(D610,Ingredients!$B$5:$B$304,0))),"")</f>
        <v>0</v>
      </c>
      <c r="U610" s="45">
        <f>IFERROR(IF(P610="","",P610*INDEX(Ingredients!$T$5:$T$304,MATCH(D610,Ingredients!$B$5:$B$304,0))),"")</f>
        <v>0</v>
      </c>
      <c r="V610" s="17">
        <f>IF(D610="","",IFERROR(INDEX(Ingredients!$W$5:$W$304,MATCH(D610,Ingredients!$B$5:$B$304,0)),"Add to Ingredients"))</f>
        <v>0</v>
      </c>
      <c r="W610" s="17">
        <f>IF(D610="","",IFERROR(INDEX(Ingredients!$C$5:$C$304,MATCH(D610,Ingredients!$B$5:$B$304,0)),"Add to Ingredients"))</f>
        <v>0</v>
      </c>
      <c r="X610" s="45">
        <f>IFERROR(INDEX(Recipes!$AT$5:$AT$204,MATCH(B610,Recipes!$A$5:$A$204,0)),0)</f>
        <v>0</v>
      </c>
      <c r="Y610" s="45">
        <f>IF(OR(J610="",X610=0),"",J610*X610)</f>
        <v>0</v>
      </c>
      <c r="Z610" s="17">
        <f>IF(D610="","",B610&amp;"#"&amp;COUNTIFS($B$5:B610,B610))</f>
        <v>0</v>
      </c>
      <c r="AA610" s="17">
        <f>IF(D610="","",B610&amp;"|"&amp;D610)</f>
        <v>0</v>
      </c>
      <c r="AB610" s="31">
        <f>IF(D610="","",IF(B610="","Add - which recipe?",IF(COUNTIFS(Ingredients!$B$5:$B$304,D610)=0,"Missing - not in the Ingredients tab",IF(E610="","Add - no quantity",IF(F610="","Add - no unit",IF(K610&lt;&gt;L610,"Check - recipe in "&amp;K610&amp;", priced in "&amp;L610,IF(COUNTIFS($AA$5:$AA$1204,AA610)&gt;1,"Duplicate - same ingredient twice","OK")))))))</f>
        <v>0</v>
      </c>
    </row>
    <row r="611" spans="1:28">
      <c r="A611" s="39">
        <f>IF(D611="","","RL-"&amp;TEXT(ROW()-4,"0000"))</f>
        <v>0</v>
      </c>
      <c r="C611" s="17">
        <f>IF(B611="","",IFERROR(INDEX(Recipes!$B$5:$B$204,MATCH(B611,Recipes!$A$5:$A$204,0)),"Not found"))</f>
        <v>0</v>
      </c>
      <c r="J611" s="45">
        <f>IF(E611="","",IFERROR(E611*INDEX(UnitFactors,MATCH(F611,UnitNames,0)),""))</f>
        <v>0</v>
      </c>
      <c r="K611" s="17">
        <f>IF(F611="","",IFERROR(INDEX(UnitBases,MATCH(F611,UnitNames,0)),"?"))</f>
        <v>0</v>
      </c>
      <c r="L611" s="17">
        <f>IF(D611="","",IFERROR(INDEX(Ingredients!$G$5:$G$304,MATCH(D611,Ingredients!$B$5:$B$304,0)),"Add to Ingredients"))</f>
        <v>0</v>
      </c>
      <c r="M611" s="25">
        <f>IF(D611="","",IFERROR(INDEX(Ingredients!$J$5:$J$304,MATCH(D611,Ingredients!$B$5:$B$304,0)),"Add to Ingredients"))</f>
        <v>0</v>
      </c>
      <c r="N611" s="25">
        <f>IF(OR(J611="",M611="",NOT(ISNUMBER(M611))),"",IF(K611&lt;&gt;L611,"",J611*M611))</f>
        <v>0</v>
      </c>
      <c r="O611" s="25">
        <f>IF(N611="","",IFERROR(N611/INDEX(Recipes!$G$5:$G$204,MATCH(B611,Recipes!$A$5:$A$204,0)),""))</f>
        <v>0</v>
      </c>
      <c r="P611" s="30">
        <f>IF(J611="","",IF(K611="each",J611,J611/100))</f>
        <v>0</v>
      </c>
      <c r="Q611" s="30">
        <f>IFERROR(IF(P611="","",P611*INDEX(Ingredients!$P$5:$P$304,MATCH(D611,Ingredients!$B$5:$B$304,0))),"")</f>
        <v>0</v>
      </c>
      <c r="R611" s="45">
        <f>IFERROR(IF(P611="","",P611*INDEX(Ingredients!$Q$5:$Q$304,MATCH(D611,Ingredients!$B$5:$B$304,0))),"")</f>
        <v>0</v>
      </c>
      <c r="S611" s="45">
        <f>IFERROR(IF(P611="","",P611*INDEX(Ingredients!$R$5:$R$304,MATCH(D611,Ingredients!$B$5:$B$304,0))),"")</f>
        <v>0</v>
      </c>
      <c r="T611" s="45">
        <f>IFERROR(IF(P611="","",P611*INDEX(Ingredients!$S$5:$S$304,MATCH(D611,Ingredients!$B$5:$B$304,0))),"")</f>
        <v>0</v>
      </c>
      <c r="U611" s="45">
        <f>IFERROR(IF(P611="","",P611*INDEX(Ingredients!$T$5:$T$304,MATCH(D611,Ingredients!$B$5:$B$304,0))),"")</f>
        <v>0</v>
      </c>
      <c r="V611" s="17">
        <f>IF(D611="","",IFERROR(INDEX(Ingredients!$W$5:$W$304,MATCH(D611,Ingredients!$B$5:$B$304,0)),"Add to Ingredients"))</f>
        <v>0</v>
      </c>
      <c r="W611" s="17">
        <f>IF(D611="","",IFERROR(INDEX(Ingredients!$C$5:$C$304,MATCH(D611,Ingredients!$B$5:$B$304,0)),"Add to Ingredients"))</f>
        <v>0</v>
      </c>
      <c r="X611" s="45">
        <f>IFERROR(INDEX(Recipes!$AT$5:$AT$204,MATCH(B611,Recipes!$A$5:$A$204,0)),0)</f>
        <v>0</v>
      </c>
      <c r="Y611" s="45">
        <f>IF(OR(J611="",X611=0),"",J611*X611)</f>
        <v>0</v>
      </c>
      <c r="Z611" s="17">
        <f>IF(D611="","",B611&amp;"#"&amp;COUNTIFS($B$5:B611,B611))</f>
        <v>0</v>
      </c>
      <c r="AA611" s="17">
        <f>IF(D611="","",B611&amp;"|"&amp;D611)</f>
        <v>0</v>
      </c>
      <c r="AB611" s="31">
        <f>IF(D611="","",IF(B611="","Add - which recipe?",IF(COUNTIFS(Ingredients!$B$5:$B$304,D611)=0,"Missing - not in the Ingredients tab",IF(E611="","Add - no quantity",IF(F611="","Add - no unit",IF(K611&lt;&gt;L611,"Check - recipe in "&amp;K611&amp;", priced in "&amp;L611,IF(COUNTIFS($AA$5:$AA$1204,AA611)&gt;1,"Duplicate - same ingredient twice","OK")))))))</f>
        <v>0</v>
      </c>
    </row>
    <row r="612" spans="1:28">
      <c r="A612" s="39">
        <f>IF(D612="","","RL-"&amp;TEXT(ROW()-4,"0000"))</f>
        <v>0</v>
      </c>
      <c r="C612" s="17">
        <f>IF(B612="","",IFERROR(INDEX(Recipes!$B$5:$B$204,MATCH(B612,Recipes!$A$5:$A$204,0)),"Not found"))</f>
        <v>0</v>
      </c>
      <c r="J612" s="45">
        <f>IF(E612="","",IFERROR(E612*INDEX(UnitFactors,MATCH(F612,UnitNames,0)),""))</f>
        <v>0</v>
      </c>
      <c r="K612" s="17">
        <f>IF(F612="","",IFERROR(INDEX(UnitBases,MATCH(F612,UnitNames,0)),"?"))</f>
        <v>0</v>
      </c>
      <c r="L612" s="17">
        <f>IF(D612="","",IFERROR(INDEX(Ingredients!$G$5:$G$304,MATCH(D612,Ingredients!$B$5:$B$304,0)),"Add to Ingredients"))</f>
        <v>0</v>
      </c>
      <c r="M612" s="25">
        <f>IF(D612="","",IFERROR(INDEX(Ingredients!$J$5:$J$304,MATCH(D612,Ingredients!$B$5:$B$304,0)),"Add to Ingredients"))</f>
        <v>0</v>
      </c>
      <c r="N612" s="25">
        <f>IF(OR(J612="",M612="",NOT(ISNUMBER(M612))),"",IF(K612&lt;&gt;L612,"",J612*M612))</f>
        <v>0</v>
      </c>
      <c r="O612" s="25">
        <f>IF(N612="","",IFERROR(N612/INDEX(Recipes!$G$5:$G$204,MATCH(B612,Recipes!$A$5:$A$204,0)),""))</f>
        <v>0</v>
      </c>
      <c r="P612" s="30">
        <f>IF(J612="","",IF(K612="each",J612,J612/100))</f>
        <v>0</v>
      </c>
      <c r="Q612" s="30">
        <f>IFERROR(IF(P612="","",P612*INDEX(Ingredients!$P$5:$P$304,MATCH(D612,Ingredients!$B$5:$B$304,0))),"")</f>
        <v>0</v>
      </c>
      <c r="R612" s="45">
        <f>IFERROR(IF(P612="","",P612*INDEX(Ingredients!$Q$5:$Q$304,MATCH(D612,Ingredients!$B$5:$B$304,0))),"")</f>
        <v>0</v>
      </c>
      <c r="S612" s="45">
        <f>IFERROR(IF(P612="","",P612*INDEX(Ingredients!$R$5:$R$304,MATCH(D612,Ingredients!$B$5:$B$304,0))),"")</f>
        <v>0</v>
      </c>
      <c r="T612" s="45">
        <f>IFERROR(IF(P612="","",P612*INDEX(Ingredients!$S$5:$S$304,MATCH(D612,Ingredients!$B$5:$B$304,0))),"")</f>
        <v>0</v>
      </c>
      <c r="U612" s="45">
        <f>IFERROR(IF(P612="","",P612*INDEX(Ingredients!$T$5:$T$304,MATCH(D612,Ingredients!$B$5:$B$304,0))),"")</f>
        <v>0</v>
      </c>
      <c r="V612" s="17">
        <f>IF(D612="","",IFERROR(INDEX(Ingredients!$W$5:$W$304,MATCH(D612,Ingredients!$B$5:$B$304,0)),"Add to Ingredients"))</f>
        <v>0</v>
      </c>
      <c r="W612" s="17">
        <f>IF(D612="","",IFERROR(INDEX(Ingredients!$C$5:$C$304,MATCH(D612,Ingredients!$B$5:$B$304,0)),"Add to Ingredients"))</f>
        <v>0</v>
      </c>
      <c r="X612" s="45">
        <f>IFERROR(INDEX(Recipes!$AT$5:$AT$204,MATCH(B612,Recipes!$A$5:$A$204,0)),0)</f>
        <v>0</v>
      </c>
      <c r="Y612" s="45">
        <f>IF(OR(J612="",X612=0),"",J612*X612)</f>
        <v>0</v>
      </c>
      <c r="Z612" s="17">
        <f>IF(D612="","",B612&amp;"#"&amp;COUNTIFS($B$5:B612,B612))</f>
        <v>0</v>
      </c>
      <c r="AA612" s="17">
        <f>IF(D612="","",B612&amp;"|"&amp;D612)</f>
        <v>0</v>
      </c>
      <c r="AB612" s="31">
        <f>IF(D612="","",IF(B612="","Add - which recipe?",IF(COUNTIFS(Ingredients!$B$5:$B$304,D612)=0,"Missing - not in the Ingredients tab",IF(E612="","Add - no quantity",IF(F612="","Add - no unit",IF(K612&lt;&gt;L612,"Check - recipe in "&amp;K612&amp;", priced in "&amp;L612,IF(COUNTIFS($AA$5:$AA$1204,AA612)&gt;1,"Duplicate - same ingredient twice","OK")))))))</f>
        <v>0</v>
      </c>
    </row>
    <row r="613" spans="1:28">
      <c r="A613" s="39">
        <f>IF(D613="","","RL-"&amp;TEXT(ROW()-4,"0000"))</f>
        <v>0</v>
      </c>
      <c r="C613" s="17">
        <f>IF(B613="","",IFERROR(INDEX(Recipes!$B$5:$B$204,MATCH(B613,Recipes!$A$5:$A$204,0)),"Not found"))</f>
        <v>0</v>
      </c>
      <c r="J613" s="45">
        <f>IF(E613="","",IFERROR(E613*INDEX(UnitFactors,MATCH(F613,UnitNames,0)),""))</f>
        <v>0</v>
      </c>
      <c r="K613" s="17">
        <f>IF(F613="","",IFERROR(INDEX(UnitBases,MATCH(F613,UnitNames,0)),"?"))</f>
        <v>0</v>
      </c>
      <c r="L613" s="17">
        <f>IF(D613="","",IFERROR(INDEX(Ingredients!$G$5:$G$304,MATCH(D613,Ingredients!$B$5:$B$304,0)),"Add to Ingredients"))</f>
        <v>0</v>
      </c>
      <c r="M613" s="25">
        <f>IF(D613="","",IFERROR(INDEX(Ingredients!$J$5:$J$304,MATCH(D613,Ingredients!$B$5:$B$304,0)),"Add to Ingredients"))</f>
        <v>0</v>
      </c>
      <c r="N613" s="25">
        <f>IF(OR(J613="",M613="",NOT(ISNUMBER(M613))),"",IF(K613&lt;&gt;L613,"",J613*M613))</f>
        <v>0</v>
      </c>
      <c r="O613" s="25">
        <f>IF(N613="","",IFERROR(N613/INDEX(Recipes!$G$5:$G$204,MATCH(B613,Recipes!$A$5:$A$204,0)),""))</f>
        <v>0</v>
      </c>
      <c r="P613" s="30">
        <f>IF(J613="","",IF(K613="each",J613,J613/100))</f>
        <v>0</v>
      </c>
      <c r="Q613" s="30">
        <f>IFERROR(IF(P613="","",P613*INDEX(Ingredients!$P$5:$P$304,MATCH(D613,Ingredients!$B$5:$B$304,0))),"")</f>
        <v>0</v>
      </c>
      <c r="R613" s="45">
        <f>IFERROR(IF(P613="","",P613*INDEX(Ingredients!$Q$5:$Q$304,MATCH(D613,Ingredients!$B$5:$B$304,0))),"")</f>
        <v>0</v>
      </c>
      <c r="S613" s="45">
        <f>IFERROR(IF(P613="","",P613*INDEX(Ingredients!$R$5:$R$304,MATCH(D613,Ingredients!$B$5:$B$304,0))),"")</f>
        <v>0</v>
      </c>
      <c r="T613" s="45">
        <f>IFERROR(IF(P613="","",P613*INDEX(Ingredients!$S$5:$S$304,MATCH(D613,Ingredients!$B$5:$B$304,0))),"")</f>
        <v>0</v>
      </c>
      <c r="U613" s="45">
        <f>IFERROR(IF(P613="","",P613*INDEX(Ingredients!$T$5:$T$304,MATCH(D613,Ingredients!$B$5:$B$304,0))),"")</f>
        <v>0</v>
      </c>
      <c r="V613" s="17">
        <f>IF(D613="","",IFERROR(INDEX(Ingredients!$W$5:$W$304,MATCH(D613,Ingredients!$B$5:$B$304,0)),"Add to Ingredients"))</f>
        <v>0</v>
      </c>
      <c r="W613" s="17">
        <f>IF(D613="","",IFERROR(INDEX(Ingredients!$C$5:$C$304,MATCH(D613,Ingredients!$B$5:$B$304,0)),"Add to Ingredients"))</f>
        <v>0</v>
      </c>
      <c r="X613" s="45">
        <f>IFERROR(INDEX(Recipes!$AT$5:$AT$204,MATCH(B613,Recipes!$A$5:$A$204,0)),0)</f>
        <v>0</v>
      </c>
      <c r="Y613" s="45">
        <f>IF(OR(J613="",X613=0),"",J613*X613)</f>
        <v>0</v>
      </c>
      <c r="Z613" s="17">
        <f>IF(D613="","",B613&amp;"#"&amp;COUNTIFS($B$5:B613,B613))</f>
        <v>0</v>
      </c>
      <c r="AA613" s="17">
        <f>IF(D613="","",B613&amp;"|"&amp;D613)</f>
        <v>0</v>
      </c>
      <c r="AB613" s="31">
        <f>IF(D613="","",IF(B613="","Add - which recipe?",IF(COUNTIFS(Ingredients!$B$5:$B$304,D613)=0,"Missing - not in the Ingredients tab",IF(E613="","Add - no quantity",IF(F613="","Add - no unit",IF(K613&lt;&gt;L613,"Check - recipe in "&amp;K613&amp;", priced in "&amp;L613,IF(COUNTIFS($AA$5:$AA$1204,AA613)&gt;1,"Duplicate - same ingredient twice","OK")))))))</f>
        <v>0</v>
      </c>
    </row>
    <row r="614" spans="1:28">
      <c r="A614" s="39">
        <f>IF(D614="","","RL-"&amp;TEXT(ROW()-4,"0000"))</f>
        <v>0</v>
      </c>
      <c r="C614" s="17">
        <f>IF(B614="","",IFERROR(INDEX(Recipes!$B$5:$B$204,MATCH(B614,Recipes!$A$5:$A$204,0)),"Not found"))</f>
        <v>0</v>
      </c>
      <c r="J614" s="45">
        <f>IF(E614="","",IFERROR(E614*INDEX(UnitFactors,MATCH(F614,UnitNames,0)),""))</f>
        <v>0</v>
      </c>
      <c r="K614" s="17">
        <f>IF(F614="","",IFERROR(INDEX(UnitBases,MATCH(F614,UnitNames,0)),"?"))</f>
        <v>0</v>
      </c>
      <c r="L614" s="17">
        <f>IF(D614="","",IFERROR(INDEX(Ingredients!$G$5:$G$304,MATCH(D614,Ingredients!$B$5:$B$304,0)),"Add to Ingredients"))</f>
        <v>0</v>
      </c>
      <c r="M614" s="25">
        <f>IF(D614="","",IFERROR(INDEX(Ingredients!$J$5:$J$304,MATCH(D614,Ingredients!$B$5:$B$304,0)),"Add to Ingredients"))</f>
        <v>0</v>
      </c>
      <c r="N614" s="25">
        <f>IF(OR(J614="",M614="",NOT(ISNUMBER(M614))),"",IF(K614&lt;&gt;L614,"",J614*M614))</f>
        <v>0</v>
      </c>
      <c r="O614" s="25">
        <f>IF(N614="","",IFERROR(N614/INDEX(Recipes!$G$5:$G$204,MATCH(B614,Recipes!$A$5:$A$204,0)),""))</f>
        <v>0</v>
      </c>
      <c r="P614" s="30">
        <f>IF(J614="","",IF(K614="each",J614,J614/100))</f>
        <v>0</v>
      </c>
      <c r="Q614" s="30">
        <f>IFERROR(IF(P614="","",P614*INDEX(Ingredients!$P$5:$P$304,MATCH(D614,Ingredients!$B$5:$B$304,0))),"")</f>
        <v>0</v>
      </c>
      <c r="R614" s="45">
        <f>IFERROR(IF(P614="","",P614*INDEX(Ingredients!$Q$5:$Q$304,MATCH(D614,Ingredients!$B$5:$B$304,0))),"")</f>
        <v>0</v>
      </c>
      <c r="S614" s="45">
        <f>IFERROR(IF(P614="","",P614*INDEX(Ingredients!$R$5:$R$304,MATCH(D614,Ingredients!$B$5:$B$304,0))),"")</f>
        <v>0</v>
      </c>
      <c r="T614" s="45">
        <f>IFERROR(IF(P614="","",P614*INDEX(Ingredients!$S$5:$S$304,MATCH(D614,Ingredients!$B$5:$B$304,0))),"")</f>
        <v>0</v>
      </c>
      <c r="U614" s="45">
        <f>IFERROR(IF(P614="","",P614*INDEX(Ingredients!$T$5:$T$304,MATCH(D614,Ingredients!$B$5:$B$304,0))),"")</f>
        <v>0</v>
      </c>
      <c r="V614" s="17">
        <f>IF(D614="","",IFERROR(INDEX(Ingredients!$W$5:$W$304,MATCH(D614,Ingredients!$B$5:$B$304,0)),"Add to Ingredients"))</f>
        <v>0</v>
      </c>
      <c r="W614" s="17">
        <f>IF(D614="","",IFERROR(INDEX(Ingredients!$C$5:$C$304,MATCH(D614,Ingredients!$B$5:$B$304,0)),"Add to Ingredients"))</f>
        <v>0</v>
      </c>
      <c r="X614" s="45">
        <f>IFERROR(INDEX(Recipes!$AT$5:$AT$204,MATCH(B614,Recipes!$A$5:$A$204,0)),0)</f>
        <v>0</v>
      </c>
      <c r="Y614" s="45">
        <f>IF(OR(J614="",X614=0),"",J614*X614)</f>
        <v>0</v>
      </c>
      <c r="Z614" s="17">
        <f>IF(D614="","",B614&amp;"#"&amp;COUNTIFS($B$5:B614,B614))</f>
        <v>0</v>
      </c>
      <c r="AA614" s="17">
        <f>IF(D614="","",B614&amp;"|"&amp;D614)</f>
        <v>0</v>
      </c>
      <c r="AB614" s="31">
        <f>IF(D614="","",IF(B614="","Add - which recipe?",IF(COUNTIFS(Ingredients!$B$5:$B$304,D614)=0,"Missing - not in the Ingredients tab",IF(E614="","Add - no quantity",IF(F614="","Add - no unit",IF(K614&lt;&gt;L614,"Check - recipe in "&amp;K614&amp;", priced in "&amp;L614,IF(COUNTIFS($AA$5:$AA$1204,AA614)&gt;1,"Duplicate - same ingredient twice","OK")))))))</f>
        <v>0</v>
      </c>
    </row>
    <row r="615" spans="1:28">
      <c r="A615" s="39">
        <f>IF(D615="","","RL-"&amp;TEXT(ROW()-4,"0000"))</f>
        <v>0</v>
      </c>
      <c r="C615" s="17">
        <f>IF(B615="","",IFERROR(INDEX(Recipes!$B$5:$B$204,MATCH(B615,Recipes!$A$5:$A$204,0)),"Not found"))</f>
        <v>0</v>
      </c>
      <c r="J615" s="45">
        <f>IF(E615="","",IFERROR(E615*INDEX(UnitFactors,MATCH(F615,UnitNames,0)),""))</f>
        <v>0</v>
      </c>
      <c r="K615" s="17">
        <f>IF(F615="","",IFERROR(INDEX(UnitBases,MATCH(F615,UnitNames,0)),"?"))</f>
        <v>0</v>
      </c>
      <c r="L615" s="17">
        <f>IF(D615="","",IFERROR(INDEX(Ingredients!$G$5:$G$304,MATCH(D615,Ingredients!$B$5:$B$304,0)),"Add to Ingredients"))</f>
        <v>0</v>
      </c>
      <c r="M615" s="25">
        <f>IF(D615="","",IFERROR(INDEX(Ingredients!$J$5:$J$304,MATCH(D615,Ingredients!$B$5:$B$304,0)),"Add to Ingredients"))</f>
        <v>0</v>
      </c>
      <c r="N615" s="25">
        <f>IF(OR(J615="",M615="",NOT(ISNUMBER(M615))),"",IF(K615&lt;&gt;L615,"",J615*M615))</f>
        <v>0</v>
      </c>
      <c r="O615" s="25">
        <f>IF(N615="","",IFERROR(N615/INDEX(Recipes!$G$5:$G$204,MATCH(B615,Recipes!$A$5:$A$204,0)),""))</f>
        <v>0</v>
      </c>
      <c r="P615" s="30">
        <f>IF(J615="","",IF(K615="each",J615,J615/100))</f>
        <v>0</v>
      </c>
      <c r="Q615" s="30">
        <f>IFERROR(IF(P615="","",P615*INDEX(Ingredients!$P$5:$P$304,MATCH(D615,Ingredients!$B$5:$B$304,0))),"")</f>
        <v>0</v>
      </c>
      <c r="R615" s="45">
        <f>IFERROR(IF(P615="","",P615*INDEX(Ingredients!$Q$5:$Q$304,MATCH(D615,Ingredients!$B$5:$B$304,0))),"")</f>
        <v>0</v>
      </c>
      <c r="S615" s="45">
        <f>IFERROR(IF(P615="","",P615*INDEX(Ingredients!$R$5:$R$304,MATCH(D615,Ingredients!$B$5:$B$304,0))),"")</f>
        <v>0</v>
      </c>
      <c r="T615" s="45">
        <f>IFERROR(IF(P615="","",P615*INDEX(Ingredients!$S$5:$S$304,MATCH(D615,Ingredients!$B$5:$B$304,0))),"")</f>
        <v>0</v>
      </c>
      <c r="U615" s="45">
        <f>IFERROR(IF(P615="","",P615*INDEX(Ingredients!$T$5:$T$304,MATCH(D615,Ingredients!$B$5:$B$304,0))),"")</f>
        <v>0</v>
      </c>
      <c r="V615" s="17">
        <f>IF(D615="","",IFERROR(INDEX(Ingredients!$W$5:$W$304,MATCH(D615,Ingredients!$B$5:$B$304,0)),"Add to Ingredients"))</f>
        <v>0</v>
      </c>
      <c r="W615" s="17">
        <f>IF(D615="","",IFERROR(INDEX(Ingredients!$C$5:$C$304,MATCH(D615,Ingredients!$B$5:$B$304,0)),"Add to Ingredients"))</f>
        <v>0</v>
      </c>
      <c r="X615" s="45">
        <f>IFERROR(INDEX(Recipes!$AT$5:$AT$204,MATCH(B615,Recipes!$A$5:$A$204,0)),0)</f>
        <v>0</v>
      </c>
      <c r="Y615" s="45">
        <f>IF(OR(J615="",X615=0),"",J615*X615)</f>
        <v>0</v>
      </c>
      <c r="Z615" s="17">
        <f>IF(D615="","",B615&amp;"#"&amp;COUNTIFS($B$5:B615,B615))</f>
        <v>0</v>
      </c>
      <c r="AA615" s="17">
        <f>IF(D615="","",B615&amp;"|"&amp;D615)</f>
        <v>0</v>
      </c>
      <c r="AB615" s="31">
        <f>IF(D615="","",IF(B615="","Add - which recipe?",IF(COUNTIFS(Ingredients!$B$5:$B$304,D615)=0,"Missing - not in the Ingredients tab",IF(E615="","Add - no quantity",IF(F615="","Add - no unit",IF(K615&lt;&gt;L615,"Check - recipe in "&amp;K615&amp;", priced in "&amp;L615,IF(COUNTIFS($AA$5:$AA$1204,AA615)&gt;1,"Duplicate - same ingredient twice","OK")))))))</f>
        <v>0</v>
      </c>
    </row>
    <row r="616" spans="1:28">
      <c r="A616" s="39">
        <f>IF(D616="","","RL-"&amp;TEXT(ROW()-4,"0000"))</f>
        <v>0</v>
      </c>
      <c r="C616" s="17">
        <f>IF(B616="","",IFERROR(INDEX(Recipes!$B$5:$B$204,MATCH(B616,Recipes!$A$5:$A$204,0)),"Not found"))</f>
        <v>0</v>
      </c>
      <c r="J616" s="45">
        <f>IF(E616="","",IFERROR(E616*INDEX(UnitFactors,MATCH(F616,UnitNames,0)),""))</f>
        <v>0</v>
      </c>
      <c r="K616" s="17">
        <f>IF(F616="","",IFERROR(INDEX(UnitBases,MATCH(F616,UnitNames,0)),"?"))</f>
        <v>0</v>
      </c>
      <c r="L616" s="17">
        <f>IF(D616="","",IFERROR(INDEX(Ingredients!$G$5:$G$304,MATCH(D616,Ingredients!$B$5:$B$304,0)),"Add to Ingredients"))</f>
        <v>0</v>
      </c>
      <c r="M616" s="25">
        <f>IF(D616="","",IFERROR(INDEX(Ingredients!$J$5:$J$304,MATCH(D616,Ingredients!$B$5:$B$304,0)),"Add to Ingredients"))</f>
        <v>0</v>
      </c>
      <c r="N616" s="25">
        <f>IF(OR(J616="",M616="",NOT(ISNUMBER(M616))),"",IF(K616&lt;&gt;L616,"",J616*M616))</f>
        <v>0</v>
      </c>
      <c r="O616" s="25">
        <f>IF(N616="","",IFERROR(N616/INDEX(Recipes!$G$5:$G$204,MATCH(B616,Recipes!$A$5:$A$204,0)),""))</f>
        <v>0</v>
      </c>
      <c r="P616" s="30">
        <f>IF(J616="","",IF(K616="each",J616,J616/100))</f>
        <v>0</v>
      </c>
      <c r="Q616" s="30">
        <f>IFERROR(IF(P616="","",P616*INDEX(Ingredients!$P$5:$P$304,MATCH(D616,Ingredients!$B$5:$B$304,0))),"")</f>
        <v>0</v>
      </c>
      <c r="R616" s="45">
        <f>IFERROR(IF(P616="","",P616*INDEX(Ingredients!$Q$5:$Q$304,MATCH(D616,Ingredients!$B$5:$B$304,0))),"")</f>
        <v>0</v>
      </c>
      <c r="S616" s="45">
        <f>IFERROR(IF(P616="","",P616*INDEX(Ingredients!$R$5:$R$304,MATCH(D616,Ingredients!$B$5:$B$304,0))),"")</f>
        <v>0</v>
      </c>
      <c r="T616" s="45">
        <f>IFERROR(IF(P616="","",P616*INDEX(Ingredients!$S$5:$S$304,MATCH(D616,Ingredients!$B$5:$B$304,0))),"")</f>
        <v>0</v>
      </c>
      <c r="U616" s="45">
        <f>IFERROR(IF(P616="","",P616*INDEX(Ingredients!$T$5:$T$304,MATCH(D616,Ingredients!$B$5:$B$304,0))),"")</f>
        <v>0</v>
      </c>
      <c r="V616" s="17">
        <f>IF(D616="","",IFERROR(INDEX(Ingredients!$W$5:$W$304,MATCH(D616,Ingredients!$B$5:$B$304,0)),"Add to Ingredients"))</f>
        <v>0</v>
      </c>
      <c r="W616" s="17">
        <f>IF(D616="","",IFERROR(INDEX(Ingredients!$C$5:$C$304,MATCH(D616,Ingredients!$B$5:$B$304,0)),"Add to Ingredients"))</f>
        <v>0</v>
      </c>
      <c r="X616" s="45">
        <f>IFERROR(INDEX(Recipes!$AT$5:$AT$204,MATCH(B616,Recipes!$A$5:$A$204,0)),0)</f>
        <v>0</v>
      </c>
      <c r="Y616" s="45">
        <f>IF(OR(J616="",X616=0),"",J616*X616)</f>
        <v>0</v>
      </c>
      <c r="Z616" s="17">
        <f>IF(D616="","",B616&amp;"#"&amp;COUNTIFS($B$5:B616,B616))</f>
        <v>0</v>
      </c>
      <c r="AA616" s="17">
        <f>IF(D616="","",B616&amp;"|"&amp;D616)</f>
        <v>0</v>
      </c>
      <c r="AB616" s="31">
        <f>IF(D616="","",IF(B616="","Add - which recipe?",IF(COUNTIFS(Ingredients!$B$5:$B$304,D616)=0,"Missing - not in the Ingredients tab",IF(E616="","Add - no quantity",IF(F616="","Add - no unit",IF(K616&lt;&gt;L616,"Check - recipe in "&amp;K616&amp;", priced in "&amp;L616,IF(COUNTIFS($AA$5:$AA$1204,AA616)&gt;1,"Duplicate - same ingredient twice","OK")))))))</f>
        <v>0</v>
      </c>
    </row>
    <row r="617" spans="1:28">
      <c r="A617" s="39">
        <f>IF(D617="","","RL-"&amp;TEXT(ROW()-4,"0000"))</f>
        <v>0</v>
      </c>
      <c r="C617" s="17">
        <f>IF(B617="","",IFERROR(INDEX(Recipes!$B$5:$B$204,MATCH(B617,Recipes!$A$5:$A$204,0)),"Not found"))</f>
        <v>0</v>
      </c>
      <c r="J617" s="45">
        <f>IF(E617="","",IFERROR(E617*INDEX(UnitFactors,MATCH(F617,UnitNames,0)),""))</f>
        <v>0</v>
      </c>
      <c r="K617" s="17">
        <f>IF(F617="","",IFERROR(INDEX(UnitBases,MATCH(F617,UnitNames,0)),"?"))</f>
        <v>0</v>
      </c>
      <c r="L617" s="17">
        <f>IF(D617="","",IFERROR(INDEX(Ingredients!$G$5:$G$304,MATCH(D617,Ingredients!$B$5:$B$304,0)),"Add to Ingredients"))</f>
        <v>0</v>
      </c>
      <c r="M617" s="25">
        <f>IF(D617="","",IFERROR(INDEX(Ingredients!$J$5:$J$304,MATCH(D617,Ingredients!$B$5:$B$304,0)),"Add to Ingredients"))</f>
        <v>0</v>
      </c>
      <c r="N617" s="25">
        <f>IF(OR(J617="",M617="",NOT(ISNUMBER(M617))),"",IF(K617&lt;&gt;L617,"",J617*M617))</f>
        <v>0</v>
      </c>
      <c r="O617" s="25">
        <f>IF(N617="","",IFERROR(N617/INDEX(Recipes!$G$5:$G$204,MATCH(B617,Recipes!$A$5:$A$204,0)),""))</f>
        <v>0</v>
      </c>
      <c r="P617" s="30">
        <f>IF(J617="","",IF(K617="each",J617,J617/100))</f>
        <v>0</v>
      </c>
      <c r="Q617" s="30">
        <f>IFERROR(IF(P617="","",P617*INDEX(Ingredients!$P$5:$P$304,MATCH(D617,Ingredients!$B$5:$B$304,0))),"")</f>
        <v>0</v>
      </c>
      <c r="R617" s="45">
        <f>IFERROR(IF(P617="","",P617*INDEX(Ingredients!$Q$5:$Q$304,MATCH(D617,Ingredients!$B$5:$B$304,0))),"")</f>
        <v>0</v>
      </c>
      <c r="S617" s="45">
        <f>IFERROR(IF(P617="","",P617*INDEX(Ingredients!$R$5:$R$304,MATCH(D617,Ingredients!$B$5:$B$304,0))),"")</f>
        <v>0</v>
      </c>
      <c r="T617" s="45">
        <f>IFERROR(IF(P617="","",P617*INDEX(Ingredients!$S$5:$S$304,MATCH(D617,Ingredients!$B$5:$B$304,0))),"")</f>
        <v>0</v>
      </c>
      <c r="U617" s="45">
        <f>IFERROR(IF(P617="","",P617*INDEX(Ingredients!$T$5:$T$304,MATCH(D617,Ingredients!$B$5:$B$304,0))),"")</f>
        <v>0</v>
      </c>
      <c r="V617" s="17">
        <f>IF(D617="","",IFERROR(INDEX(Ingredients!$W$5:$W$304,MATCH(D617,Ingredients!$B$5:$B$304,0)),"Add to Ingredients"))</f>
        <v>0</v>
      </c>
      <c r="W617" s="17">
        <f>IF(D617="","",IFERROR(INDEX(Ingredients!$C$5:$C$304,MATCH(D617,Ingredients!$B$5:$B$304,0)),"Add to Ingredients"))</f>
        <v>0</v>
      </c>
      <c r="X617" s="45">
        <f>IFERROR(INDEX(Recipes!$AT$5:$AT$204,MATCH(B617,Recipes!$A$5:$A$204,0)),0)</f>
        <v>0</v>
      </c>
      <c r="Y617" s="45">
        <f>IF(OR(J617="",X617=0),"",J617*X617)</f>
        <v>0</v>
      </c>
      <c r="Z617" s="17">
        <f>IF(D617="","",B617&amp;"#"&amp;COUNTIFS($B$5:B617,B617))</f>
        <v>0</v>
      </c>
      <c r="AA617" s="17">
        <f>IF(D617="","",B617&amp;"|"&amp;D617)</f>
        <v>0</v>
      </c>
      <c r="AB617" s="31">
        <f>IF(D617="","",IF(B617="","Add - which recipe?",IF(COUNTIFS(Ingredients!$B$5:$B$304,D617)=0,"Missing - not in the Ingredients tab",IF(E617="","Add - no quantity",IF(F617="","Add - no unit",IF(K617&lt;&gt;L617,"Check - recipe in "&amp;K617&amp;", priced in "&amp;L617,IF(COUNTIFS($AA$5:$AA$1204,AA617)&gt;1,"Duplicate - same ingredient twice","OK")))))))</f>
        <v>0</v>
      </c>
    </row>
    <row r="618" spans="1:28">
      <c r="A618" s="39">
        <f>IF(D618="","","RL-"&amp;TEXT(ROW()-4,"0000"))</f>
        <v>0</v>
      </c>
      <c r="C618" s="17">
        <f>IF(B618="","",IFERROR(INDEX(Recipes!$B$5:$B$204,MATCH(B618,Recipes!$A$5:$A$204,0)),"Not found"))</f>
        <v>0</v>
      </c>
      <c r="J618" s="45">
        <f>IF(E618="","",IFERROR(E618*INDEX(UnitFactors,MATCH(F618,UnitNames,0)),""))</f>
        <v>0</v>
      </c>
      <c r="K618" s="17">
        <f>IF(F618="","",IFERROR(INDEX(UnitBases,MATCH(F618,UnitNames,0)),"?"))</f>
        <v>0</v>
      </c>
      <c r="L618" s="17">
        <f>IF(D618="","",IFERROR(INDEX(Ingredients!$G$5:$G$304,MATCH(D618,Ingredients!$B$5:$B$304,0)),"Add to Ingredients"))</f>
        <v>0</v>
      </c>
      <c r="M618" s="25">
        <f>IF(D618="","",IFERROR(INDEX(Ingredients!$J$5:$J$304,MATCH(D618,Ingredients!$B$5:$B$304,0)),"Add to Ingredients"))</f>
        <v>0</v>
      </c>
      <c r="N618" s="25">
        <f>IF(OR(J618="",M618="",NOT(ISNUMBER(M618))),"",IF(K618&lt;&gt;L618,"",J618*M618))</f>
        <v>0</v>
      </c>
      <c r="O618" s="25">
        <f>IF(N618="","",IFERROR(N618/INDEX(Recipes!$G$5:$G$204,MATCH(B618,Recipes!$A$5:$A$204,0)),""))</f>
        <v>0</v>
      </c>
      <c r="P618" s="30">
        <f>IF(J618="","",IF(K618="each",J618,J618/100))</f>
        <v>0</v>
      </c>
      <c r="Q618" s="30">
        <f>IFERROR(IF(P618="","",P618*INDEX(Ingredients!$P$5:$P$304,MATCH(D618,Ingredients!$B$5:$B$304,0))),"")</f>
        <v>0</v>
      </c>
      <c r="R618" s="45">
        <f>IFERROR(IF(P618="","",P618*INDEX(Ingredients!$Q$5:$Q$304,MATCH(D618,Ingredients!$B$5:$B$304,0))),"")</f>
        <v>0</v>
      </c>
      <c r="S618" s="45">
        <f>IFERROR(IF(P618="","",P618*INDEX(Ingredients!$R$5:$R$304,MATCH(D618,Ingredients!$B$5:$B$304,0))),"")</f>
        <v>0</v>
      </c>
      <c r="T618" s="45">
        <f>IFERROR(IF(P618="","",P618*INDEX(Ingredients!$S$5:$S$304,MATCH(D618,Ingredients!$B$5:$B$304,0))),"")</f>
        <v>0</v>
      </c>
      <c r="U618" s="45">
        <f>IFERROR(IF(P618="","",P618*INDEX(Ingredients!$T$5:$T$304,MATCH(D618,Ingredients!$B$5:$B$304,0))),"")</f>
        <v>0</v>
      </c>
      <c r="V618" s="17">
        <f>IF(D618="","",IFERROR(INDEX(Ingredients!$W$5:$W$304,MATCH(D618,Ingredients!$B$5:$B$304,0)),"Add to Ingredients"))</f>
        <v>0</v>
      </c>
      <c r="W618" s="17">
        <f>IF(D618="","",IFERROR(INDEX(Ingredients!$C$5:$C$304,MATCH(D618,Ingredients!$B$5:$B$304,0)),"Add to Ingredients"))</f>
        <v>0</v>
      </c>
      <c r="X618" s="45">
        <f>IFERROR(INDEX(Recipes!$AT$5:$AT$204,MATCH(B618,Recipes!$A$5:$A$204,0)),0)</f>
        <v>0</v>
      </c>
      <c r="Y618" s="45">
        <f>IF(OR(J618="",X618=0),"",J618*X618)</f>
        <v>0</v>
      </c>
      <c r="Z618" s="17">
        <f>IF(D618="","",B618&amp;"#"&amp;COUNTIFS($B$5:B618,B618))</f>
        <v>0</v>
      </c>
      <c r="AA618" s="17">
        <f>IF(D618="","",B618&amp;"|"&amp;D618)</f>
        <v>0</v>
      </c>
      <c r="AB618" s="31">
        <f>IF(D618="","",IF(B618="","Add - which recipe?",IF(COUNTIFS(Ingredients!$B$5:$B$304,D618)=0,"Missing - not in the Ingredients tab",IF(E618="","Add - no quantity",IF(F618="","Add - no unit",IF(K618&lt;&gt;L618,"Check - recipe in "&amp;K618&amp;", priced in "&amp;L618,IF(COUNTIFS($AA$5:$AA$1204,AA618)&gt;1,"Duplicate - same ingredient twice","OK")))))))</f>
        <v>0</v>
      </c>
    </row>
    <row r="619" spans="1:28">
      <c r="A619" s="39">
        <f>IF(D619="","","RL-"&amp;TEXT(ROW()-4,"0000"))</f>
        <v>0</v>
      </c>
      <c r="C619" s="17">
        <f>IF(B619="","",IFERROR(INDEX(Recipes!$B$5:$B$204,MATCH(B619,Recipes!$A$5:$A$204,0)),"Not found"))</f>
        <v>0</v>
      </c>
      <c r="J619" s="45">
        <f>IF(E619="","",IFERROR(E619*INDEX(UnitFactors,MATCH(F619,UnitNames,0)),""))</f>
        <v>0</v>
      </c>
      <c r="K619" s="17">
        <f>IF(F619="","",IFERROR(INDEX(UnitBases,MATCH(F619,UnitNames,0)),"?"))</f>
        <v>0</v>
      </c>
      <c r="L619" s="17">
        <f>IF(D619="","",IFERROR(INDEX(Ingredients!$G$5:$G$304,MATCH(D619,Ingredients!$B$5:$B$304,0)),"Add to Ingredients"))</f>
        <v>0</v>
      </c>
      <c r="M619" s="25">
        <f>IF(D619="","",IFERROR(INDEX(Ingredients!$J$5:$J$304,MATCH(D619,Ingredients!$B$5:$B$304,0)),"Add to Ingredients"))</f>
        <v>0</v>
      </c>
      <c r="N619" s="25">
        <f>IF(OR(J619="",M619="",NOT(ISNUMBER(M619))),"",IF(K619&lt;&gt;L619,"",J619*M619))</f>
        <v>0</v>
      </c>
      <c r="O619" s="25">
        <f>IF(N619="","",IFERROR(N619/INDEX(Recipes!$G$5:$G$204,MATCH(B619,Recipes!$A$5:$A$204,0)),""))</f>
        <v>0</v>
      </c>
      <c r="P619" s="30">
        <f>IF(J619="","",IF(K619="each",J619,J619/100))</f>
        <v>0</v>
      </c>
      <c r="Q619" s="30">
        <f>IFERROR(IF(P619="","",P619*INDEX(Ingredients!$P$5:$P$304,MATCH(D619,Ingredients!$B$5:$B$304,0))),"")</f>
        <v>0</v>
      </c>
      <c r="R619" s="45">
        <f>IFERROR(IF(P619="","",P619*INDEX(Ingredients!$Q$5:$Q$304,MATCH(D619,Ingredients!$B$5:$B$304,0))),"")</f>
        <v>0</v>
      </c>
      <c r="S619" s="45">
        <f>IFERROR(IF(P619="","",P619*INDEX(Ingredients!$R$5:$R$304,MATCH(D619,Ingredients!$B$5:$B$304,0))),"")</f>
        <v>0</v>
      </c>
      <c r="T619" s="45">
        <f>IFERROR(IF(P619="","",P619*INDEX(Ingredients!$S$5:$S$304,MATCH(D619,Ingredients!$B$5:$B$304,0))),"")</f>
        <v>0</v>
      </c>
      <c r="U619" s="45">
        <f>IFERROR(IF(P619="","",P619*INDEX(Ingredients!$T$5:$T$304,MATCH(D619,Ingredients!$B$5:$B$304,0))),"")</f>
        <v>0</v>
      </c>
      <c r="V619" s="17">
        <f>IF(D619="","",IFERROR(INDEX(Ingredients!$W$5:$W$304,MATCH(D619,Ingredients!$B$5:$B$304,0)),"Add to Ingredients"))</f>
        <v>0</v>
      </c>
      <c r="W619" s="17">
        <f>IF(D619="","",IFERROR(INDEX(Ingredients!$C$5:$C$304,MATCH(D619,Ingredients!$B$5:$B$304,0)),"Add to Ingredients"))</f>
        <v>0</v>
      </c>
      <c r="X619" s="45">
        <f>IFERROR(INDEX(Recipes!$AT$5:$AT$204,MATCH(B619,Recipes!$A$5:$A$204,0)),0)</f>
        <v>0</v>
      </c>
      <c r="Y619" s="45">
        <f>IF(OR(J619="",X619=0),"",J619*X619)</f>
        <v>0</v>
      </c>
      <c r="Z619" s="17">
        <f>IF(D619="","",B619&amp;"#"&amp;COUNTIFS($B$5:B619,B619))</f>
        <v>0</v>
      </c>
      <c r="AA619" s="17">
        <f>IF(D619="","",B619&amp;"|"&amp;D619)</f>
        <v>0</v>
      </c>
      <c r="AB619" s="31">
        <f>IF(D619="","",IF(B619="","Add - which recipe?",IF(COUNTIFS(Ingredients!$B$5:$B$304,D619)=0,"Missing - not in the Ingredients tab",IF(E619="","Add - no quantity",IF(F619="","Add - no unit",IF(K619&lt;&gt;L619,"Check - recipe in "&amp;K619&amp;", priced in "&amp;L619,IF(COUNTIFS($AA$5:$AA$1204,AA619)&gt;1,"Duplicate - same ingredient twice","OK")))))))</f>
        <v>0</v>
      </c>
    </row>
    <row r="620" spans="1:28">
      <c r="A620" s="39">
        <f>IF(D620="","","RL-"&amp;TEXT(ROW()-4,"0000"))</f>
        <v>0</v>
      </c>
      <c r="C620" s="17">
        <f>IF(B620="","",IFERROR(INDEX(Recipes!$B$5:$B$204,MATCH(B620,Recipes!$A$5:$A$204,0)),"Not found"))</f>
        <v>0</v>
      </c>
      <c r="J620" s="45">
        <f>IF(E620="","",IFERROR(E620*INDEX(UnitFactors,MATCH(F620,UnitNames,0)),""))</f>
        <v>0</v>
      </c>
      <c r="K620" s="17">
        <f>IF(F620="","",IFERROR(INDEX(UnitBases,MATCH(F620,UnitNames,0)),"?"))</f>
        <v>0</v>
      </c>
      <c r="L620" s="17">
        <f>IF(D620="","",IFERROR(INDEX(Ingredients!$G$5:$G$304,MATCH(D620,Ingredients!$B$5:$B$304,0)),"Add to Ingredients"))</f>
        <v>0</v>
      </c>
      <c r="M620" s="25">
        <f>IF(D620="","",IFERROR(INDEX(Ingredients!$J$5:$J$304,MATCH(D620,Ingredients!$B$5:$B$304,0)),"Add to Ingredients"))</f>
        <v>0</v>
      </c>
      <c r="N620" s="25">
        <f>IF(OR(J620="",M620="",NOT(ISNUMBER(M620))),"",IF(K620&lt;&gt;L620,"",J620*M620))</f>
        <v>0</v>
      </c>
      <c r="O620" s="25">
        <f>IF(N620="","",IFERROR(N620/INDEX(Recipes!$G$5:$G$204,MATCH(B620,Recipes!$A$5:$A$204,0)),""))</f>
        <v>0</v>
      </c>
      <c r="P620" s="30">
        <f>IF(J620="","",IF(K620="each",J620,J620/100))</f>
        <v>0</v>
      </c>
      <c r="Q620" s="30">
        <f>IFERROR(IF(P620="","",P620*INDEX(Ingredients!$P$5:$P$304,MATCH(D620,Ingredients!$B$5:$B$304,0))),"")</f>
        <v>0</v>
      </c>
      <c r="R620" s="45">
        <f>IFERROR(IF(P620="","",P620*INDEX(Ingredients!$Q$5:$Q$304,MATCH(D620,Ingredients!$B$5:$B$304,0))),"")</f>
        <v>0</v>
      </c>
      <c r="S620" s="45">
        <f>IFERROR(IF(P620="","",P620*INDEX(Ingredients!$R$5:$R$304,MATCH(D620,Ingredients!$B$5:$B$304,0))),"")</f>
        <v>0</v>
      </c>
      <c r="T620" s="45">
        <f>IFERROR(IF(P620="","",P620*INDEX(Ingredients!$S$5:$S$304,MATCH(D620,Ingredients!$B$5:$B$304,0))),"")</f>
        <v>0</v>
      </c>
      <c r="U620" s="45">
        <f>IFERROR(IF(P620="","",P620*INDEX(Ingredients!$T$5:$T$304,MATCH(D620,Ingredients!$B$5:$B$304,0))),"")</f>
        <v>0</v>
      </c>
      <c r="V620" s="17">
        <f>IF(D620="","",IFERROR(INDEX(Ingredients!$W$5:$W$304,MATCH(D620,Ingredients!$B$5:$B$304,0)),"Add to Ingredients"))</f>
        <v>0</v>
      </c>
      <c r="W620" s="17">
        <f>IF(D620="","",IFERROR(INDEX(Ingredients!$C$5:$C$304,MATCH(D620,Ingredients!$B$5:$B$304,0)),"Add to Ingredients"))</f>
        <v>0</v>
      </c>
      <c r="X620" s="45">
        <f>IFERROR(INDEX(Recipes!$AT$5:$AT$204,MATCH(B620,Recipes!$A$5:$A$204,0)),0)</f>
        <v>0</v>
      </c>
      <c r="Y620" s="45">
        <f>IF(OR(J620="",X620=0),"",J620*X620)</f>
        <v>0</v>
      </c>
      <c r="Z620" s="17">
        <f>IF(D620="","",B620&amp;"#"&amp;COUNTIFS($B$5:B620,B620))</f>
        <v>0</v>
      </c>
      <c r="AA620" s="17">
        <f>IF(D620="","",B620&amp;"|"&amp;D620)</f>
        <v>0</v>
      </c>
      <c r="AB620" s="31">
        <f>IF(D620="","",IF(B620="","Add - which recipe?",IF(COUNTIFS(Ingredients!$B$5:$B$304,D620)=0,"Missing - not in the Ingredients tab",IF(E620="","Add - no quantity",IF(F620="","Add - no unit",IF(K620&lt;&gt;L620,"Check - recipe in "&amp;K620&amp;", priced in "&amp;L620,IF(COUNTIFS($AA$5:$AA$1204,AA620)&gt;1,"Duplicate - same ingredient twice","OK")))))))</f>
        <v>0</v>
      </c>
    </row>
    <row r="621" spans="1:28">
      <c r="A621" s="39">
        <f>IF(D621="","","RL-"&amp;TEXT(ROW()-4,"0000"))</f>
        <v>0</v>
      </c>
      <c r="C621" s="17">
        <f>IF(B621="","",IFERROR(INDEX(Recipes!$B$5:$B$204,MATCH(B621,Recipes!$A$5:$A$204,0)),"Not found"))</f>
        <v>0</v>
      </c>
      <c r="J621" s="45">
        <f>IF(E621="","",IFERROR(E621*INDEX(UnitFactors,MATCH(F621,UnitNames,0)),""))</f>
        <v>0</v>
      </c>
      <c r="K621" s="17">
        <f>IF(F621="","",IFERROR(INDEX(UnitBases,MATCH(F621,UnitNames,0)),"?"))</f>
        <v>0</v>
      </c>
      <c r="L621" s="17">
        <f>IF(D621="","",IFERROR(INDEX(Ingredients!$G$5:$G$304,MATCH(D621,Ingredients!$B$5:$B$304,0)),"Add to Ingredients"))</f>
        <v>0</v>
      </c>
      <c r="M621" s="25">
        <f>IF(D621="","",IFERROR(INDEX(Ingredients!$J$5:$J$304,MATCH(D621,Ingredients!$B$5:$B$304,0)),"Add to Ingredients"))</f>
        <v>0</v>
      </c>
      <c r="N621" s="25">
        <f>IF(OR(J621="",M621="",NOT(ISNUMBER(M621))),"",IF(K621&lt;&gt;L621,"",J621*M621))</f>
        <v>0</v>
      </c>
      <c r="O621" s="25">
        <f>IF(N621="","",IFERROR(N621/INDEX(Recipes!$G$5:$G$204,MATCH(B621,Recipes!$A$5:$A$204,0)),""))</f>
        <v>0</v>
      </c>
      <c r="P621" s="30">
        <f>IF(J621="","",IF(K621="each",J621,J621/100))</f>
        <v>0</v>
      </c>
      <c r="Q621" s="30">
        <f>IFERROR(IF(P621="","",P621*INDEX(Ingredients!$P$5:$P$304,MATCH(D621,Ingredients!$B$5:$B$304,0))),"")</f>
        <v>0</v>
      </c>
      <c r="R621" s="45">
        <f>IFERROR(IF(P621="","",P621*INDEX(Ingredients!$Q$5:$Q$304,MATCH(D621,Ingredients!$B$5:$B$304,0))),"")</f>
        <v>0</v>
      </c>
      <c r="S621" s="45">
        <f>IFERROR(IF(P621="","",P621*INDEX(Ingredients!$R$5:$R$304,MATCH(D621,Ingredients!$B$5:$B$304,0))),"")</f>
        <v>0</v>
      </c>
      <c r="T621" s="45">
        <f>IFERROR(IF(P621="","",P621*INDEX(Ingredients!$S$5:$S$304,MATCH(D621,Ingredients!$B$5:$B$304,0))),"")</f>
        <v>0</v>
      </c>
      <c r="U621" s="45">
        <f>IFERROR(IF(P621="","",P621*INDEX(Ingredients!$T$5:$T$304,MATCH(D621,Ingredients!$B$5:$B$304,0))),"")</f>
        <v>0</v>
      </c>
      <c r="V621" s="17">
        <f>IF(D621="","",IFERROR(INDEX(Ingredients!$W$5:$W$304,MATCH(D621,Ingredients!$B$5:$B$304,0)),"Add to Ingredients"))</f>
        <v>0</v>
      </c>
      <c r="W621" s="17">
        <f>IF(D621="","",IFERROR(INDEX(Ingredients!$C$5:$C$304,MATCH(D621,Ingredients!$B$5:$B$304,0)),"Add to Ingredients"))</f>
        <v>0</v>
      </c>
      <c r="X621" s="45">
        <f>IFERROR(INDEX(Recipes!$AT$5:$AT$204,MATCH(B621,Recipes!$A$5:$A$204,0)),0)</f>
        <v>0</v>
      </c>
      <c r="Y621" s="45">
        <f>IF(OR(J621="",X621=0),"",J621*X621)</f>
        <v>0</v>
      </c>
      <c r="Z621" s="17">
        <f>IF(D621="","",B621&amp;"#"&amp;COUNTIFS($B$5:B621,B621))</f>
        <v>0</v>
      </c>
      <c r="AA621" s="17">
        <f>IF(D621="","",B621&amp;"|"&amp;D621)</f>
        <v>0</v>
      </c>
      <c r="AB621" s="31">
        <f>IF(D621="","",IF(B621="","Add - which recipe?",IF(COUNTIFS(Ingredients!$B$5:$B$304,D621)=0,"Missing - not in the Ingredients tab",IF(E621="","Add - no quantity",IF(F621="","Add - no unit",IF(K621&lt;&gt;L621,"Check - recipe in "&amp;K621&amp;", priced in "&amp;L621,IF(COUNTIFS($AA$5:$AA$1204,AA621)&gt;1,"Duplicate - same ingredient twice","OK")))))))</f>
        <v>0</v>
      </c>
    </row>
    <row r="622" spans="1:28">
      <c r="A622" s="39">
        <f>IF(D622="","","RL-"&amp;TEXT(ROW()-4,"0000"))</f>
        <v>0</v>
      </c>
      <c r="C622" s="17">
        <f>IF(B622="","",IFERROR(INDEX(Recipes!$B$5:$B$204,MATCH(B622,Recipes!$A$5:$A$204,0)),"Not found"))</f>
        <v>0</v>
      </c>
      <c r="J622" s="45">
        <f>IF(E622="","",IFERROR(E622*INDEX(UnitFactors,MATCH(F622,UnitNames,0)),""))</f>
        <v>0</v>
      </c>
      <c r="K622" s="17">
        <f>IF(F622="","",IFERROR(INDEX(UnitBases,MATCH(F622,UnitNames,0)),"?"))</f>
        <v>0</v>
      </c>
      <c r="L622" s="17">
        <f>IF(D622="","",IFERROR(INDEX(Ingredients!$G$5:$G$304,MATCH(D622,Ingredients!$B$5:$B$304,0)),"Add to Ingredients"))</f>
        <v>0</v>
      </c>
      <c r="M622" s="25">
        <f>IF(D622="","",IFERROR(INDEX(Ingredients!$J$5:$J$304,MATCH(D622,Ingredients!$B$5:$B$304,0)),"Add to Ingredients"))</f>
        <v>0</v>
      </c>
      <c r="N622" s="25">
        <f>IF(OR(J622="",M622="",NOT(ISNUMBER(M622))),"",IF(K622&lt;&gt;L622,"",J622*M622))</f>
        <v>0</v>
      </c>
      <c r="O622" s="25">
        <f>IF(N622="","",IFERROR(N622/INDEX(Recipes!$G$5:$G$204,MATCH(B622,Recipes!$A$5:$A$204,0)),""))</f>
        <v>0</v>
      </c>
      <c r="P622" s="30">
        <f>IF(J622="","",IF(K622="each",J622,J622/100))</f>
        <v>0</v>
      </c>
      <c r="Q622" s="30">
        <f>IFERROR(IF(P622="","",P622*INDEX(Ingredients!$P$5:$P$304,MATCH(D622,Ingredients!$B$5:$B$304,0))),"")</f>
        <v>0</v>
      </c>
      <c r="R622" s="45">
        <f>IFERROR(IF(P622="","",P622*INDEX(Ingredients!$Q$5:$Q$304,MATCH(D622,Ingredients!$B$5:$B$304,0))),"")</f>
        <v>0</v>
      </c>
      <c r="S622" s="45">
        <f>IFERROR(IF(P622="","",P622*INDEX(Ingredients!$R$5:$R$304,MATCH(D622,Ingredients!$B$5:$B$304,0))),"")</f>
        <v>0</v>
      </c>
      <c r="T622" s="45">
        <f>IFERROR(IF(P622="","",P622*INDEX(Ingredients!$S$5:$S$304,MATCH(D622,Ingredients!$B$5:$B$304,0))),"")</f>
        <v>0</v>
      </c>
      <c r="U622" s="45">
        <f>IFERROR(IF(P622="","",P622*INDEX(Ingredients!$T$5:$T$304,MATCH(D622,Ingredients!$B$5:$B$304,0))),"")</f>
        <v>0</v>
      </c>
      <c r="V622" s="17">
        <f>IF(D622="","",IFERROR(INDEX(Ingredients!$W$5:$W$304,MATCH(D622,Ingredients!$B$5:$B$304,0)),"Add to Ingredients"))</f>
        <v>0</v>
      </c>
      <c r="W622" s="17">
        <f>IF(D622="","",IFERROR(INDEX(Ingredients!$C$5:$C$304,MATCH(D622,Ingredients!$B$5:$B$304,0)),"Add to Ingredients"))</f>
        <v>0</v>
      </c>
      <c r="X622" s="45">
        <f>IFERROR(INDEX(Recipes!$AT$5:$AT$204,MATCH(B622,Recipes!$A$5:$A$204,0)),0)</f>
        <v>0</v>
      </c>
      <c r="Y622" s="45">
        <f>IF(OR(J622="",X622=0),"",J622*X622)</f>
        <v>0</v>
      </c>
      <c r="Z622" s="17">
        <f>IF(D622="","",B622&amp;"#"&amp;COUNTIFS($B$5:B622,B622))</f>
        <v>0</v>
      </c>
      <c r="AA622" s="17">
        <f>IF(D622="","",B622&amp;"|"&amp;D622)</f>
        <v>0</v>
      </c>
      <c r="AB622" s="31">
        <f>IF(D622="","",IF(B622="","Add - which recipe?",IF(COUNTIFS(Ingredients!$B$5:$B$304,D622)=0,"Missing - not in the Ingredients tab",IF(E622="","Add - no quantity",IF(F622="","Add - no unit",IF(K622&lt;&gt;L622,"Check - recipe in "&amp;K622&amp;", priced in "&amp;L622,IF(COUNTIFS($AA$5:$AA$1204,AA622)&gt;1,"Duplicate - same ingredient twice","OK")))))))</f>
        <v>0</v>
      </c>
    </row>
    <row r="623" spans="1:28">
      <c r="A623" s="39">
        <f>IF(D623="","","RL-"&amp;TEXT(ROW()-4,"0000"))</f>
        <v>0</v>
      </c>
      <c r="C623" s="17">
        <f>IF(B623="","",IFERROR(INDEX(Recipes!$B$5:$B$204,MATCH(B623,Recipes!$A$5:$A$204,0)),"Not found"))</f>
        <v>0</v>
      </c>
      <c r="J623" s="45">
        <f>IF(E623="","",IFERROR(E623*INDEX(UnitFactors,MATCH(F623,UnitNames,0)),""))</f>
        <v>0</v>
      </c>
      <c r="K623" s="17">
        <f>IF(F623="","",IFERROR(INDEX(UnitBases,MATCH(F623,UnitNames,0)),"?"))</f>
        <v>0</v>
      </c>
      <c r="L623" s="17">
        <f>IF(D623="","",IFERROR(INDEX(Ingredients!$G$5:$G$304,MATCH(D623,Ingredients!$B$5:$B$304,0)),"Add to Ingredients"))</f>
        <v>0</v>
      </c>
      <c r="M623" s="25">
        <f>IF(D623="","",IFERROR(INDEX(Ingredients!$J$5:$J$304,MATCH(D623,Ingredients!$B$5:$B$304,0)),"Add to Ingredients"))</f>
        <v>0</v>
      </c>
      <c r="N623" s="25">
        <f>IF(OR(J623="",M623="",NOT(ISNUMBER(M623))),"",IF(K623&lt;&gt;L623,"",J623*M623))</f>
        <v>0</v>
      </c>
      <c r="O623" s="25">
        <f>IF(N623="","",IFERROR(N623/INDEX(Recipes!$G$5:$G$204,MATCH(B623,Recipes!$A$5:$A$204,0)),""))</f>
        <v>0</v>
      </c>
      <c r="P623" s="30">
        <f>IF(J623="","",IF(K623="each",J623,J623/100))</f>
        <v>0</v>
      </c>
      <c r="Q623" s="30">
        <f>IFERROR(IF(P623="","",P623*INDEX(Ingredients!$P$5:$P$304,MATCH(D623,Ingredients!$B$5:$B$304,0))),"")</f>
        <v>0</v>
      </c>
      <c r="R623" s="45">
        <f>IFERROR(IF(P623="","",P623*INDEX(Ingredients!$Q$5:$Q$304,MATCH(D623,Ingredients!$B$5:$B$304,0))),"")</f>
        <v>0</v>
      </c>
      <c r="S623" s="45">
        <f>IFERROR(IF(P623="","",P623*INDEX(Ingredients!$R$5:$R$304,MATCH(D623,Ingredients!$B$5:$B$304,0))),"")</f>
        <v>0</v>
      </c>
      <c r="T623" s="45">
        <f>IFERROR(IF(P623="","",P623*INDEX(Ingredients!$S$5:$S$304,MATCH(D623,Ingredients!$B$5:$B$304,0))),"")</f>
        <v>0</v>
      </c>
      <c r="U623" s="45">
        <f>IFERROR(IF(P623="","",P623*INDEX(Ingredients!$T$5:$T$304,MATCH(D623,Ingredients!$B$5:$B$304,0))),"")</f>
        <v>0</v>
      </c>
      <c r="V623" s="17">
        <f>IF(D623="","",IFERROR(INDEX(Ingredients!$W$5:$W$304,MATCH(D623,Ingredients!$B$5:$B$304,0)),"Add to Ingredients"))</f>
        <v>0</v>
      </c>
      <c r="W623" s="17">
        <f>IF(D623="","",IFERROR(INDEX(Ingredients!$C$5:$C$304,MATCH(D623,Ingredients!$B$5:$B$304,0)),"Add to Ingredients"))</f>
        <v>0</v>
      </c>
      <c r="X623" s="45">
        <f>IFERROR(INDEX(Recipes!$AT$5:$AT$204,MATCH(B623,Recipes!$A$5:$A$204,0)),0)</f>
        <v>0</v>
      </c>
      <c r="Y623" s="45">
        <f>IF(OR(J623="",X623=0),"",J623*X623)</f>
        <v>0</v>
      </c>
      <c r="Z623" s="17">
        <f>IF(D623="","",B623&amp;"#"&amp;COUNTIFS($B$5:B623,B623))</f>
        <v>0</v>
      </c>
      <c r="AA623" s="17">
        <f>IF(D623="","",B623&amp;"|"&amp;D623)</f>
        <v>0</v>
      </c>
      <c r="AB623" s="31">
        <f>IF(D623="","",IF(B623="","Add - which recipe?",IF(COUNTIFS(Ingredients!$B$5:$B$304,D623)=0,"Missing - not in the Ingredients tab",IF(E623="","Add - no quantity",IF(F623="","Add - no unit",IF(K623&lt;&gt;L623,"Check - recipe in "&amp;K623&amp;", priced in "&amp;L623,IF(COUNTIFS($AA$5:$AA$1204,AA623)&gt;1,"Duplicate - same ingredient twice","OK")))))))</f>
        <v>0</v>
      </c>
    </row>
    <row r="624" spans="1:28">
      <c r="A624" s="39">
        <f>IF(D624="","","RL-"&amp;TEXT(ROW()-4,"0000"))</f>
        <v>0</v>
      </c>
      <c r="C624" s="17">
        <f>IF(B624="","",IFERROR(INDEX(Recipes!$B$5:$B$204,MATCH(B624,Recipes!$A$5:$A$204,0)),"Not found"))</f>
        <v>0</v>
      </c>
      <c r="J624" s="45">
        <f>IF(E624="","",IFERROR(E624*INDEX(UnitFactors,MATCH(F624,UnitNames,0)),""))</f>
        <v>0</v>
      </c>
      <c r="K624" s="17">
        <f>IF(F624="","",IFERROR(INDEX(UnitBases,MATCH(F624,UnitNames,0)),"?"))</f>
        <v>0</v>
      </c>
      <c r="L624" s="17">
        <f>IF(D624="","",IFERROR(INDEX(Ingredients!$G$5:$G$304,MATCH(D624,Ingredients!$B$5:$B$304,0)),"Add to Ingredients"))</f>
        <v>0</v>
      </c>
      <c r="M624" s="25">
        <f>IF(D624="","",IFERROR(INDEX(Ingredients!$J$5:$J$304,MATCH(D624,Ingredients!$B$5:$B$304,0)),"Add to Ingredients"))</f>
        <v>0</v>
      </c>
      <c r="N624" s="25">
        <f>IF(OR(J624="",M624="",NOT(ISNUMBER(M624))),"",IF(K624&lt;&gt;L624,"",J624*M624))</f>
        <v>0</v>
      </c>
      <c r="O624" s="25">
        <f>IF(N624="","",IFERROR(N624/INDEX(Recipes!$G$5:$G$204,MATCH(B624,Recipes!$A$5:$A$204,0)),""))</f>
        <v>0</v>
      </c>
      <c r="P624" s="30">
        <f>IF(J624="","",IF(K624="each",J624,J624/100))</f>
        <v>0</v>
      </c>
      <c r="Q624" s="30">
        <f>IFERROR(IF(P624="","",P624*INDEX(Ingredients!$P$5:$P$304,MATCH(D624,Ingredients!$B$5:$B$304,0))),"")</f>
        <v>0</v>
      </c>
      <c r="R624" s="45">
        <f>IFERROR(IF(P624="","",P624*INDEX(Ingredients!$Q$5:$Q$304,MATCH(D624,Ingredients!$B$5:$B$304,0))),"")</f>
        <v>0</v>
      </c>
      <c r="S624" s="45">
        <f>IFERROR(IF(P624="","",P624*INDEX(Ingredients!$R$5:$R$304,MATCH(D624,Ingredients!$B$5:$B$304,0))),"")</f>
        <v>0</v>
      </c>
      <c r="T624" s="45">
        <f>IFERROR(IF(P624="","",P624*INDEX(Ingredients!$S$5:$S$304,MATCH(D624,Ingredients!$B$5:$B$304,0))),"")</f>
        <v>0</v>
      </c>
      <c r="U624" s="45">
        <f>IFERROR(IF(P624="","",P624*INDEX(Ingredients!$T$5:$T$304,MATCH(D624,Ingredients!$B$5:$B$304,0))),"")</f>
        <v>0</v>
      </c>
      <c r="V624" s="17">
        <f>IF(D624="","",IFERROR(INDEX(Ingredients!$W$5:$W$304,MATCH(D624,Ingredients!$B$5:$B$304,0)),"Add to Ingredients"))</f>
        <v>0</v>
      </c>
      <c r="W624" s="17">
        <f>IF(D624="","",IFERROR(INDEX(Ingredients!$C$5:$C$304,MATCH(D624,Ingredients!$B$5:$B$304,0)),"Add to Ingredients"))</f>
        <v>0</v>
      </c>
      <c r="X624" s="45">
        <f>IFERROR(INDEX(Recipes!$AT$5:$AT$204,MATCH(B624,Recipes!$A$5:$A$204,0)),0)</f>
        <v>0</v>
      </c>
      <c r="Y624" s="45">
        <f>IF(OR(J624="",X624=0),"",J624*X624)</f>
        <v>0</v>
      </c>
      <c r="Z624" s="17">
        <f>IF(D624="","",B624&amp;"#"&amp;COUNTIFS($B$5:B624,B624))</f>
        <v>0</v>
      </c>
      <c r="AA624" s="17">
        <f>IF(D624="","",B624&amp;"|"&amp;D624)</f>
        <v>0</v>
      </c>
      <c r="AB624" s="31">
        <f>IF(D624="","",IF(B624="","Add - which recipe?",IF(COUNTIFS(Ingredients!$B$5:$B$304,D624)=0,"Missing - not in the Ingredients tab",IF(E624="","Add - no quantity",IF(F624="","Add - no unit",IF(K624&lt;&gt;L624,"Check - recipe in "&amp;K624&amp;", priced in "&amp;L624,IF(COUNTIFS($AA$5:$AA$1204,AA624)&gt;1,"Duplicate - same ingredient twice","OK")))))))</f>
        <v>0</v>
      </c>
    </row>
    <row r="625" spans="1:28">
      <c r="A625" s="39">
        <f>IF(D625="","","RL-"&amp;TEXT(ROW()-4,"0000"))</f>
        <v>0</v>
      </c>
      <c r="C625" s="17">
        <f>IF(B625="","",IFERROR(INDEX(Recipes!$B$5:$B$204,MATCH(B625,Recipes!$A$5:$A$204,0)),"Not found"))</f>
        <v>0</v>
      </c>
      <c r="J625" s="45">
        <f>IF(E625="","",IFERROR(E625*INDEX(UnitFactors,MATCH(F625,UnitNames,0)),""))</f>
        <v>0</v>
      </c>
      <c r="K625" s="17">
        <f>IF(F625="","",IFERROR(INDEX(UnitBases,MATCH(F625,UnitNames,0)),"?"))</f>
        <v>0</v>
      </c>
      <c r="L625" s="17">
        <f>IF(D625="","",IFERROR(INDEX(Ingredients!$G$5:$G$304,MATCH(D625,Ingredients!$B$5:$B$304,0)),"Add to Ingredients"))</f>
        <v>0</v>
      </c>
      <c r="M625" s="25">
        <f>IF(D625="","",IFERROR(INDEX(Ingredients!$J$5:$J$304,MATCH(D625,Ingredients!$B$5:$B$304,0)),"Add to Ingredients"))</f>
        <v>0</v>
      </c>
      <c r="N625" s="25">
        <f>IF(OR(J625="",M625="",NOT(ISNUMBER(M625))),"",IF(K625&lt;&gt;L625,"",J625*M625))</f>
        <v>0</v>
      </c>
      <c r="O625" s="25">
        <f>IF(N625="","",IFERROR(N625/INDEX(Recipes!$G$5:$G$204,MATCH(B625,Recipes!$A$5:$A$204,0)),""))</f>
        <v>0</v>
      </c>
      <c r="P625" s="30">
        <f>IF(J625="","",IF(K625="each",J625,J625/100))</f>
        <v>0</v>
      </c>
      <c r="Q625" s="30">
        <f>IFERROR(IF(P625="","",P625*INDEX(Ingredients!$P$5:$P$304,MATCH(D625,Ingredients!$B$5:$B$304,0))),"")</f>
        <v>0</v>
      </c>
      <c r="R625" s="45">
        <f>IFERROR(IF(P625="","",P625*INDEX(Ingredients!$Q$5:$Q$304,MATCH(D625,Ingredients!$B$5:$B$304,0))),"")</f>
        <v>0</v>
      </c>
      <c r="S625" s="45">
        <f>IFERROR(IF(P625="","",P625*INDEX(Ingredients!$R$5:$R$304,MATCH(D625,Ingredients!$B$5:$B$304,0))),"")</f>
        <v>0</v>
      </c>
      <c r="T625" s="45">
        <f>IFERROR(IF(P625="","",P625*INDEX(Ingredients!$S$5:$S$304,MATCH(D625,Ingredients!$B$5:$B$304,0))),"")</f>
        <v>0</v>
      </c>
      <c r="U625" s="45">
        <f>IFERROR(IF(P625="","",P625*INDEX(Ingredients!$T$5:$T$304,MATCH(D625,Ingredients!$B$5:$B$304,0))),"")</f>
        <v>0</v>
      </c>
      <c r="V625" s="17">
        <f>IF(D625="","",IFERROR(INDEX(Ingredients!$W$5:$W$304,MATCH(D625,Ingredients!$B$5:$B$304,0)),"Add to Ingredients"))</f>
        <v>0</v>
      </c>
      <c r="W625" s="17">
        <f>IF(D625="","",IFERROR(INDEX(Ingredients!$C$5:$C$304,MATCH(D625,Ingredients!$B$5:$B$304,0)),"Add to Ingredients"))</f>
        <v>0</v>
      </c>
      <c r="X625" s="45">
        <f>IFERROR(INDEX(Recipes!$AT$5:$AT$204,MATCH(B625,Recipes!$A$5:$A$204,0)),0)</f>
        <v>0</v>
      </c>
      <c r="Y625" s="45">
        <f>IF(OR(J625="",X625=0),"",J625*X625)</f>
        <v>0</v>
      </c>
      <c r="Z625" s="17">
        <f>IF(D625="","",B625&amp;"#"&amp;COUNTIFS($B$5:B625,B625))</f>
        <v>0</v>
      </c>
      <c r="AA625" s="17">
        <f>IF(D625="","",B625&amp;"|"&amp;D625)</f>
        <v>0</v>
      </c>
      <c r="AB625" s="31">
        <f>IF(D625="","",IF(B625="","Add - which recipe?",IF(COUNTIFS(Ingredients!$B$5:$B$304,D625)=0,"Missing - not in the Ingredients tab",IF(E625="","Add - no quantity",IF(F625="","Add - no unit",IF(K625&lt;&gt;L625,"Check - recipe in "&amp;K625&amp;", priced in "&amp;L625,IF(COUNTIFS($AA$5:$AA$1204,AA625)&gt;1,"Duplicate - same ingredient twice","OK")))))))</f>
        <v>0</v>
      </c>
    </row>
    <row r="626" spans="1:28">
      <c r="A626" s="39">
        <f>IF(D626="","","RL-"&amp;TEXT(ROW()-4,"0000"))</f>
        <v>0</v>
      </c>
      <c r="C626" s="17">
        <f>IF(B626="","",IFERROR(INDEX(Recipes!$B$5:$B$204,MATCH(B626,Recipes!$A$5:$A$204,0)),"Not found"))</f>
        <v>0</v>
      </c>
      <c r="J626" s="45">
        <f>IF(E626="","",IFERROR(E626*INDEX(UnitFactors,MATCH(F626,UnitNames,0)),""))</f>
        <v>0</v>
      </c>
      <c r="K626" s="17">
        <f>IF(F626="","",IFERROR(INDEX(UnitBases,MATCH(F626,UnitNames,0)),"?"))</f>
        <v>0</v>
      </c>
      <c r="L626" s="17">
        <f>IF(D626="","",IFERROR(INDEX(Ingredients!$G$5:$G$304,MATCH(D626,Ingredients!$B$5:$B$304,0)),"Add to Ingredients"))</f>
        <v>0</v>
      </c>
      <c r="M626" s="25">
        <f>IF(D626="","",IFERROR(INDEX(Ingredients!$J$5:$J$304,MATCH(D626,Ingredients!$B$5:$B$304,0)),"Add to Ingredients"))</f>
        <v>0</v>
      </c>
      <c r="N626" s="25">
        <f>IF(OR(J626="",M626="",NOT(ISNUMBER(M626))),"",IF(K626&lt;&gt;L626,"",J626*M626))</f>
        <v>0</v>
      </c>
      <c r="O626" s="25">
        <f>IF(N626="","",IFERROR(N626/INDEX(Recipes!$G$5:$G$204,MATCH(B626,Recipes!$A$5:$A$204,0)),""))</f>
        <v>0</v>
      </c>
      <c r="P626" s="30">
        <f>IF(J626="","",IF(K626="each",J626,J626/100))</f>
        <v>0</v>
      </c>
      <c r="Q626" s="30">
        <f>IFERROR(IF(P626="","",P626*INDEX(Ingredients!$P$5:$P$304,MATCH(D626,Ingredients!$B$5:$B$304,0))),"")</f>
        <v>0</v>
      </c>
      <c r="R626" s="45">
        <f>IFERROR(IF(P626="","",P626*INDEX(Ingredients!$Q$5:$Q$304,MATCH(D626,Ingredients!$B$5:$B$304,0))),"")</f>
        <v>0</v>
      </c>
      <c r="S626" s="45">
        <f>IFERROR(IF(P626="","",P626*INDEX(Ingredients!$R$5:$R$304,MATCH(D626,Ingredients!$B$5:$B$304,0))),"")</f>
        <v>0</v>
      </c>
      <c r="T626" s="45">
        <f>IFERROR(IF(P626="","",P626*INDEX(Ingredients!$S$5:$S$304,MATCH(D626,Ingredients!$B$5:$B$304,0))),"")</f>
        <v>0</v>
      </c>
      <c r="U626" s="45">
        <f>IFERROR(IF(P626="","",P626*INDEX(Ingredients!$T$5:$T$304,MATCH(D626,Ingredients!$B$5:$B$304,0))),"")</f>
        <v>0</v>
      </c>
      <c r="V626" s="17">
        <f>IF(D626="","",IFERROR(INDEX(Ingredients!$W$5:$W$304,MATCH(D626,Ingredients!$B$5:$B$304,0)),"Add to Ingredients"))</f>
        <v>0</v>
      </c>
      <c r="W626" s="17">
        <f>IF(D626="","",IFERROR(INDEX(Ingredients!$C$5:$C$304,MATCH(D626,Ingredients!$B$5:$B$304,0)),"Add to Ingredients"))</f>
        <v>0</v>
      </c>
      <c r="X626" s="45">
        <f>IFERROR(INDEX(Recipes!$AT$5:$AT$204,MATCH(B626,Recipes!$A$5:$A$204,0)),0)</f>
        <v>0</v>
      </c>
      <c r="Y626" s="45">
        <f>IF(OR(J626="",X626=0),"",J626*X626)</f>
        <v>0</v>
      </c>
      <c r="Z626" s="17">
        <f>IF(D626="","",B626&amp;"#"&amp;COUNTIFS($B$5:B626,B626))</f>
        <v>0</v>
      </c>
      <c r="AA626" s="17">
        <f>IF(D626="","",B626&amp;"|"&amp;D626)</f>
        <v>0</v>
      </c>
      <c r="AB626" s="31">
        <f>IF(D626="","",IF(B626="","Add - which recipe?",IF(COUNTIFS(Ingredients!$B$5:$B$304,D626)=0,"Missing - not in the Ingredients tab",IF(E626="","Add - no quantity",IF(F626="","Add - no unit",IF(K626&lt;&gt;L626,"Check - recipe in "&amp;K626&amp;", priced in "&amp;L626,IF(COUNTIFS($AA$5:$AA$1204,AA626)&gt;1,"Duplicate - same ingredient twice","OK")))))))</f>
        <v>0</v>
      </c>
    </row>
    <row r="627" spans="1:28">
      <c r="A627" s="39">
        <f>IF(D627="","","RL-"&amp;TEXT(ROW()-4,"0000"))</f>
        <v>0</v>
      </c>
      <c r="C627" s="17">
        <f>IF(B627="","",IFERROR(INDEX(Recipes!$B$5:$B$204,MATCH(B627,Recipes!$A$5:$A$204,0)),"Not found"))</f>
        <v>0</v>
      </c>
      <c r="J627" s="45">
        <f>IF(E627="","",IFERROR(E627*INDEX(UnitFactors,MATCH(F627,UnitNames,0)),""))</f>
        <v>0</v>
      </c>
      <c r="K627" s="17">
        <f>IF(F627="","",IFERROR(INDEX(UnitBases,MATCH(F627,UnitNames,0)),"?"))</f>
        <v>0</v>
      </c>
      <c r="L627" s="17">
        <f>IF(D627="","",IFERROR(INDEX(Ingredients!$G$5:$G$304,MATCH(D627,Ingredients!$B$5:$B$304,0)),"Add to Ingredients"))</f>
        <v>0</v>
      </c>
      <c r="M627" s="25">
        <f>IF(D627="","",IFERROR(INDEX(Ingredients!$J$5:$J$304,MATCH(D627,Ingredients!$B$5:$B$304,0)),"Add to Ingredients"))</f>
        <v>0</v>
      </c>
      <c r="N627" s="25">
        <f>IF(OR(J627="",M627="",NOT(ISNUMBER(M627))),"",IF(K627&lt;&gt;L627,"",J627*M627))</f>
        <v>0</v>
      </c>
      <c r="O627" s="25">
        <f>IF(N627="","",IFERROR(N627/INDEX(Recipes!$G$5:$G$204,MATCH(B627,Recipes!$A$5:$A$204,0)),""))</f>
        <v>0</v>
      </c>
      <c r="P627" s="30">
        <f>IF(J627="","",IF(K627="each",J627,J627/100))</f>
        <v>0</v>
      </c>
      <c r="Q627" s="30">
        <f>IFERROR(IF(P627="","",P627*INDEX(Ingredients!$P$5:$P$304,MATCH(D627,Ingredients!$B$5:$B$304,0))),"")</f>
        <v>0</v>
      </c>
      <c r="R627" s="45">
        <f>IFERROR(IF(P627="","",P627*INDEX(Ingredients!$Q$5:$Q$304,MATCH(D627,Ingredients!$B$5:$B$304,0))),"")</f>
        <v>0</v>
      </c>
      <c r="S627" s="45">
        <f>IFERROR(IF(P627="","",P627*INDEX(Ingredients!$R$5:$R$304,MATCH(D627,Ingredients!$B$5:$B$304,0))),"")</f>
        <v>0</v>
      </c>
      <c r="T627" s="45">
        <f>IFERROR(IF(P627="","",P627*INDEX(Ingredients!$S$5:$S$304,MATCH(D627,Ingredients!$B$5:$B$304,0))),"")</f>
        <v>0</v>
      </c>
      <c r="U627" s="45">
        <f>IFERROR(IF(P627="","",P627*INDEX(Ingredients!$T$5:$T$304,MATCH(D627,Ingredients!$B$5:$B$304,0))),"")</f>
        <v>0</v>
      </c>
      <c r="V627" s="17">
        <f>IF(D627="","",IFERROR(INDEX(Ingredients!$W$5:$W$304,MATCH(D627,Ingredients!$B$5:$B$304,0)),"Add to Ingredients"))</f>
        <v>0</v>
      </c>
      <c r="W627" s="17">
        <f>IF(D627="","",IFERROR(INDEX(Ingredients!$C$5:$C$304,MATCH(D627,Ingredients!$B$5:$B$304,0)),"Add to Ingredients"))</f>
        <v>0</v>
      </c>
      <c r="X627" s="45">
        <f>IFERROR(INDEX(Recipes!$AT$5:$AT$204,MATCH(B627,Recipes!$A$5:$A$204,0)),0)</f>
        <v>0</v>
      </c>
      <c r="Y627" s="45">
        <f>IF(OR(J627="",X627=0),"",J627*X627)</f>
        <v>0</v>
      </c>
      <c r="Z627" s="17">
        <f>IF(D627="","",B627&amp;"#"&amp;COUNTIFS($B$5:B627,B627))</f>
        <v>0</v>
      </c>
      <c r="AA627" s="17">
        <f>IF(D627="","",B627&amp;"|"&amp;D627)</f>
        <v>0</v>
      </c>
      <c r="AB627" s="31">
        <f>IF(D627="","",IF(B627="","Add - which recipe?",IF(COUNTIFS(Ingredients!$B$5:$B$304,D627)=0,"Missing - not in the Ingredients tab",IF(E627="","Add - no quantity",IF(F627="","Add - no unit",IF(K627&lt;&gt;L627,"Check - recipe in "&amp;K627&amp;", priced in "&amp;L627,IF(COUNTIFS($AA$5:$AA$1204,AA627)&gt;1,"Duplicate - same ingredient twice","OK")))))))</f>
        <v>0</v>
      </c>
    </row>
    <row r="628" spans="1:28">
      <c r="A628" s="39">
        <f>IF(D628="","","RL-"&amp;TEXT(ROW()-4,"0000"))</f>
        <v>0</v>
      </c>
      <c r="C628" s="17">
        <f>IF(B628="","",IFERROR(INDEX(Recipes!$B$5:$B$204,MATCH(B628,Recipes!$A$5:$A$204,0)),"Not found"))</f>
        <v>0</v>
      </c>
      <c r="J628" s="45">
        <f>IF(E628="","",IFERROR(E628*INDEX(UnitFactors,MATCH(F628,UnitNames,0)),""))</f>
        <v>0</v>
      </c>
      <c r="K628" s="17">
        <f>IF(F628="","",IFERROR(INDEX(UnitBases,MATCH(F628,UnitNames,0)),"?"))</f>
        <v>0</v>
      </c>
      <c r="L628" s="17">
        <f>IF(D628="","",IFERROR(INDEX(Ingredients!$G$5:$G$304,MATCH(D628,Ingredients!$B$5:$B$304,0)),"Add to Ingredients"))</f>
        <v>0</v>
      </c>
      <c r="M628" s="25">
        <f>IF(D628="","",IFERROR(INDEX(Ingredients!$J$5:$J$304,MATCH(D628,Ingredients!$B$5:$B$304,0)),"Add to Ingredients"))</f>
        <v>0</v>
      </c>
      <c r="N628" s="25">
        <f>IF(OR(J628="",M628="",NOT(ISNUMBER(M628))),"",IF(K628&lt;&gt;L628,"",J628*M628))</f>
        <v>0</v>
      </c>
      <c r="O628" s="25">
        <f>IF(N628="","",IFERROR(N628/INDEX(Recipes!$G$5:$G$204,MATCH(B628,Recipes!$A$5:$A$204,0)),""))</f>
        <v>0</v>
      </c>
      <c r="P628" s="30">
        <f>IF(J628="","",IF(K628="each",J628,J628/100))</f>
        <v>0</v>
      </c>
      <c r="Q628" s="30">
        <f>IFERROR(IF(P628="","",P628*INDEX(Ingredients!$P$5:$P$304,MATCH(D628,Ingredients!$B$5:$B$304,0))),"")</f>
        <v>0</v>
      </c>
      <c r="R628" s="45">
        <f>IFERROR(IF(P628="","",P628*INDEX(Ingredients!$Q$5:$Q$304,MATCH(D628,Ingredients!$B$5:$B$304,0))),"")</f>
        <v>0</v>
      </c>
      <c r="S628" s="45">
        <f>IFERROR(IF(P628="","",P628*INDEX(Ingredients!$R$5:$R$304,MATCH(D628,Ingredients!$B$5:$B$304,0))),"")</f>
        <v>0</v>
      </c>
      <c r="T628" s="45">
        <f>IFERROR(IF(P628="","",P628*INDEX(Ingredients!$S$5:$S$304,MATCH(D628,Ingredients!$B$5:$B$304,0))),"")</f>
        <v>0</v>
      </c>
      <c r="U628" s="45">
        <f>IFERROR(IF(P628="","",P628*INDEX(Ingredients!$T$5:$T$304,MATCH(D628,Ingredients!$B$5:$B$304,0))),"")</f>
        <v>0</v>
      </c>
      <c r="V628" s="17">
        <f>IF(D628="","",IFERROR(INDEX(Ingredients!$W$5:$W$304,MATCH(D628,Ingredients!$B$5:$B$304,0)),"Add to Ingredients"))</f>
        <v>0</v>
      </c>
      <c r="W628" s="17">
        <f>IF(D628="","",IFERROR(INDEX(Ingredients!$C$5:$C$304,MATCH(D628,Ingredients!$B$5:$B$304,0)),"Add to Ingredients"))</f>
        <v>0</v>
      </c>
      <c r="X628" s="45">
        <f>IFERROR(INDEX(Recipes!$AT$5:$AT$204,MATCH(B628,Recipes!$A$5:$A$204,0)),0)</f>
        <v>0</v>
      </c>
      <c r="Y628" s="45">
        <f>IF(OR(J628="",X628=0),"",J628*X628)</f>
        <v>0</v>
      </c>
      <c r="Z628" s="17">
        <f>IF(D628="","",B628&amp;"#"&amp;COUNTIFS($B$5:B628,B628))</f>
        <v>0</v>
      </c>
      <c r="AA628" s="17">
        <f>IF(D628="","",B628&amp;"|"&amp;D628)</f>
        <v>0</v>
      </c>
      <c r="AB628" s="31">
        <f>IF(D628="","",IF(B628="","Add - which recipe?",IF(COUNTIFS(Ingredients!$B$5:$B$304,D628)=0,"Missing - not in the Ingredients tab",IF(E628="","Add - no quantity",IF(F628="","Add - no unit",IF(K628&lt;&gt;L628,"Check - recipe in "&amp;K628&amp;", priced in "&amp;L628,IF(COUNTIFS($AA$5:$AA$1204,AA628)&gt;1,"Duplicate - same ingredient twice","OK")))))))</f>
        <v>0</v>
      </c>
    </row>
    <row r="629" spans="1:28">
      <c r="A629" s="39">
        <f>IF(D629="","","RL-"&amp;TEXT(ROW()-4,"0000"))</f>
        <v>0</v>
      </c>
      <c r="C629" s="17">
        <f>IF(B629="","",IFERROR(INDEX(Recipes!$B$5:$B$204,MATCH(B629,Recipes!$A$5:$A$204,0)),"Not found"))</f>
        <v>0</v>
      </c>
      <c r="J629" s="45">
        <f>IF(E629="","",IFERROR(E629*INDEX(UnitFactors,MATCH(F629,UnitNames,0)),""))</f>
        <v>0</v>
      </c>
      <c r="K629" s="17">
        <f>IF(F629="","",IFERROR(INDEX(UnitBases,MATCH(F629,UnitNames,0)),"?"))</f>
        <v>0</v>
      </c>
      <c r="L629" s="17">
        <f>IF(D629="","",IFERROR(INDEX(Ingredients!$G$5:$G$304,MATCH(D629,Ingredients!$B$5:$B$304,0)),"Add to Ingredients"))</f>
        <v>0</v>
      </c>
      <c r="M629" s="25">
        <f>IF(D629="","",IFERROR(INDEX(Ingredients!$J$5:$J$304,MATCH(D629,Ingredients!$B$5:$B$304,0)),"Add to Ingredients"))</f>
        <v>0</v>
      </c>
      <c r="N629" s="25">
        <f>IF(OR(J629="",M629="",NOT(ISNUMBER(M629))),"",IF(K629&lt;&gt;L629,"",J629*M629))</f>
        <v>0</v>
      </c>
      <c r="O629" s="25">
        <f>IF(N629="","",IFERROR(N629/INDEX(Recipes!$G$5:$G$204,MATCH(B629,Recipes!$A$5:$A$204,0)),""))</f>
        <v>0</v>
      </c>
      <c r="P629" s="30">
        <f>IF(J629="","",IF(K629="each",J629,J629/100))</f>
        <v>0</v>
      </c>
      <c r="Q629" s="30">
        <f>IFERROR(IF(P629="","",P629*INDEX(Ingredients!$P$5:$P$304,MATCH(D629,Ingredients!$B$5:$B$304,0))),"")</f>
        <v>0</v>
      </c>
      <c r="R629" s="45">
        <f>IFERROR(IF(P629="","",P629*INDEX(Ingredients!$Q$5:$Q$304,MATCH(D629,Ingredients!$B$5:$B$304,0))),"")</f>
        <v>0</v>
      </c>
      <c r="S629" s="45">
        <f>IFERROR(IF(P629="","",P629*INDEX(Ingredients!$R$5:$R$304,MATCH(D629,Ingredients!$B$5:$B$304,0))),"")</f>
        <v>0</v>
      </c>
      <c r="T629" s="45">
        <f>IFERROR(IF(P629="","",P629*INDEX(Ingredients!$S$5:$S$304,MATCH(D629,Ingredients!$B$5:$B$304,0))),"")</f>
        <v>0</v>
      </c>
      <c r="U629" s="45">
        <f>IFERROR(IF(P629="","",P629*INDEX(Ingredients!$T$5:$T$304,MATCH(D629,Ingredients!$B$5:$B$304,0))),"")</f>
        <v>0</v>
      </c>
      <c r="V629" s="17">
        <f>IF(D629="","",IFERROR(INDEX(Ingredients!$W$5:$W$304,MATCH(D629,Ingredients!$B$5:$B$304,0)),"Add to Ingredients"))</f>
        <v>0</v>
      </c>
      <c r="W629" s="17">
        <f>IF(D629="","",IFERROR(INDEX(Ingredients!$C$5:$C$304,MATCH(D629,Ingredients!$B$5:$B$304,0)),"Add to Ingredients"))</f>
        <v>0</v>
      </c>
      <c r="X629" s="45">
        <f>IFERROR(INDEX(Recipes!$AT$5:$AT$204,MATCH(B629,Recipes!$A$5:$A$204,0)),0)</f>
        <v>0</v>
      </c>
      <c r="Y629" s="45">
        <f>IF(OR(J629="",X629=0),"",J629*X629)</f>
        <v>0</v>
      </c>
      <c r="Z629" s="17">
        <f>IF(D629="","",B629&amp;"#"&amp;COUNTIFS($B$5:B629,B629))</f>
        <v>0</v>
      </c>
      <c r="AA629" s="17">
        <f>IF(D629="","",B629&amp;"|"&amp;D629)</f>
        <v>0</v>
      </c>
      <c r="AB629" s="31">
        <f>IF(D629="","",IF(B629="","Add - which recipe?",IF(COUNTIFS(Ingredients!$B$5:$B$304,D629)=0,"Missing - not in the Ingredients tab",IF(E629="","Add - no quantity",IF(F629="","Add - no unit",IF(K629&lt;&gt;L629,"Check - recipe in "&amp;K629&amp;", priced in "&amp;L629,IF(COUNTIFS($AA$5:$AA$1204,AA629)&gt;1,"Duplicate - same ingredient twice","OK")))))))</f>
        <v>0</v>
      </c>
    </row>
    <row r="630" spans="1:28">
      <c r="A630" s="39">
        <f>IF(D630="","","RL-"&amp;TEXT(ROW()-4,"0000"))</f>
        <v>0</v>
      </c>
      <c r="C630" s="17">
        <f>IF(B630="","",IFERROR(INDEX(Recipes!$B$5:$B$204,MATCH(B630,Recipes!$A$5:$A$204,0)),"Not found"))</f>
        <v>0</v>
      </c>
      <c r="J630" s="45">
        <f>IF(E630="","",IFERROR(E630*INDEX(UnitFactors,MATCH(F630,UnitNames,0)),""))</f>
        <v>0</v>
      </c>
      <c r="K630" s="17">
        <f>IF(F630="","",IFERROR(INDEX(UnitBases,MATCH(F630,UnitNames,0)),"?"))</f>
        <v>0</v>
      </c>
      <c r="L630" s="17">
        <f>IF(D630="","",IFERROR(INDEX(Ingredients!$G$5:$G$304,MATCH(D630,Ingredients!$B$5:$B$304,0)),"Add to Ingredients"))</f>
        <v>0</v>
      </c>
      <c r="M630" s="25">
        <f>IF(D630="","",IFERROR(INDEX(Ingredients!$J$5:$J$304,MATCH(D630,Ingredients!$B$5:$B$304,0)),"Add to Ingredients"))</f>
        <v>0</v>
      </c>
      <c r="N630" s="25">
        <f>IF(OR(J630="",M630="",NOT(ISNUMBER(M630))),"",IF(K630&lt;&gt;L630,"",J630*M630))</f>
        <v>0</v>
      </c>
      <c r="O630" s="25">
        <f>IF(N630="","",IFERROR(N630/INDEX(Recipes!$G$5:$G$204,MATCH(B630,Recipes!$A$5:$A$204,0)),""))</f>
        <v>0</v>
      </c>
      <c r="P630" s="30">
        <f>IF(J630="","",IF(K630="each",J630,J630/100))</f>
        <v>0</v>
      </c>
      <c r="Q630" s="30">
        <f>IFERROR(IF(P630="","",P630*INDEX(Ingredients!$P$5:$P$304,MATCH(D630,Ingredients!$B$5:$B$304,0))),"")</f>
        <v>0</v>
      </c>
      <c r="R630" s="45">
        <f>IFERROR(IF(P630="","",P630*INDEX(Ingredients!$Q$5:$Q$304,MATCH(D630,Ingredients!$B$5:$B$304,0))),"")</f>
        <v>0</v>
      </c>
      <c r="S630" s="45">
        <f>IFERROR(IF(P630="","",P630*INDEX(Ingredients!$R$5:$R$304,MATCH(D630,Ingredients!$B$5:$B$304,0))),"")</f>
        <v>0</v>
      </c>
      <c r="T630" s="45">
        <f>IFERROR(IF(P630="","",P630*INDEX(Ingredients!$S$5:$S$304,MATCH(D630,Ingredients!$B$5:$B$304,0))),"")</f>
        <v>0</v>
      </c>
      <c r="U630" s="45">
        <f>IFERROR(IF(P630="","",P630*INDEX(Ingredients!$T$5:$T$304,MATCH(D630,Ingredients!$B$5:$B$304,0))),"")</f>
        <v>0</v>
      </c>
      <c r="V630" s="17">
        <f>IF(D630="","",IFERROR(INDEX(Ingredients!$W$5:$W$304,MATCH(D630,Ingredients!$B$5:$B$304,0)),"Add to Ingredients"))</f>
        <v>0</v>
      </c>
      <c r="W630" s="17">
        <f>IF(D630="","",IFERROR(INDEX(Ingredients!$C$5:$C$304,MATCH(D630,Ingredients!$B$5:$B$304,0)),"Add to Ingredients"))</f>
        <v>0</v>
      </c>
      <c r="X630" s="45">
        <f>IFERROR(INDEX(Recipes!$AT$5:$AT$204,MATCH(B630,Recipes!$A$5:$A$204,0)),0)</f>
        <v>0</v>
      </c>
      <c r="Y630" s="45">
        <f>IF(OR(J630="",X630=0),"",J630*X630)</f>
        <v>0</v>
      </c>
      <c r="Z630" s="17">
        <f>IF(D630="","",B630&amp;"#"&amp;COUNTIFS($B$5:B630,B630))</f>
        <v>0</v>
      </c>
      <c r="AA630" s="17">
        <f>IF(D630="","",B630&amp;"|"&amp;D630)</f>
        <v>0</v>
      </c>
      <c r="AB630" s="31">
        <f>IF(D630="","",IF(B630="","Add - which recipe?",IF(COUNTIFS(Ingredients!$B$5:$B$304,D630)=0,"Missing - not in the Ingredients tab",IF(E630="","Add - no quantity",IF(F630="","Add - no unit",IF(K630&lt;&gt;L630,"Check - recipe in "&amp;K630&amp;", priced in "&amp;L630,IF(COUNTIFS($AA$5:$AA$1204,AA630)&gt;1,"Duplicate - same ingredient twice","OK")))))))</f>
        <v>0</v>
      </c>
    </row>
    <row r="631" spans="1:28">
      <c r="A631" s="39">
        <f>IF(D631="","","RL-"&amp;TEXT(ROW()-4,"0000"))</f>
        <v>0</v>
      </c>
      <c r="C631" s="17">
        <f>IF(B631="","",IFERROR(INDEX(Recipes!$B$5:$B$204,MATCH(B631,Recipes!$A$5:$A$204,0)),"Not found"))</f>
        <v>0</v>
      </c>
      <c r="J631" s="45">
        <f>IF(E631="","",IFERROR(E631*INDEX(UnitFactors,MATCH(F631,UnitNames,0)),""))</f>
        <v>0</v>
      </c>
      <c r="K631" s="17">
        <f>IF(F631="","",IFERROR(INDEX(UnitBases,MATCH(F631,UnitNames,0)),"?"))</f>
        <v>0</v>
      </c>
      <c r="L631" s="17">
        <f>IF(D631="","",IFERROR(INDEX(Ingredients!$G$5:$G$304,MATCH(D631,Ingredients!$B$5:$B$304,0)),"Add to Ingredients"))</f>
        <v>0</v>
      </c>
      <c r="M631" s="25">
        <f>IF(D631="","",IFERROR(INDEX(Ingredients!$J$5:$J$304,MATCH(D631,Ingredients!$B$5:$B$304,0)),"Add to Ingredients"))</f>
        <v>0</v>
      </c>
      <c r="N631" s="25">
        <f>IF(OR(J631="",M631="",NOT(ISNUMBER(M631))),"",IF(K631&lt;&gt;L631,"",J631*M631))</f>
        <v>0</v>
      </c>
      <c r="O631" s="25">
        <f>IF(N631="","",IFERROR(N631/INDEX(Recipes!$G$5:$G$204,MATCH(B631,Recipes!$A$5:$A$204,0)),""))</f>
        <v>0</v>
      </c>
      <c r="P631" s="30">
        <f>IF(J631="","",IF(K631="each",J631,J631/100))</f>
        <v>0</v>
      </c>
      <c r="Q631" s="30">
        <f>IFERROR(IF(P631="","",P631*INDEX(Ingredients!$P$5:$P$304,MATCH(D631,Ingredients!$B$5:$B$304,0))),"")</f>
        <v>0</v>
      </c>
      <c r="R631" s="45">
        <f>IFERROR(IF(P631="","",P631*INDEX(Ingredients!$Q$5:$Q$304,MATCH(D631,Ingredients!$B$5:$B$304,0))),"")</f>
        <v>0</v>
      </c>
      <c r="S631" s="45">
        <f>IFERROR(IF(P631="","",P631*INDEX(Ingredients!$R$5:$R$304,MATCH(D631,Ingredients!$B$5:$B$304,0))),"")</f>
        <v>0</v>
      </c>
      <c r="T631" s="45">
        <f>IFERROR(IF(P631="","",P631*INDEX(Ingredients!$S$5:$S$304,MATCH(D631,Ingredients!$B$5:$B$304,0))),"")</f>
        <v>0</v>
      </c>
      <c r="U631" s="45">
        <f>IFERROR(IF(P631="","",P631*INDEX(Ingredients!$T$5:$T$304,MATCH(D631,Ingredients!$B$5:$B$304,0))),"")</f>
        <v>0</v>
      </c>
      <c r="V631" s="17">
        <f>IF(D631="","",IFERROR(INDEX(Ingredients!$W$5:$W$304,MATCH(D631,Ingredients!$B$5:$B$304,0)),"Add to Ingredients"))</f>
        <v>0</v>
      </c>
      <c r="W631" s="17">
        <f>IF(D631="","",IFERROR(INDEX(Ingredients!$C$5:$C$304,MATCH(D631,Ingredients!$B$5:$B$304,0)),"Add to Ingredients"))</f>
        <v>0</v>
      </c>
      <c r="X631" s="45">
        <f>IFERROR(INDEX(Recipes!$AT$5:$AT$204,MATCH(B631,Recipes!$A$5:$A$204,0)),0)</f>
        <v>0</v>
      </c>
      <c r="Y631" s="45">
        <f>IF(OR(J631="",X631=0),"",J631*X631)</f>
        <v>0</v>
      </c>
      <c r="Z631" s="17">
        <f>IF(D631="","",B631&amp;"#"&amp;COUNTIFS($B$5:B631,B631))</f>
        <v>0</v>
      </c>
      <c r="AA631" s="17">
        <f>IF(D631="","",B631&amp;"|"&amp;D631)</f>
        <v>0</v>
      </c>
      <c r="AB631" s="31">
        <f>IF(D631="","",IF(B631="","Add - which recipe?",IF(COUNTIFS(Ingredients!$B$5:$B$304,D631)=0,"Missing - not in the Ingredients tab",IF(E631="","Add - no quantity",IF(F631="","Add - no unit",IF(K631&lt;&gt;L631,"Check - recipe in "&amp;K631&amp;", priced in "&amp;L631,IF(COUNTIFS($AA$5:$AA$1204,AA631)&gt;1,"Duplicate - same ingredient twice","OK")))))))</f>
        <v>0</v>
      </c>
    </row>
    <row r="632" spans="1:28">
      <c r="A632" s="39">
        <f>IF(D632="","","RL-"&amp;TEXT(ROW()-4,"0000"))</f>
        <v>0</v>
      </c>
      <c r="C632" s="17">
        <f>IF(B632="","",IFERROR(INDEX(Recipes!$B$5:$B$204,MATCH(B632,Recipes!$A$5:$A$204,0)),"Not found"))</f>
        <v>0</v>
      </c>
      <c r="J632" s="45">
        <f>IF(E632="","",IFERROR(E632*INDEX(UnitFactors,MATCH(F632,UnitNames,0)),""))</f>
        <v>0</v>
      </c>
      <c r="K632" s="17">
        <f>IF(F632="","",IFERROR(INDEX(UnitBases,MATCH(F632,UnitNames,0)),"?"))</f>
        <v>0</v>
      </c>
      <c r="L632" s="17">
        <f>IF(D632="","",IFERROR(INDEX(Ingredients!$G$5:$G$304,MATCH(D632,Ingredients!$B$5:$B$304,0)),"Add to Ingredients"))</f>
        <v>0</v>
      </c>
      <c r="M632" s="25">
        <f>IF(D632="","",IFERROR(INDEX(Ingredients!$J$5:$J$304,MATCH(D632,Ingredients!$B$5:$B$304,0)),"Add to Ingredients"))</f>
        <v>0</v>
      </c>
      <c r="N632" s="25">
        <f>IF(OR(J632="",M632="",NOT(ISNUMBER(M632))),"",IF(K632&lt;&gt;L632,"",J632*M632))</f>
        <v>0</v>
      </c>
      <c r="O632" s="25">
        <f>IF(N632="","",IFERROR(N632/INDEX(Recipes!$G$5:$G$204,MATCH(B632,Recipes!$A$5:$A$204,0)),""))</f>
        <v>0</v>
      </c>
      <c r="P632" s="30">
        <f>IF(J632="","",IF(K632="each",J632,J632/100))</f>
        <v>0</v>
      </c>
      <c r="Q632" s="30">
        <f>IFERROR(IF(P632="","",P632*INDEX(Ingredients!$P$5:$P$304,MATCH(D632,Ingredients!$B$5:$B$304,0))),"")</f>
        <v>0</v>
      </c>
      <c r="R632" s="45">
        <f>IFERROR(IF(P632="","",P632*INDEX(Ingredients!$Q$5:$Q$304,MATCH(D632,Ingredients!$B$5:$B$304,0))),"")</f>
        <v>0</v>
      </c>
      <c r="S632" s="45">
        <f>IFERROR(IF(P632="","",P632*INDEX(Ingredients!$R$5:$R$304,MATCH(D632,Ingredients!$B$5:$B$304,0))),"")</f>
        <v>0</v>
      </c>
      <c r="T632" s="45">
        <f>IFERROR(IF(P632="","",P632*INDEX(Ingredients!$S$5:$S$304,MATCH(D632,Ingredients!$B$5:$B$304,0))),"")</f>
        <v>0</v>
      </c>
      <c r="U632" s="45">
        <f>IFERROR(IF(P632="","",P632*INDEX(Ingredients!$T$5:$T$304,MATCH(D632,Ingredients!$B$5:$B$304,0))),"")</f>
        <v>0</v>
      </c>
      <c r="V632" s="17">
        <f>IF(D632="","",IFERROR(INDEX(Ingredients!$W$5:$W$304,MATCH(D632,Ingredients!$B$5:$B$304,0)),"Add to Ingredients"))</f>
        <v>0</v>
      </c>
      <c r="W632" s="17">
        <f>IF(D632="","",IFERROR(INDEX(Ingredients!$C$5:$C$304,MATCH(D632,Ingredients!$B$5:$B$304,0)),"Add to Ingredients"))</f>
        <v>0</v>
      </c>
      <c r="X632" s="45">
        <f>IFERROR(INDEX(Recipes!$AT$5:$AT$204,MATCH(B632,Recipes!$A$5:$A$204,0)),0)</f>
        <v>0</v>
      </c>
      <c r="Y632" s="45">
        <f>IF(OR(J632="",X632=0),"",J632*X632)</f>
        <v>0</v>
      </c>
      <c r="Z632" s="17">
        <f>IF(D632="","",B632&amp;"#"&amp;COUNTIFS($B$5:B632,B632))</f>
        <v>0</v>
      </c>
      <c r="AA632" s="17">
        <f>IF(D632="","",B632&amp;"|"&amp;D632)</f>
        <v>0</v>
      </c>
      <c r="AB632" s="31">
        <f>IF(D632="","",IF(B632="","Add - which recipe?",IF(COUNTIFS(Ingredients!$B$5:$B$304,D632)=0,"Missing - not in the Ingredients tab",IF(E632="","Add - no quantity",IF(F632="","Add - no unit",IF(K632&lt;&gt;L632,"Check - recipe in "&amp;K632&amp;", priced in "&amp;L632,IF(COUNTIFS($AA$5:$AA$1204,AA632)&gt;1,"Duplicate - same ingredient twice","OK")))))))</f>
        <v>0</v>
      </c>
    </row>
    <row r="633" spans="1:28">
      <c r="A633" s="39">
        <f>IF(D633="","","RL-"&amp;TEXT(ROW()-4,"0000"))</f>
        <v>0</v>
      </c>
      <c r="C633" s="17">
        <f>IF(B633="","",IFERROR(INDEX(Recipes!$B$5:$B$204,MATCH(B633,Recipes!$A$5:$A$204,0)),"Not found"))</f>
        <v>0</v>
      </c>
      <c r="J633" s="45">
        <f>IF(E633="","",IFERROR(E633*INDEX(UnitFactors,MATCH(F633,UnitNames,0)),""))</f>
        <v>0</v>
      </c>
      <c r="K633" s="17">
        <f>IF(F633="","",IFERROR(INDEX(UnitBases,MATCH(F633,UnitNames,0)),"?"))</f>
        <v>0</v>
      </c>
      <c r="L633" s="17">
        <f>IF(D633="","",IFERROR(INDEX(Ingredients!$G$5:$G$304,MATCH(D633,Ingredients!$B$5:$B$304,0)),"Add to Ingredients"))</f>
        <v>0</v>
      </c>
      <c r="M633" s="25">
        <f>IF(D633="","",IFERROR(INDEX(Ingredients!$J$5:$J$304,MATCH(D633,Ingredients!$B$5:$B$304,0)),"Add to Ingredients"))</f>
        <v>0</v>
      </c>
      <c r="N633" s="25">
        <f>IF(OR(J633="",M633="",NOT(ISNUMBER(M633))),"",IF(K633&lt;&gt;L633,"",J633*M633))</f>
        <v>0</v>
      </c>
      <c r="O633" s="25">
        <f>IF(N633="","",IFERROR(N633/INDEX(Recipes!$G$5:$G$204,MATCH(B633,Recipes!$A$5:$A$204,0)),""))</f>
        <v>0</v>
      </c>
      <c r="P633" s="30">
        <f>IF(J633="","",IF(K633="each",J633,J633/100))</f>
        <v>0</v>
      </c>
      <c r="Q633" s="30">
        <f>IFERROR(IF(P633="","",P633*INDEX(Ingredients!$P$5:$P$304,MATCH(D633,Ingredients!$B$5:$B$304,0))),"")</f>
        <v>0</v>
      </c>
      <c r="R633" s="45">
        <f>IFERROR(IF(P633="","",P633*INDEX(Ingredients!$Q$5:$Q$304,MATCH(D633,Ingredients!$B$5:$B$304,0))),"")</f>
        <v>0</v>
      </c>
      <c r="S633" s="45">
        <f>IFERROR(IF(P633="","",P633*INDEX(Ingredients!$R$5:$R$304,MATCH(D633,Ingredients!$B$5:$B$304,0))),"")</f>
        <v>0</v>
      </c>
      <c r="T633" s="45">
        <f>IFERROR(IF(P633="","",P633*INDEX(Ingredients!$S$5:$S$304,MATCH(D633,Ingredients!$B$5:$B$304,0))),"")</f>
        <v>0</v>
      </c>
      <c r="U633" s="45">
        <f>IFERROR(IF(P633="","",P633*INDEX(Ingredients!$T$5:$T$304,MATCH(D633,Ingredients!$B$5:$B$304,0))),"")</f>
        <v>0</v>
      </c>
      <c r="V633" s="17">
        <f>IF(D633="","",IFERROR(INDEX(Ingredients!$W$5:$W$304,MATCH(D633,Ingredients!$B$5:$B$304,0)),"Add to Ingredients"))</f>
        <v>0</v>
      </c>
      <c r="W633" s="17">
        <f>IF(D633="","",IFERROR(INDEX(Ingredients!$C$5:$C$304,MATCH(D633,Ingredients!$B$5:$B$304,0)),"Add to Ingredients"))</f>
        <v>0</v>
      </c>
      <c r="X633" s="45">
        <f>IFERROR(INDEX(Recipes!$AT$5:$AT$204,MATCH(B633,Recipes!$A$5:$A$204,0)),0)</f>
        <v>0</v>
      </c>
      <c r="Y633" s="45">
        <f>IF(OR(J633="",X633=0),"",J633*X633)</f>
        <v>0</v>
      </c>
      <c r="Z633" s="17">
        <f>IF(D633="","",B633&amp;"#"&amp;COUNTIFS($B$5:B633,B633))</f>
        <v>0</v>
      </c>
      <c r="AA633" s="17">
        <f>IF(D633="","",B633&amp;"|"&amp;D633)</f>
        <v>0</v>
      </c>
      <c r="AB633" s="31">
        <f>IF(D633="","",IF(B633="","Add - which recipe?",IF(COUNTIFS(Ingredients!$B$5:$B$304,D633)=0,"Missing - not in the Ingredients tab",IF(E633="","Add - no quantity",IF(F633="","Add - no unit",IF(K633&lt;&gt;L633,"Check - recipe in "&amp;K633&amp;", priced in "&amp;L633,IF(COUNTIFS($AA$5:$AA$1204,AA633)&gt;1,"Duplicate - same ingredient twice","OK")))))))</f>
        <v>0</v>
      </c>
    </row>
    <row r="634" spans="1:28">
      <c r="A634" s="39">
        <f>IF(D634="","","RL-"&amp;TEXT(ROW()-4,"0000"))</f>
        <v>0</v>
      </c>
      <c r="C634" s="17">
        <f>IF(B634="","",IFERROR(INDEX(Recipes!$B$5:$B$204,MATCH(B634,Recipes!$A$5:$A$204,0)),"Not found"))</f>
        <v>0</v>
      </c>
      <c r="J634" s="45">
        <f>IF(E634="","",IFERROR(E634*INDEX(UnitFactors,MATCH(F634,UnitNames,0)),""))</f>
        <v>0</v>
      </c>
      <c r="K634" s="17">
        <f>IF(F634="","",IFERROR(INDEX(UnitBases,MATCH(F634,UnitNames,0)),"?"))</f>
        <v>0</v>
      </c>
      <c r="L634" s="17">
        <f>IF(D634="","",IFERROR(INDEX(Ingredients!$G$5:$G$304,MATCH(D634,Ingredients!$B$5:$B$304,0)),"Add to Ingredients"))</f>
        <v>0</v>
      </c>
      <c r="M634" s="25">
        <f>IF(D634="","",IFERROR(INDEX(Ingredients!$J$5:$J$304,MATCH(D634,Ingredients!$B$5:$B$304,0)),"Add to Ingredients"))</f>
        <v>0</v>
      </c>
      <c r="N634" s="25">
        <f>IF(OR(J634="",M634="",NOT(ISNUMBER(M634))),"",IF(K634&lt;&gt;L634,"",J634*M634))</f>
        <v>0</v>
      </c>
      <c r="O634" s="25">
        <f>IF(N634="","",IFERROR(N634/INDEX(Recipes!$G$5:$G$204,MATCH(B634,Recipes!$A$5:$A$204,0)),""))</f>
        <v>0</v>
      </c>
      <c r="P634" s="30">
        <f>IF(J634="","",IF(K634="each",J634,J634/100))</f>
        <v>0</v>
      </c>
      <c r="Q634" s="30">
        <f>IFERROR(IF(P634="","",P634*INDEX(Ingredients!$P$5:$P$304,MATCH(D634,Ingredients!$B$5:$B$304,0))),"")</f>
        <v>0</v>
      </c>
      <c r="R634" s="45">
        <f>IFERROR(IF(P634="","",P634*INDEX(Ingredients!$Q$5:$Q$304,MATCH(D634,Ingredients!$B$5:$B$304,0))),"")</f>
        <v>0</v>
      </c>
      <c r="S634" s="45">
        <f>IFERROR(IF(P634="","",P634*INDEX(Ingredients!$R$5:$R$304,MATCH(D634,Ingredients!$B$5:$B$304,0))),"")</f>
        <v>0</v>
      </c>
      <c r="T634" s="45">
        <f>IFERROR(IF(P634="","",P634*INDEX(Ingredients!$S$5:$S$304,MATCH(D634,Ingredients!$B$5:$B$304,0))),"")</f>
        <v>0</v>
      </c>
      <c r="U634" s="45">
        <f>IFERROR(IF(P634="","",P634*INDEX(Ingredients!$T$5:$T$304,MATCH(D634,Ingredients!$B$5:$B$304,0))),"")</f>
        <v>0</v>
      </c>
      <c r="V634" s="17">
        <f>IF(D634="","",IFERROR(INDEX(Ingredients!$W$5:$W$304,MATCH(D634,Ingredients!$B$5:$B$304,0)),"Add to Ingredients"))</f>
        <v>0</v>
      </c>
      <c r="W634" s="17">
        <f>IF(D634="","",IFERROR(INDEX(Ingredients!$C$5:$C$304,MATCH(D634,Ingredients!$B$5:$B$304,0)),"Add to Ingredients"))</f>
        <v>0</v>
      </c>
      <c r="X634" s="45">
        <f>IFERROR(INDEX(Recipes!$AT$5:$AT$204,MATCH(B634,Recipes!$A$5:$A$204,0)),0)</f>
        <v>0</v>
      </c>
      <c r="Y634" s="45">
        <f>IF(OR(J634="",X634=0),"",J634*X634)</f>
        <v>0</v>
      </c>
      <c r="Z634" s="17">
        <f>IF(D634="","",B634&amp;"#"&amp;COUNTIFS($B$5:B634,B634))</f>
        <v>0</v>
      </c>
      <c r="AA634" s="17">
        <f>IF(D634="","",B634&amp;"|"&amp;D634)</f>
        <v>0</v>
      </c>
      <c r="AB634" s="31">
        <f>IF(D634="","",IF(B634="","Add - which recipe?",IF(COUNTIFS(Ingredients!$B$5:$B$304,D634)=0,"Missing - not in the Ingredients tab",IF(E634="","Add - no quantity",IF(F634="","Add - no unit",IF(K634&lt;&gt;L634,"Check - recipe in "&amp;K634&amp;", priced in "&amp;L634,IF(COUNTIFS($AA$5:$AA$1204,AA634)&gt;1,"Duplicate - same ingredient twice","OK")))))))</f>
        <v>0</v>
      </c>
    </row>
    <row r="635" spans="1:28">
      <c r="A635" s="39">
        <f>IF(D635="","","RL-"&amp;TEXT(ROW()-4,"0000"))</f>
        <v>0</v>
      </c>
      <c r="C635" s="17">
        <f>IF(B635="","",IFERROR(INDEX(Recipes!$B$5:$B$204,MATCH(B635,Recipes!$A$5:$A$204,0)),"Not found"))</f>
        <v>0</v>
      </c>
      <c r="J635" s="45">
        <f>IF(E635="","",IFERROR(E635*INDEX(UnitFactors,MATCH(F635,UnitNames,0)),""))</f>
        <v>0</v>
      </c>
      <c r="K635" s="17">
        <f>IF(F635="","",IFERROR(INDEX(UnitBases,MATCH(F635,UnitNames,0)),"?"))</f>
        <v>0</v>
      </c>
      <c r="L635" s="17">
        <f>IF(D635="","",IFERROR(INDEX(Ingredients!$G$5:$G$304,MATCH(D635,Ingredients!$B$5:$B$304,0)),"Add to Ingredients"))</f>
        <v>0</v>
      </c>
      <c r="M635" s="25">
        <f>IF(D635="","",IFERROR(INDEX(Ingredients!$J$5:$J$304,MATCH(D635,Ingredients!$B$5:$B$304,0)),"Add to Ingredients"))</f>
        <v>0</v>
      </c>
      <c r="N635" s="25">
        <f>IF(OR(J635="",M635="",NOT(ISNUMBER(M635))),"",IF(K635&lt;&gt;L635,"",J635*M635))</f>
        <v>0</v>
      </c>
      <c r="O635" s="25">
        <f>IF(N635="","",IFERROR(N635/INDEX(Recipes!$G$5:$G$204,MATCH(B635,Recipes!$A$5:$A$204,0)),""))</f>
        <v>0</v>
      </c>
      <c r="P635" s="30">
        <f>IF(J635="","",IF(K635="each",J635,J635/100))</f>
        <v>0</v>
      </c>
      <c r="Q635" s="30">
        <f>IFERROR(IF(P635="","",P635*INDEX(Ingredients!$P$5:$P$304,MATCH(D635,Ingredients!$B$5:$B$304,0))),"")</f>
        <v>0</v>
      </c>
      <c r="R635" s="45">
        <f>IFERROR(IF(P635="","",P635*INDEX(Ingredients!$Q$5:$Q$304,MATCH(D635,Ingredients!$B$5:$B$304,0))),"")</f>
        <v>0</v>
      </c>
      <c r="S635" s="45">
        <f>IFERROR(IF(P635="","",P635*INDEX(Ingredients!$R$5:$R$304,MATCH(D635,Ingredients!$B$5:$B$304,0))),"")</f>
        <v>0</v>
      </c>
      <c r="T635" s="45">
        <f>IFERROR(IF(P635="","",P635*INDEX(Ingredients!$S$5:$S$304,MATCH(D635,Ingredients!$B$5:$B$304,0))),"")</f>
        <v>0</v>
      </c>
      <c r="U635" s="45">
        <f>IFERROR(IF(P635="","",P635*INDEX(Ingredients!$T$5:$T$304,MATCH(D635,Ingredients!$B$5:$B$304,0))),"")</f>
        <v>0</v>
      </c>
      <c r="V635" s="17">
        <f>IF(D635="","",IFERROR(INDEX(Ingredients!$W$5:$W$304,MATCH(D635,Ingredients!$B$5:$B$304,0)),"Add to Ingredients"))</f>
        <v>0</v>
      </c>
      <c r="W635" s="17">
        <f>IF(D635="","",IFERROR(INDEX(Ingredients!$C$5:$C$304,MATCH(D635,Ingredients!$B$5:$B$304,0)),"Add to Ingredients"))</f>
        <v>0</v>
      </c>
      <c r="X635" s="45">
        <f>IFERROR(INDEX(Recipes!$AT$5:$AT$204,MATCH(B635,Recipes!$A$5:$A$204,0)),0)</f>
        <v>0</v>
      </c>
      <c r="Y635" s="45">
        <f>IF(OR(J635="",X635=0),"",J635*X635)</f>
        <v>0</v>
      </c>
      <c r="Z635" s="17">
        <f>IF(D635="","",B635&amp;"#"&amp;COUNTIFS($B$5:B635,B635))</f>
        <v>0</v>
      </c>
      <c r="AA635" s="17">
        <f>IF(D635="","",B635&amp;"|"&amp;D635)</f>
        <v>0</v>
      </c>
      <c r="AB635" s="31">
        <f>IF(D635="","",IF(B635="","Add - which recipe?",IF(COUNTIFS(Ingredients!$B$5:$B$304,D635)=0,"Missing - not in the Ingredients tab",IF(E635="","Add - no quantity",IF(F635="","Add - no unit",IF(K635&lt;&gt;L635,"Check - recipe in "&amp;K635&amp;", priced in "&amp;L635,IF(COUNTIFS($AA$5:$AA$1204,AA635)&gt;1,"Duplicate - same ingredient twice","OK")))))))</f>
        <v>0</v>
      </c>
    </row>
    <row r="636" spans="1:28">
      <c r="A636" s="39">
        <f>IF(D636="","","RL-"&amp;TEXT(ROW()-4,"0000"))</f>
        <v>0</v>
      </c>
      <c r="C636" s="17">
        <f>IF(B636="","",IFERROR(INDEX(Recipes!$B$5:$B$204,MATCH(B636,Recipes!$A$5:$A$204,0)),"Not found"))</f>
        <v>0</v>
      </c>
      <c r="J636" s="45">
        <f>IF(E636="","",IFERROR(E636*INDEX(UnitFactors,MATCH(F636,UnitNames,0)),""))</f>
        <v>0</v>
      </c>
      <c r="K636" s="17">
        <f>IF(F636="","",IFERROR(INDEX(UnitBases,MATCH(F636,UnitNames,0)),"?"))</f>
        <v>0</v>
      </c>
      <c r="L636" s="17">
        <f>IF(D636="","",IFERROR(INDEX(Ingredients!$G$5:$G$304,MATCH(D636,Ingredients!$B$5:$B$304,0)),"Add to Ingredients"))</f>
        <v>0</v>
      </c>
      <c r="M636" s="25">
        <f>IF(D636="","",IFERROR(INDEX(Ingredients!$J$5:$J$304,MATCH(D636,Ingredients!$B$5:$B$304,0)),"Add to Ingredients"))</f>
        <v>0</v>
      </c>
      <c r="N636" s="25">
        <f>IF(OR(J636="",M636="",NOT(ISNUMBER(M636))),"",IF(K636&lt;&gt;L636,"",J636*M636))</f>
        <v>0</v>
      </c>
      <c r="O636" s="25">
        <f>IF(N636="","",IFERROR(N636/INDEX(Recipes!$G$5:$G$204,MATCH(B636,Recipes!$A$5:$A$204,0)),""))</f>
        <v>0</v>
      </c>
      <c r="P636" s="30">
        <f>IF(J636="","",IF(K636="each",J636,J636/100))</f>
        <v>0</v>
      </c>
      <c r="Q636" s="30">
        <f>IFERROR(IF(P636="","",P636*INDEX(Ingredients!$P$5:$P$304,MATCH(D636,Ingredients!$B$5:$B$304,0))),"")</f>
        <v>0</v>
      </c>
      <c r="R636" s="45">
        <f>IFERROR(IF(P636="","",P636*INDEX(Ingredients!$Q$5:$Q$304,MATCH(D636,Ingredients!$B$5:$B$304,0))),"")</f>
        <v>0</v>
      </c>
      <c r="S636" s="45">
        <f>IFERROR(IF(P636="","",P636*INDEX(Ingredients!$R$5:$R$304,MATCH(D636,Ingredients!$B$5:$B$304,0))),"")</f>
        <v>0</v>
      </c>
      <c r="T636" s="45">
        <f>IFERROR(IF(P636="","",P636*INDEX(Ingredients!$S$5:$S$304,MATCH(D636,Ingredients!$B$5:$B$304,0))),"")</f>
        <v>0</v>
      </c>
      <c r="U636" s="45">
        <f>IFERROR(IF(P636="","",P636*INDEX(Ingredients!$T$5:$T$304,MATCH(D636,Ingredients!$B$5:$B$304,0))),"")</f>
        <v>0</v>
      </c>
      <c r="V636" s="17">
        <f>IF(D636="","",IFERROR(INDEX(Ingredients!$W$5:$W$304,MATCH(D636,Ingredients!$B$5:$B$304,0)),"Add to Ingredients"))</f>
        <v>0</v>
      </c>
      <c r="W636" s="17">
        <f>IF(D636="","",IFERROR(INDEX(Ingredients!$C$5:$C$304,MATCH(D636,Ingredients!$B$5:$B$304,0)),"Add to Ingredients"))</f>
        <v>0</v>
      </c>
      <c r="X636" s="45">
        <f>IFERROR(INDEX(Recipes!$AT$5:$AT$204,MATCH(B636,Recipes!$A$5:$A$204,0)),0)</f>
        <v>0</v>
      </c>
      <c r="Y636" s="45">
        <f>IF(OR(J636="",X636=0),"",J636*X636)</f>
        <v>0</v>
      </c>
      <c r="Z636" s="17">
        <f>IF(D636="","",B636&amp;"#"&amp;COUNTIFS($B$5:B636,B636))</f>
        <v>0</v>
      </c>
      <c r="AA636" s="17">
        <f>IF(D636="","",B636&amp;"|"&amp;D636)</f>
        <v>0</v>
      </c>
      <c r="AB636" s="31">
        <f>IF(D636="","",IF(B636="","Add - which recipe?",IF(COUNTIFS(Ingredients!$B$5:$B$304,D636)=0,"Missing - not in the Ingredients tab",IF(E636="","Add - no quantity",IF(F636="","Add - no unit",IF(K636&lt;&gt;L636,"Check - recipe in "&amp;K636&amp;", priced in "&amp;L636,IF(COUNTIFS($AA$5:$AA$1204,AA636)&gt;1,"Duplicate - same ingredient twice","OK")))))))</f>
        <v>0</v>
      </c>
    </row>
    <row r="637" spans="1:28">
      <c r="A637" s="39">
        <f>IF(D637="","","RL-"&amp;TEXT(ROW()-4,"0000"))</f>
        <v>0</v>
      </c>
      <c r="C637" s="17">
        <f>IF(B637="","",IFERROR(INDEX(Recipes!$B$5:$B$204,MATCH(B637,Recipes!$A$5:$A$204,0)),"Not found"))</f>
        <v>0</v>
      </c>
      <c r="J637" s="45">
        <f>IF(E637="","",IFERROR(E637*INDEX(UnitFactors,MATCH(F637,UnitNames,0)),""))</f>
        <v>0</v>
      </c>
      <c r="K637" s="17">
        <f>IF(F637="","",IFERROR(INDEX(UnitBases,MATCH(F637,UnitNames,0)),"?"))</f>
        <v>0</v>
      </c>
      <c r="L637" s="17">
        <f>IF(D637="","",IFERROR(INDEX(Ingredients!$G$5:$G$304,MATCH(D637,Ingredients!$B$5:$B$304,0)),"Add to Ingredients"))</f>
        <v>0</v>
      </c>
      <c r="M637" s="25">
        <f>IF(D637="","",IFERROR(INDEX(Ingredients!$J$5:$J$304,MATCH(D637,Ingredients!$B$5:$B$304,0)),"Add to Ingredients"))</f>
        <v>0</v>
      </c>
      <c r="N637" s="25">
        <f>IF(OR(J637="",M637="",NOT(ISNUMBER(M637))),"",IF(K637&lt;&gt;L637,"",J637*M637))</f>
        <v>0</v>
      </c>
      <c r="O637" s="25">
        <f>IF(N637="","",IFERROR(N637/INDEX(Recipes!$G$5:$G$204,MATCH(B637,Recipes!$A$5:$A$204,0)),""))</f>
        <v>0</v>
      </c>
      <c r="P637" s="30">
        <f>IF(J637="","",IF(K637="each",J637,J637/100))</f>
        <v>0</v>
      </c>
      <c r="Q637" s="30">
        <f>IFERROR(IF(P637="","",P637*INDEX(Ingredients!$P$5:$P$304,MATCH(D637,Ingredients!$B$5:$B$304,0))),"")</f>
        <v>0</v>
      </c>
      <c r="R637" s="45">
        <f>IFERROR(IF(P637="","",P637*INDEX(Ingredients!$Q$5:$Q$304,MATCH(D637,Ingredients!$B$5:$B$304,0))),"")</f>
        <v>0</v>
      </c>
      <c r="S637" s="45">
        <f>IFERROR(IF(P637="","",P637*INDEX(Ingredients!$R$5:$R$304,MATCH(D637,Ingredients!$B$5:$B$304,0))),"")</f>
        <v>0</v>
      </c>
      <c r="T637" s="45">
        <f>IFERROR(IF(P637="","",P637*INDEX(Ingredients!$S$5:$S$304,MATCH(D637,Ingredients!$B$5:$B$304,0))),"")</f>
        <v>0</v>
      </c>
      <c r="U637" s="45">
        <f>IFERROR(IF(P637="","",P637*INDEX(Ingredients!$T$5:$T$304,MATCH(D637,Ingredients!$B$5:$B$304,0))),"")</f>
        <v>0</v>
      </c>
      <c r="V637" s="17">
        <f>IF(D637="","",IFERROR(INDEX(Ingredients!$W$5:$W$304,MATCH(D637,Ingredients!$B$5:$B$304,0)),"Add to Ingredients"))</f>
        <v>0</v>
      </c>
      <c r="W637" s="17">
        <f>IF(D637="","",IFERROR(INDEX(Ingredients!$C$5:$C$304,MATCH(D637,Ingredients!$B$5:$B$304,0)),"Add to Ingredients"))</f>
        <v>0</v>
      </c>
      <c r="X637" s="45">
        <f>IFERROR(INDEX(Recipes!$AT$5:$AT$204,MATCH(B637,Recipes!$A$5:$A$204,0)),0)</f>
        <v>0</v>
      </c>
      <c r="Y637" s="45">
        <f>IF(OR(J637="",X637=0),"",J637*X637)</f>
        <v>0</v>
      </c>
      <c r="Z637" s="17">
        <f>IF(D637="","",B637&amp;"#"&amp;COUNTIFS($B$5:B637,B637))</f>
        <v>0</v>
      </c>
      <c r="AA637" s="17">
        <f>IF(D637="","",B637&amp;"|"&amp;D637)</f>
        <v>0</v>
      </c>
      <c r="AB637" s="31">
        <f>IF(D637="","",IF(B637="","Add - which recipe?",IF(COUNTIFS(Ingredients!$B$5:$B$304,D637)=0,"Missing - not in the Ingredients tab",IF(E637="","Add - no quantity",IF(F637="","Add - no unit",IF(K637&lt;&gt;L637,"Check - recipe in "&amp;K637&amp;", priced in "&amp;L637,IF(COUNTIFS($AA$5:$AA$1204,AA637)&gt;1,"Duplicate - same ingredient twice","OK")))))))</f>
        <v>0</v>
      </c>
    </row>
    <row r="638" spans="1:28">
      <c r="A638" s="39">
        <f>IF(D638="","","RL-"&amp;TEXT(ROW()-4,"0000"))</f>
        <v>0</v>
      </c>
      <c r="C638" s="17">
        <f>IF(B638="","",IFERROR(INDEX(Recipes!$B$5:$B$204,MATCH(B638,Recipes!$A$5:$A$204,0)),"Not found"))</f>
        <v>0</v>
      </c>
      <c r="J638" s="45">
        <f>IF(E638="","",IFERROR(E638*INDEX(UnitFactors,MATCH(F638,UnitNames,0)),""))</f>
        <v>0</v>
      </c>
      <c r="K638" s="17">
        <f>IF(F638="","",IFERROR(INDEX(UnitBases,MATCH(F638,UnitNames,0)),"?"))</f>
        <v>0</v>
      </c>
      <c r="L638" s="17">
        <f>IF(D638="","",IFERROR(INDEX(Ingredients!$G$5:$G$304,MATCH(D638,Ingredients!$B$5:$B$304,0)),"Add to Ingredients"))</f>
        <v>0</v>
      </c>
      <c r="M638" s="25">
        <f>IF(D638="","",IFERROR(INDEX(Ingredients!$J$5:$J$304,MATCH(D638,Ingredients!$B$5:$B$304,0)),"Add to Ingredients"))</f>
        <v>0</v>
      </c>
      <c r="N638" s="25">
        <f>IF(OR(J638="",M638="",NOT(ISNUMBER(M638))),"",IF(K638&lt;&gt;L638,"",J638*M638))</f>
        <v>0</v>
      </c>
      <c r="O638" s="25">
        <f>IF(N638="","",IFERROR(N638/INDEX(Recipes!$G$5:$G$204,MATCH(B638,Recipes!$A$5:$A$204,0)),""))</f>
        <v>0</v>
      </c>
      <c r="P638" s="30">
        <f>IF(J638="","",IF(K638="each",J638,J638/100))</f>
        <v>0</v>
      </c>
      <c r="Q638" s="30">
        <f>IFERROR(IF(P638="","",P638*INDEX(Ingredients!$P$5:$P$304,MATCH(D638,Ingredients!$B$5:$B$304,0))),"")</f>
        <v>0</v>
      </c>
      <c r="R638" s="45">
        <f>IFERROR(IF(P638="","",P638*INDEX(Ingredients!$Q$5:$Q$304,MATCH(D638,Ingredients!$B$5:$B$304,0))),"")</f>
        <v>0</v>
      </c>
      <c r="S638" s="45">
        <f>IFERROR(IF(P638="","",P638*INDEX(Ingredients!$R$5:$R$304,MATCH(D638,Ingredients!$B$5:$B$304,0))),"")</f>
        <v>0</v>
      </c>
      <c r="T638" s="45">
        <f>IFERROR(IF(P638="","",P638*INDEX(Ingredients!$S$5:$S$304,MATCH(D638,Ingredients!$B$5:$B$304,0))),"")</f>
        <v>0</v>
      </c>
      <c r="U638" s="45">
        <f>IFERROR(IF(P638="","",P638*INDEX(Ingredients!$T$5:$T$304,MATCH(D638,Ingredients!$B$5:$B$304,0))),"")</f>
        <v>0</v>
      </c>
      <c r="V638" s="17">
        <f>IF(D638="","",IFERROR(INDEX(Ingredients!$W$5:$W$304,MATCH(D638,Ingredients!$B$5:$B$304,0)),"Add to Ingredients"))</f>
        <v>0</v>
      </c>
      <c r="W638" s="17">
        <f>IF(D638="","",IFERROR(INDEX(Ingredients!$C$5:$C$304,MATCH(D638,Ingredients!$B$5:$B$304,0)),"Add to Ingredients"))</f>
        <v>0</v>
      </c>
      <c r="X638" s="45">
        <f>IFERROR(INDEX(Recipes!$AT$5:$AT$204,MATCH(B638,Recipes!$A$5:$A$204,0)),0)</f>
        <v>0</v>
      </c>
      <c r="Y638" s="45">
        <f>IF(OR(J638="",X638=0),"",J638*X638)</f>
        <v>0</v>
      </c>
      <c r="Z638" s="17">
        <f>IF(D638="","",B638&amp;"#"&amp;COUNTIFS($B$5:B638,B638))</f>
        <v>0</v>
      </c>
      <c r="AA638" s="17">
        <f>IF(D638="","",B638&amp;"|"&amp;D638)</f>
        <v>0</v>
      </c>
      <c r="AB638" s="31">
        <f>IF(D638="","",IF(B638="","Add - which recipe?",IF(COUNTIFS(Ingredients!$B$5:$B$304,D638)=0,"Missing - not in the Ingredients tab",IF(E638="","Add - no quantity",IF(F638="","Add - no unit",IF(K638&lt;&gt;L638,"Check - recipe in "&amp;K638&amp;", priced in "&amp;L638,IF(COUNTIFS($AA$5:$AA$1204,AA638)&gt;1,"Duplicate - same ingredient twice","OK")))))))</f>
        <v>0</v>
      </c>
    </row>
    <row r="639" spans="1:28">
      <c r="A639" s="39">
        <f>IF(D639="","","RL-"&amp;TEXT(ROW()-4,"0000"))</f>
        <v>0</v>
      </c>
      <c r="C639" s="17">
        <f>IF(B639="","",IFERROR(INDEX(Recipes!$B$5:$B$204,MATCH(B639,Recipes!$A$5:$A$204,0)),"Not found"))</f>
        <v>0</v>
      </c>
      <c r="J639" s="45">
        <f>IF(E639="","",IFERROR(E639*INDEX(UnitFactors,MATCH(F639,UnitNames,0)),""))</f>
        <v>0</v>
      </c>
      <c r="K639" s="17">
        <f>IF(F639="","",IFERROR(INDEX(UnitBases,MATCH(F639,UnitNames,0)),"?"))</f>
        <v>0</v>
      </c>
      <c r="L639" s="17">
        <f>IF(D639="","",IFERROR(INDEX(Ingredients!$G$5:$G$304,MATCH(D639,Ingredients!$B$5:$B$304,0)),"Add to Ingredients"))</f>
        <v>0</v>
      </c>
      <c r="M639" s="25">
        <f>IF(D639="","",IFERROR(INDEX(Ingredients!$J$5:$J$304,MATCH(D639,Ingredients!$B$5:$B$304,0)),"Add to Ingredients"))</f>
        <v>0</v>
      </c>
      <c r="N639" s="25">
        <f>IF(OR(J639="",M639="",NOT(ISNUMBER(M639))),"",IF(K639&lt;&gt;L639,"",J639*M639))</f>
        <v>0</v>
      </c>
      <c r="O639" s="25">
        <f>IF(N639="","",IFERROR(N639/INDEX(Recipes!$G$5:$G$204,MATCH(B639,Recipes!$A$5:$A$204,0)),""))</f>
        <v>0</v>
      </c>
      <c r="P639" s="30">
        <f>IF(J639="","",IF(K639="each",J639,J639/100))</f>
        <v>0</v>
      </c>
      <c r="Q639" s="30">
        <f>IFERROR(IF(P639="","",P639*INDEX(Ingredients!$P$5:$P$304,MATCH(D639,Ingredients!$B$5:$B$304,0))),"")</f>
        <v>0</v>
      </c>
      <c r="R639" s="45">
        <f>IFERROR(IF(P639="","",P639*INDEX(Ingredients!$Q$5:$Q$304,MATCH(D639,Ingredients!$B$5:$B$304,0))),"")</f>
        <v>0</v>
      </c>
      <c r="S639" s="45">
        <f>IFERROR(IF(P639="","",P639*INDEX(Ingredients!$R$5:$R$304,MATCH(D639,Ingredients!$B$5:$B$304,0))),"")</f>
        <v>0</v>
      </c>
      <c r="T639" s="45">
        <f>IFERROR(IF(P639="","",P639*INDEX(Ingredients!$S$5:$S$304,MATCH(D639,Ingredients!$B$5:$B$304,0))),"")</f>
        <v>0</v>
      </c>
      <c r="U639" s="45">
        <f>IFERROR(IF(P639="","",P639*INDEX(Ingredients!$T$5:$T$304,MATCH(D639,Ingredients!$B$5:$B$304,0))),"")</f>
        <v>0</v>
      </c>
      <c r="V639" s="17">
        <f>IF(D639="","",IFERROR(INDEX(Ingredients!$W$5:$W$304,MATCH(D639,Ingredients!$B$5:$B$304,0)),"Add to Ingredients"))</f>
        <v>0</v>
      </c>
      <c r="W639" s="17">
        <f>IF(D639="","",IFERROR(INDEX(Ingredients!$C$5:$C$304,MATCH(D639,Ingredients!$B$5:$B$304,0)),"Add to Ingredients"))</f>
        <v>0</v>
      </c>
      <c r="X639" s="45">
        <f>IFERROR(INDEX(Recipes!$AT$5:$AT$204,MATCH(B639,Recipes!$A$5:$A$204,0)),0)</f>
        <v>0</v>
      </c>
      <c r="Y639" s="45">
        <f>IF(OR(J639="",X639=0),"",J639*X639)</f>
        <v>0</v>
      </c>
      <c r="Z639" s="17">
        <f>IF(D639="","",B639&amp;"#"&amp;COUNTIFS($B$5:B639,B639))</f>
        <v>0</v>
      </c>
      <c r="AA639" s="17">
        <f>IF(D639="","",B639&amp;"|"&amp;D639)</f>
        <v>0</v>
      </c>
      <c r="AB639" s="31">
        <f>IF(D639="","",IF(B639="","Add - which recipe?",IF(COUNTIFS(Ingredients!$B$5:$B$304,D639)=0,"Missing - not in the Ingredients tab",IF(E639="","Add - no quantity",IF(F639="","Add - no unit",IF(K639&lt;&gt;L639,"Check - recipe in "&amp;K639&amp;", priced in "&amp;L639,IF(COUNTIFS($AA$5:$AA$1204,AA639)&gt;1,"Duplicate - same ingredient twice","OK")))))))</f>
        <v>0</v>
      </c>
    </row>
    <row r="640" spans="1:28">
      <c r="A640" s="39">
        <f>IF(D640="","","RL-"&amp;TEXT(ROW()-4,"0000"))</f>
        <v>0</v>
      </c>
      <c r="C640" s="17">
        <f>IF(B640="","",IFERROR(INDEX(Recipes!$B$5:$B$204,MATCH(B640,Recipes!$A$5:$A$204,0)),"Not found"))</f>
        <v>0</v>
      </c>
      <c r="J640" s="45">
        <f>IF(E640="","",IFERROR(E640*INDEX(UnitFactors,MATCH(F640,UnitNames,0)),""))</f>
        <v>0</v>
      </c>
      <c r="K640" s="17">
        <f>IF(F640="","",IFERROR(INDEX(UnitBases,MATCH(F640,UnitNames,0)),"?"))</f>
        <v>0</v>
      </c>
      <c r="L640" s="17">
        <f>IF(D640="","",IFERROR(INDEX(Ingredients!$G$5:$G$304,MATCH(D640,Ingredients!$B$5:$B$304,0)),"Add to Ingredients"))</f>
        <v>0</v>
      </c>
      <c r="M640" s="25">
        <f>IF(D640="","",IFERROR(INDEX(Ingredients!$J$5:$J$304,MATCH(D640,Ingredients!$B$5:$B$304,0)),"Add to Ingredients"))</f>
        <v>0</v>
      </c>
      <c r="N640" s="25">
        <f>IF(OR(J640="",M640="",NOT(ISNUMBER(M640))),"",IF(K640&lt;&gt;L640,"",J640*M640))</f>
        <v>0</v>
      </c>
      <c r="O640" s="25">
        <f>IF(N640="","",IFERROR(N640/INDEX(Recipes!$G$5:$G$204,MATCH(B640,Recipes!$A$5:$A$204,0)),""))</f>
        <v>0</v>
      </c>
      <c r="P640" s="30">
        <f>IF(J640="","",IF(K640="each",J640,J640/100))</f>
        <v>0</v>
      </c>
      <c r="Q640" s="30">
        <f>IFERROR(IF(P640="","",P640*INDEX(Ingredients!$P$5:$P$304,MATCH(D640,Ingredients!$B$5:$B$304,0))),"")</f>
        <v>0</v>
      </c>
      <c r="R640" s="45">
        <f>IFERROR(IF(P640="","",P640*INDEX(Ingredients!$Q$5:$Q$304,MATCH(D640,Ingredients!$B$5:$B$304,0))),"")</f>
        <v>0</v>
      </c>
      <c r="S640" s="45">
        <f>IFERROR(IF(P640="","",P640*INDEX(Ingredients!$R$5:$R$304,MATCH(D640,Ingredients!$B$5:$B$304,0))),"")</f>
        <v>0</v>
      </c>
      <c r="T640" s="45">
        <f>IFERROR(IF(P640="","",P640*INDEX(Ingredients!$S$5:$S$304,MATCH(D640,Ingredients!$B$5:$B$304,0))),"")</f>
        <v>0</v>
      </c>
      <c r="U640" s="45">
        <f>IFERROR(IF(P640="","",P640*INDEX(Ingredients!$T$5:$T$304,MATCH(D640,Ingredients!$B$5:$B$304,0))),"")</f>
        <v>0</v>
      </c>
      <c r="V640" s="17">
        <f>IF(D640="","",IFERROR(INDEX(Ingredients!$W$5:$W$304,MATCH(D640,Ingredients!$B$5:$B$304,0)),"Add to Ingredients"))</f>
        <v>0</v>
      </c>
      <c r="W640" s="17">
        <f>IF(D640="","",IFERROR(INDEX(Ingredients!$C$5:$C$304,MATCH(D640,Ingredients!$B$5:$B$304,0)),"Add to Ingredients"))</f>
        <v>0</v>
      </c>
      <c r="X640" s="45">
        <f>IFERROR(INDEX(Recipes!$AT$5:$AT$204,MATCH(B640,Recipes!$A$5:$A$204,0)),0)</f>
        <v>0</v>
      </c>
      <c r="Y640" s="45">
        <f>IF(OR(J640="",X640=0),"",J640*X640)</f>
        <v>0</v>
      </c>
      <c r="Z640" s="17">
        <f>IF(D640="","",B640&amp;"#"&amp;COUNTIFS($B$5:B640,B640))</f>
        <v>0</v>
      </c>
      <c r="AA640" s="17">
        <f>IF(D640="","",B640&amp;"|"&amp;D640)</f>
        <v>0</v>
      </c>
      <c r="AB640" s="31">
        <f>IF(D640="","",IF(B640="","Add - which recipe?",IF(COUNTIFS(Ingredients!$B$5:$B$304,D640)=0,"Missing - not in the Ingredients tab",IF(E640="","Add - no quantity",IF(F640="","Add - no unit",IF(K640&lt;&gt;L640,"Check - recipe in "&amp;K640&amp;", priced in "&amp;L640,IF(COUNTIFS($AA$5:$AA$1204,AA640)&gt;1,"Duplicate - same ingredient twice","OK")))))))</f>
        <v>0</v>
      </c>
    </row>
    <row r="641" spans="1:28">
      <c r="A641" s="39">
        <f>IF(D641="","","RL-"&amp;TEXT(ROW()-4,"0000"))</f>
        <v>0</v>
      </c>
      <c r="C641" s="17">
        <f>IF(B641="","",IFERROR(INDEX(Recipes!$B$5:$B$204,MATCH(B641,Recipes!$A$5:$A$204,0)),"Not found"))</f>
        <v>0</v>
      </c>
      <c r="J641" s="45">
        <f>IF(E641="","",IFERROR(E641*INDEX(UnitFactors,MATCH(F641,UnitNames,0)),""))</f>
        <v>0</v>
      </c>
      <c r="K641" s="17">
        <f>IF(F641="","",IFERROR(INDEX(UnitBases,MATCH(F641,UnitNames,0)),"?"))</f>
        <v>0</v>
      </c>
      <c r="L641" s="17">
        <f>IF(D641="","",IFERROR(INDEX(Ingredients!$G$5:$G$304,MATCH(D641,Ingredients!$B$5:$B$304,0)),"Add to Ingredients"))</f>
        <v>0</v>
      </c>
      <c r="M641" s="25">
        <f>IF(D641="","",IFERROR(INDEX(Ingredients!$J$5:$J$304,MATCH(D641,Ingredients!$B$5:$B$304,0)),"Add to Ingredients"))</f>
        <v>0</v>
      </c>
      <c r="N641" s="25">
        <f>IF(OR(J641="",M641="",NOT(ISNUMBER(M641))),"",IF(K641&lt;&gt;L641,"",J641*M641))</f>
        <v>0</v>
      </c>
      <c r="O641" s="25">
        <f>IF(N641="","",IFERROR(N641/INDEX(Recipes!$G$5:$G$204,MATCH(B641,Recipes!$A$5:$A$204,0)),""))</f>
        <v>0</v>
      </c>
      <c r="P641" s="30">
        <f>IF(J641="","",IF(K641="each",J641,J641/100))</f>
        <v>0</v>
      </c>
      <c r="Q641" s="30">
        <f>IFERROR(IF(P641="","",P641*INDEX(Ingredients!$P$5:$P$304,MATCH(D641,Ingredients!$B$5:$B$304,0))),"")</f>
        <v>0</v>
      </c>
      <c r="R641" s="45">
        <f>IFERROR(IF(P641="","",P641*INDEX(Ingredients!$Q$5:$Q$304,MATCH(D641,Ingredients!$B$5:$B$304,0))),"")</f>
        <v>0</v>
      </c>
      <c r="S641" s="45">
        <f>IFERROR(IF(P641="","",P641*INDEX(Ingredients!$R$5:$R$304,MATCH(D641,Ingredients!$B$5:$B$304,0))),"")</f>
        <v>0</v>
      </c>
      <c r="T641" s="45">
        <f>IFERROR(IF(P641="","",P641*INDEX(Ingredients!$S$5:$S$304,MATCH(D641,Ingredients!$B$5:$B$304,0))),"")</f>
        <v>0</v>
      </c>
      <c r="U641" s="45">
        <f>IFERROR(IF(P641="","",P641*INDEX(Ingredients!$T$5:$T$304,MATCH(D641,Ingredients!$B$5:$B$304,0))),"")</f>
        <v>0</v>
      </c>
      <c r="V641" s="17">
        <f>IF(D641="","",IFERROR(INDEX(Ingredients!$W$5:$W$304,MATCH(D641,Ingredients!$B$5:$B$304,0)),"Add to Ingredients"))</f>
        <v>0</v>
      </c>
      <c r="W641" s="17">
        <f>IF(D641="","",IFERROR(INDEX(Ingredients!$C$5:$C$304,MATCH(D641,Ingredients!$B$5:$B$304,0)),"Add to Ingredients"))</f>
        <v>0</v>
      </c>
      <c r="X641" s="45">
        <f>IFERROR(INDEX(Recipes!$AT$5:$AT$204,MATCH(B641,Recipes!$A$5:$A$204,0)),0)</f>
        <v>0</v>
      </c>
      <c r="Y641" s="45">
        <f>IF(OR(J641="",X641=0),"",J641*X641)</f>
        <v>0</v>
      </c>
      <c r="Z641" s="17">
        <f>IF(D641="","",B641&amp;"#"&amp;COUNTIFS($B$5:B641,B641))</f>
        <v>0</v>
      </c>
      <c r="AA641" s="17">
        <f>IF(D641="","",B641&amp;"|"&amp;D641)</f>
        <v>0</v>
      </c>
      <c r="AB641" s="31">
        <f>IF(D641="","",IF(B641="","Add - which recipe?",IF(COUNTIFS(Ingredients!$B$5:$B$304,D641)=0,"Missing - not in the Ingredients tab",IF(E641="","Add - no quantity",IF(F641="","Add - no unit",IF(K641&lt;&gt;L641,"Check - recipe in "&amp;K641&amp;", priced in "&amp;L641,IF(COUNTIFS($AA$5:$AA$1204,AA641)&gt;1,"Duplicate - same ingredient twice","OK")))))))</f>
        <v>0</v>
      </c>
    </row>
    <row r="642" spans="1:28">
      <c r="A642" s="39">
        <f>IF(D642="","","RL-"&amp;TEXT(ROW()-4,"0000"))</f>
        <v>0</v>
      </c>
      <c r="C642" s="17">
        <f>IF(B642="","",IFERROR(INDEX(Recipes!$B$5:$B$204,MATCH(B642,Recipes!$A$5:$A$204,0)),"Not found"))</f>
        <v>0</v>
      </c>
      <c r="J642" s="45">
        <f>IF(E642="","",IFERROR(E642*INDEX(UnitFactors,MATCH(F642,UnitNames,0)),""))</f>
        <v>0</v>
      </c>
      <c r="K642" s="17">
        <f>IF(F642="","",IFERROR(INDEX(UnitBases,MATCH(F642,UnitNames,0)),"?"))</f>
        <v>0</v>
      </c>
      <c r="L642" s="17">
        <f>IF(D642="","",IFERROR(INDEX(Ingredients!$G$5:$G$304,MATCH(D642,Ingredients!$B$5:$B$304,0)),"Add to Ingredients"))</f>
        <v>0</v>
      </c>
      <c r="M642" s="25">
        <f>IF(D642="","",IFERROR(INDEX(Ingredients!$J$5:$J$304,MATCH(D642,Ingredients!$B$5:$B$304,0)),"Add to Ingredients"))</f>
        <v>0</v>
      </c>
      <c r="N642" s="25">
        <f>IF(OR(J642="",M642="",NOT(ISNUMBER(M642))),"",IF(K642&lt;&gt;L642,"",J642*M642))</f>
        <v>0</v>
      </c>
      <c r="O642" s="25">
        <f>IF(N642="","",IFERROR(N642/INDEX(Recipes!$G$5:$G$204,MATCH(B642,Recipes!$A$5:$A$204,0)),""))</f>
        <v>0</v>
      </c>
      <c r="P642" s="30">
        <f>IF(J642="","",IF(K642="each",J642,J642/100))</f>
        <v>0</v>
      </c>
      <c r="Q642" s="30">
        <f>IFERROR(IF(P642="","",P642*INDEX(Ingredients!$P$5:$P$304,MATCH(D642,Ingredients!$B$5:$B$304,0))),"")</f>
        <v>0</v>
      </c>
      <c r="R642" s="45">
        <f>IFERROR(IF(P642="","",P642*INDEX(Ingredients!$Q$5:$Q$304,MATCH(D642,Ingredients!$B$5:$B$304,0))),"")</f>
        <v>0</v>
      </c>
      <c r="S642" s="45">
        <f>IFERROR(IF(P642="","",P642*INDEX(Ingredients!$R$5:$R$304,MATCH(D642,Ingredients!$B$5:$B$304,0))),"")</f>
        <v>0</v>
      </c>
      <c r="T642" s="45">
        <f>IFERROR(IF(P642="","",P642*INDEX(Ingredients!$S$5:$S$304,MATCH(D642,Ingredients!$B$5:$B$304,0))),"")</f>
        <v>0</v>
      </c>
      <c r="U642" s="45">
        <f>IFERROR(IF(P642="","",P642*INDEX(Ingredients!$T$5:$T$304,MATCH(D642,Ingredients!$B$5:$B$304,0))),"")</f>
        <v>0</v>
      </c>
      <c r="V642" s="17">
        <f>IF(D642="","",IFERROR(INDEX(Ingredients!$W$5:$W$304,MATCH(D642,Ingredients!$B$5:$B$304,0)),"Add to Ingredients"))</f>
        <v>0</v>
      </c>
      <c r="W642" s="17">
        <f>IF(D642="","",IFERROR(INDEX(Ingredients!$C$5:$C$304,MATCH(D642,Ingredients!$B$5:$B$304,0)),"Add to Ingredients"))</f>
        <v>0</v>
      </c>
      <c r="X642" s="45">
        <f>IFERROR(INDEX(Recipes!$AT$5:$AT$204,MATCH(B642,Recipes!$A$5:$A$204,0)),0)</f>
        <v>0</v>
      </c>
      <c r="Y642" s="45">
        <f>IF(OR(J642="",X642=0),"",J642*X642)</f>
        <v>0</v>
      </c>
      <c r="Z642" s="17">
        <f>IF(D642="","",B642&amp;"#"&amp;COUNTIFS($B$5:B642,B642))</f>
        <v>0</v>
      </c>
      <c r="AA642" s="17">
        <f>IF(D642="","",B642&amp;"|"&amp;D642)</f>
        <v>0</v>
      </c>
      <c r="AB642" s="31">
        <f>IF(D642="","",IF(B642="","Add - which recipe?",IF(COUNTIFS(Ingredients!$B$5:$B$304,D642)=0,"Missing - not in the Ingredients tab",IF(E642="","Add - no quantity",IF(F642="","Add - no unit",IF(K642&lt;&gt;L642,"Check - recipe in "&amp;K642&amp;", priced in "&amp;L642,IF(COUNTIFS($AA$5:$AA$1204,AA642)&gt;1,"Duplicate - same ingredient twice","OK")))))))</f>
        <v>0</v>
      </c>
    </row>
    <row r="643" spans="1:28">
      <c r="A643" s="39">
        <f>IF(D643="","","RL-"&amp;TEXT(ROW()-4,"0000"))</f>
        <v>0</v>
      </c>
      <c r="C643" s="17">
        <f>IF(B643="","",IFERROR(INDEX(Recipes!$B$5:$B$204,MATCH(B643,Recipes!$A$5:$A$204,0)),"Not found"))</f>
        <v>0</v>
      </c>
      <c r="J643" s="45">
        <f>IF(E643="","",IFERROR(E643*INDEX(UnitFactors,MATCH(F643,UnitNames,0)),""))</f>
        <v>0</v>
      </c>
      <c r="K643" s="17">
        <f>IF(F643="","",IFERROR(INDEX(UnitBases,MATCH(F643,UnitNames,0)),"?"))</f>
        <v>0</v>
      </c>
      <c r="L643" s="17">
        <f>IF(D643="","",IFERROR(INDEX(Ingredients!$G$5:$G$304,MATCH(D643,Ingredients!$B$5:$B$304,0)),"Add to Ingredients"))</f>
        <v>0</v>
      </c>
      <c r="M643" s="25">
        <f>IF(D643="","",IFERROR(INDEX(Ingredients!$J$5:$J$304,MATCH(D643,Ingredients!$B$5:$B$304,0)),"Add to Ingredients"))</f>
        <v>0</v>
      </c>
      <c r="N643" s="25">
        <f>IF(OR(J643="",M643="",NOT(ISNUMBER(M643))),"",IF(K643&lt;&gt;L643,"",J643*M643))</f>
        <v>0</v>
      </c>
      <c r="O643" s="25">
        <f>IF(N643="","",IFERROR(N643/INDEX(Recipes!$G$5:$G$204,MATCH(B643,Recipes!$A$5:$A$204,0)),""))</f>
        <v>0</v>
      </c>
      <c r="P643" s="30">
        <f>IF(J643="","",IF(K643="each",J643,J643/100))</f>
        <v>0</v>
      </c>
      <c r="Q643" s="30">
        <f>IFERROR(IF(P643="","",P643*INDEX(Ingredients!$P$5:$P$304,MATCH(D643,Ingredients!$B$5:$B$304,0))),"")</f>
        <v>0</v>
      </c>
      <c r="R643" s="45">
        <f>IFERROR(IF(P643="","",P643*INDEX(Ingredients!$Q$5:$Q$304,MATCH(D643,Ingredients!$B$5:$B$304,0))),"")</f>
        <v>0</v>
      </c>
      <c r="S643" s="45">
        <f>IFERROR(IF(P643="","",P643*INDEX(Ingredients!$R$5:$R$304,MATCH(D643,Ingredients!$B$5:$B$304,0))),"")</f>
        <v>0</v>
      </c>
      <c r="T643" s="45">
        <f>IFERROR(IF(P643="","",P643*INDEX(Ingredients!$S$5:$S$304,MATCH(D643,Ingredients!$B$5:$B$304,0))),"")</f>
        <v>0</v>
      </c>
      <c r="U643" s="45">
        <f>IFERROR(IF(P643="","",P643*INDEX(Ingredients!$T$5:$T$304,MATCH(D643,Ingredients!$B$5:$B$304,0))),"")</f>
        <v>0</v>
      </c>
      <c r="V643" s="17">
        <f>IF(D643="","",IFERROR(INDEX(Ingredients!$W$5:$W$304,MATCH(D643,Ingredients!$B$5:$B$304,0)),"Add to Ingredients"))</f>
        <v>0</v>
      </c>
      <c r="W643" s="17">
        <f>IF(D643="","",IFERROR(INDEX(Ingredients!$C$5:$C$304,MATCH(D643,Ingredients!$B$5:$B$304,0)),"Add to Ingredients"))</f>
        <v>0</v>
      </c>
      <c r="X643" s="45">
        <f>IFERROR(INDEX(Recipes!$AT$5:$AT$204,MATCH(B643,Recipes!$A$5:$A$204,0)),0)</f>
        <v>0</v>
      </c>
      <c r="Y643" s="45">
        <f>IF(OR(J643="",X643=0),"",J643*X643)</f>
        <v>0</v>
      </c>
      <c r="Z643" s="17">
        <f>IF(D643="","",B643&amp;"#"&amp;COUNTIFS($B$5:B643,B643))</f>
        <v>0</v>
      </c>
      <c r="AA643" s="17">
        <f>IF(D643="","",B643&amp;"|"&amp;D643)</f>
        <v>0</v>
      </c>
      <c r="AB643" s="31">
        <f>IF(D643="","",IF(B643="","Add - which recipe?",IF(COUNTIFS(Ingredients!$B$5:$B$304,D643)=0,"Missing - not in the Ingredients tab",IF(E643="","Add - no quantity",IF(F643="","Add - no unit",IF(K643&lt;&gt;L643,"Check - recipe in "&amp;K643&amp;", priced in "&amp;L643,IF(COUNTIFS($AA$5:$AA$1204,AA643)&gt;1,"Duplicate - same ingredient twice","OK")))))))</f>
        <v>0</v>
      </c>
    </row>
    <row r="644" spans="1:28">
      <c r="A644" s="39">
        <f>IF(D644="","","RL-"&amp;TEXT(ROW()-4,"0000"))</f>
        <v>0</v>
      </c>
      <c r="C644" s="17">
        <f>IF(B644="","",IFERROR(INDEX(Recipes!$B$5:$B$204,MATCH(B644,Recipes!$A$5:$A$204,0)),"Not found"))</f>
        <v>0</v>
      </c>
      <c r="J644" s="45">
        <f>IF(E644="","",IFERROR(E644*INDEX(UnitFactors,MATCH(F644,UnitNames,0)),""))</f>
        <v>0</v>
      </c>
      <c r="K644" s="17">
        <f>IF(F644="","",IFERROR(INDEX(UnitBases,MATCH(F644,UnitNames,0)),"?"))</f>
        <v>0</v>
      </c>
      <c r="L644" s="17">
        <f>IF(D644="","",IFERROR(INDEX(Ingredients!$G$5:$G$304,MATCH(D644,Ingredients!$B$5:$B$304,0)),"Add to Ingredients"))</f>
        <v>0</v>
      </c>
      <c r="M644" s="25">
        <f>IF(D644="","",IFERROR(INDEX(Ingredients!$J$5:$J$304,MATCH(D644,Ingredients!$B$5:$B$304,0)),"Add to Ingredients"))</f>
        <v>0</v>
      </c>
      <c r="N644" s="25">
        <f>IF(OR(J644="",M644="",NOT(ISNUMBER(M644))),"",IF(K644&lt;&gt;L644,"",J644*M644))</f>
        <v>0</v>
      </c>
      <c r="O644" s="25">
        <f>IF(N644="","",IFERROR(N644/INDEX(Recipes!$G$5:$G$204,MATCH(B644,Recipes!$A$5:$A$204,0)),""))</f>
        <v>0</v>
      </c>
      <c r="P644" s="30">
        <f>IF(J644="","",IF(K644="each",J644,J644/100))</f>
        <v>0</v>
      </c>
      <c r="Q644" s="30">
        <f>IFERROR(IF(P644="","",P644*INDEX(Ingredients!$P$5:$P$304,MATCH(D644,Ingredients!$B$5:$B$304,0))),"")</f>
        <v>0</v>
      </c>
      <c r="R644" s="45">
        <f>IFERROR(IF(P644="","",P644*INDEX(Ingredients!$Q$5:$Q$304,MATCH(D644,Ingredients!$B$5:$B$304,0))),"")</f>
        <v>0</v>
      </c>
      <c r="S644" s="45">
        <f>IFERROR(IF(P644="","",P644*INDEX(Ingredients!$R$5:$R$304,MATCH(D644,Ingredients!$B$5:$B$304,0))),"")</f>
        <v>0</v>
      </c>
      <c r="T644" s="45">
        <f>IFERROR(IF(P644="","",P644*INDEX(Ingredients!$S$5:$S$304,MATCH(D644,Ingredients!$B$5:$B$304,0))),"")</f>
        <v>0</v>
      </c>
      <c r="U644" s="45">
        <f>IFERROR(IF(P644="","",P644*INDEX(Ingredients!$T$5:$T$304,MATCH(D644,Ingredients!$B$5:$B$304,0))),"")</f>
        <v>0</v>
      </c>
      <c r="V644" s="17">
        <f>IF(D644="","",IFERROR(INDEX(Ingredients!$W$5:$W$304,MATCH(D644,Ingredients!$B$5:$B$304,0)),"Add to Ingredients"))</f>
        <v>0</v>
      </c>
      <c r="W644" s="17">
        <f>IF(D644="","",IFERROR(INDEX(Ingredients!$C$5:$C$304,MATCH(D644,Ingredients!$B$5:$B$304,0)),"Add to Ingredients"))</f>
        <v>0</v>
      </c>
      <c r="X644" s="45">
        <f>IFERROR(INDEX(Recipes!$AT$5:$AT$204,MATCH(B644,Recipes!$A$5:$A$204,0)),0)</f>
        <v>0</v>
      </c>
      <c r="Y644" s="45">
        <f>IF(OR(J644="",X644=0),"",J644*X644)</f>
        <v>0</v>
      </c>
      <c r="Z644" s="17">
        <f>IF(D644="","",B644&amp;"#"&amp;COUNTIFS($B$5:B644,B644))</f>
        <v>0</v>
      </c>
      <c r="AA644" s="17">
        <f>IF(D644="","",B644&amp;"|"&amp;D644)</f>
        <v>0</v>
      </c>
      <c r="AB644" s="31">
        <f>IF(D644="","",IF(B644="","Add - which recipe?",IF(COUNTIFS(Ingredients!$B$5:$B$304,D644)=0,"Missing - not in the Ingredients tab",IF(E644="","Add - no quantity",IF(F644="","Add - no unit",IF(K644&lt;&gt;L644,"Check - recipe in "&amp;K644&amp;", priced in "&amp;L644,IF(COUNTIFS($AA$5:$AA$1204,AA644)&gt;1,"Duplicate - same ingredient twice","OK")))))))</f>
        <v>0</v>
      </c>
    </row>
    <row r="645" spans="1:28">
      <c r="A645" s="39">
        <f>IF(D645="","","RL-"&amp;TEXT(ROW()-4,"0000"))</f>
        <v>0</v>
      </c>
      <c r="C645" s="17">
        <f>IF(B645="","",IFERROR(INDEX(Recipes!$B$5:$B$204,MATCH(B645,Recipes!$A$5:$A$204,0)),"Not found"))</f>
        <v>0</v>
      </c>
      <c r="J645" s="45">
        <f>IF(E645="","",IFERROR(E645*INDEX(UnitFactors,MATCH(F645,UnitNames,0)),""))</f>
        <v>0</v>
      </c>
      <c r="K645" s="17">
        <f>IF(F645="","",IFERROR(INDEX(UnitBases,MATCH(F645,UnitNames,0)),"?"))</f>
        <v>0</v>
      </c>
      <c r="L645" s="17">
        <f>IF(D645="","",IFERROR(INDEX(Ingredients!$G$5:$G$304,MATCH(D645,Ingredients!$B$5:$B$304,0)),"Add to Ingredients"))</f>
        <v>0</v>
      </c>
      <c r="M645" s="25">
        <f>IF(D645="","",IFERROR(INDEX(Ingredients!$J$5:$J$304,MATCH(D645,Ingredients!$B$5:$B$304,0)),"Add to Ingredients"))</f>
        <v>0</v>
      </c>
      <c r="N645" s="25">
        <f>IF(OR(J645="",M645="",NOT(ISNUMBER(M645))),"",IF(K645&lt;&gt;L645,"",J645*M645))</f>
        <v>0</v>
      </c>
      <c r="O645" s="25">
        <f>IF(N645="","",IFERROR(N645/INDEX(Recipes!$G$5:$G$204,MATCH(B645,Recipes!$A$5:$A$204,0)),""))</f>
        <v>0</v>
      </c>
      <c r="P645" s="30">
        <f>IF(J645="","",IF(K645="each",J645,J645/100))</f>
        <v>0</v>
      </c>
      <c r="Q645" s="30">
        <f>IFERROR(IF(P645="","",P645*INDEX(Ingredients!$P$5:$P$304,MATCH(D645,Ingredients!$B$5:$B$304,0))),"")</f>
        <v>0</v>
      </c>
      <c r="R645" s="45">
        <f>IFERROR(IF(P645="","",P645*INDEX(Ingredients!$Q$5:$Q$304,MATCH(D645,Ingredients!$B$5:$B$304,0))),"")</f>
        <v>0</v>
      </c>
      <c r="S645" s="45">
        <f>IFERROR(IF(P645="","",P645*INDEX(Ingredients!$R$5:$R$304,MATCH(D645,Ingredients!$B$5:$B$304,0))),"")</f>
        <v>0</v>
      </c>
      <c r="T645" s="45">
        <f>IFERROR(IF(P645="","",P645*INDEX(Ingredients!$S$5:$S$304,MATCH(D645,Ingredients!$B$5:$B$304,0))),"")</f>
        <v>0</v>
      </c>
      <c r="U645" s="45">
        <f>IFERROR(IF(P645="","",P645*INDEX(Ingredients!$T$5:$T$304,MATCH(D645,Ingredients!$B$5:$B$304,0))),"")</f>
        <v>0</v>
      </c>
      <c r="V645" s="17">
        <f>IF(D645="","",IFERROR(INDEX(Ingredients!$W$5:$W$304,MATCH(D645,Ingredients!$B$5:$B$304,0)),"Add to Ingredients"))</f>
        <v>0</v>
      </c>
      <c r="W645" s="17">
        <f>IF(D645="","",IFERROR(INDEX(Ingredients!$C$5:$C$304,MATCH(D645,Ingredients!$B$5:$B$304,0)),"Add to Ingredients"))</f>
        <v>0</v>
      </c>
      <c r="X645" s="45">
        <f>IFERROR(INDEX(Recipes!$AT$5:$AT$204,MATCH(B645,Recipes!$A$5:$A$204,0)),0)</f>
        <v>0</v>
      </c>
      <c r="Y645" s="45">
        <f>IF(OR(J645="",X645=0),"",J645*X645)</f>
        <v>0</v>
      </c>
      <c r="Z645" s="17">
        <f>IF(D645="","",B645&amp;"#"&amp;COUNTIFS($B$5:B645,B645))</f>
        <v>0</v>
      </c>
      <c r="AA645" s="17">
        <f>IF(D645="","",B645&amp;"|"&amp;D645)</f>
        <v>0</v>
      </c>
      <c r="AB645" s="31">
        <f>IF(D645="","",IF(B645="","Add - which recipe?",IF(COUNTIFS(Ingredients!$B$5:$B$304,D645)=0,"Missing - not in the Ingredients tab",IF(E645="","Add - no quantity",IF(F645="","Add - no unit",IF(K645&lt;&gt;L645,"Check - recipe in "&amp;K645&amp;", priced in "&amp;L645,IF(COUNTIFS($AA$5:$AA$1204,AA645)&gt;1,"Duplicate - same ingredient twice","OK")))))))</f>
        <v>0</v>
      </c>
    </row>
    <row r="646" spans="1:28">
      <c r="A646" s="39">
        <f>IF(D646="","","RL-"&amp;TEXT(ROW()-4,"0000"))</f>
        <v>0</v>
      </c>
      <c r="C646" s="17">
        <f>IF(B646="","",IFERROR(INDEX(Recipes!$B$5:$B$204,MATCH(B646,Recipes!$A$5:$A$204,0)),"Not found"))</f>
        <v>0</v>
      </c>
      <c r="J646" s="45">
        <f>IF(E646="","",IFERROR(E646*INDEX(UnitFactors,MATCH(F646,UnitNames,0)),""))</f>
        <v>0</v>
      </c>
      <c r="K646" s="17">
        <f>IF(F646="","",IFERROR(INDEX(UnitBases,MATCH(F646,UnitNames,0)),"?"))</f>
        <v>0</v>
      </c>
      <c r="L646" s="17">
        <f>IF(D646="","",IFERROR(INDEX(Ingredients!$G$5:$G$304,MATCH(D646,Ingredients!$B$5:$B$304,0)),"Add to Ingredients"))</f>
        <v>0</v>
      </c>
      <c r="M646" s="25">
        <f>IF(D646="","",IFERROR(INDEX(Ingredients!$J$5:$J$304,MATCH(D646,Ingredients!$B$5:$B$304,0)),"Add to Ingredients"))</f>
        <v>0</v>
      </c>
      <c r="N646" s="25">
        <f>IF(OR(J646="",M646="",NOT(ISNUMBER(M646))),"",IF(K646&lt;&gt;L646,"",J646*M646))</f>
        <v>0</v>
      </c>
      <c r="O646" s="25">
        <f>IF(N646="","",IFERROR(N646/INDEX(Recipes!$G$5:$G$204,MATCH(B646,Recipes!$A$5:$A$204,0)),""))</f>
        <v>0</v>
      </c>
      <c r="P646" s="30">
        <f>IF(J646="","",IF(K646="each",J646,J646/100))</f>
        <v>0</v>
      </c>
      <c r="Q646" s="30">
        <f>IFERROR(IF(P646="","",P646*INDEX(Ingredients!$P$5:$P$304,MATCH(D646,Ingredients!$B$5:$B$304,0))),"")</f>
        <v>0</v>
      </c>
      <c r="R646" s="45">
        <f>IFERROR(IF(P646="","",P646*INDEX(Ingredients!$Q$5:$Q$304,MATCH(D646,Ingredients!$B$5:$B$304,0))),"")</f>
        <v>0</v>
      </c>
      <c r="S646" s="45">
        <f>IFERROR(IF(P646="","",P646*INDEX(Ingredients!$R$5:$R$304,MATCH(D646,Ingredients!$B$5:$B$304,0))),"")</f>
        <v>0</v>
      </c>
      <c r="T646" s="45">
        <f>IFERROR(IF(P646="","",P646*INDEX(Ingredients!$S$5:$S$304,MATCH(D646,Ingredients!$B$5:$B$304,0))),"")</f>
        <v>0</v>
      </c>
      <c r="U646" s="45">
        <f>IFERROR(IF(P646="","",P646*INDEX(Ingredients!$T$5:$T$304,MATCH(D646,Ingredients!$B$5:$B$304,0))),"")</f>
        <v>0</v>
      </c>
      <c r="V646" s="17">
        <f>IF(D646="","",IFERROR(INDEX(Ingredients!$W$5:$W$304,MATCH(D646,Ingredients!$B$5:$B$304,0)),"Add to Ingredients"))</f>
        <v>0</v>
      </c>
      <c r="W646" s="17">
        <f>IF(D646="","",IFERROR(INDEX(Ingredients!$C$5:$C$304,MATCH(D646,Ingredients!$B$5:$B$304,0)),"Add to Ingredients"))</f>
        <v>0</v>
      </c>
      <c r="X646" s="45">
        <f>IFERROR(INDEX(Recipes!$AT$5:$AT$204,MATCH(B646,Recipes!$A$5:$A$204,0)),0)</f>
        <v>0</v>
      </c>
      <c r="Y646" s="45">
        <f>IF(OR(J646="",X646=0),"",J646*X646)</f>
        <v>0</v>
      </c>
      <c r="Z646" s="17">
        <f>IF(D646="","",B646&amp;"#"&amp;COUNTIFS($B$5:B646,B646))</f>
        <v>0</v>
      </c>
      <c r="AA646" s="17">
        <f>IF(D646="","",B646&amp;"|"&amp;D646)</f>
        <v>0</v>
      </c>
      <c r="AB646" s="31">
        <f>IF(D646="","",IF(B646="","Add - which recipe?",IF(COUNTIFS(Ingredients!$B$5:$B$304,D646)=0,"Missing - not in the Ingredients tab",IF(E646="","Add - no quantity",IF(F646="","Add - no unit",IF(K646&lt;&gt;L646,"Check - recipe in "&amp;K646&amp;", priced in "&amp;L646,IF(COUNTIFS($AA$5:$AA$1204,AA646)&gt;1,"Duplicate - same ingredient twice","OK")))))))</f>
        <v>0</v>
      </c>
    </row>
    <row r="647" spans="1:28">
      <c r="A647" s="39">
        <f>IF(D647="","","RL-"&amp;TEXT(ROW()-4,"0000"))</f>
        <v>0</v>
      </c>
      <c r="C647" s="17">
        <f>IF(B647="","",IFERROR(INDEX(Recipes!$B$5:$B$204,MATCH(B647,Recipes!$A$5:$A$204,0)),"Not found"))</f>
        <v>0</v>
      </c>
      <c r="J647" s="45">
        <f>IF(E647="","",IFERROR(E647*INDEX(UnitFactors,MATCH(F647,UnitNames,0)),""))</f>
        <v>0</v>
      </c>
      <c r="K647" s="17">
        <f>IF(F647="","",IFERROR(INDEX(UnitBases,MATCH(F647,UnitNames,0)),"?"))</f>
        <v>0</v>
      </c>
      <c r="L647" s="17">
        <f>IF(D647="","",IFERROR(INDEX(Ingredients!$G$5:$G$304,MATCH(D647,Ingredients!$B$5:$B$304,0)),"Add to Ingredients"))</f>
        <v>0</v>
      </c>
      <c r="M647" s="25">
        <f>IF(D647="","",IFERROR(INDEX(Ingredients!$J$5:$J$304,MATCH(D647,Ingredients!$B$5:$B$304,0)),"Add to Ingredients"))</f>
        <v>0</v>
      </c>
      <c r="N647" s="25">
        <f>IF(OR(J647="",M647="",NOT(ISNUMBER(M647))),"",IF(K647&lt;&gt;L647,"",J647*M647))</f>
        <v>0</v>
      </c>
      <c r="O647" s="25">
        <f>IF(N647="","",IFERROR(N647/INDEX(Recipes!$G$5:$G$204,MATCH(B647,Recipes!$A$5:$A$204,0)),""))</f>
        <v>0</v>
      </c>
      <c r="P647" s="30">
        <f>IF(J647="","",IF(K647="each",J647,J647/100))</f>
        <v>0</v>
      </c>
      <c r="Q647" s="30">
        <f>IFERROR(IF(P647="","",P647*INDEX(Ingredients!$P$5:$P$304,MATCH(D647,Ingredients!$B$5:$B$304,0))),"")</f>
        <v>0</v>
      </c>
      <c r="R647" s="45">
        <f>IFERROR(IF(P647="","",P647*INDEX(Ingredients!$Q$5:$Q$304,MATCH(D647,Ingredients!$B$5:$B$304,0))),"")</f>
        <v>0</v>
      </c>
      <c r="S647" s="45">
        <f>IFERROR(IF(P647="","",P647*INDEX(Ingredients!$R$5:$R$304,MATCH(D647,Ingredients!$B$5:$B$304,0))),"")</f>
        <v>0</v>
      </c>
      <c r="T647" s="45">
        <f>IFERROR(IF(P647="","",P647*INDEX(Ingredients!$S$5:$S$304,MATCH(D647,Ingredients!$B$5:$B$304,0))),"")</f>
        <v>0</v>
      </c>
      <c r="U647" s="45">
        <f>IFERROR(IF(P647="","",P647*INDEX(Ingredients!$T$5:$T$304,MATCH(D647,Ingredients!$B$5:$B$304,0))),"")</f>
        <v>0</v>
      </c>
      <c r="V647" s="17">
        <f>IF(D647="","",IFERROR(INDEX(Ingredients!$W$5:$W$304,MATCH(D647,Ingredients!$B$5:$B$304,0)),"Add to Ingredients"))</f>
        <v>0</v>
      </c>
      <c r="W647" s="17">
        <f>IF(D647="","",IFERROR(INDEX(Ingredients!$C$5:$C$304,MATCH(D647,Ingredients!$B$5:$B$304,0)),"Add to Ingredients"))</f>
        <v>0</v>
      </c>
      <c r="X647" s="45">
        <f>IFERROR(INDEX(Recipes!$AT$5:$AT$204,MATCH(B647,Recipes!$A$5:$A$204,0)),0)</f>
        <v>0</v>
      </c>
      <c r="Y647" s="45">
        <f>IF(OR(J647="",X647=0),"",J647*X647)</f>
        <v>0</v>
      </c>
      <c r="Z647" s="17">
        <f>IF(D647="","",B647&amp;"#"&amp;COUNTIFS($B$5:B647,B647))</f>
        <v>0</v>
      </c>
      <c r="AA647" s="17">
        <f>IF(D647="","",B647&amp;"|"&amp;D647)</f>
        <v>0</v>
      </c>
      <c r="AB647" s="31">
        <f>IF(D647="","",IF(B647="","Add - which recipe?",IF(COUNTIFS(Ingredients!$B$5:$B$304,D647)=0,"Missing - not in the Ingredients tab",IF(E647="","Add - no quantity",IF(F647="","Add - no unit",IF(K647&lt;&gt;L647,"Check - recipe in "&amp;K647&amp;", priced in "&amp;L647,IF(COUNTIFS($AA$5:$AA$1204,AA647)&gt;1,"Duplicate - same ingredient twice","OK")))))))</f>
        <v>0</v>
      </c>
    </row>
    <row r="648" spans="1:28">
      <c r="A648" s="39">
        <f>IF(D648="","","RL-"&amp;TEXT(ROW()-4,"0000"))</f>
        <v>0</v>
      </c>
      <c r="C648" s="17">
        <f>IF(B648="","",IFERROR(INDEX(Recipes!$B$5:$B$204,MATCH(B648,Recipes!$A$5:$A$204,0)),"Not found"))</f>
        <v>0</v>
      </c>
      <c r="J648" s="45">
        <f>IF(E648="","",IFERROR(E648*INDEX(UnitFactors,MATCH(F648,UnitNames,0)),""))</f>
        <v>0</v>
      </c>
      <c r="K648" s="17">
        <f>IF(F648="","",IFERROR(INDEX(UnitBases,MATCH(F648,UnitNames,0)),"?"))</f>
        <v>0</v>
      </c>
      <c r="L648" s="17">
        <f>IF(D648="","",IFERROR(INDEX(Ingredients!$G$5:$G$304,MATCH(D648,Ingredients!$B$5:$B$304,0)),"Add to Ingredients"))</f>
        <v>0</v>
      </c>
      <c r="M648" s="25">
        <f>IF(D648="","",IFERROR(INDEX(Ingredients!$J$5:$J$304,MATCH(D648,Ingredients!$B$5:$B$304,0)),"Add to Ingredients"))</f>
        <v>0</v>
      </c>
      <c r="N648" s="25">
        <f>IF(OR(J648="",M648="",NOT(ISNUMBER(M648))),"",IF(K648&lt;&gt;L648,"",J648*M648))</f>
        <v>0</v>
      </c>
      <c r="O648" s="25">
        <f>IF(N648="","",IFERROR(N648/INDEX(Recipes!$G$5:$G$204,MATCH(B648,Recipes!$A$5:$A$204,0)),""))</f>
        <v>0</v>
      </c>
      <c r="P648" s="30">
        <f>IF(J648="","",IF(K648="each",J648,J648/100))</f>
        <v>0</v>
      </c>
      <c r="Q648" s="30">
        <f>IFERROR(IF(P648="","",P648*INDEX(Ingredients!$P$5:$P$304,MATCH(D648,Ingredients!$B$5:$B$304,0))),"")</f>
        <v>0</v>
      </c>
      <c r="R648" s="45">
        <f>IFERROR(IF(P648="","",P648*INDEX(Ingredients!$Q$5:$Q$304,MATCH(D648,Ingredients!$B$5:$B$304,0))),"")</f>
        <v>0</v>
      </c>
      <c r="S648" s="45">
        <f>IFERROR(IF(P648="","",P648*INDEX(Ingredients!$R$5:$R$304,MATCH(D648,Ingredients!$B$5:$B$304,0))),"")</f>
        <v>0</v>
      </c>
      <c r="T648" s="45">
        <f>IFERROR(IF(P648="","",P648*INDEX(Ingredients!$S$5:$S$304,MATCH(D648,Ingredients!$B$5:$B$304,0))),"")</f>
        <v>0</v>
      </c>
      <c r="U648" s="45">
        <f>IFERROR(IF(P648="","",P648*INDEX(Ingredients!$T$5:$T$304,MATCH(D648,Ingredients!$B$5:$B$304,0))),"")</f>
        <v>0</v>
      </c>
      <c r="V648" s="17">
        <f>IF(D648="","",IFERROR(INDEX(Ingredients!$W$5:$W$304,MATCH(D648,Ingredients!$B$5:$B$304,0)),"Add to Ingredients"))</f>
        <v>0</v>
      </c>
      <c r="W648" s="17">
        <f>IF(D648="","",IFERROR(INDEX(Ingredients!$C$5:$C$304,MATCH(D648,Ingredients!$B$5:$B$304,0)),"Add to Ingredients"))</f>
        <v>0</v>
      </c>
      <c r="X648" s="45">
        <f>IFERROR(INDEX(Recipes!$AT$5:$AT$204,MATCH(B648,Recipes!$A$5:$A$204,0)),0)</f>
        <v>0</v>
      </c>
      <c r="Y648" s="45">
        <f>IF(OR(J648="",X648=0),"",J648*X648)</f>
        <v>0</v>
      </c>
      <c r="Z648" s="17">
        <f>IF(D648="","",B648&amp;"#"&amp;COUNTIFS($B$5:B648,B648))</f>
        <v>0</v>
      </c>
      <c r="AA648" s="17">
        <f>IF(D648="","",B648&amp;"|"&amp;D648)</f>
        <v>0</v>
      </c>
      <c r="AB648" s="31">
        <f>IF(D648="","",IF(B648="","Add - which recipe?",IF(COUNTIFS(Ingredients!$B$5:$B$304,D648)=0,"Missing - not in the Ingredients tab",IF(E648="","Add - no quantity",IF(F648="","Add - no unit",IF(K648&lt;&gt;L648,"Check - recipe in "&amp;K648&amp;", priced in "&amp;L648,IF(COUNTIFS($AA$5:$AA$1204,AA648)&gt;1,"Duplicate - same ingredient twice","OK")))))))</f>
        <v>0</v>
      </c>
    </row>
    <row r="649" spans="1:28">
      <c r="A649" s="39">
        <f>IF(D649="","","RL-"&amp;TEXT(ROW()-4,"0000"))</f>
        <v>0</v>
      </c>
      <c r="C649" s="17">
        <f>IF(B649="","",IFERROR(INDEX(Recipes!$B$5:$B$204,MATCH(B649,Recipes!$A$5:$A$204,0)),"Not found"))</f>
        <v>0</v>
      </c>
      <c r="J649" s="45">
        <f>IF(E649="","",IFERROR(E649*INDEX(UnitFactors,MATCH(F649,UnitNames,0)),""))</f>
        <v>0</v>
      </c>
      <c r="K649" s="17">
        <f>IF(F649="","",IFERROR(INDEX(UnitBases,MATCH(F649,UnitNames,0)),"?"))</f>
        <v>0</v>
      </c>
      <c r="L649" s="17">
        <f>IF(D649="","",IFERROR(INDEX(Ingredients!$G$5:$G$304,MATCH(D649,Ingredients!$B$5:$B$304,0)),"Add to Ingredients"))</f>
        <v>0</v>
      </c>
      <c r="M649" s="25">
        <f>IF(D649="","",IFERROR(INDEX(Ingredients!$J$5:$J$304,MATCH(D649,Ingredients!$B$5:$B$304,0)),"Add to Ingredients"))</f>
        <v>0</v>
      </c>
      <c r="N649" s="25">
        <f>IF(OR(J649="",M649="",NOT(ISNUMBER(M649))),"",IF(K649&lt;&gt;L649,"",J649*M649))</f>
        <v>0</v>
      </c>
      <c r="O649" s="25">
        <f>IF(N649="","",IFERROR(N649/INDEX(Recipes!$G$5:$G$204,MATCH(B649,Recipes!$A$5:$A$204,0)),""))</f>
        <v>0</v>
      </c>
      <c r="P649" s="30">
        <f>IF(J649="","",IF(K649="each",J649,J649/100))</f>
        <v>0</v>
      </c>
      <c r="Q649" s="30">
        <f>IFERROR(IF(P649="","",P649*INDEX(Ingredients!$P$5:$P$304,MATCH(D649,Ingredients!$B$5:$B$304,0))),"")</f>
        <v>0</v>
      </c>
      <c r="R649" s="45">
        <f>IFERROR(IF(P649="","",P649*INDEX(Ingredients!$Q$5:$Q$304,MATCH(D649,Ingredients!$B$5:$B$304,0))),"")</f>
        <v>0</v>
      </c>
      <c r="S649" s="45">
        <f>IFERROR(IF(P649="","",P649*INDEX(Ingredients!$R$5:$R$304,MATCH(D649,Ingredients!$B$5:$B$304,0))),"")</f>
        <v>0</v>
      </c>
      <c r="T649" s="45">
        <f>IFERROR(IF(P649="","",P649*INDEX(Ingredients!$S$5:$S$304,MATCH(D649,Ingredients!$B$5:$B$304,0))),"")</f>
        <v>0</v>
      </c>
      <c r="U649" s="45">
        <f>IFERROR(IF(P649="","",P649*INDEX(Ingredients!$T$5:$T$304,MATCH(D649,Ingredients!$B$5:$B$304,0))),"")</f>
        <v>0</v>
      </c>
      <c r="V649" s="17">
        <f>IF(D649="","",IFERROR(INDEX(Ingredients!$W$5:$W$304,MATCH(D649,Ingredients!$B$5:$B$304,0)),"Add to Ingredients"))</f>
        <v>0</v>
      </c>
      <c r="W649" s="17">
        <f>IF(D649="","",IFERROR(INDEX(Ingredients!$C$5:$C$304,MATCH(D649,Ingredients!$B$5:$B$304,0)),"Add to Ingredients"))</f>
        <v>0</v>
      </c>
      <c r="X649" s="45">
        <f>IFERROR(INDEX(Recipes!$AT$5:$AT$204,MATCH(B649,Recipes!$A$5:$A$204,0)),0)</f>
        <v>0</v>
      </c>
      <c r="Y649" s="45">
        <f>IF(OR(J649="",X649=0),"",J649*X649)</f>
        <v>0</v>
      </c>
      <c r="Z649" s="17">
        <f>IF(D649="","",B649&amp;"#"&amp;COUNTIFS($B$5:B649,B649))</f>
        <v>0</v>
      </c>
      <c r="AA649" s="17">
        <f>IF(D649="","",B649&amp;"|"&amp;D649)</f>
        <v>0</v>
      </c>
      <c r="AB649" s="31">
        <f>IF(D649="","",IF(B649="","Add - which recipe?",IF(COUNTIFS(Ingredients!$B$5:$B$304,D649)=0,"Missing - not in the Ingredients tab",IF(E649="","Add - no quantity",IF(F649="","Add - no unit",IF(K649&lt;&gt;L649,"Check - recipe in "&amp;K649&amp;", priced in "&amp;L649,IF(COUNTIFS($AA$5:$AA$1204,AA649)&gt;1,"Duplicate - same ingredient twice","OK")))))))</f>
        <v>0</v>
      </c>
    </row>
    <row r="650" spans="1:28">
      <c r="A650" s="39">
        <f>IF(D650="","","RL-"&amp;TEXT(ROW()-4,"0000"))</f>
        <v>0</v>
      </c>
      <c r="C650" s="17">
        <f>IF(B650="","",IFERROR(INDEX(Recipes!$B$5:$B$204,MATCH(B650,Recipes!$A$5:$A$204,0)),"Not found"))</f>
        <v>0</v>
      </c>
      <c r="J650" s="45">
        <f>IF(E650="","",IFERROR(E650*INDEX(UnitFactors,MATCH(F650,UnitNames,0)),""))</f>
        <v>0</v>
      </c>
      <c r="K650" s="17">
        <f>IF(F650="","",IFERROR(INDEX(UnitBases,MATCH(F650,UnitNames,0)),"?"))</f>
        <v>0</v>
      </c>
      <c r="L650" s="17">
        <f>IF(D650="","",IFERROR(INDEX(Ingredients!$G$5:$G$304,MATCH(D650,Ingredients!$B$5:$B$304,0)),"Add to Ingredients"))</f>
        <v>0</v>
      </c>
      <c r="M650" s="25">
        <f>IF(D650="","",IFERROR(INDEX(Ingredients!$J$5:$J$304,MATCH(D650,Ingredients!$B$5:$B$304,0)),"Add to Ingredients"))</f>
        <v>0</v>
      </c>
      <c r="N650" s="25">
        <f>IF(OR(J650="",M650="",NOT(ISNUMBER(M650))),"",IF(K650&lt;&gt;L650,"",J650*M650))</f>
        <v>0</v>
      </c>
      <c r="O650" s="25">
        <f>IF(N650="","",IFERROR(N650/INDEX(Recipes!$G$5:$G$204,MATCH(B650,Recipes!$A$5:$A$204,0)),""))</f>
        <v>0</v>
      </c>
      <c r="P650" s="30">
        <f>IF(J650="","",IF(K650="each",J650,J650/100))</f>
        <v>0</v>
      </c>
      <c r="Q650" s="30">
        <f>IFERROR(IF(P650="","",P650*INDEX(Ingredients!$P$5:$P$304,MATCH(D650,Ingredients!$B$5:$B$304,0))),"")</f>
        <v>0</v>
      </c>
      <c r="R650" s="45">
        <f>IFERROR(IF(P650="","",P650*INDEX(Ingredients!$Q$5:$Q$304,MATCH(D650,Ingredients!$B$5:$B$304,0))),"")</f>
        <v>0</v>
      </c>
      <c r="S650" s="45">
        <f>IFERROR(IF(P650="","",P650*INDEX(Ingredients!$R$5:$R$304,MATCH(D650,Ingredients!$B$5:$B$304,0))),"")</f>
        <v>0</v>
      </c>
      <c r="T650" s="45">
        <f>IFERROR(IF(P650="","",P650*INDEX(Ingredients!$S$5:$S$304,MATCH(D650,Ingredients!$B$5:$B$304,0))),"")</f>
        <v>0</v>
      </c>
      <c r="U650" s="45">
        <f>IFERROR(IF(P650="","",P650*INDEX(Ingredients!$T$5:$T$304,MATCH(D650,Ingredients!$B$5:$B$304,0))),"")</f>
        <v>0</v>
      </c>
      <c r="V650" s="17">
        <f>IF(D650="","",IFERROR(INDEX(Ingredients!$W$5:$W$304,MATCH(D650,Ingredients!$B$5:$B$304,0)),"Add to Ingredients"))</f>
        <v>0</v>
      </c>
      <c r="W650" s="17">
        <f>IF(D650="","",IFERROR(INDEX(Ingredients!$C$5:$C$304,MATCH(D650,Ingredients!$B$5:$B$304,0)),"Add to Ingredients"))</f>
        <v>0</v>
      </c>
      <c r="X650" s="45">
        <f>IFERROR(INDEX(Recipes!$AT$5:$AT$204,MATCH(B650,Recipes!$A$5:$A$204,0)),0)</f>
        <v>0</v>
      </c>
      <c r="Y650" s="45">
        <f>IF(OR(J650="",X650=0),"",J650*X650)</f>
        <v>0</v>
      </c>
      <c r="Z650" s="17">
        <f>IF(D650="","",B650&amp;"#"&amp;COUNTIFS($B$5:B650,B650))</f>
        <v>0</v>
      </c>
      <c r="AA650" s="17">
        <f>IF(D650="","",B650&amp;"|"&amp;D650)</f>
        <v>0</v>
      </c>
      <c r="AB650" s="31">
        <f>IF(D650="","",IF(B650="","Add - which recipe?",IF(COUNTIFS(Ingredients!$B$5:$B$304,D650)=0,"Missing - not in the Ingredients tab",IF(E650="","Add - no quantity",IF(F650="","Add - no unit",IF(K650&lt;&gt;L650,"Check - recipe in "&amp;K650&amp;", priced in "&amp;L650,IF(COUNTIFS($AA$5:$AA$1204,AA650)&gt;1,"Duplicate - same ingredient twice","OK")))))))</f>
        <v>0</v>
      </c>
    </row>
    <row r="651" spans="1:28">
      <c r="A651" s="39">
        <f>IF(D651="","","RL-"&amp;TEXT(ROW()-4,"0000"))</f>
        <v>0</v>
      </c>
      <c r="C651" s="17">
        <f>IF(B651="","",IFERROR(INDEX(Recipes!$B$5:$B$204,MATCH(B651,Recipes!$A$5:$A$204,0)),"Not found"))</f>
        <v>0</v>
      </c>
      <c r="J651" s="45">
        <f>IF(E651="","",IFERROR(E651*INDEX(UnitFactors,MATCH(F651,UnitNames,0)),""))</f>
        <v>0</v>
      </c>
      <c r="K651" s="17">
        <f>IF(F651="","",IFERROR(INDEX(UnitBases,MATCH(F651,UnitNames,0)),"?"))</f>
        <v>0</v>
      </c>
      <c r="L651" s="17">
        <f>IF(D651="","",IFERROR(INDEX(Ingredients!$G$5:$G$304,MATCH(D651,Ingredients!$B$5:$B$304,0)),"Add to Ingredients"))</f>
        <v>0</v>
      </c>
      <c r="M651" s="25">
        <f>IF(D651="","",IFERROR(INDEX(Ingredients!$J$5:$J$304,MATCH(D651,Ingredients!$B$5:$B$304,0)),"Add to Ingredients"))</f>
        <v>0</v>
      </c>
      <c r="N651" s="25">
        <f>IF(OR(J651="",M651="",NOT(ISNUMBER(M651))),"",IF(K651&lt;&gt;L651,"",J651*M651))</f>
        <v>0</v>
      </c>
      <c r="O651" s="25">
        <f>IF(N651="","",IFERROR(N651/INDEX(Recipes!$G$5:$G$204,MATCH(B651,Recipes!$A$5:$A$204,0)),""))</f>
        <v>0</v>
      </c>
      <c r="P651" s="30">
        <f>IF(J651="","",IF(K651="each",J651,J651/100))</f>
        <v>0</v>
      </c>
      <c r="Q651" s="30">
        <f>IFERROR(IF(P651="","",P651*INDEX(Ingredients!$P$5:$P$304,MATCH(D651,Ingredients!$B$5:$B$304,0))),"")</f>
        <v>0</v>
      </c>
      <c r="R651" s="45">
        <f>IFERROR(IF(P651="","",P651*INDEX(Ingredients!$Q$5:$Q$304,MATCH(D651,Ingredients!$B$5:$B$304,0))),"")</f>
        <v>0</v>
      </c>
      <c r="S651" s="45">
        <f>IFERROR(IF(P651="","",P651*INDEX(Ingredients!$R$5:$R$304,MATCH(D651,Ingredients!$B$5:$B$304,0))),"")</f>
        <v>0</v>
      </c>
      <c r="T651" s="45">
        <f>IFERROR(IF(P651="","",P651*INDEX(Ingredients!$S$5:$S$304,MATCH(D651,Ingredients!$B$5:$B$304,0))),"")</f>
        <v>0</v>
      </c>
      <c r="U651" s="45">
        <f>IFERROR(IF(P651="","",P651*INDEX(Ingredients!$T$5:$T$304,MATCH(D651,Ingredients!$B$5:$B$304,0))),"")</f>
        <v>0</v>
      </c>
      <c r="V651" s="17">
        <f>IF(D651="","",IFERROR(INDEX(Ingredients!$W$5:$W$304,MATCH(D651,Ingredients!$B$5:$B$304,0)),"Add to Ingredients"))</f>
        <v>0</v>
      </c>
      <c r="W651" s="17">
        <f>IF(D651="","",IFERROR(INDEX(Ingredients!$C$5:$C$304,MATCH(D651,Ingredients!$B$5:$B$304,0)),"Add to Ingredients"))</f>
        <v>0</v>
      </c>
      <c r="X651" s="45">
        <f>IFERROR(INDEX(Recipes!$AT$5:$AT$204,MATCH(B651,Recipes!$A$5:$A$204,0)),0)</f>
        <v>0</v>
      </c>
      <c r="Y651" s="45">
        <f>IF(OR(J651="",X651=0),"",J651*X651)</f>
        <v>0</v>
      </c>
      <c r="Z651" s="17">
        <f>IF(D651="","",B651&amp;"#"&amp;COUNTIFS($B$5:B651,B651))</f>
        <v>0</v>
      </c>
      <c r="AA651" s="17">
        <f>IF(D651="","",B651&amp;"|"&amp;D651)</f>
        <v>0</v>
      </c>
      <c r="AB651" s="31">
        <f>IF(D651="","",IF(B651="","Add - which recipe?",IF(COUNTIFS(Ingredients!$B$5:$B$304,D651)=0,"Missing - not in the Ingredients tab",IF(E651="","Add - no quantity",IF(F651="","Add - no unit",IF(K651&lt;&gt;L651,"Check - recipe in "&amp;K651&amp;", priced in "&amp;L651,IF(COUNTIFS($AA$5:$AA$1204,AA651)&gt;1,"Duplicate - same ingredient twice","OK")))))))</f>
        <v>0</v>
      </c>
    </row>
    <row r="652" spans="1:28">
      <c r="A652" s="39">
        <f>IF(D652="","","RL-"&amp;TEXT(ROW()-4,"0000"))</f>
        <v>0</v>
      </c>
      <c r="C652" s="17">
        <f>IF(B652="","",IFERROR(INDEX(Recipes!$B$5:$B$204,MATCH(B652,Recipes!$A$5:$A$204,0)),"Not found"))</f>
        <v>0</v>
      </c>
      <c r="J652" s="45">
        <f>IF(E652="","",IFERROR(E652*INDEX(UnitFactors,MATCH(F652,UnitNames,0)),""))</f>
        <v>0</v>
      </c>
      <c r="K652" s="17">
        <f>IF(F652="","",IFERROR(INDEX(UnitBases,MATCH(F652,UnitNames,0)),"?"))</f>
        <v>0</v>
      </c>
      <c r="L652" s="17">
        <f>IF(D652="","",IFERROR(INDEX(Ingredients!$G$5:$G$304,MATCH(D652,Ingredients!$B$5:$B$304,0)),"Add to Ingredients"))</f>
        <v>0</v>
      </c>
      <c r="M652" s="25">
        <f>IF(D652="","",IFERROR(INDEX(Ingredients!$J$5:$J$304,MATCH(D652,Ingredients!$B$5:$B$304,0)),"Add to Ingredients"))</f>
        <v>0</v>
      </c>
      <c r="N652" s="25">
        <f>IF(OR(J652="",M652="",NOT(ISNUMBER(M652))),"",IF(K652&lt;&gt;L652,"",J652*M652))</f>
        <v>0</v>
      </c>
      <c r="O652" s="25">
        <f>IF(N652="","",IFERROR(N652/INDEX(Recipes!$G$5:$G$204,MATCH(B652,Recipes!$A$5:$A$204,0)),""))</f>
        <v>0</v>
      </c>
      <c r="P652" s="30">
        <f>IF(J652="","",IF(K652="each",J652,J652/100))</f>
        <v>0</v>
      </c>
      <c r="Q652" s="30">
        <f>IFERROR(IF(P652="","",P652*INDEX(Ingredients!$P$5:$P$304,MATCH(D652,Ingredients!$B$5:$B$304,0))),"")</f>
        <v>0</v>
      </c>
      <c r="R652" s="45">
        <f>IFERROR(IF(P652="","",P652*INDEX(Ingredients!$Q$5:$Q$304,MATCH(D652,Ingredients!$B$5:$B$304,0))),"")</f>
        <v>0</v>
      </c>
      <c r="S652" s="45">
        <f>IFERROR(IF(P652="","",P652*INDEX(Ingredients!$R$5:$R$304,MATCH(D652,Ingredients!$B$5:$B$304,0))),"")</f>
        <v>0</v>
      </c>
      <c r="T652" s="45">
        <f>IFERROR(IF(P652="","",P652*INDEX(Ingredients!$S$5:$S$304,MATCH(D652,Ingredients!$B$5:$B$304,0))),"")</f>
        <v>0</v>
      </c>
      <c r="U652" s="45">
        <f>IFERROR(IF(P652="","",P652*INDEX(Ingredients!$T$5:$T$304,MATCH(D652,Ingredients!$B$5:$B$304,0))),"")</f>
        <v>0</v>
      </c>
      <c r="V652" s="17">
        <f>IF(D652="","",IFERROR(INDEX(Ingredients!$W$5:$W$304,MATCH(D652,Ingredients!$B$5:$B$304,0)),"Add to Ingredients"))</f>
        <v>0</v>
      </c>
      <c r="W652" s="17">
        <f>IF(D652="","",IFERROR(INDEX(Ingredients!$C$5:$C$304,MATCH(D652,Ingredients!$B$5:$B$304,0)),"Add to Ingredients"))</f>
        <v>0</v>
      </c>
      <c r="X652" s="45">
        <f>IFERROR(INDEX(Recipes!$AT$5:$AT$204,MATCH(B652,Recipes!$A$5:$A$204,0)),0)</f>
        <v>0</v>
      </c>
      <c r="Y652" s="45">
        <f>IF(OR(J652="",X652=0),"",J652*X652)</f>
        <v>0</v>
      </c>
      <c r="Z652" s="17">
        <f>IF(D652="","",B652&amp;"#"&amp;COUNTIFS($B$5:B652,B652))</f>
        <v>0</v>
      </c>
      <c r="AA652" s="17">
        <f>IF(D652="","",B652&amp;"|"&amp;D652)</f>
        <v>0</v>
      </c>
      <c r="AB652" s="31">
        <f>IF(D652="","",IF(B652="","Add - which recipe?",IF(COUNTIFS(Ingredients!$B$5:$B$304,D652)=0,"Missing - not in the Ingredients tab",IF(E652="","Add - no quantity",IF(F652="","Add - no unit",IF(K652&lt;&gt;L652,"Check - recipe in "&amp;K652&amp;", priced in "&amp;L652,IF(COUNTIFS($AA$5:$AA$1204,AA652)&gt;1,"Duplicate - same ingredient twice","OK")))))))</f>
        <v>0</v>
      </c>
    </row>
    <row r="653" spans="1:28">
      <c r="A653" s="39">
        <f>IF(D653="","","RL-"&amp;TEXT(ROW()-4,"0000"))</f>
        <v>0</v>
      </c>
      <c r="C653" s="17">
        <f>IF(B653="","",IFERROR(INDEX(Recipes!$B$5:$B$204,MATCH(B653,Recipes!$A$5:$A$204,0)),"Not found"))</f>
        <v>0</v>
      </c>
      <c r="J653" s="45">
        <f>IF(E653="","",IFERROR(E653*INDEX(UnitFactors,MATCH(F653,UnitNames,0)),""))</f>
        <v>0</v>
      </c>
      <c r="K653" s="17">
        <f>IF(F653="","",IFERROR(INDEX(UnitBases,MATCH(F653,UnitNames,0)),"?"))</f>
        <v>0</v>
      </c>
      <c r="L653" s="17">
        <f>IF(D653="","",IFERROR(INDEX(Ingredients!$G$5:$G$304,MATCH(D653,Ingredients!$B$5:$B$304,0)),"Add to Ingredients"))</f>
        <v>0</v>
      </c>
      <c r="M653" s="25">
        <f>IF(D653="","",IFERROR(INDEX(Ingredients!$J$5:$J$304,MATCH(D653,Ingredients!$B$5:$B$304,0)),"Add to Ingredients"))</f>
        <v>0</v>
      </c>
      <c r="N653" s="25">
        <f>IF(OR(J653="",M653="",NOT(ISNUMBER(M653))),"",IF(K653&lt;&gt;L653,"",J653*M653))</f>
        <v>0</v>
      </c>
      <c r="O653" s="25">
        <f>IF(N653="","",IFERROR(N653/INDEX(Recipes!$G$5:$G$204,MATCH(B653,Recipes!$A$5:$A$204,0)),""))</f>
        <v>0</v>
      </c>
      <c r="P653" s="30">
        <f>IF(J653="","",IF(K653="each",J653,J653/100))</f>
        <v>0</v>
      </c>
      <c r="Q653" s="30">
        <f>IFERROR(IF(P653="","",P653*INDEX(Ingredients!$P$5:$P$304,MATCH(D653,Ingredients!$B$5:$B$304,0))),"")</f>
        <v>0</v>
      </c>
      <c r="R653" s="45">
        <f>IFERROR(IF(P653="","",P653*INDEX(Ingredients!$Q$5:$Q$304,MATCH(D653,Ingredients!$B$5:$B$304,0))),"")</f>
        <v>0</v>
      </c>
      <c r="S653" s="45">
        <f>IFERROR(IF(P653="","",P653*INDEX(Ingredients!$R$5:$R$304,MATCH(D653,Ingredients!$B$5:$B$304,0))),"")</f>
        <v>0</v>
      </c>
      <c r="T653" s="45">
        <f>IFERROR(IF(P653="","",P653*INDEX(Ingredients!$S$5:$S$304,MATCH(D653,Ingredients!$B$5:$B$304,0))),"")</f>
        <v>0</v>
      </c>
      <c r="U653" s="45">
        <f>IFERROR(IF(P653="","",P653*INDEX(Ingredients!$T$5:$T$304,MATCH(D653,Ingredients!$B$5:$B$304,0))),"")</f>
        <v>0</v>
      </c>
      <c r="V653" s="17">
        <f>IF(D653="","",IFERROR(INDEX(Ingredients!$W$5:$W$304,MATCH(D653,Ingredients!$B$5:$B$304,0)),"Add to Ingredients"))</f>
        <v>0</v>
      </c>
      <c r="W653" s="17">
        <f>IF(D653="","",IFERROR(INDEX(Ingredients!$C$5:$C$304,MATCH(D653,Ingredients!$B$5:$B$304,0)),"Add to Ingredients"))</f>
        <v>0</v>
      </c>
      <c r="X653" s="45">
        <f>IFERROR(INDEX(Recipes!$AT$5:$AT$204,MATCH(B653,Recipes!$A$5:$A$204,0)),0)</f>
        <v>0</v>
      </c>
      <c r="Y653" s="45">
        <f>IF(OR(J653="",X653=0),"",J653*X653)</f>
        <v>0</v>
      </c>
      <c r="Z653" s="17">
        <f>IF(D653="","",B653&amp;"#"&amp;COUNTIFS($B$5:B653,B653))</f>
        <v>0</v>
      </c>
      <c r="AA653" s="17">
        <f>IF(D653="","",B653&amp;"|"&amp;D653)</f>
        <v>0</v>
      </c>
      <c r="AB653" s="31">
        <f>IF(D653="","",IF(B653="","Add - which recipe?",IF(COUNTIFS(Ingredients!$B$5:$B$304,D653)=0,"Missing - not in the Ingredients tab",IF(E653="","Add - no quantity",IF(F653="","Add - no unit",IF(K653&lt;&gt;L653,"Check - recipe in "&amp;K653&amp;", priced in "&amp;L653,IF(COUNTIFS($AA$5:$AA$1204,AA653)&gt;1,"Duplicate - same ingredient twice","OK")))))))</f>
        <v>0</v>
      </c>
    </row>
    <row r="654" spans="1:28">
      <c r="A654" s="39">
        <f>IF(D654="","","RL-"&amp;TEXT(ROW()-4,"0000"))</f>
        <v>0</v>
      </c>
      <c r="C654" s="17">
        <f>IF(B654="","",IFERROR(INDEX(Recipes!$B$5:$B$204,MATCH(B654,Recipes!$A$5:$A$204,0)),"Not found"))</f>
        <v>0</v>
      </c>
      <c r="J654" s="45">
        <f>IF(E654="","",IFERROR(E654*INDEX(UnitFactors,MATCH(F654,UnitNames,0)),""))</f>
        <v>0</v>
      </c>
      <c r="K654" s="17">
        <f>IF(F654="","",IFERROR(INDEX(UnitBases,MATCH(F654,UnitNames,0)),"?"))</f>
        <v>0</v>
      </c>
      <c r="L654" s="17">
        <f>IF(D654="","",IFERROR(INDEX(Ingredients!$G$5:$G$304,MATCH(D654,Ingredients!$B$5:$B$304,0)),"Add to Ingredients"))</f>
        <v>0</v>
      </c>
      <c r="M654" s="25">
        <f>IF(D654="","",IFERROR(INDEX(Ingredients!$J$5:$J$304,MATCH(D654,Ingredients!$B$5:$B$304,0)),"Add to Ingredients"))</f>
        <v>0</v>
      </c>
      <c r="N654" s="25">
        <f>IF(OR(J654="",M654="",NOT(ISNUMBER(M654))),"",IF(K654&lt;&gt;L654,"",J654*M654))</f>
        <v>0</v>
      </c>
      <c r="O654" s="25">
        <f>IF(N654="","",IFERROR(N654/INDEX(Recipes!$G$5:$G$204,MATCH(B654,Recipes!$A$5:$A$204,0)),""))</f>
        <v>0</v>
      </c>
      <c r="P654" s="30">
        <f>IF(J654="","",IF(K654="each",J654,J654/100))</f>
        <v>0</v>
      </c>
      <c r="Q654" s="30">
        <f>IFERROR(IF(P654="","",P654*INDEX(Ingredients!$P$5:$P$304,MATCH(D654,Ingredients!$B$5:$B$304,0))),"")</f>
        <v>0</v>
      </c>
      <c r="R654" s="45">
        <f>IFERROR(IF(P654="","",P654*INDEX(Ingredients!$Q$5:$Q$304,MATCH(D654,Ingredients!$B$5:$B$304,0))),"")</f>
        <v>0</v>
      </c>
      <c r="S654" s="45">
        <f>IFERROR(IF(P654="","",P654*INDEX(Ingredients!$R$5:$R$304,MATCH(D654,Ingredients!$B$5:$B$304,0))),"")</f>
        <v>0</v>
      </c>
      <c r="T654" s="45">
        <f>IFERROR(IF(P654="","",P654*INDEX(Ingredients!$S$5:$S$304,MATCH(D654,Ingredients!$B$5:$B$304,0))),"")</f>
        <v>0</v>
      </c>
      <c r="U654" s="45">
        <f>IFERROR(IF(P654="","",P654*INDEX(Ingredients!$T$5:$T$304,MATCH(D654,Ingredients!$B$5:$B$304,0))),"")</f>
        <v>0</v>
      </c>
      <c r="V654" s="17">
        <f>IF(D654="","",IFERROR(INDEX(Ingredients!$W$5:$W$304,MATCH(D654,Ingredients!$B$5:$B$304,0)),"Add to Ingredients"))</f>
        <v>0</v>
      </c>
      <c r="W654" s="17">
        <f>IF(D654="","",IFERROR(INDEX(Ingredients!$C$5:$C$304,MATCH(D654,Ingredients!$B$5:$B$304,0)),"Add to Ingredients"))</f>
        <v>0</v>
      </c>
      <c r="X654" s="45">
        <f>IFERROR(INDEX(Recipes!$AT$5:$AT$204,MATCH(B654,Recipes!$A$5:$A$204,0)),0)</f>
        <v>0</v>
      </c>
      <c r="Y654" s="45">
        <f>IF(OR(J654="",X654=0),"",J654*X654)</f>
        <v>0</v>
      </c>
      <c r="Z654" s="17">
        <f>IF(D654="","",B654&amp;"#"&amp;COUNTIFS($B$5:B654,B654))</f>
        <v>0</v>
      </c>
      <c r="AA654" s="17">
        <f>IF(D654="","",B654&amp;"|"&amp;D654)</f>
        <v>0</v>
      </c>
      <c r="AB654" s="31">
        <f>IF(D654="","",IF(B654="","Add - which recipe?",IF(COUNTIFS(Ingredients!$B$5:$B$304,D654)=0,"Missing - not in the Ingredients tab",IF(E654="","Add - no quantity",IF(F654="","Add - no unit",IF(K654&lt;&gt;L654,"Check - recipe in "&amp;K654&amp;", priced in "&amp;L654,IF(COUNTIFS($AA$5:$AA$1204,AA654)&gt;1,"Duplicate - same ingredient twice","OK")))))))</f>
        <v>0</v>
      </c>
    </row>
    <row r="655" spans="1:28">
      <c r="A655" s="39">
        <f>IF(D655="","","RL-"&amp;TEXT(ROW()-4,"0000"))</f>
        <v>0</v>
      </c>
      <c r="C655" s="17">
        <f>IF(B655="","",IFERROR(INDEX(Recipes!$B$5:$B$204,MATCH(B655,Recipes!$A$5:$A$204,0)),"Not found"))</f>
        <v>0</v>
      </c>
      <c r="J655" s="45">
        <f>IF(E655="","",IFERROR(E655*INDEX(UnitFactors,MATCH(F655,UnitNames,0)),""))</f>
        <v>0</v>
      </c>
      <c r="K655" s="17">
        <f>IF(F655="","",IFERROR(INDEX(UnitBases,MATCH(F655,UnitNames,0)),"?"))</f>
        <v>0</v>
      </c>
      <c r="L655" s="17">
        <f>IF(D655="","",IFERROR(INDEX(Ingredients!$G$5:$G$304,MATCH(D655,Ingredients!$B$5:$B$304,0)),"Add to Ingredients"))</f>
        <v>0</v>
      </c>
      <c r="M655" s="25">
        <f>IF(D655="","",IFERROR(INDEX(Ingredients!$J$5:$J$304,MATCH(D655,Ingredients!$B$5:$B$304,0)),"Add to Ingredients"))</f>
        <v>0</v>
      </c>
      <c r="N655" s="25">
        <f>IF(OR(J655="",M655="",NOT(ISNUMBER(M655))),"",IF(K655&lt;&gt;L655,"",J655*M655))</f>
        <v>0</v>
      </c>
      <c r="O655" s="25">
        <f>IF(N655="","",IFERROR(N655/INDEX(Recipes!$G$5:$G$204,MATCH(B655,Recipes!$A$5:$A$204,0)),""))</f>
        <v>0</v>
      </c>
      <c r="P655" s="30">
        <f>IF(J655="","",IF(K655="each",J655,J655/100))</f>
        <v>0</v>
      </c>
      <c r="Q655" s="30">
        <f>IFERROR(IF(P655="","",P655*INDEX(Ingredients!$P$5:$P$304,MATCH(D655,Ingredients!$B$5:$B$304,0))),"")</f>
        <v>0</v>
      </c>
      <c r="R655" s="45">
        <f>IFERROR(IF(P655="","",P655*INDEX(Ingredients!$Q$5:$Q$304,MATCH(D655,Ingredients!$B$5:$B$304,0))),"")</f>
        <v>0</v>
      </c>
      <c r="S655" s="45">
        <f>IFERROR(IF(P655="","",P655*INDEX(Ingredients!$R$5:$R$304,MATCH(D655,Ingredients!$B$5:$B$304,0))),"")</f>
        <v>0</v>
      </c>
      <c r="T655" s="45">
        <f>IFERROR(IF(P655="","",P655*INDEX(Ingredients!$S$5:$S$304,MATCH(D655,Ingredients!$B$5:$B$304,0))),"")</f>
        <v>0</v>
      </c>
      <c r="U655" s="45">
        <f>IFERROR(IF(P655="","",P655*INDEX(Ingredients!$T$5:$T$304,MATCH(D655,Ingredients!$B$5:$B$304,0))),"")</f>
        <v>0</v>
      </c>
      <c r="V655" s="17">
        <f>IF(D655="","",IFERROR(INDEX(Ingredients!$W$5:$W$304,MATCH(D655,Ingredients!$B$5:$B$304,0)),"Add to Ingredients"))</f>
        <v>0</v>
      </c>
      <c r="W655" s="17">
        <f>IF(D655="","",IFERROR(INDEX(Ingredients!$C$5:$C$304,MATCH(D655,Ingredients!$B$5:$B$304,0)),"Add to Ingredients"))</f>
        <v>0</v>
      </c>
      <c r="X655" s="45">
        <f>IFERROR(INDEX(Recipes!$AT$5:$AT$204,MATCH(B655,Recipes!$A$5:$A$204,0)),0)</f>
        <v>0</v>
      </c>
      <c r="Y655" s="45">
        <f>IF(OR(J655="",X655=0),"",J655*X655)</f>
        <v>0</v>
      </c>
      <c r="Z655" s="17">
        <f>IF(D655="","",B655&amp;"#"&amp;COUNTIFS($B$5:B655,B655))</f>
        <v>0</v>
      </c>
      <c r="AA655" s="17">
        <f>IF(D655="","",B655&amp;"|"&amp;D655)</f>
        <v>0</v>
      </c>
      <c r="AB655" s="31">
        <f>IF(D655="","",IF(B655="","Add - which recipe?",IF(COUNTIFS(Ingredients!$B$5:$B$304,D655)=0,"Missing - not in the Ingredients tab",IF(E655="","Add - no quantity",IF(F655="","Add - no unit",IF(K655&lt;&gt;L655,"Check - recipe in "&amp;K655&amp;", priced in "&amp;L655,IF(COUNTIFS($AA$5:$AA$1204,AA655)&gt;1,"Duplicate - same ingredient twice","OK")))))))</f>
        <v>0</v>
      </c>
    </row>
    <row r="656" spans="1:28">
      <c r="A656" s="39">
        <f>IF(D656="","","RL-"&amp;TEXT(ROW()-4,"0000"))</f>
        <v>0</v>
      </c>
      <c r="C656" s="17">
        <f>IF(B656="","",IFERROR(INDEX(Recipes!$B$5:$B$204,MATCH(B656,Recipes!$A$5:$A$204,0)),"Not found"))</f>
        <v>0</v>
      </c>
      <c r="J656" s="45">
        <f>IF(E656="","",IFERROR(E656*INDEX(UnitFactors,MATCH(F656,UnitNames,0)),""))</f>
        <v>0</v>
      </c>
      <c r="K656" s="17">
        <f>IF(F656="","",IFERROR(INDEX(UnitBases,MATCH(F656,UnitNames,0)),"?"))</f>
        <v>0</v>
      </c>
      <c r="L656" s="17">
        <f>IF(D656="","",IFERROR(INDEX(Ingredients!$G$5:$G$304,MATCH(D656,Ingredients!$B$5:$B$304,0)),"Add to Ingredients"))</f>
        <v>0</v>
      </c>
      <c r="M656" s="25">
        <f>IF(D656="","",IFERROR(INDEX(Ingredients!$J$5:$J$304,MATCH(D656,Ingredients!$B$5:$B$304,0)),"Add to Ingredients"))</f>
        <v>0</v>
      </c>
      <c r="N656" s="25">
        <f>IF(OR(J656="",M656="",NOT(ISNUMBER(M656))),"",IF(K656&lt;&gt;L656,"",J656*M656))</f>
        <v>0</v>
      </c>
      <c r="O656" s="25">
        <f>IF(N656="","",IFERROR(N656/INDEX(Recipes!$G$5:$G$204,MATCH(B656,Recipes!$A$5:$A$204,0)),""))</f>
        <v>0</v>
      </c>
      <c r="P656" s="30">
        <f>IF(J656="","",IF(K656="each",J656,J656/100))</f>
        <v>0</v>
      </c>
      <c r="Q656" s="30">
        <f>IFERROR(IF(P656="","",P656*INDEX(Ingredients!$P$5:$P$304,MATCH(D656,Ingredients!$B$5:$B$304,0))),"")</f>
        <v>0</v>
      </c>
      <c r="R656" s="45">
        <f>IFERROR(IF(P656="","",P656*INDEX(Ingredients!$Q$5:$Q$304,MATCH(D656,Ingredients!$B$5:$B$304,0))),"")</f>
        <v>0</v>
      </c>
      <c r="S656" s="45">
        <f>IFERROR(IF(P656="","",P656*INDEX(Ingredients!$R$5:$R$304,MATCH(D656,Ingredients!$B$5:$B$304,0))),"")</f>
        <v>0</v>
      </c>
      <c r="T656" s="45">
        <f>IFERROR(IF(P656="","",P656*INDEX(Ingredients!$S$5:$S$304,MATCH(D656,Ingredients!$B$5:$B$304,0))),"")</f>
        <v>0</v>
      </c>
      <c r="U656" s="45">
        <f>IFERROR(IF(P656="","",P656*INDEX(Ingredients!$T$5:$T$304,MATCH(D656,Ingredients!$B$5:$B$304,0))),"")</f>
        <v>0</v>
      </c>
      <c r="V656" s="17">
        <f>IF(D656="","",IFERROR(INDEX(Ingredients!$W$5:$W$304,MATCH(D656,Ingredients!$B$5:$B$304,0)),"Add to Ingredients"))</f>
        <v>0</v>
      </c>
      <c r="W656" s="17">
        <f>IF(D656="","",IFERROR(INDEX(Ingredients!$C$5:$C$304,MATCH(D656,Ingredients!$B$5:$B$304,0)),"Add to Ingredients"))</f>
        <v>0</v>
      </c>
      <c r="X656" s="45">
        <f>IFERROR(INDEX(Recipes!$AT$5:$AT$204,MATCH(B656,Recipes!$A$5:$A$204,0)),0)</f>
        <v>0</v>
      </c>
      <c r="Y656" s="45">
        <f>IF(OR(J656="",X656=0),"",J656*X656)</f>
        <v>0</v>
      </c>
      <c r="Z656" s="17">
        <f>IF(D656="","",B656&amp;"#"&amp;COUNTIFS($B$5:B656,B656))</f>
        <v>0</v>
      </c>
      <c r="AA656" s="17">
        <f>IF(D656="","",B656&amp;"|"&amp;D656)</f>
        <v>0</v>
      </c>
      <c r="AB656" s="31">
        <f>IF(D656="","",IF(B656="","Add - which recipe?",IF(COUNTIFS(Ingredients!$B$5:$B$304,D656)=0,"Missing - not in the Ingredients tab",IF(E656="","Add - no quantity",IF(F656="","Add - no unit",IF(K656&lt;&gt;L656,"Check - recipe in "&amp;K656&amp;", priced in "&amp;L656,IF(COUNTIFS($AA$5:$AA$1204,AA656)&gt;1,"Duplicate - same ingredient twice","OK")))))))</f>
        <v>0</v>
      </c>
    </row>
    <row r="657" spans="1:28">
      <c r="A657" s="39">
        <f>IF(D657="","","RL-"&amp;TEXT(ROW()-4,"0000"))</f>
        <v>0</v>
      </c>
      <c r="C657" s="17">
        <f>IF(B657="","",IFERROR(INDEX(Recipes!$B$5:$B$204,MATCH(B657,Recipes!$A$5:$A$204,0)),"Not found"))</f>
        <v>0</v>
      </c>
      <c r="J657" s="45">
        <f>IF(E657="","",IFERROR(E657*INDEX(UnitFactors,MATCH(F657,UnitNames,0)),""))</f>
        <v>0</v>
      </c>
      <c r="K657" s="17">
        <f>IF(F657="","",IFERROR(INDEX(UnitBases,MATCH(F657,UnitNames,0)),"?"))</f>
        <v>0</v>
      </c>
      <c r="L657" s="17">
        <f>IF(D657="","",IFERROR(INDEX(Ingredients!$G$5:$G$304,MATCH(D657,Ingredients!$B$5:$B$304,0)),"Add to Ingredients"))</f>
        <v>0</v>
      </c>
      <c r="M657" s="25">
        <f>IF(D657="","",IFERROR(INDEX(Ingredients!$J$5:$J$304,MATCH(D657,Ingredients!$B$5:$B$304,0)),"Add to Ingredients"))</f>
        <v>0</v>
      </c>
      <c r="N657" s="25">
        <f>IF(OR(J657="",M657="",NOT(ISNUMBER(M657))),"",IF(K657&lt;&gt;L657,"",J657*M657))</f>
        <v>0</v>
      </c>
      <c r="O657" s="25">
        <f>IF(N657="","",IFERROR(N657/INDEX(Recipes!$G$5:$G$204,MATCH(B657,Recipes!$A$5:$A$204,0)),""))</f>
        <v>0</v>
      </c>
      <c r="P657" s="30">
        <f>IF(J657="","",IF(K657="each",J657,J657/100))</f>
        <v>0</v>
      </c>
      <c r="Q657" s="30">
        <f>IFERROR(IF(P657="","",P657*INDEX(Ingredients!$P$5:$P$304,MATCH(D657,Ingredients!$B$5:$B$304,0))),"")</f>
        <v>0</v>
      </c>
      <c r="R657" s="45">
        <f>IFERROR(IF(P657="","",P657*INDEX(Ingredients!$Q$5:$Q$304,MATCH(D657,Ingredients!$B$5:$B$304,0))),"")</f>
        <v>0</v>
      </c>
      <c r="S657" s="45">
        <f>IFERROR(IF(P657="","",P657*INDEX(Ingredients!$R$5:$R$304,MATCH(D657,Ingredients!$B$5:$B$304,0))),"")</f>
        <v>0</v>
      </c>
      <c r="T657" s="45">
        <f>IFERROR(IF(P657="","",P657*INDEX(Ingredients!$S$5:$S$304,MATCH(D657,Ingredients!$B$5:$B$304,0))),"")</f>
        <v>0</v>
      </c>
      <c r="U657" s="45">
        <f>IFERROR(IF(P657="","",P657*INDEX(Ingredients!$T$5:$T$304,MATCH(D657,Ingredients!$B$5:$B$304,0))),"")</f>
        <v>0</v>
      </c>
      <c r="V657" s="17">
        <f>IF(D657="","",IFERROR(INDEX(Ingredients!$W$5:$W$304,MATCH(D657,Ingredients!$B$5:$B$304,0)),"Add to Ingredients"))</f>
        <v>0</v>
      </c>
      <c r="W657" s="17">
        <f>IF(D657="","",IFERROR(INDEX(Ingredients!$C$5:$C$304,MATCH(D657,Ingredients!$B$5:$B$304,0)),"Add to Ingredients"))</f>
        <v>0</v>
      </c>
      <c r="X657" s="45">
        <f>IFERROR(INDEX(Recipes!$AT$5:$AT$204,MATCH(B657,Recipes!$A$5:$A$204,0)),0)</f>
        <v>0</v>
      </c>
      <c r="Y657" s="45">
        <f>IF(OR(J657="",X657=0),"",J657*X657)</f>
        <v>0</v>
      </c>
      <c r="Z657" s="17">
        <f>IF(D657="","",B657&amp;"#"&amp;COUNTIFS($B$5:B657,B657))</f>
        <v>0</v>
      </c>
      <c r="AA657" s="17">
        <f>IF(D657="","",B657&amp;"|"&amp;D657)</f>
        <v>0</v>
      </c>
      <c r="AB657" s="31">
        <f>IF(D657="","",IF(B657="","Add - which recipe?",IF(COUNTIFS(Ingredients!$B$5:$B$304,D657)=0,"Missing - not in the Ingredients tab",IF(E657="","Add - no quantity",IF(F657="","Add - no unit",IF(K657&lt;&gt;L657,"Check - recipe in "&amp;K657&amp;", priced in "&amp;L657,IF(COUNTIFS($AA$5:$AA$1204,AA657)&gt;1,"Duplicate - same ingredient twice","OK")))))))</f>
        <v>0</v>
      </c>
    </row>
    <row r="658" spans="1:28">
      <c r="A658" s="39">
        <f>IF(D658="","","RL-"&amp;TEXT(ROW()-4,"0000"))</f>
        <v>0</v>
      </c>
      <c r="C658" s="17">
        <f>IF(B658="","",IFERROR(INDEX(Recipes!$B$5:$B$204,MATCH(B658,Recipes!$A$5:$A$204,0)),"Not found"))</f>
        <v>0</v>
      </c>
      <c r="J658" s="45">
        <f>IF(E658="","",IFERROR(E658*INDEX(UnitFactors,MATCH(F658,UnitNames,0)),""))</f>
        <v>0</v>
      </c>
      <c r="K658" s="17">
        <f>IF(F658="","",IFERROR(INDEX(UnitBases,MATCH(F658,UnitNames,0)),"?"))</f>
        <v>0</v>
      </c>
      <c r="L658" s="17">
        <f>IF(D658="","",IFERROR(INDEX(Ingredients!$G$5:$G$304,MATCH(D658,Ingredients!$B$5:$B$304,0)),"Add to Ingredients"))</f>
        <v>0</v>
      </c>
      <c r="M658" s="25">
        <f>IF(D658="","",IFERROR(INDEX(Ingredients!$J$5:$J$304,MATCH(D658,Ingredients!$B$5:$B$304,0)),"Add to Ingredients"))</f>
        <v>0</v>
      </c>
      <c r="N658" s="25">
        <f>IF(OR(J658="",M658="",NOT(ISNUMBER(M658))),"",IF(K658&lt;&gt;L658,"",J658*M658))</f>
        <v>0</v>
      </c>
      <c r="O658" s="25">
        <f>IF(N658="","",IFERROR(N658/INDEX(Recipes!$G$5:$G$204,MATCH(B658,Recipes!$A$5:$A$204,0)),""))</f>
        <v>0</v>
      </c>
      <c r="P658" s="30">
        <f>IF(J658="","",IF(K658="each",J658,J658/100))</f>
        <v>0</v>
      </c>
      <c r="Q658" s="30">
        <f>IFERROR(IF(P658="","",P658*INDEX(Ingredients!$P$5:$P$304,MATCH(D658,Ingredients!$B$5:$B$304,0))),"")</f>
        <v>0</v>
      </c>
      <c r="R658" s="45">
        <f>IFERROR(IF(P658="","",P658*INDEX(Ingredients!$Q$5:$Q$304,MATCH(D658,Ingredients!$B$5:$B$304,0))),"")</f>
        <v>0</v>
      </c>
      <c r="S658" s="45">
        <f>IFERROR(IF(P658="","",P658*INDEX(Ingredients!$R$5:$R$304,MATCH(D658,Ingredients!$B$5:$B$304,0))),"")</f>
        <v>0</v>
      </c>
      <c r="T658" s="45">
        <f>IFERROR(IF(P658="","",P658*INDEX(Ingredients!$S$5:$S$304,MATCH(D658,Ingredients!$B$5:$B$304,0))),"")</f>
        <v>0</v>
      </c>
      <c r="U658" s="45">
        <f>IFERROR(IF(P658="","",P658*INDEX(Ingredients!$T$5:$T$304,MATCH(D658,Ingredients!$B$5:$B$304,0))),"")</f>
        <v>0</v>
      </c>
      <c r="V658" s="17">
        <f>IF(D658="","",IFERROR(INDEX(Ingredients!$W$5:$W$304,MATCH(D658,Ingredients!$B$5:$B$304,0)),"Add to Ingredients"))</f>
        <v>0</v>
      </c>
      <c r="W658" s="17">
        <f>IF(D658="","",IFERROR(INDEX(Ingredients!$C$5:$C$304,MATCH(D658,Ingredients!$B$5:$B$304,0)),"Add to Ingredients"))</f>
        <v>0</v>
      </c>
      <c r="X658" s="45">
        <f>IFERROR(INDEX(Recipes!$AT$5:$AT$204,MATCH(B658,Recipes!$A$5:$A$204,0)),0)</f>
        <v>0</v>
      </c>
      <c r="Y658" s="45">
        <f>IF(OR(J658="",X658=0),"",J658*X658)</f>
        <v>0</v>
      </c>
      <c r="Z658" s="17">
        <f>IF(D658="","",B658&amp;"#"&amp;COUNTIFS($B$5:B658,B658))</f>
        <v>0</v>
      </c>
      <c r="AA658" s="17">
        <f>IF(D658="","",B658&amp;"|"&amp;D658)</f>
        <v>0</v>
      </c>
      <c r="AB658" s="31">
        <f>IF(D658="","",IF(B658="","Add - which recipe?",IF(COUNTIFS(Ingredients!$B$5:$B$304,D658)=0,"Missing - not in the Ingredients tab",IF(E658="","Add - no quantity",IF(F658="","Add - no unit",IF(K658&lt;&gt;L658,"Check - recipe in "&amp;K658&amp;", priced in "&amp;L658,IF(COUNTIFS($AA$5:$AA$1204,AA658)&gt;1,"Duplicate - same ingredient twice","OK")))))))</f>
        <v>0</v>
      </c>
    </row>
    <row r="659" spans="1:28">
      <c r="A659" s="39">
        <f>IF(D659="","","RL-"&amp;TEXT(ROW()-4,"0000"))</f>
        <v>0</v>
      </c>
      <c r="C659" s="17">
        <f>IF(B659="","",IFERROR(INDEX(Recipes!$B$5:$B$204,MATCH(B659,Recipes!$A$5:$A$204,0)),"Not found"))</f>
        <v>0</v>
      </c>
      <c r="J659" s="45">
        <f>IF(E659="","",IFERROR(E659*INDEX(UnitFactors,MATCH(F659,UnitNames,0)),""))</f>
        <v>0</v>
      </c>
      <c r="K659" s="17">
        <f>IF(F659="","",IFERROR(INDEX(UnitBases,MATCH(F659,UnitNames,0)),"?"))</f>
        <v>0</v>
      </c>
      <c r="L659" s="17">
        <f>IF(D659="","",IFERROR(INDEX(Ingredients!$G$5:$G$304,MATCH(D659,Ingredients!$B$5:$B$304,0)),"Add to Ingredients"))</f>
        <v>0</v>
      </c>
      <c r="M659" s="25">
        <f>IF(D659="","",IFERROR(INDEX(Ingredients!$J$5:$J$304,MATCH(D659,Ingredients!$B$5:$B$304,0)),"Add to Ingredients"))</f>
        <v>0</v>
      </c>
      <c r="N659" s="25">
        <f>IF(OR(J659="",M659="",NOT(ISNUMBER(M659))),"",IF(K659&lt;&gt;L659,"",J659*M659))</f>
        <v>0</v>
      </c>
      <c r="O659" s="25">
        <f>IF(N659="","",IFERROR(N659/INDEX(Recipes!$G$5:$G$204,MATCH(B659,Recipes!$A$5:$A$204,0)),""))</f>
        <v>0</v>
      </c>
      <c r="P659" s="30">
        <f>IF(J659="","",IF(K659="each",J659,J659/100))</f>
        <v>0</v>
      </c>
      <c r="Q659" s="30">
        <f>IFERROR(IF(P659="","",P659*INDEX(Ingredients!$P$5:$P$304,MATCH(D659,Ingredients!$B$5:$B$304,0))),"")</f>
        <v>0</v>
      </c>
      <c r="R659" s="45">
        <f>IFERROR(IF(P659="","",P659*INDEX(Ingredients!$Q$5:$Q$304,MATCH(D659,Ingredients!$B$5:$B$304,0))),"")</f>
        <v>0</v>
      </c>
      <c r="S659" s="45">
        <f>IFERROR(IF(P659="","",P659*INDEX(Ingredients!$R$5:$R$304,MATCH(D659,Ingredients!$B$5:$B$304,0))),"")</f>
        <v>0</v>
      </c>
      <c r="T659" s="45">
        <f>IFERROR(IF(P659="","",P659*INDEX(Ingredients!$S$5:$S$304,MATCH(D659,Ingredients!$B$5:$B$304,0))),"")</f>
        <v>0</v>
      </c>
      <c r="U659" s="45">
        <f>IFERROR(IF(P659="","",P659*INDEX(Ingredients!$T$5:$T$304,MATCH(D659,Ingredients!$B$5:$B$304,0))),"")</f>
        <v>0</v>
      </c>
      <c r="V659" s="17">
        <f>IF(D659="","",IFERROR(INDEX(Ingredients!$W$5:$W$304,MATCH(D659,Ingredients!$B$5:$B$304,0)),"Add to Ingredients"))</f>
        <v>0</v>
      </c>
      <c r="W659" s="17">
        <f>IF(D659="","",IFERROR(INDEX(Ingredients!$C$5:$C$304,MATCH(D659,Ingredients!$B$5:$B$304,0)),"Add to Ingredients"))</f>
        <v>0</v>
      </c>
      <c r="X659" s="45">
        <f>IFERROR(INDEX(Recipes!$AT$5:$AT$204,MATCH(B659,Recipes!$A$5:$A$204,0)),0)</f>
        <v>0</v>
      </c>
      <c r="Y659" s="45">
        <f>IF(OR(J659="",X659=0),"",J659*X659)</f>
        <v>0</v>
      </c>
      <c r="Z659" s="17">
        <f>IF(D659="","",B659&amp;"#"&amp;COUNTIFS($B$5:B659,B659))</f>
        <v>0</v>
      </c>
      <c r="AA659" s="17">
        <f>IF(D659="","",B659&amp;"|"&amp;D659)</f>
        <v>0</v>
      </c>
      <c r="AB659" s="31">
        <f>IF(D659="","",IF(B659="","Add - which recipe?",IF(COUNTIFS(Ingredients!$B$5:$B$304,D659)=0,"Missing - not in the Ingredients tab",IF(E659="","Add - no quantity",IF(F659="","Add - no unit",IF(K659&lt;&gt;L659,"Check - recipe in "&amp;K659&amp;", priced in "&amp;L659,IF(COUNTIFS($AA$5:$AA$1204,AA659)&gt;1,"Duplicate - same ingredient twice","OK")))))))</f>
        <v>0</v>
      </c>
    </row>
    <row r="660" spans="1:28">
      <c r="A660" s="39">
        <f>IF(D660="","","RL-"&amp;TEXT(ROW()-4,"0000"))</f>
        <v>0</v>
      </c>
      <c r="C660" s="17">
        <f>IF(B660="","",IFERROR(INDEX(Recipes!$B$5:$B$204,MATCH(B660,Recipes!$A$5:$A$204,0)),"Not found"))</f>
        <v>0</v>
      </c>
      <c r="J660" s="45">
        <f>IF(E660="","",IFERROR(E660*INDEX(UnitFactors,MATCH(F660,UnitNames,0)),""))</f>
        <v>0</v>
      </c>
      <c r="K660" s="17">
        <f>IF(F660="","",IFERROR(INDEX(UnitBases,MATCH(F660,UnitNames,0)),"?"))</f>
        <v>0</v>
      </c>
      <c r="L660" s="17">
        <f>IF(D660="","",IFERROR(INDEX(Ingredients!$G$5:$G$304,MATCH(D660,Ingredients!$B$5:$B$304,0)),"Add to Ingredients"))</f>
        <v>0</v>
      </c>
      <c r="M660" s="25">
        <f>IF(D660="","",IFERROR(INDEX(Ingredients!$J$5:$J$304,MATCH(D660,Ingredients!$B$5:$B$304,0)),"Add to Ingredients"))</f>
        <v>0</v>
      </c>
      <c r="N660" s="25">
        <f>IF(OR(J660="",M660="",NOT(ISNUMBER(M660))),"",IF(K660&lt;&gt;L660,"",J660*M660))</f>
        <v>0</v>
      </c>
      <c r="O660" s="25">
        <f>IF(N660="","",IFERROR(N660/INDEX(Recipes!$G$5:$G$204,MATCH(B660,Recipes!$A$5:$A$204,0)),""))</f>
        <v>0</v>
      </c>
      <c r="P660" s="30">
        <f>IF(J660="","",IF(K660="each",J660,J660/100))</f>
        <v>0</v>
      </c>
      <c r="Q660" s="30">
        <f>IFERROR(IF(P660="","",P660*INDEX(Ingredients!$P$5:$P$304,MATCH(D660,Ingredients!$B$5:$B$304,0))),"")</f>
        <v>0</v>
      </c>
      <c r="R660" s="45">
        <f>IFERROR(IF(P660="","",P660*INDEX(Ingredients!$Q$5:$Q$304,MATCH(D660,Ingredients!$B$5:$B$304,0))),"")</f>
        <v>0</v>
      </c>
      <c r="S660" s="45">
        <f>IFERROR(IF(P660="","",P660*INDEX(Ingredients!$R$5:$R$304,MATCH(D660,Ingredients!$B$5:$B$304,0))),"")</f>
        <v>0</v>
      </c>
      <c r="T660" s="45">
        <f>IFERROR(IF(P660="","",P660*INDEX(Ingredients!$S$5:$S$304,MATCH(D660,Ingredients!$B$5:$B$304,0))),"")</f>
        <v>0</v>
      </c>
      <c r="U660" s="45">
        <f>IFERROR(IF(P660="","",P660*INDEX(Ingredients!$T$5:$T$304,MATCH(D660,Ingredients!$B$5:$B$304,0))),"")</f>
        <v>0</v>
      </c>
      <c r="V660" s="17">
        <f>IF(D660="","",IFERROR(INDEX(Ingredients!$W$5:$W$304,MATCH(D660,Ingredients!$B$5:$B$304,0)),"Add to Ingredients"))</f>
        <v>0</v>
      </c>
      <c r="W660" s="17">
        <f>IF(D660="","",IFERROR(INDEX(Ingredients!$C$5:$C$304,MATCH(D660,Ingredients!$B$5:$B$304,0)),"Add to Ingredients"))</f>
        <v>0</v>
      </c>
      <c r="X660" s="45">
        <f>IFERROR(INDEX(Recipes!$AT$5:$AT$204,MATCH(B660,Recipes!$A$5:$A$204,0)),0)</f>
        <v>0</v>
      </c>
      <c r="Y660" s="45">
        <f>IF(OR(J660="",X660=0),"",J660*X660)</f>
        <v>0</v>
      </c>
      <c r="Z660" s="17">
        <f>IF(D660="","",B660&amp;"#"&amp;COUNTIFS($B$5:B660,B660))</f>
        <v>0</v>
      </c>
      <c r="AA660" s="17">
        <f>IF(D660="","",B660&amp;"|"&amp;D660)</f>
        <v>0</v>
      </c>
      <c r="AB660" s="31">
        <f>IF(D660="","",IF(B660="","Add - which recipe?",IF(COUNTIFS(Ingredients!$B$5:$B$304,D660)=0,"Missing - not in the Ingredients tab",IF(E660="","Add - no quantity",IF(F660="","Add - no unit",IF(K660&lt;&gt;L660,"Check - recipe in "&amp;K660&amp;", priced in "&amp;L660,IF(COUNTIFS($AA$5:$AA$1204,AA660)&gt;1,"Duplicate - same ingredient twice","OK")))))))</f>
        <v>0</v>
      </c>
    </row>
    <row r="661" spans="1:28">
      <c r="A661" s="39">
        <f>IF(D661="","","RL-"&amp;TEXT(ROW()-4,"0000"))</f>
        <v>0</v>
      </c>
      <c r="C661" s="17">
        <f>IF(B661="","",IFERROR(INDEX(Recipes!$B$5:$B$204,MATCH(B661,Recipes!$A$5:$A$204,0)),"Not found"))</f>
        <v>0</v>
      </c>
      <c r="J661" s="45">
        <f>IF(E661="","",IFERROR(E661*INDEX(UnitFactors,MATCH(F661,UnitNames,0)),""))</f>
        <v>0</v>
      </c>
      <c r="K661" s="17">
        <f>IF(F661="","",IFERROR(INDEX(UnitBases,MATCH(F661,UnitNames,0)),"?"))</f>
        <v>0</v>
      </c>
      <c r="L661" s="17">
        <f>IF(D661="","",IFERROR(INDEX(Ingredients!$G$5:$G$304,MATCH(D661,Ingredients!$B$5:$B$304,0)),"Add to Ingredients"))</f>
        <v>0</v>
      </c>
      <c r="M661" s="25">
        <f>IF(D661="","",IFERROR(INDEX(Ingredients!$J$5:$J$304,MATCH(D661,Ingredients!$B$5:$B$304,0)),"Add to Ingredients"))</f>
        <v>0</v>
      </c>
      <c r="N661" s="25">
        <f>IF(OR(J661="",M661="",NOT(ISNUMBER(M661))),"",IF(K661&lt;&gt;L661,"",J661*M661))</f>
        <v>0</v>
      </c>
      <c r="O661" s="25">
        <f>IF(N661="","",IFERROR(N661/INDEX(Recipes!$G$5:$G$204,MATCH(B661,Recipes!$A$5:$A$204,0)),""))</f>
        <v>0</v>
      </c>
      <c r="P661" s="30">
        <f>IF(J661="","",IF(K661="each",J661,J661/100))</f>
        <v>0</v>
      </c>
      <c r="Q661" s="30">
        <f>IFERROR(IF(P661="","",P661*INDEX(Ingredients!$P$5:$P$304,MATCH(D661,Ingredients!$B$5:$B$304,0))),"")</f>
        <v>0</v>
      </c>
      <c r="R661" s="45">
        <f>IFERROR(IF(P661="","",P661*INDEX(Ingredients!$Q$5:$Q$304,MATCH(D661,Ingredients!$B$5:$B$304,0))),"")</f>
        <v>0</v>
      </c>
      <c r="S661" s="45">
        <f>IFERROR(IF(P661="","",P661*INDEX(Ingredients!$R$5:$R$304,MATCH(D661,Ingredients!$B$5:$B$304,0))),"")</f>
        <v>0</v>
      </c>
      <c r="T661" s="45">
        <f>IFERROR(IF(P661="","",P661*INDEX(Ingredients!$S$5:$S$304,MATCH(D661,Ingredients!$B$5:$B$304,0))),"")</f>
        <v>0</v>
      </c>
      <c r="U661" s="45">
        <f>IFERROR(IF(P661="","",P661*INDEX(Ingredients!$T$5:$T$304,MATCH(D661,Ingredients!$B$5:$B$304,0))),"")</f>
        <v>0</v>
      </c>
      <c r="V661" s="17">
        <f>IF(D661="","",IFERROR(INDEX(Ingredients!$W$5:$W$304,MATCH(D661,Ingredients!$B$5:$B$304,0)),"Add to Ingredients"))</f>
        <v>0</v>
      </c>
      <c r="W661" s="17">
        <f>IF(D661="","",IFERROR(INDEX(Ingredients!$C$5:$C$304,MATCH(D661,Ingredients!$B$5:$B$304,0)),"Add to Ingredients"))</f>
        <v>0</v>
      </c>
      <c r="X661" s="45">
        <f>IFERROR(INDEX(Recipes!$AT$5:$AT$204,MATCH(B661,Recipes!$A$5:$A$204,0)),0)</f>
        <v>0</v>
      </c>
      <c r="Y661" s="45">
        <f>IF(OR(J661="",X661=0),"",J661*X661)</f>
        <v>0</v>
      </c>
      <c r="Z661" s="17">
        <f>IF(D661="","",B661&amp;"#"&amp;COUNTIFS($B$5:B661,B661))</f>
        <v>0</v>
      </c>
      <c r="AA661" s="17">
        <f>IF(D661="","",B661&amp;"|"&amp;D661)</f>
        <v>0</v>
      </c>
      <c r="AB661" s="31">
        <f>IF(D661="","",IF(B661="","Add - which recipe?",IF(COUNTIFS(Ingredients!$B$5:$B$304,D661)=0,"Missing - not in the Ingredients tab",IF(E661="","Add - no quantity",IF(F661="","Add - no unit",IF(K661&lt;&gt;L661,"Check - recipe in "&amp;K661&amp;", priced in "&amp;L661,IF(COUNTIFS($AA$5:$AA$1204,AA661)&gt;1,"Duplicate - same ingredient twice","OK")))))))</f>
        <v>0</v>
      </c>
    </row>
    <row r="662" spans="1:28">
      <c r="A662" s="39">
        <f>IF(D662="","","RL-"&amp;TEXT(ROW()-4,"0000"))</f>
        <v>0</v>
      </c>
      <c r="C662" s="17">
        <f>IF(B662="","",IFERROR(INDEX(Recipes!$B$5:$B$204,MATCH(B662,Recipes!$A$5:$A$204,0)),"Not found"))</f>
        <v>0</v>
      </c>
      <c r="J662" s="45">
        <f>IF(E662="","",IFERROR(E662*INDEX(UnitFactors,MATCH(F662,UnitNames,0)),""))</f>
        <v>0</v>
      </c>
      <c r="K662" s="17">
        <f>IF(F662="","",IFERROR(INDEX(UnitBases,MATCH(F662,UnitNames,0)),"?"))</f>
        <v>0</v>
      </c>
      <c r="L662" s="17">
        <f>IF(D662="","",IFERROR(INDEX(Ingredients!$G$5:$G$304,MATCH(D662,Ingredients!$B$5:$B$304,0)),"Add to Ingredients"))</f>
        <v>0</v>
      </c>
      <c r="M662" s="25">
        <f>IF(D662="","",IFERROR(INDEX(Ingredients!$J$5:$J$304,MATCH(D662,Ingredients!$B$5:$B$304,0)),"Add to Ingredients"))</f>
        <v>0</v>
      </c>
      <c r="N662" s="25">
        <f>IF(OR(J662="",M662="",NOT(ISNUMBER(M662))),"",IF(K662&lt;&gt;L662,"",J662*M662))</f>
        <v>0</v>
      </c>
      <c r="O662" s="25">
        <f>IF(N662="","",IFERROR(N662/INDEX(Recipes!$G$5:$G$204,MATCH(B662,Recipes!$A$5:$A$204,0)),""))</f>
        <v>0</v>
      </c>
      <c r="P662" s="30">
        <f>IF(J662="","",IF(K662="each",J662,J662/100))</f>
        <v>0</v>
      </c>
      <c r="Q662" s="30">
        <f>IFERROR(IF(P662="","",P662*INDEX(Ingredients!$P$5:$P$304,MATCH(D662,Ingredients!$B$5:$B$304,0))),"")</f>
        <v>0</v>
      </c>
      <c r="R662" s="45">
        <f>IFERROR(IF(P662="","",P662*INDEX(Ingredients!$Q$5:$Q$304,MATCH(D662,Ingredients!$B$5:$B$304,0))),"")</f>
        <v>0</v>
      </c>
      <c r="S662" s="45">
        <f>IFERROR(IF(P662="","",P662*INDEX(Ingredients!$R$5:$R$304,MATCH(D662,Ingredients!$B$5:$B$304,0))),"")</f>
        <v>0</v>
      </c>
      <c r="T662" s="45">
        <f>IFERROR(IF(P662="","",P662*INDEX(Ingredients!$S$5:$S$304,MATCH(D662,Ingredients!$B$5:$B$304,0))),"")</f>
        <v>0</v>
      </c>
      <c r="U662" s="45">
        <f>IFERROR(IF(P662="","",P662*INDEX(Ingredients!$T$5:$T$304,MATCH(D662,Ingredients!$B$5:$B$304,0))),"")</f>
        <v>0</v>
      </c>
      <c r="V662" s="17">
        <f>IF(D662="","",IFERROR(INDEX(Ingredients!$W$5:$W$304,MATCH(D662,Ingredients!$B$5:$B$304,0)),"Add to Ingredients"))</f>
        <v>0</v>
      </c>
      <c r="W662" s="17">
        <f>IF(D662="","",IFERROR(INDEX(Ingredients!$C$5:$C$304,MATCH(D662,Ingredients!$B$5:$B$304,0)),"Add to Ingredients"))</f>
        <v>0</v>
      </c>
      <c r="X662" s="45">
        <f>IFERROR(INDEX(Recipes!$AT$5:$AT$204,MATCH(B662,Recipes!$A$5:$A$204,0)),0)</f>
        <v>0</v>
      </c>
      <c r="Y662" s="45">
        <f>IF(OR(J662="",X662=0),"",J662*X662)</f>
        <v>0</v>
      </c>
      <c r="Z662" s="17">
        <f>IF(D662="","",B662&amp;"#"&amp;COUNTIFS($B$5:B662,B662))</f>
        <v>0</v>
      </c>
      <c r="AA662" s="17">
        <f>IF(D662="","",B662&amp;"|"&amp;D662)</f>
        <v>0</v>
      </c>
      <c r="AB662" s="31">
        <f>IF(D662="","",IF(B662="","Add - which recipe?",IF(COUNTIFS(Ingredients!$B$5:$B$304,D662)=0,"Missing - not in the Ingredients tab",IF(E662="","Add - no quantity",IF(F662="","Add - no unit",IF(K662&lt;&gt;L662,"Check - recipe in "&amp;K662&amp;", priced in "&amp;L662,IF(COUNTIFS($AA$5:$AA$1204,AA662)&gt;1,"Duplicate - same ingredient twice","OK")))))))</f>
        <v>0</v>
      </c>
    </row>
    <row r="663" spans="1:28">
      <c r="A663" s="39">
        <f>IF(D663="","","RL-"&amp;TEXT(ROW()-4,"0000"))</f>
        <v>0</v>
      </c>
      <c r="C663" s="17">
        <f>IF(B663="","",IFERROR(INDEX(Recipes!$B$5:$B$204,MATCH(B663,Recipes!$A$5:$A$204,0)),"Not found"))</f>
        <v>0</v>
      </c>
      <c r="J663" s="45">
        <f>IF(E663="","",IFERROR(E663*INDEX(UnitFactors,MATCH(F663,UnitNames,0)),""))</f>
        <v>0</v>
      </c>
      <c r="K663" s="17">
        <f>IF(F663="","",IFERROR(INDEX(UnitBases,MATCH(F663,UnitNames,0)),"?"))</f>
        <v>0</v>
      </c>
      <c r="L663" s="17">
        <f>IF(D663="","",IFERROR(INDEX(Ingredients!$G$5:$G$304,MATCH(D663,Ingredients!$B$5:$B$304,0)),"Add to Ingredients"))</f>
        <v>0</v>
      </c>
      <c r="M663" s="25">
        <f>IF(D663="","",IFERROR(INDEX(Ingredients!$J$5:$J$304,MATCH(D663,Ingredients!$B$5:$B$304,0)),"Add to Ingredients"))</f>
        <v>0</v>
      </c>
      <c r="N663" s="25">
        <f>IF(OR(J663="",M663="",NOT(ISNUMBER(M663))),"",IF(K663&lt;&gt;L663,"",J663*M663))</f>
        <v>0</v>
      </c>
      <c r="O663" s="25">
        <f>IF(N663="","",IFERROR(N663/INDEX(Recipes!$G$5:$G$204,MATCH(B663,Recipes!$A$5:$A$204,0)),""))</f>
        <v>0</v>
      </c>
      <c r="P663" s="30">
        <f>IF(J663="","",IF(K663="each",J663,J663/100))</f>
        <v>0</v>
      </c>
      <c r="Q663" s="30">
        <f>IFERROR(IF(P663="","",P663*INDEX(Ingredients!$P$5:$P$304,MATCH(D663,Ingredients!$B$5:$B$304,0))),"")</f>
        <v>0</v>
      </c>
      <c r="R663" s="45">
        <f>IFERROR(IF(P663="","",P663*INDEX(Ingredients!$Q$5:$Q$304,MATCH(D663,Ingredients!$B$5:$B$304,0))),"")</f>
        <v>0</v>
      </c>
      <c r="S663" s="45">
        <f>IFERROR(IF(P663="","",P663*INDEX(Ingredients!$R$5:$R$304,MATCH(D663,Ingredients!$B$5:$B$304,0))),"")</f>
        <v>0</v>
      </c>
      <c r="T663" s="45">
        <f>IFERROR(IF(P663="","",P663*INDEX(Ingredients!$S$5:$S$304,MATCH(D663,Ingredients!$B$5:$B$304,0))),"")</f>
        <v>0</v>
      </c>
      <c r="U663" s="45">
        <f>IFERROR(IF(P663="","",P663*INDEX(Ingredients!$T$5:$T$304,MATCH(D663,Ingredients!$B$5:$B$304,0))),"")</f>
        <v>0</v>
      </c>
      <c r="V663" s="17">
        <f>IF(D663="","",IFERROR(INDEX(Ingredients!$W$5:$W$304,MATCH(D663,Ingredients!$B$5:$B$304,0)),"Add to Ingredients"))</f>
        <v>0</v>
      </c>
      <c r="W663" s="17">
        <f>IF(D663="","",IFERROR(INDEX(Ingredients!$C$5:$C$304,MATCH(D663,Ingredients!$B$5:$B$304,0)),"Add to Ingredients"))</f>
        <v>0</v>
      </c>
      <c r="X663" s="45">
        <f>IFERROR(INDEX(Recipes!$AT$5:$AT$204,MATCH(B663,Recipes!$A$5:$A$204,0)),0)</f>
        <v>0</v>
      </c>
      <c r="Y663" s="45">
        <f>IF(OR(J663="",X663=0),"",J663*X663)</f>
        <v>0</v>
      </c>
      <c r="Z663" s="17">
        <f>IF(D663="","",B663&amp;"#"&amp;COUNTIFS($B$5:B663,B663))</f>
        <v>0</v>
      </c>
      <c r="AA663" s="17">
        <f>IF(D663="","",B663&amp;"|"&amp;D663)</f>
        <v>0</v>
      </c>
      <c r="AB663" s="31">
        <f>IF(D663="","",IF(B663="","Add - which recipe?",IF(COUNTIFS(Ingredients!$B$5:$B$304,D663)=0,"Missing - not in the Ingredients tab",IF(E663="","Add - no quantity",IF(F663="","Add - no unit",IF(K663&lt;&gt;L663,"Check - recipe in "&amp;K663&amp;", priced in "&amp;L663,IF(COUNTIFS($AA$5:$AA$1204,AA663)&gt;1,"Duplicate - same ingredient twice","OK")))))))</f>
        <v>0</v>
      </c>
    </row>
    <row r="664" spans="1:28">
      <c r="A664" s="39">
        <f>IF(D664="","","RL-"&amp;TEXT(ROW()-4,"0000"))</f>
        <v>0</v>
      </c>
      <c r="C664" s="17">
        <f>IF(B664="","",IFERROR(INDEX(Recipes!$B$5:$B$204,MATCH(B664,Recipes!$A$5:$A$204,0)),"Not found"))</f>
        <v>0</v>
      </c>
      <c r="J664" s="45">
        <f>IF(E664="","",IFERROR(E664*INDEX(UnitFactors,MATCH(F664,UnitNames,0)),""))</f>
        <v>0</v>
      </c>
      <c r="K664" s="17">
        <f>IF(F664="","",IFERROR(INDEX(UnitBases,MATCH(F664,UnitNames,0)),"?"))</f>
        <v>0</v>
      </c>
      <c r="L664" s="17">
        <f>IF(D664="","",IFERROR(INDEX(Ingredients!$G$5:$G$304,MATCH(D664,Ingredients!$B$5:$B$304,0)),"Add to Ingredients"))</f>
        <v>0</v>
      </c>
      <c r="M664" s="25">
        <f>IF(D664="","",IFERROR(INDEX(Ingredients!$J$5:$J$304,MATCH(D664,Ingredients!$B$5:$B$304,0)),"Add to Ingredients"))</f>
        <v>0</v>
      </c>
      <c r="N664" s="25">
        <f>IF(OR(J664="",M664="",NOT(ISNUMBER(M664))),"",IF(K664&lt;&gt;L664,"",J664*M664))</f>
        <v>0</v>
      </c>
      <c r="O664" s="25">
        <f>IF(N664="","",IFERROR(N664/INDEX(Recipes!$G$5:$G$204,MATCH(B664,Recipes!$A$5:$A$204,0)),""))</f>
        <v>0</v>
      </c>
      <c r="P664" s="30">
        <f>IF(J664="","",IF(K664="each",J664,J664/100))</f>
        <v>0</v>
      </c>
      <c r="Q664" s="30">
        <f>IFERROR(IF(P664="","",P664*INDEX(Ingredients!$P$5:$P$304,MATCH(D664,Ingredients!$B$5:$B$304,0))),"")</f>
        <v>0</v>
      </c>
      <c r="R664" s="45">
        <f>IFERROR(IF(P664="","",P664*INDEX(Ingredients!$Q$5:$Q$304,MATCH(D664,Ingredients!$B$5:$B$304,0))),"")</f>
        <v>0</v>
      </c>
      <c r="S664" s="45">
        <f>IFERROR(IF(P664="","",P664*INDEX(Ingredients!$R$5:$R$304,MATCH(D664,Ingredients!$B$5:$B$304,0))),"")</f>
        <v>0</v>
      </c>
      <c r="T664" s="45">
        <f>IFERROR(IF(P664="","",P664*INDEX(Ingredients!$S$5:$S$304,MATCH(D664,Ingredients!$B$5:$B$304,0))),"")</f>
        <v>0</v>
      </c>
      <c r="U664" s="45">
        <f>IFERROR(IF(P664="","",P664*INDEX(Ingredients!$T$5:$T$304,MATCH(D664,Ingredients!$B$5:$B$304,0))),"")</f>
        <v>0</v>
      </c>
      <c r="V664" s="17">
        <f>IF(D664="","",IFERROR(INDEX(Ingredients!$W$5:$W$304,MATCH(D664,Ingredients!$B$5:$B$304,0)),"Add to Ingredients"))</f>
        <v>0</v>
      </c>
      <c r="W664" s="17">
        <f>IF(D664="","",IFERROR(INDEX(Ingredients!$C$5:$C$304,MATCH(D664,Ingredients!$B$5:$B$304,0)),"Add to Ingredients"))</f>
        <v>0</v>
      </c>
      <c r="X664" s="45">
        <f>IFERROR(INDEX(Recipes!$AT$5:$AT$204,MATCH(B664,Recipes!$A$5:$A$204,0)),0)</f>
        <v>0</v>
      </c>
      <c r="Y664" s="45">
        <f>IF(OR(J664="",X664=0),"",J664*X664)</f>
        <v>0</v>
      </c>
      <c r="Z664" s="17">
        <f>IF(D664="","",B664&amp;"#"&amp;COUNTIFS($B$5:B664,B664))</f>
        <v>0</v>
      </c>
      <c r="AA664" s="17">
        <f>IF(D664="","",B664&amp;"|"&amp;D664)</f>
        <v>0</v>
      </c>
      <c r="AB664" s="31">
        <f>IF(D664="","",IF(B664="","Add - which recipe?",IF(COUNTIFS(Ingredients!$B$5:$B$304,D664)=0,"Missing - not in the Ingredients tab",IF(E664="","Add - no quantity",IF(F664="","Add - no unit",IF(K664&lt;&gt;L664,"Check - recipe in "&amp;K664&amp;", priced in "&amp;L664,IF(COUNTIFS($AA$5:$AA$1204,AA664)&gt;1,"Duplicate - same ingredient twice","OK")))))))</f>
        <v>0</v>
      </c>
    </row>
    <row r="665" spans="1:28">
      <c r="A665" s="39">
        <f>IF(D665="","","RL-"&amp;TEXT(ROW()-4,"0000"))</f>
        <v>0</v>
      </c>
      <c r="C665" s="17">
        <f>IF(B665="","",IFERROR(INDEX(Recipes!$B$5:$B$204,MATCH(B665,Recipes!$A$5:$A$204,0)),"Not found"))</f>
        <v>0</v>
      </c>
      <c r="J665" s="45">
        <f>IF(E665="","",IFERROR(E665*INDEX(UnitFactors,MATCH(F665,UnitNames,0)),""))</f>
        <v>0</v>
      </c>
      <c r="K665" s="17">
        <f>IF(F665="","",IFERROR(INDEX(UnitBases,MATCH(F665,UnitNames,0)),"?"))</f>
        <v>0</v>
      </c>
      <c r="L665" s="17">
        <f>IF(D665="","",IFERROR(INDEX(Ingredients!$G$5:$G$304,MATCH(D665,Ingredients!$B$5:$B$304,0)),"Add to Ingredients"))</f>
        <v>0</v>
      </c>
      <c r="M665" s="25">
        <f>IF(D665="","",IFERROR(INDEX(Ingredients!$J$5:$J$304,MATCH(D665,Ingredients!$B$5:$B$304,0)),"Add to Ingredients"))</f>
        <v>0</v>
      </c>
      <c r="N665" s="25">
        <f>IF(OR(J665="",M665="",NOT(ISNUMBER(M665))),"",IF(K665&lt;&gt;L665,"",J665*M665))</f>
        <v>0</v>
      </c>
      <c r="O665" s="25">
        <f>IF(N665="","",IFERROR(N665/INDEX(Recipes!$G$5:$G$204,MATCH(B665,Recipes!$A$5:$A$204,0)),""))</f>
        <v>0</v>
      </c>
      <c r="P665" s="30">
        <f>IF(J665="","",IF(K665="each",J665,J665/100))</f>
        <v>0</v>
      </c>
      <c r="Q665" s="30">
        <f>IFERROR(IF(P665="","",P665*INDEX(Ingredients!$P$5:$P$304,MATCH(D665,Ingredients!$B$5:$B$304,0))),"")</f>
        <v>0</v>
      </c>
      <c r="R665" s="45">
        <f>IFERROR(IF(P665="","",P665*INDEX(Ingredients!$Q$5:$Q$304,MATCH(D665,Ingredients!$B$5:$B$304,0))),"")</f>
        <v>0</v>
      </c>
      <c r="S665" s="45">
        <f>IFERROR(IF(P665="","",P665*INDEX(Ingredients!$R$5:$R$304,MATCH(D665,Ingredients!$B$5:$B$304,0))),"")</f>
        <v>0</v>
      </c>
      <c r="T665" s="45">
        <f>IFERROR(IF(P665="","",P665*INDEX(Ingredients!$S$5:$S$304,MATCH(D665,Ingredients!$B$5:$B$304,0))),"")</f>
        <v>0</v>
      </c>
      <c r="U665" s="45">
        <f>IFERROR(IF(P665="","",P665*INDEX(Ingredients!$T$5:$T$304,MATCH(D665,Ingredients!$B$5:$B$304,0))),"")</f>
        <v>0</v>
      </c>
      <c r="V665" s="17">
        <f>IF(D665="","",IFERROR(INDEX(Ingredients!$W$5:$W$304,MATCH(D665,Ingredients!$B$5:$B$304,0)),"Add to Ingredients"))</f>
        <v>0</v>
      </c>
      <c r="W665" s="17">
        <f>IF(D665="","",IFERROR(INDEX(Ingredients!$C$5:$C$304,MATCH(D665,Ingredients!$B$5:$B$304,0)),"Add to Ingredients"))</f>
        <v>0</v>
      </c>
      <c r="X665" s="45">
        <f>IFERROR(INDEX(Recipes!$AT$5:$AT$204,MATCH(B665,Recipes!$A$5:$A$204,0)),0)</f>
        <v>0</v>
      </c>
      <c r="Y665" s="45">
        <f>IF(OR(J665="",X665=0),"",J665*X665)</f>
        <v>0</v>
      </c>
      <c r="Z665" s="17">
        <f>IF(D665="","",B665&amp;"#"&amp;COUNTIFS($B$5:B665,B665))</f>
        <v>0</v>
      </c>
      <c r="AA665" s="17">
        <f>IF(D665="","",B665&amp;"|"&amp;D665)</f>
        <v>0</v>
      </c>
      <c r="AB665" s="31">
        <f>IF(D665="","",IF(B665="","Add - which recipe?",IF(COUNTIFS(Ingredients!$B$5:$B$304,D665)=0,"Missing - not in the Ingredients tab",IF(E665="","Add - no quantity",IF(F665="","Add - no unit",IF(K665&lt;&gt;L665,"Check - recipe in "&amp;K665&amp;", priced in "&amp;L665,IF(COUNTIFS($AA$5:$AA$1204,AA665)&gt;1,"Duplicate - same ingredient twice","OK")))))))</f>
        <v>0</v>
      </c>
    </row>
    <row r="666" spans="1:28">
      <c r="A666" s="39">
        <f>IF(D666="","","RL-"&amp;TEXT(ROW()-4,"0000"))</f>
        <v>0</v>
      </c>
      <c r="C666" s="17">
        <f>IF(B666="","",IFERROR(INDEX(Recipes!$B$5:$B$204,MATCH(B666,Recipes!$A$5:$A$204,0)),"Not found"))</f>
        <v>0</v>
      </c>
      <c r="J666" s="45">
        <f>IF(E666="","",IFERROR(E666*INDEX(UnitFactors,MATCH(F666,UnitNames,0)),""))</f>
        <v>0</v>
      </c>
      <c r="K666" s="17">
        <f>IF(F666="","",IFERROR(INDEX(UnitBases,MATCH(F666,UnitNames,0)),"?"))</f>
        <v>0</v>
      </c>
      <c r="L666" s="17">
        <f>IF(D666="","",IFERROR(INDEX(Ingredients!$G$5:$G$304,MATCH(D666,Ingredients!$B$5:$B$304,0)),"Add to Ingredients"))</f>
        <v>0</v>
      </c>
      <c r="M666" s="25">
        <f>IF(D666="","",IFERROR(INDEX(Ingredients!$J$5:$J$304,MATCH(D666,Ingredients!$B$5:$B$304,0)),"Add to Ingredients"))</f>
        <v>0</v>
      </c>
      <c r="N666" s="25">
        <f>IF(OR(J666="",M666="",NOT(ISNUMBER(M666))),"",IF(K666&lt;&gt;L666,"",J666*M666))</f>
        <v>0</v>
      </c>
      <c r="O666" s="25">
        <f>IF(N666="","",IFERROR(N666/INDEX(Recipes!$G$5:$G$204,MATCH(B666,Recipes!$A$5:$A$204,0)),""))</f>
        <v>0</v>
      </c>
      <c r="P666" s="30">
        <f>IF(J666="","",IF(K666="each",J666,J666/100))</f>
        <v>0</v>
      </c>
      <c r="Q666" s="30">
        <f>IFERROR(IF(P666="","",P666*INDEX(Ingredients!$P$5:$P$304,MATCH(D666,Ingredients!$B$5:$B$304,0))),"")</f>
        <v>0</v>
      </c>
      <c r="R666" s="45">
        <f>IFERROR(IF(P666="","",P666*INDEX(Ingredients!$Q$5:$Q$304,MATCH(D666,Ingredients!$B$5:$B$304,0))),"")</f>
        <v>0</v>
      </c>
      <c r="S666" s="45">
        <f>IFERROR(IF(P666="","",P666*INDEX(Ingredients!$R$5:$R$304,MATCH(D666,Ingredients!$B$5:$B$304,0))),"")</f>
        <v>0</v>
      </c>
      <c r="T666" s="45">
        <f>IFERROR(IF(P666="","",P666*INDEX(Ingredients!$S$5:$S$304,MATCH(D666,Ingredients!$B$5:$B$304,0))),"")</f>
        <v>0</v>
      </c>
      <c r="U666" s="45">
        <f>IFERROR(IF(P666="","",P666*INDEX(Ingredients!$T$5:$T$304,MATCH(D666,Ingredients!$B$5:$B$304,0))),"")</f>
        <v>0</v>
      </c>
      <c r="V666" s="17">
        <f>IF(D666="","",IFERROR(INDEX(Ingredients!$W$5:$W$304,MATCH(D666,Ingredients!$B$5:$B$304,0)),"Add to Ingredients"))</f>
        <v>0</v>
      </c>
      <c r="W666" s="17">
        <f>IF(D666="","",IFERROR(INDEX(Ingredients!$C$5:$C$304,MATCH(D666,Ingredients!$B$5:$B$304,0)),"Add to Ingredients"))</f>
        <v>0</v>
      </c>
      <c r="X666" s="45">
        <f>IFERROR(INDEX(Recipes!$AT$5:$AT$204,MATCH(B666,Recipes!$A$5:$A$204,0)),0)</f>
        <v>0</v>
      </c>
      <c r="Y666" s="45">
        <f>IF(OR(J666="",X666=0),"",J666*X666)</f>
        <v>0</v>
      </c>
      <c r="Z666" s="17">
        <f>IF(D666="","",B666&amp;"#"&amp;COUNTIFS($B$5:B666,B666))</f>
        <v>0</v>
      </c>
      <c r="AA666" s="17">
        <f>IF(D666="","",B666&amp;"|"&amp;D666)</f>
        <v>0</v>
      </c>
      <c r="AB666" s="31">
        <f>IF(D666="","",IF(B666="","Add - which recipe?",IF(COUNTIFS(Ingredients!$B$5:$B$304,D666)=0,"Missing - not in the Ingredients tab",IF(E666="","Add - no quantity",IF(F666="","Add - no unit",IF(K666&lt;&gt;L666,"Check - recipe in "&amp;K666&amp;", priced in "&amp;L666,IF(COUNTIFS($AA$5:$AA$1204,AA666)&gt;1,"Duplicate - same ingredient twice","OK")))))))</f>
        <v>0</v>
      </c>
    </row>
    <row r="667" spans="1:28">
      <c r="A667" s="39">
        <f>IF(D667="","","RL-"&amp;TEXT(ROW()-4,"0000"))</f>
        <v>0</v>
      </c>
      <c r="C667" s="17">
        <f>IF(B667="","",IFERROR(INDEX(Recipes!$B$5:$B$204,MATCH(B667,Recipes!$A$5:$A$204,0)),"Not found"))</f>
        <v>0</v>
      </c>
      <c r="J667" s="45">
        <f>IF(E667="","",IFERROR(E667*INDEX(UnitFactors,MATCH(F667,UnitNames,0)),""))</f>
        <v>0</v>
      </c>
      <c r="K667" s="17">
        <f>IF(F667="","",IFERROR(INDEX(UnitBases,MATCH(F667,UnitNames,0)),"?"))</f>
        <v>0</v>
      </c>
      <c r="L667" s="17">
        <f>IF(D667="","",IFERROR(INDEX(Ingredients!$G$5:$G$304,MATCH(D667,Ingredients!$B$5:$B$304,0)),"Add to Ingredients"))</f>
        <v>0</v>
      </c>
      <c r="M667" s="25">
        <f>IF(D667="","",IFERROR(INDEX(Ingredients!$J$5:$J$304,MATCH(D667,Ingredients!$B$5:$B$304,0)),"Add to Ingredients"))</f>
        <v>0</v>
      </c>
      <c r="N667" s="25">
        <f>IF(OR(J667="",M667="",NOT(ISNUMBER(M667))),"",IF(K667&lt;&gt;L667,"",J667*M667))</f>
        <v>0</v>
      </c>
      <c r="O667" s="25">
        <f>IF(N667="","",IFERROR(N667/INDEX(Recipes!$G$5:$G$204,MATCH(B667,Recipes!$A$5:$A$204,0)),""))</f>
        <v>0</v>
      </c>
      <c r="P667" s="30">
        <f>IF(J667="","",IF(K667="each",J667,J667/100))</f>
        <v>0</v>
      </c>
      <c r="Q667" s="30">
        <f>IFERROR(IF(P667="","",P667*INDEX(Ingredients!$P$5:$P$304,MATCH(D667,Ingredients!$B$5:$B$304,0))),"")</f>
        <v>0</v>
      </c>
      <c r="R667" s="45">
        <f>IFERROR(IF(P667="","",P667*INDEX(Ingredients!$Q$5:$Q$304,MATCH(D667,Ingredients!$B$5:$B$304,0))),"")</f>
        <v>0</v>
      </c>
      <c r="S667" s="45">
        <f>IFERROR(IF(P667="","",P667*INDEX(Ingredients!$R$5:$R$304,MATCH(D667,Ingredients!$B$5:$B$304,0))),"")</f>
        <v>0</v>
      </c>
      <c r="T667" s="45">
        <f>IFERROR(IF(P667="","",P667*INDEX(Ingredients!$S$5:$S$304,MATCH(D667,Ingredients!$B$5:$B$304,0))),"")</f>
        <v>0</v>
      </c>
      <c r="U667" s="45">
        <f>IFERROR(IF(P667="","",P667*INDEX(Ingredients!$T$5:$T$304,MATCH(D667,Ingredients!$B$5:$B$304,0))),"")</f>
        <v>0</v>
      </c>
      <c r="V667" s="17">
        <f>IF(D667="","",IFERROR(INDEX(Ingredients!$W$5:$W$304,MATCH(D667,Ingredients!$B$5:$B$304,0)),"Add to Ingredients"))</f>
        <v>0</v>
      </c>
      <c r="W667" s="17">
        <f>IF(D667="","",IFERROR(INDEX(Ingredients!$C$5:$C$304,MATCH(D667,Ingredients!$B$5:$B$304,0)),"Add to Ingredients"))</f>
        <v>0</v>
      </c>
      <c r="X667" s="45">
        <f>IFERROR(INDEX(Recipes!$AT$5:$AT$204,MATCH(B667,Recipes!$A$5:$A$204,0)),0)</f>
        <v>0</v>
      </c>
      <c r="Y667" s="45">
        <f>IF(OR(J667="",X667=0),"",J667*X667)</f>
        <v>0</v>
      </c>
      <c r="Z667" s="17">
        <f>IF(D667="","",B667&amp;"#"&amp;COUNTIFS($B$5:B667,B667))</f>
        <v>0</v>
      </c>
      <c r="AA667" s="17">
        <f>IF(D667="","",B667&amp;"|"&amp;D667)</f>
        <v>0</v>
      </c>
      <c r="AB667" s="31">
        <f>IF(D667="","",IF(B667="","Add - which recipe?",IF(COUNTIFS(Ingredients!$B$5:$B$304,D667)=0,"Missing - not in the Ingredients tab",IF(E667="","Add - no quantity",IF(F667="","Add - no unit",IF(K667&lt;&gt;L667,"Check - recipe in "&amp;K667&amp;", priced in "&amp;L667,IF(COUNTIFS($AA$5:$AA$1204,AA667)&gt;1,"Duplicate - same ingredient twice","OK")))))))</f>
        <v>0</v>
      </c>
    </row>
    <row r="668" spans="1:28">
      <c r="A668" s="39">
        <f>IF(D668="","","RL-"&amp;TEXT(ROW()-4,"0000"))</f>
        <v>0</v>
      </c>
      <c r="C668" s="17">
        <f>IF(B668="","",IFERROR(INDEX(Recipes!$B$5:$B$204,MATCH(B668,Recipes!$A$5:$A$204,0)),"Not found"))</f>
        <v>0</v>
      </c>
      <c r="J668" s="45">
        <f>IF(E668="","",IFERROR(E668*INDEX(UnitFactors,MATCH(F668,UnitNames,0)),""))</f>
        <v>0</v>
      </c>
      <c r="K668" s="17">
        <f>IF(F668="","",IFERROR(INDEX(UnitBases,MATCH(F668,UnitNames,0)),"?"))</f>
        <v>0</v>
      </c>
      <c r="L668" s="17">
        <f>IF(D668="","",IFERROR(INDEX(Ingredients!$G$5:$G$304,MATCH(D668,Ingredients!$B$5:$B$304,0)),"Add to Ingredients"))</f>
        <v>0</v>
      </c>
      <c r="M668" s="25">
        <f>IF(D668="","",IFERROR(INDEX(Ingredients!$J$5:$J$304,MATCH(D668,Ingredients!$B$5:$B$304,0)),"Add to Ingredients"))</f>
        <v>0</v>
      </c>
      <c r="N668" s="25">
        <f>IF(OR(J668="",M668="",NOT(ISNUMBER(M668))),"",IF(K668&lt;&gt;L668,"",J668*M668))</f>
        <v>0</v>
      </c>
      <c r="O668" s="25">
        <f>IF(N668="","",IFERROR(N668/INDEX(Recipes!$G$5:$G$204,MATCH(B668,Recipes!$A$5:$A$204,0)),""))</f>
        <v>0</v>
      </c>
      <c r="P668" s="30">
        <f>IF(J668="","",IF(K668="each",J668,J668/100))</f>
        <v>0</v>
      </c>
      <c r="Q668" s="30">
        <f>IFERROR(IF(P668="","",P668*INDEX(Ingredients!$P$5:$P$304,MATCH(D668,Ingredients!$B$5:$B$304,0))),"")</f>
        <v>0</v>
      </c>
      <c r="R668" s="45">
        <f>IFERROR(IF(P668="","",P668*INDEX(Ingredients!$Q$5:$Q$304,MATCH(D668,Ingredients!$B$5:$B$304,0))),"")</f>
        <v>0</v>
      </c>
      <c r="S668" s="45">
        <f>IFERROR(IF(P668="","",P668*INDEX(Ingredients!$R$5:$R$304,MATCH(D668,Ingredients!$B$5:$B$304,0))),"")</f>
        <v>0</v>
      </c>
      <c r="T668" s="45">
        <f>IFERROR(IF(P668="","",P668*INDEX(Ingredients!$S$5:$S$304,MATCH(D668,Ingredients!$B$5:$B$304,0))),"")</f>
        <v>0</v>
      </c>
      <c r="U668" s="45">
        <f>IFERROR(IF(P668="","",P668*INDEX(Ingredients!$T$5:$T$304,MATCH(D668,Ingredients!$B$5:$B$304,0))),"")</f>
        <v>0</v>
      </c>
      <c r="V668" s="17">
        <f>IF(D668="","",IFERROR(INDEX(Ingredients!$W$5:$W$304,MATCH(D668,Ingredients!$B$5:$B$304,0)),"Add to Ingredients"))</f>
        <v>0</v>
      </c>
      <c r="W668" s="17">
        <f>IF(D668="","",IFERROR(INDEX(Ingredients!$C$5:$C$304,MATCH(D668,Ingredients!$B$5:$B$304,0)),"Add to Ingredients"))</f>
        <v>0</v>
      </c>
      <c r="X668" s="45">
        <f>IFERROR(INDEX(Recipes!$AT$5:$AT$204,MATCH(B668,Recipes!$A$5:$A$204,0)),0)</f>
        <v>0</v>
      </c>
      <c r="Y668" s="45">
        <f>IF(OR(J668="",X668=0),"",J668*X668)</f>
        <v>0</v>
      </c>
      <c r="Z668" s="17">
        <f>IF(D668="","",B668&amp;"#"&amp;COUNTIFS($B$5:B668,B668))</f>
        <v>0</v>
      </c>
      <c r="AA668" s="17">
        <f>IF(D668="","",B668&amp;"|"&amp;D668)</f>
        <v>0</v>
      </c>
      <c r="AB668" s="31">
        <f>IF(D668="","",IF(B668="","Add - which recipe?",IF(COUNTIFS(Ingredients!$B$5:$B$304,D668)=0,"Missing - not in the Ingredients tab",IF(E668="","Add - no quantity",IF(F668="","Add - no unit",IF(K668&lt;&gt;L668,"Check - recipe in "&amp;K668&amp;", priced in "&amp;L668,IF(COUNTIFS($AA$5:$AA$1204,AA668)&gt;1,"Duplicate - same ingredient twice","OK")))))))</f>
        <v>0</v>
      </c>
    </row>
    <row r="669" spans="1:28">
      <c r="A669" s="39">
        <f>IF(D669="","","RL-"&amp;TEXT(ROW()-4,"0000"))</f>
        <v>0</v>
      </c>
      <c r="C669" s="17">
        <f>IF(B669="","",IFERROR(INDEX(Recipes!$B$5:$B$204,MATCH(B669,Recipes!$A$5:$A$204,0)),"Not found"))</f>
        <v>0</v>
      </c>
      <c r="J669" s="45">
        <f>IF(E669="","",IFERROR(E669*INDEX(UnitFactors,MATCH(F669,UnitNames,0)),""))</f>
        <v>0</v>
      </c>
      <c r="K669" s="17">
        <f>IF(F669="","",IFERROR(INDEX(UnitBases,MATCH(F669,UnitNames,0)),"?"))</f>
        <v>0</v>
      </c>
      <c r="L669" s="17">
        <f>IF(D669="","",IFERROR(INDEX(Ingredients!$G$5:$G$304,MATCH(D669,Ingredients!$B$5:$B$304,0)),"Add to Ingredients"))</f>
        <v>0</v>
      </c>
      <c r="M669" s="25">
        <f>IF(D669="","",IFERROR(INDEX(Ingredients!$J$5:$J$304,MATCH(D669,Ingredients!$B$5:$B$304,0)),"Add to Ingredients"))</f>
        <v>0</v>
      </c>
      <c r="N669" s="25">
        <f>IF(OR(J669="",M669="",NOT(ISNUMBER(M669))),"",IF(K669&lt;&gt;L669,"",J669*M669))</f>
        <v>0</v>
      </c>
      <c r="O669" s="25">
        <f>IF(N669="","",IFERROR(N669/INDEX(Recipes!$G$5:$G$204,MATCH(B669,Recipes!$A$5:$A$204,0)),""))</f>
        <v>0</v>
      </c>
      <c r="P669" s="30">
        <f>IF(J669="","",IF(K669="each",J669,J669/100))</f>
        <v>0</v>
      </c>
      <c r="Q669" s="30">
        <f>IFERROR(IF(P669="","",P669*INDEX(Ingredients!$P$5:$P$304,MATCH(D669,Ingredients!$B$5:$B$304,0))),"")</f>
        <v>0</v>
      </c>
      <c r="R669" s="45">
        <f>IFERROR(IF(P669="","",P669*INDEX(Ingredients!$Q$5:$Q$304,MATCH(D669,Ingredients!$B$5:$B$304,0))),"")</f>
        <v>0</v>
      </c>
      <c r="S669" s="45">
        <f>IFERROR(IF(P669="","",P669*INDEX(Ingredients!$R$5:$R$304,MATCH(D669,Ingredients!$B$5:$B$304,0))),"")</f>
        <v>0</v>
      </c>
      <c r="T669" s="45">
        <f>IFERROR(IF(P669="","",P669*INDEX(Ingredients!$S$5:$S$304,MATCH(D669,Ingredients!$B$5:$B$304,0))),"")</f>
        <v>0</v>
      </c>
      <c r="U669" s="45">
        <f>IFERROR(IF(P669="","",P669*INDEX(Ingredients!$T$5:$T$304,MATCH(D669,Ingredients!$B$5:$B$304,0))),"")</f>
        <v>0</v>
      </c>
      <c r="V669" s="17">
        <f>IF(D669="","",IFERROR(INDEX(Ingredients!$W$5:$W$304,MATCH(D669,Ingredients!$B$5:$B$304,0)),"Add to Ingredients"))</f>
        <v>0</v>
      </c>
      <c r="W669" s="17">
        <f>IF(D669="","",IFERROR(INDEX(Ingredients!$C$5:$C$304,MATCH(D669,Ingredients!$B$5:$B$304,0)),"Add to Ingredients"))</f>
        <v>0</v>
      </c>
      <c r="X669" s="45">
        <f>IFERROR(INDEX(Recipes!$AT$5:$AT$204,MATCH(B669,Recipes!$A$5:$A$204,0)),0)</f>
        <v>0</v>
      </c>
      <c r="Y669" s="45">
        <f>IF(OR(J669="",X669=0),"",J669*X669)</f>
        <v>0</v>
      </c>
      <c r="Z669" s="17">
        <f>IF(D669="","",B669&amp;"#"&amp;COUNTIFS($B$5:B669,B669))</f>
        <v>0</v>
      </c>
      <c r="AA669" s="17">
        <f>IF(D669="","",B669&amp;"|"&amp;D669)</f>
        <v>0</v>
      </c>
      <c r="AB669" s="31">
        <f>IF(D669="","",IF(B669="","Add - which recipe?",IF(COUNTIFS(Ingredients!$B$5:$B$304,D669)=0,"Missing - not in the Ingredients tab",IF(E669="","Add - no quantity",IF(F669="","Add - no unit",IF(K669&lt;&gt;L669,"Check - recipe in "&amp;K669&amp;", priced in "&amp;L669,IF(COUNTIFS($AA$5:$AA$1204,AA669)&gt;1,"Duplicate - same ingredient twice","OK")))))))</f>
        <v>0</v>
      </c>
    </row>
    <row r="670" spans="1:28">
      <c r="A670" s="39">
        <f>IF(D670="","","RL-"&amp;TEXT(ROW()-4,"0000"))</f>
        <v>0</v>
      </c>
      <c r="C670" s="17">
        <f>IF(B670="","",IFERROR(INDEX(Recipes!$B$5:$B$204,MATCH(B670,Recipes!$A$5:$A$204,0)),"Not found"))</f>
        <v>0</v>
      </c>
      <c r="J670" s="45">
        <f>IF(E670="","",IFERROR(E670*INDEX(UnitFactors,MATCH(F670,UnitNames,0)),""))</f>
        <v>0</v>
      </c>
      <c r="K670" s="17">
        <f>IF(F670="","",IFERROR(INDEX(UnitBases,MATCH(F670,UnitNames,0)),"?"))</f>
        <v>0</v>
      </c>
      <c r="L670" s="17">
        <f>IF(D670="","",IFERROR(INDEX(Ingredients!$G$5:$G$304,MATCH(D670,Ingredients!$B$5:$B$304,0)),"Add to Ingredients"))</f>
        <v>0</v>
      </c>
      <c r="M670" s="25">
        <f>IF(D670="","",IFERROR(INDEX(Ingredients!$J$5:$J$304,MATCH(D670,Ingredients!$B$5:$B$304,0)),"Add to Ingredients"))</f>
        <v>0</v>
      </c>
      <c r="N670" s="25">
        <f>IF(OR(J670="",M670="",NOT(ISNUMBER(M670))),"",IF(K670&lt;&gt;L670,"",J670*M670))</f>
        <v>0</v>
      </c>
      <c r="O670" s="25">
        <f>IF(N670="","",IFERROR(N670/INDEX(Recipes!$G$5:$G$204,MATCH(B670,Recipes!$A$5:$A$204,0)),""))</f>
        <v>0</v>
      </c>
      <c r="P670" s="30">
        <f>IF(J670="","",IF(K670="each",J670,J670/100))</f>
        <v>0</v>
      </c>
      <c r="Q670" s="30">
        <f>IFERROR(IF(P670="","",P670*INDEX(Ingredients!$P$5:$P$304,MATCH(D670,Ingredients!$B$5:$B$304,0))),"")</f>
        <v>0</v>
      </c>
      <c r="R670" s="45">
        <f>IFERROR(IF(P670="","",P670*INDEX(Ingredients!$Q$5:$Q$304,MATCH(D670,Ingredients!$B$5:$B$304,0))),"")</f>
        <v>0</v>
      </c>
      <c r="S670" s="45">
        <f>IFERROR(IF(P670="","",P670*INDEX(Ingredients!$R$5:$R$304,MATCH(D670,Ingredients!$B$5:$B$304,0))),"")</f>
        <v>0</v>
      </c>
      <c r="T670" s="45">
        <f>IFERROR(IF(P670="","",P670*INDEX(Ingredients!$S$5:$S$304,MATCH(D670,Ingredients!$B$5:$B$304,0))),"")</f>
        <v>0</v>
      </c>
      <c r="U670" s="45">
        <f>IFERROR(IF(P670="","",P670*INDEX(Ingredients!$T$5:$T$304,MATCH(D670,Ingredients!$B$5:$B$304,0))),"")</f>
        <v>0</v>
      </c>
      <c r="V670" s="17">
        <f>IF(D670="","",IFERROR(INDEX(Ingredients!$W$5:$W$304,MATCH(D670,Ingredients!$B$5:$B$304,0)),"Add to Ingredients"))</f>
        <v>0</v>
      </c>
      <c r="W670" s="17">
        <f>IF(D670="","",IFERROR(INDEX(Ingredients!$C$5:$C$304,MATCH(D670,Ingredients!$B$5:$B$304,0)),"Add to Ingredients"))</f>
        <v>0</v>
      </c>
      <c r="X670" s="45">
        <f>IFERROR(INDEX(Recipes!$AT$5:$AT$204,MATCH(B670,Recipes!$A$5:$A$204,0)),0)</f>
        <v>0</v>
      </c>
      <c r="Y670" s="45">
        <f>IF(OR(J670="",X670=0),"",J670*X670)</f>
        <v>0</v>
      </c>
      <c r="Z670" s="17">
        <f>IF(D670="","",B670&amp;"#"&amp;COUNTIFS($B$5:B670,B670))</f>
        <v>0</v>
      </c>
      <c r="AA670" s="17">
        <f>IF(D670="","",B670&amp;"|"&amp;D670)</f>
        <v>0</v>
      </c>
      <c r="AB670" s="31">
        <f>IF(D670="","",IF(B670="","Add - which recipe?",IF(COUNTIFS(Ingredients!$B$5:$B$304,D670)=0,"Missing - not in the Ingredients tab",IF(E670="","Add - no quantity",IF(F670="","Add - no unit",IF(K670&lt;&gt;L670,"Check - recipe in "&amp;K670&amp;", priced in "&amp;L670,IF(COUNTIFS($AA$5:$AA$1204,AA670)&gt;1,"Duplicate - same ingredient twice","OK")))))))</f>
        <v>0</v>
      </c>
    </row>
    <row r="671" spans="1:28">
      <c r="A671" s="39">
        <f>IF(D671="","","RL-"&amp;TEXT(ROW()-4,"0000"))</f>
        <v>0</v>
      </c>
      <c r="C671" s="17">
        <f>IF(B671="","",IFERROR(INDEX(Recipes!$B$5:$B$204,MATCH(B671,Recipes!$A$5:$A$204,0)),"Not found"))</f>
        <v>0</v>
      </c>
      <c r="J671" s="45">
        <f>IF(E671="","",IFERROR(E671*INDEX(UnitFactors,MATCH(F671,UnitNames,0)),""))</f>
        <v>0</v>
      </c>
      <c r="K671" s="17">
        <f>IF(F671="","",IFERROR(INDEX(UnitBases,MATCH(F671,UnitNames,0)),"?"))</f>
        <v>0</v>
      </c>
      <c r="L671" s="17">
        <f>IF(D671="","",IFERROR(INDEX(Ingredients!$G$5:$G$304,MATCH(D671,Ingredients!$B$5:$B$304,0)),"Add to Ingredients"))</f>
        <v>0</v>
      </c>
      <c r="M671" s="25">
        <f>IF(D671="","",IFERROR(INDEX(Ingredients!$J$5:$J$304,MATCH(D671,Ingredients!$B$5:$B$304,0)),"Add to Ingredients"))</f>
        <v>0</v>
      </c>
      <c r="N671" s="25">
        <f>IF(OR(J671="",M671="",NOT(ISNUMBER(M671))),"",IF(K671&lt;&gt;L671,"",J671*M671))</f>
        <v>0</v>
      </c>
      <c r="O671" s="25">
        <f>IF(N671="","",IFERROR(N671/INDEX(Recipes!$G$5:$G$204,MATCH(B671,Recipes!$A$5:$A$204,0)),""))</f>
        <v>0</v>
      </c>
      <c r="P671" s="30">
        <f>IF(J671="","",IF(K671="each",J671,J671/100))</f>
        <v>0</v>
      </c>
      <c r="Q671" s="30">
        <f>IFERROR(IF(P671="","",P671*INDEX(Ingredients!$P$5:$P$304,MATCH(D671,Ingredients!$B$5:$B$304,0))),"")</f>
        <v>0</v>
      </c>
      <c r="R671" s="45">
        <f>IFERROR(IF(P671="","",P671*INDEX(Ingredients!$Q$5:$Q$304,MATCH(D671,Ingredients!$B$5:$B$304,0))),"")</f>
        <v>0</v>
      </c>
      <c r="S671" s="45">
        <f>IFERROR(IF(P671="","",P671*INDEX(Ingredients!$R$5:$R$304,MATCH(D671,Ingredients!$B$5:$B$304,0))),"")</f>
        <v>0</v>
      </c>
      <c r="T671" s="45">
        <f>IFERROR(IF(P671="","",P671*INDEX(Ingredients!$S$5:$S$304,MATCH(D671,Ingredients!$B$5:$B$304,0))),"")</f>
        <v>0</v>
      </c>
      <c r="U671" s="45">
        <f>IFERROR(IF(P671="","",P671*INDEX(Ingredients!$T$5:$T$304,MATCH(D671,Ingredients!$B$5:$B$304,0))),"")</f>
        <v>0</v>
      </c>
      <c r="V671" s="17">
        <f>IF(D671="","",IFERROR(INDEX(Ingredients!$W$5:$W$304,MATCH(D671,Ingredients!$B$5:$B$304,0)),"Add to Ingredients"))</f>
        <v>0</v>
      </c>
      <c r="W671" s="17">
        <f>IF(D671="","",IFERROR(INDEX(Ingredients!$C$5:$C$304,MATCH(D671,Ingredients!$B$5:$B$304,0)),"Add to Ingredients"))</f>
        <v>0</v>
      </c>
      <c r="X671" s="45">
        <f>IFERROR(INDEX(Recipes!$AT$5:$AT$204,MATCH(B671,Recipes!$A$5:$A$204,0)),0)</f>
        <v>0</v>
      </c>
      <c r="Y671" s="45">
        <f>IF(OR(J671="",X671=0),"",J671*X671)</f>
        <v>0</v>
      </c>
      <c r="Z671" s="17">
        <f>IF(D671="","",B671&amp;"#"&amp;COUNTIFS($B$5:B671,B671))</f>
        <v>0</v>
      </c>
      <c r="AA671" s="17">
        <f>IF(D671="","",B671&amp;"|"&amp;D671)</f>
        <v>0</v>
      </c>
      <c r="AB671" s="31">
        <f>IF(D671="","",IF(B671="","Add - which recipe?",IF(COUNTIFS(Ingredients!$B$5:$B$304,D671)=0,"Missing - not in the Ingredients tab",IF(E671="","Add - no quantity",IF(F671="","Add - no unit",IF(K671&lt;&gt;L671,"Check - recipe in "&amp;K671&amp;", priced in "&amp;L671,IF(COUNTIFS($AA$5:$AA$1204,AA671)&gt;1,"Duplicate - same ingredient twice","OK")))))))</f>
        <v>0</v>
      </c>
    </row>
    <row r="672" spans="1:28">
      <c r="A672" s="39">
        <f>IF(D672="","","RL-"&amp;TEXT(ROW()-4,"0000"))</f>
        <v>0</v>
      </c>
      <c r="C672" s="17">
        <f>IF(B672="","",IFERROR(INDEX(Recipes!$B$5:$B$204,MATCH(B672,Recipes!$A$5:$A$204,0)),"Not found"))</f>
        <v>0</v>
      </c>
      <c r="J672" s="45">
        <f>IF(E672="","",IFERROR(E672*INDEX(UnitFactors,MATCH(F672,UnitNames,0)),""))</f>
        <v>0</v>
      </c>
      <c r="K672" s="17">
        <f>IF(F672="","",IFERROR(INDEX(UnitBases,MATCH(F672,UnitNames,0)),"?"))</f>
        <v>0</v>
      </c>
      <c r="L672" s="17">
        <f>IF(D672="","",IFERROR(INDEX(Ingredients!$G$5:$G$304,MATCH(D672,Ingredients!$B$5:$B$304,0)),"Add to Ingredients"))</f>
        <v>0</v>
      </c>
      <c r="M672" s="25">
        <f>IF(D672="","",IFERROR(INDEX(Ingredients!$J$5:$J$304,MATCH(D672,Ingredients!$B$5:$B$304,0)),"Add to Ingredients"))</f>
        <v>0</v>
      </c>
      <c r="N672" s="25">
        <f>IF(OR(J672="",M672="",NOT(ISNUMBER(M672))),"",IF(K672&lt;&gt;L672,"",J672*M672))</f>
        <v>0</v>
      </c>
      <c r="O672" s="25">
        <f>IF(N672="","",IFERROR(N672/INDEX(Recipes!$G$5:$G$204,MATCH(B672,Recipes!$A$5:$A$204,0)),""))</f>
        <v>0</v>
      </c>
      <c r="P672" s="30">
        <f>IF(J672="","",IF(K672="each",J672,J672/100))</f>
        <v>0</v>
      </c>
      <c r="Q672" s="30">
        <f>IFERROR(IF(P672="","",P672*INDEX(Ingredients!$P$5:$P$304,MATCH(D672,Ingredients!$B$5:$B$304,0))),"")</f>
        <v>0</v>
      </c>
      <c r="R672" s="45">
        <f>IFERROR(IF(P672="","",P672*INDEX(Ingredients!$Q$5:$Q$304,MATCH(D672,Ingredients!$B$5:$B$304,0))),"")</f>
        <v>0</v>
      </c>
      <c r="S672" s="45">
        <f>IFERROR(IF(P672="","",P672*INDEX(Ingredients!$R$5:$R$304,MATCH(D672,Ingredients!$B$5:$B$304,0))),"")</f>
        <v>0</v>
      </c>
      <c r="T672" s="45">
        <f>IFERROR(IF(P672="","",P672*INDEX(Ingredients!$S$5:$S$304,MATCH(D672,Ingredients!$B$5:$B$304,0))),"")</f>
        <v>0</v>
      </c>
      <c r="U672" s="45">
        <f>IFERROR(IF(P672="","",P672*INDEX(Ingredients!$T$5:$T$304,MATCH(D672,Ingredients!$B$5:$B$304,0))),"")</f>
        <v>0</v>
      </c>
      <c r="V672" s="17">
        <f>IF(D672="","",IFERROR(INDEX(Ingredients!$W$5:$W$304,MATCH(D672,Ingredients!$B$5:$B$304,0)),"Add to Ingredients"))</f>
        <v>0</v>
      </c>
      <c r="W672" s="17">
        <f>IF(D672="","",IFERROR(INDEX(Ingredients!$C$5:$C$304,MATCH(D672,Ingredients!$B$5:$B$304,0)),"Add to Ingredients"))</f>
        <v>0</v>
      </c>
      <c r="X672" s="45">
        <f>IFERROR(INDEX(Recipes!$AT$5:$AT$204,MATCH(B672,Recipes!$A$5:$A$204,0)),0)</f>
        <v>0</v>
      </c>
      <c r="Y672" s="45">
        <f>IF(OR(J672="",X672=0),"",J672*X672)</f>
        <v>0</v>
      </c>
      <c r="Z672" s="17">
        <f>IF(D672="","",B672&amp;"#"&amp;COUNTIFS($B$5:B672,B672))</f>
        <v>0</v>
      </c>
      <c r="AA672" s="17">
        <f>IF(D672="","",B672&amp;"|"&amp;D672)</f>
        <v>0</v>
      </c>
      <c r="AB672" s="31">
        <f>IF(D672="","",IF(B672="","Add - which recipe?",IF(COUNTIFS(Ingredients!$B$5:$B$304,D672)=0,"Missing - not in the Ingredients tab",IF(E672="","Add - no quantity",IF(F672="","Add - no unit",IF(K672&lt;&gt;L672,"Check - recipe in "&amp;K672&amp;", priced in "&amp;L672,IF(COUNTIFS($AA$5:$AA$1204,AA672)&gt;1,"Duplicate - same ingredient twice","OK")))))))</f>
        <v>0</v>
      </c>
    </row>
    <row r="673" spans="1:28">
      <c r="A673" s="39">
        <f>IF(D673="","","RL-"&amp;TEXT(ROW()-4,"0000"))</f>
        <v>0</v>
      </c>
      <c r="C673" s="17">
        <f>IF(B673="","",IFERROR(INDEX(Recipes!$B$5:$B$204,MATCH(B673,Recipes!$A$5:$A$204,0)),"Not found"))</f>
        <v>0</v>
      </c>
      <c r="J673" s="45">
        <f>IF(E673="","",IFERROR(E673*INDEX(UnitFactors,MATCH(F673,UnitNames,0)),""))</f>
        <v>0</v>
      </c>
      <c r="K673" s="17">
        <f>IF(F673="","",IFERROR(INDEX(UnitBases,MATCH(F673,UnitNames,0)),"?"))</f>
        <v>0</v>
      </c>
      <c r="L673" s="17">
        <f>IF(D673="","",IFERROR(INDEX(Ingredients!$G$5:$G$304,MATCH(D673,Ingredients!$B$5:$B$304,0)),"Add to Ingredients"))</f>
        <v>0</v>
      </c>
      <c r="M673" s="25">
        <f>IF(D673="","",IFERROR(INDEX(Ingredients!$J$5:$J$304,MATCH(D673,Ingredients!$B$5:$B$304,0)),"Add to Ingredients"))</f>
        <v>0</v>
      </c>
      <c r="N673" s="25">
        <f>IF(OR(J673="",M673="",NOT(ISNUMBER(M673))),"",IF(K673&lt;&gt;L673,"",J673*M673))</f>
        <v>0</v>
      </c>
      <c r="O673" s="25">
        <f>IF(N673="","",IFERROR(N673/INDEX(Recipes!$G$5:$G$204,MATCH(B673,Recipes!$A$5:$A$204,0)),""))</f>
        <v>0</v>
      </c>
      <c r="P673" s="30">
        <f>IF(J673="","",IF(K673="each",J673,J673/100))</f>
        <v>0</v>
      </c>
      <c r="Q673" s="30">
        <f>IFERROR(IF(P673="","",P673*INDEX(Ingredients!$P$5:$P$304,MATCH(D673,Ingredients!$B$5:$B$304,0))),"")</f>
        <v>0</v>
      </c>
      <c r="R673" s="45">
        <f>IFERROR(IF(P673="","",P673*INDEX(Ingredients!$Q$5:$Q$304,MATCH(D673,Ingredients!$B$5:$B$304,0))),"")</f>
        <v>0</v>
      </c>
      <c r="S673" s="45">
        <f>IFERROR(IF(P673="","",P673*INDEX(Ingredients!$R$5:$R$304,MATCH(D673,Ingredients!$B$5:$B$304,0))),"")</f>
        <v>0</v>
      </c>
      <c r="T673" s="45">
        <f>IFERROR(IF(P673="","",P673*INDEX(Ingredients!$S$5:$S$304,MATCH(D673,Ingredients!$B$5:$B$304,0))),"")</f>
        <v>0</v>
      </c>
      <c r="U673" s="45">
        <f>IFERROR(IF(P673="","",P673*INDEX(Ingredients!$T$5:$T$304,MATCH(D673,Ingredients!$B$5:$B$304,0))),"")</f>
        <v>0</v>
      </c>
      <c r="V673" s="17">
        <f>IF(D673="","",IFERROR(INDEX(Ingredients!$W$5:$W$304,MATCH(D673,Ingredients!$B$5:$B$304,0)),"Add to Ingredients"))</f>
        <v>0</v>
      </c>
      <c r="W673" s="17">
        <f>IF(D673="","",IFERROR(INDEX(Ingredients!$C$5:$C$304,MATCH(D673,Ingredients!$B$5:$B$304,0)),"Add to Ingredients"))</f>
        <v>0</v>
      </c>
      <c r="X673" s="45">
        <f>IFERROR(INDEX(Recipes!$AT$5:$AT$204,MATCH(B673,Recipes!$A$5:$A$204,0)),0)</f>
        <v>0</v>
      </c>
      <c r="Y673" s="45">
        <f>IF(OR(J673="",X673=0),"",J673*X673)</f>
        <v>0</v>
      </c>
      <c r="Z673" s="17">
        <f>IF(D673="","",B673&amp;"#"&amp;COUNTIFS($B$5:B673,B673))</f>
        <v>0</v>
      </c>
      <c r="AA673" s="17">
        <f>IF(D673="","",B673&amp;"|"&amp;D673)</f>
        <v>0</v>
      </c>
      <c r="AB673" s="31">
        <f>IF(D673="","",IF(B673="","Add - which recipe?",IF(COUNTIFS(Ingredients!$B$5:$B$304,D673)=0,"Missing - not in the Ingredients tab",IF(E673="","Add - no quantity",IF(F673="","Add - no unit",IF(K673&lt;&gt;L673,"Check - recipe in "&amp;K673&amp;", priced in "&amp;L673,IF(COUNTIFS($AA$5:$AA$1204,AA673)&gt;1,"Duplicate - same ingredient twice","OK")))))))</f>
        <v>0</v>
      </c>
    </row>
    <row r="674" spans="1:28">
      <c r="A674" s="39">
        <f>IF(D674="","","RL-"&amp;TEXT(ROW()-4,"0000"))</f>
        <v>0</v>
      </c>
      <c r="C674" s="17">
        <f>IF(B674="","",IFERROR(INDEX(Recipes!$B$5:$B$204,MATCH(B674,Recipes!$A$5:$A$204,0)),"Not found"))</f>
        <v>0</v>
      </c>
      <c r="J674" s="45">
        <f>IF(E674="","",IFERROR(E674*INDEX(UnitFactors,MATCH(F674,UnitNames,0)),""))</f>
        <v>0</v>
      </c>
      <c r="K674" s="17">
        <f>IF(F674="","",IFERROR(INDEX(UnitBases,MATCH(F674,UnitNames,0)),"?"))</f>
        <v>0</v>
      </c>
      <c r="L674" s="17">
        <f>IF(D674="","",IFERROR(INDEX(Ingredients!$G$5:$G$304,MATCH(D674,Ingredients!$B$5:$B$304,0)),"Add to Ingredients"))</f>
        <v>0</v>
      </c>
      <c r="M674" s="25">
        <f>IF(D674="","",IFERROR(INDEX(Ingredients!$J$5:$J$304,MATCH(D674,Ingredients!$B$5:$B$304,0)),"Add to Ingredients"))</f>
        <v>0</v>
      </c>
      <c r="N674" s="25">
        <f>IF(OR(J674="",M674="",NOT(ISNUMBER(M674))),"",IF(K674&lt;&gt;L674,"",J674*M674))</f>
        <v>0</v>
      </c>
      <c r="O674" s="25">
        <f>IF(N674="","",IFERROR(N674/INDEX(Recipes!$G$5:$G$204,MATCH(B674,Recipes!$A$5:$A$204,0)),""))</f>
        <v>0</v>
      </c>
      <c r="P674" s="30">
        <f>IF(J674="","",IF(K674="each",J674,J674/100))</f>
        <v>0</v>
      </c>
      <c r="Q674" s="30">
        <f>IFERROR(IF(P674="","",P674*INDEX(Ingredients!$P$5:$P$304,MATCH(D674,Ingredients!$B$5:$B$304,0))),"")</f>
        <v>0</v>
      </c>
      <c r="R674" s="45">
        <f>IFERROR(IF(P674="","",P674*INDEX(Ingredients!$Q$5:$Q$304,MATCH(D674,Ingredients!$B$5:$B$304,0))),"")</f>
        <v>0</v>
      </c>
      <c r="S674" s="45">
        <f>IFERROR(IF(P674="","",P674*INDEX(Ingredients!$R$5:$R$304,MATCH(D674,Ingredients!$B$5:$B$304,0))),"")</f>
        <v>0</v>
      </c>
      <c r="T674" s="45">
        <f>IFERROR(IF(P674="","",P674*INDEX(Ingredients!$S$5:$S$304,MATCH(D674,Ingredients!$B$5:$B$304,0))),"")</f>
        <v>0</v>
      </c>
      <c r="U674" s="45">
        <f>IFERROR(IF(P674="","",P674*INDEX(Ingredients!$T$5:$T$304,MATCH(D674,Ingredients!$B$5:$B$304,0))),"")</f>
        <v>0</v>
      </c>
      <c r="V674" s="17">
        <f>IF(D674="","",IFERROR(INDEX(Ingredients!$W$5:$W$304,MATCH(D674,Ingredients!$B$5:$B$304,0)),"Add to Ingredients"))</f>
        <v>0</v>
      </c>
      <c r="W674" s="17">
        <f>IF(D674="","",IFERROR(INDEX(Ingredients!$C$5:$C$304,MATCH(D674,Ingredients!$B$5:$B$304,0)),"Add to Ingredients"))</f>
        <v>0</v>
      </c>
      <c r="X674" s="45">
        <f>IFERROR(INDEX(Recipes!$AT$5:$AT$204,MATCH(B674,Recipes!$A$5:$A$204,0)),0)</f>
        <v>0</v>
      </c>
      <c r="Y674" s="45">
        <f>IF(OR(J674="",X674=0),"",J674*X674)</f>
        <v>0</v>
      </c>
      <c r="Z674" s="17">
        <f>IF(D674="","",B674&amp;"#"&amp;COUNTIFS($B$5:B674,B674))</f>
        <v>0</v>
      </c>
      <c r="AA674" s="17">
        <f>IF(D674="","",B674&amp;"|"&amp;D674)</f>
        <v>0</v>
      </c>
      <c r="AB674" s="31">
        <f>IF(D674="","",IF(B674="","Add - which recipe?",IF(COUNTIFS(Ingredients!$B$5:$B$304,D674)=0,"Missing - not in the Ingredients tab",IF(E674="","Add - no quantity",IF(F674="","Add - no unit",IF(K674&lt;&gt;L674,"Check - recipe in "&amp;K674&amp;", priced in "&amp;L674,IF(COUNTIFS($AA$5:$AA$1204,AA674)&gt;1,"Duplicate - same ingredient twice","OK")))))))</f>
        <v>0</v>
      </c>
    </row>
    <row r="675" spans="1:28">
      <c r="A675" s="39">
        <f>IF(D675="","","RL-"&amp;TEXT(ROW()-4,"0000"))</f>
        <v>0</v>
      </c>
      <c r="C675" s="17">
        <f>IF(B675="","",IFERROR(INDEX(Recipes!$B$5:$B$204,MATCH(B675,Recipes!$A$5:$A$204,0)),"Not found"))</f>
        <v>0</v>
      </c>
      <c r="J675" s="45">
        <f>IF(E675="","",IFERROR(E675*INDEX(UnitFactors,MATCH(F675,UnitNames,0)),""))</f>
        <v>0</v>
      </c>
      <c r="K675" s="17">
        <f>IF(F675="","",IFERROR(INDEX(UnitBases,MATCH(F675,UnitNames,0)),"?"))</f>
        <v>0</v>
      </c>
      <c r="L675" s="17">
        <f>IF(D675="","",IFERROR(INDEX(Ingredients!$G$5:$G$304,MATCH(D675,Ingredients!$B$5:$B$304,0)),"Add to Ingredients"))</f>
        <v>0</v>
      </c>
      <c r="M675" s="25">
        <f>IF(D675="","",IFERROR(INDEX(Ingredients!$J$5:$J$304,MATCH(D675,Ingredients!$B$5:$B$304,0)),"Add to Ingredients"))</f>
        <v>0</v>
      </c>
      <c r="N675" s="25">
        <f>IF(OR(J675="",M675="",NOT(ISNUMBER(M675))),"",IF(K675&lt;&gt;L675,"",J675*M675))</f>
        <v>0</v>
      </c>
      <c r="O675" s="25">
        <f>IF(N675="","",IFERROR(N675/INDEX(Recipes!$G$5:$G$204,MATCH(B675,Recipes!$A$5:$A$204,0)),""))</f>
        <v>0</v>
      </c>
      <c r="P675" s="30">
        <f>IF(J675="","",IF(K675="each",J675,J675/100))</f>
        <v>0</v>
      </c>
      <c r="Q675" s="30">
        <f>IFERROR(IF(P675="","",P675*INDEX(Ingredients!$P$5:$P$304,MATCH(D675,Ingredients!$B$5:$B$304,0))),"")</f>
        <v>0</v>
      </c>
      <c r="R675" s="45">
        <f>IFERROR(IF(P675="","",P675*INDEX(Ingredients!$Q$5:$Q$304,MATCH(D675,Ingredients!$B$5:$B$304,0))),"")</f>
        <v>0</v>
      </c>
      <c r="S675" s="45">
        <f>IFERROR(IF(P675="","",P675*INDEX(Ingredients!$R$5:$R$304,MATCH(D675,Ingredients!$B$5:$B$304,0))),"")</f>
        <v>0</v>
      </c>
      <c r="T675" s="45">
        <f>IFERROR(IF(P675="","",P675*INDEX(Ingredients!$S$5:$S$304,MATCH(D675,Ingredients!$B$5:$B$304,0))),"")</f>
        <v>0</v>
      </c>
      <c r="U675" s="45">
        <f>IFERROR(IF(P675="","",P675*INDEX(Ingredients!$T$5:$T$304,MATCH(D675,Ingredients!$B$5:$B$304,0))),"")</f>
        <v>0</v>
      </c>
      <c r="V675" s="17">
        <f>IF(D675="","",IFERROR(INDEX(Ingredients!$W$5:$W$304,MATCH(D675,Ingredients!$B$5:$B$304,0)),"Add to Ingredients"))</f>
        <v>0</v>
      </c>
      <c r="W675" s="17">
        <f>IF(D675="","",IFERROR(INDEX(Ingredients!$C$5:$C$304,MATCH(D675,Ingredients!$B$5:$B$304,0)),"Add to Ingredients"))</f>
        <v>0</v>
      </c>
      <c r="X675" s="45">
        <f>IFERROR(INDEX(Recipes!$AT$5:$AT$204,MATCH(B675,Recipes!$A$5:$A$204,0)),0)</f>
        <v>0</v>
      </c>
      <c r="Y675" s="45">
        <f>IF(OR(J675="",X675=0),"",J675*X675)</f>
        <v>0</v>
      </c>
      <c r="Z675" s="17">
        <f>IF(D675="","",B675&amp;"#"&amp;COUNTIFS($B$5:B675,B675))</f>
        <v>0</v>
      </c>
      <c r="AA675" s="17">
        <f>IF(D675="","",B675&amp;"|"&amp;D675)</f>
        <v>0</v>
      </c>
      <c r="AB675" s="31">
        <f>IF(D675="","",IF(B675="","Add - which recipe?",IF(COUNTIFS(Ingredients!$B$5:$B$304,D675)=0,"Missing - not in the Ingredients tab",IF(E675="","Add - no quantity",IF(F675="","Add - no unit",IF(K675&lt;&gt;L675,"Check - recipe in "&amp;K675&amp;", priced in "&amp;L675,IF(COUNTIFS($AA$5:$AA$1204,AA675)&gt;1,"Duplicate - same ingredient twice","OK")))))))</f>
        <v>0</v>
      </c>
    </row>
    <row r="676" spans="1:28">
      <c r="A676" s="39">
        <f>IF(D676="","","RL-"&amp;TEXT(ROW()-4,"0000"))</f>
        <v>0</v>
      </c>
      <c r="C676" s="17">
        <f>IF(B676="","",IFERROR(INDEX(Recipes!$B$5:$B$204,MATCH(B676,Recipes!$A$5:$A$204,0)),"Not found"))</f>
        <v>0</v>
      </c>
      <c r="J676" s="45">
        <f>IF(E676="","",IFERROR(E676*INDEX(UnitFactors,MATCH(F676,UnitNames,0)),""))</f>
        <v>0</v>
      </c>
      <c r="K676" s="17">
        <f>IF(F676="","",IFERROR(INDEX(UnitBases,MATCH(F676,UnitNames,0)),"?"))</f>
        <v>0</v>
      </c>
      <c r="L676" s="17">
        <f>IF(D676="","",IFERROR(INDEX(Ingredients!$G$5:$G$304,MATCH(D676,Ingredients!$B$5:$B$304,0)),"Add to Ingredients"))</f>
        <v>0</v>
      </c>
      <c r="M676" s="25">
        <f>IF(D676="","",IFERROR(INDEX(Ingredients!$J$5:$J$304,MATCH(D676,Ingredients!$B$5:$B$304,0)),"Add to Ingredients"))</f>
        <v>0</v>
      </c>
      <c r="N676" s="25">
        <f>IF(OR(J676="",M676="",NOT(ISNUMBER(M676))),"",IF(K676&lt;&gt;L676,"",J676*M676))</f>
        <v>0</v>
      </c>
      <c r="O676" s="25">
        <f>IF(N676="","",IFERROR(N676/INDEX(Recipes!$G$5:$G$204,MATCH(B676,Recipes!$A$5:$A$204,0)),""))</f>
        <v>0</v>
      </c>
      <c r="P676" s="30">
        <f>IF(J676="","",IF(K676="each",J676,J676/100))</f>
        <v>0</v>
      </c>
      <c r="Q676" s="30">
        <f>IFERROR(IF(P676="","",P676*INDEX(Ingredients!$P$5:$P$304,MATCH(D676,Ingredients!$B$5:$B$304,0))),"")</f>
        <v>0</v>
      </c>
      <c r="R676" s="45">
        <f>IFERROR(IF(P676="","",P676*INDEX(Ingredients!$Q$5:$Q$304,MATCH(D676,Ingredients!$B$5:$B$304,0))),"")</f>
        <v>0</v>
      </c>
      <c r="S676" s="45">
        <f>IFERROR(IF(P676="","",P676*INDEX(Ingredients!$R$5:$R$304,MATCH(D676,Ingredients!$B$5:$B$304,0))),"")</f>
        <v>0</v>
      </c>
      <c r="T676" s="45">
        <f>IFERROR(IF(P676="","",P676*INDEX(Ingredients!$S$5:$S$304,MATCH(D676,Ingredients!$B$5:$B$304,0))),"")</f>
        <v>0</v>
      </c>
      <c r="U676" s="45">
        <f>IFERROR(IF(P676="","",P676*INDEX(Ingredients!$T$5:$T$304,MATCH(D676,Ingredients!$B$5:$B$304,0))),"")</f>
        <v>0</v>
      </c>
      <c r="V676" s="17">
        <f>IF(D676="","",IFERROR(INDEX(Ingredients!$W$5:$W$304,MATCH(D676,Ingredients!$B$5:$B$304,0)),"Add to Ingredients"))</f>
        <v>0</v>
      </c>
      <c r="W676" s="17">
        <f>IF(D676="","",IFERROR(INDEX(Ingredients!$C$5:$C$304,MATCH(D676,Ingredients!$B$5:$B$304,0)),"Add to Ingredients"))</f>
        <v>0</v>
      </c>
      <c r="X676" s="45">
        <f>IFERROR(INDEX(Recipes!$AT$5:$AT$204,MATCH(B676,Recipes!$A$5:$A$204,0)),0)</f>
        <v>0</v>
      </c>
      <c r="Y676" s="45">
        <f>IF(OR(J676="",X676=0),"",J676*X676)</f>
        <v>0</v>
      </c>
      <c r="Z676" s="17">
        <f>IF(D676="","",B676&amp;"#"&amp;COUNTIFS($B$5:B676,B676))</f>
        <v>0</v>
      </c>
      <c r="AA676" s="17">
        <f>IF(D676="","",B676&amp;"|"&amp;D676)</f>
        <v>0</v>
      </c>
      <c r="AB676" s="31">
        <f>IF(D676="","",IF(B676="","Add - which recipe?",IF(COUNTIFS(Ingredients!$B$5:$B$304,D676)=0,"Missing - not in the Ingredients tab",IF(E676="","Add - no quantity",IF(F676="","Add - no unit",IF(K676&lt;&gt;L676,"Check - recipe in "&amp;K676&amp;", priced in "&amp;L676,IF(COUNTIFS($AA$5:$AA$1204,AA676)&gt;1,"Duplicate - same ingredient twice","OK")))))))</f>
        <v>0</v>
      </c>
    </row>
    <row r="677" spans="1:28">
      <c r="A677" s="39">
        <f>IF(D677="","","RL-"&amp;TEXT(ROW()-4,"0000"))</f>
        <v>0</v>
      </c>
      <c r="C677" s="17">
        <f>IF(B677="","",IFERROR(INDEX(Recipes!$B$5:$B$204,MATCH(B677,Recipes!$A$5:$A$204,0)),"Not found"))</f>
        <v>0</v>
      </c>
      <c r="J677" s="45">
        <f>IF(E677="","",IFERROR(E677*INDEX(UnitFactors,MATCH(F677,UnitNames,0)),""))</f>
        <v>0</v>
      </c>
      <c r="K677" s="17">
        <f>IF(F677="","",IFERROR(INDEX(UnitBases,MATCH(F677,UnitNames,0)),"?"))</f>
        <v>0</v>
      </c>
      <c r="L677" s="17">
        <f>IF(D677="","",IFERROR(INDEX(Ingredients!$G$5:$G$304,MATCH(D677,Ingredients!$B$5:$B$304,0)),"Add to Ingredients"))</f>
        <v>0</v>
      </c>
      <c r="M677" s="25">
        <f>IF(D677="","",IFERROR(INDEX(Ingredients!$J$5:$J$304,MATCH(D677,Ingredients!$B$5:$B$304,0)),"Add to Ingredients"))</f>
        <v>0</v>
      </c>
      <c r="N677" s="25">
        <f>IF(OR(J677="",M677="",NOT(ISNUMBER(M677))),"",IF(K677&lt;&gt;L677,"",J677*M677))</f>
        <v>0</v>
      </c>
      <c r="O677" s="25">
        <f>IF(N677="","",IFERROR(N677/INDEX(Recipes!$G$5:$G$204,MATCH(B677,Recipes!$A$5:$A$204,0)),""))</f>
        <v>0</v>
      </c>
      <c r="P677" s="30">
        <f>IF(J677="","",IF(K677="each",J677,J677/100))</f>
        <v>0</v>
      </c>
      <c r="Q677" s="30">
        <f>IFERROR(IF(P677="","",P677*INDEX(Ingredients!$P$5:$P$304,MATCH(D677,Ingredients!$B$5:$B$304,0))),"")</f>
        <v>0</v>
      </c>
      <c r="R677" s="45">
        <f>IFERROR(IF(P677="","",P677*INDEX(Ingredients!$Q$5:$Q$304,MATCH(D677,Ingredients!$B$5:$B$304,0))),"")</f>
        <v>0</v>
      </c>
      <c r="S677" s="45">
        <f>IFERROR(IF(P677="","",P677*INDEX(Ingredients!$R$5:$R$304,MATCH(D677,Ingredients!$B$5:$B$304,0))),"")</f>
        <v>0</v>
      </c>
      <c r="T677" s="45">
        <f>IFERROR(IF(P677="","",P677*INDEX(Ingredients!$S$5:$S$304,MATCH(D677,Ingredients!$B$5:$B$304,0))),"")</f>
        <v>0</v>
      </c>
      <c r="U677" s="45">
        <f>IFERROR(IF(P677="","",P677*INDEX(Ingredients!$T$5:$T$304,MATCH(D677,Ingredients!$B$5:$B$304,0))),"")</f>
        <v>0</v>
      </c>
      <c r="V677" s="17">
        <f>IF(D677="","",IFERROR(INDEX(Ingredients!$W$5:$W$304,MATCH(D677,Ingredients!$B$5:$B$304,0)),"Add to Ingredients"))</f>
        <v>0</v>
      </c>
      <c r="W677" s="17">
        <f>IF(D677="","",IFERROR(INDEX(Ingredients!$C$5:$C$304,MATCH(D677,Ingredients!$B$5:$B$304,0)),"Add to Ingredients"))</f>
        <v>0</v>
      </c>
      <c r="X677" s="45">
        <f>IFERROR(INDEX(Recipes!$AT$5:$AT$204,MATCH(B677,Recipes!$A$5:$A$204,0)),0)</f>
        <v>0</v>
      </c>
      <c r="Y677" s="45">
        <f>IF(OR(J677="",X677=0),"",J677*X677)</f>
        <v>0</v>
      </c>
      <c r="Z677" s="17">
        <f>IF(D677="","",B677&amp;"#"&amp;COUNTIFS($B$5:B677,B677))</f>
        <v>0</v>
      </c>
      <c r="AA677" s="17">
        <f>IF(D677="","",B677&amp;"|"&amp;D677)</f>
        <v>0</v>
      </c>
      <c r="AB677" s="31">
        <f>IF(D677="","",IF(B677="","Add - which recipe?",IF(COUNTIFS(Ingredients!$B$5:$B$304,D677)=0,"Missing - not in the Ingredients tab",IF(E677="","Add - no quantity",IF(F677="","Add - no unit",IF(K677&lt;&gt;L677,"Check - recipe in "&amp;K677&amp;", priced in "&amp;L677,IF(COUNTIFS($AA$5:$AA$1204,AA677)&gt;1,"Duplicate - same ingredient twice","OK")))))))</f>
        <v>0</v>
      </c>
    </row>
    <row r="678" spans="1:28">
      <c r="A678" s="39">
        <f>IF(D678="","","RL-"&amp;TEXT(ROW()-4,"0000"))</f>
        <v>0</v>
      </c>
      <c r="C678" s="17">
        <f>IF(B678="","",IFERROR(INDEX(Recipes!$B$5:$B$204,MATCH(B678,Recipes!$A$5:$A$204,0)),"Not found"))</f>
        <v>0</v>
      </c>
      <c r="J678" s="45">
        <f>IF(E678="","",IFERROR(E678*INDEX(UnitFactors,MATCH(F678,UnitNames,0)),""))</f>
        <v>0</v>
      </c>
      <c r="K678" s="17">
        <f>IF(F678="","",IFERROR(INDEX(UnitBases,MATCH(F678,UnitNames,0)),"?"))</f>
        <v>0</v>
      </c>
      <c r="L678" s="17">
        <f>IF(D678="","",IFERROR(INDEX(Ingredients!$G$5:$G$304,MATCH(D678,Ingredients!$B$5:$B$304,0)),"Add to Ingredients"))</f>
        <v>0</v>
      </c>
      <c r="M678" s="25">
        <f>IF(D678="","",IFERROR(INDEX(Ingredients!$J$5:$J$304,MATCH(D678,Ingredients!$B$5:$B$304,0)),"Add to Ingredients"))</f>
        <v>0</v>
      </c>
      <c r="N678" s="25">
        <f>IF(OR(J678="",M678="",NOT(ISNUMBER(M678))),"",IF(K678&lt;&gt;L678,"",J678*M678))</f>
        <v>0</v>
      </c>
      <c r="O678" s="25">
        <f>IF(N678="","",IFERROR(N678/INDEX(Recipes!$G$5:$G$204,MATCH(B678,Recipes!$A$5:$A$204,0)),""))</f>
        <v>0</v>
      </c>
      <c r="P678" s="30">
        <f>IF(J678="","",IF(K678="each",J678,J678/100))</f>
        <v>0</v>
      </c>
      <c r="Q678" s="30">
        <f>IFERROR(IF(P678="","",P678*INDEX(Ingredients!$P$5:$P$304,MATCH(D678,Ingredients!$B$5:$B$304,0))),"")</f>
        <v>0</v>
      </c>
      <c r="R678" s="45">
        <f>IFERROR(IF(P678="","",P678*INDEX(Ingredients!$Q$5:$Q$304,MATCH(D678,Ingredients!$B$5:$B$304,0))),"")</f>
        <v>0</v>
      </c>
      <c r="S678" s="45">
        <f>IFERROR(IF(P678="","",P678*INDEX(Ingredients!$R$5:$R$304,MATCH(D678,Ingredients!$B$5:$B$304,0))),"")</f>
        <v>0</v>
      </c>
      <c r="T678" s="45">
        <f>IFERROR(IF(P678="","",P678*INDEX(Ingredients!$S$5:$S$304,MATCH(D678,Ingredients!$B$5:$B$304,0))),"")</f>
        <v>0</v>
      </c>
      <c r="U678" s="45">
        <f>IFERROR(IF(P678="","",P678*INDEX(Ingredients!$T$5:$T$304,MATCH(D678,Ingredients!$B$5:$B$304,0))),"")</f>
        <v>0</v>
      </c>
      <c r="V678" s="17">
        <f>IF(D678="","",IFERROR(INDEX(Ingredients!$W$5:$W$304,MATCH(D678,Ingredients!$B$5:$B$304,0)),"Add to Ingredients"))</f>
        <v>0</v>
      </c>
      <c r="W678" s="17">
        <f>IF(D678="","",IFERROR(INDEX(Ingredients!$C$5:$C$304,MATCH(D678,Ingredients!$B$5:$B$304,0)),"Add to Ingredients"))</f>
        <v>0</v>
      </c>
      <c r="X678" s="45">
        <f>IFERROR(INDEX(Recipes!$AT$5:$AT$204,MATCH(B678,Recipes!$A$5:$A$204,0)),0)</f>
        <v>0</v>
      </c>
      <c r="Y678" s="45">
        <f>IF(OR(J678="",X678=0),"",J678*X678)</f>
        <v>0</v>
      </c>
      <c r="Z678" s="17">
        <f>IF(D678="","",B678&amp;"#"&amp;COUNTIFS($B$5:B678,B678))</f>
        <v>0</v>
      </c>
      <c r="AA678" s="17">
        <f>IF(D678="","",B678&amp;"|"&amp;D678)</f>
        <v>0</v>
      </c>
      <c r="AB678" s="31">
        <f>IF(D678="","",IF(B678="","Add - which recipe?",IF(COUNTIFS(Ingredients!$B$5:$B$304,D678)=0,"Missing - not in the Ingredients tab",IF(E678="","Add - no quantity",IF(F678="","Add - no unit",IF(K678&lt;&gt;L678,"Check - recipe in "&amp;K678&amp;", priced in "&amp;L678,IF(COUNTIFS($AA$5:$AA$1204,AA678)&gt;1,"Duplicate - same ingredient twice","OK")))))))</f>
        <v>0</v>
      </c>
    </row>
    <row r="679" spans="1:28">
      <c r="A679" s="39">
        <f>IF(D679="","","RL-"&amp;TEXT(ROW()-4,"0000"))</f>
        <v>0</v>
      </c>
      <c r="C679" s="17">
        <f>IF(B679="","",IFERROR(INDEX(Recipes!$B$5:$B$204,MATCH(B679,Recipes!$A$5:$A$204,0)),"Not found"))</f>
        <v>0</v>
      </c>
      <c r="J679" s="45">
        <f>IF(E679="","",IFERROR(E679*INDEX(UnitFactors,MATCH(F679,UnitNames,0)),""))</f>
        <v>0</v>
      </c>
      <c r="K679" s="17">
        <f>IF(F679="","",IFERROR(INDEX(UnitBases,MATCH(F679,UnitNames,0)),"?"))</f>
        <v>0</v>
      </c>
      <c r="L679" s="17">
        <f>IF(D679="","",IFERROR(INDEX(Ingredients!$G$5:$G$304,MATCH(D679,Ingredients!$B$5:$B$304,0)),"Add to Ingredients"))</f>
        <v>0</v>
      </c>
      <c r="M679" s="25">
        <f>IF(D679="","",IFERROR(INDEX(Ingredients!$J$5:$J$304,MATCH(D679,Ingredients!$B$5:$B$304,0)),"Add to Ingredients"))</f>
        <v>0</v>
      </c>
      <c r="N679" s="25">
        <f>IF(OR(J679="",M679="",NOT(ISNUMBER(M679))),"",IF(K679&lt;&gt;L679,"",J679*M679))</f>
        <v>0</v>
      </c>
      <c r="O679" s="25">
        <f>IF(N679="","",IFERROR(N679/INDEX(Recipes!$G$5:$G$204,MATCH(B679,Recipes!$A$5:$A$204,0)),""))</f>
        <v>0</v>
      </c>
      <c r="P679" s="30">
        <f>IF(J679="","",IF(K679="each",J679,J679/100))</f>
        <v>0</v>
      </c>
      <c r="Q679" s="30">
        <f>IFERROR(IF(P679="","",P679*INDEX(Ingredients!$P$5:$P$304,MATCH(D679,Ingredients!$B$5:$B$304,0))),"")</f>
        <v>0</v>
      </c>
      <c r="R679" s="45">
        <f>IFERROR(IF(P679="","",P679*INDEX(Ingredients!$Q$5:$Q$304,MATCH(D679,Ingredients!$B$5:$B$304,0))),"")</f>
        <v>0</v>
      </c>
      <c r="S679" s="45">
        <f>IFERROR(IF(P679="","",P679*INDEX(Ingredients!$R$5:$R$304,MATCH(D679,Ingredients!$B$5:$B$304,0))),"")</f>
        <v>0</v>
      </c>
      <c r="T679" s="45">
        <f>IFERROR(IF(P679="","",P679*INDEX(Ingredients!$S$5:$S$304,MATCH(D679,Ingredients!$B$5:$B$304,0))),"")</f>
        <v>0</v>
      </c>
      <c r="U679" s="45">
        <f>IFERROR(IF(P679="","",P679*INDEX(Ingredients!$T$5:$T$304,MATCH(D679,Ingredients!$B$5:$B$304,0))),"")</f>
        <v>0</v>
      </c>
      <c r="V679" s="17">
        <f>IF(D679="","",IFERROR(INDEX(Ingredients!$W$5:$W$304,MATCH(D679,Ingredients!$B$5:$B$304,0)),"Add to Ingredients"))</f>
        <v>0</v>
      </c>
      <c r="W679" s="17">
        <f>IF(D679="","",IFERROR(INDEX(Ingredients!$C$5:$C$304,MATCH(D679,Ingredients!$B$5:$B$304,0)),"Add to Ingredients"))</f>
        <v>0</v>
      </c>
      <c r="X679" s="45">
        <f>IFERROR(INDEX(Recipes!$AT$5:$AT$204,MATCH(B679,Recipes!$A$5:$A$204,0)),0)</f>
        <v>0</v>
      </c>
      <c r="Y679" s="45">
        <f>IF(OR(J679="",X679=0),"",J679*X679)</f>
        <v>0</v>
      </c>
      <c r="Z679" s="17">
        <f>IF(D679="","",B679&amp;"#"&amp;COUNTIFS($B$5:B679,B679))</f>
        <v>0</v>
      </c>
      <c r="AA679" s="17">
        <f>IF(D679="","",B679&amp;"|"&amp;D679)</f>
        <v>0</v>
      </c>
      <c r="AB679" s="31">
        <f>IF(D679="","",IF(B679="","Add - which recipe?",IF(COUNTIFS(Ingredients!$B$5:$B$304,D679)=0,"Missing - not in the Ingredients tab",IF(E679="","Add - no quantity",IF(F679="","Add - no unit",IF(K679&lt;&gt;L679,"Check - recipe in "&amp;K679&amp;", priced in "&amp;L679,IF(COUNTIFS($AA$5:$AA$1204,AA679)&gt;1,"Duplicate - same ingredient twice","OK")))))))</f>
        <v>0</v>
      </c>
    </row>
    <row r="680" spans="1:28">
      <c r="A680" s="39">
        <f>IF(D680="","","RL-"&amp;TEXT(ROW()-4,"0000"))</f>
        <v>0</v>
      </c>
      <c r="C680" s="17">
        <f>IF(B680="","",IFERROR(INDEX(Recipes!$B$5:$B$204,MATCH(B680,Recipes!$A$5:$A$204,0)),"Not found"))</f>
        <v>0</v>
      </c>
      <c r="J680" s="45">
        <f>IF(E680="","",IFERROR(E680*INDEX(UnitFactors,MATCH(F680,UnitNames,0)),""))</f>
        <v>0</v>
      </c>
      <c r="K680" s="17">
        <f>IF(F680="","",IFERROR(INDEX(UnitBases,MATCH(F680,UnitNames,0)),"?"))</f>
        <v>0</v>
      </c>
      <c r="L680" s="17">
        <f>IF(D680="","",IFERROR(INDEX(Ingredients!$G$5:$G$304,MATCH(D680,Ingredients!$B$5:$B$304,0)),"Add to Ingredients"))</f>
        <v>0</v>
      </c>
      <c r="M680" s="25">
        <f>IF(D680="","",IFERROR(INDEX(Ingredients!$J$5:$J$304,MATCH(D680,Ingredients!$B$5:$B$304,0)),"Add to Ingredients"))</f>
        <v>0</v>
      </c>
      <c r="N680" s="25">
        <f>IF(OR(J680="",M680="",NOT(ISNUMBER(M680))),"",IF(K680&lt;&gt;L680,"",J680*M680))</f>
        <v>0</v>
      </c>
      <c r="O680" s="25">
        <f>IF(N680="","",IFERROR(N680/INDEX(Recipes!$G$5:$G$204,MATCH(B680,Recipes!$A$5:$A$204,0)),""))</f>
        <v>0</v>
      </c>
      <c r="P680" s="30">
        <f>IF(J680="","",IF(K680="each",J680,J680/100))</f>
        <v>0</v>
      </c>
      <c r="Q680" s="30">
        <f>IFERROR(IF(P680="","",P680*INDEX(Ingredients!$P$5:$P$304,MATCH(D680,Ingredients!$B$5:$B$304,0))),"")</f>
        <v>0</v>
      </c>
      <c r="R680" s="45">
        <f>IFERROR(IF(P680="","",P680*INDEX(Ingredients!$Q$5:$Q$304,MATCH(D680,Ingredients!$B$5:$B$304,0))),"")</f>
        <v>0</v>
      </c>
      <c r="S680" s="45">
        <f>IFERROR(IF(P680="","",P680*INDEX(Ingredients!$R$5:$R$304,MATCH(D680,Ingredients!$B$5:$B$304,0))),"")</f>
        <v>0</v>
      </c>
      <c r="T680" s="45">
        <f>IFERROR(IF(P680="","",P680*INDEX(Ingredients!$S$5:$S$304,MATCH(D680,Ingredients!$B$5:$B$304,0))),"")</f>
        <v>0</v>
      </c>
      <c r="U680" s="45">
        <f>IFERROR(IF(P680="","",P680*INDEX(Ingredients!$T$5:$T$304,MATCH(D680,Ingredients!$B$5:$B$304,0))),"")</f>
        <v>0</v>
      </c>
      <c r="V680" s="17">
        <f>IF(D680="","",IFERROR(INDEX(Ingredients!$W$5:$W$304,MATCH(D680,Ingredients!$B$5:$B$304,0)),"Add to Ingredients"))</f>
        <v>0</v>
      </c>
      <c r="W680" s="17">
        <f>IF(D680="","",IFERROR(INDEX(Ingredients!$C$5:$C$304,MATCH(D680,Ingredients!$B$5:$B$304,0)),"Add to Ingredients"))</f>
        <v>0</v>
      </c>
      <c r="X680" s="45">
        <f>IFERROR(INDEX(Recipes!$AT$5:$AT$204,MATCH(B680,Recipes!$A$5:$A$204,0)),0)</f>
        <v>0</v>
      </c>
      <c r="Y680" s="45">
        <f>IF(OR(J680="",X680=0),"",J680*X680)</f>
        <v>0</v>
      </c>
      <c r="Z680" s="17">
        <f>IF(D680="","",B680&amp;"#"&amp;COUNTIFS($B$5:B680,B680))</f>
        <v>0</v>
      </c>
      <c r="AA680" s="17">
        <f>IF(D680="","",B680&amp;"|"&amp;D680)</f>
        <v>0</v>
      </c>
      <c r="AB680" s="31">
        <f>IF(D680="","",IF(B680="","Add - which recipe?",IF(COUNTIFS(Ingredients!$B$5:$B$304,D680)=0,"Missing - not in the Ingredients tab",IF(E680="","Add - no quantity",IF(F680="","Add - no unit",IF(K680&lt;&gt;L680,"Check - recipe in "&amp;K680&amp;", priced in "&amp;L680,IF(COUNTIFS($AA$5:$AA$1204,AA680)&gt;1,"Duplicate - same ingredient twice","OK")))))))</f>
        <v>0</v>
      </c>
    </row>
    <row r="681" spans="1:28">
      <c r="A681" s="39">
        <f>IF(D681="","","RL-"&amp;TEXT(ROW()-4,"0000"))</f>
        <v>0</v>
      </c>
      <c r="C681" s="17">
        <f>IF(B681="","",IFERROR(INDEX(Recipes!$B$5:$B$204,MATCH(B681,Recipes!$A$5:$A$204,0)),"Not found"))</f>
        <v>0</v>
      </c>
      <c r="J681" s="45">
        <f>IF(E681="","",IFERROR(E681*INDEX(UnitFactors,MATCH(F681,UnitNames,0)),""))</f>
        <v>0</v>
      </c>
      <c r="K681" s="17">
        <f>IF(F681="","",IFERROR(INDEX(UnitBases,MATCH(F681,UnitNames,0)),"?"))</f>
        <v>0</v>
      </c>
      <c r="L681" s="17">
        <f>IF(D681="","",IFERROR(INDEX(Ingredients!$G$5:$G$304,MATCH(D681,Ingredients!$B$5:$B$304,0)),"Add to Ingredients"))</f>
        <v>0</v>
      </c>
      <c r="M681" s="25">
        <f>IF(D681="","",IFERROR(INDEX(Ingredients!$J$5:$J$304,MATCH(D681,Ingredients!$B$5:$B$304,0)),"Add to Ingredients"))</f>
        <v>0</v>
      </c>
      <c r="N681" s="25">
        <f>IF(OR(J681="",M681="",NOT(ISNUMBER(M681))),"",IF(K681&lt;&gt;L681,"",J681*M681))</f>
        <v>0</v>
      </c>
      <c r="O681" s="25">
        <f>IF(N681="","",IFERROR(N681/INDEX(Recipes!$G$5:$G$204,MATCH(B681,Recipes!$A$5:$A$204,0)),""))</f>
        <v>0</v>
      </c>
      <c r="P681" s="30">
        <f>IF(J681="","",IF(K681="each",J681,J681/100))</f>
        <v>0</v>
      </c>
      <c r="Q681" s="30">
        <f>IFERROR(IF(P681="","",P681*INDEX(Ingredients!$P$5:$P$304,MATCH(D681,Ingredients!$B$5:$B$304,0))),"")</f>
        <v>0</v>
      </c>
      <c r="R681" s="45">
        <f>IFERROR(IF(P681="","",P681*INDEX(Ingredients!$Q$5:$Q$304,MATCH(D681,Ingredients!$B$5:$B$304,0))),"")</f>
        <v>0</v>
      </c>
      <c r="S681" s="45">
        <f>IFERROR(IF(P681="","",P681*INDEX(Ingredients!$R$5:$R$304,MATCH(D681,Ingredients!$B$5:$B$304,0))),"")</f>
        <v>0</v>
      </c>
      <c r="T681" s="45">
        <f>IFERROR(IF(P681="","",P681*INDEX(Ingredients!$S$5:$S$304,MATCH(D681,Ingredients!$B$5:$B$304,0))),"")</f>
        <v>0</v>
      </c>
      <c r="U681" s="45">
        <f>IFERROR(IF(P681="","",P681*INDEX(Ingredients!$T$5:$T$304,MATCH(D681,Ingredients!$B$5:$B$304,0))),"")</f>
        <v>0</v>
      </c>
      <c r="V681" s="17">
        <f>IF(D681="","",IFERROR(INDEX(Ingredients!$W$5:$W$304,MATCH(D681,Ingredients!$B$5:$B$304,0)),"Add to Ingredients"))</f>
        <v>0</v>
      </c>
      <c r="W681" s="17">
        <f>IF(D681="","",IFERROR(INDEX(Ingredients!$C$5:$C$304,MATCH(D681,Ingredients!$B$5:$B$304,0)),"Add to Ingredients"))</f>
        <v>0</v>
      </c>
      <c r="X681" s="45">
        <f>IFERROR(INDEX(Recipes!$AT$5:$AT$204,MATCH(B681,Recipes!$A$5:$A$204,0)),0)</f>
        <v>0</v>
      </c>
      <c r="Y681" s="45">
        <f>IF(OR(J681="",X681=0),"",J681*X681)</f>
        <v>0</v>
      </c>
      <c r="Z681" s="17">
        <f>IF(D681="","",B681&amp;"#"&amp;COUNTIFS($B$5:B681,B681))</f>
        <v>0</v>
      </c>
      <c r="AA681" s="17">
        <f>IF(D681="","",B681&amp;"|"&amp;D681)</f>
        <v>0</v>
      </c>
      <c r="AB681" s="31">
        <f>IF(D681="","",IF(B681="","Add - which recipe?",IF(COUNTIFS(Ingredients!$B$5:$B$304,D681)=0,"Missing - not in the Ingredients tab",IF(E681="","Add - no quantity",IF(F681="","Add - no unit",IF(K681&lt;&gt;L681,"Check - recipe in "&amp;K681&amp;", priced in "&amp;L681,IF(COUNTIFS($AA$5:$AA$1204,AA681)&gt;1,"Duplicate - same ingredient twice","OK")))))))</f>
        <v>0</v>
      </c>
    </row>
    <row r="682" spans="1:28">
      <c r="A682" s="39">
        <f>IF(D682="","","RL-"&amp;TEXT(ROW()-4,"0000"))</f>
        <v>0</v>
      </c>
      <c r="C682" s="17">
        <f>IF(B682="","",IFERROR(INDEX(Recipes!$B$5:$B$204,MATCH(B682,Recipes!$A$5:$A$204,0)),"Not found"))</f>
        <v>0</v>
      </c>
      <c r="J682" s="45">
        <f>IF(E682="","",IFERROR(E682*INDEX(UnitFactors,MATCH(F682,UnitNames,0)),""))</f>
        <v>0</v>
      </c>
      <c r="K682" s="17">
        <f>IF(F682="","",IFERROR(INDEX(UnitBases,MATCH(F682,UnitNames,0)),"?"))</f>
        <v>0</v>
      </c>
      <c r="L682" s="17">
        <f>IF(D682="","",IFERROR(INDEX(Ingredients!$G$5:$G$304,MATCH(D682,Ingredients!$B$5:$B$304,0)),"Add to Ingredients"))</f>
        <v>0</v>
      </c>
      <c r="M682" s="25">
        <f>IF(D682="","",IFERROR(INDEX(Ingredients!$J$5:$J$304,MATCH(D682,Ingredients!$B$5:$B$304,0)),"Add to Ingredients"))</f>
        <v>0</v>
      </c>
      <c r="N682" s="25">
        <f>IF(OR(J682="",M682="",NOT(ISNUMBER(M682))),"",IF(K682&lt;&gt;L682,"",J682*M682))</f>
        <v>0</v>
      </c>
      <c r="O682" s="25">
        <f>IF(N682="","",IFERROR(N682/INDEX(Recipes!$G$5:$G$204,MATCH(B682,Recipes!$A$5:$A$204,0)),""))</f>
        <v>0</v>
      </c>
      <c r="P682" s="30">
        <f>IF(J682="","",IF(K682="each",J682,J682/100))</f>
        <v>0</v>
      </c>
      <c r="Q682" s="30">
        <f>IFERROR(IF(P682="","",P682*INDEX(Ingredients!$P$5:$P$304,MATCH(D682,Ingredients!$B$5:$B$304,0))),"")</f>
        <v>0</v>
      </c>
      <c r="R682" s="45">
        <f>IFERROR(IF(P682="","",P682*INDEX(Ingredients!$Q$5:$Q$304,MATCH(D682,Ingredients!$B$5:$B$304,0))),"")</f>
        <v>0</v>
      </c>
      <c r="S682" s="45">
        <f>IFERROR(IF(P682="","",P682*INDEX(Ingredients!$R$5:$R$304,MATCH(D682,Ingredients!$B$5:$B$304,0))),"")</f>
        <v>0</v>
      </c>
      <c r="T682" s="45">
        <f>IFERROR(IF(P682="","",P682*INDEX(Ingredients!$S$5:$S$304,MATCH(D682,Ingredients!$B$5:$B$304,0))),"")</f>
        <v>0</v>
      </c>
      <c r="U682" s="45">
        <f>IFERROR(IF(P682="","",P682*INDEX(Ingredients!$T$5:$T$304,MATCH(D682,Ingredients!$B$5:$B$304,0))),"")</f>
        <v>0</v>
      </c>
      <c r="V682" s="17">
        <f>IF(D682="","",IFERROR(INDEX(Ingredients!$W$5:$W$304,MATCH(D682,Ingredients!$B$5:$B$304,0)),"Add to Ingredients"))</f>
        <v>0</v>
      </c>
      <c r="W682" s="17">
        <f>IF(D682="","",IFERROR(INDEX(Ingredients!$C$5:$C$304,MATCH(D682,Ingredients!$B$5:$B$304,0)),"Add to Ingredients"))</f>
        <v>0</v>
      </c>
      <c r="X682" s="45">
        <f>IFERROR(INDEX(Recipes!$AT$5:$AT$204,MATCH(B682,Recipes!$A$5:$A$204,0)),0)</f>
        <v>0</v>
      </c>
      <c r="Y682" s="45">
        <f>IF(OR(J682="",X682=0),"",J682*X682)</f>
        <v>0</v>
      </c>
      <c r="Z682" s="17">
        <f>IF(D682="","",B682&amp;"#"&amp;COUNTIFS($B$5:B682,B682))</f>
        <v>0</v>
      </c>
      <c r="AA682" s="17">
        <f>IF(D682="","",B682&amp;"|"&amp;D682)</f>
        <v>0</v>
      </c>
      <c r="AB682" s="31">
        <f>IF(D682="","",IF(B682="","Add - which recipe?",IF(COUNTIFS(Ingredients!$B$5:$B$304,D682)=0,"Missing - not in the Ingredients tab",IF(E682="","Add - no quantity",IF(F682="","Add - no unit",IF(K682&lt;&gt;L682,"Check - recipe in "&amp;K682&amp;", priced in "&amp;L682,IF(COUNTIFS($AA$5:$AA$1204,AA682)&gt;1,"Duplicate - same ingredient twice","OK")))))))</f>
        <v>0</v>
      </c>
    </row>
    <row r="683" spans="1:28">
      <c r="A683" s="39">
        <f>IF(D683="","","RL-"&amp;TEXT(ROW()-4,"0000"))</f>
        <v>0</v>
      </c>
      <c r="C683" s="17">
        <f>IF(B683="","",IFERROR(INDEX(Recipes!$B$5:$B$204,MATCH(B683,Recipes!$A$5:$A$204,0)),"Not found"))</f>
        <v>0</v>
      </c>
      <c r="J683" s="45">
        <f>IF(E683="","",IFERROR(E683*INDEX(UnitFactors,MATCH(F683,UnitNames,0)),""))</f>
        <v>0</v>
      </c>
      <c r="K683" s="17">
        <f>IF(F683="","",IFERROR(INDEX(UnitBases,MATCH(F683,UnitNames,0)),"?"))</f>
        <v>0</v>
      </c>
      <c r="L683" s="17">
        <f>IF(D683="","",IFERROR(INDEX(Ingredients!$G$5:$G$304,MATCH(D683,Ingredients!$B$5:$B$304,0)),"Add to Ingredients"))</f>
        <v>0</v>
      </c>
      <c r="M683" s="25">
        <f>IF(D683="","",IFERROR(INDEX(Ingredients!$J$5:$J$304,MATCH(D683,Ingredients!$B$5:$B$304,0)),"Add to Ingredients"))</f>
        <v>0</v>
      </c>
      <c r="N683" s="25">
        <f>IF(OR(J683="",M683="",NOT(ISNUMBER(M683))),"",IF(K683&lt;&gt;L683,"",J683*M683))</f>
        <v>0</v>
      </c>
      <c r="O683" s="25">
        <f>IF(N683="","",IFERROR(N683/INDEX(Recipes!$G$5:$G$204,MATCH(B683,Recipes!$A$5:$A$204,0)),""))</f>
        <v>0</v>
      </c>
      <c r="P683" s="30">
        <f>IF(J683="","",IF(K683="each",J683,J683/100))</f>
        <v>0</v>
      </c>
      <c r="Q683" s="30">
        <f>IFERROR(IF(P683="","",P683*INDEX(Ingredients!$P$5:$P$304,MATCH(D683,Ingredients!$B$5:$B$304,0))),"")</f>
        <v>0</v>
      </c>
      <c r="R683" s="45">
        <f>IFERROR(IF(P683="","",P683*INDEX(Ingredients!$Q$5:$Q$304,MATCH(D683,Ingredients!$B$5:$B$304,0))),"")</f>
        <v>0</v>
      </c>
      <c r="S683" s="45">
        <f>IFERROR(IF(P683="","",P683*INDEX(Ingredients!$R$5:$R$304,MATCH(D683,Ingredients!$B$5:$B$304,0))),"")</f>
        <v>0</v>
      </c>
      <c r="T683" s="45">
        <f>IFERROR(IF(P683="","",P683*INDEX(Ingredients!$S$5:$S$304,MATCH(D683,Ingredients!$B$5:$B$304,0))),"")</f>
        <v>0</v>
      </c>
      <c r="U683" s="45">
        <f>IFERROR(IF(P683="","",P683*INDEX(Ingredients!$T$5:$T$304,MATCH(D683,Ingredients!$B$5:$B$304,0))),"")</f>
        <v>0</v>
      </c>
      <c r="V683" s="17">
        <f>IF(D683="","",IFERROR(INDEX(Ingredients!$W$5:$W$304,MATCH(D683,Ingredients!$B$5:$B$304,0)),"Add to Ingredients"))</f>
        <v>0</v>
      </c>
      <c r="W683" s="17">
        <f>IF(D683="","",IFERROR(INDEX(Ingredients!$C$5:$C$304,MATCH(D683,Ingredients!$B$5:$B$304,0)),"Add to Ingredients"))</f>
        <v>0</v>
      </c>
      <c r="X683" s="45">
        <f>IFERROR(INDEX(Recipes!$AT$5:$AT$204,MATCH(B683,Recipes!$A$5:$A$204,0)),0)</f>
        <v>0</v>
      </c>
      <c r="Y683" s="45">
        <f>IF(OR(J683="",X683=0),"",J683*X683)</f>
        <v>0</v>
      </c>
      <c r="Z683" s="17">
        <f>IF(D683="","",B683&amp;"#"&amp;COUNTIFS($B$5:B683,B683))</f>
        <v>0</v>
      </c>
      <c r="AA683" s="17">
        <f>IF(D683="","",B683&amp;"|"&amp;D683)</f>
        <v>0</v>
      </c>
      <c r="AB683" s="31">
        <f>IF(D683="","",IF(B683="","Add - which recipe?",IF(COUNTIFS(Ingredients!$B$5:$B$304,D683)=0,"Missing - not in the Ingredients tab",IF(E683="","Add - no quantity",IF(F683="","Add - no unit",IF(K683&lt;&gt;L683,"Check - recipe in "&amp;K683&amp;", priced in "&amp;L683,IF(COUNTIFS($AA$5:$AA$1204,AA683)&gt;1,"Duplicate - same ingredient twice","OK")))))))</f>
        <v>0</v>
      </c>
    </row>
    <row r="684" spans="1:28">
      <c r="A684" s="39">
        <f>IF(D684="","","RL-"&amp;TEXT(ROW()-4,"0000"))</f>
        <v>0</v>
      </c>
      <c r="C684" s="17">
        <f>IF(B684="","",IFERROR(INDEX(Recipes!$B$5:$B$204,MATCH(B684,Recipes!$A$5:$A$204,0)),"Not found"))</f>
        <v>0</v>
      </c>
      <c r="J684" s="45">
        <f>IF(E684="","",IFERROR(E684*INDEX(UnitFactors,MATCH(F684,UnitNames,0)),""))</f>
        <v>0</v>
      </c>
      <c r="K684" s="17">
        <f>IF(F684="","",IFERROR(INDEX(UnitBases,MATCH(F684,UnitNames,0)),"?"))</f>
        <v>0</v>
      </c>
      <c r="L684" s="17">
        <f>IF(D684="","",IFERROR(INDEX(Ingredients!$G$5:$G$304,MATCH(D684,Ingredients!$B$5:$B$304,0)),"Add to Ingredients"))</f>
        <v>0</v>
      </c>
      <c r="M684" s="25">
        <f>IF(D684="","",IFERROR(INDEX(Ingredients!$J$5:$J$304,MATCH(D684,Ingredients!$B$5:$B$304,0)),"Add to Ingredients"))</f>
        <v>0</v>
      </c>
      <c r="N684" s="25">
        <f>IF(OR(J684="",M684="",NOT(ISNUMBER(M684))),"",IF(K684&lt;&gt;L684,"",J684*M684))</f>
        <v>0</v>
      </c>
      <c r="O684" s="25">
        <f>IF(N684="","",IFERROR(N684/INDEX(Recipes!$G$5:$G$204,MATCH(B684,Recipes!$A$5:$A$204,0)),""))</f>
        <v>0</v>
      </c>
      <c r="P684" s="30">
        <f>IF(J684="","",IF(K684="each",J684,J684/100))</f>
        <v>0</v>
      </c>
      <c r="Q684" s="30">
        <f>IFERROR(IF(P684="","",P684*INDEX(Ingredients!$P$5:$P$304,MATCH(D684,Ingredients!$B$5:$B$304,0))),"")</f>
        <v>0</v>
      </c>
      <c r="R684" s="45">
        <f>IFERROR(IF(P684="","",P684*INDEX(Ingredients!$Q$5:$Q$304,MATCH(D684,Ingredients!$B$5:$B$304,0))),"")</f>
        <v>0</v>
      </c>
      <c r="S684" s="45">
        <f>IFERROR(IF(P684="","",P684*INDEX(Ingredients!$R$5:$R$304,MATCH(D684,Ingredients!$B$5:$B$304,0))),"")</f>
        <v>0</v>
      </c>
      <c r="T684" s="45">
        <f>IFERROR(IF(P684="","",P684*INDEX(Ingredients!$S$5:$S$304,MATCH(D684,Ingredients!$B$5:$B$304,0))),"")</f>
        <v>0</v>
      </c>
      <c r="U684" s="45">
        <f>IFERROR(IF(P684="","",P684*INDEX(Ingredients!$T$5:$T$304,MATCH(D684,Ingredients!$B$5:$B$304,0))),"")</f>
        <v>0</v>
      </c>
      <c r="V684" s="17">
        <f>IF(D684="","",IFERROR(INDEX(Ingredients!$W$5:$W$304,MATCH(D684,Ingredients!$B$5:$B$304,0)),"Add to Ingredients"))</f>
        <v>0</v>
      </c>
      <c r="W684" s="17">
        <f>IF(D684="","",IFERROR(INDEX(Ingredients!$C$5:$C$304,MATCH(D684,Ingredients!$B$5:$B$304,0)),"Add to Ingredients"))</f>
        <v>0</v>
      </c>
      <c r="X684" s="45">
        <f>IFERROR(INDEX(Recipes!$AT$5:$AT$204,MATCH(B684,Recipes!$A$5:$A$204,0)),0)</f>
        <v>0</v>
      </c>
      <c r="Y684" s="45">
        <f>IF(OR(J684="",X684=0),"",J684*X684)</f>
        <v>0</v>
      </c>
      <c r="Z684" s="17">
        <f>IF(D684="","",B684&amp;"#"&amp;COUNTIFS($B$5:B684,B684))</f>
        <v>0</v>
      </c>
      <c r="AA684" s="17">
        <f>IF(D684="","",B684&amp;"|"&amp;D684)</f>
        <v>0</v>
      </c>
      <c r="AB684" s="31">
        <f>IF(D684="","",IF(B684="","Add - which recipe?",IF(COUNTIFS(Ingredients!$B$5:$B$304,D684)=0,"Missing - not in the Ingredients tab",IF(E684="","Add - no quantity",IF(F684="","Add - no unit",IF(K684&lt;&gt;L684,"Check - recipe in "&amp;K684&amp;", priced in "&amp;L684,IF(COUNTIFS($AA$5:$AA$1204,AA684)&gt;1,"Duplicate - same ingredient twice","OK")))))))</f>
        <v>0</v>
      </c>
    </row>
    <row r="685" spans="1:28">
      <c r="A685" s="39">
        <f>IF(D685="","","RL-"&amp;TEXT(ROW()-4,"0000"))</f>
        <v>0</v>
      </c>
      <c r="C685" s="17">
        <f>IF(B685="","",IFERROR(INDEX(Recipes!$B$5:$B$204,MATCH(B685,Recipes!$A$5:$A$204,0)),"Not found"))</f>
        <v>0</v>
      </c>
      <c r="J685" s="45">
        <f>IF(E685="","",IFERROR(E685*INDEX(UnitFactors,MATCH(F685,UnitNames,0)),""))</f>
        <v>0</v>
      </c>
      <c r="K685" s="17">
        <f>IF(F685="","",IFERROR(INDEX(UnitBases,MATCH(F685,UnitNames,0)),"?"))</f>
        <v>0</v>
      </c>
      <c r="L685" s="17">
        <f>IF(D685="","",IFERROR(INDEX(Ingredients!$G$5:$G$304,MATCH(D685,Ingredients!$B$5:$B$304,0)),"Add to Ingredients"))</f>
        <v>0</v>
      </c>
      <c r="M685" s="25">
        <f>IF(D685="","",IFERROR(INDEX(Ingredients!$J$5:$J$304,MATCH(D685,Ingredients!$B$5:$B$304,0)),"Add to Ingredients"))</f>
        <v>0</v>
      </c>
      <c r="N685" s="25">
        <f>IF(OR(J685="",M685="",NOT(ISNUMBER(M685))),"",IF(K685&lt;&gt;L685,"",J685*M685))</f>
        <v>0</v>
      </c>
      <c r="O685" s="25">
        <f>IF(N685="","",IFERROR(N685/INDEX(Recipes!$G$5:$G$204,MATCH(B685,Recipes!$A$5:$A$204,0)),""))</f>
        <v>0</v>
      </c>
      <c r="P685" s="30">
        <f>IF(J685="","",IF(K685="each",J685,J685/100))</f>
        <v>0</v>
      </c>
      <c r="Q685" s="30">
        <f>IFERROR(IF(P685="","",P685*INDEX(Ingredients!$P$5:$P$304,MATCH(D685,Ingredients!$B$5:$B$304,0))),"")</f>
        <v>0</v>
      </c>
      <c r="R685" s="45">
        <f>IFERROR(IF(P685="","",P685*INDEX(Ingredients!$Q$5:$Q$304,MATCH(D685,Ingredients!$B$5:$B$304,0))),"")</f>
        <v>0</v>
      </c>
      <c r="S685" s="45">
        <f>IFERROR(IF(P685="","",P685*INDEX(Ingredients!$R$5:$R$304,MATCH(D685,Ingredients!$B$5:$B$304,0))),"")</f>
        <v>0</v>
      </c>
      <c r="T685" s="45">
        <f>IFERROR(IF(P685="","",P685*INDEX(Ingredients!$S$5:$S$304,MATCH(D685,Ingredients!$B$5:$B$304,0))),"")</f>
        <v>0</v>
      </c>
      <c r="U685" s="45">
        <f>IFERROR(IF(P685="","",P685*INDEX(Ingredients!$T$5:$T$304,MATCH(D685,Ingredients!$B$5:$B$304,0))),"")</f>
        <v>0</v>
      </c>
      <c r="V685" s="17">
        <f>IF(D685="","",IFERROR(INDEX(Ingredients!$W$5:$W$304,MATCH(D685,Ingredients!$B$5:$B$304,0)),"Add to Ingredients"))</f>
        <v>0</v>
      </c>
      <c r="W685" s="17">
        <f>IF(D685="","",IFERROR(INDEX(Ingredients!$C$5:$C$304,MATCH(D685,Ingredients!$B$5:$B$304,0)),"Add to Ingredients"))</f>
        <v>0</v>
      </c>
      <c r="X685" s="45">
        <f>IFERROR(INDEX(Recipes!$AT$5:$AT$204,MATCH(B685,Recipes!$A$5:$A$204,0)),0)</f>
        <v>0</v>
      </c>
      <c r="Y685" s="45">
        <f>IF(OR(J685="",X685=0),"",J685*X685)</f>
        <v>0</v>
      </c>
      <c r="Z685" s="17">
        <f>IF(D685="","",B685&amp;"#"&amp;COUNTIFS($B$5:B685,B685))</f>
        <v>0</v>
      </c>
      <c r="AA685" s="17">
        <f>IF(D685="","",B685&amp;"|"&amp;D685)</f>
        <v>0</v>
      </c>
      <c r="AB685" s="31">
        <f>IF(D685="","",IF(B685="","Add - which recipe?",IF(COUNTIFS(Ingredients!$B$5:$B$304,D685)=0,"Missing - not in the Ingredients tab",IF(E685="","Add - no quantity",IF(F685="","Add - no unit",IF(K685&lt;&gt;L685,"Check - recipe in "&amp;K685&amp;", priced in "&amp;L685,IF(COUNTIFS($AA$5:$AA$1204,AA685)&gt;1,"Duplicate - same ingredient twice","OK")))))))</f>
        <v>0</v>
      </c>
    </row>
    <row r="686" spans="1:28">
      <c r="A686" s="39">
        <f>IF(D686="","","RL-"&amp;TEXT(ROW()-4,"0000"))</f>
        <v>0</v>
      </c>
      <c r="C686" s="17">
        <f>IF(B686="","",IFERROR(INDEX(Recipes!$B$5:$B$204,MATCH(B686,Recipes!$A$5:$A$204,0)),"Not found"))</f>
        <v>0</v>
      </c>
      <c r="J686" s="45">
        <f>IF(E686="","",IFERROR(E686*INDEX(UnitFactors,MATCH(F686,UnitNames,0)),""))</f>
        <v>0</v>
      </c>
      <c r="K686" s="17">
        <f>IF(F686="","",IFERROR(INDEX(UnitBases,MATCH(F686,UnitNames,0)),"?"))</f>
        <v>0</v>
      </c>
      <c r="L686" s="17">
        <f>IF(D686="","",IFERROR(INDEX(Ingredients!$G$5:$G$304,MATCH(D686,Ingredients!$B$5:$B$304,0)),"Add to Ingredients"))</f>
        <v>0</v>
      </c>
      <c r="M686" s="25">
        <f>IF(D686="","",IFERROR(INDEX(Ingredients!$J$5:$J$304,MATCH(D686,Ingredients!$B$5:$B$304,0)),"Add to Ingredients"))</f>
        <v>0</v>
      </c>
      <c r="N686" s="25">
        <f>IF(OR(J686="",M686="",NOT(ISNUMBER(M686))),"",IF(K686&lt;&gt;L686,"",J686*M686))</f>
        <v>0</v>
      </c>
      <c r="O686" s="25">
        <f>IF(N686="","",IFERROR(N686/INDEX(Recipes!$G$5:$G$204,MATCH(B686,Recipes!$A$5:$A$204,0)),""))</f>
        <v>0</v>
      </c>
      <c r="P686" s="30">
        <f>IF(J686="","",IF(K686="each",J686,J686/100))</f>
        <v>0</v>
      </c>
      <c r="Q686" s="30">
        <f>IFERROR(IF(P686="","",P686*INDEX(Ingredients!$P$5:$P$304,MATCH(D686,Ingredients!$B$5:$B$304,0))),"")</f>
        <v>0</v>
      </c>
      <c r="R686" s="45">
        <f>IFERROR(IF(P686="","",P686*INDEX(Ingredients!$Q$5:$Q$304,MATCH(D686,Ingredients!$B$5:$B$304,0))),"")</f>
        <v>0</v>
      </c>
      <c r="S686" s="45">
        <f>IFERROR(IF(P686="","",P686*INDEX(Ingredients!$R$5:$R$304,MATCH(D686,Ingredients!$B$5:$B$304,0))),"")</f>
        <v>0</v>
      </c>
      <c r="T686" s="45">
        <f>IFERROR(IF(P686="","",P686*INDEX(Ingredients!$S$5:$S$304,MATCH(D686,Ingredients!$B$5:$B$304,0))),"")</f>
        <v>0</v>
      </c>
      <c r="U686" s="45">
        <f>IFERROR(IF(P686="","",P686*INDEX(Ingredients!$T$5:$T$304,MATCH(D686,Ingredients!$B$5:$B$304,0))),"")</f>
        <v>0</v>
      </c>
      <c r="V686" s="17">
        <f>IF(D686="","",IFERROR(INDEX(Ingredients!$W$5:$W$304,MATCH(D686,Ingredients!$B$5:$B$304,0)),"Add to Ingredients"))</f>
        <v>0</v>
      </c>
      <c r="W686" s="17">
        <f>IF(D686="","",IFERROR(INDEX(Ingredients!$C$5:$C$304,MATCH(D686,Ingredients!$B$5:$B$304,0)),"Add to Ingredients"))</f>
        <v>0</v>
      </c>
      <c r="X686" s="45">
        <f>IFERROR(INDEX(Recipes!$AT$5:$AT$204,MATCH(B686,Recipes!$A$5:$A$204,0)),0)</f>
        <v>0</v>
      </c>
      <c r="Y686" s="45">
        <f>IF(OR(J686="",X686=0),"",J686*X686)</f>
        <v>0</v>
      </c>
      <c r="Z686" s="17">
        <f>IF(D686="","",B686&amp;"#"&amp;COUNTIFS($B$5:B686,B686))</f>
        <v>0</v>
      </c>
      <c r="AA686" s="17">
        <f>IF(D686="","",B686&amp;"|"&amp;D686)</f>
        <v>0</v>
      </c>
      <c r="AB686" s="31">
        <f>IF(D686="","",IF(B686="","Add - which recipe?",IF(COUNTIFS(Ingredients!$B$5:$B$304,D686)=0,"Missing - not in the Ingredients tab",IF(E686="","Add - no quantity",IF(F686="","Add - no unit",IF(K686&lt;&gt;L686,"Check - recipe in "&amp;K686&amp;", priced in "&amp;L686,IF(COUNTIFS($AA$5:$AA$1204,AA686)&gt;1,"Duplicate - same ingredient twice","OK")))))))</f>
        <v>0</v>
      </c>
    </row>
    <row r="687" spans="1:28">
      <c r="A687" s="39">
        <f>IF(D687="","","RL-"&amp;TEXT(ROW()-4,"0000"))</f>
        <v>0</v>
      </c>
      <c r="C687" s="17">
        <f>IF(B687="","",IFERROR(INDEX(Recipes!$B$5:$B$204,MATCH(B687,Recipes!$A$5:$A$204,0)),"Not found"))</f>
        <v>0</v>
      </c>
      <c r="J687" s="45">
        <f>IF(E687="","",IFERROR(E687*INDEX(UnitFactors,MATCH(F687,UnitNames,0)),""))</f>
        <v>0</v>
      </c>
      <c r="K687" s="17">
        <f>IF(F687="","",IFERROR(INDEX(UnitBases,MATCH(F687,UnitNames,0)),"?"))</f>
        <v>0</v>
      </c>
      <c r="L687" s="17">
        <f>IF(D687="","",IFERROR(INDEX(Ingredients!$G$5:$G$304,MATCH(D687,Ingredients!$B$5:$B$304,0)),"Add to Ingredients"))</f>
        <v>0</v>
      </c>
      <c r="M687" s="25">
        <f>IF(D687="","",IFERROR(INDEX(Ingredients!$J$5:$J$304,MATCH(D687,Ingredients!$B$5:$B$304,0)),"Add to Ingredients"))</f>
        <v>0</v>
      </c>
      <c r="N687" s="25">
        <f>IF(OR(J687="",M687="",NOT(ISNUMBER(M687))),"",IF(K687&lt;&gt;L687,"",J687*M687))</f>
        <v>0</v>
      </c>
      <c r="O687" s="25">
        <f>IF(N687="","",IFERROR(N687/INDEX(Recipes!$G$5:$G$204,MATCH(B687,Recipes!$A$5:$A$204,0)),""))</f>
        <v>0</v>
      </c>
      <c r="P687" s="30">
        <f>IF(J687="","",IF(K687="each",J687,J687/100))</f>
        <v>0</v>
      </c>
      <c r="Q687" s="30">
        <f>IFERROR(IF(P687="","",P687*INDEX(Ingredients!$P$5:$P$304,MATCH(D687,Ingredients!$B$5:$B$304,0))),"")</f>
        <v>0</v>
      </c>
      <c r="R687" s="45">
        <f>IFERROR(IF(P687="","",P687*INDEX(Ingredients!$Q$5:$Q$304,MATCH(D687,Ingredients!$B$5:$B$304,0))),"")</f>
        <v>0</v>
      </c>
      <c r="S687" s="45">
        <f>IFERROR(IF(P687="","",P687*INDEX(Ingredients!$R$5:$R$304,MATCH(D687,Ingredients!$B$5:$B$304,0))),"")</f>
        <v>0</v>
      </c>
      <c r="T687" s="45">
        <f>IFERROR(IF(P687="","",P687*INDEX(Ingredients!$S$5:$S$304,MATCH(D687,Ingredients!$B$5:$B$304,0))),"")</f>
        <v>0</v>
      </c>
      <c r="U687" s="45">
        <f>IFERROR(IF(P687="","",P687*INDEX(Ingredients!$T$5:$T$304,MATCH(D687,Ingredients!$B$5:$B$304,0))),"")</f>
        <v>0</v>
      </c>
      <c r="V687" s="17">
        <f>IF(D687="","",IFERROR(INDEX(Ingredients!$W$5:$W$304,MATCH(D687,Ingredients!$B$5:$B$304,0)),"Add to Ingredients"))</f>
        <v>0</v>
      </c>
      <c r="W687" s="17">
        <f>IF(D687="","",IFERROR(INDEX(Ingredients!$C$5:$C$304,MATCH(D687,Ingredients!$B$5:$B$304,0)),"Add to Ingredients"))</f>
        <v>0</v>
      </c>
      <c r="X687" s="45">
        <f>IFERROR(INDEX(Recipes!$AT$5:$AT$204,MATCH(B687,Recipes!$A$5:$A$204,0)),0)</f>
        <v>0</v>
      </c>
      <c r="Y687" s="45">
        <f>IF(OR(J687="",X687=0),"",J687*X687)</f>
        <v>0</v>
      </c>
      <c r="Z687" s="17">
        <f>IF(D687="","",B687&amp;"#"&amp;COUNTIFS($B$5:B687,B687))</f>
        <v>0</v>
      </c>
      <c r="AA687" s="17">
        <f>IF(D687="","",B687&amp;"|"&amp;D687)</f>
        <v>0</v>
      </c>
      <c r="AB687" s="31">
        <f>IF(D687="","",IF(B687="","Add - which recipe?",IF(COUNTIFS(Ingredients!$B$5:$B$304,D687)=0,"Missing - not in the Ingredients tab",IF(E687="","Add - no quantity",IF(F687="","Add - no unit",IF(K687&lt;&gt;L687,"Check - recipe in "&amp;K687&amp;", priced in "&amp;L687,IF(COUNTIFS($AA$5:$AA$1204,AA687)&gt;1,"Duplicate - same ingredient twice","OK")))))))</f>
        <v>0</v>
      </c>
    </row>
    <row r="688" spans="1:28">
      <c r="A688" s="39">
        <f>IF(D688="","","RL-"&amp;TEXT(ROW()-4,"0000"))</f>
        <v>0</v>
      </c>
      <c r="C688" s="17">
        <f>IF(B688="","",IFERROR(INDEX(Recipes!$B$5:$B$204,MATCH(B688,Recipes!$A$5:$A$204,0)),"Not found"))</f>
        <v>0</v>
      </c>
      <c r="J688" s="45">
        <f>IF(E688="","",IFERROR(E688*INDEX(UnitFactors,MATCH(F688,UnitNames,0)),""))</f>
        <v>0</v>
      </c>
      <c r="K688" s="17">
        <f>IF(F688="","",IFERROR(INDEX(UnitBases,MATCH(F688,UnitNames,0)),"?"))</f>
        <v>0</v>
      </c>
      <c r="L688" s="17">
        <f>IF(D688="","",IFERROR(INDEX(Ingredients!$G$5:$G$304,MATCH(D688,Ingredients!$B$5:$B$304,0)),"Add to Ingredients"))</f>
        <v>0</v>
      </c>
      <c r="M688" s="25">
        <f>IF(D688="","",IFERROR(INDEX(Ingredients!$J$5:$J$304,MATCH(D688,Ingredients!$B$5:$B$304,0)),"Add to Ingredients"))</f>
        <v>0</v>
      </c>
      <c r="N688" s="25">
        <f>IF(OR(J688="",M688="",NOT(ISNUMBER(M688))),"",IF(K688&lt;&gt;L688,"",J688*M688))</f>
        <v>0</v>
      </c>
      <c r="O688" s="25">
        <f>IF(N688="","",IFERROR(N688/INDEX(Recipes!$G$5:$G$204,MATCH(B688,Recipes!$A$5:$A$204,0)),""))</f>
        <v>0</v>
      </c>
      <c r="P688" s="30">
        <f>IF(J688="","",IF(K688="each",J688,J688/100))</f>
        <v>0</v>
      </c>
      <c r="Q688" s="30">
        <f>IFERROR(IF(P688="","",P688*INDEX(Ingredients!$P$5:$P$304,MATCH(D688,Ingredients!$B$5:$B$304,0))),"")</f>
        <v>0</v>
      </c>
      <c r="R688" s="45">
        <f>IFERROR(IF(P688="","",P688*INDEX(Ingredients!$Q$5:$Q$304,MATCH(D688,Ingredients!$B$5:$B$304,0))),"")</f>
        <v>0</v>
      </c>
      <c r="S688" s="45">
        <f>IFERROR(IF(P688="","",P688*INDEX(Ingredients!$R$5:$R$304,MATCH(D688,Ingredients!$B$5:$B$304,0))),"")</f>
        <v>0</v>
      </c>
      <c r="T688" s="45">
        <f>IFERROR(IF(P688="","",P688*INDEX(Ingredients!$S$5:$S$304,MATCH(D688,Ingredients!$B$5:$B$304,0))),"")</f>
        <v>0</v>
      </c>
      <c r="U688" s="45">
        <f>IFERROR(IF(P688="","",P688*INDEX(Ingredients!$T$5:$T$304,MATCH(D688,Ingredients!$B$5:$B$304,0))),"")</f>
        <v>0</v>
      </c>
      <c r="V688" s="17">
        <f>IF(D688="","",IFERROR(INDEX(Ingredients!$W$5:$W$304,MATCH(D688,Ingredients!$B$5:$B$304,0)),"Add to Ingredients"))</f>
        <v>0</v>
      </c>
      <c r="W688" s="17">
        <f>IF(D688="","",IFERROR(INDEX(Ingredients!$C$5:$C$304,MATCH(D688,Ingredients!$B$5:$B$304,0)),"Add to Ingredients"))</f>
        <v>0</v>
      </c>
      <c r="X688" s="45">
        <f>IFERROR(INDEX(Recipes!$AT$5:$AT$204,MATCH(B688,Recipes!$A$5:$A$204,0)),0)</f>
        <v>0</v>
      </c>
      <c r="Y688" s="45">
        <f>IF(OR(J688="",X688=0),"",J688*X688)</f>
        <v>0</v>
      </c>
      <c r="Z688" s="17">
        <f>IF(D688="","",B688&amp;"#"&amp;COUNTIFS($B$5:B688,B688))</f>
        <v>0</v>
      </c>
      <c r="AA688" s="17">
        <f>IF(D688="","",B688&amp;"|"&amp;D688)</f>
        <v>0</v>
      </c>
      <c r="AB688" s="31">
        <f>IF(D688="","",IF(B688="","Add - which recipe?",IF(COUNTIFS(Ingredients!$B$5:$B$304,D688)=0,"Missing - not in the Ingredients tab",IF(E688="","Add - no quantity",IF(F688="","Add - no unit",IF(K688&lt;&gt;L688,"Check - recipe in "&amp;K688&amp;", priced in "&amp;L688,IF(COUNTIFS($AA$5:$AA$1204,AA688)&gt;1,"Duplicate - same ingredient twice","OK")))))))</f>
        <v>0</v>
      </c>
    </row>
    <row r="689" spans="1:28">
      <c r="A689" s="39">
        <f>IF(D689="","","RL-"&amp;TEXT(ROW()-4,"0000"))</f>
        <v>0</v>
      </c>
      <c r="C689" s="17">
        <f>IF(B689="","",IFERROR(INDEX(Recipes!$B$5:$B$204,MATCH(B689,Recipes!$A$5:$A$204,0)),"Not found"))</f>
        <v>0</v>
      </c>
      <c r="J689" s="45">
        <f>IF(E689="","",IFERROR(E689*INDEX(UnitFactors,MATCH(F689,UnitNames,0)),""))</f>
        <v>0</v>
      </c>
      <c r="K689" s="17">
        <f>IF(F689="","",IFERROR(INDEX(UnitBases,MATCH(F689,UnitNames,0)),"?"))</f>
        <v>0</v>
      </c>
      <c r="L689" s="17">
        <f>IF(D689="","",IFERROR(INDEX(Ingredients!$G$5:$G$304,MATCH(D689,Ingredients!$B$5:$B$304,0)),"Add to Ingredients"))</f>
        <v>0</v>
      </c>
      <c r="M689" s="25">
        <f>IF(D689="","",IFERROR(INDEX(Ingredients!$J$5:$J$304,MATCH(D689,Ingredients!$B$5:$B$304,0)),"Add to Ingredients"))</f>
        <v>0</v>
      </c>
      <c r="N689" s="25">
        <f>IF(OR(J689="",M689="",NOT(ISNUMBER(M689))),"",IF(K689&lt;&gt;L689,"",J689*M689))</f>
        <v>0</v>
      </c>
      <c r="O689" s="25">
        <f>IF(N689="","",IFERROR(N689/INDEX(Recipes!$G$5:$G$204,MATCH(B689,Recipes!$A$5:$A$204,0)),""))</f>
        <v>0</v>
      </c>
      <c r="P689" s="30">
        <f>IF(J689="","",IF(K689="each",J689,J689/100))</f>
        <v>0</v>
      </c>
      <c r="Q689" s="30">
        <f>IFERROR(IF(P689="","",P689*INDEX(Ingredients!$P$5:$P$304,MATCH(D689,Ingredients!$B$5:$B$304,0))),"")</f>
        <v>0</v>
      </c>
      <c r="R689" s="45">
        <f>IFERROR(IF(P689="","",P689*INDEX(Ingredients!$Q$5:$Q$304,MATCH(D689,Ingredients!$B$5:$B$304,0))),"")</f>
        <v>0</v>
      </c>
      <c r="S689" s="45">
        <f>IFERROR(IF(P689="","",P689*INDEX(Ingredients!$R$5:$R$304,MATCH(D689,Ingredients!$B$5:$B$304,0))),"")</f>
        <v>0</v>
      </c>
      <c r="T689" s="45">
        <f>IFERROR(IF(P689="","",P689*INDEX(Ingredients!$S$5:$S$304,MATCH(D689,Ingredients!$B$5:$B$304,0))),"")</f>
        <v>0</v>
      </c>
      <c r="U689" s="45">
        <f>IFERROR(IF(P689="","",P689*INDEX(Ingredients!$T$5:$T$304,MATCH(D689,Ingredients!$B$5:$B$304,0))),"")</f>
        <v>0</v>
      </c>
      <c r="V689" s="17">
        <f>IF(D689="","",IFERROR(INDEX(Ingredients!$W$5:$W$304,MATCH(D689,Ingredients!$B$5:$B$304,0)),"Add to Ingredients"))</f>
        <v>0</v>
      </c>
      <c r="W689" s="17">
        <f>IF(D689="","",IFERROR(INDEX(Ingredients!$C$5:$C$304,MATCH(D689,Ingredients!$B$5:$B$304,0)),"Add to Ingredients"))</f>
        <v>0</v>
      </c>
      <c r="X689" s="45">
        <f>IFERROR(INDEX(Recipes!$AT$5:$AT$204,MATCH(B689,Recipes!$A$5:$A$204,0)),0)</f>
        <v>0</v>
      </c>
      <c r="Y689" s="45">
        <f>IF(OR(J689="",X689=0),"",J689*X689)</f>
        <v>0</v>
      </c>
      <c r="Z689" s="17">
        <f>IF(D689="","",B689&amp;"#"&amp;COUNTIFS($B$5:B689,B689))</f>
        <v>0</v>
      </c>
      <c r="AA689" s="17">
        <f>IF(D689="","",B689&amp;"|"&amp;D689)</f>
        <v>0</v>
      </c>
      <c r="AB689" s="31">
        <f>IF(D689="","",IF(B689="","Add - which recipe?",IF(COUNTIFS(Ingredients!$B$5:$B$304,D689)=0,"Missing - not in the Ingredients tab",IF(E689="","Add - no quantity",IF(F689="","Add - no unit",IF(K689&lt;&gt;L689,"Check - recipe in "&amp;K689&amp;", priced in "&amp;L689,IF(COUNTIFS($AA$5:$AA$1204,AA689)&gt;1,"Duplicate - same ingredient twice","OK")))))))</f>
        <v>0</v>
      </c>
    </row>
    <row r="690" spans="1:28">
      <c r="A690" s="39">
        <f>IF(D690="","","RL-"&amp;TEXT(ROW()-4,"0000"))</f>
        <v>0</v>
      </c>
      <c r="C690" s="17">
        <f>IF(B690="","",IFERROR(INDEX(Recipes!$B$5:$B$204,MATCH(B690,Recipes!$A$5:$A$204,0)),"Not found"))</f>
        <v>0</v>
      </c>
      <c r="J690" s="45">
        <f>IF(E690="","",IFERROR(E690*INDEX(UnitFactors,MATCH(F690,UnitNames,0)),""))</f>
        <v>0</v>
      </c>
      <c r="K690" s="17">
        <f>IF(F690="","",IFERROR(INDEX(UnitBases,MATCH(F690,UnitNames,0)),"?"))</f>
        <v>0</v>
      </c>
      <c r="L690" s="17">
        <f>IF(D690="","",IFERROR(INDEX(Ingredients!$G$5:$G$304,MATCH(D690,Ingredients!$B$5:$B$304,0)),"Add to Ingredients"))</f>
        <v>0</v>
      </c>
      <c r="M690" s="25">
        <f>IF(D690="","",IFERROR(INDEX(Ingredients!$J$5:$J$304,MATCH(D690,Ingredients!$B$5:$B$304,0)),"Add to Ingredients"))</f>
        <v>0</v>
      </c>
      <c r="N690" s="25">
        <f>IF(OR(J690="",M690="",NOT(ISNUMBER(M690))),"",IF(K690&lt;&gt;L690,"",J690*M690))</f>
        <v>0</v>
      </c>
      <c r="O690" s="25">
        <f>IF(N690="","",IFERROR(N690/INDEX(Recipes!$G$5:$G$204,MATCH(B690,Recipes!$A$5:$A$204,0)),""))</f>
        <v>0</v>
      </c>
      <c r="P690" s="30">
        <f>IF(J690="","",IF(K690="each",J690,J690/100))</f>
        <v>0</v>
      </c>
      <c r="Q690" s="30">
        <f>IFERROR(IF(P690="","",P690*INDEX(Ingredients!$P$5:$P$304,MATCH(D690,Ingredients!$B$5:$B$304,0))),"")</f>
        <v>0</v>
      </c>
      <c r="R690" s="45">
        <f>IFERROR(IF(P690="","",P690*INDEX(Ingredients!$Q$5:$Q$304,MATCH(D690,Ingredients!$B$5:$B$304,0))),"")</f>
        <v>0</v>
      </c>
      <c r="S690" s="45">
        <f>IFERROR(IF(P690="","",P690*INDEX(Ingredients!$R$5:$R$304,MATCH(D690,Ingredients!$B$5:$B$304,0))),"")</f>
        <v>0</v>
      </c>
      <c r="T690" s="45">
        <f>IFERROR(IF(P690="","",P690*INDEX(Ingredients!$S$5:$S$304,MATCH(D690,Ingredients!$B$5:$B$304,0))),"")</f>
        <v>0</v>
      </c>
      <c r="U690" s="45">
        <f>IFERROR(IF(P690="","",P690*INDEX(Ingredients!$T$5:$T$304,MATCH(D690,Ingredients!$B$5:$B$304,0))),"")</f>
        <v>0</v>
      </c>
      <c r="V690" s="17">
        <f>IF(D690="","",IFERROR(INDEX(Ingredients!$W$5:$W$304,MATCH(D690,Ingredients!$B$5:$B$304,0)),"Add to Ingredients"))</f>
        <v>0</v>
      </c>
      <c r="W690" s="17">
        <f>IF(D690="","",IFERROR(INDEX(Ingredients!$C$5:$C$304,MATCH(D690,Ingredients!$B$5:$B$304,0)),"Add to Ingredients"))</f>
        <v>0</v>
      </c>
      <c r="X690" s="45">
        <f>IFERROR(INDEX(Recipes!$AT$5:$AT$204,MATCH(B690,Recipes!$A$5:$A$204,0)),0)</f>
        <v>0</v>
      </c>
      <c r="Y690" s="45">
        <f>IF(OR(J690="",X690=0),"",J690*X690)</f>
        <v>0</v>
      </c>
      <c r="Z690" s="17">
        <f>IF(D690="","",B690&amp;"#"&amp;COUNTIFS($B$5:B690,B690))</f>
        <v>0</v>
      </c>
      <c r="AA690" s="17">
        <f>IF(D690="","",B690&amp;"|"&amp;D690)</f>
        <v>0</v>
      </c>
      <c r="AB690" s="31">
        <f>IF(D690="","",IF(B690="","Add - which recipe?",IF(COUNTIFS(Ingredients!$B$5:$B$304,D690)=0,"Missing - not in the Ingredients tab",IF(E690="","Add - no quantity",IF(F690="","Add - no unit",IF(K690&lt;&gt;L690,"Check - recipe in "&amp;K690&amp;", priced in "&amp;L690,IF(COUNTIFS($AA$5:$AA$1204,AA690)&gt;1,"Duplicate - same ingredient twice","OK")))))))</f>
        <v>0</v>
      </c>
    </row>
    <row r="691" spans="1:28">
      <c r="A691" s="39">
        <f>IF(D691="","","RL-"&amp;TEXT(ROW()-4,"0000"))</f>
        <v>0</v>
      </c>
      <c r="C691" s="17">
        <f>IF(B691="","",IFERROR(INDEX(Recipes!$B$5:$B$204,MATCH(B691,Recipes!$A$5:$A$204,0)),"Not found"))</f>
        <v>0</v>
      </c>
      <c r="J691" s="45">
        <f>IF(E691="","",IFERROR(E691*INDEX(UnitFactors,MATCH(F691,UnitNames,0)),""))</f>
        <v>0</v>
      </c>
      <c r="K691" s="17">
        <f>IF(F691="","",IFERROR(INDEX(UnitBases,MATCH(F691,UnitNames,0)),"?"))</f>
        <v>0</v>
      </c>
      <c r="L691" s="17">
        <f>IF(D691="","",IFERROR(INDEX(Ingredients!$G$5:$G$304,MATCH(D691,Ingredients!$B$5:$B$304,0)),"Add to Ingredients"))</f>
        <v>0</v>
      </c>
      <c r="M691" s="25">
        <f>IF(D691="","",IFERROR(INDEX(Ingredients!$J$5:$J$304,MATCH(D691,Ingredients!$B$5:$B$304,0)),"Add to Ingredients"))</f>
        <v>0</v>
      </c>
      <c r="N691" s="25">
        <f>IF(OR(J691="",M691="",NOT(ISNUMBER(M691))),"",IF(K691&lt;&gt;L691,"",J691*M691))</f>
        <v>0</v>
      </c>
      <c r="O691" s="25">
        <f>IF(N691="","",IFERROR(N691/INDEX(Recipes!$G$5:$G$204,MATCH(B691,Recipes!$A$5:$A$204,0)),""))</f>
        <v>0</v>
      </c>
      <c r="P691" s="30">
        <f>IF(J691="","",IF(K691="each",J691,J691/100))</f>
        <v>0</v>
      </c>
      <c r="Q691" s="30">
        <f>IFERROR(IF(P691="","",P691*INDEX(Ingredients!$P$5:$P$304,MATCH(D691,Ingredients!$B$5:$B$304,0))),"")</f>
        <v>0</v>
      </c>
      <c r="R691" s="45">
        <f>IFERROR(IF(P691="","",P691*INDEX(Ingredients!$Q$5:$Q$304,MATCH(D691,Ingredients!$B$5:$B$304,0))),"")</f>
        <v>0</v>
      </c>
      <c r="S691" s="45">
        <f>IFERROR(IF(P691="","",P691*INDEX(Ingredients!$R$5:$R$304,MATCH(D691,Ingredients!$B$5:$B$304,0))),"")</f>
        <v>0</v>
      </c>
      <c r="T691" s="45">
        <f>IFERROR(IF(P691="","",P691*INDEX(Ingredients!$S$5:$S$304,MATCH(D691,Ingredients!$B$5:$B$304,0))),"")</f>
        <v>0</v>
      </c>
      <c r="U691" s="45">
        <f>IFERROR(IF(P691="","",P691*INDEX(Ingredients!$T$5:$T$304,MATCH(D691,Ingredients!$B$5:$B$304,0))),"")</f>
        <v>0</v>
      </c>
      <c r="V691" s="17">
        <f>IF(D691="","",IFERROR(INDEX(Ingredients!$W$5:$W$304,MATCH(D691,Ingredients!$B$5:$B$304,0)),"Add to Ingredients"))</f>
        <v>0</v>
      </c>
      <c r="W691" s="17">
        <f>IF(D691="","",IFERROR(INDEX(Ingredients!$C$5:$C$304,MATCH(D691,Ingredients!$B$5:$B$304,0)),"Add to Ingredients"))</f>
        <v>0</v>
      </c>
      <c r="X691" s="45">
        <f>IFERROR(INDEX(Recipes!$AT$5:$AT$204,MATCH(B691,Recipes!$A$5:$A$204,0)),0)</f>
        <v>0</v>
      </c>
      <c r="Y691" s="45">
        <f>IF(OR(J691="",X691=0),"",J691*X691)</f>
        <v>0</v>
      </c>
      <c r="Z691" s="17">
        <f>IF(D691="","",B691&amp;"#"&amp;COUNTIFS($B$5:B691,B691))</f>
        <v>0</v>
      </c>
      <c r="AA691" s="17">
        <f>IF(D691="","",B691&amp;"|"&amp;D691)</f>
        <v>0</v>
      </c>
      <c r="AB691" s="31">
        <f>IF(D691="","",IF(B691="","Add - which recipe?",IF(COUNTIFS(Ingredients!$B$5:$B$304,D691)=0,"Missing - not in the Ingredients tab",IF(E691="","Add - no quantity",IF(F691="","Add - no unit",IF(K691&lt;&gt;L691,"Check - recipe in "&amp;K691&amp;", priced in "&amp;L691,IF(COUNTIFS($AA$5:$AA$1204,AA691)&gt;1,"Duplicate - same ingredient twice","OK")))))))</f>
        <v>0</v>
      </c>
    </row>
    <row r="692" spans="1:28">
      <c r="A692" s="39">
        <f>IF(D692="","","RL-"&amp;TEXT(ROW()-4,"0000"))</f>
        <v>0</v>
      </c>
      <c r="C692" s="17">
        <f>IF(B692="","",IFERROR(INDEX(Recipes!$B$5:$B$204,MATCH(B692,Recipes!$A$5:$A$204,0)),"Not found"))</f>
        <v>0</v>
      </c>
      <c r="J692" s="45">
        <f>IF(E692="","",IFERROR(E692*INDEX(UnitFactors,MATCH(F692,UnitNames,0)),""))</f>
        <v>0</v>
      </c>
      <c r="K692" s="17">
        <f>IF(F692="","",IFERROR(INDEX(UnitBases,MATCH(F692,UnitNames,0)),"?"))</f>
        <v>0</v>
      </c>
      <c r="L692" s="17">
        <f>IF(D692="","",IFERROR(INDEX(Ingredients!$G$5:$G$304,MATCH(D692,Ingredients!$B$5:$B$304,0)),"Add to Ingredients"))</f>
        <v>0</v>
      </c>
      <c r="M692" s="25">
        <f>IF(D692="","",IFERROR(INDEX(Ingredients!$J$5:$J$304,MATCH(D692,Ingredients!$B$5:$B$304,0)),"Add to Ingredients"))</f>
        <v>0</v>
      </c>
      <c r="N692" s="25">
        <f>IF(OR(J692="",M692="",NOT(ISNUMBER(M692))),"",IF(K692&lt;&gt;L692,"",J692*M692))</f>
        <v>0</v>
      </c>
      <c r="O692" s="25">
        <f>IF(N692="","",IFERROR(N692/INDEX(Recipes!$G$5:$G$204,MATCH(B692,Recipes!$A$5:$A$204,0)),""))</f>
        <v>0</v>
      </c>
      <c r="P692" s="30">
        <f>IF(J692="","",IF(K692="each",J692,J692/100))</f>
        <v>0</v>
      </c>
      <c r="Q692" s="30">
        <f>IFERROR(IF(P692="","",P692*INDEX(Ingredients!$P$5:$P$304,MATCH(D692,Ingredients!$B$5:$B$304,0))),"")</f>
        <v>0</v>
      </c>
      <c r="R692" s="45">
        <f>IFERROR(IF(P692="","",P692*INDEX(Ingredients!$Q$5:$Q$304,MATCH(D692,Ingredients!$B$5:$B$304,0))),"")</f>
        <v>0</v>
      </c>
      <c r="S692" s="45">
        <f>IFERROR(IF(P692="","",P692*INDEX(Ingredients!$R$5:$R$304,MATCH(D692,Ingredients!$B$5:$B$304,0))),"")</f>
        <v>0</v>
      </c>
      <c r="T692" s="45">
        <f>IFERROR(IF(P692="","",P692*INDEX(Ingredients!$S$5:$S$304,MATCH(D692,Ingredients!$B$5:$B$304,0))),"")</f>
        <v>0</v>
      </c>
      <c r="U692" s="45">
        <f>IFERROR(IF(P692="","",P692*INDEX(Ingredients!$T$5:$T$304,MATCH(D692,Ingredients!$B$5:$B$304,0))),"")</f>
        <v>0</v>
      </c>
      <c r="V692" s="17">
        <f>IF(D692="","",IFERROR(INDEX(Ingredients!$W$5:$W$304,MATCH(D692,Ingredients!$B$5:$B$304,0)),"Add to Ingredients"))</f>
        <v>0</v>
      </c>
      <c r="W692" s="17">
        <f>IF(D692="","",IFERROR(INDEX(Ingredients!$C$5:$C$304,MATCH(D692,Ingredients!$B$5:$B$304,0)),"Add to Ingredients"))</f>
        <v>0</v>
      </c>
      <c r="X692" s="45">
        <f>IFERROR(INDEX(Recipes!$AT$5:$AT$204,MATCH(B692,Recipes!$A$5:$A$204,0)),0)</f>
        <v>0</v>
      </c>
      <c r="Y692" s="45">
        <f>IF(OR(J692="",X692=0),"",J692*X692)</f>
        <v>0</v>
      </c>
      <c r="Z692" s="17">
        <f>IF(D692="","",B692&amp;"#"&amp;COUNTIFS($B$5:B692,B692))</f>
        <v>0</v>
      </c>
      <c r="AA692" s="17">
        <f>IF(D692="","",B692&amp;"|"&amp;D692)</f>
        <v>0</v>
      </c>
      <c r="AB692" s="31">
        <f>IF(D692="","",IF(B692="","Add - which recipe?",IF(COUNTIFS(Ingredients!$B$5:$B$304,D692)=0,"Missing - not in the Ingredients tab",IF(E692="","Add - no quantity",IF(F692="","Add - no unit",IF(K692&lt;&gt;L692,"Check - recipe in "&amp;K692&amp;", priced in "&amp;L692,IF(COUNTIFS($AA$5:$AA$1204,AA692)&gt;1,"Duplicate - same ingredient twice","OK")))))))</f>
        <v>0</v>
      </c>
    </row>
    <row r="693" spans="1:28">
      <c r="A693" s="39">
        <f>IF(D693="","","RL-"&amp;TEXT(ROW()-4,"0000"))</f>
        <v>0</v>
      </c>
      <c r="C693" s="17">
        <f>IF(B693="","",IFERROR(INDEX(Recipes!$B$5:$B$204,MATCH(B693,Recipes!$A$5:$A$204,0)),"Not found"))</f>
        <v>0</v>
      </c>
      <c r="J693" s="45">
        <f>IF(E693="","",IFERROR(E693*INDEX(UnitFactors,MATCH(F693,UnitNames,0)),""))</f>
        <v>0</v>
      </c>
      <c r="K693" s="17">
        <f>IF(F693="","",IFERROR(INDEX(UnitBases,MATCH(F693,UnitNames,0)),"?"))</f>
        <v>0</v>
      </c>
      <c r="L693" s="17">
        <f>IF(D693="","",IFERROR(INDEX(Ingredients!$G$5:$G$304,MATCH(D693,Ingredients!$B$5:$B$304,0)),"Add to Ingredients"))</f>
        <v>0</v>
      </c>
      <c r="M693" s="25">
        <f>IF(D693="","",IFERROR(INDEX(Ingredients!$J$5:$J$304,MATCH(D693,Ingredients!$B$5:$B$304,0)),"Add to Ingredients"))</f>
        <v>0</v>
      </c>
      <c r="N693" s="25">
        <f>IF(OR(J693="",M693="",NOT(ISNUMBER(M693))),"",IF(K693&lt;&gt;L693,"",J693*M693))</f>
        <v>0</v>
      </c>
      <c r="O693" s="25">
        <f>IF(N693="","",IFERROR(N693/INDEX(Recipes!$G$5:$G$204,MATCH(B693,Recipes!$A$5:$A$204,0)),""))</f>
        <v>0</v>
      </c>
      <c r="P693" s="30">
        <f>IF(J693="","",IF(K693="each",J693,J693/100))</f>
        <v>0</v>
      </c>
      <c r="Q693" s="30">
        <f>IFERROR(IF(P693="","",P693*INDEX(Ingredients!$P$5:$P$304,MATCH(D693,Ingredients!$B$5:$B$304,0))),"")</f>
        <v>0</v>
      </c>
      <c r="R693" s="45">
        <f>IFERROR(IF(P693="","",P693*INDEX(Ingredients!$Q$5:$Q$304,MATCH(D693,Ingredients!$B$5:$B$304,0))),"")</f>
        <v>0</v>
      </c>
      <c r="S693" s="45">
        <f>IFERROR(IF(P693="","",P693*INDEX(Ingredients!$R$5:$R$304,MATCH(D693,Ingredients!$B$5:$B$304,0))),"")</f>
        <v>0</v>
      </c>
      <c r="T693" s="45">
        <f>IFERROR(IF(P693="","",P693*INDEX(Ingredients!$S$5:$S$304,MATCH(D693,Ingredients!$B$5:$B$304,0))),"")</f>
        <v>0</v>
      </c>
      <c r="U693" s="45">
        <f>IFERROR(IF(P693="","",P693*INDEX(Ingredients!$T$5:$T$304,MATCH(D693,Ingredients!$B$5:$B$304,0))),"")</f>
        <v>0</v>
      </c>
      <c r="V693" s="17">
        <f>IF(D693="","",IFERROR(INDEX(Ingredients!$W$5:$W$304,MATCH(D693,Ingredients!$B$5:$B$304,0)),"Add to Ingredients"))</f>
        <v>0</v>
      </c>
      <c r="W693" s="17">
        <f>IF(D693="","",IFERROR(INDEX(Ingredients!$C$5:$C$304,MATCH(D693,Ingredients!$B$5:$B$304,0)),"Add to Ingredients"))</f>
        <v>0</v>
      </c>
      <c r="X693" s="45">
        <f>IFERROR(INDEX(Recipes!$AT$5:$AT$204,MATCH(B693,Recipes!$A$5:$A$204,0)),0)</f>
        <v>0</v>
      </c>
      <c r="Y693" s="45">
        <f>IF(OR(J693="",X693=0),"",J693*X693)</f>
        <v>0</v>
      </c>
      <c r="Z693" s="17">
        <f>IF(D693="","",B693&amp;"#"&amp;COUNTIFS($B$5:B693,B693))</f>
        <v>0</v>
      </c>
      <c r="AA693" s="17">
        <f>IF(D693="","",B693&amp;"|"&amp;D693)</f>
        <v>0</v>
      </c>
      <c r="AB693" s="31">
        <f>IF(D693="","",IF(B693="","Add - which recipe?",IF(COUNTIFS(Ingredients!$B$5:$B$304,D693)=0,"Missing - not in the Ingredients tab",IF(E693="","Add - no quantity",IF(F693="","Add - no unit",IF(K693&lt;&gt;L693,"Check - recipe in "&amp;K693&amp;", priced in "&amp;L693,IF(COUNTIFS($AA$5:$AA$1204,AA693)&gt;1,"Duplicate - same ingredient twice","OK")))))))</f>
        <v>0</v>
      </c>
    </row>
    <row r="694" spans="1:28">
      <c r="A694" s="39">
        <f>IF(D694="","","RL-"&amp;TEXT(ROW()-4,"0000"))</f>
        <v>0</v>
      </c>
      <c r="C694" s="17">
        <f>IF(B694="","",IFERROR(INDEX(Recipes!$B$5:$B$204,MATCH(B694,Recipes!$A$5:$A$204,0)),"Not found"))</f>
        <v>0</v>
      </c>
      <c r="J694" s="45">
        <f>IF(E694="","",IFERROR(E694*INDEX(UnitFactors,MATCH(F694,UnitNames,0)),""))</f>
        <v>0</v>
      </c>
      <c r="K694" s="17">
        <f>IF(F694="","",IFERROR(INDEX(UnitBases,MATCH(F694,UnitNames,0)),"?"))</f>
        <v>0</v>
      </c>
      <c r="L694" s="17">
        <f>IF(D694="","",IFERROR(INDEX(Ingredients!$G$5:$G$304,MATCH(D694,Ingredients!$B$5:$B$304,0)),"Add to Ingredients"))</f>
        <v>0</v>
      </c>
      <c r="M694" s="25">
        <f>IF(D694="","",IFERROR(INDEX(Ingredients!$J$5:$J$304,MATCH(D694,Ingredients!$B$5:$B$304,0)),"Add to Ingredients"))</f>
        <v>0</v>
      </c>
      <c r="N694" s="25">
        <f>IF(OR(J694="",M694="",NOT(ISNUMBER(M694))),"",IF(K694&lt;&gt;L694,"",J694*M694))</f>
        <v>0</v>
      </c>
      <c r="O694" s="25">
        <f>IF(N694="","",IFERROR(N694/INDEX(Recipes!$G$5:$G$204,MATCH(B694,Recipes!$A$5:$A$204,0)),""))</f>
        <v>0</v>
      </c>
      <c r="P694" s="30">
        <f>IF(J694="","",IF(K694="each",J694,J694/100))</f>
        <v>0</v>
      </c>
      <c r="Q694" s="30">
        <f>IFERROR(IF(P694="","",P694*INDEX(Ingredients!$P$5:$P$304,MATCH(D694,Ingredients!$B$5:$B$304,0))),"")</f>
        <v>0</v>
      </c>
      <c r="R694" s="45">
        <f>IFERROR(IF(P694="","",P694*INDEX(Ingredients!$Q$5:$Q$304,MATCH(D694,Ingredients!$B$5:$B$304,0))),"")</f>
        <v>0</v>
      </c>
      <c r="S694" s="45">
        <f>IFERROR(IF(P694="","",P694*INDEX(Ingredients!$R$5:$R$304,MATCH(D694,Ingredients!$B$5:$B$304,0))),"")</f>
        <v>0</v>
      </c>
      <c r="T694" s="45">
        <f>IFERROR(IF(P694="","",P694*INDEX(Ingredients!$S$5:$S$304,MATCH(D694,Ingredients!$B$5:$B$304,0))),"")</f>
        <v>0</v>
      </c>
      <c r="U694" s="45">
        <f>IFERROR(IF(P694="","",P694*INDEX(Ingredients!$T$5:$T$304,MATCH(D694,Ingredients!$B$5:$B$304,0))),"")</f>
        <v>0</v>
      </c>
      <c r="V694" s="17">
        <f>IF(D694="","",IFERROR(INDEX(Ingredients!$W$5:$W$304,MATCH(D694,Ingredients!$B$5:$B$304,0)),"Add to Ingredients"))</f>
        <v>0</v>
      </c>
      <c r="W694" s="17">
        <f>IF(D694="","",IFERROR(INDEX(Ingredients!$C$5:$C$304,MATCH(D694,Ingredients!$B$5:$B$304,0)),"Add to Ingredients"))</f>
        <v>0</v>
      </c>
      <c r="X694" s="45">
        <f>IFERROR(INDEX(Recipes!$AT$5:$AT$204,MATCH(B694,Recipes!$A$5:$A$204,0)),0)</f>
        <v>0</v>
      </c>
      <c r="Y694" s="45">
        <f>IF(OR(J694="",X694=0),"",J694*X694)</f>
        <v>0</v>
      </c>
      <c r="Z694" s="17">
        <f>IF(D694="","",B694&amp;"#"&amp;COUNTIFS($B$5:B694,B694))</f>
        <v>0</v>
      </c>
      <c r="AA694" s="17">
        <f>IF(D694="","",B694&amp;"|"&amp;D694)</f>
        <v>0</v>
      </c>
      <c r="AB694" s="31">
        <f>IF(D694="","",IF(B694="","Add - which recipe?",IF(COUNTIFS(Ingredients!$B$5:$B$304,D694)=0,"Missing - not in the Ingredients tab",IF(E694="","Add - no quantity",IF(F694="","Add - no unit",IF(K694&lt;&gt;L694,"Check - recipe in "&amp;K694&amp;", priced in "&amp;L694,IF(COUNTIFS($AA$5:$AA$1204,AA694)&gt;1,"Duplicate - same ingredient twice","OK")))))))</f>
        <v>0</v>
      </c>
    </row>
    <row r="695" spans="1:28">
      <c r="A695" s="39">
        <f>IF(D695="","","RL-"&amp;TEXT(ROW()-4,"0000"))</f>
        <v>0</v>
      </c>
      <c r="C695" s="17">
        <f>IF(B695="","",IFERROR(INDEX(Recipes!$B$5:$B$204,MATCH(B695,Recipes!$A$5:$A$204,0)),"Not found"))</f>
        <v>0</v>
      </c>
      <c r="J695" s="45">
        <f>IF(E695="","",IFERROR(E695*INDEX(UnitFactors,MATCH(F695,UnitNames,0)),""))</f>
        <v>0</v>
      </c>
      <c r="K695" s="17">
        <f>IF(F695="","",IFERROR(INDEX(UnitBases,MATCH(F695,UnitNames,0)),"?"))</f>
        <v>0</v>
      </c>
      <c r="L695" s="17">
        <f>IF(D695="","",IFERROR(INDEX(Ingredients!$G$5:$G$304,MATCH(D695,Ingredients!$B$5:$B$304,0)),"Add to Ingredients"))</f>
        <v>0</v>
      </c>
      <c r="M695" s="25">
        <f>IF(D695="","",IFERROR(INDEX(Ingredients!$J$5:$J$304,MATCH(D695,Ingredients!$B$5:$B$304,0)),"Add to Ingredients"))</f>
        <v>0</v>
      </c>
      <c r="N695" s="25">
        <f>IF(OR(J695="",M695="",NOT(ISNUMBER(M695))),"",IF(K695&lt;&gt;L695,"",J695*M695))</f>
        <v>0</v>
      </c>
      <c r="O695" s="25">
        <f>IF(N695="","",IFERROR(N695/INDEX(Recipes!$G$5:$G$204,MATCH(B695,Recipes!$A$5:$A$204,0)),""))</f>
        <v>0</v>
      </c>
      <c r="P695" s="30">
        <f>IF(J695="","",IF(K695="each",J695,J695/100))</f>
        <v>0</v>
      </c>
      <c r="Q695" s="30">
        <f>IFERROR(IF(P695="","",P695*INDEX(Ingredients!$P$5:$P$304,MATCH(D695,Ingredients!$B$5:$B$304,0))),"")</f>
        <v>0</v>
      </c>
      <c r="R695" s="45">
        <f>IFERROR(IF(P695="","",P695*INDEX(Ingredients!$Q$5:$Q$304,MATCH(D695,Ingredients!$B$5:$B$304,0))),"")</f>
        <v>0</v>
      </c>
      <c r="S695" s="45">
        <f>IFERROR(IF(P695="","",P695*INDEX(Ingredients!$R$5:$R$304,MATCH(D695,Ingredients!$B$5:$B$304,0))),"")</f>
        <v>0</v>
      </c>
      <c r="T695" s="45">
        <f>IFERROR(IF(P695="","",P695*INDEX(Ingredients!$S$5:$S$304,MATCH(D695,Ingredients!$B$5:$B$304,0))),"")</f>
        <v>0</v>
      </c>
      <c r="U695" s="45">
        <f>IFERROR(IF(P695="","",P695*INDEX(Ingredients!$T$5:$T$304,MATCH(D695,Ingredients!$B$5:$B$304,0))),"")</f>
        <v>0</v>
      </c>
      <c r="V695" s="17">
        <f>IF(D695="","",IFERROR(INDEX(Ingredients!$W$5:$W$304,MATCH(D695,Ingredients!$B$5:$B$304,0)),"Add to Ingredients"))</f>
        <v>0</v>
      </c>
      <c r="W695" s="17">
        <f>IF(D695="","",IFERROR(INDEX(Ingredients!$C$5:$C$304,MATCH(D695,Ingredients!$B$5:$B$304,0)),"Add to Ingredients"))</f>
        <v>0</v>
      </c>
      <c r="X695" s="45">
        <f>IFERROR(INDEX(Recipes!$AT$5:$AT$204,MATCH(B695,Recipes!$A$5:$A$204,0)),0)</f>
        <v>0</v>
      </c>
      <c r="Y695" s="45">
        <f>IF(OR(J695="",X695=0),"",J695*X695)</f>
        <v>0</v>
      </c>
      <c r="Z695" s="17">
        <f>IF(D695="","",B695&amp;"#"&amp;COUNTIFS($B$5:B695,B695))</f>
        <v>0</v>
      </c>
      <c r="AA695" s="17">
        <f>IF(D695="","",B695&amp;"|"&amp;D695)</f>
        <v>0</v>
      </c>
      <c r="AB695" s="31">
        <f>IF(D695="","",IF(B695="","Add - which recipe?",IF(COUNTIFS(Ingredients!$B$5:$B$304,D695)=0,"Missing - not in the Ingredients tab",IF(E695="","Add - no quantity",IF(F695="","Add - no unit",IF(K695&lt;&gt;L695,"Check - recipe in "&amp;K695&amp;", priced in "&amp;L695,IF(COUNTIFS($AA$5:$AA$1204,AA695)&gt;1,"Duplicate - same ingredient twice","OK")))))))</f>
        <v>0</v>
      </c>
    </row>
    <row r="696" spans="1:28">
      <c r="A696" s="39">
        <f>IF(D696="","","RL-"&amp;TEXT(ROW()-4,"0000"))</f>
        <v>0</v>
      </c>
      <c r="C696" s="17">
        <f>IF(B696="","",IFERROR(INDEX(Recipes!$B$5:$B$204,MATCH(B696,Recipes!$A$5:$A$204,0)),"Not found"))</f>
        <v>0</v>
      </c>
      <c r="J696" s="45">
        <f>IF(E696="","",IFERROR(E696*INDEX(UnitFactors,MATCH(F696,UnitNames,0)),""))</f>
        <v>0</v>
      </c>
      <c r="K696" s="17">
        <f>IF(F696="","",IFERROR(INDEX(UnitBases,MATCH(F696,UnitNames,0)),"?"))</f>
        <v>0</v>
      </c>
      <c r="L696" s="17">
        <f>IF(D696="","",IFERROR(INDEX(Ingredients!$G$5:$G$304,MATCH(D696,Ingredients!$B$5:$B$304,0)),"Add to Ingredients"))</f>
        <v>0</v>
      </c>
      <c r="M696" s="25">
        <f>IF(D696="","",IFERROR(INDEX(Ingredients!$J$5:$J$304,MATCH(D696,Ingredients!$B$5:$B$304,0)),"Add to Ingredients"))</f>
        <v>0</v>
      </c>
      <c r="N696" s="25">
        <f>IF(OR(J696="",M696="",NOT(ISNUMBER(M696))),"",IF(K696&lt;&gt;L696,"",J696*M696))</f>
        <v>0</v>
      </c>
      <c r="O696" s="25">
        <f>IF(N696="","",IFERROR(N696/INDEX(Recipes!$G$5:$G$204,MATCH(B696,Recipes!$A$5:$A$204,0)),""))</f>
        <v>0</v>
      </c>
      <c r="P696" s="30">
        <f>IF(J696="","",IF(K696="each",J696,J696/100))</f>
        <v>0</v>
      </c>
      <c r="Q696" s="30">
        <f>IFERROR(IF(P696="","",P696*INDEX(Ingredients!$P$5:$P$304,MATCH(D696,Ingredients!$B$5:$B$304,0))),"")</f>
        <v>0</v>
      </c>
      <c r="R696" s="45">
        <f>IFERROR(IF(P696="","",P696*INDEX(Ingredients!$Q$5:$Q$304,MATCH(D696,Ingredients!$B$5:$B$304,0))),"")</f>
        <v>0</v>
      </c>
      <c r="S696" s="45">
        <f>IFERROR(IF(P696="","",P696*INDEX(Ingredients!$R$5:$R$304,MATCH(D696,Ingredients!$B$5:$B$304,0))),"")</f>
        <v>0</v>
      </c>
      <c r="T696" s="45">
        <f>IFERROR(IF(P696="","",P696*INDEX(Ingredients!$S$5:$S$304,MATCH(D696,Ingredients!$B$5:$B$304,0))),"")</f>
        <v>0</v>
      </c>
      <c r="U696" s="45">
        <f>IFERROR(IF(P696="","",P696*INDEX(Ingredients!$T$5:$T$304,MATCH(D696,Ingredients!$B$5:$B$304,0))),"")</f>
        <v>0</v>
      </c>
      <c r="V696" s="17">
        <f>IF(D696="","",IFERROR(INDEX(Ingredients!$W$5:$W$304,MATCH(D696,Ingredients!$B$5:$B$304,0)),"Add to Ingredients"))</f>
        <v>0</v>
      </c>
      <c r="W696" s="17">
        <f>IF(D696="","",IFERROR(INDEX(Ingredients!$C$5:$C$304,MATCH(D696,Ingredients!$B$5:$B$304,0)),"Add to Ingredients"))</f>
        <v>0</v>
      </c>
      <c r="X696" s="45">
        <f>IFERROR(INDEX(Recipes!$AT$5:$AT$204,MATCH(B696,Recipes!$A$5:$A$204,0)),0)</f>
        <v>0</v>
      </c>
      <c r="Y696" s="45">
        <f>IF(OR(J696="",X696=0),"",J696*X696)</f>
        <v>0</v>
      </c>
      <c r="Z696" s="17">
        <f>IF(D696="","",B696&amp;"#"&amp;COUNTIFS($B$5:B696,B696))</f>
        <v>0</v>
      </c>
      <c r="AA696" s="17">
        <f>IF(D696="","",B696&amp;"|"&amp;D696)</f>
        <v>0</v>
      </c>
      <c r="AB696" s="31">
        <f>IF(D696="","",IF(B696="","Add - which recipe?",IF(COUNTIFS(Ingredients!$B$5:$B$304,D696)=0,"Missing - not in the Ingredients tab",IF(E696="","Add - no quantity",IF(F696="","Add - no unit",IF(K696&lt;&gt;L696,"Check - recipe in "&amp;K696&amp;", priced in "&amp;L696,IF(COUNTIFS($AA$5:$AA$1204,AA696)&gt;1,"Duplicate - same ingredient twice","OK")))))))</f>
        <v>0</v>
      </c>
    </row>
    <row r="697" spans="1:28">
      <c r="A697" s="39">
        <f>IF(D697="","","RL-"&amp;TEXT(ROW()-4,"0000"))</f>
        <v>0</v>
      </c>
      <c r="C697" s="17">
        <f>IF(B697="","",IFERROR(INDEX(Recipes!$B$5:$B$204,MATCH(B697,Recipes!$A$5:$A$204,0)),"Not found"))</f>
        <v>0</v>
      </c>
      <c r="J697" s="45">
        <f>IF(E697="","",IFERROR(E697*INDEX(UnitFactors,MATCH(F697,UnitNames,0)),""))</f>
        <v>0</v>
      </c>
      <c r="K697" s="17">
        <f>IF(F697="","",IFERROR(INDEX(UnitBases,MATCH(F697,UnitNames,0)),"?"))</f>
        <v>0</v>
      </c>
      <c r="L697" s="17">
        <f>IF(D697="","",IFERROR(INDEX(Ingredients!$G$5:$G$304,MATCH(D697,Ingredients!$B$5:$B$304,0)),"Add to Ingredients"))</f>
        <v>0</v>
      </c>
      <c r="M697" s="25">
        <f>IF(D697="","",IFERROR(INDEX(Ingredients!$J$5:$J$304,MATCH(D697,Ingredients!$B$5:$B$304,0)),"Add to Ingredients"))</f>
        <v>0</v>
      </c>
      <c r="N697" s="25">
        <f>IF(OR(J697="",M697="",NOT(ISNUMBER(M697))),"",IF(K697&lt;&gt;L697,"",J697*M697))</f>
        <v>0</v>
      </c>
      <c r="O697" s="25">
        <f>IF(N697="","",IFERROR(N697/INDEX(Recipes!$G$5:$G$204,MATCH(B697,Recipes!$A$5:$A$204,0)),""))</f>
        <v>0</v>
      </c>
      <c r="P697" s="30">
        <f>IF(J697="","",IF(K697="each",J697,J697/100))</f>
        <v>0</v>
      </c>
      <c r="Q697" s="30">
        <f>IFERROR(IF(P697="","",P697*INDEX(Ingredients!$P$5:$P$304,MATCH(D697,Ingredients!$B$5:$B$304,0))),"")</f>
        <v>0</v>
      </c>
      <c r="R697" s="45">
        <f>IFERROR(IF(P697="","",P697*INDEX(Ingredients!$Q$5:$Q$304,MATCH(D697,Ingredients!$B$5:$B$304,0))),"")</f>
        <v>0</v>
      </c>
      <c r="S697" s="45">
        <f>IFERROR(IF(P697="","",P697*INDEX(Ingredients!$R$5:$R$304,MATCH(D697,Ingredients!$B$5:$B$304,0))),"")</f>
        <v>0</v>
      </c>
      <c r="T697" s="45">
        <f>IFERROR(IF(P697="","",P697*INDEX(Ingredients!$S$5:$S$304,MATCH(D697,Ingredients!$B$5:$B$304,0))),"")</f>
        <v>0</v>
      </c>
      <c r="U697" s="45">
        <f>IFERROR(IF(P697="","",P697*INDEX(Ingredients!$T$5:$T$304,MATCH(D697,Ingredients!$B$5:$B$304,0))),"")</f>
        <v>0</v>
      </c>
      <c r="V697" s="17">
        <f>IF(D697="","",IFERROR(INDEX(Ingredients!$W$5:$W$304,MATCH(D697,Ingredients!$B$5:$B$304,0)),"Add to Ingredients"))</f>
        <v>0</v>
      </c>
      <c r="W697" s="17">
        <f>IF(D697="","",IFERROR(INDEX(Ingredients!$C$5:$C$304,MATCH(D697,Ingredients!$B$5:$B$304,0)),"Add to Ingredients"))</f>
        <v>0</v>
      </c>
      <c r="X697" s="45">
        <f>IFERROR(INDEX(Recipes!$AT$5:$AT$204,MATCH(B697,Recipes!$A$5:$A$204,0)),0)</f>
        <v>0</v>
      </c>
      <c r="Y697" s="45">
        <f>IF(OR(J697="",X697=0),"",J697*X697)</f>
        <v>0</v>
      </c>
      <c r="Z697" s="17">
        <f>IF(D697="","",B697&amp;"#"&amp;COUNTIFS($B$5:B697,B697))</f>
        <v>0</v>
      </c>
      <c r="AA697" s="17">
        <f>IF(D697="","",B697&amp;"|"&amp;D697)</f>
        <v>0</v>
      </c>
      <c r="AB697" s="31">
        <f>IF(D697="","",IF(B697="","Add - which recipe?",IF(COUNTIFS(Ingredients!$B$5:$B$304,D697)=0,"Missing - not in the Ingredients tab",IF(E697="","Add - no quantity",IF(F697="","Add - no unit",IF(K697&lt;&gt;L697,"Check - recipe in "&amp;K697&amp;", priced in "&amp;L697,IF(COUNTIFS($AA$5:$AA$1204,AA697)&gt;1,"Duplicate - same ingredient twice","OK")))))))</f>
        <v>0</v>
      </c>
    </row>
    <row r="698" spans="1:28">
      <c r="A698" s="39">
        <f>IF(D698="","","RL-"&amp;TEXT(ROW()-4,"0000"))</f>
        <v>0</v>
      </c>
      <c r="C698" s="17">
        <f>IF(B698="","",IFERROR(INDEX(Recipes!$B$5:$B$204,MATCH(B698,Recipes!$A$5:$A$204,0)),"Not found"))</f>
        <v>0</v>
      </c>
      <c r="J698" s="45">
        <f>IF(E698="","",IFERROR(E698*INDEX(UnitFactors,MATCH(F698,UnitNames,0)),""))</f>
        <v>0</v>
      </c>
      <c r="K698" s="17">
        <f>IF(F698="","",IFERROR(INDEX(UnitBases,MATCH(F698,UnitNames,0)),"?"))</f>
        <v>0</v>
      </c>
      <c r="L698" s="17">
        <f>IF(D698="","",IFERROR(INDEX(Ingredients!$G$5:$G$304,MATCH(D698,Ingredients!$B$5:$B$304,0)),"Add to Ingredients"))</f>
        <v>0</v>
      </c>
      <c r="M698" s="25">
        <f>IF(D698="","",IFERROR(INDEX(Ingredients!$J$5:$J$304,MATCH(D698,Ingredients!$B$5:$B$304,0)),"Add to Ingredients"))</f>
        <v>0</v>
      </c>
      <c r="N698" s="25">
        <f>IF(OR(J698="",M698="",NOT(ISNUMBER(M698))),"",IF(K698&lt;&gt;L698,"",J698*M698))</f>
        <v>0</v>
      </c>
      <c r="O698" s="25">
        <f>IF(N698="","",IFERROR(N698/INDEX(Recipes!$G$5:$G$204,MATCH(B698,Recipes!$A$5:$A$204,0)),""))</f>
        <v>0</v>
      </c>
      <c r="P698" s="30">
        <f>IF(J698="","",IF(K698="each",J698,J698/100))</f>
        <v>0</v>
      </c>
      <c r="Q698" s="30">
        <f>IFERROR(IF(P698="","",P698*INDEX(Ingredients!$P$5:$P$304,MATCH(D698,Ingredients!$B$5:$B$304,0))),"")</f>
        <v>0</v>
      </c>
      <c r="R698" s="45">
        <f>IFERROR(IF(P698="","",P698*INDEX(Ingredients!$Q$5:$Q$304,MATCH(D698,Ingredients!$B$5:$B$304,0))),"")</f>
        <v>0</v>
      </c>
      <c r="S698" s="45">
        <f>IFERROR(IF(P698="","",P698*INDEX(Ingredients!$R$5:$R$304,MATCH(D698,Ingredients!$B$5:$B$304,0))),"")</f>
        <v>0</v>
      </c>
      <c r="T698" s="45">
        <f>IFERROR(IF(P698="","",P698*INDEX(Ingredients!$S$5:$S$304,MATCH(D698,Ingredients!$B$5:$B$304,0))),"")</f>
        <v>0</v>
      </c>
      <c r="U698" s="45">
        <f>IFERROR(IF(P698="","",P698*INDEX(Ingredients!$T$5:$T$304,MATCH(D698,Ingredients!$B$5:$B$304,0))),"")</f>
        <v>0</v>
      </c>
      <c r="V698" s="17">
        <f>IF(D698="","",IFERROR(INDEX(Ingredients!$W$5:$W$304,MATCH(D698,Ingredients!$B$5:$B$304,0)),"Add to Ingredients"))</f>
        <v>0</v>
      </c>
      <c r="W698" s="17">
        <f>IF(D698="","",IFERROR(INDEX(Ingredients!$C$5:$C$304,MATCH(D698,Ingredients!$B$5:$B$304,0)),"Add to Ingredients"))</f>
        <v>0</v>
      </c>
      <c r="X698" s="45">
        <f>IFERROR(INDEX(Recipes!$AT$5:$AT$204,MATCH(B698,Recipes!$A$5:$A$204,0)),0)</f>
        <v>0</v>
      </c>
      <c r="Y698" s="45">
        <f>IF(OR(J698="",X698=0),"",J698*X698)</f>
        <v>0</v>
      </c>
      <c r="Z698" s="17">
        <f>IF(D698="","",B698&amp;"#"&amp;COUNTIFS($B$5:B698,B698))</f>
        <v>0</v>
      </c>
      <c r="AA698" s="17">
        <f>IF(D698="","",B698&amp;"|"&amp;D698)</f>
        <v>0</v>
      </c>
      <c r="AB698" s="31">
        <f>IF(D698="","",IF(B698="","Add - which recipe?",IF(COUNTIFS(Ingredients!$B$5:$B$304,D698)=0,"Missing - not in the Ingredients tab",IF(E698="","Add - no quantity",IF(F698="","Add - no unit",IF(K698&lt;&gt;L698,"Check - recipe in "&amp;K698&amp;", priced in "&amp;L698,IF(COUNTIFS($AA$5:$AA$1204,AA698)&gt;1,"Duplicate - same ingredient twice","OK")))))))</f>
        <v>0</v>
      </c>
    </row>
    <row r="699" spans="1:28">
      <c r="A699" s="39">
        <f>IF(D699="","","RL-"&amp;TEXT(ROW()-4,"0000"))</f>
        <v>0</v>
      </c>
      <c r="C699" s="17">
        <f>IF(B699="","",IFERROR(INDEX(Recipes!$B$5:$B$204,MATCH(B699,Recipes!$A$5:$A$204,0)),"Not found"))</f>
        <v>0</v>
      </c>
      <c r="J699" s="45">
        <f>IF(E699="","",IFERROR(E699*INDEX(UnitFactors,MATCH(F699,UnitNames,0)),""))</f>
        <v>0</v>
      </c>
      <c r="K699" s="17">
        <f>IF(F699="","",IFERROR(INDEX(UnitBases,MATCH(F699,UnitNames,0)),"?"))</f>
        <v>0</v>
      </c>
      <c r="L699" s="17">
        <f>IF(D699="","",IFERROR(INDEX(Ingredients!$G$5:$G$304,MATCH(D699,Ingredients!$B$5:$B$304,0)),"Add to Ingredients"))</f>
        <v>0</v>
      </c>
      <c r="M699" s="25">
        <f>IF(D699="","",IFERROR(INDEX(Ingredients!$J$5:$J$304,MATCH(D699,Ingredients!$B$5:$B$304,0)),"Add to Ingredients"))</f>
        <v>0</v>
      </c>
      <c r="N699" s="25">
        <f>IF(OR(J699="",M699="",NOT(ISNUMBER(M699))),"",IF(K699&lt;&gt;L699,"",J699*M699))</f>
        <v>0</v>
      </c>
      <c r="O699" s="25">
        <f>IF(N699="","",IFERROR(N699/INDEX(Recipes!$G$5:$G$204,MATCH(B699,Recipes!$A$5:$A$204,0)),""))</f>
        <v>0</v>
      </c>
      <c r="P699" s="30">
        <f>IF(J699="","",IF(K699="each",J699,J699/100))</f>
        <v>0</v>
      </c>
      <c r="Q699" s="30">
        <f>IFERROR(IF(P699="","",P699*INDEX(Ingredients!$P$5:$P$304,MATCH(D699,Ingredients!$B$5:$B$304,0))),"")</f>
        <v>0</v>
      </c>
      <c r="R699" s="45">
        <f>IFERROR(IF(P699="","",P699*INDEX(Ingredients!$Q$5:$Q$304,MATCH(D699,Ingredients!$B$5:$B$304,0))),"")</f>
        <v>0</v>
      </c>
      <c r="S699" s="45">
        <f>IFERROR(IF(P699="","",P699*INDEX(Ingredients!$R$5:$R$304,MATCH(D699,Ingredients!$B$5:$B$304,0))),"")</f>
        <v>0</v>
      </c>
      <c r="T699" s="45">
        <f>IFERROR(IF(P699="","",P699*INDEX(Ingredients!$S$5:$S$304,MATCH(D699,Ingredients!$B$5:$B$304,0))),"")</f>
        <v>0</v>
      </c>
      <c r="U699" s="45">
        <f>IFERROR(IF(P699="","",P699*INDEX(Ingredients!$T$5:$T$304,MATCH(D699,Ingredients!$B$5:$B$304,0))),"")</f>
        <v>0</v>
      </c>
      <c r="V699" s="17">
        <f>IF(D699="","",IFERROR(INDEX(Ingredients!$W$5:$W$304,MATCH(D699,Ingredients!$B$5:$B$304,0)),"Add to Ingredients"))</f>
        <v>0</v>
      </c>
      <c r="W699" s="17">
        <f>IF(D699="","",IFERROR(INDEX(Ingredients!$C$5:$C$304,MATCH(D699,Ingredients!$B$5:$B$304,0)),"Add to Ingredients"))</f>
        <v>0</v>
      </c>
      <c r="X699" s="45">
        <f>IFERROR(INDEX(Recipes!$AT$5:$AT$204,MATCH(B699,Recipes!$A$5:$A$204,0)),0)</f>
        <v>0</v>
      </c>
      <c r="Y699" s="45">
        <f>IF(OR(J699="",X699=0),"",J699*X699)</f>
        <v>0</v>
      </c>
      <c r="Z699" s="17">
        <f>IF(D699="","",B699&amp;"#"&amp;COUNTIFS($B$5:B699,B699))</f>
        <v>0</v>
      </c>
      <c r="AA699" s="17">
        <f>IF(D699="","",B699&amp;"|"&amp;D699)</f>
        <v>0</v>
      </c>
      <c r="AB699" s="31">
        <f>IF(D699="","",IF(B699="","Add - which recipe?",IF(COUNTIFS(Ingredients!$B$5:$B$304,D699)=0,"Missing - not in the Ingredients tab",IF(E699="","Add - no quantity",IF(F699="","Add - no unit",IF(K699&lt;&gt;L699,"Check - recipe in "&amp;K699&amp;", priced in "&amp;L699,IF(COUNTIFS($AA$5:$AA$1204,AA699)&gt;1,"Duplicate - same ingredient twice","OK")))))))</f>
        <v>0</v>
      </c>
    </row>
    <row r="700" spans="1:28">
      <c r="A700" s="39">
        <f>IF(D700="","","RL-"&amp;TEXT(ROW()-4,"0000"))</f>
        <v>0</v>
      </c>
      <c r="C700" s="17">
        <f>IF(B700="","",IFERROR(INDEX(Recipes!$B$5:$B$204,MATCH(B700,Recipes!$A$5:$A$204,0)),"Not found"))</f>
        <v>0</v>
      </c>
      <c r="J700" s="45">
        <f>IF(E700="","",IFERROR(E700*INDEX(UnitFactors,MATCH(F700,UnitNames,0)),""))</f>
        <v>0</v>
      </c>
      <c r="K700" s="17">
        <f>IF(F700="","",IFERROR(INDEX(UnitBases,MATCH(F700,UnitNames,0)),"?"))</f>
        <v>0</v>
      </c>
      <c r="L700" s="17">
        <f>IF(D700="","",IFERROR(INDEX(Ingredients!$G$5:$G$304,MATCH(D700,Ingredients!$B$5:$B$304,0)),"Add to Ingredients"))</f>
        <v>0</v>
      </c>
      <c r="M700" s="25">
        <f>IF(D700="","",IFERROR(INDEX(Ingredients!$J$5:$J$304,MATCH(D700,Ingredients!$B$5:$B$304,0)),"Add to Ingredients"))</f>
        <v>0</v>
      </c>
      <c r="N700" s="25">
        <f>IF(OR(J700="",M700="",NOT(ISNUMBER(M700))),"",IF(K700&lt;&gt;L700,"",J700*M700))</f>
        <v>0</v>
      </c>
      <c r="O700" s="25">
        <f>IF(N700="","",IFERROR(N700/INDEX(Recipes!$G$5:$G$204,MATCH(B700,Recipes!$A$5:$A$204,0)),""))</f>
        <v>0</v>
      </c>
      <c r="P700" s="30">
        <f>IF(J700="","",IF(K700="each",J700,J700/100))</f>
        <v>0</v>
      </c>
      <c r="Q700" s="30">
        <f>IFERROR(IF(P700="","",P700*INDEX(Ingredients!$P$5:$P$304,MATCH(D700,Ingredients!$B$5:$B$304,0))),"")</f>
        <v>0</v>
      </c>
      <c r="R700" s="45">
        <f>IFERROR(IF(P700="","",P700*INDEX(Ingredients!$Q$5:$Q$304,MATCH(D700,Ingredients!$B$5:$B$304,0))),"")</f>
        <v>0</v>
      </c>
      <c r="S700" s="45">
        <f>IFERROR(IF(P700="","",P700*INDEX(Ingredients!$R$5:$R$304,MATCH(D700,Ingredients!$B$5:$B$304,0))),"")</f>
        <v>0</v>
      </c>
      <c r="T700" s="45">
        <f>IFERROR(IF(P700="","",P700*INDEX(Ingredients!$S$5:$S$304,MATCH(D700,Ingredients!$B$5:$B$304,0))),"")</f>
        <v>0</v>
      </c>
      <c r="U700" s="45">
        <f>IFERROR(IF(P700="","",P700*INDEX(Ingredients!$T$5:$T$304,MATCH(D700,Ingredients!$B$5:$B$304,0))),"")</f>
        <v>0</v>
      </c>
      <c r="V700" s="17">
        <f>IF(D700="","",IFERROR(INDEX(Ingredients!$W$5:$W$304,MATCH(D700,Ingredients!$B$5:$B$304,0)),"Add to Ingredients"))</f>
        <v>0</v>
      </c>
      <c r="W700" s="17">
        <f>IF(D700="","",IFERROR(INDEX(Ingredients!$C$5:$C$304,MATCH(D700,Ingredients!$B$5:$B$304,0)),"Add to Ingredients"))</f>
        <v>0</v>
      </c>
      <c r="X700" s="45">
        <f>IFERROR(INDEX(Recipes!$AT$5:$AT$204,MATCH(B700,Recipes!$A$5:$A$204,0)),0)</f>
        <v>0</v>
      </c>
      <c r="Y700" s="45">
        <f>IF(OR(J700="",X700=0),"",J700*X700)</f>
        <v>0</v>
      </c>
      <c r="Z700" s="17">
        <f>IF(D700="","",B700&amp;"#"&amp;COUNTIFS($B$5:B700,B700))</f>
        <v>0</v>
      </c>
      <c r="AA700" s="17">
        <f>IF(D700="","",B700&amp;"|"&amp;D700)</f>
        <v>0</v>
      </c>
      <c r="AB700" s="31">
        <f>IF(D700="","",IF(B700="","Add - which recipe?",IF(COUNTIFS(Ingredients!$B$5:$B$304,D700)=0,"Missing - not in the Ingredients tab",IF(E700="","Add - no quantity",IF(F700="","Add - no unit",IF(K700&lt;&gt;L700,"Check - recipe in "&amp;K700&amp;", priced in "&amp;L700,IF(COUNTIFS($AA$5:$AA$1204,AA700)&gt;1,"Duplicate - same ingredient twice","OK")))))))</f>
        <v>0</v>
      </c>
    </row>
    <row r="701" spans="1:28">
      <c r="A701" s="39">
        <f>IF(D701="","","RL-"&amp;TEXT(ROW()-4,"0000"))</f>
        <v>0</v>
      </c>
      <c r="C701" s="17">
        <f>IF(B701="","",IFERROR(INDEX(Recipes!$B$5:$B$204,MATCH(B701,Recipes!$A$5:$A$204,0)),"Not found"))</f>
        <v>0</v>
      </c>
      <c r="J701" s="45">
        <f>IF(E701="","",IFERROR(E701*INDEX(UnitFactors,MATCH(F701,UnitNames,0)),""))</f>
        <v>0</v>
      </c>
      <c r="K701" s="17">
        <f>IF(F701="","",IFERROR(INDEX(UnitBases,MATCH(F701,UnitNames,0)),"?"))</f>
        <v>0</v>
      </c>
      <c r="L701" s="17">
        <f>IF(D701="","",IFERROR(INDEX(Ingredients!$G$5:$G$304,MATCH(D701,Ingredients!$B$5:$B$304,0)),"Add to Ingredients"))</f>
        <v>0</v>
      </c>
      <c r="M701" s="25">
        <f>IF(D701="","",IFERROR(INDEX(Ingredients!$J$5:$J$304,MATCH(D701,Ingredients!$B$5:$B$304,0)),"Add to Ingredients"))</f>
        <v>0</v>
      </c>
      <c r="N701" s="25">
        <f>IF(OR(J701="",M701="",NOT(ISNUMBER(M701))),"",IF(K701&lt;&gt;L701,"",J701*M701))</f>
        <v>0</v>
      </c>
      <c r="O701" s="25">
        <f>IF(N701="","",IFERROR(N701/INDEX(Recipes!$G$5:$G$204,MATCH(B701,Recipes!$A$5:$A$204,0)),""))</f>
        <v>0</v>
      </c>
      <c r="P701" s="30">
        <f>IF(J701="","",IF(K701="each",J701,J701/100))</f>
        <v>0</v>
      </c>
      <c r="Q701" s="30">
        <f>IFERROR(IF(P701="","",P701*INDEX(Ingredients!$P$5:$P$304,MATCH(D701,Ingredients!$B$5:$B$304,0))),"")</f>
        <v>0</v>
      </c>
      <c r="R701" s="45">
        <f>IFERROR(IF(P701="","",P701*INDEX(Ingredients!$Q$5:$Q$304,MATCH(D701,Ingredients!$B$5:$B$304,0))),"")</f>
        <v>0</v>
      </c>
      <c r="S701" s="45">
        <f>IFERROR(IF(P701="","",P701*INDEX(Ingredients!$R$5:$R$304,MATCH(D701,Ingredients!$B$5:$B$304,0))),"")</f>
        <v>0</v>
      </c>
      <c r="T701" s="45">
        <f>IFERROR(IF(P701="","",P701*INDEX(Ingredients!$S$5:$S$304,MATCH(D701,Ingredients!$B$5:$B$304,0))),"")</f>
        <v>0</v>
      </c>
      <c r="U701" s="45">
        <f>IFERROR(IF(P701="","",P701*INDEX(Ingredients!$T$5:$T$304,MATCH(D701,Ingredients!$B$5:$B$304,0))),"")</f>
        <v>0</v>
      </c>
      <c r="V701" s="17">
        <f>IF(D701="","",IFERROR(INDEX(Ingredients!$W$5:$W$304,MATCH(D701,Ingredients!$B$5:$B$304,0)),"Add to Ingredients"))</f>
        <v>0</v>
      </c>
      <c r="W701" s="17">
        <f>IF(D701="","",IFERROR(INDEX(Ingredients!$C$5:$C$304,MATCH(D701,Ingredients!$B$5:$B$304,0)),"Add to Ingredients"))</f>
        <v>0</v>
      </c>
      <c r="X701" s="45">
        <f>IFERROR(INDEX(Recipes!$AT$5:$AT$204,MATCH(B701,Recipes!$A$5:$A$204,0)),0)</f>
        <v>0</v>
      </c>
      <c r="Y701" s="45">
        <f>IF(OR(J701="",X701=0),"",J701*X701)</f>
        <v>0</v>
      </c>
      <c r="Z701" s="17">
        <f>IF(D701="","",B701&amp;"#"&amp;COUNTIFS($B$5:B701,B701))</f>
        <v>0</v>
      </c>
      <c r="AA701" s="17">
        <f>IF(D701="","",B701&amp;"|"&amp;D701)</f>
        <v>0</v>
      </c>
      <c r="AB701" s="31">
        <f>IF(D701="","",IF(B701="","Add - which recipe?",IF(COUNTIFS(Ingredients!$B$5:$B$304,D701)=0,"Missing - not in the Ingredients tab",IF(E701="","Add - no quantity",IF(F701="","Add - no unit",IF(K701&lt;&gt;L701,"Check - recipe in "&amp;K701&amp;", priced in "&amp;L701,IF(COUNTIFS($AA$5:$AA$1204,AA701)&gt;1,"Duplicate - same ingredient twice","OK")))))))</f>
        <v>0</v>
      </c>
    </row>
    <row r="702" spans="1:28">
      <c r="A702" s="39">
        <f>IF(D702="","","RL-"&amp;TEXT(ROW()-4,"0000"))</f>
        <v>0</v>
      </c>
      <c r="C702" s="17">
        <f>IF(B702="","",IFERROR(INDEX(Recipes!$B$5:$B$204,MATCH(B702,Recipes!$A$5:$A$204,0)),"Not found"))</f>
        <v>0</v>
      </c>
      <c r="J702" s="45">
        <f>IF(E702="","",IFERROR(E702*INDEX(UnitFactors,MATCH(F702,UnitNames,0)),""))</f>
        <v>0</v>
      </c>
      <c r="K702" s="17">
        <f>IF(F702="","",IFERROR(INDEX(UnitBases,MATCH(F702,UnitNames,0)),"?"))</f>
        <v>0</v>
      </c>
      <c r="L702" s="17">
        <f>IF(D702="","",IFERROR(INDEX(Ingredients!$G$5:$G$304,MATCH(D702,Ingredients!$B$5:$B$304,0)),"Add to Ingredients"))</f>
        <v>0</v>
      </c>
      <c r="M702" s="25">
        <f>IF(D702="","",IFERROR(INDEX(Ingredients!$J$5:$J$304,MATCH(D702,Ingredients!$B$5:$B$304,0)),"Add to Ingredients"))</f>
        <v>0</v>
      </c>
      <c r="N702" s="25">
        <f>IF(OR(J702="",M702="",NOT(ISNUMBER(M702))),"",IF(K702&lt;&gt;L702,"",J702*M702))</f>
        <v>0</v>
      </c>
      <c r="O702" s="25">
        <f>IF(N702="","",IFERROR(N702/INDEX(Recipes!$G$5:$G$204,MATCH(B702,Recipes!$A$5:$A$204,0)),""))</f>
        <v>0</v>
      </c>
      <c r="P702" s="30">
        <f>IF(J702="","",IF(K702="each",J702,J702/100))</f>
        <v>0</v>
      </c>
      <c r="Q702" s="30">
        <f>IFERROR(IF(P702="","",P702*INDEX(Ingredients!$P$5:$P$304,MATCH(D702,Ingredients!$B$5:$B$304,0))),"")</f>
        <v>0</v>
      </c>
      <c r="R702" s="45">
        <f>IFERROR(IF(P702="","",P702*INDEX(Ingredients!$Q$5:$Q$304,MATCH(D702,Ingredients!$B$5:$B$304,0))),"")</f>
        <v>0</v>
      </c>
      <c r="S702" s="45">
        <f>IFERROR(IF(P702="","",P702*INDEX(Ingredients!$R$5:$R$304,MATCH(D702,Ingredients!$B$5:$B$304,0))),"")</f>
        <v>0</v>
      </c>
      <c r="T702" s="45">
        <f>IFERROR(IF(P702="","",P702*INDEX(Ingredients!$S$5:$S$304,MATCH(D702,Ingredients!$B$5:$B$304,0))),"")</f>
        <v>0</v>
      </c>
      <c r="U702" s="45">
        <f>IFERROR(IF(P702="","",P702*INDEX(Ingredients!$T$5:$T$304,MATCH(D702,Ingredients!$B$5:$B$304,0))),"")</f>
        <v>0</v>
      </c>
      <c r="V702" s="17">
        <f>IF(D702="","",IFERROR(INDEX(Ingredients!$W$5:$W$304,MATCH(D702,Ingredients!$B$5:$B$304,0)),"Add to Ingredients"))</f>
        <v>0</v>
      </c>
      <c r="W702" s="17">
        <f>IF(D702="","",IFERROR(INDEX(Ingredients!$C$5:$C$304,MATCH(D702,Ingredients!$B$5:$B$304,0)),"Add to Ingredients"))</f>
        <v>0</v>
      </c>
      <c r="X702" s="45">
        <f>IFERROR(INDEX(Recipes!$AT$5:$AT$204,MATCH(B702,Recipes!$A$5:$A$204,0)),0)</f>
        <v>0</v>
      </c>
      <c r="Y702" s="45">
        <f>IF(OR(J702="",X702=0),"",J702*X702)</f>
        <v>0</v>
      </c>
      <c r="Z702" s="17">
        <f>IF(D702="","",B702&amp;"#"&amp;COUNTIFS($B$5:B702,B702))</f>
        <v>0</v>
      </c>
      <c r="AA702" s="17">
        <f>IF(D702="","",B702&amp;"|"&amp;D702)</f>
        <v>0</v>
      </c>
      <c r="AB702" s="31">
        <f>IF(D702="","",IF(B702="","Add - which recipe?",IF(COUNTIFS(Ingredients!$B$5:$B$304,D702)=0,"Missing - not in the Ingredients tab",IF(E702="","Add - no quantity",IF(F702="","Add - no unit",IF(K702&lt;&gt;L702,"Check - recipe in "&amp;K702&amp;", priced in "&amp;L702,IF(COUNTIFS($AA$5:$AA$1204,AA702)&gt;1,"Duplicate - same ingredient twice","OK")))))))</f>
        <v>0</v>
      </c>
    </row>
    <row r="703" spans="1:28">
      <c r="A703" s="39">
        <f>IF(D703="","","RL-"&amp;TEXT(ROW()-4,"0000"))</f>
        <v>0</v>
      </c>
      <c r="C703" s="17">
        <f>IF(B703="","",IFERROR(INDEX(Recipes!$B$5:$B$204,MATCH(B703,Recipes!$A$5:$A$204,0)),"Not found"))</f>
        <v>0</v>
      </c>
      <c r="J703" s="45">
        <f>IF(E703="","",IFERROR(E703*INDEX(UnitFactors,MATCH(F703,UnitNames,0)),""))</f>
        <v>0</v>
      </c>
      <c r="K703" s="17">
        <f>IF(F703="","",IFERROR(INDEX(UnitBases,MATCH(F703,UnitNames,0)),"?"))</f>
        <v>0</v>
      </c>
      <c r="L703" s="17">
        <f>IF(D703="","",IFERROR(INDEX(Ingredients!$G$5:$G$304,MATCH(D703,Ingredients!$B$5:$B$304,0)),"Add to Ingredients"))</f>
        <v>0</v>
      </c>
      <c r="M703" s="25">
        <f>IF(D703="","",IFERROR(INDEX(Ingredients!$J$5:$J$304,MATCH(D703,Ingredients!$B$5:$B$304,0)),"Add to Ingredients"))</f>
        <v>0</v>
      </c>
      <c r="N703" s="25">
        <f>IF(OR(J703="",M703="",NOT(ISNUMBER(M703))),"",IF(K703&lt;&gt;L703,"",J703*M703))</f>
        <v>0</v>
      </c>
      <c r="O703" s="25">
        <f>IF(N703="","",IFERROR(N703/INDEX(Recipes!$G$5:$G$204,MATCH(B703,Recipes!$A$5:$A$204,0)),""))</f>
        <v>0</v>
      </c>
      <c r="P703" s="30">
        <f>IF(J703="","",IF(K703="each",J703,J703/100))</f>
        <v>0</v>
      </c>
      <c r="Q703" s="30">
        <f>IFERROR(IF(P703="","",P703*INDEX(Ingredients!$P$5:$P$304,MATCH(D703,Ingredients!$B$5:$B$304,0))),"")</f>
        <v>0</v>
      </c>
      <c r="R703" s="45">
        <f>IFERROR(IF(P703="","",P703*INDEX(Ingredients!$Q$5:$Q$304,MATCH(D703,Ingredients!$B$5:$B$304,0))),"")</f>
        <v>0</v>
      </c>
      <c r="S703" s="45">
        <f>IFERROR(IF(P703="","",P703*INDEX(Ingredients!$R$5:$R$304,MATCH(D703,Ingredients!$B$5:$B$304,0))),"")</f>
        <v>0</v>
      </c>
      <c r="T703" s="45">
        <f>IFERROR(IF(P703="","",P703*INDEX(Ingredients!$S$5:$S$304,MATCH(D703,Ingredients!$B$5:$B$304,0))),"")</f>
        <v>0</v>
      </c>
      <c r="U703" s="45">
        <f>IFERROR(IF(P703="","",P703*INDEX(Ingredients!$T$5:$T$304,MATCH(D703,Ingredients!$B$5:$B$304,0))),"")</f>
        <v>0</v>
      </c>
      <c r="V703" s="17">
        <f>IF(D703="","",IFERROR(INDEX(Ingredients!$W$5:$W$304,MATCH(D703,Ingredients!$B$5:$B$304,0)),"Add to Ingredients"))</f>
        <v>0</v>
      </c>
      <c r="W703" s="17">
        <f>IF(D703="","",IFERROR(INDEX(Ingredients!$C$5:$C$304,MATCH(D703,Ingredients!$B$5:$B$304,0)),"Add to Ingredients"))</f>
        <v>0</v>
      </c>
      <c r="X703" s="45">
        <f>IFERROR(INDEX(Recipes!$AT$5:$AT$204,MATCH(B703,Recipes!$A$5:$A$204,0)),0)</f>
        <v>0</v>
      </c>
      <c r="Y703" s="45">
        <f>IF(OR(J703="",X703=0),"",J703*X703)</f>
        <v>0</v>
      </c>
      <c r="Z703" s="17">
        <f>IF(D703="","",B703&amp;"#"&amp;COUNTIFS($B$5:B703,B703))</f>
        <v>0</v>
      </c>
      <c r="AA703" s="17">
        <f>IF(D703="","",B703&amp;"|"&amp;D703)</f>
        <v>0</v>
      </c>
      <c r="AB703" s="31">
        <f>IF(D703="","",IF(B703="","Add - which recipe?",IF(COUNTIFS(Ingredients!$B$5:$B$304,D703)=0,"Missing - not in the Ingredients tab",IF(E703="","Add - no quantity",IF(F703="","Add - no unit",IF(K703&lt;&gt;L703,"Check - recipe in "&amp;K703&amp;", priced in "&amp;L703,IF(COUNTIFS($AA$5:$AA$1204,AA703)&gt;1,"Duplicate - same ingredient twice","OK")))))))</f>
        <v>0</v>
      </c>
    </row>
    <row r="704" spans="1:28">
      <c r="A704" s="39">
        <f>IF(D704="","","RL-"&amp;TEXT(ROW()-4,"0000"))</f>
        <v>0</v>
      </c>
      <c r="C704" s="17">
        <f>IF(B704="","",IFERROR(INDEX(Recipes!$B$5:$B$204,MATCH(B704,Recipes!$A$5:$A$204,0)),"Not found"))</f>
        <v>0</v>
      </c>
      <c r="J704" s="45">
        <f>IF(E704="","",IFERROR(E704*INDEX(UnitFactors,MATCH(F704,UnitNames,0)),""))</f>
        <v>0</v>
      </c>
      <c r="K704" s="17">
        <f>IF(F704="","",IFERROR(INDEX(UnitBases,MATCH(F704,UnitNames,0)),"?"))</f>
        <v>0</v>
      </c>
      <c r="L704" s="17">
        <f>IF(D704="","",IFERROR(INDEX(Ingredients!$G$5:$G$304,MATCH(D704,Ingredients!$B$5:$B$304,0)),"Add to Ingredients"))</f>
        <v>0</v>
      </c>
      <c r="M704" s="25">
        <f>IF(D704="","",IFERROR(INDEX(Ingredients!$J$5:$J$304,MATCH(D704,Ingredients!$B$5:$B$304,0)),"Add to Ingredients"))</f>
        <v>0</v>
      </c>
      <c r="N704" s="25">
        <f>IF(OR(J704="",M704="",NOT(ISNUMBER(M704))),"",IF(K704&lt;&gt;L704,"",J704*M704))</f>
        <v>0</v>
      </c>
      <c r="O704" s="25">
        <f>IF(N704="","",IFERROR(N704/INDEX(Recipes!$G$5:$G$204,MATCH(B704,Recipes!$A$5:$A$204,0)),""))</f>
        <v>0</v>
      </c>
      <c r="P704" s="30">
        <f>IF(J704="","",IF(K704="each",J704,J704/100))</f>
        <v>0</v>
      </c>
      <c r="Q704" s="30">
        <f>IFERROR(IF(P704="","",P704*INDEX(Ingredients!$P$5:$P$304,MATCH(D704,Ingredients!$B$5:$B$304,0))),"")</f>
        <v>0</v>
      </c>
      <c r="R704" s="45">
        <f>IFERROR(IF(P704="","",P704*INDEX(Ingredients!$Q$5:$Q$304,MATCH(D704,Ingredients!$B$5:$B$304,0))),"")</f>
        <v>0</v>
      </c>
      <c r="S704" s="45">
        <f>IFERROR(IF(P704="","",P704*INDEX(Ingredients!$R$5:$R$304,MATCH(D704,Ingredients!$B$5:$B$304,0))),"")</f>
        <v>0</v>
      </c>
      <c r="T704" s="45">
        <f>IFERROR(IF(P704="","",P704*INDEX(Ingredients!$S$5:$S$304,MATCH(D704,Ingredients!$B$5:$B$304,0))),"")</f>
        <v>0</v>
      </c>
      <c r="U704" s="45">
        <f>IFERROR(IF(P704="","",P704*INDEX(Ingredients!$T$5:$T$304,MATCH(D704,Ingredients!$B$5:$B$304,0))),"")</f>
        <v>0</v>
      </c>
      <c r="V704" s="17">
        <f>IF(D704="","",IFERROR(INDEX(Ingredients!$W$5:$W$304,MATCH(D704,Ingredients!$B$5:$B$304,0)),"Add to Ingredients"))</f>
        <v>0</v>
      </c>
      <c r="W704" s="17">
        <f>IF(D704="","",IFERROR(INDEX(Ingredients!$C$5:$C$304,MATCH(D704,Ingredients!$B$5:$B$304,0)),"Add to Ingredients"))</f>
        <v>0</v>
      </c>
      <c r="X704" s="45">
        <f>IFERROR(INDEX(Recipes!$AT$5:$AT$204,MATCH(B704,Recipes!$A$5:$A$204,0)),0)</f>
        <v>0</v>
      </c>
      <c r="Y704" s="45">
        <f>IF(OR(J704="",X704=0),"",J704*X704)</f>
        <v>0</v>
      </c>
      <c r="Z704" s="17">
        <f>IF(D704="","",B704&amp;"#"&amp;COUNTIFS($B$5:B704,B704))</f>
        <v>0</v>
      </c>
      <c r="AA704" s="17">
        <f>IF(D704="","",B704&amp;"|"&amp;D704)</f>
        <v>0</v>
      </c>
      <c r="AB704" s="31">
        <f>IF(D704="","",IF(B704="","Add - which recipe?",IF(COUNTIFS(Ingredients!$B$5:$B$304,D704)=0,"Missing - not in the Ingredients tab",IF(E704="","Add - no quantity",IF(F704="","Add - no unit",IF(K704&lt;&gt;L704,"Check - recipe in "&amp;K704&amp;", priced in "&amp;L704,IF(COUNTIFS($AA$5:$AA$1204,AA704)&gt;1,"Duplicate - same ingredient twice","OK")))))))</f>
        <v>0</v>
      </c>
    </row>
    <row r="705" spans="1:28">
      <c r="A705" s="39">
        <f>IF(D705="","","RL-"&amp;TEXT(ROW()-4,"0000"))</f>
        <v>0</v>
      </c>
      <c r="C705" s="17">
        <f>IF(B705="","",IFERROR(INDEX(Recipes!$B$5:$B$204,MATCH(B705,Recipes!$A$5:$A$204,0)),"Not found"))</f>
        <v>0</v>
      </c>
      <c r="J705" s="45">
        <f>IF(E705="","",IFERROR(E705*INDEX(UnitFactors,MATCH(F705,UnitNames,0)),""))</f>
        <v>0</v>
      </c>
      <c r="K705" s="17">
        <f>IF(F705="","",IFERROR(INDEX(UnitBases,MATCH(F705,UnitNames,0)),"?"))</f>
        <v>0</v>
      </c>
      <c r="L705" s="17">
        <f>IF(D705="","",IFERROR(INDEX(Ingredients!$G$5:$G$304,MATCH(D705,Ingredients!$B$5:$B$304,0)),"Add to Ingredients"))</f>
        <v>0</v>
      </c>
      <c r="M705" s="25">
        <f>IF(D705="","",IFERROR(INDEX(Ingredients!$J$5:$J$304,MATCH(D705,Ingredients!$B$5:$B$304,0)),"Add to Ingredients"))</f>
        <v>0</v>
      </c>
      <c r="N705" s="25">
        <f>IF(OR(J705="",M705="",NOT(ISNUMBER(M705))),"",IF(K705&lt;&gt;L705,"",J705*M705))</f>
        <v>0</v>
      </c>
      <c r="O705" s="25">
        <f>IF(N705="","",IFERROR(N705/INDEX(Recipes!$G$5:$G$204,MATCH(B705,Recipes!$A$5:$A$204,0)),""))</f>
        <v>0</v>
      </c>
      <c r="P705" s="30">
        <f>IF(J705="","",IF(K705="each",J705,J705/100))</f>
        <v>0</v>
      </c>
      <c r="Q705" s="30">
        <f>IFERROR(IF(P705="","",P705*INDEX(Ingredients!$P$5:$P$304,MATCH(D705,Ingredients!$B$5:$B$304,0))),"")</f>
        <v>0</v>
      </c>
      <c r="R705" s="45">
        <f>IFERROR(IF(P705="","",P705*INDEX(Ingredients!$Q$5:$Q$304,MATCH(D705,Ingredients!$B$5:$B$304,0))),"")</f>
        <v>0</v>
      </c>
      <c r="S705" s="45">
        <f>IFERROR(IF(P705="","",P705*INDEX(Ingredients!$R$5:$R$304,MATCH(D705,Ingredients!$B$5:$B$304,0))),"")</f>
        <v>0</v>
      </c>
      <c r="T705" s="45">
        <f>IFERROR(IF(P705="","",P705*INDEX(Ingredients!$S$5:$S$304,MATCH(D705,Ingredients!$B$5:$B$304,0))),"")</f>
        <v>0</v>
      </c>
      <c r="U705" s="45">
        <f>IFERROR(IF(P705="","",P705*INDEX(Ingredients!$T$5:$T$304,MATCH(D705,Ingredients!$B$5:$B$304,0))),"")</f>
        <v>0</v>
      </c>
      <c r="V705" s="17">
        <f>IF(D705="","",IFERROR(INDEX(Ingredients!$W$5:$W$304,MATCH(D705,Ingredients!$B$5:$B$304,0)),"Add to Ingredients"))</f>
        <v>0</v>
      </c>
      <c r="W705" s="17">
        <f>IF(D705="","",IFERROR(INDEX(Ingredients!$C$5:$C$304,MATCH(D705,Ingredients!$B$5:$B$304,0)),"Add to Ingredients"))</f>
        <v>0</v>
      </c>
      <c r="X705" s="45">
        <f>IFERROR(INDEX(Recipes!$AT$5:$AT$204,MATCH(B705,Recipes!$A$5:$A$204,0)),0)</f>
        <v>0</v>
      </c>
      <c r="Y705" s="45">
        <f>IF(OR(J705="",X705=0),"",J705*X705)</f>
        <v>0</v>
      </c>
      <c r="Z705" s="17">
        <f>IF(D705="","",B705&amp;"#"&amp;COUNTIFS($B$5:B705,B705))</f>
        <v>0</v>
      </c>
      <c r="AA705" s="17">
        <f>IF(D705="","",B705&amp;"|"&amp;D705)</f>
        <v>0</v>
      </c>
      <c r="AB705" s="31">
        <f>IF(D705="","",IF(B705="","Add - which recipe?",IF(COUNTIFS(Ingredients!$B$5:$B$304,D705)=0,"Missing - not in the Ingredients tab",IF(E705="","Add - no quantity",IF(F705="","Add - no unit",IF(K705&lt;&gt;L705,"Check - recipe in "&amp;K705&amp;", priced in "&amp;L705,IF(COUNTIFS($AA$5:$AA$1204,AA705)&gt;1,"Duplicate - same ingredient twice","OK")))))))</f>
        <v>0</v>
      </c>
    </row>
    <row r="706" spans="1:28">
      <c r="A706" s="39">
        <f>IF(D706="","","RL-"&amp;TEXT(ROW()-4,"0000"))</f>
        <v>0</v>
      </c>
      <c r="C706" s="17">
        <f>IF(B706="","",IFERROR(INDEX(Recipes!$B$5:$B$204,MATCH(B706,Recipes!$A$5:$A$204,0)),"Not found"))</f>
        <v>0</v>
      </c>
      <c r="J706" s="45">
        <f>IF(E706="","",IFERROR(E706*INDEX(UnitFactors,MATCH(F706,UnitNames,0)),""))</f>
        <v>0</v>
      </c>
      <c r="K706" s="17">
        <f>IF(F706="","",IFERROR(INDEX(UnitBases,MATCH(F706,UnitNames,0)),"?"))</f>
        <v>0</v>
      </c>
      <c r="L706" s="17">
        <f>IF(D706="","",IFERROR(INDEX(Ingredients!$G$5:$G$304,MATCH(D706,Ingredients!$B$5:$B$304,0)),"Add to Ingredients"))</f>
        <v>0</v>
      </c>
      <c r="M706" s="25">
        <f>IF(D706="","",IFERROR(INDEX(Ingredients!$J$5:$J$304,MATCH(D706,Ingredients!$B$5:$B$304,0)),"Add to Ingredients"))</f>
        <v>0</v>
      </c>
      <c r="N706" s="25">
        <f>IF(OR(J706="",M706="",NOT(ISNUMBER(M706))),"",IF(K706&lt;&gt;L706,"",J706*M706))</f>
        <v>0</v>
      </c>
      <c r="O706" s="25">
        <f>IF(N706="","",IFERROR(N706/INDEX(Recipes!$G$5:$G$204,MATCH(B706,Recipes!$A$5:$A$204,0)),""))</f>
        <v>0</v>
      </c>
      <c r="P706" s="30">
        <f>IF(J706="","",IF(K706="each",J706,J706/100))</f>
        <v>0</v>
      </c>
      <c r="Q706" s="30">
        <f>IFERROR(IF(P706="","",P706*INDEX(Ingredients!$P$5:$P$304,MATCH(D706,Ingredients!$B$5:$B$304,0))),"")</f>
        <v>0</v>
      </c>
      <c r="R706" s="45">
        <f>IFERROR(IF(P706="","",P706*INDEX(Ingredients!$Q$5:$Q$304,MATCH(D706,Ingredients!$B$5:$B$304,0))),"")</f>
        <v>0</v>
      </c>
      <c r="S706" s="45">
        <f>IFERROR(IF(P706="","",P706*INDEX(Ingredients!$R$5:$R$304,MATCH(D706,Ingredients!$B$5:$B$304,0))),"")</f>
        <v>0</v>
      </c>
      <c r="T706" s="45">
        <f>IFERROR(IF(P706="","",P706*INDEX(Ingredients!$S$5:$S$304,MATCH(D706,Ingredients!$B$5:$B$304,0))),"")</f>
        <v>0</v>
      </c>
      <c r="U706" s="45">
        <f>IFERROR(IF(P706="","",P706*INDEX(Ingredients!$T$5:$T$304,MATCH(D706,Ingredients!$B$5:$B$304,0))),"")</f>
        <v>0</v>
      </c>
      <c r="V706" s="17">
        <f>IF(D706="","",IFERROR(INDEX(Ingredients!$W$5:$W$304,MATCH(D706,Ingredients!$B$5:$B$304,0)),"Add to Ingredients"))</f>
        <v>0</v>
      </c>
      <c r="W706" s="17">
        <f>IF(D706="","",IFERROR(INDEX(Ingredients!$C$5:$C$304,MATCH(D706,Ingredients!$B$5:$B$304,0)),"Add to Ingredients"))</f>
        <v>0</v>
      </c>
      <c r="X706" s="45">
        <f>IFERROR(INDEX(Recipes!$AT$5:$AT$204,MATCH(B706,Recipes!$A$5:$A$204,0)),0)</f>
        <v>0</v>
      </c>
      <c r="Y706" s="45">
        <f>IF(OR(J706="",X706=0),"",J706*X706)</f>
        <v>0</v>
      </c>
      <c r="Z706" s="17">
        <f>IF(D706="","",B706&amp;"#"&amp;COUNTIFS($B$5:B706,B706))</f>
        <v>0</v>
      </c>
      <c r="AA706" s="17">
        <f>IF(D706="","",B706&amp;"|"&amp;D706)</f>
        <v>0</v>
      </c>
      <c r="AB706" s="31">
        <f>IF(D706="","",IF(B706="","Add - which recipe?",IF(COUNTIFS(Ingredients!$B$5:$B$304,D706)=0,"Missing - not in the Ingredients tab",IF(E706="","Add - no quantity",IF(F706="","Add - no unit",IF(K706&lt;&gt;L706,"Check - recipe in "&amp;K706&amp;", priced in "&amp;L706,IF(COUNTIFS($AA$5:$AA$1204,AA706)&gt;1,"Duplicate - same ingredient twice","OK")))))))</f>
        <v>0</v>
      </c>
    </row>
    <row r="707" spans="1:28">
      <c r="A707" s="39">
        <f>IF(D707="","","RL-"&amp;TEXT(ROW()-4,"0000"))</f>
        <v>0</v>
      </c>
      <c r="C707" s="17">
        <f>IF(B707="","",IFERROR(INDEX(Recipes!$B$5:$B$204,MATCH(B707,Recipes!$A$5:$A$204,0)),"Not found"))</f>
        <v>0</v>
      </c>
      <c r="J707" s="45">
        <f>IF(E707="","",IFERROR(E707*INDEX(UnitFactors,MATCH(F707,UnitNames,0)),""))</f>
        <v>0</v>
      </c>
      <c r="K707" s="17">
        <f>IF(F707="","",IFERROR(INDEX(UnitBases,MATCH(F707,UnitNames,0)),"?"))</f>
        <v>0</v>
      </c>
      <c r="L707" s="17">
        <f>IF(D707="","",IFERROR(INDEX(Ingredients!$G$5:$G$304,MATCH(D707,Ingredients!$B$5:$B$304,0)),"Add to Ingredients"))</f>
        <v>0</v>
      </c>
      <c r="M707" s="25">
        <f>IF(D707="","",IFERROR(INDEX(Ingredients!$J$5:$J$304,MATCH(D707,Ingredients!$B$5:$B$304,0)),"Add to Ingredients"))</f>
        <v>0</v>
      </c>
      <c r="N707" s="25">
        <f>IF(OR(J707="",M707="",NOT(ISNUMBER(M707))),"",IF(K707&lt;&gt;L707,"",J707*M707))</f>
        <v>0</v>
      </c>
      <c r="O707" s="25">
        <f>IF(N707="","",IFERROR(N707/INDEX(Recipes!$G$5:$G$204,MATCH(B707,Recipes!$A$5:$A$204,0)),""))</f>
        <v>0</v>
      </c>
      <c r="P707" s="30">
        <f>IF(J707="","",IF(K707="each",J707,J707/100))</f>
        <v>0</v>
      </c>
      <c r="Q707" s="30">
        <f>IFERROR(IF(P707="","",P707*INDEX(Ingredients!$P$5:$P$304,MATCH(D707,Ingredients!$B$5:$B$304,0))),"")</f>
        <v>0</v>
      </c>
      <c r="R707" s="45">
        <f>IFERROR(IF(P707="","",P707*INDEX(Ingredients!$Q$5:$Q$304,MATCH(D707,Ingredients!$B$5:$B$304,0))),"")</f>
        <v>0</v>
      </c>
      <c r="S707" s="45">
        <f>IFERROR(IF(P707="","",P707*INDEX(Ingredients!$R$5:$R$304,MATCH(D707,Ingredients!$B$5:$B$304,0))),"")</f>
        <v>0</v>
      </c>
      <c r="T707" s="45">
        <f>IFERROR(IF(P707="","",P707*INDEX(Ingredients!$S$5:$S$304,MATCH(D707,Ingredients!$B$5:$B$304,0))),"")</f>
        <v>0</v>
      </c>
      <c r="U707" s="45">
        <f>IFERROR(IF(P707="","",P707*INDEX(Ingredients!$T$5:$T$304,MATCH(D707,Ingredients!$B$5:$B$304,0))),"")</f>
        <v>0</v>
      </c>
      <c r="V707" s="17">
        <f>IF(D707="","",IFERROR(INDEX(Ingredients!$W$5:$W$304,MATCH(D707,Ingredients!$B$5:$B$304,0)),"Add to Ingredients"))</f>
        <v>0</v>
      </c>
      <c r="W707" s="17">
        <f>IF(D707="","",IFERROR(INDEX(Ingredients!$C$5:$C$304,MATCH(D707,Ingredients!$B$5:$B$304,0)),"Add to Ingredients"))</f>
        <v>0</v>
      </c>
      <c r="X707" s="45">
        <f>IFERROR(INDEX(Recipes!$AT$5:$AT$204,MATCH(B707,Recipes!$A$5:$A$204,0)),0)</f>
        <v>0</v>
      </c>
      <c r="Y707" s="45">
        <f>IF(OR(J707="",X707=0),"",J707*X707)</f>
        <v>0</v>
      </c>
      <c r="Z707" s="17">
        <f>IF(D707="","",B707&amp;"#"&amp;COUNTIFS($B$5:B707,B707))</f>
        <v>0</v>
      </c>
      <c r="AA707" s="17">
        <f>IF(D707="","",B707&amp;"|"&amp;D707)</f>
        <v>0</v>
      </c>
      <c r="AB707" s="31">
        <f>IF(D707="","",IF(B707="","Add - which recipe?",IF(COUNTIFS(Ingredients!$B$5:$B$304,D707)=0,"Missing - not in the Ingredients tab",IF(E707="","Add - no quantity",IF(F707="","Add - no unit",IF(K707&lt;&gt;L707,"Check - recipe in "&amp;K707&amp;", priced in "&amp;L707,IF(COUNTIFS($AA$5:$AA$1204,AA707)&gt;1,"Duplicate - same ingredient twice","OK")))))))</f>
        <v>0</v>
      </c>
    </row>
    <row r="708" spans="1:28">
      <c r="A708" s="39">
        <f>IF(D708="","","RL-"&amp;TEXT(ROW()-4,"0000"))</f>
        <v>0</v>
      </c>
      <c r="C708" s="17">
        <f>IF(B708="","",IFERROR(INDEX(Recipes!$B$5:$B$204,MATCH(B708,Recipes!$A$5:$A$204,0)),"Not found"))</f>
        <v>0</v>
      </c>
      <c r="J708" s="45">
        <f>IF(E708="","",IFERROR(E708*INDEX(UnitFactors,MATCH(F708,UnitNames,0)),""))</f>
        <v>0</v>
      </c>
      <c r="K708" s="17">
        <f>IF(F708="","",IFERROR(INDEX(UnitBases,MATCH(F708,UnitNames,0)),"?"))</f>
        <v>0</v>
      </c>
      <c r="L708" s="17">
        <f>IF(D708="","",IFERROR(INDEX(Ingredients!$G$5:$G$304,MATCH(D708,Ingredients!$B$5:$B$304,0)),"Add to Ingredients"))</f>
        <v>0</v>
      </c>
      <c r="M708" s="25">
        <f>IF(D708="","",IFERROR(INDEX(Ingredients!$J$5:$J$304,MATCH(D708,Ingredients!$B$5:$B$304,0)),"Add to Ingredients"))</f>
        <v>0</v>
      </c>
      <c r="N708" s="25">
        <f>IF(OR(J708="",M708="",NOT(ISNUMBER(M708))),"",IF(K708&lt;&gt;L708,"",J708*M708))</f>
        <v>0</v>
      </c>
      <c r="O708" s="25">
        <f>IF(N708="","",IFERROR(N708/INDEX(Recipes!$G$5:$G$204,MATCH(B708,Recipes!$A$5:$A$204,0)),""))</f>
        <v>0</v>
      </c>
      <c r="P708" s="30">
        <f>IF(J708="","",IF(K708="each",J708,J708/100))</f>
        <v>0</v>
      </c>
      <c r="Q708" s="30">
        <f>IFERROR(IF(P708="","",P708*INDEX(Ingredients!$P$5:$P$304,MATCH(D708,Ingredients!$B$5:$B$304,0))),"")</f>
        <v>0</v>
      </c>
      <c r="R708" s="45">
        <f>IFERROR(IF(P708="","",P708*INDEX(Ingredients!$Q$5:$Q$304,MATCH(D708,Ingredients!$B$5:$B$304,0))),"")</f>
        <v>0</v>
      </c>
      <c r="S708" s="45">
        <f>IFERROR(IF(P708="","",P708*INDEX(Ingredients!$R$5:$R$304,MATCH(D708,Ingredients!$B$5:$B$304,0))),"")</f>
        <v>0</v>
      </c>
      <c r="T708" s="45">
        <f>IFERROR(IF(P708="","",P708*INDEX(Ingredients!$S$5:$S$304,MATCH(D708,Ingredients!$B$5:$B$304,0))),"")</f>
        <v>0</v>
      </c>
      <c r="U708" s="45">
        <f>IFERROR(IF(P708="","",P708*INDEX(Ingredients!$T$5:$T$304,MATCH(D708,Ingredients!$B$5:$B$304,0))),"")</f>
        <v>0</v>
      </c>
      <c r="V708" s="17">
        <f>IF(D708="","",IFERROR(INDEX(Ingredients!$W$5:$W$304,MATCH(D708,Ingredients!$B$5:$B$304,0)),"Add to Ingredients"))</f>
        <v>0</v>
      </c>
      <c r="W708" s="17">
        <f>IF(D708="","",IFERROR(INDEX(Ingredients!$C$5:$C$304,MATCH(D708,Ingredients!$B$5:$B$304,0)),"Add to Ingredients"))</f>
        <v>0</v>
      </c>
      <c r="X708" s="45">
        <f>IFERROR(INDEX(Recipes!$AT$5:$AT$204,MATCH(B708,Recipes!$A$5:$A$204,0)),0)</f>
        <v>0</v>
      </c>
      <c r="Y708" s="45">
        <f>IF(OR(J708="",X708=0),"",J708*X708)</f>
        <v>0</v>
      </c>
      <c r="Z708" s="17">
        <f>IF(D708="","",B708&amp;"#"&amp;COUNTIFS($B$5:B708,B708))</f>
        <v>0</v>
      </c>
      <c r="AA708" s="17">
        <f>IF(D708="","",B708&amp;"|"&amp;D708)</f>
        <v>0</v>
      </c>
      <c r="AB708" s="31">
        <f>IF(D708="","",IF(B708="","Add - which recipe?",IF(COUNTIFS(Ingredients!$B$5:$B$304,D708)=0,"Missing - not in the Ingredients tab",IF(E708="","Add - no quantity",IF(F708="","Add - no unit",IF(K708&lt;&gt;L708,"Check - recipe in "&amp;K708&amp;", priced in "&amp;L708,IF(COUNTIFS($AA$5:$AA$1204,AA708)&gt;1,"Duplicate - same ingredient twice","OK")))))))</f>
        <v>0</v>
      </c>
    </row>
    <row r="709" spans="1:28">
      <c r="A709" s="39">
        <f>IF(D709="","","RL-"&amp;TEXT(ROW()-4,"0000"))</f>
        <v>0</v>
      </c>
      <c r="C709" s="17">
        <f>IF(B709="","",IFERROR(INDEX(Recipes!$B$5:$B$204,MATCH(B709,Recipes!$A$5:$A$204,0)),"Not found"))</f>
        <v>0</v>
      </c>
      <c r="J709" s="45">
        <f>IF(E709="","",IFERROR(E709*INDEX(UnitFactors,MATCH(F709,UnitNames,0)),""))</f>
        <v>0</v>
      </c>
      <c r="K709" s="17">
        <f>IF(F709="","",IFERROR(INDEX(UnitBases,MATCH(F709,UnitNames,0)),"?"))</f>
        <v>0</v>
      </c>
      <c r="L709" s="17">
        <f>IF(D709="","",IFERROR(INDEX(Ingredients!$G$5:$G$304,MATCH(D709,Ingredients!$B$5:$B$304,0)),"Add to Ingredients"))</f>
        <v>0</v>
      </c>
      <c r="M709" s="25">
        <f>IF(D709="","",IFERROR(INDEX(Ingredients!$J$5:$J$304,MATCH(D709,Ingredients!$B$5:$B$304,0)),"Add to Ingredients"))</f>
        <v>0</v>
      </c>
      <c r="N709" s="25">
        <f>IF(OR(J709="",M709="",NOT(ISNUMBER(M709))),"",IF(K709&lt;&gt;L709,"",J709*M709))</f>
        <v>0</v>
      </c>
      <c r="O709" s="25">
        <f>IF(N709="","",IFERROR(N709/INDEX(Recipes!$G$5:$G$204,MATCH(B709,Recipes!$A$5:$A$204,0)),""))</f>
        <v>0</v>
      </c>
      <c r="P709" s="30">
        <f>IF(J709="","",IF(K709="each",J709,J709/100))</f>
        <v>0</v>
      </c>
      <c r="Q709" s="30">
        <f>IFERROR(IF(P709="","",P709*INDEX(Ingredients!$P$5:$P$304,MATCH(D709,Ingredients!$B$5:$B$304,0))),"")</f>
        <v>0</v>
      </c>
      <c r="R709" s="45">
        <f>IFERROR(IF(P709="","",P709*INDEX(Ingredients!$Q$5:$Q$304,MATCH(D709,Ingredients!$B$5:$B$304,0))),"")</f>
        <v>0</v>
      </c>
      <c r="S709" s="45">
        <f>IFERROR(IF(P709="","",P709*INDEX(Ingredients!$R$5:$R$304,MATCH(D709,Ingredients!$B$5:$B$304,0))),"")</f>
        <v>0</v>
      </c>
      <c r="T709" s="45">
        <f>IFERROR(IF(P709="","",P709*INDEX(Ingredients!$S$5:$S$304,MATCH(D709,Ingredients!$B$5:$B$304,0))),"")</f>
        <v>0</v>
      </c>
      <c r="U709" s="45">
        <f>IFERROR(IF(P709="","",P709*INDEX(Ingredients!$T$5:$T$304,MATCH(D709,Ingredients!$B$5:$B$304,0))),"")</f>
        <v>0</v>
      </c>
      <c r="V709" s="17">
        <f>IF(D709="","",IFERROR(INDEX(Ingredients!$W$5:$W$304,MATCH(D709,Ingredients!$B$5:$B$304,0)),"Add to Ingredients"))</f>
        <v>0</v>
      </c>
      <c r="W709" s="17">
        <f>IF(D709="","",IFERROR(INDEX(Ingredients!$C$5:$C$304,MATCH(D709,Ingredients!$B$5:$B$304,0)),"Add to Ingredients"))</f>
        <v>0</v>
      </c>
      <c r="X709" s="45">
        <f>IFERROR(INDEX(Recipes!$AT$5:$AT$204,MATCH(B709,Recipes!$A$5:$A$204,0)),0)</f>
        <v>0</v>
      </c>
      <c r="Y709" s="45">
        <f>IF(OR(J709="",X709=0),"",J709*X709)</f>
        <v>0</v>
      </c>
      <c r="Z709" s="17">
        <f>IF(D709="","",B709&amp;"#"&amp;COUNTIFS($B$5:B709,B709))</f>
        <v>0</v>
      </c>
      <c r="AA709" s="17">
        <f>IF(D709="","",B709&amp;"|"&amp;D709)</f>
        <v>0</v>
      </c>
      <c r="AB709" s="31">
        <f>IF(D709="","",IF(B709="","Add - which recipe?",IF(COUNTIFS(Ingredients!$B$5:$B$304,D709)=0,"Missing - not in the Ingredients tab",IF(E709="","Add - no quantity",IF(F709="","Add - no unit",IF(K709&lt;&gt;L709,"Check - recipe in "&amp;K709&amp;", priced in "&amp;L709,IF(COUNTIFS($AA$5:$AA$1204,AA709)&gt;1,"Duplicate - same ingredient twice","OK")))))))</f>
        <v>0</v>
      </c>
    </row>
    <row r="710" spans="1:28">
      <c r="A710" s="39">
        <f>IF(D710="","","RL-"&amp;TEXT(ROW()-4,"0000"))</f>
        <v>0</v>
      </c>
      <c r="C710" s="17">
        <f>IF(B710="","",IFERROR(INDEX(Recipes!$B$5:$B$204,MATCH(B710,Recipes!$A$5:$A$204,0)),"Not found"))</f>
        <v>0</v>
      </c>
      <c r="J710" s="45">
        <f>IF(E710="","",IFERROR(E710*INDEX(UnitFactors,MATCH(F710,UnitNames,0)),""))</f>
        <v>0</v>
      </c>
      <c r="K710" s="17">
        <f>IF(F710="","",IFERROR(INDEX(UnitBases,MATCH(F710,UnitNames,0)),"?"))</f>
        <v>0</v>
      </c>
      <c r="L710" s="17">
        <f>IF(D710="","",IFERROR(INDEX(Ingredients!$G$5:$G$304,MATCH(D710,Ingredients!$B$5:$B$304,0)),"Add to Ingredients"))</f>
        <v>0</v>
      </c>
      <c r="M710" s="25">
        <f>IF(D710="","",IFERROR(INDEX(Ingredients!$J$5:$J$304,MATCH(D710,Ingredients!$B$5:$B$304,0)),"Add to Ingredients"))</f>
        <v>0</v>
      </c>
      <c r="N710" s="25">
        <f>IF(OR(J710="",M710="",NOT(ISNUMBER(M710))),"",IF(K710&lt;&gt;L710,"",J710*M710))</f>
        <v>0</v>
      </c>
      <c r="O710" s="25">
        <f>IF(N710="","",IFERROR(N710/INDEX(Recipes!$G$5:$G$204,MATCH(B710,Recipes!$A$5:$A$204,0)),""))</f>
        <v>0</v>
      </c>
      <c r="P710" s="30">
        <f>IF(J710="","",IF(K710="each",J710,J710/100))</f>
        <v>0</v>
      </c>
      <c r="Q710" s="30">
        <f>IFERROR(IF(P710="","",P710*INDEX(Ingredients!$P$5:$P$304,MATCH(D710,Ingredients!$B$5:$B$304,0))),"")</f>
        <v>0</v>
      </c>
      <c r="R710" s="45">
        <f>IFERROR(IF(P710="","",P710*INDEX(Ingredients!$Q$5:$Q$304,MATCH(D710,Ingredients!$B$5:$B$304,0))),"")</f>
        <v>0</v>
      </c>
      <c r="S710" s="45">
        <f>IFERROR(IF(P710="","",P710*INDEX(Ingredients!$R$5:$R$304,MATCH(D710,Ingredients!$B$5:$B$304,0))),"")</f>
        <v>0</v>
      </c>
      <c r="T710" s="45">
        <f>IFERROR(IF(P710="","",P710*INDEX(Ingredients!$S$5:$S$304,MATCH(D710,Ingredients!$B$5:$B$304,0))),"")</f>
        <v>0</v>
      </c>
      <c r="U710" s="45">
        <f>IFERROR(IF(P710="","",P710*INDEX(Ingredients!$T$5:$T$304,MATCH(D710,Ingredients!$B$5:$B$304,0))),"")</f>
        <v>0</v>
      </c>
      <c r="V710" s="17">
        <f>IF(D710="","",IFERROR(INDEX(Ingredients!$W$5:$W$304,MATCH(D710,Ingredients!$B$5:$B$304,0)),"Add to Ingredients"))</f>
        <v>0</v>
      </c>
      <c r="W710" s="17">
        <f>IF(D710="","",IFERROR(INDEX(Ingredients!$C$5:$C$304,MATCH(D710,Ingredients!$B$5:$B$304,0)),"Add to Ingredients"))</f>
        <v>0</v>
      </c>
      <c r="X710" s="45">
        <f>IFERROR(INDEX(Recipes!$AT$5:$AT$204,MATCH(B710,Recipes!$A$5:$A$204,0)),0)</f>
        <v>0</v>
      </c>
      <c r="Y710" s="45">
        <f>IF(OR(J710="",X710=0),"",J710*X710)</f>
        <v>0</v>
      </c>
      <c r="Z710" s="17">
        <f>IF(D710="","",B710&amp;"#"&amp;COUNTIFS($B$5:B710,B710))</f>
        <v>0</v>
      </c>
      <c r="AA710" s="17">
        <f>IF(D710="","",B710&amp;"|"&amp;D710)</f>
        <v>0</v>
      </c>
      <c r="AB710" s="31">
        <f>IF(D710="","",IF(B710="","Add - which recipe?",IF(COUNTIFS(Ingredients!$B$5:$B$304,D710)=0,"Missing - not in the Ingredients tab",IF(E710="","Add - no quantity",IF(F710="","Add - no unit",IF(K710&lt;&gt;L710,"Check - recipe in "&amp;K710&amp;", priced in "&amp;L710,IF(COUNTIFS($AA$5:$AA$1204,AA710)&gt;1,"Duplicate - same ingredient twice","OK")))))))</f>
        <v>0</v>
      </c>
    </row>
    <row r="711" spans="1:28">
      <c r="A711" s="39">
        <f>IF(D711="","","RL-"&amp;TEXT(ROW()-4,"0000"))</f>
        <v>0</v>
      </c>
      <c r="C711" s="17">
        <f>IF(B711="","",IFERROR(INDEX(Recipes!$B$5:$B$204,MATCH(B711,Recipes!$A$5:$A$204,0)),"Not found"))</f>
        <v>0</v>
      </c>
      <c r="J711" s="45">
        <f>IF(E711="","",IFERROR(E711*INDEX(UnitFactors,MATCH(F711,UnitNames,0)),""))</f>
        <v>0</v>
      </c>
      <c r="K711" s="17">
        <f>IF(F711="","",IFERROR(INDEX(UnitBases,MATCH(F711,UnitNames,0)),"?"))</f>
        <v>0</v>
      </c>
      <c r="L711" s="17">
        <f>IF(D711="","",IFERROR(INDEX(Ingredients!$G$5:$G$304,MATCH(D711,Ingredients!$B$5:$B$304,0)),"Add to Ingredients"))</f>
        <v>0</v>
      </c>
      <c r="M711" s="25">
        <f>IF(D711="","",IFERROR(INDEX(Ingredients!$J$5:$J$304,MATCH(D711,Ingredients!$B$5:$B$304,0)),"Add to Ingredients"))</f>
        <v>0</v>
      </c>
      <c r="N711" s="25">
        <f>IF(OR(J711="",M711="",NOT(ISNUMBER(M711))),"",IF(K711&lt;&gt;L711,"",J711*M711))</f>
        <v>0</v>
      </c>
      <c r="O711" s="25">
        <f>IF(N711="","",IFERROR(N711/INDEX(Recipes!$G$5:$G$204,MATCH(B711,Recipes!$A$5:$A$204,0)),""))</f>
        <v>0</v>
      </c>
      <c r="P711" s="30">
        <f>IF(J711="","",IF(K711="each",J711,J711/100))</f>
        <v>0</v>
      </c>
      <c r="Q711" s="30">
        <f>IFERROR(IF(P711="","",P711*INDEX(Ingredients!$P$5:$P$304,MATCH(D711,Ingredients!$B$5:$B$304,0))),"")</f>
        <v>0</v>
      </c>
      <c r="R711" s="45">
        <f>IFERROR(IF(P711="","",P711*INDEX(Ingredients!$Q$5:$Q$304,MATCH(D711,Ingredients!$B$5:$B$304,0))),"")</f>
        <v>0</v>
      </c>
      <c r="S711" s="45">
        <f>IFERROR(IF(P711="","",P711*INDEX(Ingredients!$R$5:$R$304,MATCH(D711,Ingredients!$B$5:$B$304,0))),"")</f>
        <v>0</v>
      </c>
      <c r="T711" s="45">
        <f>IFERROR(IF(P711="","",P711*INDEX(Ingredients!$S$5:$S$304,MATCH(D711,Ingredients!$B$5:$B$304,0))),"")</f>
        <v>0</v>
      </c>
      <c r="U711" s="45">
        <f>IFERROR(IF(P711="","",P711*INDEX(Ingredients!$T$5:$T$304,MATCH(D711,Ingredients!$B$5:$B$304,0))),"")</f>
        <v>0</v>
      </c>
      <c r="V711" s="17">
        <f>IF(D711="","",IFERROR(INDEX(Ingredients!$W$5:$W$304,MATCH(D711,Ingredients!$B$5:$B$304,0)),"Add to Ingredients"))</f>
        <v>0</v>
      </c>
      <c r="W711" s="17">
        <f>IF(D711="","",IFERROR(INDEX(Ingredients!$C$5:$C$304,MATCH(D711,Ingredients!$B$5:$B$304,0)),"Add to Ingredients"))</f>
        <v>0</v>
      </c>
      <c r="X711" s="45">
        <f>IFERROR(INDEX(Recipes!$AT$5:$AT$204,MATCH(B711,Recipes!$A$5:$A$204,0)),0)</f>
        <v>0</v>
      </c>
      <c r="Y711" s="45">
        <f>IF(OR(J711="",X711=0),"",J711*X711)</f>
        <v>0</v>
      </c>
      <c r="Z711" s="17">
        <f>IF(D711="","",B711&amp;"#"&amp;COUNTIFS($B$5:B711,B711))</f>
        <v>0</v>
      </c>
      <c r="AA711" s="17">
        <f>IF(D711="","",B711&amp;"|"&amp;D711)</f>
        <v>0</v>
      </c>
      <c r="AB711" s="31">
        <f>IF(D711="","",IF(B711="","Add - which recipe?",IF(COUNTIFS(Ingredients!$B$5:$B$304,D711)=0,"Missing - not in the Ingredients tab",IF(E711="","Add - no quantity",IF(F711="","Add - no unit",IF(K711&lt;&gt;L711,"Check - recipe in "&amp;K711&amp;", priced in "&amp;L711,IF(COUNTIFS($AA$5:$AA$1204,AA711)&gt;1,"Duplicate - same ingredient twice","OK")))))))</f>
        <v>0</v>
      </c>
    </row>
    <row r="712" spans="1:28">
      <c r="A712" s="39">
        <f>IF(D712="","","RL-"&amp;TEXT(ROW()-4,"0000"))</f>
        <v>0</v>
      </c>
      <c r="C712" s="17">
        <f>IF(B712="","",IFERROR(INDEX(Recipes!$B$5:$B$204,MATCH(B712,Recipes!$A$5:$A$204,0)),"Not found"))</f>
        <v>0</v>
      </c>
      <c r="J712" s="45">
        <f>IF(E712="","",IFERROR(E712*INDEX(UnitFactors,MATCH(F712,UnitNames,0)),""))</f>
        <v>0</v>
      </c>
      <c r="K712" s="17">
        <f>IF(F712="","",IFERROR(INDEX(UnitBases,MATCH(F712,UnitNames,0)),"?"))</f>
        <v>0</v>
      </c>
      <c r="L712" s="17">
        <f>IF(D712="","",IFERROR(INDEX(Ingredients!$G$5:$G$304,MATCH(D712,Ingredients!$B$5:$B$304,0)),"Add to Ingredients"))</f>
        <v>0</v>
      </c>
      <c r="M712" s="25">
        <f>IF(D712="","",IFERROR(INDEX(Ingredients!$J$5:$J$304,MATCH(D712,Ingredients!$B$5:$B$304,0)),"Add to Ingredients"))</f>
        <v>0</v>
      </c>
      <c r="N712" s="25">
        <f>IF(OR(J712="",M712="",NOT(ISNUMBER(M712))),"",IF(K712&lt;&gt;L712,"",J712*M712))</f>
        <v>0</v>
      </c>
      <c r="O712" s="25">
        <f>IF(N712="","",IFERROR(N712/INDEX(Recipes!$G$5:$G$204,MATCH(B712,Recipes!$A$5:$A$204,0)),""))</f>
        <v>0</v>
      </c>
      <c r="P712" s="30">
        <f>IF(J712="","",IF(K712="each",J712,J712/100))</f>
        <v>0</v>
      </c>
      <c r="Q712" s="30">
        <f>IFERROR(IF(P712="","",P712*INDEX(Ingredients!$P$5:$P$304,MATCH(D712,Ingredients!$B$5:$B$304,0))),"")</f>
        <v>0</v>
      </c>
      <c r="R712" s="45">
        <f>IFERROR(IF(P712="","",P712*INDEX(Ingredients!$Q$5:$Q$304,MATCH(D712,Ingredients!$B$5:$B$304,0))),"")</f>
        <v>0</v>
      </c>
      <c r="S712" s="45">
        <f>IFERROR(IF(P712="","",P712*INDEX(Ingredients!$R$5:$R$304,MATCH(D712,Ingredients!$B$5:$B$304,0))),"")</f>
        <v>0</v>
      </c>
      <c r="T712" s="45">
        <f>IFERROR(IF(P712="","",P712*INDEX(Ingredients!$S$5:$S$304,MATCH(D712,Ingredients!$B$5:$B$304,0))),"")</f>
        <v>0</v>
      </c>
      <c r="U712" s="45">
        <f>IFERROR(IF(P712="","",P712*INDEX(Ingredients!$T$5:$T$304,MATCH(D712,Ingredients!$B$5:$B$304,0))),"")</f>
        <v>0</v>
      </c>
      <c r="V712" s="17">
        <f>IF(D712="","",IFERROR(INDEX(Ingredients!$W$5:$W$304,MATCH(D712,Ingredients!$B$5:$B$304,0)),"Add to Ingredients"))</f>
        <v>0</v>
      </c>
      <c r="W712" s="17">
        <f>IF(D712="","",IFERROR(INDEX(Ingredients!$C$5:$C$304,MATCH(D712,Ingredients!$B$5:$B$304,0)),"Add to Ingredients"))</f>
        <v>0</v>
      </c>
      <c r="X712" s="45">
        <f>IFERROR(INDEX(Recipes!$AT$5:$AT$204,MATCH(B712,Recipes!$A$5:$A$204,0)),0)</f>
        <v>0</v>
      </c>
      <c r="Y712" s="45">
        <f>IF(OR(J712="",X712=0),"",J712*X712)</f>
        <v>0</v>
      </c>
      <c r="Z712" s="17">
        <f>IF(D712="","",B712&amp;"#"&amp;COUNTIFS($B$5:B712,B712))</f>
        <v>0</v>
      </c>
      <c r="AA712" s="17">
        <f>IF(D712="","",B712&amp;"|"&amp;D712)</f>
        <v>0</v>
      </c>
      <c r="AB712" s="31">
        <f>IF(D712="","",IF(B712="","Add - which recipe?",IF(COUNTIFS(Ingredients!$B$5:$B$304,D712)=0,"Missing - not in the Ingredients tab",IF(E712="","Add - no quantity",IF(F712="","Add - no unit",IF(K712&lt;&gt;L712,"Check - recipe in "&amp;K712&amp;", priced in "&amp;L712,IF(COUNTIFS($AA$5:$AA$1204,AA712)&gt;1,"Duplicate - same ingredient twice","OK")))))))</f>
        <v>0</v>
      </c>
    </row>
    <row r="713" spans="1:28">
      <c r="A713" s="39">
        <f>IF(D713="","","RL-"&amp;TEXT(ROW()-4,"0000"))</f>
        <v>0</v>
      </c>
      <c r="C713" s="17">
        <f>IF(B713="","",IFERROR(INDEX(Recipes!$B$5:$B$204,MATCH(B713,Recipes!$A$5:$A$204,0)),"Not found"))</f>
        <v>0</v>
      </c>
      <c r="J713" s="45">
        <f>IF(E713="","",IFERROR(E713*INDEX(UnitFactors,MATCH(F713,UnitNames,0)),""))</f>
        <v>0</v>
      </c>
      <c r="K713" s="17">
        <f>IF(F713="","",IFERROR(INDEX(UnitBases,MATCH(F713,UnitNames,0)),"?"))</f>
        <v>0</v>
      </c>
      <c r="L713" s="17">
        <f>IF(D713="","",IFERROR(INDEX(Ingredients!$G$5:$G$304,MATCH(D713,Ingredients!$B$5:$B$304,0)),"Add to Ingredients"))</f>
        <v>0</v>
      </c>
      <c r="M713" s="25">
        <f>IF(D713="","",IFERROR(INDEX(Ingredients!$J$5:$J$304,MATCH(D713,Ingredients!$B$5:$B$304,0)),"Add to Ingredients"))</f>
        <v>0</v>
      </c>
      <c r="N713" s="25">
        <f>IF(OR(J713="",M713="",NOT(ISNUMBER(M713))),"",IF(K713&lt;&gt;L713,"",J713*M713))</f>
        <v>0</v>
      </c>
      <c r="O713" s="25">
        <f>IF(N713="","",IFERROR(N713/INDEX(Recipes!$G$5:$G$204,MATCH(B713,Recipes!$A$5:$A$204,0)),""))</f>
        <v>0</v>
      </c>
      <c r="P713" s="30">
        <f>IF(J713="","",IF(K713="each",J713,J713/100))</f>
        <v>0</v>
      </c>
      <c r="Q713" s="30">
        <f>IFERROR(IF(P713="","",P713*INDEX(Ingredients!$P$5:$P$304,MATCH(D713,Ingredients!$B$5:$B$304,0))),"")</f>
        <v>0</v>
      </c>
      <c r="R713" s="45">
        <f>IFERROR(IF(P713="","",P713*INDEX(Ingredients!$Q$5:$Q$304,MATCH(D713,Ingredients!$B$5:$B$304,0))),"")</f>
        <v>0</v>
      </c>
      <c r="S713" s="45">
        <f>IFERROR(IF(P713="","",P713*INDEX(Ingredients!$R$5:$R$304,MATCH(D713,Ingredients!$B$5:$B$304,0))),"")</f>
        <v>0</v>
      </c>
      <c r="T713" s="45">
        <f>IFERROR(IF(P713="","",P713*INDEX(Ingredients!$S$5:$S$304,MATCH(D713,Ingredients!$B$5:$B$304,0))),"")</f>
        <v>0</v>
      </c>
      <c r="U713" s="45">
        <f>IFERROR(IF(P713="","",P713*INDEX(Ingredients!$T$5:$T$304,MATCH(D713,Ingredients!$B$5:$B$304,0))),"")</f>
        <v>0</v>
      </c>
      <c r="V713" s="17">
        <f>IF(D713="","",IFERROR(INDEX(Ingredients!$W$5:$W$304,MATCH(D713,Ingredients!$B$5:$B$304,0)),"Add to Ingredients"))</f>
        <v>0</v>
      </c>
      <c r="W713" s="17">
        <f>IF(D713="","",IFERROR(INDEX(Ingredients!$C$5:$C$304,MATCH(D713,Ingredients!$B$5:$B$304,0)),"Add to Ingredients"))</f>
        <v>0</v>
      </c>
      <c r="X713" s="45">
        <f>IFERROR(INDEX(Recipes!$AT$5:$AT$204,MATCH(B713,Recipes!$A$5:$A$204,0)),0)</f>
        <v>0</v>
      </c>
      <c r="Y713" s="45">
        <f>IF(OR(J713="",X713=0),"",J713*X713)</f>
        <v>0</v>
      </c>
      <c r="Z713" s="17">
        <f>IF(D713="","",B713&amp;"#"&amp;COUNTIFS($B$5:B713,B713))</f>
        <v>0</v>
      </c>
      <c r="AA713" s="17">
        <f>IF(D713="","",B713&amp;"|"&amp;D713)</f>
        <v>0</v>
      </c>
      <c r="AB713" s="31">
        <f>IF(D713="","",IF(B713="","Add - which recipe?",IF(COUNTIFS(Ingredients!$B$5:$B$304,D713)=0,"Missing - not in the Ingredients tab",IF(E713="","Add - no quantity",IF(F713="","Add - no unit",IF(K713&lt;&gt;L713,"Check - recipe in "&amp;K713&amp;", priced in "&amp;L713,IF(COUNTIFS($AA$5:$AA$1204,AA713)&gt;1,"Duplicate - same ingredient twice","OK")))))))</f>
        <v>0</v>
      </c>
    </row>
    <row r="714" spans="1:28">
      <c r="A714" s="39">
        <f>IF(D714="","","RL-"&amp;TEXT(ROW()-4,"0000"))</f>
        <v>0</v>
      </c>
      <c r="C714" s="17">
        <f>IF(B714="","",IFERROR(INDEX(Recipes!$B$5:$B$204,MATCH(B714,Recipes!$A$5:$A$204,0)),"Not found"))</f>
        <v>0</v>
      </c>
      <c r="J714" s="45">
        <f>IF(E714="","",IFERROR(E714*INDEX(UnitFactors,MATCH(F714,UnitNames,0)),""))</f>
        <v>0</v>
      </c>
      <c r="K714" s="17">
        <f>IF(F714="","",IFERROR(INDEX(UnitBases,MATCH(F714,UnitNames,0)),"?"))</f>
        <v>0</v>
      </c>
      <c r="L714" s="17">
        <f>IF(D714="","",IFERROR(INDEX(Ingredients!$G$5:$G$304,MATCH(D714,Ingredients!$B$5:$B$304,0)),"Add to Ingredients"))</f>
        <v>0</v>
      </c>
      <c r="M714" s="25">
        <f>IF(D714="","",IFERROR(INDEX(Ingredients!$J$5:$J$304,MATCH(D714,Ingredients!$B$5:$B$304,0)),"Add to Ingredients"))</f>
        <v>0</v>
      </c>
      <c r="N714" s="25">
        <f>IF(OR(J714="",M714="",NOT(ISNUMBER(M714))),"",IF(K714&lt;&gt;L714,"",J714*M714))</f>
        <v>0</v>
      </c>
      <c r="O714" s="25">
        <f>IF(N714="","",IFERROR(N714/INDEX(Recipes!$G$5:$G$204,MATCH(B714,Recipes!$A$5:$A$204,0)),""))</f>
        <v>0</v>
      </c>
      <c r="P714" s="30">
        <f>IF(J714="","",IF(K714="each",J714,J714/100))</f>
        <v>0</v>
      </c>
      <c r="Q714" s="30">
        <f>IFERROR(IF(P714="","",P714*INDEX(Ingredients!$P$5:$P$304,MATCH(D714,Ingredients!$B$5:$B$304,0))),"")</f>
        <v>0</v>
      </c>
      <c r="R714" s="45">
        <f>IFERROR(IF(P714="","",P714*INDEX(Ingredients!$Q$5:$Q$304,MATCH(D714,Ingredients!$B$5:$B$304,0))),"")</f>
        <v>0</v>
      </c>
      <c r="S714" s="45">
        <f>IFERROR(IF(P714="","",P714*INDEX(Ingredients!$R$5:$R$304,MATCH(D714,Ingredients!$B$5:$B$304,0))),"")</f>
        <v>0</v>
      </c>
      <c r="T714" s="45">
        <f>IFERROR(IF(P714="","",P714*INDEX(Ingredients!$S$5:$S$304,MATCH(D714,Ingredients!$B$5:$B$304,0))),"")</f>
        <v>0</v>
      </c>
      <c r="U714" s="45">
        <f>IFERROR(IF(P714="","",P714*INDEX(Ingredients!$T$5:$T$304,MATCH(D714,Ingredients!$B$5:$B$304,0))),"")</f>
        <v>0</v>
      </c>
      <c r="V714" s="17">
        <f>IF(D714="","",IFERROR(INDEX(Ingredients!$W$5:$W$304,MATCH(D714,Ingredients!$B$5:$B$304,0)),"Add to Ingredients"))</f>
        <v>0</v>
      </c>
      <c r="W714" s="17">
        <f>IF(D714="","",IFERROR(INDEX(Ingredients!$C$5:$C$304,MATCH(D714,Ingredients!$B$5:$B$304,0)),"Add to Ingredients"))</f>
        <v>0</v>
      </c>
      <c r="X714" s="45">
        <f>IFERROR(INDEX(Recipes!$AT$5:$AT$204,MATCH(B714,Recipes!$A$5:$A$204,0)),0)</f>
        <v>0</v>
      </c>
      <c r="Y714" s="45">
        <f>IF(OR(J714="",X714=0),"",J714*X714)</f>
        <v>0</v>
      </c>
      <c r="Z714" s="17">
        <f>IF(D714="","",B714&amp;"#"&amp;COUNTIFS($B$5:B714,B714))</f>
        <v>0</v>
      </c>
      <c r="AA714" s="17">
        <f>IF(D714="","",B714&amp;"|"&amp;D714)</f>
        <v>0</v>
      </c>
      <c r="AB714" s="31">
        <f>IF(D714="","",IF(B714="","Add - which recipe?",IF(COUNTIFS(Ingredients!$B$5:$B$304,D714)=0,"Missing - not in the Ingredients tab",IF(E714="","Add - no quantity",IF(F714="","Add - no unit",IF(K714&lt;&gt;L714,"Check - recipe in "&amp;K714&amp;", priced in "&amp;L714,IF(COUNTIFS($AA$5:$AA$1204,AA714)&gt;1,"Duplicate - same ingredient twice","OK")))))))</f>
        <v>0</v>
      </c>
    </row>
    <row r="715" spans="1:28">
      <c r="A715" s="39">
        <f>IF(D715="","","RL-"&amp;TEXT(ROW()-4,"0000"))</f>
        <v>0</v>
      </c>
      <c r="C715" s="17">
        <f>IF(B715="","",IFERROR(INDEX(Recipes!$B$5:$B$204,MATCH(B715,Recipes!$A$5:$A$204,0)),"Not found"))</f>
        <v>0</v>
      </c>
      <c r="J715" s="45">
        <f>IF(E715="","",IFERROR(E715*INDEX(UnitFactors,MATCH(F715,UnitNames,0)),""))</f>
        <v>0</v>
      </c>
      <c r="K715" s="17">
        <f>IF(F715="","",IFERROR(INDEX(UnitBases,MATCH(F715,UnitNames,0)),"?"))</f>
        <v>0</v>
      </c>
      <c r="L715" s="17">
        <f>IF(D715="","",IFERROR(INDEX(Ingredients!$G$5:$G$304,MATCH(D715,Ingredients!$B$5:$B$304,0)),"Add to Ingredients"))</f>
        <v>0</v>
      </c>
      <c r="M715" s="25">
        <f>IF(D715="","",IFERROR(INDEX(Ingredients!$J$5:$J$304,MATCH(D715,Ingredients!$B$5:$B$304,0)),"Add to Ingredients"))</f>
        <v>0</v>
      </c>
      <c r="N715" s="25">
        <f>IF(OR(J715="",M715="",NOT(ISNUMBER(M715))),"",IF(K715&lt;&gt;L715,"",J715*M715))</f>
        <v>0</v>
      </c>
      <c r="O715" s="25">
        <f>IF(N715="","",IFERROR(N715/INDEX(Recipes!$G$5:$G$204,MATCH(B715,Recipes!$A$5:$A$204,0)),""))</f>
        <v>0</v>
      </c>
      <c r="P715" s="30">
        <f>IF(J715="","",IF(K715="each",J715,J715/100))</f>
        <v>0</v>
      </c>
      <c r="Q715" s="30">
        <f>IFERROR(IF(P715="","",P715*INDEX(Ingredients!$P$5:$P$304,MATCH(D715,Ingredients!$B$5:$B$304,0))),"")</f>
        <v>0</v>
      </c>
      <c r="R715" s="45">
        <f>IFERROR(IF(P715="","",P715*INDEX(Ingredients!$Q$5:$Q$304,MATCH(D715,Ingredients!$B$5:$B$304,0))),"")</f>
        <v>0</v>
      </c>
      <c r="S715" s="45">
        <f>IFERROR(IF(P715="","",P715*INDEX(Ingredients!$R$5:$R$304,MATCH(D715,Ingredients!$B$5:$B$304,0))),"")</f>
        <v>0</v>
      </c>
      <c r="T715" s="45">
        <f>IFERROR(IF(P715="","",P715*INDEX(Ingredients!$S$5:$S$304,MATCH(D715,Ingredients!$B$5:$B$304,0))),"")</f>
        <v>0</v>
      </c>
      <c r="U715" s="45">
        <f>IFERROR(IF(P715="","",P715*INDEX(Ingredients!$T$5:$T$304,MATCH(D715,Ingredients!$B$5:$B$304,0))),"")</f>
        <v>0</v>
      </c>
      <c r="V715" s="17">
        <f>IF(D715="","",IFERROR(INDEX(Ingredients!$W$5:$W$304,MATCH(D715,Ingredients!$B$5:$B$304,0)),"Add to Ingredients"))</f>
        <v>0</v>
      </c>
      <c r="W715" s="17">
        <f>IF(D715="","",IFERROR(INDEX(Ingredients!$C$5:$C$304,MATCH(D715,Ingredients!$B$5:$B$304,0)),"Add to Ingredients"))</f>
        <v>0</v>
      </c>
      <c r="X715" s="45">
        <f>IFERROR(INDEX(Recipes!$AT$5:$AT$204,MATCH(B715,Recipes!$A$5:$A$204,0)),0)</f>
        <v>0</v>
      </c>
      <c r="Y715" s="45">
        <f>IF(OR(J715="",X715=0),"",J715*X715)</f>
        <v>0</v>
      </c>
      <c r="Z715" s="17">
        <f>IF(D715="","",B715&amp;"#"&amp;COUNTIFS($B$5:B715,B715))</f>
        <v>0</v>
      </c>
      <c r="AA715" s="17">
        <f>IF(D715="","",B715&amp;"|"&amp;D715)</f>
        <v>0</v>
      </c>
      <c r="AB715" s="31">
        <f>IF(D715="","",IF(B715="","Add - which recipe?",IF(COUNTIFS(Ingredients!$B$5:$B$304,D715)=0,"Missing - not in the Ingredients tab",IF(E715="","Add - no quantity",IF(F715="","Add - no unit",IF(K715&lt;&gt;L715,"Check - recipe in "&amp;K715&amp;", priced in "&amp;L715,IF(COUNTIFS($AA$5:$AA$1204,AA715)&gt;1,"Duplicate - same ingredient twice","OK")))))))</f>
        <v>0</v>
      </c>
    </row>
    <row r="716" spans="1:28">
      <c r="A716" s="39">
        <f>IF(D716="","","RL-"&amp;TEXT(ROW()-4,"0000"))</f>
        <v>0</v>
      </c>
      <c r="C716" s="17">
        <f>IF(B716="","",IFERROR(INDEX(Recipes!$B$5:$B$204,MATCH(B716,Recipes!$A$5:$A$204,0)),"Not found"))</f>
        <v>0</v>
      </c>
      <c r="J716" s="45">
        <f>IF(E716="","",IFERROR(E716*INDEX(UnitFactors,MATCH(F716,UnitNames,0)),""))</f>
        <v>0</v>
      </c>
      <c r="K716" s="17">
        <f>IF(F716="","",IFERROR(INDEX(UnitBases,MATCH(F716,UnitNames,0)),"?"))</f>
        <v>0</v>
      </c>
      <c r="L716" s="17">
        <f>IF(D716="","",IFERROR(INDEX(Ingredients!$G$5:$G$304,MATCH(D716,Ingredients!$B$5:$B$304,0)),"Add to Ingredients"))</f>
        <v>0</v>
      </c>
      <c r="M716" s="25">
        <f>IF(D716="","",IFERROR(INDEX(Ingredients!$J$5:$J$304,MATCH(D716,Ingredients!$B$5:$B$304,0)),"Add to Ingredients"))</f>
        <v>0</v>
      </c>
      <c r="N716" s="25">
        <f>IF(OR(J716="",M716="",NOT(ISNUMBER(M716))),"",IF(K716&lt;&gt;L716,"",J716*M716))</f>
        <v>0</v>
      </c>
      <c r="O716" s="25">
        <f>IF(N716="","",IFERROR(N716/INDEX(Recipes!$G$5:$G$204,MATCH(B716,Recipes!$A$5:$A$204,0)),""))</f>
        <v>0</v>
      </c>
      <c r="P716" s="30">
        <f>IF(J716="","",IF(K716="each",J716,J716/100))</f>
        <v>0</v>
      </c>
      <c r="Q716" s="30">
        <f>IFERROR(IF(P716="","",P716*INDEX(Ingredients!$P$5:$P$304,MATCH(D716,Ingredients!$B$5:$B$304,0))),"")</f>
        <v>0</v>
      </c>
      <c r="R716" s="45">
        <f>IFERROR(IF(P716="","",P716*INDEX(Ingredients!$Q$5:$Q$304,MATCH(D716,Ingredients!$B$5:$B$304,0))),"")</f>
        <v>0</v>
      </c>
      <c r="S716" s="45">
        <f>IFERROR(IF(P716="","",P716*INDEX(Ingredients!$R$5:$R$304,MATCH(D716,Ingredients!$B$5:$B$304,0))),"")</f>
        <v>0</v>
      </c>
      <c r="T716" s="45">
        <f>IFERROR(IF(P716="","",P716*INDEX(Ingredients!$S$5:$S$304,MATCH(D716,Ingredients!$B$5:$B$304,0))),"")</f>
        <v>0</v>
      </c>
      <c r="U716" s="45">
        <f>IFERROR(IF(P716="","",P716*INDEX(Ingredients!$T$5:$T$304,MATCH(D716,Ingredients!$B$5:$B$304,0))),"")</f>
        <v>0</v>
      </c>
      <c r="V716" s="17">
        <f>IF(D716="","",IFERROR(INDEX(Ingredients!$W$5:$W$304,MATCH(D716,Ingredients!$B$5:$B$304,0)),"Add to Ingredients"))</f>
        <v>0</v>
      </c>
      <c r="W716" s="17">
        <f>IF(D716="","",IFERROR(INDEX(Ingredients!$C$5:$C$304,MATCH(D716,Ingredients!$B$5:$B$304,0)),"Add to Ingredients"))</f>
        <v>0</v>
      </c>
      <c r="X716" s="45">
        <f>IFERROR(INDEX(Recipes!$AT$5:$AT$204,MATCH(B716,Recipes!$A$5:$A$204,0)),0)</f>
        <v>0</v>
      </c>
      <c r="Y716" s="45">
        <f>IF(OR(J716="",X716=0),"",J716*X716)</f>
        <v>0</v>
      </c>
      <c r="Z716" s="17">
        <f>IF(D716="","",B716&amp;"#"&amp;COUNTIFS($B$5:B716,B716))</f>
        <v>0</v>
      </c>
      <c r="AA716" s="17">
        <f>IF(D716="","",B716&amp;"|"&amp;D716)</f>
        <v>0</v>
      </c>
      <c r="AB716" s="31">
        <f>IF(D716="","",IF(B716="","Add - which recipe?",IF(COUNTIFS(Ingredients!$B$5:$B$304,D716)=0,"Missing - not in the Ingredients tab",IF(E716="","Add - no quantity",IF(F716="","Add - no unit",IF(K716&lt;&gt;L716,"Check - recipe in "&amp;K716&amp;", priced in "&amp;L716,IF(COUNTIFS($AA$5:$AA$1204,AA716)&gt;1,"Duplicate - same ingredient twice","OK")))))))</f>
        <v>0</v>
      </c>
    </row>
    <row r="717" spans="1:28">
      <c r="A717" s="39">
        <f>IF(D717="","","RL-"&amp;TEXT(ROW()-4,"0000"))</f>
        <v>0</v>
      </c>
      <c r="C717" s="17">
        <f>IF(B717="","",IFERROR(INDEX(Recipes!$B$5:$B$204,MATCH(B717,Recipes!$A$5:$A$204,0)),"Not found"))</f>
        <v>0</v>
      </c>
      <c r="J717" s="45">
        <f>IF(E717="","",IFERROR(E717*INDEX(UnitFactors,MATCH(F717,UnitNames,0)),""))</f>
        <v>0</v>
      </c>
      <c r="K717" s="17">
        <f>IF(F717="","",IFERROR(INDEX(UnitBases,MATCH(F717,UnitNames,0)),"?"))</f>
        <v>0</v>
      </c>
      <c r="L717" s="17">
        <f>IF(D717="","",IFERROR(INDEX(Ingredients!$G$5:$G$304,MATCH(D717,Ingredients!$B$5:$B$304,0)),"Add to Ingredients"))</f>
        <v>0</v>
      </c>
      <c r="M717" s="25">
        <f>IF(D717="","",IFERROR(INDEX(Ingredients!$J$5:$J$304,MATCH(D717,Ingredients!$B$5:$B$304,0)),"Add to Ingredients"))</f>
        <v>0</v>
      </c>
      <c r="N717" s="25">
        <f>IF(OR(J717="",M717="",NOT(ISNUMBER(M717))),"",IF(K717&lt;&gt;L717,"",J717*M717))</f>
        <v>0</v>
      </c>
      <c r="O717" s="25">
        <f>IF(N717="","",IFERROR(N717/INDEX(Recipes!$G$5:$G$204,MATCH(B717,Recipes!$A$5:$A$204,0)),""))</f>
        <v>0</v>
      </c>
      <c r="P717" s="30">
        <f>IF(J717="","",IF(K717="each",J717,J717/100))</f>
        <v>0</v>
      </c>
      <c r="Q717" s="30">
        <f>IFERROR(IF(P717="","",P717*INDEX(Ingredients!$P$5:$P$304,MATCH(D717,Ingredients!$B$5:$B$304,0))),"")</f>
        <v>0</v>
      </c>
      <c r="R717" s="45">
        <f>IFERROR(IF(P717="","",P717*INDEX(Ingredients!$Q$5:$Q$304,MATCH(D717,Ingredients!$B$5:$B$304,0))),"")</f>
        <v>0</v>
      </c>
      <c r="S717" s="45">
        <f>IFERROR(IF(P717="","",P717*INDEX(Ingredients!$R$5:$R$304,MATCH(D717,Ingredients!$B$5:$B$304,0))),"")</f>
        <v>0</v>
      </c>
      <c r="T717" s="45">
        <f>IFERROR(IF(P717="","",P717*INDEX(Ingredients!$S$5:$S$304,MATCH(D717,Ingredients!$B$5:$B$304,0))),"")</f>
        <v>0</v>
      </c>
      <c r="U717" s="45">
        <f>IFERROR(IF(P717="","",P717*INDEX(Ingredients!$T$5:$T$304,MATCH(D717,Ingredients!$B$5:$B$304,0))),"")</f>
        <v>0</v>
      </c>
      <c r="V717" s="17">
        <f>IF(D717="","",IFERROR(INDEX(Ingredients!$W$5:$W$304,MATCH(D717,Ingredients!$B$5:$B$304,0)),"Add to Ingredients"))</f>
        <v>0</v>
      </c>
      <c r="W717" s="17">
        <f>IF(D717="","",IFERROR(INDEX(Ingredients!$C$5:$C$304,MATCH(D717,Ingredients!$B$5:$B$304,0)),"Add to Ingredients"))</f>
        <v>0</v>
      </c>
      <c r="X717" s="45">
        <f>IFERROR(INDEX(Recipes!$AT$5:$AT$204,MATCH(B717,Recipes!$A$5:$A$204,0)),0)</f>
        <v>0</v>
      </c>
      <c r="Y717" s="45">
        <f>IF(OR(J717="",X717=0),"",J717*X717)</f>
        <v>0</v>
      </c>
      <c r="Z717" s="17">
        <f>IF(D717="","",B717&amp;"#"&amp;COUNTIFS($B$5:B717,B717))</f>
        <v>0</v>
      </c>
      <c r="AA717" s="17">
        <f>IF(D717="","",B717&amp;"|"&amp;D717)</f>
        <v>0</v>
      </c>
      <c r="AB717" s="31">
        <f>IF(D717="","",IF(B717="","Add - which recipe?",IF(COUNTIFS(Ingredients!$B$5:$B$304,D717)=0,"Missing - not in the Ingredients tab",IF(E717="","Add - no quantity",IF(F717="","Add - no unit",IF(K717&lt;&gt;L717,"Check - recipe in "&amp;K717&amp;", priced in "&amp;L717,IF(COUNTIFS($AA$5:$AA$1204,AA717)&gt;1,"Duplicate - same ingredient twice","OK")))))))</f>
        <v>0</v>
      </c>
    </row>
    <row r="718" spans="1:28">
      <c r="A718" s="39">
        <f>IF(D718="","","RL-"&amp;TEXT(ROW()-4,"0000"))</f>
        <v>0</v>
      </c>
      <c r="C718" s="17">
        <f>IF(B718="","",IFERROR(INDEX(Recipes!$B$5:$B$204,MATCH(B718,Recipes!$A$5:$A$204,0)),"Not found"))</f>
        <v>0</v>
      </c>
      <c r="J718" s="45">
        <f>IF(E718="","",IFERROR(E718*INDEX(UnitFactors,MATCH(F718,UnitNames,0)),""))</f>
        <v>0</v>
      </c>
      <c r="K718" s="17">
        <f>IF(F718="","",IFERROR(INDEX(UnitBases,MATCH(F718,UnitNames,0)),"?"))</f>
        <v>0</v>
      </c>
      <c r="L718" s="17">
        <f>IF(D718="","",IFERROR(INDEX(Ingredients!$G$5:$G$304,MATCH(D718,Ingredients!$B$5:$B$304,0)),"Add to Ingredients"))</f>
        <v>0</v>
      </c>
      <c r="M718" s="25">
        <f>IF(D718="","",IFERROR(INDEX(Ingredients!$J$5:$J$304,MATCH(D718,Ingredients!$B$5:$B$304,0)),"Add to Ingredients"))</f>
        <v>0</v>
      </c>
      <c r="N718" s="25">
        <f>IF(OR(J718="",M718="",NOT(ISNUMBER(M718))),"",IF(K718&lt;&gt;L718,"",J718*M718))</f>
        <v>0</v>
      </c>
      <c r="O718" s="25">
        <f>IF(N718="","",IFERROR(N718/INDEX(Recipes!$G$5:$G$204,MATCH(B718,Recipes!$A$5:$A$204,0)),""))</f>
        <v>0</v>
      </c>
      <c r="P718" s="30">
        <f>IF(J718="","",IF(K718="each",J718,J718/100))</f>
        <v>0</v>
      </c>
      <c r="Q718" s="30">
        <f>IFERROR(IF(P718="","",P718*INDEX(Ingredients!$P$5:$P$304,MATCH(D718,Ingredients!$B$5:$B$304,0))),"")</f>
        <v>0</v>
      </c>
      <c r="R718" s="45">
        <f>IFERROR(IF(P718="","",P718*INDEX(Ingredients!$Q$5:$Q$304,MATCH(D718,Ingredients!$B$5:$B$304,0))),"")</f>
        <v>0</v>
      </c>
      <c r="S718" s="45">
        <f>IFERROR(IF(P718="","",P718*INDEX(Ingredients!$R$5:$R$304,MATCH(D718,Ingredients!$B$5:$B$304,0))),"")</f>
        <v>0</v>
      </c>
      <c r="T718" s="45">
        <f>IFERROR(IF(P718="","",P718*INDEX(Ingredients!$S$5:$S$304,MATCH(D718,Ingredients!$B$5:$B$304,0))),"")</f>
        <v>0</v>
      </c>
      <c r="U718" s="45">
        <f>IFERROR(IF(P718="","",P718*INDEX(Ingredients!$T$5:$T$304,MATCH(D718,Ingredients!$B$5:$B$304,0))),"")</f>
        <v>0</v>
      </c>
      <c r="V718" s="17">
        <f>IF(D718="","",IFERROR(INDEX(Ingredients!$W$5:$W$304,MATCH(D718,Ingredients!$B$5:$B$304,0)),"Add to Ingredients"))</f>
        <v>0</v>
      </c>
      <c r="W718" s="17">
        <f>IF(D718="","",IFERROR(INDEX(Ingredients!$C$5:$C$304,MATCH(D718,Ingredients!$B$5:$B$304,0)),"Add to Ingredients"))</f>
        <v>0</v>
      </c>
      <c r="X718" s="45">
        <f>IFERROR(INDEX(Recipes!$AT$5:$AT$204,MATCH(B718,Recipes!$A$5:$A$204,0)),0)</f>
        <v>0</v>
      </c>
      <c r="Y718" s="45">
        <f>IF(OR(J718="",X718=0),"",J718*X718)</f>
        <v>0</v>
      </c>
      <c r="Z718" s="17">
        <f>IF(D718="","",B718&amp;"#"&amp;COUNTIFS($B$5:B718,B718))</f>
        <v>0</v>
      </c>
      <c r="AA718" s="17">
        <f>IF(D718="","",B718&amp;"|"&amp;D718)</f>
        <v>0</v>
      </c>
      <c r="AB718" s="31">
        <f>IF(D718="","",IF(B718="","Add - which recipe?",IF(COUNTIFS(Ingredients!$B$5:$B$304,D718)=0,"Missing - not in the Ingredients tab",IF(E718="","Add - no quantity",IF(F718="","Add - no unit",IF(K718&lt;&gt;L718,"Check - recipe in "&amp;K718&amp;", priced in "&amp;L718,IF(COUNTIFS($AA$5:$AA$1204,AA718)&gt;1,"Duplicate - same ingredient twice","OK")))))))</f>
        <v>0</v>
      </c>
    </row>
    <row r="719" spans="1:28">
      <c r="A719" s="39">
        <f>IF(D719="","","RL-"&amp;TEXT(ROW()-4,"0000"))</f>
        <v>0</v>
      </c>
      <c r="C719" s="17">
        <f>IF(B719="","",IFERROR(INDEX(Recipes!$B$5:$B$204,MATCH(B719,Recipes!$A$5:$A$204,0)),"Not found"))</f>
        <v>0</v>
      </c>
      <c r="J719" s="45">
        <f>IF(E719="","",IFERROR(E719*INDEX(UnitFactors,MATCH(F719,UnitNames,0)),""))</f>
        <v>0</v>
      </c>
      <c r="K719" s="17">
        <f>IF(F719="","",IFERROR(INDEX(UnitBases,MATCH(F719,UnitNames,0)),"?"))</f>
        <v>0</v>
      </c>
      <c r="L719" s="17">
        <f>IF(D719="","",IFERROR(INDEX(Ingredients!$G$5:$G$304,MATCH(D719,Ingredients!$B$5:$B$304,0)),"Add to Ingredients"))</f>
        <v>0</v>
      </c>
      <c r="M719" s="25">
        <f>IF(D719="","",IFERROR(INDEX(Ingredients!$J$5:$J$304,MATCH(D719,Ingredients!$B$5:$B$304,0)),"Add to Ingredients"))</f>
        <v>0</v>
      </c>
      <c r="N719" s="25">
        <f>IF(OR(J719="",M719="",NOT(ISNUMBER(M719))),"",IF(K719&lt;&gt;L719,"",J719*M719))</f>
        <v>0</v>
      </c>
      <c r="O719" s="25">
        <f>IF(N719="","",IFERROR(N719/INDEX(Recipes!$G$5:$G$204,MATCH(B719,Recipes!$A$5:$A$204,0)),""))</f>
        <v>0</v>
      </c>
      <c r="P719" s="30">
        <f>IF(J719="","",IF(K719="each",J719,J719/100))</f>
        <v>0</v>
      </c>
      <c r="Q719" s="30">
        <f>IFERROR(IF(P719="","",P719*INDEX(Ingredients!$P$5:$P$304,MATCH(D719,Ingredients!$B$5:$B$304,0))),"")</f>
        <v>0</v>
      </c>
      <c r="R719" s="45">
        <f>IFERROR(IF(P719="","",P719*INDEX(Ingredients!$Q$5:$Q$304,MATCH(D719,Ingredients!$B$5:$B$304,0))),"")</f>
        <v>0</v>
      </c>
      <c r="S719" s="45">
        <f>IFERROR(IF(P719="","",P719*INDEX(Ingredients!$R$5:$R$304,MATCH(D719,Ingredients!$B$5:$B$304,0))),"")</f>
        <v>0</v>
      </c>
      <c r="T719" s="45">
        <f>IFERROR(IF(P719="","",P719*INDEX(Ingredients!$S$5:$S$304,MATCH(D719,Ingredients!$B$5:$B$304,0))),"")</f>
        <v>0</v>
      </c>
      <c r="U719" s="45">
        <f>IFERROR(IF(P719="","",P719*INDEX(Ingredients!$T$5:$T$304,MATCH(D719,Ingredients!$B$5:$B$304,0))),"")</f>
        <v>0</v>
      </c>
      <c r="V719" s="17">
        <f>IF(D719="","",IFERROR(INDEX(Ingredients!$W$5:$W$304,MATCH(D719,Ingredients!$B$5:$B$304,0)),"Add to Ingredients"))</f>
        <v>0</v>
      </c>
      <c r="W719" s="17">
        <f>IF(D719="","",IFERROR(INDEX(Ingredients!$C$5:$C$304,MATCH(D719,Ingredients!$B$5:$B$304,0)),"Add to Ingredients"))</f>
        <v>0</v>
      </c>
      <c r="X719" s="45">
        <f>IFERROR(INDEX(Recipes!$AT$5:$AT$204,MATCH(B719,Recipes!$A$5:$A$204,0)),0)</f>
        <v>0</v>
      </c>
      <c r="Y719" s="45">
        <f>IF(OR(J719="",X719=0),"",J719*X719)</f>
        <v>0</v>
      </c>
      <c r="Z719" s="17">
        <f>IF(D719="","",B719&amp;"#"&amp;COUNTIFS($B$5:B719,B719))</f>
        <v>0</v>
      </c>
      <c r="AA719" s="17">
        <f>IF(D719="","",B719&amp;"|"&amp;D719)</f>
        <v>0</v>
      </c>
      <c r="AB719" s="31">
        <f>IF(D719="","",IF(B719="","Add - which recipe?",IF(COUNTIFS(Ingredients!$B$5:$B$304,D719)=0,"Missing - not in the Ingredients tab",IF(E719="","Add - no quantity",IF(F719="","Add - no unit",IF(K719&lt;&gt;L719,"Check - recipe in "&amp;K719&amp;", priced in "&amp;L719,IF(COUNTIFS($AA$5:$AA$1204,AA719)&gt;1,"Duplicate - same ingredient twice","OK")))))))</f>
        <v>0</v>
      </c>
    </row>
    <row r="720" spans="1:28">
      <c r="A720" s="39">
        <f>IF(D720="","","RL-"&amp;TEXT(ROW()-4,"0000"))</f>
        <v>0</v>
      </c>
      <c r="C720" s="17">
        <f>IF(B720="","",IFERROR(INDEX(Recipes!$B$5:$B$204,MATCH(B720,Recipes!$A$5:$A$204,0)),"Not found"))</f>
        <v>0</v>
      </c>
      <c r="J720" s="45">
        <f>IF(E720="","",IFERROR(E720*INDEX(UnitFactors,MATCH(F720,UnitNames,0)),""))</f>
        <v>0</v>
      </c>
      <c r="K720" s="17">
        <f>IF(F720="","",IFERROR(INDEX(UnitBases,MATCH(F720,UnitNames,0)),"?"))</f>
        <v>0</v>
      </c>
      <c r="L720" s="17">
        <f>IF(D720="","",IFERROR(INDEX(Ingredients!$G$5:$G$304,MATCH(D720,Ingredients!$B$5:$B$304,0)),"Add to Ingredients"))</f>
        <v>0</v>
      </c>
      <c r="M720" s="25">
        <f>IF(D720="","",IFERROR(INDEX(Ingredients!$J$5:$J$304,MATCH(D720,Ingredients!$B$5:$B$304,0)),"Add to Ingredients"))</f>
        <v>0</v>
      </c>
      <c r="N720" s="25">
        <f>IF(OR(J720="",M720="",NOT(ISNUMBER(M720))),"",IF(K720&lt;&gt;L720,"",J720*M720))</f>
        <v>0</v>
      </c>
      <c r="O720" s="25">
        <f>IF(N720="","",IFERROR(N720/INDEX(Recipes!$G$5:$G$204,MATCH(B720,Recipes!$A$5:$A$204,0)),""))</f>
        <v>0</v>
      </c>
      <c r="P720" s="30">
        <f>IF(J720="","",IF(K720="each",J720,J720/100))</f>
        <v>0</v>
      </c>
      <c r="Q720" s="30">
        <f>IFERROR(IF(P720="","",P720*INDEX(Ingredients!$P$5:$P$304,MATCH(D720,Ingredients!$B$5:$B$304,0))),"")</f>
        <v>0</v>
      </c>
      <c r="R720" s="45">
        <f>IFERROR(IF(P720="","",P720*INDEX(Ingredients!$Q$5:$Q$304,MATCH(D720,Ingredients!$B$5:$B$304,0))),"")</f>
        <v>0</v>
      </c>
      <c r="S720" s="45">
        <f>IFERROR(IF(P720="","",P720*INDEX(Ingredients!$R$5:$R$304,MATCH(D720,Ingredients!$B$5:$B$304,0))),"")</f>
        <v>0</v>
      </c>
      <c r="T720" s="45">
        <f>IFERROR(IF(P720="","",P720*INDEX(Ingredients!$S$5:$S$304,MATCH(D720,Ingredients!$B$5:$B$304,0))),"")</f>
        <v>0</v>
      </c>
      <c r="U720" s="45">
        <f>IFERROR(IF(P720="","",P720*INDEX(Ingredients!$T$5:$T$304,MATCH(D720,Ingredients!$B$5:$B$304,0))),"")</f>
        <v>0</v>
      </c>
      <c r="V720" s="17">
        <f>IF(D720="","",IFERROR(INDEX(Ingredients!$W$5:$W$304,MATCH(D720,Ingredients!$B$5:$B$304,0)),"Add to Ingredients"))</f>
        <v>0</v>
      </c>
      <c r="W720" s="17">
        <f>IF(D720="","",IFERROR(INDEX(Ingredients!$C$5:$C$304,MATCH(D720,Ingredients!$B$5:$B$304,0)),"Add to Ingredients"))</f>
        <v>0</v>
      </c>
      <c r="X720" s="45">
        <f>IFERROR(INDEX(Recipes!$AT$5:$AT$204,MATCH(B720,Recipes!$A$5:$A$204,0)),0)</f>
        <v>0</v>
      </c>
      <c r="Y720" s="45">
        <f>IF(OR(J720="",X720=0),"",J720*X720)</f>
        <v>0</v>
      </c>
      <c r="Z720" s="17">
        <f>IF(D720="","",B720&amp;"#"&amp;COUNTIFS($B$5:B720,B720))</f>
        <v>0</v>
      </c>
      <c r="AA720" s="17">
        <f>IF(D720="","",B720&amp;"|"&amp;D720)</f>
        <v>0</v>
      </c>
      <c r="AB720" s="31">
        <f>IF(D720="","",IF(B720="","Add - which recipe?",IF(COUNTIFS(Ingredients!$B$5:$B$304,D720)=0,"Missing - not in the Ingredients tab",IF(E720="","Add - no quantity",IF(F720="","Add - no unit",IF(K720&lt;&gt;L720,"Check - recipe in "&amp;K720&amp;", priced in "&amp;L720,IF(COUNTIFS($AA$5:$AA$1204,AA720)&gt;1,"Duplicate - same ingredient twice","OK")))))))</f>
        <v>0</v>
      </c>
    </row>
    <row r="721" spans="1:28">
      <c r="A721" s="39">
        <f>IF(D721="","","RL-"&amp;TEXT(ROW()-4,"0000"))</f>
        <v>0</v>
      </c>
      <c r="C721" s="17">
        <f>IF(B721="","",IFERROR(INDEX(Recipes!$B$5:$B$204,MATCH(B721,Recipes!$A$5:$A$204,0)),"Not found"))</f>
        <v>0</v>
      </c>
      <c r="J721" s="45">
        <f>IF(E721="","",IFERROR(E721*INDEX(UnitFactors,MATCH(F721,UnitNames,0)),""))</f>
        <v>0</v>
      </c>
      <c r="K721" s="17">
        <f>IF(F721="","",IFERROR(INDEX(UnitBases,MATCH(F721,UnitNames,0)),"?"))</f>
        <v>0</v>
      </c>
      <c r="L721" s="17">
        <f>IF(D721="","",IFERROR(INDEX(Ingredients!$G$5:$G$304,MATCH(D721,Ingredients!$B$5:$B$304,0)),"Add to Ingredients"))</f>
        <v>0</v>
      </c>
      <c r="M721" s="25">
        <f>IF(D721="","",IFERROR(INDEX(Ingredients!$J$5:$J$304,MATCH(D721,Ingredients!$B$5:$B$304,0)),"Add to Ingredients"))</f>
        <v>0</v>
      </c>
      <c r="N721" s="25">
        <f>IF(OR(J721="",M721="",NOT(ISNUMBER(M721))),"",IF(K721&lt;&gt;L721,"",J721*M721))</f>
        <v>0</v>
      </c>
      <c r="O721" s="25">
        <f>IF(N721="","",IFERROR(N721/INDEX(Recipes!$G$5:$G$204,MATCH(B721,Recipes!$A$5:$A$204,0)),""))</f>
        <v>0</v>
      </c>
      <c r="P721" s="30">
        <f>IF(J721="","",IF(K721="each",J721,J721/100))</f>
        <v>0</v>
      </c>
      <c r="Q721" s="30">
        <f>IFERROR(IF(P721="","",P721*INDEX(Ingredients!$P$5:$P$304,MATCH(D721,Ingredients!$B$5:$B$304,0))),"")</f>
        <v>0</v>
      </c>
      <c r="R721" s="45">
        <f>IFERROR(IF(P721="","",P721*INDEX(Ingredients!$Q$5:$Q$304,MATCH(D721,Ingredients!$B$5:$B$304,0))),"")</f>
        <v>0</v>
      </c>
      <c r="S721" s="45">
        <f>IFERROR(IF(P721="","",P721*INDEX(Ingredients!$R$5:$R$304,MATCH(D721,Ingredients!$B$5:$B$304,0))),"")</f>
        <v>0</v>
      </c>
      <c r="T721" s="45">
        <f>IFERROR(IF(P721="","",P721*INDEX(Ingredients!$S$5:$S$304,MATCH(D721,Ingredients!$B$5:$B$304,0))),"")</f>
        <v>0</v>
      </c>
      <c r="U721" s="45">
        <f>IFERROR(IF(P721="","",P721*INDEX(Ingredients!$T$5:$T$304,MATCH(D721,Ingredients!$B$5:$B$304,0))),"")</f>
        <v>0</v>
      </c>
      <c r="V721" s="17">
        <f>IF(D721="","",IFERROR(INDEX(Ingredients!$W$5:$W$304,MATCH(D721,Ingredients!$B$5:$B$304,0)),"Add to Ingredients"))</f>
        <v>0</v>
      </c>
      <c r="W721" s="17">
        <f>IF(D721="","",IFERROR(INDEX(Ingredients!$C$5:$C$304,MATCH(D721,Ingredients!$B$5:$B$304,0)),"Add to Ingredients"))</f>
        <v>0</v>
      </c>
      <c r="X721" s="45">
        <f>IFERROR(INDEX(Recipes!$AT$5:$AT$204,MATCH(B721,Recipes!$A$5:$A$204,0)),0)</f>
        <v>0</v>
      </c>
      <c r="Y721" s="45">
        <f>IF(OR(J721="",X721=0),"",J721*X721)</f>
        <v>0</v>
      </c>
      <c r="Z721" s="17">
        <f>IF(D721="","",B721&amp;"#"&amp;COUNTIFS($B$5:B721,B721))</f>
        <v>0</v>
      </c>
      <c r="AA721" s="17">
        <f>IF(D721="","",B721&amp;"|"&amp;D721)</f>
        <v>0</v>
      </c>
      <c r="AB721" s="31">
        <f>IF(D721="","",IF(B721="","Add - which recipe?",IF(COUNTIFS(Ingredients!$B$5:$B$304,D721)=0,"Missing - not in the Ingredients tab",IF(E721="","Add - no quantity",IF(F721="","Add - no unit",IF(K721&lt;&gt;L721,"Check - recipe in "&amp;K721&amp;", priced in "&amp;L721,IF(COUNTIFS($AA$5:$AA$1204,AA721)&gt;1,"Duplicate - same ingredient twice","OK")))))))</f>
        <v>0</v>
      </c>
    </row>
    <row r="722" spans="1:28">
      <c r="A722" s="39">
        <f>IF(D722="","","RL-"&amp;TEXT(ROW()-4,"0000"))</f>
        <v>0</v>
      </c>
      <c r="C722" s="17">
        <f>IF(B722="","",IFERROR(INDEX(Recipes!$B$5:$B$204,MATCH(B722,Recipes!$A$5:$A$204,0)),"Not found"))</f>
        <v>0</v>
      </c>
      <c r="J722" s="45">
        <f>IF(E722="","",IFERROR(E722*INDEX(UnitFactors,MATCH(F722,UnitNames,0)),""))</f>
        <v>0</v>
      </c>
      <c r="K722" s="17">
        <f>IF(F722="","",IFERROR(INDEX(UnitBases,MATCH(F722,UnitNames,0)),"?"))</f>
        <v>0</v>
      </c>
      <c r="L722" s="17">
        <f>IF(D722="","",IFERROR(INDEX(Ingredients!$G$5:$G$304,MATCH(D722,Ingredients!$B$5:$B$304,0)),"Add to Ingredients"))</f>
        <v>0</v>
      </c>
      <c r="M722" s="25">
        <f>IF(D722="","",IFERROR(INDEX(Ingredients!$J$5:$J$304,MATCH(D722,Ingredients!$B$5:$B$304,0)),"Add to Ingredients"))</f>
        <v>0</v>
      </c>
      <c r="N722" s="25">
        <f>IF(OR(J722="",M722="",NOT(ISNUMBER(M722))),"",IF(K722&lt;&gt;L722,"",J722*M722))</f>
        <v>0</v>
      </c>
      <c r="O722" s="25">
        <f>IF(N722="","",IFERROR(N722/INDEX(Recipes!$G$5:$G$204,MATCH(B722,Recipes!$A$5:$A$204,0)),""))</f>
        <v>0</v>
      </c>
      <c r="P722" s="30">
        <f>IF(J722="","",IF(K722="each",J722,J722/100))</f>
        <v>0</v>
      </c>
      <c r="Q722" s="30">
        <f>IFERROR(IF(P722="","",P722*INDEX(Ingredients!$P$5:$P$304,MATCH(D722,Ingredients!$B$5:$B$304,0))),"")</f>
        <v>0</v>
      </c>
      <c r="R722" s="45">
        <f>IFERROR(IF(P722="","",P722*INDEX(Ingredients!$Q$5:$Q$304,MATCH(D722,Ingredients!$B$5:$B$304,0))),"")</f>
        <v>0</v>
      </c>
      <c r="S722" s="45">
        <f>IFERROR(IF(P722="","",P722*INDEX(Ingredients!$R$5:$R$304,MATCH(D722,Ingredients!$B$5:$B$304,0))),"")</f>
        <v>0</v>
      </c>
      <c r="T722" s="45">
        <f>IFERROR(IF(P722="","",P722*INDEX(Ingredients!$S$5:$S$304,MATCH(D722,Ingredients!$B$5:$B$304,0))),"")</f>
        <v>0</v>
      </c>
      <c r="U722" s="45">
        <f>IFERROR(IF(P722="","",P722*INDEX(Ingredients!$T$5:$T$304,MATCH(D722,Ingredients!$B$5:$B$304,0))),"")</f>
        <v>0</v>
      </c>
      <c r="V722" s="17">
        <f>IF(D722="","",IFERROR(INDEX(Ingredients!$W$5:$W$304,MATCH(D722,Ingredients!$B$5:$B$304,0)),"Add to Ingredients"))</f>
        <v>0</v>
      </c>
      <c r="W722" s="17">
        <f>IF(D722="","",IFERROR(INDEX(Ingredients!$C$5:$C$304,MATCH(D722,Ingredients!$B$5:$B$304,0)),"Add to Ingredients"))</f>
        <v>0</v>
      </c>
      <c r="X722" s="45">
        <f>IFERROR(INDEX(Recipes!$AT$5:$AT$204,MATCH(B722,Recipes!$A$5:$A$204,0)),0)</f>
        <v>0</v>
      </c>
      <c r="Y722" s="45">
        <f>IF(OR(J722="",X722=0),"",J722*X722)</f>
        <v>0</v>
      </c>
      <c r="Z722" s="17">
        <f>IF(D722="","",B722&amp;"#"&amp;COUNTIFS($B$5:B722,B722))</f>
        <v>0</v>
      </c>
      <c r="AA722" s="17">
        <f>IF(D722="","",B722&amp;"|"&amp;D722)</f>
        <v>0</v>
      </c>
      <c r="AB722" s="31">
        <f>IF(D722="","",IF(B722="","Add - which recipe?",IF(COUNTIFS(Ingredients!$B$5:$B$304,D722)=0,"Missing - not in the Ingredients tab",IF(E722="","Add - no quantity",IF(F722="","Add - no unit",IF(K722&lt;&gt;L722,"Check - recipe in "&amp;K722&amp;", priced in "&amp;L722,IF(COUNTIFS($AA$5:$AA$1204,AA722)&gt;1,"Duplicate - same ingredient twice","OK")))))))</f>
        <v>0</v>
      </c>
    </row>
    <row r="723" spans="1:28">
      <c r="A723" s="39">
        <f>IF(D723="","","RL-"&amp;TEXT(ROW()-4,"0000"))</f>
        <v>0</v>
      </c>
      <c r="C723" s="17">
        <f>IF(B723="","",IFERROR(INDEX(Recipes!$B$5:$B$204,MATCH(B723,Recipes!$A$5:$A$204,0)),"Not found"))</f>
        <v>0</v>
      </c>
      <c r="J723" s="45">
        <f>IF(E723="","",IFERROR(E723*INDEX(UnitFactors,MATCH(F723,UnitNames,0)),""))</f>
        <v>0</v>
      </c>
      <c r="K723" s="17">
        <f>IF(F723="","",IFERROR(INDEX(UnitBases,MATCH(F723,UnitNames,0)),"?"))</f>
        <v>0</v>
      </c>
      <c r="L723" s="17">
        <f>IF(D723="","",IFERROR(INDEX(Ingredients!$G$5:$G$304,MATCH(D723,Ingredients!$B$5:$B$304,0)),"Add to Ingredients"))</f>
        <v>0</v>
      </c>
      <c r="M723" s="25">
        <f>IF(D723="","",IFERROR(INDEX(Ingredients!$J$5:$J$304,MATCH(D723,Ingredients!$B$5:$B$304,0)),"Add to Ingredients"))</f>
        <v>0</v>
      </c>
      <c r="N723" s="25">
        <f>IF(OR(J723="",M723="",NOT(ISNUMBER(M723))),"",IF(K723&lt;&gt;L723,"",J723*M723))</f>
        <v>0</v>
      </c>
      <c r="O723" s="25">
        <f>IF(N723="","",IFERROR(N723/INDEX(Recipes!$G$5:$G$204,MATCH(B723,Recipes!$A$5:$A$204,0)),""))</f>
        <v>0</v>
      </c>
      <c r="P723" s="30">
        <f>IF(J723="","",IF(K723="each",J723,J723/100))</f>
        <v>0</v>
      </c>
      <c r="Q723" s="30">
        <f>IFERROR(IF(P723="","",P723*INDEX(Ingredients!$P$5:$P$304,MATCH(D723,Ingredients!$B$5:$B$304,0))),"")</f>
        <v>0</v>
      </c>
      <c r="R723" s="45">
        <f>IFERROR(IF(P723="","",P723*INDEX(Ingredients!$Q$5:$Q$304,MATCH(D723,Ingredients!$B$5:$B$304,0))),"")</f>
        <v>0</v>
      </c>
      <c r="S723" s="45">
        <f>IFERROR(IF(P723="","",P723*INDEX(Ingredients!$R$5:$R$304,MATCH(D723,Ingredients!$B$5:$B$304,0))),"")</f>
        <v>0</v>
      </c>
      <c r="T723" s="45">
        <f>IFERROR(IF(P723="","",P723*INDEX(Ingredients!$S$5:$S$304,MATCH(D723,Ingredients!$B$5:$B$304,0))),"")</f>
        <v>0</v>
      </c>
      <c r="U723" s="45">
        <f>IFERROR(IF(P723="","",P723*INDEX(Ingredients!$T$5:$T$304,MATCH(D723,Ingredients!$B$5:$B$304,0))),"")</f>
        <v>0</v>
      </c>
      <c r="V723" s="17">
        <f>IF(D723="","",IFERROR(INDEX(Ingredients!$W$5:$W$304,MATCH(D723,Ingredients!$B$5:$B$304,0)),"Add to Ingredients"))</f>
        <v>0</v>
      </c>
      <c r="W723" s="17">
        <f>IF(D723="","",IFERROR(INDEX(Ingredients!$C$5:$C$304,MATCH(D723,Ingredients!$B$5:$B$304,0)),"Add to Ingredients"))</f>
        <v>0</v>
      </c>
      <c r="X723" s="45">
        <f>IFERROR(INDEX(Recipes!$AT$5:$AT$204,MATCH(B723,Recipes!$A$5:$A$204,0)),0)</f>
        <v>0</v>
      </c>
      <c r="Y723" s="45">
        <f>IF(OR(J723="",X723=0),"",J723*X723)</f>
        <v>0</v>
      </c>
      <c r="Z723" s="17">
        <f>IF(D723="","",B723&amp;"#"&amp;COUNTIFS($B$5:B723,B723))</f>
        <v>0</v>
      </c>
      <c r="AA723" s="17">
        <f>IF(D723="","",B723&amp;"|"&amp;D723)</f>
        <v>0</v>
      </c>
      <c r="AB723" s="31">
        <f>IF(D723="","",IF(B723="","Add - which recipe?",IF(COUNTIFS(Ingredients!$B$5:$B$304,D723)=0,"Missing - not in the Ingredients tab",IF(E723="","Add - no quantity",IF(F723="","Add - no unit",IF(K723&lt;&gt;L723,"Check - recipe in "&amp;K723&amp;", priced in "&amp;L723,IF(COUNTIFS($AA$5:$AA$1204,AA723)&gt;1,"Duplicate - same ingredient twice","OK")))))))</f>
        <v>0</v>
      </c>
    </row>
    <row r="724" spans="1:28">
      <c r="A724" s="39">
        <f>IF(D724="","","RL-"&amp;TEXT(ROW()-4,"0000"))</f>
        <v>0</v>
      </c>
      <c r="C724" s="17">
        <f>IF(B724="","",IFERROR(INDEX(Recipes!$B$5:$B$204,MATCH(B724,Recipes!$A$5:$A$204,0)),"Not found"))</f>
        <v>0</v>
      </c>
      <c r="J724" s="45">
        <f>IF(E724="","",IFERROR(E724*INDEX(UnitFactors,MATCH(F724,UnitNames,0)),""))</f>
        <v>0</v>
      </c>
      <c r="K724" s="17">
        <f>IF(F724="","",IFERROR(INDEX(UnitBases,MATCH(F724,UnitNames,0)),"?"))</f>
        <v>0</v>
      </c>
      <c r="L724" s="17">
        <f>IF(D724="","",IFERROR(INDEX(Ingredients!$G$5:$G$304,MATCH(D724,Ingredients!$B$5:$B$304,0)),"Add to Ingredients"))</f>
        <v>0</v>
      </c>
      <c r="M724" s="25">
        <f>IF(D724="","",IFERROR(INDEX(Ingredients!$J$5:$J$304,MATCH(D724,Ingredients!$B$5:$B$304,0)),"Add to Ingredients"))</f>
        <v>0</v>
      </c>
      <c r="N724" s="25">
        <f>IF(OR(J724="",M724="",NOT(ISNUMBER(M724))),"",IF(K724&lt;&gt;L724,"",J724*M724))</f>
        <v>0</v>
      </c>
      <c r="O724" s="25">
        <f>IF(N724="","",IFERROR(N724/INDEX(Recipes!$G$5:$G$204,MATCH(B724,Recipes!$A$5:$A$204,0)),""))</f>
        <v>0</v>
      </c>
      <c r="P724" s="30">
        <f>IF(J724="","",IF(K724="each",J724,J724/100))</f>
        <v>0</v>
      </c>
      <c r="Q724" s="30">
        <f>IFERROR(IF(P724="","",P724*INDEX(Ingredients!$P$5:$P$304,MATCH(D724,Ingredients!$B$5:$B$304,0))),"")</f>
        <v>0</v>
      </c>
      <c r="R724" s="45">
        <f>IFERROR(IF(P724="","",P724*INDEX(Ingredients!$Q$5:$Q$304,MATCH(D724,Ingredients!$B$5:$B$304,0))),"")</f>
        <v>0</v>
      </c>
      <c r="S724" s="45">
        <f>IFERROR(IF(P724="","",P724*INDEX(Ingredients!$R$5:$R$304,MATCH(D724,Ingredients!$B$5:$B$304,0))),"")</f>
        <v>0</v>
      </c>
      <c r="T724" s="45">
        <f>IFERROR(IF(P724="","",P724*INDEX(Ingredients!$S$5:$S$304,MATCH(D724,Ingredients!$B$5:$B$304,0))),"")</f>
        <v>0</v>
      </c>
      <c r="U724" s="45">
        <f>IFERROR(IF(P724="","",P724*INDEX(Ingredients!$T$5:$T$304,MATCH(D724,Ingredients!$B$5:$B$304,0))),"")</f>
        <v>0</v>
      </c>
      <c r="V724" s="17">
        <f>IF(D724="","",IFERROR(INDEX(Ingredients!$W$5:$W$304,MATCH(D724,Ingredients!$B$5:$B$304,0)),"Add to Ingredients"))</f>
        <v>0</v>
      </c>
      <c r="W724" s="17">
        <f>IF(D724="","",IFERROR(INDEX(Ingredients!$C$5:$C$304,MATCH(D724,Ingredients!$B$5:$B$304,0)),"Add to Ingredients"))</f>
        <v>0</v>
      </c>
      <c r="X724" s="45">
        <f>IFERROR(INDEX(Recipes!$AT$5:$AT$204,MATCH(B724,Recipes!$A$5:$A$204,0)),0)</f>
        <v>0</v>
      </c>
      <c r="Y724" s="45">
        <f>IF(OR(J724="",X724=0),"",J724*X724)</f>
        <v>0</v>
      </c>
      <c r="Z724" s="17">
        <f>IF(D724="","",B724&amp;"#"&amp;COUNTIFS($B$5:B724,B724))</f>
        <v>0</v>
      </c>
      <c r="AA724" s="17">
        <f>IF(D724="","",B724&amp;"|"&amp;D724)</f>
        <v>0</v>
      </c>
      <c r="AB724" s="31">
        <f>IF(D724="","",IF(B724="","Add - which recipe?",IF(COUNTIFS(Ingredients!$B$5:$B$304,D724)=0,"Missing - not in the Ingredients tab",IF(E724="","Add - no quantity",IF(F724="","Add - no unit",IF(K724&lt;&gt;L724,"Check - recipe in "&amp;K724&amp;", priced in "&amp;L724,IF(COUNTIFS($AA$5:$AA$1204,AA724)&gt;1,"Duplicate - same ingredient twice","OK")))))))</f>
        <v>0</v>
      </c>
    </row>
    <row r="725" spans="1:28">
      <c r="A725" s="39">
        <f>IF(D725="","","RL-"&amp;TEXT(ROW()-4,"0000"))</f>
        <v>0</v>
      </c>
      <c r="C725" s="17">
        <f>IF(B725="","",IFERROR(INDEX(Recipes!$B$5:$B$204,MATCH(B725,Recipes!$A$5:$A$204,0)),"Not found"))</f>
        <v>0</v>
      </c>
      <c r="J725" s="45">
        <f>IF(E725="","",IFERROR(E725*INDEX(UnitFactors,MATCH(F725,UnitNames,0)),""))</f>
        <v>0</v>
      </c>
      <c r="K725" s="17">
        <f>IF(F725="","",IFERROR(INDEX(UnitBases,MATCH(F725,UnitNames,0)),"?"))</f>
        <v>0</v>
      </c>
      <c r="L725" s="17">
        <f>IF(D725="","",IFERROR(INDEX(Ingredients!$G$5:$G$304,MATCH(D725,Ingredients!$B$5:$B$304,0)),"Add to Ingredients"))</f>
        <v>0</v>
      </c>
      <c r="M725" s="25">
        <f>IF(D725="","",IFERROR(INDEX(Ingredients!$J$5:$J$304,MATCH(D725,Ingredients!$B$5:$B$304,0)),"Add to Ingredients"))</f>
        <v>0</v>
      </c>
      <c r="N725" s="25">
        <f>IF(OR(J725="",M725="",NOT(ISNUMBER(M725))),"",IF(K725&lt;&gt;L725,"",J725*M725))</f>
        <v>0</v>
      </c>
      <c r="O725" s="25">
        <f>IF(N725="","",IFERROR(N725/INDEX(Recipes!$G$5:$G$204,MATCH(B725,Recipes!$A$5:$A$204,0)),""))</f>
        <v>0</v>
      </c>
      <c r="P725" s="30">
        <f>IF(J725="","",IF(K725="each",J725,J725/100))</f>
        <v>0</v>
      </c>
      <c r="Q725" s="30">
        <f>IFERROR(IF(P725="","",P725*INDEX(Ingredients!$P$5:$P$304,MATCH(D725,Ingredients!$B$5:$B$304,0))),"")</f>
        <v>0</v>
      </c>
      <c r="R725" s="45">
        <f>IFERROR(IF(P725="","",P725*INDEX(Ingredients!$Q$5:$Q$304,MATCH(D725,Ingredients!$B$5:$B$304,0))),"")</f>
        <v>0</v>
      </c>
      <c r="S725" s="45">
        <f>IFERROR(IF(P725="","",P725*INDEX(Ingredients!$R$5:$R$304,MATCH(D725,Ingredients!$B$5:$B$304,0))),"")</f>
        <v>0</v>
      </c>
      <c r="T725" s="45">
        <f>IFERROR(IF(P725="","",P725*INDEX(Ingredients!$S$5:$S$304,MATCH(D725,Ingredients!$B$5:$B$304,0))),"")</f>
        <v>0</v>
      </c>
      <c r="U725" s="45">
        <f>IFERROR(IF(P725="","",P725*INDEX(Ingredients!$T$5:$T$304,MATCH(D725,Ingredients!$B$5:$B$304,0))),"")</f>
        <v>0</v>
      </c>
      <c r="V725" s="17">
        <f>IF(D725="","",IFERROR(INDEX(Ingredients!$W$5:$W$304,MATCH(D725,Ingredients!$B$5:$B$304,0)),"Add to Ingredients"))</f>
        <v>0</v>
      </c>
      <c r="W725" s="17">
        <f>IF(D725="","",IFERROR(INDEX(Ingredients!$C$5:$C$304,MATCH(D725,Ingredients!$B$5:$B$304,0)),"Add to Ingredients"))</f>
        <v>0</v>
      </c>
      <c r="X725" s="45">
        <f>IFERROR(INDEX(Recipes!$AT$5:$AT$204,MATCH(B725,Recipes!$A$5:$A$204,0)),0)</f>
        <v>0</v>
      </c>
      <c r="Y725" s="45">
        <f>IF(OR(J725="",X725=0),"",J725*X725)</f>
        <v>0</v>
      </c>
      <c r="Z725" s="17">
        <f>IF(D725="","",B725&amp;"#"&amp;COUNTIFS($B$5:B725,B725))</f>
        <v>0</v>
      </c>
      <c r="AA725" s="17">
        <f>IF(D725="","",B725&amp;"|"&amp;D725)</f>
        <v>0</v>
      </c>
      <c r="AB725" s="31">
        <f>IF(D725="","",IF(B725="","Add - which recipe?",IF(COUNTIFS(Ingredients!$B$5:$B$304,D725)=0,"Missing - not in the Ingredients tab",IF(E725="","Add - no quantity",IF(F725="","Add - no unit",IF(K725&lt;&gt;L725,"Check - recipe in "&amp;K725&amp;", priced in "&amp;L725,IF(COUNTIFS($AA$5:$AA$1204,AA725)&gt;1,"Duplicate - same ingredient twice","OK")))))))</f>
        <v>0</v>
      </c>
    </row>
    <row r="726" spans="1:28">
      <c r="A726" s="39">
        <f>IF(D726="","","RL-"&amp;TEXT(ROW()-4,"0000"))</f>
        <v>0</v>
      </c>
      <c r="C726" s="17">
        <f>IF(B726="","",IFERROR(INDEX(Recipes!$B$5:$B$204,MATCH(B726,Recipes!$A$5:$A$204,0)),"Not found"))</f>
        <v>0</v>
      </c>
      <c r="J726" s="45">
        <f>IF(E726="","",IFERROR(E726*INDEX(UnitFactors,MATCH(F726,UnitNames,0)),""))</f>
        <v>0</v>
      </c>
      <c r="K726" s="17">
        <f>IF(F726="","",IFERROR(INDEX(UnitBases,MATCH(F726,UnitNames,0)),"?"))</f>
        <v>0</v>
      </c>
      <c r="L726" s="17">
        <f>IF(D726="","",IFERROR(INDEX(Ingredients!$G$5:$G$304,MATCH(D726,Ingredients!$B$5:$B$304,0)),"Add to Ingredients"))</f>
        <v>0</v>
      </c>
      <c r="M726" s="25">
        <f>IF(D726="","",IFERROR(INDEX(Ingredients!$J$5:$J$304,MATCH(D726,Ingredients!$B$5:$B$304,0)),"Add to Ingredients"))</f>
        <v>0</v>
      </c>
      <c r="N726" s="25">
        <f>IF(OR(J726="",M726="",NOT(ISNUMBER(M726))),"",IF(K726&lt;&gt;L726,"",J726*M726))</f>
        <v>0</v>
      </c>
      <c r="O726" s="25">
        <f>IF(N726="","",IFERROR(N726/INDEX(Recipes!$G$5:$G$204,MATCH(B726,Recipes!$A$5:$A$204,0)),""))</f>
        <v>0</v>
      </c>
      <c r="P726" s="30">
        <f>IF(J726="","",IF(K726="each",J726,J726/100))</f>
        <v>0</v>
      </c>
      <c r="Q726" s="30">
        <f>IFERROR(IF(P726="","",P726*INDEX(Ingredients!$P$5:$P$304,MATCH(D726,Ingredients!$B$5:$B$304,0))),"")</f>
        <v>0</v>
      </c>
      <c r="R726" s="45">
        <f>IFERROR(IF(P726="","",P726*INDEX(Ingredients!$Q$5:$Q$304,MATCH(D726,Ingredients!$B$5:$B$304,0))),"")</f>
        <v>0</v>
      </c>
      <c r="S726" s="45">
        <f>IFERROR(IF(P726="","",P726*INDEX(Ingredients!$R$5:$R$304,MATCH(D726,Ingredients!$B$5:$B$304,0))),"")</f>
        <v>0</v>
      </c>
      <c r="T726" s="45">
        <f>IFERROR(IF(P726="","",P726*INDEX(Ingredients!$S$5:$S$304,MATCH(D726,Ingredients!$B$5:$B$304,0))),"")</f>
        <v>0</v>
      </c>
      <c r="U726" s="45">
        <f>IFERROR(IF(P726="","",P726*INDEX(Ingredients!$T$5:$T$304,MATCH(D726,Ingredients!$B$5:$B$304,0))),"")</f>
        <v>0</v>
      </c>
      <c r="V726" s="17">
        <f>IF(D726="","",IFERROR(INDEX(Ingredients!$W$5:$W$304,MATCH(D726,Ingredients!$B$5:$B$304,0)),"Add to Ingredients"))</f>
        <v>0</v>
      </c>
      <c r="W726" s="17">
        <f>IF(D726="","",IFERROR(INDEX(Ingredients!$C$5:$C$304,MATCH(D726,Ingredients!$B$5:$B$304,0)),"Add to Ingredients"))</f>
        <v>0</v>
      </c>
      <c r="X726" s="45">
        <f>IFERROR(INDEX(Recipes!$AT$5:$AT$204,MATCH(B726,Recipes!$A$5:$A$204,0)),0)</f>
        <v>0</v>
      </c>
      <c r="Y726" s="45">
        <f>IF(OR(J726="",X726=0),"",J726*X726)</f>
        <v>0</v>
      </c>
      <c r="Z726" s="17">
        <f>IF(D726="","",B726&amp;"#"&amp;COUNTIFS($B$5:B726,B726))</f>
        <v>0</v>
      </c>
      <c r="AA726" s="17">
        <f>IF(D726="","",B726&amp;"|"&amp;D726)</f>
        <v>0</v>
      </c>
      <c r="AB726" s="31">
        <f>IF(D726="","",IF(B726="","Add - which recipe?",IF(COUNTIFS(Ingredients!$B$5:$B$304,D726)=0,"Missing - not in the Ingredients tab",IF(E726="","Add - no quantity",IF(F726="","Add - no unit",IF(K726&lt;&gt;L726,"Check - recipe in "&amp;K726&amp;", priced in "&amp;L726,IF(COUNTIFS($AA$5:$AA$1204,AA726)&gt;1,"Duplicate - same ingredient twice","OK")))))))</f>
        <v>0</v>
      </c>
    </row>
    <row r="727" spans="1:28">
      <c r="A727" s="39">
        <f>IF(D727="","","RL-"&amp;TEXT(ROW()-4,"0000"))</f>
        <v>0</v>
      </c>
      <c r="C727" s="17">
        <f>IF(B727="","",IFERROR(INDEX(Recipes!$B$5:$B$204,MATCH(B727,Recipes!$A$5:$A$204,0)),"Not found"))</f>
        <v>0</v>
      </c>
      <c r="J727" s="45">
        <f>IF(E727="","",IFERROR(E727*INDEX(UnitFactors,MATCH(F727,UnitNames,0)),""))</f>
        <v>0</v>
      </c>
      <c r="K727" s="17">
        <f>IF(F727="","",IFERROR(INDEX(UnitBases,MATCH(F727,UnitNames,0)),"?"))</f>
        <v>0</v>
      </c>
      <c r="L727" s="17">
        <f>IF(D727="","",IFERROR(INDEX(Ingredients!$G$5:$G$304,MATCH(D727,Ingredients!$B$5:$B$304,0)),"Add to Ingredients"))</f>
        <v>0</v>
      </c>
      <c r="M727" s="25">
        <f>IF(D727="","",IFERROR(INDEX(Ingredients!$J$5:$J$304,MATCH(D727,Ingredients!$B$5:$B$304,0)),"Add to Ingredients"))</f>
        <v>0</v>
      </c>
      <c r="N727" s="25">
        <f>IF(OR(J727="",M727="",NOT(ISNUMBER(M727))),"",IF(K727&lt;&gt;L727,"",J727*M727))</f>
        <v>0</v>
      </c>
      <c r="O727" s="25">
        <f>IF(N727="","",IFERROR(N727/INDEX(Recipes!$G$5:$G$204,MATCH(B727,Recipes!$A$5:$A$204,0)),""))</f>
        <v>0</v>
      </c>
      <c r="P727" s="30">
        <f>IF(J727="","",IF(K727="each",J727,J727/100))</f>
        <v>0</v>
      </c>
      <c r="Q727" s="30">
        <f>IFERROR(IF(P727="","",P727*INDEX(Ingredients!$P$5:$P$304,MATCH(D727,Ingredients!$B$5:$B$304,0))),"")</f>
        <v>0</v>
      </c>
      <c r="R727" s="45">
        <f>IFERROR(IF(P727="","",P727*INDEX(Ingredients!$Q$5:$Q$304,MATCH(D727,Ingredients!$B$5:$B$304,0))),"")</f>
        <v>0</v>
      </c>
      <c r="S727" s="45">
        <f>IFERROR(IF(P727="","",P727*INDEX(Ingredients!$R$5:$R$304,MATCH(D727,Ingredients!$B$5:$B$304,0))),"")</f>
        <v>0</v>
      </c>
      <c r="T727" s="45">
        <f>IFERROR(IF(P727="","",P727*INDEX(Ingredients!$S$5:$S$304,MATCH(D727,Ingredients!$B$5:$B$304,0))),"")</f>
        <v>0</v>
      </c>
      <c r="U727" s="45">
        <f>IFERROR(IF(P727="","",P727*INDEX(Ingredients!$T$5:$T$304,MATCH(D727,Ingredients!$B$5:$B$304,0))),"")</f>
        <v>0</v>
      </c>
      <c r="V727" s="17">
        <f>IF(D727="","",IFERROR(INDEX(Ingredients!$W$5:$W$304,MATCH(D727,Ingredients!$B$5:$B$304,0)),"Add to Ingredients"))</f>
        <v>0</v>
      </c>
      <c r="W727" s="17">
        <f>IF(D727="","",IFERROR(INDEX(Ingredients!$C$5:$C$304,MATCH(D727,Ingredients!$B$5:$B$304,0)),"Add to Ingredients"))</f>
        <v>0</v>
      </c>
      <c r="X727" s="45">
        <f>IFERROR(INDEX(Recipes!$AT$5:$AT$204,MATCH(B727,Recipes!$A$5:$A$204,0)),0)</f>
        <v>0</v>
      </c>
      <c r="Y727" s="45">
        <f>IF(OR(J727="",X727=0),"",J727*X727)</f>
        <v>0</v>
      </c>
      <c r="Z727" s="17">
        <f>IF(D727="","",B727&amp;"#"&amp;COUNTIFS($B$5:B727,B727))</f>
        <v>0</v>
      </c>
      <c r="AA727" s="17">
        <f>IF(D727="","",B727&amp;"|"&amp;D727)</f>
        <v>0</v>
      </c>
      <c r="AB727" s="31">
        <f>IF(D727="","",IF(B727="","Add - which recipe?",IF(COUNTIFS(Ingredients!$B$5:$B$304,D727)=0,"Missing - not in the Ingredients tab",IF(E727="","Add - no quantity",IF(F727="","Add - no unit",IF(K727&lt;&gt;L727,"Check - recipe in "&amp;K727&amp;", priced in "&amp;L727,IF(COUNTIFS($AA$5:$AA$1204,AA727)&gt;1,"Duplicate - same ingredient twice","OK")))))))</f>
        <v>0</v>
      </c>
    </row>
    <row r="728" spans="1:28">
      <c r="A728" s="39">
        <f>IF(D728="","","RL-"&amp;TEXT(ROW()-4,"0000"))</f>
        <v>0</v>
      </c>
      <c r="C728" s="17">
        <f>IF(B728="","",IFERROR(INDEX(Recipes!$B$5:$B$204,MATCH(B728,Recipes!$A$5:$A$204,0)),"Not found"))</f>
        <v>0</v>
      </c>
      <c r="J728" s="45">
        <f>IF(E728="","",IFERROR(E728*INDEX(UnitFactors,MATCH(F728,UnitNames,0)),""))</f>
        <v>0</v>
      </c>
      <c r="K728" s="17">
        <f>IF(F728="","",IFERROR(INDEX(UnitBases,MATCH(F728,UnitNames,0)),"?"))</f>
        <v>0</v>
      </c>
      <c r="L728" s="17">
        <f>IF(D728="","",IFERROR(INDEX(Ingredients!$G$5:$G$304,MATCH(D728,Ingredients!$B$5:$B$304,0)),"Add to Ingredients"))</f>
        <v>0</v>
      </c>
      <c r="M728" s="25">
        <f>IF(D728="","",IFERROR(INDEX(Ingredients!$J$5:$J$304,MATCH(D728,Ingredients!$B$5:$B$304,0)),"Add to Ingredients"))</f>
        <v>0</v>
      </c>
      <c r="N728" s="25">
        <f>IF(OR(J728="",M728="",NOT(ISNUMBER(M728))),"",IF(K728&lt;&gt;L728,"",J728*M728))</f>
        <v>0</v>
      </c>
      <c r="O728" s="25">
        <f>IF(N728="","",IFERROR(N728/INDEX(Recipes!$G$5:$G$204,MATCH(B728,Recipes!$A$5:$A$204,0)),""))</f>
        <v>0</v>
      </c>
      <c r="P728" s="30">
        <f>IF(J728="","",IF(K728="each",J728,J728/100))</f>
        <v>0</v>
      </c>
      <c r="Q728" s="30">
        <f>IFERROR(IF(P728="","",P728*INDEX(Ingredients!$P$5:$P$304,MATCH(D728,Ingredients!$B$5:$B$304,0))),"")</f>
        <v>0</v>
      </c>
      <c r="R728" s="45">
        <f>IFERROR(IF(P728="","",P728*INDEX(Ingredients!$Q$5:$Q$304,MATCH(D728,Ingredients!$B$5:$B$304,0))),"")</f>
        <v>0</v>
      </c>
      <c r="S728" s="45">
        <f>IFERROR(IF(P728="","",P728*INDEX(Ingredients!$R$5:$R$304,MATCH(D728,Ingredients!$B$5:$B$304,0))),"")</f>
        <v>0</v>
      </c>
      <c r="T728" s="45">
        <f>IFERROR(IF(P728="","",P728*INDEX(Ingredients!$S$5:$S$304,MATCH(D728,Ingredients!$B$5:$B$304,0))),"")</f>
        <v>0</v>
      </c>
      <c r="U728" s="45">
        <f>IFERROR(IF(P728="","",P728*INDEX(Ingredients!$T$5:$T$304,MATCH(D728,Ingredients!$B$5:$B$304,0))),"")</f>
        <v>0</v>
      </c>
      <c r="V728" s="17">
        <f>IF(D728="","",IFERROR(INDEX(Ingredients!$W$5:$W$304,MATCH(D728,Ingredients!$B$5:$B$304,0)),"Add to Ingredients"))</f>
        <v>0</v>
      </c>
      <c r="W728" s="17">
        <f>IF(D728="","",IFERROR(INDEX(Ingredients!$C$5:$C$304,MATCH(D728,Ingredients!$B$5:$B$304,0)),"Add to Ingredients"))</f>
        <v>0</v>
      </c>
      <c r="X728" s="45">
        <f>IFERROR(INDEX(Recipes!$AT$5:$AT$204,MATCH(B728,Recipes!$A$5:$A$204,0)),0)</f>
        <v>0</v>
      </c>
      <c r="Y728" s="45">
        <f>IF(OR(J728="",X728=0),"",J728*X728)</f>
        <v>0</v>
      </c>
      <c r="Z728" s="17">
        <f>IF(D728="","",B728&amp;"#"&amp;COUNTIFS($B$5:B728,B728))</f>
        <v>0</v>
      </c>
      <c r="AA728" s="17">
        <f>IF(D728="","",B728&amp;"|"&amp;D728)</f>
        <v>0</v>
      </c>
      <c r="AB728" s="31">
        <f>IF(D728="","",IF(B728="","Add - which recipe?",IF(COUNTIFS(Ingredients!$B$5:$B$304,D728)=0,"Missing - not in the Ingredients tab",IF(E728="","Add - no quantity",IF(F728="","Add - no unit",IF(K728&lt;&gt;L728,"Check - recipe in "&amp;K728&amp;", priced in "&amp;L728,IF(COUNTIFS($AA$5:$AA$1204,AA728)&gt;1,"Duplicate - same ingredient twice","OK")))))))</f>
        <v>0</v>
      </c>
    </row>
    <row r="729" spans="1:28">
      <c r="A729" s="39">
        <f>IF(D729="","","RL-"&amp;TEXT(ROW()-4,"0000"))</f>
        <v>0</v>
      </c>
      <c r="C729" s="17">
        <f>IF(B729="","",IFERROR(INDEX(Recipes!$B$5:$B$204,MATCH(B729,Recipes!$A$5:$A$204,0)),"Not found"))</f>
        <v>0</v>
      </c>
      <c r="J729" s="45">
        <f>IF(E729="","",IFERROR(E729*INDEX(UnitFactors,MATCH(F729,UnitNames,0)),""))</f>
        <v>0</v>
      </c>
      <c r="K729" s="17">
        <f>IF(F729="","",IFERROR(INDEX(UnitBases,MATCH(F729,UnitNames,0)),"?"))</f>
        <v>0</v>
      </c>
      <c r="L729" s="17">
        <f>IF(D729="","",IFERROR(INDEX(Ingredients!$G$5:$G$304,MATCH(D729,Ingredients!$B$5:$B$304,0)),"Add to Ingredients"))</f>
        <v>0</v>
      </c>
      <c r="M729" s="25">
        <f>IF(D729="","",IFERROR(INDEX(Ingredients!$J$5:$J$304,MATCH(D729,Ingredients!$B$5:$B$304,0)),"Add to Ingredients"))</f>
        <v>0</v>
      </c>
      <c r="N729" s="25">
        <f>IF(OR(J729="",M729="",NOT(ISNUMBER(M729))),"",IF(K729&lt;&gt;L729,"",J729*M729))</f>
        <v>0</v>
      </c>
      <c r="O729" s="25">
        <f>IF(N729="","",IFERROR(N729/INDEX(Recipes!$G$5:$G$204,MATCH(B729,Recipes!$A$5:$A$204,0)),""))</f>
        <v>0</v>
      </c>
      <c r="P729" s="30">
        <f>IF(J729="","",IF(K729="each",J729,J729/100))</f>
        <v>0</v>
      </c>
      <c r="Q729" s="30">
        <f>IFERROR(IF(P729="","",P729*INDEX(Ingredients!$P$5:$P$304,MATCH(D729,Ingredients!$B$5:$B$304,0))),"")</f>
        <v>0</v>
      </c>
      <c r="R729" s="45">
        <f>IFERROR(IF(P729="","",P729*INDEX(Ingredients!$Q$5:$Q$304,MATCH(D729,Ingredients!$B$5:$B$304,0))),"")</f>
        <v>0</v>
      </c>
      <c r="S729" s="45">
        <f>IFERROR(IF(P729="","",P729*INDEX(Ingredients!$R$5:$R$304,MATCH(D729,Ingredients!$B$5:$B$304,0))),"")</f>
        <v>0</v>
      </c>
      <c r="T729" s="45">
        <f>IFERROR(IF(P729="","",P729*INDEX(Ingredients!$S$5:$S$304,MATCH(D729,Ingredients!$B$5:$B$304,0))),"")</f>
        <v>0</v>
      </c>
      <c r="U729" s="45">
        <f>IFERROR(IF(P729="","",P729*INDEX(Ingredients!$T$5:$T$304,MATCH(D729,Ingredients!$B$5:$B$304,0))),"")</f>
        <v>0</v>
      </c>
      <c r="V729" s="17">
        <f>IF(D729="","",IFERROR(INDEX(Ingredients!$W$5:$W$304,MATCH(D729,Ingredients!$B$5:$B$304,0)),"Add to Ingredients"))</f>
        <v>0</v>
      </c>
      <c r="W729" s="17">
        <f>IF(D729="","",IFERROR(INDEX(Ingredients!$C$5:$C$304,MATCH(D729,Ingredients!$B$5:$B$304,0)),"Add to Ingredients"))</f>
        <v>0</v>
      </c>
      <c r="X729" s="45">
        <f>IFERROR(INDEX(Recipes!$AT$5:$AT$204,MATCH(B729,Recipes!$A$5:$A$204,0)),0)</f>
        <v>0</v>
      </c>
      <c r="Y729" s="45">
        <f>IF(OR(J729="",X729=0),"",J729*X729)</f>
        <v>0</v>
      </c>
      <c r="Z729" s="17">
        <f>IF(D729="","",B729&amp;"#"&amp;COUNTIFS($B$5:B729,B729))</f>
        <v>0</v>
      </c>
      <c r="AA729" s="17">
        <f>IF(D729="","",B729&amp;"|"&amp;D729)</f>
        <v>0</v>
      </c>
      <c r="AB729" s="31">
        <f>IF(D729="","",IF(B729="","Add - which recipe?",IF(COUNTIFS(Ingredients!$B$5:$B$304,D729)=0,"Missing - not in the Ingredients tab",IF(E729="","Add - no quantity",IF(F729="","Add - no unit",IF(K729&lt;&gt;L729,"Check - recipe in "&amp;K729&amp;", priced in "&amp;L729,IF(COUNTIFS($AA$5:$AA$1204,AA729)&gt;1,"Duplicate - same ingredient twice","OK")))))))</f>
        <v>0</v>
      </c>
    </row>
    <row r="730" spans="1:28">
      <c r="A730" s="39">
        <f>IF(D730="","","RL-"&amp;TEXT(ROW()-4,"0000"))</f>
        <v>0</v>
      </c>
      <c r="C730" s="17">
        <f>IF(B730="","",IFERROR(INDEX(Recipes!$B$5:$B$204,MATCH(B730,Recipes!$A$5:$A$204,0)),"Not found"))</f>
        <v>0</v>
      </c>
      <c r="J730" s="45">
        <f>IF(E730="","",IFERROR(E730*INDEX(UnitFactors,MATCH(F730,UnitNames,0)),""))</f>
        <v>0</v>
      </c>
      <c r="K730" s="17">
        <f>IF(F730="","",IFERROR(INDEX(UnitBases,MATCH(F730,UnitNames,0)),"?"))</f>
        <v>0</v>
      </c>
      <c r="L730" s="17">
        <f>IF(D730="","",IFERROR(INDEX(Ingredients!$G$5:$G$304,MATCH(D730,Ingredients!$B$5:$B$304,0)),"Add to Ingredients"))</f>
        <v>0</v>
      </c>
      <c r="M730" s="25">
        <f>IF(D730="","",IFERROR(INDEX(Ingredients!$J$5:$J$304,MATCH(D730,Ingredients!$B$5:$B$304,0)),"Add to Ingredients"))</f>
        <v>0</v>
      </c>
      <c r="N730" s="25">
        <f>IF(OR(J730="",M730="",NOT(ISNUMBER(M730))),"",IF(K730&lt;&gt;L730,"",J730*M730))</f>
        <v>0</v>
      </c>
      <c r="O730" s="25">
        <f>IF(N730="","",IFERROR(N730/INDEX(Recipes!$G$5:$G$204,MATCH(B730,Recipes!$A$5:$A$204,0)),""))</f>
        <v>0</v>
      </c>
      <c r="P730" s="30">
        <f>IF(J730="","",IF(K730="each",J730,J730/100))</f>
        <v>0</v>
      </c>
      <c r="Q730" s="30">
        <f>IFERROR(IF(P730="","",P730*INDEX(Ingredients!$P$5:$P$304,MATCH(D730,Ingredients!$B$5:$B$304,0))),"")</f>
        <v>0</v>
      </c>
      <c r="R730" s="45">
        <f>IFERROR(IF(P730="","",P730*INDEX(Ingredients!$Q$5:$Q$304,MATCH(D730,Ingredients!$B$5:$B$304,0))),"")</f>
        <v>0</v>
      </c>
      <c r="S730" s="45">
        <f>IFERROR(IF(P730="","",P730*INDEX(Ingredients!$R$5:$R$304,MATCH(D730,Ingredients!$B$5:$B$304,0))),"")</f>
        <v>0</v>
      </c>
      <c r="T730" s="45">
        <f>IFERROR(IF(P730="","",P730*INDEX(Ingredients!$S$5:$S$304,MATCH(D730,Ingredients!$B$5:$B$304,0))),"")</f>
        <v>0</v>
      </c>
      <c r="U730" s="45">
        <f>IFERROR(IF(P730="","",P730*INDEX(Ingredients!$T$5:$T$304,MATCH(D730,Ingredients!$B$5:$B$304,0))),"")</f>
        <v>0</v>
      </c>
      <c r="V730" s="17">
        <f>IF(D730="","",IFERROR(INDEX(Ingredients!$W$5:$W$304,MATCH(D730,Ingredients!$B$5:$B$304,0)),"Add to Ingredients"))</f>
        <v>0</v>
      </c>
      <c r="W730" s="17">
        <f>IF(D730="","",IFERROR(INDEX(Ingredients!$C$5:$C$304,MATCH(D730,Ingredients!$B$5:$B$304,0)),"Add to Ingredients"))</f>
        <v>0</v>
      </c>
      <c r="X730" s="45">
        <f>IFERROR(INDEX(Recipes!$AT$5:$AT$204,MATCH(B730,Recipes!$A$5:$A$204,0)),0)</f>
        <v>0</v>
      </c>
      <c r="Y730" s="45">
        <f>IF(OR(J730="",X730=0),"",J730*X730)</f>
        <v>0</v>
      </c>
      <c r="Z730" s="17">
        <f>IF(D730="","",B730&amp;"#"&amp;COUNTIFS($B$5:B730,B730))</f>
        <v>0</v>
      </c>
      <c r="AA730" s="17">
        <f>IF(D730="","",B730&amp;"|"&amp;D730)</f>
        <v>0</v>
      </c>
      <c r="AB730" s="31">
        <f>IF(D730="","",IF(B730="","Add - which recipe?",IF(COUNTIFS(Ingredients!$B$5:$B$304,D730)=0,"Missing - not in the Ingredients tab",IF(E730="","Add - no quantity",IF(F730="","Add - no unit",IF(K730&lt;&gt;L730,"Check - recipe in "&amp;K730&amp;", priced in "&amp;L730,IF(COUNTIFS($AA$5:$AA$1204,AA730)&gt;1,"Duplicate - same ingredient twice","OK")))))))</f>
        <v>0</v>
      </c>
    </row>
    <row r="731" spans="1:28">
      <c r="A731" s="39">
        <f>IF(D731="","","RL-"&amp;TEXT(ROW()-4,"0000"))</f>
        <v>0</v>
      </c>
      <c r="C731" s="17">
        <f>IF(B731="","",IFERROR(INDEX(Recipes!$B$5:$B$204,MATCH(B731,Recipes!$A$5:$A$204,0)),"Not found"))</f>
        <v>0</v>
      </c>
      <c r="J731" s="45">
        <f>IF(E731="","",IFERROR(E731*INDEX(UnitFactors,MATCH(F731,UnitNames,0)),""))</f>
        <v>0</v>
      </c>
      <c r="K731" s="17">
        <f>IF(F731="","",IFERROR(INDEX(UnitBases,MATCH(F731,UnitNames,0)),"?"))</f>
        <v>0</v>
      </c>
      <c r="L731" s="17">
        <f>IF(D731="","",IFERROR(INDEX(Ingredients!$G$5:$G$304,MATCH(D731,Ingredients!$B$5:$B$304,0)),"Add to Ingredients"))</f>
        <v>0</v>
      </c>
      <c r="M731" s="25">
        <f>IF(D731="","",IFERROR(INDEX(Ingredients!$J$5:$J$304,MATCH(D731,Ingredients!$B$5:$B$304,0)),"Add to Ingredients"))</f>
        <v>0</v>
      </c>
      <c r="N731" s="25">
        <f>IF(OR(J731="",M731="",NOT(ISNUMBER(M731))),"",IF(K731&lt;&gt;L731,"",J731*M731))</f>
        <v>0</v>
      </c>
      <c r="O731" s="25">
        <f>IF(N731="","",IFERROR(N731/INDEX(Recipes!$G$5:$G$204,MATCH(B731,Recipes!$A$5:$A$204,0)),""))</f>
        <v>0</v>
      </c>
      <c r="P731" s="30">
        <f>IF(J731="","",IF(K731="each",J731,J731/100))</f>
        <v>0</v>
      </c>
      <c r="Q731" s="30">
        <f>IFERROR(IF(P731="","",P731*INDEX(Ingredients!$P$5:$P$304,MATCH(D731,Ingredients!$B$5:$B$304,0))),"")</f>
        <v>0</v>
      </c>
      <c r="R731" s="45">
        <f>IFERROR(IF(P731="","",P731*INDEX(Ingredients!$Q$5:$Q$304,MATCH(D731,Ingredients!$B$5:$B$304,0))),"")</f>
        <v>0</v>
      </c>
      <c r="S731" s="45">
        <f>IFERROR(IF(P731="","",P731*INDEX(Ingredients!$R$5:$R$304,MATCH(D731,Ingredients!$B$5:$B$304,0))),"")</f>
        <v>0</v>
      </c>
      <c r="T731" s="45">
        <f>IFERROR(IF(P731="","",P731*INDEX(Ingredients!$S$5:$S$304,MATCH(D731,Ingredients!$B$5:$B$304,0))),"")</f>
        <v>0</v>
      </c>
      <c r="U731" s="45">
        <f>IFERROR(IF(P731="","",P731*INDEX(Ingredients!$T$5:$T$304,MATCH(D731,Ingredients!$B$5:$B$304,0))),"")</f>
        <v>0</v>
      </c>
      <c r="V731" s="17">
        <f>IF(D731="","",IFERROR(INDEX(Ingredients!$W$5:$W$304,MATCH(D731,Ingredients!$B$5:$B$304,0)),"Add to Ingredients"))</f>
        <v>0</v>
      </c>
      <c r="W731" s="17">
        <f>IF(D731="","",IFERROR(INDEX(Ingredients!$C$5:$C$304,MATCH(D731,Ingredients!$B$5:$B$304,0)),"Add to Ingredients"))</f>
        <v>0</v>
      </c>
      <c r="X731" s="45">
        <f>IFERROR(INDEX(Recipes!$AT$5:$AT$204,MATCH(B731,Recipes!$A$5:$A$204,0)),0)</f>
        <v>0</v>
      </c>
      <c r="Y731" s="45">
        <f>IF(OR(J731="",X731=0),"",J731*X731)</f>
        <v>0</v>
      </c>
      <c r="Z731" s="17">
        <f>IF(D731="","",B731&amp;"#"&amp;COUNTIFS($B$5:B731,B731))</f>
        <v>0</v>
      </c>
      <c r="AA731" s="17">
        <f>IF(D731="","",B731&amp;"|"&amp;D731)</f>
        <v>0</v>
      </c>
      <c r="AB731" s="31">
        <f>IF(D731="","",IF(B731="","Add - which recipe?",IF(COUNTIFS(Ingredients!$B$5:$B$304,D731)=0,"Missing - not in the Ingredients tab",IF(E731="","Add - no quantity",IF(F731="","Add - no unit",IF(K731&lt;&gt;L731,"Check - recipe in "&amp;K731&amp;", priced in "&amp;L731,IF(COUNTIFS($AA$5:$AA$1204,AA731)&gt;1,"Duplicate - same ingredient twice","OK")))))))</f>
        <v>0</v>
      </c>
    </row>
    <row r="732" spans="1:28">
      <c r="A732" s="39">
        <f>IF(D732="","","RL-"&amp;TEXT(ROW()-4,"0000"))</f>
        <v>0</v>
      </c>
      <c r="C732" s="17">
        <f>IF(B732="","",IFERROR(INDEX(Recipes!$B$5:$B$204,MATCH(B732,Recipes!$A$5:$A$204,0)),"Not found"))</f>
        <v>0</v>
      </c>
      <c r="J732" s="45">
        <f>IF(E732="","",IFERROR(E732*INDEX(UnitFactors,MATCH(F732,UnitNames,0)),""))</f>
        <v>0</v>
      </c>
      <c r="K732" s="17">
        <f>IF(F732="","",IFERROR(INDEX(UnitBases,MATCH(F732,UnitNames,0)),"?"))</f>
        <v>0</v>
      </c>
      <c r="L732" s="17">
        <f>IF(D732="","",IFERROR(INDEX(Ingredients!$G$5:$G$304,MATCH(D732,Ingredients!$B$5:$B$304,0)),"Add to Ingredients"))</f>
        <v>0</v>
      </c>
      <c r="M732" s="25">
        <f>IF(D732="","",IFERROR(INDEX(Ingredients!$J$5:$J$304,MATCH(D732,Ingredients!$B$5:$B$304,0)),"Add to Ingredients"))</f>
        <v>0</v>
      </c>
      <c r="N732" s="25">
        <f>IF(OR(J732="",M732="",NOT(ISNUMBER(M732))),"",IF(K732&lt;&gt;L732,"",J732*M732))</f>
        <v>0</v>
      </c>
      <c r="O732" s="25">
        <f>IF(N732="","",IFERROR(N732/INDEX(Recipes!$G$5:$G$204,MATCH(B732,Recipes!$A$5:$A$204,0)),""))</f>
        <v>0</v>
      </c>
      <c r="P732" s="30">
        <f>IF(J732="","",IF(K732="each",J732,J732/100))</f>
        <v>0</v>
      </c>
      <c r="Q732" s="30">
        <f>IFERROR(IF(P732="","",P732*INDEX(Ingredients!$P$5:$P$304,MATCH(D732,Ingredients!$B$5:$B$304,0))),"")</f>
        <v>0</v>
      </c>
      <c r="R732" s="45">
        <f>IFERROR(IF(P732="","",P732*INDEX(Ingredients!$Q$5:$Q$304,MATCH(D732,Ingredients!$B$5:$B$304,0))),"")</f>
        <v>0</v>
      </c>
      <c r="S732" s="45">
        <f>IFERROR(IF(P732="","",P732*INDEX(Ingredients!$R$5:$R$304,MATCH(D732,Ingredients!$B$5:$B$304,0))),"")</f>
        <v>0</v>
      </c>
      <c r="T732" s="45">
        <f>IFERROR(IF(P732="","",P732*INDEX(Ingredients!$S$5:$S$304,MATCH(D732,Ingredients!$B$5:$B$304,0))),"")</f>
        <v>0</v>
      </c>
      <c r="U732" s="45">
        <f>IFERROR(IF(P732="","",P732*INDEX(Ingredients!$T$5:$T$304,MATCH(D732,Ingredients!$B$5:$B$304,0))),"")</f>
        <v>0</v>
      </c>
      <c r="V732" s="17">
        <f>IF(D732="","",IFERROR(INDEX(Ingredients!$W$5:$W$304,MATCH(D732,Ingredients!$B$5:$B$304,0)),"Add to Ingredients"))</f>
        <v>0</v>
      </c>
      <c r="W732" s="17">
        <f>IF(D732="","",IFERROR(INDEX(Ingredients!$C$5:$C$304,MATCH(D732,Ingredients!$B$5:$B$304,0)),"Add to Ingredients"))</f>
        <v>0</v>
      </c>
      <c r="X732" s="45">
        <f>IFERROR(INDEX(Recipes!$AT$5:$AT$204,MATCH(B732,Recipes!$A$5:$A$204,0)),0)</f>
        <v>0</v>
      </c>
      <c r="Y732" s="45">
        <f>IF(OR(J732="",X732=0),"",J732*X732)</f>
        <v>0</v>
      </c>
      <c r="Z732" s="17">
        <f>IF(D732="","",B732&amp;"#"&amp;COUNTIFS($B$5:B732,B732))</f>
        <v>0</v>
      </c>
      <c r="AA732" s="17">
        <f>IF(D732="","",B732&amp;"|"&amp;D732)</f>
        <v>0</v>
      </c>
      <c r="AB732" s="31">
        <f>IF(D732="","",IF(B732="","Add - which recipe?",IF(COUNTIFS(Ingredients!$B$5:$B$304,D732)=0,"Missing - not in the Ingredients tab",IF(E732="","Add - no quantity",IF(F732="","Add - no unit",IF(K732&lt;&gt;L732,"Check - recipe in "&amp;K732&amp;", priced in "&amp;L732,IF(COUNTIFS($AA$5:$AA$1204,AA732)&gt;1,"Duplicate - same ingredient twice","OK")))))))</f>
        <v>0</v>
      </c>
    </row>
    <row r="733" spans="1:28">
      <c r="A733" s="39">
        <f>IF(D733="","","RL-"&amp;TEXT(ROW()-4,"0000"))</f>
        <v>0</v>
      </c>
      <c r="C733" s="17">
        <f>IF(B733="","",IFERROR(INDEX(Recipes!$B$5:$B$204,MATCH(B733,Recipes!$A$5:$A$204,0)),"Not found"))</f>
        <v>0</v>
      </c>
      <c r="J733" s="45">
        <f>IF(E733="","",IFERROR(E733*INDEX(UnitFactors,MATCH(F733,UnitNames,0)),""))</f>
        <v>0</v>
      </c>
      <c r="K733" s="17">
        <f>IF(F733="","",IFERROR(INDEX(UnitBases,MATCH(F733,UnitNames,0)),"?"))</f>
        <v>0</v>
      </c>
      <c r="L733" s="17">
        <f>IF(D733="","",IFERROR(INDEX(Ingredients!$G$5:$G$304,MATCH(D733,Ingredients!$B$5:$B$304,0)),"Add to Ingredients"))</f>
        <v>0</v>
      </c>
      <c r="M733" s="25">
        <f>IF(D733="","",IFERROR(INDEX(Ingredients!$J$5:$J$304,MATCH(D733,Ingredients!$B$5:$B$304,0)),"Add to Ingredients"))</f>
        <v>0</v>
      </c>
      <c r="N733" s="25">
        <f>IF(OR(J733="",M733="",NOT(ISNUMBER(M733))),"",IF(K733&lt;&gt;L733,"",J733*M733))</f>
        <v>0</v>
      </c>
      <c r="O733" s="25">
        <f>IF(N733="","",IFERROR(N733/INDEX(Recipes!$G$5:$G$204,MATCH(B733,Recipes!$A$5:$A$204,0)),""))</f>
        <v>0</v>
      </c>
      <c r="P733" s="30">
        <f>IF(J733="","",IF(K733="each",J733,J733/100))</f>
        <v>0</v>
      </c>
      <c r="Q733" s="30">
        <f>IFERROR(IF(P733="","",P733*INDEX(Ingredients!$P$5:$P$304,MATCH(D733,Ingredients!$B$5:$B$304,0))),"")</f>
        <v>0</v>
      </c>
      <c r="R733" s="45">
        <f>IFERROR(IF(P733="","",P733*INDEX(Ingredients!$Q$5:$Q$304,MATCH(D733,Ingredients!$B$5:$B$304,0))),"")</f>
        <v>0</v>
      </c>
      <c r="S733" s="45">
        <f>IFERROR(IF(P733="","",P733*INDEX(Ingredients!$R$5:$R$304,MATCH(D733,Ingredients!$B$5:$B$304,0))),"")</f>
        <v>0</v>
      </c>
      <c r="T733" s="45">
        <f>IFERROR(IF(P733="","",P733*INDEX(Ingredients!$S$5:$S$304,MATCH(D733,Ingredients!$B$5:$B$304,0))),"")</f>
        <v>0</v>
      </c>
      <c r="U733" s="45">
        <f>IFERROR(IF(P733="","",P733*INDEX(Ingredients!$T$5:$T$304,MATCH(D733,Ingredients!$B$5:$B$304,0))),"")</f>
        <v>0</v>
      </c>
      <c r="V733" s="17">
        <f>IF(D733="","",IFERROR(INDEX(Ingredients!$W$5:$W$304,MATCH(D733,Ingredients!$B$5:$B$304,0)),"Add to Ingredients"))</f>
        <v>0</v>
      </c>
      <c r="W733" s="17">
        <f>IF(D733="","",IFERROR(INDEX(Ingredients!$C$5:$C$304,MATCH(D733,Ingredients!$B$5:$B$304,0)),"Add to Ingredients"))</f>
        <v>0</v>
      </c>
      <c r="X733" s="45">
        <f>IFERROR(INDEX(Recipes!$AT$5:$AT$204,MATCH(B733,Recipes!$A$5:$A$204,0)),0)</f>
        <v>0</v>
      </c>
      <c r="Y733" s="45">
        <f>IF(OR(J733="",X733=0),"",J733*X733)</f>
        <v>0</v>
      </c>
      <c r="Z733" s="17">
        <f>IF(D733="","",B733&amp;"#"&amp;COUNTIFS($B$5:B733,B733))</f>
        <v>0</v>
      </c>
      <c r="AA733" s="17">
        <f>IF(D733="","",B733&amp;"|"&amp;D733)</f>
        <v>0</v>
      </c>
      <c r="AB733" s="31">
        <f>IF(D733="","",IF(B733="","Add - which recipe?",IF(COUNTIFS(Ingredients!$B$5:$B$304,D733)=0,"Missing - not in the Ingredients tab",IF(E733="","Add - no quantity",IF(F733="","Add - no unit",IF(K733&lt;&gt;L733,"Check - recipe in "&amp;K733&amp;", priced in "&amp;L733,IF(COUNTIFS($AA$5:$AA$1204,AA733)&gt;1,"Duplicate - same ingredient twice","OK")))))))</f>
        <v>0</v>
      </c>
    </row>
    <row r="734" spans="1:28">
      <c r="A734" s="39">
        <f>IF(D734="","","RL-"&amp;TEXT(ROW()-4,"0000"))</f>
        <v>0</v>
      </c>
      <c r="C734" s="17">
        <f>IF(B734="","",IFERROR(INDEX(Recipes!$B$5:$B$204,MATCH(B734,Recipes!$A$5:$A$204,0)),"Not found"))</f>
        <v>0</v>
      </c>
      <c r="J734" s="45">
        <f>IF(E734="","",IFERROR(E734*INDEX(UnitFactors,MATCH(F734,UnitNames,0)),""))</f>
        <v>0</v>
      </c>
      <c r="K734" s="17">
        <f>IF(F734="","",IFERROR(INDEX(UnitBases,MATCH(F734,UnitNames,0)),"?"))</f>
        <v>0</v>
      </c>
      <c r="L734" s="17">
        <f>IF(D734="","",IFERROR(INDEX(Ingredients!$G$5:$G$304,MATCH(D734,Ingredients!$B$5:$B$304,0)),"Add to Ingredients"))</f>
        <v>0</v>
      </c>
      <c r="M734" s="25">
        <f>IF(D734="","",IFERROR(INDEX(Ingredients!$J$5:$J$304,MATCH(D734,Ingredients!$B$5:$B$304,0)),"Add to Ingredients"))</f>
        <v>0</v>
      </c>
      <c r="N734" s="25">
        <f>IF(OR(J734="",M734="",NOT(ISNUMBER(M734))),"",IF(K734&lt;&gt;L734,"",J734*M734))</f>
        <v>0</v>
      </c>
      <c r="O734" s="25">
        <f>IF(N734="","",IFERROR(N734/INDEX(Recipes!$G$5:$G$204,MATCH(B734,Recipes!$A$5:$A$204,0)),""))</f>
        <v>0</v>
      </c>
      <c r="P734" s="30">
        <f>IF(J734="","",IF(K734="each",J734,J734/100))</f>
        <v>0</v>
      </c>
      <c r="Q734" s="30">
        <f>IFERROR(IF(P734="","",P734*INDEX(Ingredients!$P$5:$P$304,MATCH(D734,Ingredients!$B$5:$B$304,0))),"")</f>
        <v>0</v>
      </c>
      <c r="R734" s="45">
        <f>IFERROR(IF(P734="","",P734*INDEX(Ingredients!$Q$5:$Q$304,MATCH(D734,Ingredients!$B$5:$B$304,0))),"")</f>
        <v>0</v>
      </c>
      <c r="S734" s="45">
        <f>IFERROR(IF(P734="","",P734*INDEX(Ingredients!$R$5:$R$304,MATCH(D734,Ingredients!$B$5:$B$304,0))),"")</f>
        <v>0</v>
      </c>
      <c r="T734" s="45">
        <f>IFERROR(IF(P734="","",P734*INDEX(Ingredients!$S$5:$S$304,MATCH(D734,Ingredients!$B$5:$B$304,0))),"")</f>
        <v>0</v>
      </c>
      <c r="U734" s="45">
        <f>IFERROR(IF(P734="","",P734*INDEX(Ingredients!$T$5:$T$304,MATCH(D734,Ingredients!$B$5:$B$304,0))),"")</f>
        <v>0</v>
      </c>
      <c r="V734" s="17">
        <f>IF(D734="","",IFERROR(INDEX(Ingredients!$W$5:$W$304,MATCH(D734,Ingredients!$B$5:$B$304,0)),"Add to Ingredients"))</f>
        <v>0</v>
      </c>
      <c r="W734" s="17">
        <f>IF(D734="","",IFERROR(INDEX(Ingredients!$C$5:$C$304,MATCH(D734,Ingredients!$B$5:$B$304,0)),"Add to Ingredients"))</f>
        <v>0</v>
      </c>
      <c r="X734" s="45">
        <f>IFERROR(INDEX(Recipes!$AT$5:$AT$204,MATCH(B734,Recipes!$A$5:$A$204,0)),0)</f>
        <v>0</v>
      </c>
      <c r="Y734" s="45">
        <f>IF(OR(J734="",X734=0),"",J734*X734)</f>
        <v>0</v>
      </c>
      <c r="Z734" s="17">
        <f>IF(D734="","",B734&amp;"#"&amp;COUNTIFS($B$5:B734,B734))</f>
        <v>0</v>
      </c>
      <c r="AA734" s="17">
        <f>IF(D734="","",B734&amp;"|"&amp;D734)</f>
        <v>0</v>
      </c>
      <c r="AB734" s="31">
        <f>IF(D734="","",IF(B734="","Add - which recipe?",IF(COUNTIFS(Ingredients!$B$5:$B$304,D734)=0,"Missing - not in the Ingredients tab",IF(E734="","Add - no quantity",IF(F734="","Add - no unit",IF(K734&lt;&gt;L734,"Check - recipe in "&amp;K734&amp;", priced in "&amp;L734,IF(COUNTIFS($AA$5:$AA$1204,AA734)&gt;1,"Duplicate - same ingredient twice","OK")))))))</f>
        <v>0</v>
      </c>
    </row>
    <row r="735" spans="1:28">
      <c r="A735" s="39">
        <f>IF(D735="","","RL-"&amp;TEXT(ROW()-4,"0000"))</f>
        <v>0</v>
      </c>
      <c r="C735" s="17">
        <f>IF(B735="","",IFERROR(INDEX(Recipes!$B$5:$B$204,MATCH(B735,Recipes!$A$5:$A$204,0)),"Not found"))</f>
        <v>0</v>
      </c>
      <c r="J735" s="45">
        <f>IF(E735="","",IFERROR(E735*INDEX(UnitFactors,MATCH(F735,UnitNames,0)),""))</f>
        <v>0</v>
      </c>
      <c r="K735" s="17">
        <f>IF(F735="","",IFERROR(INDEX(UnitBases,MATCH(F735,UnitNames,0)),"?"))</f>
        <v>0</v>
      </c>
      <c r="L735" s="17">
        <f>IF(D735="","",IFERROR(INDEX(Ingredients!$G$5:$G$304,MATCH(D735,Ingredients!$B$5:$B$304,0)),"Add to Ingredients"))</f>
        <v>0</v>
      </c>
      <c r="M735" s="25">
        <f>IF(D735="","",IFERROR(INDEX(Ingredients!$J$5:$J$304,MATCH(D735,Ingredients!$B$5:$B$304,0)),"Add to Ingredients"))</f>
        <v>0</v>
      </c>
      <c r="N735" s="25">
        <f>IF(OR(J735="",M735="",NOT(ISNUMBER(M735))),"",IF(K735&lt;&gt;L735,"",J735*M735))</f>
        <v>0</v>
      </c>
      <c r="O735" s="25">
        <f>IF(N735="","",IFERROR(N735/INDEX(Recipes!$G$5:$G$204,MATCH(B735,Recipes!$A$5:$A$204,0)),""))</f>
        <v>0</v>
      </c>
      <c r="P735" s="30">
        <f>IF(J735="","",IF(K735="each",J735,J735/100))</f>
        <v>0</v>
      </c>
      <c r="Q735" s="30">
        <f>IFERROR(IF(P735="","",P735*INDEX(Ingredients!$P$5:$P$304,MATCH(D735,Ingredients!$B$5:$B$304,0))),"")</f>
        <v>0</v>
      </c>
      <c r="R735" s="45">
        <f>IFERROR(IF(P735="","",P735*INDEX(Ingredients!$Q$5:$Q$304,MATCH(D735,Ingredients!$B$5:$B$304,0))),"")</f>
        <v>0</v>
      </c>
      <c r="S735" s="45">
        <f>IFERROR(IF(P735="","",P735*INDEX(Ingredients!$R$5:$R$304,MATCH(D735,Ingredients!$B$5:$B$304,0))),"")</f>
        <v>0</v>
      </c>
      <c r="T735" s="45">
        <f>IFERROR(IF(P735="","",P735*INDEX(Ingredients!$S$5:$S$304,MATCH(D735,Ingredients!$B$5:$B$304,0))),"")</f>
        <v>0</v>
      </c>
      <c r="U735" s="45">
        <f>IFERROR(IF(P735="","",P735*INDEX(Ingredients!$T$5:$T$304,MATCH(D735,Ingredients!$B$5:$B$304,0))),"")</f>
        <v>0</v>
      </c>
      <c r="V735" s="17">
        <f>IF(D735="","",IFERROR(INDEX(Ingredients!$W$5:$W$304,MATCH(D735,Ingredients!$B$5:$B$304,0)),"Add to Ingredients"))</f>
        <v>0</v>
      </c>
      <c r="W735" s="17">
        <f>IF(D735="","",IFERROR(INDEX(Ingredients!$C$5:$C$304,MATCH(D735,Ingredients!$B$5:$B$304,0)),"Add to Ingredients"))</f>
        <v>0</v>
      </c>
      <c r="X735" s="45">
        <f>IFERROR(INDEX(Recipes!$AT$5:$AT$204,MATCH(B735,Recipes!$A$5:$A$204,0)),0)</f>
        <v>0</v>
      </c>
      <c r="Y735" s="45">
        <f>IF(OR(J735="",X735=0),"",J735*X735)</f>
        <v>0</v>
      </c>
      <c r="Z735" s="17">
        <f>IF(D735="","",B735&amp;"#"&amp;COUNTIFS($B$5:B735,B735))</f>
        <v>0</v>
      </c>
      <c r="AA735" s="17">
        <f>IF(D735="","",B735&amp;"|"&amp;D735)</f>
        <v>0</v>
      </c>
      <c r="AB735" s="31">
        <f>IF(D735="","",IF(B735="","Add - which recipe?",IF(COUNTIFS(Ingredients!$B$5:$B$304,D735)=0,"Missing - not in the Ingredients tab",IF(E735="","Add - no quantity",IF(F735="","Add - no unit",IF(K735&lt;&gt;L735,"Check - recipe in "&amp;K735&amp;", priced in "&amp;L735,IF(COUNTIFS($AA$5:$AA$1204,AA735)&gt;1,"Duplicate - same ingredient twice","OK")))))))</f>
        <v>0</v>
      </c>
    </row>
    <row r="736" spans="1:28">
      <c r="A736" s="39">
        <f>IF(D736="","","RL-"&amp;TEXT(ROW()-4,"0000"))</f>
        <v>0</v>
      </c>
      <c r="C736" s="17">
        <f>IF(B736="","",IFERROR(INDEX(Recipes!$B$5:$B$204,MATCH(B736,Recipes!$A$5:$A$204,0)),"Not found"))</f>
        <v>0</v>
      </c>
      <c r="J736" s="45">
        <f>IF(E736="","",IFERROR(E736*INDEX(UnitFactors,MATCH(F736,UnitNames,0)),""))</f>
        <v>0</v>
      </c>
      <c r="K736" s="17">
        <f>IF(F736="","",IFERROR(INDEX(UnitBases,MATCH(F736,UnitNames,0)),"?"))</f>
        <v>0</v>
      </c>
      <c r="L736" s="17">
        <f>IF(D736="","",IFERROR(INDEX(Ingredients!$G$5:$G$304,MATCH(D736,Ingredients!$B$5:$B$304,0)),"Add to Ingredients"))</f>
        <v>0</v>
      </c>
      <c r="M736" s="25">
        <f>IF(D736="","",IFERROR(INDEX(Ingredients!$J$5:$J$304,MATCH(D736,Ingredients!$B$5:$B$304,0)),"Add to Ingredients"))</f>
        <v>0</v>
      </c>
      <c r="N736" s="25">
        <f>IF(OR(J736="",M736="",NOT(ISNUMBER(M736))),"",IF(K736&lt;&gt;L736,"",J736*M736))</f>
        <v>0</v>
      </c>
      <c r="O736" s="25">
        <f>IF(N736="","",IFERROR(N736/INDEX(Recipes!$G$5:$G$204,MATCH(B736,Recipes!$A$5:$A$204,0)),""))</f>
        <v>0</v>
      </c>
      <c r="P736" s="30">
        <f>IF(J736="","",IF(K736="each",J736,J736/100))</f>
        <v>0</v>
      </c>
      <c r="Q736" s="30">
        <f>IFERROR(IF(P736="","",P736*INDEX(Ingredients!$P$5:$P$304,MATCH(D736,Ingredients!$B$5:$B$304,0))),"")</f>
        <v>0</v>
      </c>
      <c r="R736" s="45">
        <f>IFERROR(IF(P736="","",P736*INDEX(Ingredients!$Q$5:$Q$304,MATCH(D736,Ingredients!$B$5:$B$304,0))),"")</f>
        <v>0</v>
      </c>
      <c r="S736" s="45">
        <f>IFERROR(IF(P736="","",P736*INDEX(Ingredients!$R$5:$R$304,MATCH(D736,Ingredients!$B$5:$B$304,0))),"")</f>
        <v>0</v>
      </c>
      <c r="T736" s="45">
        <f>IFERROR(IF(P736="","",P736*INDEX(Ingredients!$S$5:$S$304,MATCH(D736,Ingredients!$B$5:$B$304,0))),"")</f>
        <v>0</v>
      </c>
      <c r="U736" s="45">
        <f>IFERROR(IF(P736="","",P736*INDEX(Ingredients!$T$5:$T$304,MATCH(D736,Ingredients!$B$5:$B$304,0))),"")</f>
        <v>0</v>
      </c>
      <c r="V736" s="17">
        <f>IF(D736="","",IFERROR(INDEX(Ingredients!$W$5:$W$304,MATCH(D736,Ingredients!$B$5:$B$304,0)),"Add to Ingredients"))</f>
        <v>0</v>
      </c>
      <c r="W736" s="17">
        <f>IF(D736="","",IFERROR(INDEX(Ingredients!$C$5:$C$304,MATCH(D736,Ingredients!$B$5:$B$304,0)),"Add to Ingredients"))</f>
        <v>0</v>
      </c>
      <c r="X736" s="45">
        <f>IFERROR(INDEX(Recipes!$AT$5:$AT$204,MATCH(B736,Recipes!$A$5:$A$204,0)),0)</f>
        <v>0</v>
      </c>
      <c r="Y736" s="45">
        <f>IF(OR(J736="",X736=0),"",J736*X736)</f>
        <v>0</v>
      </c>
      <c r="Z736" s="17">
        <f>IF(D736="","",B736&amp;"#"&amp;COUNTIFS($B$5:B736,B736))</f>
        <v>0</v>
      </c>
      <c r="AA736" s="17">
        <f>IF(D736="","",B736&amp;"|"&amp;D736)</f>
        <v>0</v>
      </c>
      <c r="AB736" s="31">
        <f>IF(D736="","",IF(B736="","Add - which recipe?",IF(COUNTIFS(Ingredients!$B$5:$B$304,D736)=0,"Missing - not in the Ingredients tab",IF(E736="","Add - no quantity",IF(F736="","Add - no unit",IF(K736&lt;&gt;L736,"Check - recipe in "&amp;K736&amp;", priced in "&amp;L736,IF(COUNTIFS($AA$5:$AA$1204,AA736)&gt;1,"Duplicate - same ingredient twice","OK")))))))</f>
        <v>0</v>
      </c>
    </row>
    <row r="737" spans="1:28">
      <c r="A737" s="39">
        <f>IF(D737="","","RL-"&amp;TEXT(ROW()-4,"0000"))</f>
        <v>0</v>
      </c>
      <c r="C737" s="17">
        <f>IF(B737="","",IFERROR(INDEX(Recipes!$B$5:$B$204,MATCH(B737,Recipes!$A$5:$A$204,0)),"Not found"))</f>
        <v>0</v>
      </c>
      <c r="J737" s="45">
        <f>IF(E737="","",IFERROR(E737*INDEX(UnitFactors,MATCH(F737,UnitNames,0)),""))</f>
        <v>0</v>
      </c>
      <c r="K737" s="17">
        <f>IF(F737="","",IFERROR(INDEX(UnitBases,MATCH(F737,UnitNames,0)),"?"))</f>
        <v>0</v>
      </c>
      <c r="L737" s="17">
        <f>IF(D737="","",IFERROR(INDEX(Ingredients!$G$5:$G$304,MATCH(D737,Ingredients!$B$5:$B$304,0)),"Add to Ingredients"))</f>
        <v>0</v>
      </c>
      <c r="M737" s="25">
        <f>IF(D737="","",IFERROR(INDEX(Ingredients!$J$5:$J$304,MATCH(D737,Ingredients!$B$5:$B$304,0)),"Add to Ingredients"))</f>
        <v>0</v>
      </c>
      <c r="N737" s="25">
        <f>IF(OR(J737="",M737="",NOT(ISNUMBER(M737))),"",IF(K737&lt;&gt;L737,"",J737*M737))</f>
        <v>0</v>
      </c>
      <c r="O737" s="25">
        <f>IF(N737="","",IFERROR(N737/INDEX(Recipes!$G$5:$G$204,MATCH(B737,Recipes!$A$5:$A$204,0)),""))</f>
        <v>0</v>
      </c>
      <c r="P737" s="30">
        <f>IF(J737="","",IF(K737="each",J737,J737/100))</f>
        <v>0</v>
      </c>
      <c r="Q737" s="30">
        <f>IFERROR(IF(P737="","",P737*INDEX(Ingredients!$P$5:$P$304,MATCH(D737,Ingredients!$B$5:$B$304,0))),"")</f>
        <v>0</v>
      </c>
      <c r="R737" s="45">
        <f>IFERROR(IF(P737="","",P737*INDEX(Ingredients!$Q$5:$Q$304,MATCH(D737,Ingredients!$B$5:$B$304,0))),"")</f>
        <v>0</v>
      </c>
      <c r="S737" s="45">
        <f>IFERROR(IF(P737="","",P737*INDEX(Ingredients!$R$5:$R$304,MATCH(D737,Ingredients!$B$5:$B$304,0))),"")</f>
        <v>0</v>
      </c>
      <c r="T737" s="45">
        <f>IFERROR(IF(P737="","",P737*INDEX(Ingredients!$S$5:$S$304,MATCH(D737,Ingredients!$B$5:$B$304,0))),"")</f>
        <v>0</v>
      </c>
      <c r="U737" s="45">
        <f>IFERROR(IF(P737="","",P737*INDEX(Ingredients!$T$5:$T$304,MATCH(D737,Ingredients!$B$5:$B$304,0))),"")</f>
        <v>0</v>
      </c>
      <c r="V737" s="17">
        <f>IF(D737="","",IFERROR(INDEX(Ingredients!$W$5:$W$304,MATCH(D737,Ingredients!$B$5:$B$304,0)),"Add to Ingredients"))</f>
        <v>0</v>
      </c>
      <c r="W737" s="17">
        <f>IF(D737="","",IFERROR(INDEX(Ingredients!$C$5:$C$304,MATCH(D737,Ingredients!$B$5:$B$304,0)),"Add to Ingredients"))</f>
        <v>0</v>
      </c>
      <c r="X737" s="45">
        <f>IFERROR(INDEX(Recipes!$AT$5:$AT$204,MATCH(B737,Recipes!$A$5:$A$204,0)),0)</f>
        <v>0</v>
      </c>
      <c r="Y737" s="45">
        <f>IF(OR(J737="",X737=0),"",J737*X737)</f>
        <v>0</v>
      </c>
      <c r="Z737" s="17">
        <f>IF(D737="","",B737&amp;"#"&amp;COUNTIFS($B$5:B737,B737))</f>
        <v>0</v>
      </c>
      <c r="AA737" s="17">
        <f>IF(D737="","",B737&amp;"|"&amp;D737)</f>
        <v>0</v>
      </c>
      <c r="AB737" s="31">
        <f>IF(D737="","",IF(B737="","Add - which recipe?",IF(COUNTIFS(Ingredients!$B$5:$B$304,D737)=0,"Missing - not in the Ingredients tab",IF(E737="","Add - no quantity",IF(F737="","Add - no unit",IF(K737&lt;&gt;L737,"Check - recipe in "&amp;K737&amp;", priced in "&amp;L737,IF(COUNTIFS($AA$5:$AA$1204,AA737)&gt;1,"Duplicate - same ingredient twice","OK")))))))</f>
        <v>0</v>
      </c>
    </row>
    <row r="738" spans="1:28">
      <c r="A738" s="39">
        <f>IF(D738="","","RL-"&amp;TEXT(ROW()-4,"0000"))</f>
        <v>0</v>
      </c>
      <c r="C738" s="17">
        <f>IF(B738="","",IFERROR(INDEX(Recipes!$B$5:$B$204,MATCH(B738,Recipes!$A$5:$A$204,0)),"Not found"))</f>
        <v>0</v>
      </c>
      <c r="J738" s="45">
        <f>IF(E738="","",IFERROR(E738*INDEX(UnitFactors,MATCH(F738,UnitNames,0)),""))</f>
        <v>0</v>
      </c>
      <c r="K738" s="17">
        <f>IF(F738="","",IFERROR(INDEX(UnitBases,MATCH(F738,UnitNames,0)),"?"))</f>
        <v>0</v>
      </c>
      <c r="L738" s="17">
        <f>IF(D738="","",IFERROR(INDEX(Ingredients!$G$5:$G$304,MATCH(D738,Ingredients!$B$5:$B$304,0)),"Add to Ingredients"))</f>
        <v>0</v>
      </c>
      <c r="M738" s="25">
        <f>IF(D738="","",IFERROR(INDEX(Ingredients!$J$5:$J$304,MATCH(D738,Ingredients!$B$5:$B$304,0)),"Add to Ingredients"))</f>
        <v>0</v>
      </c>
      <c r="N738" s="25">
        <f>IF(OR(J738="",M738="",NOT(ISNUMBER(M738))),"",IF(K738&lt;&gt;L738,"",J738*M738))</f>
        <v>0</v>
      </c>
      <c r="O738" s="25">
        <f>IF(N738="","",IFERROR(N738/INDEX(Recipes!$G$5:$G$204,MATCH(B738,Recipes!$A$5:$A$204,0)),""))</f>
        <v>0</v>
      </c>
      <c r="P738" s="30">
        <f>IF(J738="","",IF(K738="each",J738,J738/100))</f>
        <v>0</v>
      </c>
      <c r="Q738" s="30">
        <f>IFERROR(IF(P738="","",P738*INDEX(Ingredients!$P$5:$P$304,MATCH(D738,Ingredients!$B$5:$B$304,0))),"")</f>
        <v>0</v>
      </c>
      <c r="R738" s="45">
        <f>IFERROR(IF(P738="","",P738*INDEX(Ingredients!$Q$5:$Q$304,MATCH(D738,Ingredients!$B$5:$B$304,0))),"")</f>
        <v>0</v>
      </c>
      <c r="S738" s="45">
        <f>IFERROR(IF(P738="","",P738*INDEX(Ingredients!$R$5:$R$304,MATCH(D738,Ingredients!$B$5:$B$304,0))),"")</f>
        <v>0</v>
      </c>
      <c r="T738" s="45">
        <f>IFERROR(IF(P738="","",P738*INDEX(Ingredients!$S$5:$S$304,MATCH(D738,Ingredients!$B$5:$B$304,0))),"")</f>
        <v>0</v>
      </c>
      <c r="U738" s="45">
        <f>IFERROR(IF(P738="","",P738*INDEX(Ingredients!$T$5:$T$304,MATCH(D738,Ingredients!$B$5:$B$304,0))),"")</f>
        <v>0</v>
      </c>
      <c r="V738" s="17">
        <f>IF(D738="","",IFERROR(INDEX(Ingredients!$W$5:$W$304,MATCH(D738,Ingredients!$B$5:$B$304,0)),"Add to Ingredients"))</f>
        <v>0</v>
      </c>
      <c r="W738" s="17">
        <f>IF(D738="","",IFERROR(INDEX(Ingredients!$C$5:$C$304,MATCH(D738,Ingredients!$B$5:$B$304,0)),"Add to Ingredients"))</f>
        <v>0</v>
      </c>
      <c r="X738" s="45">
        <f>IFERROR(INDEX(Recipes!$AT$5:$AT$204,MATCH(B738,Recipes!$A$5:$A$204,0)),0)</f>
        <v>0</v>
      </c>
      <c r="Y738" s="45">
        <f>IF(OR(J738="",X738=0),"",J738*X738)</f>
        <v>0</v>
      </c>
      <c r="Z738" s="17">
        <f>IF(D738="","",B738&amp;"#"&amp;COUNTIFS($B$5:B738,B738))</f>
        <v>0</v>
      </c>
      <c r="AA738" s="17">
        <f>IF(D738="","",B738&amp;"|"&amp;D738)</f>
        <v>0</v>
      </c>
      <c r="AB738" s="31">
        <f>IF(D738="","",IF(B738="","Add - which recipe?",IF(COUNTIFS(Ingredients!$B$5:$B$304,D738)=0,"Missing - not in the Ingredients tab",IF(E738="","Add - no quantity",IF(F738="","Add - no unit",IF(K738&lt;&gt;L738,"Check - recipe in "&amp;K738&amp;", priced in "&amp;L738,IF(COUNTIFS($AA$5:$AA$1204,AA738)&gt;1,"Duplicate - same ingredient twice","OK")))))))</f>
        <v>0</v>
      </c>
    </row>
    <row r="739" spans="1:28">
      <c r="A739" s="39">
        <f>IF(D739="","","RL-"&amp;TEXT(ROW()-4,"0000"))</f>
        <v>0</v>
      </c>
      <c r="C739" s="17">
        <f>IF(B739="","",IFERROR(INDEX(Recipes!$B$5:$B$204,MATCH(B739,Recipes!$A$5:$A$204,0)),"Not found"))</f>
        <v>0</v>
      </c>
      <c r="J739" s="45">
        <f>IF(E739="","",IFERROR(E739*INDEX(UnitFactors,MATCH(F739,UnitNames,0)),""))</f>
        <v>0</v>
      </c>
      <c r="K739" s="17">
        <f>IF(F739="","",IFERROR(INDEX(UnitBases,MATCH(F739,UnitNames,0)),"?"))</f>
        <v>0</v>
      </c>
      <c r="L739" s="17">
        <f>IF(D739="","",IFERROR(INDEX(Ingredients!$G$5:$G$304,MATCH(D739,Ingredients!$B$5:$B$304,0)),"Add to Ingredients"))</f>
        <v>0</v>
      </c>
      <c r="M739" s="25">
        <f>IF(D739="","",IFERROR(INDEX(Ingredients!$J$5:$J$304,MATCH(D739,Ingredients!$B$5:$B$304,0)),"Add to Ingredients"))</f>
        <v>0</v>
      </c>
      <c r="N739" s="25">
        <f>IF(OR(J739="",M739="",NOT(ISNUMBER(M739))),"",IF(K739&lt;&gt;L739,"",J739*M739))</f>
        <v>0</v>
      </c>
      <c r="O739" s="25">
        <f>IF(N739="","",IFERROR(N739/INDEX(Recipes!$G$5:$G$204,MATCH(B739,Recipes!$A$5:$A$204,0)),""))</f>
        <v>0</v>
      </c>
      <c r="P739" s="30">
        <f>IF(J739="","",IF(K739="each",J739,J739/100))</f>
        <v>0</v>
      </c>
      <c r="Q739" s="30">
        <f>IFERROR(IF(P739="","",P739*INDEX(Ingredients!$P$5:$P$304,MATCH(D739,Ingredients!$B$5:$B$304,0))),"")</f>
        <v>0</v>
      </c>
      <c r="R739" s="45">
        <f>IFERROR(IF(P739="","",P739*INDEX(Ingredients!$Q$5:$Q$304,MATCH(D739,Ingredients!$B$5:$B$304,0))),"")</f>
        <v>0</v>
      </c>
      <c r="S739" s="45">
        <f>IFERROR(IF(P739="","",P739*INDEX(Ingredients!$R$5:$R$304,MATCH(D739,Ingredients!$B$5:$B$304,0))),"")</f>
        <v>0</v>
      </c>
      <c r="T739" s="45">
        <f>IFERROR(IF(P739="","",P739*INDEX(Ingredients!$S$5:$S$304,MATCH(D739,Ingredients!$B$5:$B$304,0))),"")</f>
        <v>0</v>
      </c>
      <c r="U739" s="45">
        <f>IFERROR(IF(P739="","",P739*INDEX(Ingredients!$T$5:$T$304,MATCH(D739,Ingredients!$B$5:$B$304,0))),"")</f>
        <v>0</v>
      </c>
      <c r="V739" s="17">
        <f>IF(D739="","",IFERROR(INDEX(Ingredients!$W$5:$W$304,MATCH(D739,Ingredients!$B$5:$B$304,0)),"Add to Ingredients"))</f>
        <v>0</v>
      </c>
      <c r="W739" s="17">
        <f>IF(D739="","",IFERROR(INDEX(Ingredients!$C$5:$C$304,MATCH(D739,Ingredients!$B$5:$B$304,0)),"Add to Ingredients"))</f>
        <v>0</v>
      </c>
      <c r="X739" s="45">
        <f>IFERROR(INDEX(Recipes!$AT$5:$AT$204,MATCH(B739,Recipes!$A$5:$A$204,0)),0)</f>
        <v>0</v>
      </c>
      <c r="Y739" s="45">
        <f>IF(OR(J739="",X739=0),"",J739*X739)</f>
        <v>0</v>
      </c>
      <c r="Z739" s="17">
        <f>IF(D739="","",B739&amp;"#"&amp;COUNTIFS($B$5:B739,B739))</f>
        <v>0</v>
      </c>
      <c r="AA739" s="17">
        <f>IF(D739="","",B739&amp;"|"&amp;D739)</f>
        <v>0</v>
      </c>
      <c r="AB739" s="31">
        <f>IF(D739="","",IF(B739="","Add - which recipe?",IF(COUNTIFS(Ingredients!$B$5:$B$304,D739)=0,"Missing - not in the Ingredients tab",IF(E739="","Add - no quantity",IF(F739="","Add - no unit",IF(K739&lt;&gt;L739,"Check - recipe in "&amp;K739&amp;", priced in "&amp;L739,IF(COUNTIFS($AA$5:$AA$1204,AA739)&gt;1,"Duplicate - same ingredient twice","OK")))))))</f>
        <v>0</v>
      </c>
    </row>
    <row r="740" spans="1:28">
      <c r="A740" s="39">
        <f>IF(D740="","","RL-"&amp;TEXT(ROW()-4,"0000"))</f>
        <v>0</v>
      </c>
      <c r="C740" s="17">
        <f>IF(B740="","",IFERROR(INDEX(Recipes!$B$5:$B$204,MATCH(B740,Recipes!$A$5:$A$204,0)),"Not found"))</f>
        <v>0</v>
      </c>
      <c r="J740" s="45">
        <f>IF(E740="","",IFERROR(E740*INDEX(UnitFactors,MATCH(F740,UnitNames,0)),""))</f>
        <v>0</v>
      </c>
      <c r="K740" s="17">
        <f>IF(F740="","",IFERROR(INDEX(UnitBases,MATCH(F740,UnitNames,0)),"?"))</f>
        <v>0</v>
      </c>
      <c r="L740" s="17">
        <f>IF(D740="","",IFERROR(INDEX(Ingredients!$G$5:$G$304,MATCH(D740,Ingredients!$B$5:$B$304,0)),"Add to Ingredients"))</f>
        <v>0</v>
      </c>
      <c r="M740" s="25">
        <f>IF(D740="","",IFERROR(INDEX(Ingredients!$J$5:$J$304,MATCH(D740,Ingredients!$B$5:$B$304,0)),"Add to Ingredients"))</f>
        <v>0</v>
      </c>
      <c r="N740" s="25">
        <f>IF(OR(J740="",M740="",NOT(ISNUMBER(M740))),"",IF(K740&lt;&gt;L740,"",J740*M740))</f>
        <v>0</v>
      </c>
      <c r="O740" s="25">
        <f>IF(N740="","",IFERROR(N740/INDEX(Recipes!$G$5:$G$204,MATCH(B740,Recipes!$A$5:$A$204,0)),""))</f>
        <v>0</v>
      </c>
      <c r="P740" s="30">
        <f>IF(J740="","",IF(K740="each",J740,J740/100))</f>
        <v>0</v>
      </c>
      <c r="Q740" s="30">
        <f>IFERROR(IF(P740="","",P740*INDEX(Ingredients!$P$5:$P$304,MATCH(D740,Ingredients!$B$5:$B$304,0))),"")</f>
        <v>0</v>
      </c>
      <c r="R740" s="45">
        <f>IFERROR(IF(P740="","",P740*INDEX(Ingredients!$Q$5:$Q$304,MATCH(D740,Ingredients!$B$5:$B$304,0))),"")</f>
        <v>0</v>
      </c>
      <c r="S740" s="45">
        <f>IFERROR(IF(P740="","",P740*INDEX(Ingredients!$R$5:$R$304,MATCH(D740,Ingredients!$B$5:$B$304,0))),"")</f>
        <v>0</v>
      </c>
      <c r="T740" s="45">
        <f>IFERROR(IF(P740="","",P740*INDEX(Ingredients!$S$5:$S$304,MATCH(D740,Ingredients!$B$5:$B$304,0))),"")</f>
        <v>0</v>
      </c>
      <c r="U740" s="45">
        <f>IFERROR(IF(P740="","",P740*INDEX(Ingredients!$T$5:$T$304,MATCH(D740,Ingredients!$B$5:$B$304,0))),"")</f>
        <v>0</v>
      </c>
      <c r="V740" s="17">
        <f>IF(D740="","",IFERROR(INDEX(Ingredients!$W$5:$W$304,MATCH(D740,Ingredients!$B$5:$B$304,0)),"Add to Ingredients"))</f>
        <v>0</v>
      </c>
      <c r="W740" s="17">
        <f>IF(D740="","",IFERROR(INDEX(Ingredients!$C$5:$C$304,MATCH(D740,Ingredients!$B$5:$B$304,0)),"Add to Ingredients"))</f>
        <v>0</v>
      </c>
      <c r="X740" s="45">
        <f>IFERROR(INDEX(Recipes!$AT$5:$AT$204,MATCH(B740,Recipes!$A$5:$A$204,0)),0)</f>
        <v>0</v>
      </c>
      <c r="Y740" s="45">
        <f>IF(OR(J740="",X740=0),"",J740*X740)</f>
        <v>0</v>
      </c>
      <c r="Z740" s="17">
        <f>IF(D740="","",B740&amp;"#"&amp;COUNTIFS($B$5:B740,B740))</f>
        <v>0</v>
      </c>
      <c r="AA740" s="17">
        <f>IF(D740="","",B740&amp;"|"&amp;D740)</f>
        <v>0</v>
      </c>
      <c r="AB740" s="31">
        <f>IF(D740="","",IF(B740="","Add - which recipe?",IF(COUNTIFS(Ingredients!$B$5:$B$304,D740)=0,"Missing - not in the Ingredients tab",IF(E740="","Add - no quantity",IF(F740="","Add - no unit",IF(K740&lt;&gt;L740,"Check - recipe in "&amp;K740&amp;", priced in "&amp;L740,IF(COUNTIFS($AA$5:$AA$1204,AA740)&gt;1,"Duplicate - same ingredient twice","OK")))))))</f>
        <v>0</v>
      </c>
    </row>
    <row r="741" spans="1:28">
      <c r="A741" s="39">
        <f>IF(D741="","","RL-"&amp;TEXT(ROW()-4,"0000"))</f>
        <v>0</v>
      </c>
      <c r="C741" s="17">
        <f>IF(B741="","",IFERROR(INDEX(Recipes!$B$5:$B$204,MATCH(B741,Recipes!$A$5:$A$204,0)),"Not found"))</f>
        <v>0</v>
      </c>
      <c r="J741" s="45">
        <f>IF(E741="","",IFERROR(E741*INDEX(UnitFactors,MATCH(F741,UnitNames,0)),""))</f>
        <v>0</v>
      </c>
      <c r="K741" s="17">
        <f>IF(F741="","",IFERROR(INDEX(UnitBases,MATCH(F741,UnitNames,0)),"?"))</f>
        <v>0</v>
      </c>
      <c r="L741" s="17">
        <f>IF(D741="","",IFERROR(INDEX(Ingredients!$G$5:$G$304,MATCH(D741,Ingredients!$B$5:$B$304,0)),"Add to Ingredients"))</f>
        <v>0</v>
      </c>
      <c r="M741" s="25">
        <f>IF(D741="","",IFERROR(INDEX(Ingredients!$J$5:$J$304,MATCH(D741,Ingredients!$B$5:$B$304,0)),"Add to Ingredients"))</f>
        <v>0</v>
      </c>
      <c r="N741" s="25">
        <f>IF(OR(J741="",M741="",NOT(ISNUMBER(M741))),"",IF(K741&lt;&gt;L741,"",J741*M741))</f>
        <v>0</v>
      </c>
      <c r="O741" s="25">
        <f>IF(N741="","",IFERROR(N741/INDEX(Recipes!$G$5:$G$204,MATCH(B741,Recipes!$A$5:$A$204,0)),""))</f>
        <v>0</v>
      </c>
      <c r="P741" s="30">
        <f>IF(J741="","",IF(K741="each",J741,J741/100))</f>
        <v>0</v>
      </c>
      <c r="Q741" s="30">
        <f>IFERROR(IF(P741="","",P741*INDEX(Ingredients!$P$5:$P$304,MATCH(D741,Ingredients!$B$5:$B$304,0))),"")</f>
        <v>0</v>
      </c>
      <c r="R741" s="45">
        <f>IFERROR(IF(P741="","",P741*INDEX(Ingredients!$Q$5:$Q$304,MATCH(D741,Ingredients!$B$5:$B$304,0))),"")</f>
        <v>0</v>
      </c>
      <c r="S741" s="45">
        <f>IFERROR(IF(P741="","",P741*INDEX(Ingredients!$R$5:$R$304,MATCH(D741,Ingredients!$B$5:$B$304,0))),"")</f>
        <v>0</v>
      </c>
      <c r="T741" s="45">
        <f>IFERROR(IF(P741="","",P741*INDEX(Ingredients!$S$5:$S$304,MATCH(D741,Ingredients!$B$5:$B$304,0))),"")</f>
        <v>0</v>
      </c>
      <c r="U741" s="45">
        <f>IFERROR(IF(P741="","",P741*INDEX(Ingredients!$T$5:$T$304,MATCH(D741,Ingredients!$B$5:$B$304,0))),"")</f>
        <v>0</v>
      </c>
      <c r="V741" s="17">
        <f>IF(D741="","",IFERROR(INDEX(Ingredients!$W$5:$W$304,MATCH(D741,Ingredients!$B$5:$B$304,0)),"Add to Ingredients"))</f>
        <v>0</v>
      </c>
      <c r="W741" s="17">
        <f>IF(D741="","",IFERROR(INDEX(Ingredients!$C$5:$C$304,MATCH(D741,Ingredients!$B$5:$B$304,0)),"Add to Ingredients"))</f>
        <v>0</v>
      </c>
      <c r="X741" s="45">
        <f>IFERROR(INDEX(Recipes!$AT$5:$AT$204,MATCH(B741,Recipes!$A$5:$A$204,0)),0)</f>
        <v>0</v>
      </c>
      <c r="Y741" s="45">
        <f>IF(OR(J741="",X741=0),"",J741*X741)</f>
        <v>0</v>
      </c>
      <c r="Z741" s="17">
        <f>IF(D741="","",B741&amp;"#"&amp;COUNTIFS($B$5:B741,B741))</f>
        <v>0</v>
      </c>
      <c r="AA741" s="17">
        <f>IF(D741="","",B741&amp;"|"&amp;D741)</f>
        <v>0</v>
      </c>
      <c r="AB741" s="31">
        <f>IF(D741="","",IF(B741="","Add - which recipe?",IF(COUNTIFS(Ingredients!$B$5:$B$304,D741)=0,"Missing - not in the Ingredients tab",IF(E741="","Add - no quantity",IF(F741="","Add - no unit",IF(K741&lt;&gt;L741,"Check - recipe in "&amp;K741&amp;", priced in "&amp;L741,IF(COUNTIFS($AA$5:$AA$1204,AA741)&gt;1,"Duplicate - same ingredient twice","OK")))))))</f>
        <v>0</v>
      </c>
    </row>
    <row r="742" spans="1:28">
      <c r="A742" s="39">
        <f>IF(D742="","","RL-"&amp;TEXT(ROW()-4,"0000"))</f>
        <v>0</v>
      </c>
      <c r="C742" s="17">
        <f>IF(B742="","",IFERROR(INDEX(Recipes!$B$5:$B$204,MATCH(B742,Recipes!$A$5:$A$204,0)),"Not found"))</f>
        <v>0</v>
      </c>
      <c r="J742" s="45">
        <f>IF(E742="","",IFERROR(E742*INDEX(UnitFactors,MATCH(F742,UnitNames,0)),""))</f>
        <v>0</v>
      </c>
      <c r="K742" s="17">
        <f>IF(F742="","",IFERROR(INDEX(UnitBases,MATCH(F742,UnitNames,0)),"?"))</f>
        <v>0</v>
      </c>
      <c r="L742" s="17">
        <f>IF(D742="","",IFERROR(INDEX(Ingredients!$G$5:$G$304,MATCH(D742,Ingredients!$B$5:$B$304,0)),"Add to Ingredients"))</f>
        <v>0</v>
      </c>
      <c r="M742" s="25">
        <f>IF(D742="","",IFERROR(INDEX(Ingredients!$J$5:$J$304,MATCH(D742,Ingredients!$B$5:$B$304,0)),"Add to Ingredients"))</f>
        <v>0</v>
      </c>
      <c r="N742" s="25">
        <f>IF(OR(J742="",M742="",NOT(ISNUMBER(M742))),"",IF(K742&lt;&gt;L742,"",J742*M742))</f>
        <v>0</v>
      </c>
      <c r="O742" s="25">
        <f>IF(N742="","",IFERROR(N742/INDEX(Recipes!$G$5:$G$204,MATCH(B742,Recipes!$A$5:$A$204,0)),""))</f>
        <v>0</v>
      </c>
      <c r="P742" s="30">
        <f>IF(J742="","",IF(K742="each",J742,J742/100))</f>
        <v>0</v>
      </c>
      <c r="Q742" s="30">
        <f>IFERROR(IF(P742="","",P742*INDEX(Ingredients!$P$5:$P$304,MATCH(D742,Ingredients!$B$5:$B$304,0))),"")</f>
        <v>0</v>
      </c>
      <c r="R742" s="45">
        <f>IFERROR(IF(P742="","",P742*INDEX(Ingredients!$Q$5:$Q$304,MATCH(D742,Ingredients!$B$5:$B$304,0))),"")</f>
        <v>0</v>
      </c>
      <c r="S742" s="45">
        <f>IFERROR(IF(P742="","",P742*INDEX(Ingredients!$R$5:$R$304,MATCH(D742,Ingredients!$B$5:$B$304,0))),"")</f>
        <v>0</v>
      </c>
      <c r="T742" s="45">
        <f>IFERROR(IF(P742="","",P742*INDEX(Ingredients!$S$5:$S$304,MATCH(D742,Ingredients!$B$5:$B$304,0))),"")</f>
        <v>0</v>
      </c>
      <c r="U742" s="45">
        <f>IFERROR(IF(P742="","",P742*INDEX(Ingredients!$T$5:$T$304,MATCH(D742,Ingredients!$B$5:$B$304,0))),"")</f>
        <v>0</v>
      </c>
      <c r="V742" s="17">
        <f>IF(D742="","",IFERROR(INDEX(Ingredients!$W$5:$W$304,MATCH(D742,Ingredients!$B$5:$B$304,0)),"Add to Ingredients"))</f>
        <v>0</v>
      </c>
      <c r="W742" s="17">
        <f>IF(D742="","",IFERROR(INDEX(Ingredients!$C$5:$C$304,MATCH(D742,Ingredients!$B$5:$B$304,0)),"Add to Ingredients"))</f>
        <v>0</v>
      </c>
      <c r="X742" s="45">
        <f>IFERROR(INDEX(Recipes!$AT$5:$AT$204,MATCH(B742,Recipes!$A$5:$A$204,0)),0)</f>
        <v>0</v>
      </c>
      <c r="Y742" s="45">
        <f>IF(OR(J742="",X742=0),"",J742*X742)</f>
        <v>0</v>
      </c>
      <c r="Z742" s="17">
        <f>IF(D742="","",B742&amp;"#"&amp;COUNTIFS($B$5:B742,B742))</f>
        <v>0</v>
      </c>
      <c r="AA742" s="17">
        <f>IF(D742="","",B742&amp;"|"&amp;D742)</f>
        <v>0</v>
      </c>
      <c r="AB742" s="31">
        <f>IF(D742="","",IF(B742="","Add - which recipe?",IF(COUNTIFS(Ingredients!$B$5:$B$304,D742)=0,"Missing - not in the Ingredients tab",IF(E742="","Add - no quantity",IF(F742="","Add - no unit",IF(K742&lt;&gt;L742,"Check - recipe in "&amp;K742&amp;", priced in "&amp;L742,IF(COUNTIFS($AA$5:$AA$1204,AA742)&gt;1,"Duplicate - same ingredient twice","OK")))))))</f>
        <v>0</v>
      </c>
    </row>
    <row r="743" spans="1:28">
      <c r="A743" s="39">
        <f>IF(D743="","","RL-"&amp;TEXT(ROW()-4,"0000"))</f>
        <v>0</v>
      </c>
      <c r="C743" s="17">
        <f>IF(B743="","",IFERROR(INDEX(Recipes!$B$5:$B$204,MATCH(B743,Recipes!$A$5:$A$204,0)),"Not found"))</f>
        <v>0</v>
      </c>
      <c r="J743" s="45">
        <f>IF(E743="","",IFERROR(E743*INDEX(UnitFactors,MATCH(F743,UnitNames,0)),""))</f>
        <v>0</v>
      </c>
      <c r="K743" s="17">
        <f>IF(F743="","",IFERROR(INDEX(UnitBases,MATCH(F743,UnitNames,0)),"?"))</f>
        <v>0</v>
      </c>
      <c r="L743" s="17">
        <f>IF(D743="","",IFERROR(INDEX(Ingredients!$G$5:$G$304,MATCH(D743,Ingredients!$B$5:$B$304,0)),"Add to Ingredients"))</f>
        <v>0</v>
      </c>
      <c r="M743" s="25">
        <f>IF(D743="","",IFERROR(INDEX(Ingredients!$J$5:$J$304,MATCH(D743,Ingredients!$B$5:$B$304,0)),"Add to Ingredients"))</f>
        <v>0</v>
      </c>
      <c r="N743" s="25">
        <f>IF(OR(J743="",M743="",NOT(ISNUMBER(M743))),"",IF(K743&lt;&gt;L743,"",J743*M743))</f>
        <v>0</v>
      </c>
      <c r="O743" s="25">
        <f>IF(N743="","",IFERROR(N743/INDEX(Recipes!$G$5:$G$204,MATCH(B743,Recipes!$A$5:$A$204,0)),""))</f>
        <v>0</v>
      </c>
      <c r="P743" s="30">
        <f>IF(J743="","",IF(K743="each",J743,J743/100))</f>
        <v>0</v>
      </c>
      <c r="Q743" s="30">
        <f>IFERROR(IF(P743="","",P743*INDEX(Ingredients!$P$5:$P$304,MATCH(D743,Ingredients!$B$5:$B$304,0))),"")</f>
        <v>0</v>
      </c>
      <c r="R743" s="45">
        <f>IFERROR(IF(P743="","",P743*INDEX(Ingredients!$Q$5:$Q$304,MATCH(D743,Ingredients!$B$5:$B$304,0))),"")</f>
        <v>0</v>
      </c>
      <c r="S743" s="45">
        <f>IFERROR(IF(P743="","",P743*INDEX(Ingredients!$R$5:$R$304,MATCH(D743,Ingredients!$B$5:$B$304,0))),"")</f>
        <v>0</v>
      </c>
      <c r="T743" s="45">
        <f>IFERROR(IF(P743="","",P743*INDEX(Ingredients!$S$5:$S$304,MATCH(D743,Ingredients!$B$5:$B$304,0))),"")</f>
        <v>0</v>
      </c>
      <c r="U743" s="45">
        <f>IFERROR(IF(P743="","",P743*INDEX(Ingredients!$T$5:$T$304,MATCH(D743,Ingredients!$B$5:$B$304,0))),"")</f>
        <v>0</v>
      </c>
      <c r="V743" s="17">
        <f>IF(D743="","",IFERROR(INDEX(Ingredients!$W$5:$W$304,MATCH(D743,Ingredients!$B$5:$B$304,0)),"Add to Ingredients"))</f>
        <v>0</v>
      </c>
      <c r="W743" s="17">
        <f>IF(D743="","",IFERROR(INDEX(Ingredients!$C$5:$C$304,MATCH(D743,Ingredients!$B$5:$B$304,0)),"Add to Ingredients"))</f>
        <v>0</v>
      </c>
      <c r="X743" s="45">
        <f>IFERROR(INDEX(Recipes!$AT$5:$AT$204,MATCH(B743,Recipes!$A$5:$A$204,0)),0)</f>
        <v>0</v>
      </c>
      <c r="Y743" s="45">
        <f>IF(OR(J743="",X743=0),"",J743*X743)</f>
        <v>0</v>
      </c>
      <c r="Z743" s="17">
        <f>IF(D743="","",B743&amp;"#"&amp;COUNTIFS($B$5:B743,B743))</f>
        <v>0</v>
      </c>
      <c r="AA743" s="17">
        <f>IF(D743="","",B743&amp;"|"&amp;D743)</f>
        <v>0</v>
      </c>
      <c r="AB743" s="31">
        <f>IF(D743="","",IF(B743="","Add - which recipe?",IF(COUNTIFS(Ingredients!$B$5:$B$304,D743)=0,"Missing - not in the Ingredients tab",IF(E743="","Add - no quantity",IF(F743="","Add - no unit",IF(K743&lt;&gt;L743,"Check - recipe in "&amp;K743&amp;", priced in "&amp;L743,IF(COUNTIFS($AA$5:$AA$1204,AA743)&gt;1,"Duplicate - same ingredient twice","OK")))))))</f>
        <v>0</v>
      </c>
    </row>
    <row r="744" spans="1:28">
      <c r="A744" s="39">
        <f>IF(D744="","","RL-"&amp;TEXT(ROW()-4,"0000"))</f>
        <v>0</v>
      </c>
      <c r="C744" s="17">
        <f>IF(B744="","",IFERROR(INDEX(Recipes!$B$5:$B$204,MATCH(B744,Recipes!$A$5:$A$204,0)),"Not found"))</f>
        <v>0</v>
      </c>
      <c r="J744" s="45">
        <f>IF(E744="","",IFERROR(E744*INDEX(UnitFactors,MATCH(F744,UnitNames,0)),""))</f>
        <v>0</v>
      </c>
      <c r="K744" s="17">
        <f>IF(F744="","",IFERROR(INDEX(UnitBases,MATCH(F744,UnitNames,0)),"?"))</f>
        <v>0</v>
      </c>
      <c r="L744" s="17">
        <f>IF(D744="","",IFERROR(INDEX(Ingredients!$G$5:$G$304,MATCH(D744,Ingredients!$B$5:$B$304,0)),"Add to Ingredients"))</f>
        <v>0</v>
      </c>
      <c r="M744" s="25">
        <f>IF(D744="","",IFERROR(INDEX(Ingredients!$J$5:$J$304,MATCH(D744,Ingredients!$B$5:$B$304,0)),"Add to Ingredients"))</f>
        <v>0</v>
      </c>
      <c r="N744" s="25">
        <f>IF(OR(J744="",M744="",NOT(ISNUMBER(M744))),"",IF(K744&lt;&gt;L744,"",J744*M744))</f>
        <v>0</v>
      </c>
      <c r="O744" s="25">
        <f>IF(N744="","",IFERROR(N744/INDEX(Recipes!$G$5:$G$204,MATCH(B744,Recipes!$A$5:$A$204,0)),""))</f>
        <v>0</v>
      </c>
      <c r="P744" s="30">
        <f>IF(J744="","",IF(K744="each",J744,J744/100))</f>
        <v>0</v>
      </c>
      <c r="Q744" s="30">
        <f>IFERROR(IF(P744="","",P744*INDEX(Ingredients!$P$5:$P$304,MATCH(D744,Ingredients!$B$5:$B$304,0))),"")</f>
        <v>0</v>
      </c>
      <c r="R744" s="45">
        <f>IFERROR(IF(P744="","",P744*INDEX(Ingredients!$Q$5:$Q$304,MATCH(D744,Ingredients!$B$5:$B$304,0))),"")</f>
        <v>0</v>
      </c>
      <c r="S744" s="45">
        <f>IFERROR(IF(P744="","",P744*INDEX(Ingredients!$R$5:$R$304,MATCH(D744,Ingredients!$B$5:$B$304,0))),"")</f>
        <v>0</v>
      </c>
      <c r="T744" s="45">
        <f>IFERROR(IF(P744="","",P744*INDEX(Ingredients!$S$5:$S$304,MATCH(D744,Ingredients!$B$5:$B$304,0))),"")</f>
        <v>0</v>
      </c>
      <c r="U744" s="45">
        <f>IFERROR(IF(P744="","",P744*INDEX(Ingredients!$T$5:$T$304,MATCH(D744,Ingredients!$B$5:$B$304,0))),"")</f>
        <v>0</v>
      </c>
      <c r="V744" s="17">
        <f>IF(D744="","",IFERROR(INDEX(Ingredients!$W$5:$W$304,MATCH(D744,Ingredients!$B$5:$B$304,0)),"Add to Ingredients"))</f>
        <v>0</v>
      </c>
      <c r="W744" s="17">
        <f>IF(D744="","",IFERROR(INDEX(Ingredients!$C$5:$C$304,MATCH(D744,Ingredients!$B$5:$B$304,0)),"Add to Ingredients"))</f>
        <v>0</v>
      </c>
      <c r="X744" s="45">
        <f>IFERROR(INDEX(Recipes!$AT$5:$AT$204,MATCH(B744,Recipes!$A$5:$A$204,0)),0)</f>
        <v>0</v>
      </c>
      <c r="Y744" s="45">
        <f>IF(OR(J744="",X744=0),"",J744*X744)</f>
        <v>0</v>
      </c>
      <c r="Z744" s="17">
        <f>IF(D744="","",B744&amp;"#"&amp;COUNTIFS($B$5:B744,B744))</f>
        <v>0</v>
      </c>
      <c r="AA744" s="17">
        <f>IF(D744="","",B744&amp;"|"&amp;D744)</f>
        <v>0</v>
      </c>
      <c r="AB744" s="31">
        <f>IF(D744="","",IF(B744="","Add - which recipe?",IF(COUNTIFS(Ingredients!$B$5:$B$304,D744)=0,"Missing - not in the Ingredients tab",IF(E744="","Add - no quantity",IF(F744="","Add - no unit",IF(K744&lt;&gt;L744,"Check - recipe in "&amp;K744&amp;", priced in "&amp;L744,IF(COUNTIFS($AA$5:$AA$1204,AA744)&gt;1,"Duplicate - same ingredient twice","OK")))))))</f>
        <v>0</v>
      </c>
    </row>
    <row r="745" spans="1:28">
      <c r="A745" s="39">
        <f>IF(D745="","","RL-"&amp;TEXT(ROW()-4,"0000"))</f>
        <v>0</v>
      </c>
      <c r="C745" s="17">
        <f>IF(B745="","",IFERROR(INDEX(Recipes!$B$5:$B$204,MATCH(B745,Recipes!$A$5:$A$204,0)),"Not found"))</f>
        <v>0</v>
      </c>
      <c r="J745" s="45">
        <f>IF(E745="","",IFERROR(E745*INDEX(UnitFactors,MATCH(F745,UnitNames,0)),""))</f>
        <v>0</v>
      </c>
      <c r="K745" s="17">
        <f>IF(F745="","",IFERROR(INDEX(UnitBases,MATCH(F745,UnitNames,0)),"?"))</f>
        <v>0</v>
      </c>
      <c r="L745" s="17">
        <f>IF(D745="","",IFERROR(INDEX(Ingredients!$G$5:$G$304,MATCH(D745,Ingredients!$B$5:$B$304,0)),"Add to Ingredients"))</f>
        <v>0</v>
      </c>
      <c r="M745" s="25">
        <f>IF(D745="","",IFERROR(INDEX(Ingredients!$J$5:$J$304,MATCH(D745,Ingredients!$B$5:$B$304,0)),"Add to Ingredients"))</f>
        <v>0</v>
      </c>
      <c r="N745" s="25">
        <f>IF(OR(J745="",M745="",NOT(ISNUMBER(M745))),"",IF(K745&lt;&gt;L745,"",J745*M745))</f>
        <v>0</v>
      </c>
      <c r="O745" s="25">
        <f>IF(N745="","",IFERROR(N745/INDEX(Recipes!$G$5:$G$204,MATCH(B745,Recipes!$A$5:$A$204,0)),""))</f>
        <v>0</v>
      </c>
      <c r="P745" s="30">
        <f>IF(J745="","",IF(K745="each",J745,J745/100))</f>
        <v>0</v>
      </c>
      <c r="Q745" s="30">
        <f>IFERROR(IF(P745="","",P745*INDEX(Ingredients!$P$5:$P$304,MATCH(D745,Ingredients!$B$5:$B$304,0))),"")</f>
        <v>0</v>
      </c>
      <c r="R745" s="45">
        <f>IFERROR(IF(P745="","",P745*INDEX(Ingredients!$Q$5:$Q$304,MATCH(D745,Ingredients!$B$5:$B$304,0))),"")</f>
        <v>0</v>
      </c>
      <c r="S745" s="45">
        <f>IFERROR(IF(P745="","",P745*INDEX(Ingredients!$R$5:$R$304,MATCH(D745,Ingredients!$B$5:$B$304,0))),"")</f>
        <v>0</v>
      </c>
      <c r="T745" s="45">
        <f>IFERROR(IF(P745="","",P745*INDEX(Ingredients!$S$5:$S$304,MATCH(D745,Ingredients!$B$5:$B$304,0))),"")</f>
        <v>0</v>
      </c>
      <c r="U745" s="45">
        <f>IFERROR(IF(P745="","",P745*INDEX(Ingredients!$T$5:$T$304,MATCH(D745,Ingredients!$B$5:$B$304,0))),"")</f>
        <v>0</v>
      </c>
      <c r="V745" s="17">
        <f>IF(D745="","",IFERROR(INDEX(Ingredients!$W$5:$W$304,MATCH(D745,Ingredients!$B$5:$B$304,0)),"Add to Ingredients"))</f>
        <v>0</v>
      </c>
      <c r="W745" s="17">
        <f>IF(D745="","",IFERROR(INDEX(Ingredients!$C$5:$C$304,MATCH(D745,Ingredients!$B$5:$B$304,0)),"Add to Ingredients"))</f>
        <v>0</v>
      </c>
      <c r="X745" s="45">
        <f>IFERROR(INDEX(Recipes!$AT$5:$AT$204,MATCH(B745,Recipes!$A$5:$A$204,0)),0)</f>
        <v>0</v>
      </c>
      <c r="Y745" s="45">
        <f>IF(OR(J745="",X745=0),"",J745*X745)</f>
        <v>0</v>
      </c>
      <c r="Z745" s="17">
        <f>IF(D745="","",B745&amp;"#"&amp;COUNTIFS($B$5:B745,B745))</f>
        <v>0</v>
      </c>
      <c r="AA745" s="17">
        <f>IF(D745="","",B745&amp;"|"&amp;D745)</f>
        <v>0</v>
      </c>
      <c r="AB745" s="31">
        <f>IF(D745="","",IF(B745="","Add - which recipe?",IF(COUNTIFS(Ingredients!$B$5:$B$304,D745)=0,"Missing - not in the Ingredients tab",IF(E745="","Add - no quantity",IF(F745="","Add - no unit",IF(K745&lt;&gt;L745,"Check - recipe in "&amp;K745&amp;", priced in "&amp;L745,IF(COUNTIFS($AA$5:$AA$1204,AA745)&gt;1,"Duplicate - same ingredient twice","OK")))))))</f>
        <v>0</v>
      </c>
    </row>
    <row r="746" spans="1:28">
      <c r="A746" s="39">
        <f>IF(D746="","","RL-"&amp;TEXT(ROW()-4,"0000"))</f>
        <v>0</v>
      </c>
      <c r="C746" s="17">
        <f>IF(B746="","",IFERROR(INDEX(Recipes!$B$5:$B$204,MATCH(B746,Recipes!$A$5:$A$204,0)),"Not found"))</f>
        <v>0</v>
      </c>
      <c r="J746" s="45">
        <f>IF(E746="","",IFERROR(E746*INDEX(UnitFactors,MATCH(F746,UnitNames,0)),""))</f>
        <v>0</v>
      </c>
      <c r="K746" s="17">
        <f>IF(F746="","",IFERROR(INDEX(UnitBases,MATCH(F746,UnitNames,0)),"?"))</f>
        <v>0</v>
      </c>
      <c r="L746" s="17">
        <f>IF(D746="","",IFERROR(INDEX(Ingredients!$G$5:$G$304,MATCH(D746,Ingredients!$B$5:$B$304,0)),"Add to Ingredients"))</f>
        <v>0</v>
      </c>
      <c r="M746" s="25">
        <f>IF(D746="","",IFERROR(INDEX(Ingredients!$J$5:$J$304,MATCH(D746,Ingredients!$B$5:$B$304,0)),"Add to Ingredients"))</f>
        <v>0</v>
      </c>
      <c r="N746" s="25">
        <f>IF(OR(J746="",M746="",NOT(ISNUMBER(M746))),"",IF(K746&lt;&gt;L746,"",J746*M746))</f>
        <v>0</v>
      </c>
      <c r="O746" s="25">
        <f>IF(N746="","",IFERROR(N746/INDEX(Recipes!$G$5:$G$204,MATCH(B746,Recipes!$A$5:$A$204,0)),""))</f>
        <v>0</v>
      </c>
      <c r="P746" s="30">
        <f>IF(J746="","",IF(K746="each",J746,J746/100))</f>
        <v>0</v>
      </c>
      <c r="Q746" s="30">
        <f>IFERROR(IF(P746="","",P746*INDEX(Ingredients!$P$5:$P$304,MATCH(D746,Ingredients!$B$5:$B$304,0))),"")</f>
        <v>0</v>
      </c>
      <c r="R746" s="45">
        <f>IFERROR(IF(P746="","",P746*INDEX(Ingredients!$Q$5:$Q$304,MATCH(D746,Ingredients!$B$5:$B$304,0))),"")</f>
        <v>0</v>
      </c>
      <c r="S746" s="45">
        <f>IFERROR(IF(P746="","",P746*INDEX(Ingredients!$R$5:$R$304,MATCH(D746,Ingredients!$B$5:$B$304,0))),"")</f>
        <v>0</v>
      </c>
      <c r="T746" s="45">
        <f>IFERROR(IF(P746="","",P746*INDEX(Ingredients!$S$5:$S$304,MATCH(D746,Ingredients!$B$5:$B$304,0))),"")</f>
        <v>0</v>
      </c>
      <c r="U746" s="45">
        <f>IFERROR(IF(P746="","",P746*INDEX(Ingredients!$T$5:$T$304,MATCH(D746,Ingredients!$B$5:$B$304,0))),"")</f>
        <v>0</v>
      </c>
      <c r="V746" s="17">
        <f>IF(D746="","",IFERROR(INDEX(Ingredients!$W$5:$W$304,MATCH(D746,Ingredients!$B$5:$B$304,0)),"Add to Ingredients"))</f>
        <v>0</v>
      </c>
      <c r="W746" s="17">
        <f>IF(D746="","",IFERROR(INDEX(Ingredients!$C$5:$C$304,MATCH(D746,Ingredients!$B$5:$B$304,0)),"Add to Ingredients"))</f>
        <v>0</v>
      </c>
      <c r="X746" s="45">
        <f>IFERROR(INDEX(Recipes!$AT$5:$AT$204,MATCH(B746,Recipes!$A$5:$A$204,0)),0)</f>
        <v>0</v>
      </c>
      <c r="Y746" s="45">
        <f>IF(OR(J746="",X746=0),"",J746*X746)</f>
        <v>0</v>
      </c>
      <c r="Z746" s="17">
        <f>IF(D746="","",B746&amp;"#"&amp;COUNTIFS($B$5:B746,B746))</f>
        <v>0</v>
      </c>
      <c r="AA746" s="17">
        <f>IF(D746="","",B746&amp;"|"&amp;D746)</f>
        <v>0</v>
      </c>
      <c r="AB746" s="31">
        <f>IF(D746="","",IF(B746="","Add - which recipe?",IF(COUNTIFS(Ingredients!$B$5:$B$304,D746)=0,"Missing - not in the Ingredients tab",IF(E746="","Add - no quantity",IF(F746="","Add - no unit",IF(K746&lt;&gt;L746,"Check - recipe in "&amp;K746&amp;", priced in "&amp;L746,IF(COUNTIFS($AA$5:$AA$1204,AA746)&gt;1,"Duplicate - same ingredient twice","OK")))))))</f>
        <v>0</v>
      </c>
    </row>
    <row r="747" spans="1:28">
      <c r="A747" s="39">
        <f>IF(D747="","","RL-"&amp;TEXT(ROW()-4,"0000"))</f>
        <v>0</v>
      </c>
      <c r="C747" s="17">
        <f>IF(B747="","",IFERROR(INDEX(Recipes!$B$5:$B$204,MATCH(B747,Recipes!$A$5:$A$204,0)),"Not found"))</f>
        <v>0</v>
      </c>
      <c r="J747" s="45">
        <f>IF(E747="","",IFERROR(E747*INDEX(UnitFactors,MATCH(F747,UnitNames,0)),""))</f>
        <v>0</v>
      </c>
      <c r="K747" s="17">
        <f>IF(F747="","",IFERROR(INDEX(UnitBases,MATCH(F747,UnitNames,0)),"?"))</f>
        <v>0</v>
      </c>
      <c r="L747" s="17">
        <f>IF(D747="","",IFERROR(INDEX(Ingredients!$G$5:$G$304,MATCH(D747,Ingredients!$B$5:$B$304,0)),"Add to Ingredients"))</f>
        <v>0</v>
      </c>
      <c r="M747" s="25">
        <f>IF(D747="","",IFERROR(INDEX(Ingredients!$J$5:$J$304,MATCH(D747,Ingredients!$B$5:$B$304,0)),"Add to Ingredients"))</f>
        <v>0</v>
      </c>
      <c r="N747" s="25">
        <f>IF(OR(J747="",M747="",NOT(ISNUMBER(M747))),"",IF(K747&lt;&gt;L747,"",J747*M747))</f>
        <v>0</v>
      </c>
      <c r="O747" s="25">
        <f>IF(N747="","",IFERROR(N747/INDEX(Recipes!$G$5:$G$204,MATCH(B747,Recipes!$A$5:$A$204,0)),""))</f>
        <v>0</v>
      </c>
      <c r="P747" s="30">
        <f>IF(J747="","",IF(K747="each",J747,J747/100))</f>
        <v>0</v>
      </c>
      <c r="Q747" s="30">
        <f>IFERROR(IF(P747="","",P747*INDEX(Ingredients!$P$5:$P$304,MATCH(D747,Ingredients!$B$5:$B$304,0))),"")</f>
        <v>0</v>
      </c>
      <c r="R747" s="45">
        <f>IFERROR(IF(P747="","",P747*INDEX(Ingredients!$Q$5:$Q$304,MATCH(D747,Ingredients!$B$5:$B$304,0))),"")</f>
        <v>0</v>
      </c>
      <c r="S747" s="45">
        <f>IFERROR(IF(P747="","",P747*INDEX(Ingredients!$R$5:$R$304,MATCH(D747,Ingredients!$B$5:$B$304,0))),"")</f>
        <v>0</v>
      </c>
      <c r="T747" s="45">
        <f>IFERROR(IF(P747="","",P747*INDEX(Ingredients!$S$5:$S$304,MATCH(D747,Ingredients!$B$5:$B$304,0))),"")</f>
        <v>0</v>
      </c>
      <c r="U747" s="45">
        <f>IFERROR(IF(P747="","",P747*INDEX(Ingredients!$T$5:$T$304,MATCH(D747,Ingredients!$B$5:$B$304,0))),"")</f>
        <v>0</v>
      </c>
      <c r="V747" s="17">
        <f>IF(D747="","",IFERROR(INDEX(Ingredients!$W$5:$W$304,MATCH(D747,Ingredients!$B$5:$B$304,0)),"Add to Ingredients"))</f>
        <v>0</v>
      </c>
      <c r="W747" s="17">
        <f>IF(D747="","",IFERROR(INDEX(Ingredients!$C$5:$C$304,MATCH(D747,Ingredients!$B$5:$B$304,0)),"Add to Ingredients"))</f>
        <v>0</v>
      </c>
      <c r="X747" s="45">
        <f>IFERROR(INDEX(Recipes!$AT$5:$AT$204,MATCH(B747,Recipes!$A$5:$A$204,0)),0)</f>
        <v>0</v>
      </c>
      <c r="Y747" s="45">
        <f>IF(OR(J747="",X747=0),"",J747*X747)</f>
        <v>0</v>
      </c>
      <c r="Z747" s="17">
        <f>IF(D747="","",B747&amp;"#"&amp;COUNTIFS($B$5:B747,B747))</f>
        <v>0</v>
      </c>
      <c r="AA747" s="17">
        <f>IF(D747="","",B747&amp;"|"&amp;D747)</f>
        <v>0</v>
      </c>
      <c r="AB747" s="31">
        <f>IF(D747="","",IF(B747="","Add - which recipe?",IF(COUNTIFS(Ingredients!$B$5:$B$304,D747)=0,"Missing - not in the Ingredients tab",IF(E747="","Add - no quantity",IF(F747="","Add - no unit",IF(K747&lt;&gt;L747,"Check - recipe in "&amp;K747&amp;", priced in "&amp;L747,IF(COUNTIFS($AA$5:$AA$1204,AA747)&gt;1,"Duplicate - same ingredient twice","OK")))))))</f>
        <v>0</v>
      </c>
    </row>
    <row r="748" spans="1:28">
      <c r="A748" s="39">
        <f>IF(D748="","","RL-"&amp;TEXT(ROW()-4,"0000"))</f>
        <v>0</v>
      </c>
      <c r="C748" s="17">
        <f>IF(B748="","",IFERROR(INDEX(Recipes!$B$5:$B$204,MATCH(B748,Recipes!$A$5:$A$204,0)),"Not found"))</f>
        <v>0</v>
      </c>
      <c r="J748" s="45">
        <f>IF(E748="","",IFERROR(E748*INDEX(UnitFactors,MATCH(F748,UnitNames,0)),""))</f>
        <v>0</v>
      </c>
      <c r="K748" s="17">
        <f>IF(F748="","",IFERROR(INDEX(UnitBases,MATCH(F748,UnitNames,0)),"?"))</f>
        <v>0</v>
      </c>
      <c r="L748" s="17">
        <f>IF(D748="","",IFERROR(INDEX(Ingredients!$G$5:$G$304,MATCH(D748,Ingredients!$B$5:$B$304,0)),"Add to Ingredients"))</f>
        <v>0</v>
      </c>
      <c r="M748" s="25">
        <f>IF(D748="","",IFERROR(INDEX(Ingredients!$J$5:$J$304,MATCH(D748,Ingredients!$B$5:$B$304,0)),"Add to Ingredients"))</f>
        <v>0</v>
      </c>
      <c r="N748" s="25">
        <f>IF(OR(J748="",M748="",NOT(ISNUMBER(M748))),"",IF(K748&lt;&gt;L748,"",J748*M748))</f>
        <v>0</v>
      </c>
      <c r="O748" s="25">
        <f>IF(N748="","",IFERROR(N748/INDEX(Recipes!$G$5:$G$204,MATCH(B748,Recipes!$A$5:$A$204,0)),""))</f>
        <v>0</v>
      </c>
      <c r="P748" s="30">
        <f>IF(J748="","",IF(K748="each",J748,J748/100))</f>
        <v>0</v>
      </c>
      <c r="Q748" s="30">
        <f>IFERROR(IF(P748="","",P748*INDEX(Ingredients!$P$5:$P$304,MATCH(D748,Ingredients!$B$5:$B$304,0))),"")</f>
        <v>0</v>
      </c>
      <c r="R748" s="45">
        <f>IFERROR(IF(P748="","",P748*INDEX(Ingredients!$Q$5:$Q$304,MATCH(D748,Ingredients!$B$5:$B$304,0))),"")</f>
        <v>0</v>
      </c>
      <c r="S748" s="45">
        <f>IFERROR(IF(P748="","",P748*INDEX(Ingredients!$R$5:$R$304,MATCH(D748,Ingredients!$B$5:$B$304,0))),"")</f>
        <v>0</v>
      </c>
      <c r="T748" s="45">
        <f>IFERROR(IF(P748="","",P748*INDEX(Ingredients!$S$5:$S$304,MATCH(D748,Ingredients!$B$5:$B$304,0))),"")</f>
        <v>0</v>
      </c>
      <c r="U748" s="45">
        <f>IFERROR(IF(P748="","",P748*INDEX(Ingredients!$T$5:$T$304,MATCH(D748,Ingredients!$B$5:$B$304,0))),"")</f>
        <v>0</v>
      </c>
      <c r="V748" s="17">
        <f>IF(D748="","",IFERROR(INDEX(Ingredients!$W$5:$W$304,MATCH(D748,Ingredients!$B$5:$B$304,0)),"Add to Ingredients"))</f>
        <v>0</v>
      </c>
      <c r="W748" s="17">
        <f>IF(D748="","",IFERROR(INDEX(Ingredients!$C$5:$C$304,MATCH(D748,Ingredients!$B$5:$B$304,0)),"Add to Ingredients"))</f>
        <v>0</v>
      </c>
      <c r="X748" s="45">
        <f>IFERROR(INDEX(Recipes!$AT$5:$AT$204,MATCH(B748,Recipes!$A$5:$A$204,0)),0)</f>
        <v>0</v>
      </c>
      <c r="Y748" s="45">
        <f>IF(OR(J748="",X748=0),"",J748*X748)</f>
        <v>0</v>
      </c>
      <c r="Z748" s="17">
        <f>IF(D748="","",B748&amp;"#"&amp;COUNTIFS($B$5:B748,B748))</f>
        <v>0</v>
      </c>
      <c r="AA748" s="17">
        <f>IF(D748="","",B748&amp;"|"&amp;D748)</f>
        <v>0</v>
      </c>
      <c r="AB748" s="31">
        <f>IF(D748="","",IF(B748="","Add - which recipe?",IF(COUNTIFS(Ingredients!$B$5:$B$304,D748)=0,"Missing - not in the Ingredients tab",IF(E748="","Add - no quantity",IF(F748="","Add - no unit",IF(K748&lt;&gt;L748,"Check - recipe in "&amp;K748&amp;", priced in "&amp;L748,IF(COUNTIFS($AA$5:$AA$1204,AA748)&gt;1,"Duplicate - same ingredient twice","OK")))))))</f>
        <v>0</v>
      </c>
    </row>
    <row r="749" spans="1:28">
      <c r="A749" s="39">
        <f>IF(D749="","","RL-"&amp;TEXT(ROW()-4,"0000"))</f>
        <v>0</v>
      </c>
      <c r="C749" s="17">
        <f>IF(B749="","",IFERROR(INDEX(Recipes!$B$5:$B$204,MATCH(B749,Recipes!$A$5:$A$204,0)),"Not found"))</f>
        <v>0</v>
      </c>
      <c r="J749" s="45">
        <f>IF(E749="","",IFERROR(E749*INDEX(UnitFactors,MATCH(F749,UnitNames,0)),""))</f>
        <v>0</v>
      </c>
      <c r="K749" s="17">
        <f>IF(F749="","",IFERROR(INDEX(UnitBases,MATCH(F749,UnitNames,0)),"?"))</f>
        <v>0</v>
      </c>
      <c r="L749" s="17">
        <f>IF(D749="","",IFERROR(INDEX(Ingredients!$G$5:$G$304,MATCH(D749,Ingredients!$B$5:$B$304,0)),"Add to Ingredients"))</f>
        <v>0</v>
      </c>
      <c r="M749" s="25">
        <f>IF(D749="","",IFERROR(INDEX(Ingredients!$J$5:$J$304,MATCH(D749,Ingredients!$B$5:$B$304,0)),"Add to Ingredients"))</f>
        <v>0</v>
      </c>
      <c r="N749" s="25">
        <f>IF(OR(J749="",M749="",NOT(ISNUMBER(M749))),"",IF(K749&lt;&gt;L749,"",J749*M749))</f>
        <v>0</v>
      </c>
      <c r="O749" s="25">
        <f>IF(N749="","",IFERROR(N749/INDEX(Recipes!$G$5:$G$204,MATCH(B749,Recipes!$A$5:$A$204,0)),""))</f>
        <v>0</v>
      </c>
      <c r="P749" s="30">
        <f>IF(J749="","",IF(K749="each",J749,J749/100))</f>
        <v>0</v>
      </c>
      <c r="Q749" s="30">
        <f>IFERROR(IF(P749="","",P749*INDEX(Ingredients!$P$5:$P$304,MATCH(D749,Ingredients!$B$5:$B$304,0))),"")</f>
        <v>0</v>
      </c>
      <c r="R749" s="45">
        <f>IFERROR(IF(P749="","",P749*INDEX(Ingredients!$Q$5:$Q$304,MATCH(D749,Ingredients!$B$5:$B$304,0))),"")</f>
        <v>0</v>
      </c>
      <c r="S749" s="45">
        <f>IFERROR(IF(P749="","",P749*INDEX(Ingredients!$R$5:$R$304,MATCH(D749,Ingredients!$B$5:$B$304,0))),"")</f>
        <v>0</v>
      </c>
      <c r="T749" s="45">
        <f>IFERROR(IF(P749="","",P749*INDEX(Ingredients!$S$5:$S$304,MATCH(D749,Ingredients!$B$5:$B$304,0))),"")</f>
        <v>0</v>
      </c>
      <c r="U749" s="45">
        <f>IFERROR(IF(P749="","",P749*INDEX(Ingredients!$T$5:$T$304,MATCH(D749,Ingredients!$B$5:$B$304,0))),"")</f>
        <v>0</v>
      </c>
      <c r="V749" s="17">
        <f>IF(D749="","",IFERROR(INDEX(Ingredients!$W$5:$W$304,MATCH(D749,Ingredients!$B$5:$B$304,0)),"Add to Ingredients"))</f>
        <v>0</v>
      </c>
      <c r="W749" s="17">
        <f>IF(D749="","",IFERROR(INDEX(Ingredients!$C$5:$C$304,MATCH(D749,Ingredients!$B$5:$B$304,0)),"Add to Ingredients"))</f>
        <v>0</v>
      </c>
      <c r="X749" s="45">
        <f>IFERROR(INDEX(Recipes!$AT$5:$AT$204,MATCH(B749,Recipes!$A$5:$A$204,0)),0)</f>
        <v>0</v>
      </c>
      <c r="Y749" s="45">
        <f>IF(OR(J749="",X749=0),"",J749*X749)</f>
        <v>0</v>
      </c>
      <c r="Z749" s="17">
        <f>IF(D749="","",B749&amp;"#"&amp;COUNTIFS($B$5:B749,B749))</f>
        <v>0</v>
      </c>
      <c r="AA749" s="17">
        <f>IF(D749="","",B749&amp;"|"&amp;D749)</f>
        <v>0</v>
      </c>
      <c r="AB749" s="31">
        <f>IF(D749="","",IF(B749="","Add - which recipe?",IF(COUNTIFS(Ingredients!$B$5:$B$304,D749)=0,"Missing - not in the Ingredients tab",IF(E749="","Add - no quantity",IF(F749="","Add - no unit",IF(K749&lt;&gt;L749,"Check - recipe in "&amp;K749&amp;", priced in "&amp;L749,IF(COUNTIFS($AA$5:$AA$1204,AA749)&gt;1,"Duplicate - same ingredient twice","OK")))))))</f>
        <v>0</v>
      </c>
    </row>
    <row r="750" spans="1:28">
      <c r="A750" s="39">
        <f>IF(D750="","","RL-"&amp;TEXT(ROW()-4,"0000"))</f>
        <v>0</v>
      </c>
      <c r="C750" s="17">
        <f>IF(B750="","",IFERROR(INDEX(Recipes!$B$5:$B$204,MATCH(B750,Recipes!$A$5:$A$204,0)),"Not found"))</f>
        <v>0</v>
      </c>
      <c r="J750" s="45">
        <f>IF(E750="","",IFERROR(E750*INDEX(UnitFactors,MATCH(F750,UnitNames,0)),""))</f>
        <v>0</v>
      </c>
      <c r="K750" s="17">
        <f>IF(F750="","",IFERROR(INDEX(UnitBases,MATCH(F750,UnitNames,0)),"?"))</f>
        <v>0</v>
      </c>
      <c r="L750" s="17">
        <f>IF(D750="","",IFERROR(INDEX(Ingredients!$G$5:$G$304,MATCH(D750,Ingredients!$B$5:$B$304,0)),"Add to Ingredients"))</f>
        <v>0</v>
      </c>
      <c r="M750" s="25">
        <f>IF(D750="","",IFERROR(INDEX(Ingredients!$J$5:$J$304,MATCH(D750,Ingredients!$B$5:$B$304,0)),"Add to Ingredients"))</f>
        <v>0</v>
      </c>
      <c r="N750" s="25">
        <f>IF(OR(J750="",M750="",NOT(ISNUMBER(M750))),"",IF(K750&lt;&gt;L750,"",J750*M750))</f>
        <v>0</v>
      </c>
      <c r="O750" s="25">
        <f>IF(N750="","",IFERROR(N750/INDEX(Recipes!$G$5:$G$204,MATCH(B750,Recipes!$A$5:$A$204,0)),""))</f>
        <v>0</v>
      </c>
      <c r="P750" s="30">
        <f>IF(J750="","",IF(K750="each",J750,J750/100))</f>
        <v>0</v>
      </c>
      <c r="Q750" s="30">
        <f>IFERROR(IF(P750="","",P750*INDEX(Ingredients!$P$5:$P$304,MATCH(D750,Ingredients!$B$5:$B$304,0))),"")</f>
        <v>0</v>
      </c>
      <c r="R750" s="45">
        <f>IFERROR(IF(P750="","",P750*INDEX(Ingredients!$Q$5:$Q$304,MATCH(D750,Ingredients!$B$5:$B$304,0))),"")</f>
        <v>0</v>
      </c>
      <c r="S750" s="45">
        <f>IFERROR(IF(P750="","",P750*INDEX(Ingredients!$R$5:$R$304,MATCH(D750,Ingredients!$B$5:$B$304,0))),"")</f>
        <v>0</v>
      </c>
      <c r="T750" s="45">
        <f>IFERROR(IF(P750="","",P750*INDEX(Ingredients!$S$5:$S$304,MATCH(D750,Ingredients!$B$5:$B$304,0))),"")</f>
        <v>0</v>
      </c>
      <c r="U750" s="45">
        <f>IFERROR(IF(P750="","",P750*INDEX(Ingredients!$T$5:$T$304,MATCH(D750,Ingredients!$B$5:$B$304,0))),"")</f>
        <v>0</v>
      </c>
      <c r="V750" s="17">
        <f>IF(D750="","",IFERROR(INDEX(Ingredients!$W$5:$W$304,MATCH(D750,Ingredients!$B$5:$B$304,0)),"Add to Ingredients"))</f>
        <v>0</v>
      </c>
      <c r="W750" s="17">
        <f>IF(D750="","",IFERROR(INDEX(Ingredients!$C$5:$C$304,MATCH(D750,Ingredients!$B$5:$B$304,0)),"Add to Ingredients"))</f>
        <v>0</v>
      </c>
      <c r="X750" s="45">
        <f>IFERROR(INDEX(Recipes!$AT$5:$AT$204,MATCH(B750,Recipes!$A$5:$A$204,0)),0)</f>
        <v>0</v>
      </c>
      <c r="Y750" s="45">
        <f>IF(OR(J750="",X750=0),"",J750*X750)</f>
        <v>0</v>
      </c>
      <c r="Z750" s="17">
        <f>IF(D750="","",B750&amp;"#"&amp;COUNTIFS($B$5:B750,B750))</f>
        <v>0</v>
      </c>
      <c r="AA750" s="17">
        <f>IF(D750="","",B750&amp;"|"&amp;D750)</f>
        <v>0</v>
      </c>
      <c r="AB750" s="31">
        <f>IF(D750="","",IF(B750="","Add - which recipe?",IF(COUNTIFS(Ingredients!$B$5:$B$304,D750)=0,"Missing - not in the Ingredients tab",IF(E750="","Add - no quantity",IF(F750="","Add - no unit",IF(K750&lt;&gt;L750,"Check - recipe in "&amp;K750&amp;", priced in "&amp;L750,IF(COUNTIFS($AA$5:$AA$1204,AA750)&gt;1,"Duplicate - same ingredient twice","OK")))))))</f>
        <v>0</v>
      </c>
    </row>
    <row r="751" spans="1:28">
      <c r="A751" s="39">
        <f>IF(D751="","","RL-"&amp;TEXT(ROW()-4,"0000"))</f>
        <v>0</v>
      </c>
      <c r="C751" s="17">
        <f>IF(B751="","",IFERROR(INDEX(Recipes!$B$5:$B$204,MATCH(B751,Recipes!$A$5:$A$204,0)),"Not found"))</f>
        <v>0</v>
      </c>
      <c r="J751" s="45">
        <f>IF(E751="","",IFERROR(E751*INDEX(UnitFactors,MATCH(F751,UnitNames,0)),""))</f>
        <v>0</v>
      </c>
      <c r="K751" s="17">
        <f>IF(F751="","",IFERROR(INDEX(UnitBases,MATCH(F751,UnitNames,0)),"?"))</f>
        <v>0</v>
      </c>
      <c r="L751" s="17">
        <f>IF(D751="","",IFERROR(INDEX(Ingredients!$G$5:$G$304,MATCH(D751,Ingredients!$B$5:$B$304,0)),"Add to Ingredients"))</f>
        <v>0</v>
      </c>
      <c r="M751" s="25">
        <f>IF(D751="","",IFERROR(INDEX(Ingredients!$J$5:$J$304,MATCH(D751,Ingredients!$B$5:$B$304,0)),"Add to Ingredients"))</f>
        <v>0</v>
      </c>
      <c r="N751" s="25">
        <f>IF(OR(J751="",M751="",NOT(ISNUMBER(M751))),"",IF(K751&lt;&gt;L751,"",J751*M751))</f>
        <v>0</v>
      </c>
      <c r="O751" s="25">
        <f>IF(N751="","",IFERROR(N751/INDEX(Recipes!$G$5:$G$204,MATCH(B751,Recipes!$A$5:$A$204,0)),""))</f>
        <v>0</v>
      </c>
      <c r="P751" s="30">
        <f>IF(J751="","",IF(K751="each",J751,J751/100))</f>
        <v>0</v>
      </c>
      <c r="Q751" s="30">
        <f>IFERROR(IF(P751="","",P751*INDEX(Ingredients!$P$5:$P$304,MATCH(D751,Ingredients!$B$5:$B$304,0))),"")</f>
        <v>0</v>
      </c>
      <c r="R751" s="45">
        <f>IFERROR(IF(P751="","",P751*INDEX(Ingredients!$Q$5:$Q$304,MATCH(D751,Ingredients!$B$5:$B$304,0))),"")</f>
        <v>0</v>
      </c>
      <c r="S751" s="45">
        <f>IFERROR(IF(P751="","",P751*INDEX(Ingredients!$R$5:$R$304,MATCH(D751,Ingredients!$B$5:$B$304,0))),"")</f>
        <v>0</v>
      </c>
      <c r="T751" s="45">
        <f>IFERROR(IF(P751="","",P751*INDEX(Ingredients!$S$5:$S$304,MATCH(D751,Ingredients!$B$5:$B$304,0))),"")</f>
        <v>0</v>
      </c>
      <c r="U751" s="45">
        <f>IFERROR(IF(P751="","",P751*INDEX(Ingredients!$T$5:$T$304,MATCH(D751,Ingredients!$B$5:$B$304,0))),"")</f>
        <v>0</v>
      </c>
      <c r="V751" s="17">
        <f>IF(D751="","",IFERROR(INDEX(Ingredients!$W$5:$W$304,MATCH(D751,Ingredients!$B$5:$B$304,0)),"Add to Ingredients"))</f>
        <v>0</v>
      </c>
      <c r="W751" s="17">
        <f>IF(D751="","",IFERROR(INDEX(Ingredients!$C$5:$C$304,MATCH(D751,Ingredients!$B$5:$B$304,0)),"Add to Ingredients"))</f>
        <v>0</v>
      </c>
      <c r="X751" s="45">
        <f>IFERROR(INDEX(Recipes!$AT$5:$AT$204,MATCH(B751,Recipes!$A$5:$A$204,0)),0)</f>
        <v>0</v>
      </c>
      <c r="Y751" s="45">
        <f>IF(OR(J751="",X751=0),"",J751*X751)</f>
        <v>0</v>
      </c>
      <c r="Z751" s="17">
        <f>IF(D751="","",B751&amp;"#"&amp;COUNTIFS($B$5:B751,B751))</f>
        <v>0</v>
      </c>
      <c r="AA751" s="17">
        <f>IF(D751="","",B751&amp;"|"&amp;D751)</f>
        <v>0</v>
      </c>
      <c r="AB751" s="31">
        <f>IF(D751="","",IF(B751="","Add - which recipe?",IF(COUNTIFS(Ingredients!$B$5:$B$304,D751)=0,"Missing - not in the Ingredients tab",IF(E751="","Add - no quantity",IF(F751="","Add - no unit",IF(K751&lt;&gt;L751,"Check - recipe in "&amp;K751&amp;", priced in "&amp;L751,IF(COUNTIFS($AA$5:$AA$1204,AA751)&gt;1,"Duplicate - same ingredient twice","OK")))))))</f>
        <v>0</v>
      </c>
    </row>
    <row r="752" spans="1:28">
      <c r="A752" s="39">
        <f>IF(D752="","","RL-"&amp;TEXT(ROW()-4,"0000"))</f>
        <v>0</v>
      </c>
      <c r="C752" s="17">
        <f>IF(B752="","",IFERROR(INDEX(Recipes!$B$5:$B$204,MATCH(B752,Recipes!$A$5:$A$204,0)),"Not found"))</f>
        <v>0</v>
      </c>
      <c r="J752" s="45">
        <f>IF(E752="","",IFERROR(E752*INDEX(UnitFactors,MATCH(F752,UnitNames,0)),""))</f>
        <v>0</v>
      </c>
      <c r="K752" s="17">
        <f>IF(F752="","",IFERROR(INDEX(UnitBases,MATCH(F752,UnitNames,0)),"?"))</f>
        <v>0</v>
      </c>
      <c r="L752" s="17">
        <f>IF(D752="","",IFERROR(INDEX(Ingredients!$G$5:$G$304,MATCH(D752,Ingredients!$B$5:$B$304,0)),"Add to Ingredients"))</f>
        <v>0</v>
      </c>
      <c r="M752" s="25">
        <f>IF(D752="","",IFERROR(INDEX(Ingredients!$J$5:$J$304,MATCH(D752,Ingredients!$B$5:$B$304,0)),"Add to Ingredients"))</f>
        <v>0</v>
      </c>
      <c r="N752" s="25">
        <f>IF(OR(J752="",M752="",NOT(ISNUMBER(M752))),"",IF(K752&lt;&gt;L752,"",J752*M752))</f>
        <v>0</v>
      </c>
      <c r="O752" s="25">
        <f>IF(N752="","",IFERROR(N752/INDEX(Recipes!$G$5:$G$204,MATCH(B752,Recipes!$A$5:$A$204,0)),""))</f>
        <v>0</v>
      </c>
      <c r="P752" s="30">
        <f>IF(J752="","",IF(K752="each",J752,J752/100))</f>
        <v>0</v>
      </c>
      <c r="Q752" s="30">
        <f>IFERROR(IF(P752="","",P752*INDEX(Ingredients!$P$5:$P$304,MATCH(D752,Ingredients!$B$5:$B$304,0))),"")</f>
        <v>0</v>
      </c>
      <c r="R752" s="45">
        <f>IFERROR(IF(P752="","",P752*INDEX(Ingredients!$Q$5:$Q$304,MATCH(D752,Ingredients!$B$5:$B$304,0))),"")</f>
        <v>0</v>
      </c>
      <c r="S752" s="45">
        <f>IFERROR(IF(P752="","",P752*INDEX(Ingredients!$R$5:$R$304,MATCH(D752,Ingredients!$B$5:$B$304,0))),"")</f>
        <v>0</v>
      </c>
      <c r="T752" s="45">
        <f>IFERROR(IF(P752="","",P752*INDEX(Ingredients!$S$5:$S$304,MATCH(D752,Ingredients!$B$5:$B$304,0))),"")</f>
        <v>0</v>
      </c>
      <c r="U752" s="45">
        <f>IFERROR(IF(P752="","",P752*INDEX(Ingredients!$T$5:$T$304,MATCH(D752,Ingredients!$B$5:$B$304,0))),"")</f>
        <v>0</v>
      </c>
      <c r="V752" s="17">
        <f>IF(D752="","",IFERROR(INDEX(Ingredients!$W$5:$W$304,MATCH(D752,Ingredients!$B$5:$B$304,0)),"Add to Ingredients"))</f>
        <v>0</v>
      </c>
      <c r="W752" s="17">
        <f>IF(D752="","",IFERROR(INDEX(Ingredients!$C$5:$C$304,MATCH(D752,Ingredients!$B$5:$B$304,0)),"Add to Ingredients"))</f>
        <v>0</v>
      </c>
      <c r="X752" s="45">
        <f>IFERROR(INDEX(Recipes!$AT$5:$AT$204,MATCH(B752,Recipes!$A$5:$A$204,0)),0)</f>
        <v>0</v>
      </c>
      <c r="Y752" s="45">
        <f>IF(OR(J752="",X752=0),"",J752*X752)</f>
        <v>0</v>
      </c>
      <c r="Z752" s="17">
        <f>IF(D752="","",B752&amp;"#"&amp;COUNTIFS($B$5:B752,B752))</f>
        <v>0</v>
      </c>
      <c r="AA752" s="17">
        <f>IF(D752="","",B752&amp;"|"&amp;D752)</f>
        <v>0</v>
      </c>
      <c r="AB752" s="31">
        <f>IF(D752="","",IF(B752="","Add - which recipe?",IF(COUNTIFS(Ingredients!$B$5:$B$304,D752)=0,"Missing - not in the Ingredients tab",IF(E752="","Add - no quantity",IF(F752="","Add - no unit",IF(K752&lt;&gt;L752,"Check - recipe in "&amp;K752&amp;", priced in "&amp;L752,IF(COUNTIFS($AA$5:$AA$1204,AA752)&gt;1,"Duplicate - same ingredient twice","OK")))))))</f>
        <v>0</v>
      </c>
    </row>
    <row r="753" spans="1:28">
      <c r="A753" s="39">
        <f>IF(D753="","","RL-"&amp;TEXT(ROW()-4,"0000"))</f>
        <v>0</v>
      </c>
      <c r="C753" s="17">
        <f>IF(B753="","",IFERROR(INDEX(Recipes!$B$5:$B$204,MATCH(B753,Recipes!$A$5:$A$204,0)),"Not found"))</f>
        <v>0</v>
      </c>
      <c r="J753" s="45">
        <f>IF(E753="","",IFERROR(E753*INDEX(UnitFactors,MATCH(F753,UnitNames,0)),""))</f>
        <v>0</v>
      </c>
      <c r="K753" s="17">
        <f>IF(F753="","",IFERROR(INDEX(UnitBases,MATCH(F753,UnitNames,0)),"?"))</f>
        <v>0</v>
      </c>
      <c r="L753" s="17">
        <f>IF(D753="","",IFERROR(INDEX(Ingredients!$G$5:$G$304,MATCH(D753,Ingredients!$B$5:$B$304,0)),"Add to Ingredients"))</f>
        <v>0</v>
      </c>
      <c r="M753" s="25">
        <f>IF(D753="","",IFERROR(INDEX(Ingredients!$J$5:$J$304,MATCH(D753,Ingredients!$B$5:$B$304,0)),"Add to Ingredients"))</f>
        <v>0</v>
      </c>
      <c r="N753" s="25">
        <f>IF(OR(J753="",M753="",NOT(ISNUMBER(M753))),"",IF(K753&lt;&gt;L753,"",J753*M753))</f>
        <v>0</v>
      </c>
      <c r="O753" s="25">
        <f>IF(N753="","",IFERROR(N753/INDEX(Recipes!$G$5:$G$204,MATCH(B753,Recipes!$A$5:$A$204,0)),""))</f>
        <v>0</v>
      </c>
      <c r="P753" s="30">
        <f>IF(J753="","",IF(K753="each",J753,J753/100))</f>
        <v>0</v>
      </c>
      <c r="Q753" s="30">
        <f>IFERROR(IF(P753="","",P753*INDEX(Ingredients!$P$5:$P$304,MATCH(D753,Ingredients!$B$5:$B$304,0))),"")</f>
        <v>0</v>
      </c>
      <c r="R753" s="45">
        <f>IFERROR(IF(P753="","",P753*INDEX(Ingredients!$Q$5:$Q$304,MATCH(D753,Ingredients!$B$5:$B$304,0))),"")</f>
        <v>0</v>
      </c>
      <c r="S753" s="45">
        <f>IFERROR(IF(P753="","",P753*INDEX(Ingredients!$R$5:$R$304,MATCH(D753,Ingredients!$B$5:$B$304,0))),"")</f>
        <v>0</v>
      </c>
      <c r="T753" s="45">
        <f>IFERROR(IF(P753="","",P753*INDEX(Ingredients!$S$5:$S$304,MATCH(D753,Ingredients!$B$5:$B$304,0))),"")</f>
        <v>0</v>
      </c>
      <c r="U753" s="45">
        <f>IFERROR(IF(P753="","",P753*INDEX(Ingredients!$T$5:$T$304,MATCH(D753,Ingredients!$B$5:$B$304,0))),"")</f>
        <v>0</v>
      </c>
      <c r="V753" s="17">
        <f>IF(D753="","",IFERROR(INDEX(Ingredients!$W$5:$W$304,MATCH(D753,Ingredients!$B$5:$B$304,0)),"Add to Ingredients"))</f>
        <v>0</v>
      </c>
      <c r="W753" s="17">
        <f>IF(D753="","",IFERROR(INDEX(Ingredients!$C$5:$C$304,MATCH(D753,Ingredients!$B$5:$B$304,0)),"Add to Ingredients"))</f>
        <v>0</v>
      </c>
      <c r="X753" s="45">
        <f>IFERROR(INDEX(Recipes!$AT$5:$AT$204,MATCH(B753,Recipes!$A$5:$A$204,0)),0)</f>
        <v>0</v>
      </c>
      <c r="Y753" s="45">
        <f>IF(OR(J753="",X753=0),"",J753*X753)</f>
        <v>0</v>
      </c>
      <c r="Z753" s="17">
        <f>IF(D753="","",B753&amp;"#"&amp;COUNTIFS($B$5:B753,B753))</f>
        <v>0</v>
      </c>
      <c r="AA753" s="17">
        <f>IF(D753="","",B753&amp;"|"&amp;D753)</f>
        <v>0</v>
      </c>
      <c r="AB753" s="31">
        <f>IF(D753="","",IF(B753="","Add - which recipe?",IF(COUNTIFS(Ingredients!$B$5:$B$304,D753)=0,"Missing - not in the Ingredients tab",IF(E753="","Add - no quantity",IF(F753="","Add - no unit",IF(K753&lt;&gt;L753,"Check - recipe in "&amp;K753&amp;", priced in "&amp;L753,IF(COUNTIFS($AA$5:$AA$1204,AA753)&gt;1,"Duplicate - same ingredient twice","OK")))))))</f>
        <v>0</v>
      </c>
    </row>
    <row r="754" spans="1:28">
      <c r="A754" s="39">
        <f>IF(D754="","","RL-"&amp;TEXT(ROW()-4,"0000"))</f>
        <v>0</v>
      </c>
      <c r="C754" s="17">
        <f>IF(B754="","",IFERROR(INDEX(Recipes!$B$5:$B$204,MATCH(B754,Recipes!$A$5:$A$204,0)),"Not found"))</f>
        <v>0</v>
      </c>
      <c r="J754" s="45">
        <f>IF(E754="","",IFERROR(E754*INDEX(UnitFactors,MATCH(F754,UnitNames,0)),""))</f>
        <v>0</v>
      </c>
      <c r="K754" s="17">
        <f>IF(F754="","",IFERROR(INDEX(UnitBases,MATCH(F754,UnitNames,0)),"?"))</f>
        <v>0</v>
      </c>
      <c r="L754" s="17">
        <f>IF(D754="","",IFERROR(INDEX(Ingredients!$G$5:$G$304,MATCH(D754,Ingredients!$B$5:$B$304,0)),"Add to Ingredients"))</f>
        <v>0</v>
      </c>
      <c r="M754" s="25">
        <f>IF(D754="","",IFERROR(INDEX(Ingredients!$J$5:$J$304,MATCH(D754,Ingredients!$B$5:$B$304,0)),"Add to Ingredients"))</f>
        <v>0</v>
      </c>
      <c r="N754" s="25">
        <f>IF(OR(J754="",M754="",NOT(ISNUMBER(M754))),"",IF(K754&lt;&gt;L754,"",J754*M754))</f>
        <v>0</v>
      </c>
      <c r="O754" s="25">
        <f>IF(N754="","",IFERROR(N754/INDEX(Recipes!$G$5:$G$204,MATCH(B754,Recipes!$A$5:$A$204,0)),""))</f>
        <v>0</v>
      </c>
      <c r="P754" s="30">
        <f>IF(J754="","",IF(K754="each",J754,J754/100))</f>
        <v>0</v>
      </c>
      <c r="Q754" s="30">
        <f>IFERROR(IF(P754="","",P754*INDEX(Ingredients!$P$5:$P$304,MATCH(D754,Ingredients!$B$5:$B$304,0))),"")</f>
        <v>0</v>
      </c>
      <c r="R754" s="45">
        <f>IFERROR(IF(P754="","",P754*INDEX(Ingredients!$Q$5:$Q$304,MATCH(D754,Ingredients!$B$5:$B$304,0))),"")</f>
        <v>0</v>
      </c>
      <c r="S754" s="45">
        <f>IFERROR(IF(P754="","",P754*INDEX(Ingredients!$R$5:$R$304,MATCH(D754,Ingredients!$B$5:$B$304,0))),"")</f>
        <v>0</v>
      </c>
      <c r="T754" s="45">
        <f>IFERROR(IF(P754="","",P754*INDEX(Ingredients!$S$5:$S$304,MATCH(D754,Ingredients!$B$5:$B$304,0))),"")</f>
        <v>0</v>
      </c>
      <c r="U754" s="45">
        <f>IFERROR(IF(P754="","",P754*INDEX(Ingredients!$T$5:$T$304,MATCH(D754,Ingredients!$B$5:$B$304,0))),"")</f>
        <v>0</v>
      </c>
      <c r="V754" s="17">
        <f>IF(D754="","",IFERROR(INDEX(Ingredients!$W$5:$W$304,MATCH(D754,Ingredients!$B$5:$B$304,0)),"Add to Ingredients"))</f>
        <v>0</v>
      </c>
      <c r="W754" s="17">
        <f>IF(D754="","",IFERROR(INDEX(Ingredients!$C$5:$C$304,MATCH(D754,Ingredients!$B$5:$B$304,0)),"Add to Ingredients"))</f>
        <v>0</v>
      </c>
      <c r="X754" s="45">
        <f>IFERROR(INDEX(Recipes!$AT$5:$AT$204,MATCH(B754,Recipes!$A$5:$A$204,0)),0)</f>
        <v>0</v>
      </c>
      <c r="Y754" s="45">
        <f>IF(OR(J754="",X754=0),"",J754*X754)</f>
        <v>0</v>
      </c>
      <c r="Z754" s="17">
        <f>IF(D754="","",B754&amp;"#"&amp;COUNTIFS($B$5:B754,B754))</f>
        <v>0</v>
      </c>
      <c r="AA754" s="17">
        <f>IF(D754="","",B754&amp;"|"&amp;D754)</f>
        <v>0</v>
      </c>
      <c r="AB754" s="31">
        <f>IF(D754="","",IF(B754="","Add - which recipe?",IF(COUNTIFS(Ingredients!$B$5:$B$304,D754)=0,"Missing - not in the Ingredients tab",IF(E754="","Add - no quantity",IF(F754="","Add - no unit",IF(K754&lt;&gt;L754,"Check - recipe in "&amp;K754&amp;", priced in "&amp;L754,IF(COUNTIFS($AA$5:$AA$1204,AA754)&gt;1,"Duplicate - same ingredient twice","OK")))))))</f>
        <v>0</v>
      </c>
    </row>
    <row r="755" spans="1:28">
      <c r="A755" s="39">
        <f>IF(D755="","","RL-"&amp;TEXT(ROW()-4,"0000"))</f>
        <v>0</v>
      </c>
      <c r="C755" s="17">
        <f>IF(B755="","",IFERROR(INDEX(Recipes!$B$5:$B$204,MATCH(B755,Recipes!$A$5:$A$204,0)),"Not found"))</f>
        <v>0</v>
      </c>
      <c r="J755" s="45">
        <f>IF(E755="","",IFERROR(E755*INDEX(UnitFactors,MATCH(F755,UnitNames,0)),""))</f>
        <v>0</v>
      </c>
      <c r="K755" s="17">
        <f>IF(F755="","",IFERROR(INDEX(UnitBases,MATCH(F755,UnitNames,0)),"?"))</f>
        <v>0</v>
      </c>
      <c r="L755" s="17">
        <f>IF(D755="","",IFERROR(INDEX(Ingredients!$G$5:$G$304,MATCH(D755,Ingredients!$B$5:$B$304,0)),"Add to Ingredients"))</f>
        <v>0</v>
      </c>
      <c r="M755" s="25">
        <f>IF(D755="","",IFERROR(INDEX(Ingredients!$J$5:$J$304,MATCH(D755,Ingredients!$B$5:$B$304,0)),"Add to Ingredients"))</f>
        <v>0</v>
      </c>
      <c r="N755" s="25">
        <f>IF(OR(J755="",M755="",NOT(ISNUMBER(M755))),"",IF(K755&lt;&gt;L755,"",J755*M755))</f>
        <v>0</v>
      </c>
      <c r="O755" s="25">
        <f>IF(N755="","",IFERROR(N755/INDEX(Recipes!$G$5:$G$204,MATCH(B755,Recipes!$A$5:$A$204,0)),""))</f>
        <v>0</v>
      </c>
      <c r="P755" s="30">
        <f>IF(J755="","",IF(K755="each",J755,J755/100))</f>
        <v>0</v>
      </c>
      <c r="Q755" s="30">
        <f>IFERROR(IF(P755="","",P755*INDEX(Ingredients!$P$5:$P$304,MATCH(D755,Ingredients!$B$5:$B$304,0))),"")</f>
        <v>0</v>
      </c>
      <c r="R755" s="45">
        <f>IFERROR(IF(P755="","",P755*INDEX(Ingredients!$Q$5:$Q$304,MATCH(D755,Ingredients!$B$5:$B$304,0))),"")</f>
        <v>0</v>
      </c>
      <c r="S755" s="45">
        <f>IFERROR(IF(P755="","",P755*INDEX(Ingredients!$R$5:$R$304,MATCH(D755,Ingredients!$B$5:$B$304,0))),"")</f>
        <v>0</v>
      </c>
      <c r="T755" s="45">
        <f>IFERROR(IF(P755="","",P755*INDEX(Ingredients!$S$5:$S$304,MATCH(D755,Ingredients!$B$5:$B$304,0))),"")</f>
        <v>0</v>
      </c>
      <c r="U755" s="45">
        <f>IFERROR(IF(P755="","",P755*INDEX(Ingredients!$T$5:$T$304,MATCH(D755,Ingredients!$B$5:$B$304,0))),"")</f>
        <v>0</v>
      </c>
      <c r="V755" s="17">
        <f>IF(D755="","",IFERROR(INDEX(Ingredients!$W$5:$W$304,MATCH(D755,Ingredients!$B$5:$B$304,0)),"Add to Ingredients"))</f>
        <v>0</v>
      </c>
      <c r="W755" s="17">
        <f>IF(D755="","",IFERROR(INDEX(Ingredients!$C$5:$C$304,MATCH(D755,Ingredients!$B$5:$B$304,0)),"Add to Ingredients"))</f>
        <v>0</v>
      </c>
      <c r="X755" s="45">
        <f>IFERROR(INDEX(Recipes!$AT$5:$AT$204,MATCH(B755,Recipes!$A$5:$A$204,0)),0)</f>
        <v>0</v>
      </c>
      <c r="Y755" s="45">
        <f>IF(OR(J755="",X755=0),"",J755*X755)</f>
        <v>0</v>
      </c>
      <c r="Z755" s="17">
        <f>IF(D755="","",B755&amp;"#"&amp;COUNTIFS($B$5:B755,B755))</f>
        <v>0</v>
      </c>
      <c r="AA755" s="17">
        <f>IF(D755="","",B755&amp;"|"&amp;D755)</f>
        <v>0</v>
      </c>
      <c r="AB755" s="31">
        <f>IF(D755="","",IF(B755="","Add - which recipe?",IF(COUNTIFS(Ingredients!$B$5:$B$304,D755)=0,"Missing - not in the Ingredients tab",IF(E755="","Add - no quantity",IF(F755="","Add - no unit",IF(K755&lt;&gt;L755,"Check - recipe in "&amp;K755&amp;", priced in "&amp;L755,IF(COUNTIFS($AA$5:$AA$1204,AA755)&gt;1,"Duplicate - same ingredient twice","OK")))))))</f>
        <v>0</v>
      </c>
    </row>
    <row r="756" spans="1:28">
      <c r="A756" s="39">
        <f>IF(D756="","","RL-"&amp;TEXT(ROW()-4,"0000"))</f>
        <v>0</v>
      </c>
      <c r="C756" s="17">
        <f>IF(B756="","",IFERROR(INDEX(Recipes!$B$5:$B$204,MATCH(B756,Recipes!$A$5:$A$204,0)),"Not found"))</f>
        <v>0</v>
      </c>
      <c r="J756" s="45">
        <f>IF(E756="","",IFERROR(E756*INDEX(UnitFactors,MATCH(F756,UnitNames,0)),""))</f>
        <v>0</v>
      </c>
      <c r="K756" s="17">
        <f>IF(F756="","",IFERROR(INDEX(UnitBases,MATCH(F756,UnitNames,0)),"?"))</f>
        <v>0</v>
      </c>
      <c r="L756" s="17">
        <f>IF(D756="","",IFERROR(INDEX(Ingredients!$G$5:$G$304,MATCH(D756,Ingredients!$B$5:$B$304,0)),"Add to Ingredients"))</f>
        <v>0</v>
      </c>
      <c r="M756" s="25">
        <f>IF(D756="","",IFERROR(INDEX(Ingredients!$J$5:$J$304,MATCH(D756,Ingredients!$B$5:$B$304,0)),"Add to Ingredients"))</f>
        <v>0</v>
      </c>
      <c r="N756" s="25">
        <f>IF(OR(J756="",M756="",NOT(ISNUMBER(M756))),"",IF(K756&lt;&gt;L756,"",J756*M756))</f>
        <v>0</v>
      </c>
      <c r="O756" s="25">
        <f>IF(N756="","",IFERROR(N756/INDEX(Recipes!$G$5:$G$204,MATCH(B756,Recipes!$A$5:$A$204,0)),""))</f>
        <v>0</v>
      </c>
      <c r="P756" s="30">
        <f>IF(J756="","",IF(K756="each",J756,J756/100))</f>
        <v>0</v>
      </c>
      <c r="Q756" s="30">
        <f>IFERROR(IF(P756="","",P756*INDEX(Ingredients!$P$5:$P$304,MATCH(D756,Ingredients!$B$5:$B$304,0))),"")</f>
        <v>0</v>
      </c>
      <c r="R756" s="45">
        <f>IFERROR(IF(P756="","",P756*INDEX(Ingredients!$Q$5:$Q$304,MATCH(D756,Ingredients!$B$5:$B$304,0))),"")</f>
        <v>0</v>
      </c>
      <c r="S756" s="45">
        <f>IFERROR(IF(P756="","",P756*INDEX(Ingredients!$R$5:$R$304,MATCH(D756,Ingredients!$B$5:$B$304,0))),"")</f>
        <v>0</v>
      </c>
      <c r="T756" s="45">
        <f>IFERROR(IF(P756="","",P756*INDEX(Ingredients!$S$5:$S$304,MATCH(D756,Ingredients!$B$5:$B$304,0))),"")</f>
        <v>0</v>
      </c>
      <c r="U756" s="45">
        <f>IFERROR(IF(P756="","",P756*INDEX(Ingredients!$T$5:$T$304,MATCH(D756,Ingredients!$B$5:$B$304,0))),"")</f>
        <v>0</v>
      </c>
      <c r="V756" s="17">
        <f>IF(D756="","",IFERROR(INDEX(Ingredients!$W$5:$W$304,MATCH(D756,Ingredients!$B$5:$B$304,0)),"Add to Ingredients"))</f>
        <v>0</v>
      </c>
      <c r="W756" s="17">
        <f>IF(D756="","",IFERROR(INDEX(Ingredients!$C$5:$C$304,MATCH(D756,Ingredients!$B$5:$B$304,0)),"Add to Ingredients"))</f>
        <v>0</v>
      </c>
      <c r="X756" s="45">
        <f>IFERROR(INDEX(Recipes!$AT$5:$AT$204,MATCH(B756,Recipes!$A$5:$A$204,0)),0)</f>
        <v>0</v>
      </c>
      <c r="Y756" s="45">
        <f>IF(OR(J756="",X756=0),"",J756*X756)</f>
        <v>0</v>
      </c>
      <c r="Z756" s="17">
        <f>IF(D756="","",B756&amp;"#"&amp;COUNTIFS($B$5:B756,B756))</f>
        <v>0</v>
      </c>
      <c r="AA756" s="17">
        <f>IF(D756="","",B756&amp;"|"&amp;D756)</f>
        <v>0</v>
      </c>
      <c r="AB756" s="31">
        <f>IF(D756="","",IF(B756="","Add - which recipe?",IF(COUNTIFS(Ingredients!$B$5:$B$304,D756)=0,"Missing - not in the Ingredients tab",IF(E756="","Add - no quantity",IF(F756="","Add - no unit",IF(K756&lt;&gt;L756,"Check - recipe in "&amp;K756&amp;", priced in "&amp;L756,IF(COUNTIFS($AA$5:$AA$1204,AA756)&gt;1,"Duplicate - same ingredient twice","OK")))))))</f>
        <v>0</v>
      </c>
    </row>
    <row r="757" spans="1:28">
      <c r="A757" s="39">
        <f>IF(D757="","","RL-"&amp;TEXT(ROW()-4,"0000"))</f>
        <v>0</v>
      </c>
      <c r="C757" s="17">
        <f>IF(B757="","",IFERROR(INDEX(Recipes!$B$5:$B$204,MATCH(B757,Recipes!$A$5:$A$204,0)),"Not found"))</f>
        <v>0</v>
      </c>
      <c r="J757" s="45">
        <f>IF(E757="","",IFERROR(E757*INDEX(UnitFactors,MATCH(F757,UnitNames,0)),""))</f>
        <v>0</v>
      </c>
      <c r="K757" s="17">
        <f>IF(F757="","",IFERROR(INDEX(UnitBases,MATCH(F757,UnitNames,0)),"?"))</f>
        <v>0</v>
      </c>
      <c r="L757" s="17">
        <f>IF(D757="","",IFERROR(INDEX(Ingredients!$G$5:$G$304,MATCH(D757,Ingredients!$B$5:$B$304,0)),"Add to Ingredients"))</f>
        <v>0</v>
      </c>
      <c r="M757" s="25">
        <f>IF(D757="","",IFERROR(INDEX(Ingredients!$J$5:$J$304,MATCH(D757,Ingredients!$B$5:$B$304,0)),"Add to Ingredients"))</f>
        <v>0</v>
      </c>
      <c r="N757" s="25">
        <f>IF(OR(J757="",M757="",NOT(ISNUMBER(M757))),"",IF(K757&lt;&gt;L757,"",J757*M757))</f>
        <v>0</v>
      </c>
      <c r="O757" s="25">
        <f>IF(N757="","",IFERROR(N757/INDEX(Recipes!$G$5:$G$204,MATCH(B757,Recipes!$A$5:$A$204,0)),""))</f>
        <v>0</v>
      </c>
      <c r="P757" s="30">
        <f>IF(J757="","",IF(K757="each",J757,J757/100))</f>
        <v>0</v>
      </c>
      <c r="Q757" s="30">
        <f>IFERROR(IF(P757="","",P757*INDEX(Ingredients!$P$5:$P$304,MATCH(D757,Ingredients!$B$5:$B$304,0))),"")</f>
        <v>0</v>
      </c>
      <c r="R757" s="45">
        <f>IFERROR(IF(P757="","",P757*INDEX(Ingredients!$Q$5:$Q$304,MATCH(D757,Ingredients!$B$5:$B$304,0))),"")</f>
        <v>0</v>
      </c>
      <c r="S757" s="45">
        <f>IFERROR(IF(P757="","",P757*INDEX(Ingredients!$R$5:$R$304,MATCH(D757,Ingredients!$B$5:$B$304,0))),"")</f>
        <v>0</v>
      </c>
      <c r="T757" s="45">
        <f>IFERROR(IF(P757="","",P757*INDEX(Ingredients!$S$5:$S$304,MATCH(D757,Ingredients!$B$5:$B$304,0))),"")</f>
        <v>0</v>
      </c>
      <c r="U757" s="45">
        <f>IFERROR(IF(P757="","",P757*INDEX(Ingredients!$T$5:$T$304,MATCH(D757,Ingredients!$B$5:$B$304,0))),"")</f>
        <v>0</v>
      </c>
      <c r="V757" s="17">
        <f>IF(D757="","",IFERROR(INDEX(Ingredients!$W$5:$W$304,MATCH(D757,Ingredients!$B$5:$B$304,0)),"Add to Ingredients"))</f>
        <v>0</v>
      </c>
      <c r="W757" s="17">
        <f>IF(D757="","",IFERROR(INDEX(Ingredients!$C$5:$C$304,MATCH(D757,Ingredients!$B$5:$B$304,0)),"Add to Ingredients"))</f>
        <v>0</v>
      </c>
      <c r="X757" s="45">
        <f>IFERROR(INDEX(Recipes!$AT$5:$AT$204,MATCH(B757,Recipes!$A$5:$A$204,0)),0)</f>
        <v>0</v>
      </c>
      <c r="Y757" s="45">
        <f>IF(OR(J757="",X757=0),"",J757*X757)</f>
        <v>0</v>
      </c>
      <c r="Z757" s="17">
        <f>IF(D757="","",B757&amp;"#"&amp;COUNTIFS($B$5:B757,B757))</f>
        <v>0</v>
      </c>
      <c r="AA757" s="17">
        <f>IF(D757="","",B757&amp;"|"&amp;D757)</f>
        <v>0</v>
      </c>
      <c r="AB757" s="31">
        <f>IF(D757="","",IF(B757="","Add - which recipe?",IF(COUNTIFS(Ingredients!$B$5:$B$304,D757)=0,"Missing - not in the Ingredients tab",IF(E757="","Add - no quantity",IF(F757="","Add - no unit",IF(K757&lt;&gt;L757,"Check - recipe in "&amp;K757&amp;", priced in "&amp;L757,IF(COUNTIFS($AA$5:$AA$1204,AA757)&gt;1,"Duplicate - same ingredient twice","OK")))))))</f>
        <v>0</v>
      </c>
    </row>
    <row r="758" spans="1:28">
      <c r="A758" s="39">
        <f>IF(D758="","","RL-"&amp;TEXT(ROW()-4,"0000"))</f>
        <v>0</v>
      </c>
      <c r="C758" s="17">
        <f>IF(B758="","",IFERROR(INDEX(Recipes!$B$5:$B$204,MATCH(B758,Recipes!$A$5:$A$204,0)),"Not found"))</f>
        <v>0</v>
      </c>
      <c r="J758" s="45">
        <f>IF(E758="","",IFERROR(E758*INDEX(UnitFactors,MATCH(F758,UnitNames,0)),""))</f>
        <v>0</v>
      </c>
      <c r="K758" s="17">
        <f>IF(F758="","",IFERROR(INDEX(UnitBases,MATCH(F758,UnitNames,0)),"?"))</f>
        <v>0</v>
      </c>
      <c r="L758" s="17">
        <f>IF(D758="","",IFERROR(INDEX(Ingredients!$G$5:$G$304,MATCH(D758,Ingredients!$B$5:$B$304,0)),"Add to Ingredients"))</f>
        <v>0</v>
      </c>
      <c r="M758" s="25">
        <f>IF(D758="","",IFERROR(INDEX(Ingredients!$J$5:$J$304,MATCH(D758,Ingredients!$B$5:$B$304,0)),"Add to Ingredients"))</f>
        <v>0</v>
      </c>
      <c r="N758" s="25">
        <f>IF(OR(J758="",M758="",NOT(ISNUMBER(M758))),"",IF(K758&lt;&gt;L758,"",J758*M758))</f>
        <v>0</v>
      </c>
      <c r="O758" s="25">
        <f>IF(N758="","",IFERROR(N758/INDEX(Recipes!$G$5:$G$204,MATCH(B758,Recipes!$A$5:$A$204,0)),""))</f>
        <v>0</v>
      </c>
      <c r="P758" s="30">
        <f>IF(J758="","",IF(K758="each",J758,J758/100))</f>
        <v>0</v>
      </c>
      <c r="Q758" s="30">
        <f>IFERROR(IF(P758="","",P758*INDEX(Ingredients!$P$5:$P$304,MATCH(D758,Ingredients!$B$5:$B$304,0))),"")</f>
        <v>0</v>
      </c>
      <c r="R758" s="45">
        <f>IFERROR(IF(P758="","",P758*INDEX(Ingredients!$Q$5:$Q$304,MATCH(D758,Ingredients!$B$5:$B$304,0))),"")</f>
        <v>0</v>
      </c>
      <c r="S758" s="45">
        <f>IFERROR(IF(P758="","",P758*INDEX(Ingredients!$R$5:$R$304,MATCH(D758,Ingredients!$B$5:$B$304,0))),"")</f>
        <v>0</v>
      </c>
      <c r="T758" s="45">
        <f>IFERROR(IF(P758="","",P758*INDEX(Ingredients!$S$5:$S$304,MATCH(D758,Ingredients!$B$5:$B$304,0))),"")</f>
        <v>0</v>
      </c>
      <c r="U758" s="45">
        <f>IFERROR(IF(P758="","",P758*INDEX(Ingredients!$T$5:$T$304,MATCH(D758,Ingredients!$B$5:$B$304,0))),"")</f>
        <v>0</v>
      </c>
      <c r="V758" s="17">
        <f>IF(D758="","",IFERROR(INDEX(Ingredients!$W$5:$W$304,MATCH(D758,Ingredients!$B$5:$B$304,0)),"Add to Ingredients"))</f>
        <v>0</v>
      </c>
      <c r="W758" s="17">
        <f>IF(D758="","",IFERROR(INDEX(Ingredients!$C$5:$C$304,MATCH(D758,Ingredients!$B$5:$B$304,0)),"Add to Ingredients"))</f>
        <v>0</v>
      </c>
      <c r="X758" s="45">
        <f>IFERROR(INDEX(Recipes!$AT$5:$AT$204,MATCH(B758,Recipes!$A$5:$A$204,0)),0)</f>
        <v>0</v>
      </c>
      <c r="Y758" s="45">
        <f>IF(OR(J758="",X758=0),"",J758*X758)</f>
        <v>0</v>
      </c>
      <c r="Z758" s="17">
        <f>IF(D758="","",B758&amp;"#"&amp;COUNTIFS($B$5:B758,B758))</f>
        <v>0</v>
      </c>
      <c r="AA758" s="17">
        <f>IF(D758="","",B758&amp;"|"&amp;D758)</f>
        <v>0</v>
      </c>
      <c r="AB758" s="31">
        <f>IF(D758="","",IF(B758="","Add - which recipe?",IF(COUNTIFS(Ingredients!$B$5:$B$304,D758)=0,"Missing - not in the Ingredients tab",IF(E758="","Add - no quantity",IF(F758="","Add - no unit",IF(K758&lt;&gt;L758,"Check - recipe in "&amp;K758&amp;", priced in "&amp;L758,IF(COUNTIFS($AA$5:$AA$1204,AA758)&gt;1,"Duplicate - same ingredient twice","OK")))))))</f>
        <v>0</v>
      </c>
    </row>
    <row r="759" spans="1:28">
      <c r="A759" s="39">
        <f>IF(D759="","","RL-"&amp;TEXT(ROW()-4,"0000"))</f>
        <v>0</v>
      </c>
      <c r="C759" s="17">
        <f>IF(B759="","",IFERROR(INDEX(Recipes!$B$5:$B$204,MATCH(B759,Recipes!$A$5:$A$204,0)),"Not found"))</f>
        <v>0</v>
      </c>
      <c r="J759" s="45">
        <f>IF(E759="","",IFERROR(E759*INDEX(UnitFactors,MATCH(F759,UnitNames,0)),""))</f>
        <v>0</v>
      </c>
      <c r="K759" s="17">
        <f>IF(F759="","",IFERROR(INDEX(UnitBases,MATCH(F759,UnitNames,0)),"?"))</f>
        <v>0</v>
      </c>
      <c r="L759" s="17">
        <f>IF(D759="","",IFERROR(INDEX(Ingredients!$G$5:$G$304,MATCH(D759,Ingredients!$B$5:$B$304,0)),"Add to Ingredients"))</f>
        <v>0</v>
      </c>
      <c r="M759" s="25">
        <f>IF(D759="","",IFERROR(INDEX(Ingredients!$J$5:$J$304,MATCH(D759,Ingredients!$B$5:$B$304,0)),"Add to Ingredients"))</f>
        <v>0</v>
      </c>
      <c r="N759" s="25">
        <f>IF(OR(J759="",M759="",NOT(ISNUMBER(M759))),"",IF(K759&lt;&gt;L759,"",J759*M759))</f>
        <v>0</v>
      </c>
      <c r="O759" s="25">
        <f>IF(N759="","",IFERROR(N759/INDEX(Recipes!$G$5:$G$204,MATCH(B759,Recipes!$A$5:$A$204,0)),""))</f>
        <v>0</v>
      </c>
      <c r="P759" s="30">
        <f>IF(J759="","",IF(K759="each",J759,J759/100))</f>
        <v>0</v>
      </c>
      <c r="Q759" s="30">
        <f>IFERROR(IF(P759="","",P759*INDEX(Ingredients!$P$5:$P$304,MATCH(D759,Ingredients!$B$5:$B$304,0))),"")</f>
        <v>0</v>
      </c>
      <c r="R759" s="45">
        <f>IFERROR(IF(P759="","",P759*INDEX(Ingredients!$Q$5:$Q$304,MATCH(D759,Ingredients!$B$5:$B$304,0))),"")</f>
        <v>0</v>
      </c>
      <c r="S759" s="45">
        <f>IFERROR(IF(P759="","",P759*INDEX(Ingredients!$R$5:$R$304,MATCH(D759,Ingredients!$B$5:$B$304,0))),"")</f>
        <v>0</v>
      </c>
      <c r="T759" s="45">
        <f>IFERROR(IF(P759="","",P759*INDEX(Ingredients!$S$5:$S$304,MATCH(D759,Ingredients!$B$5:$B$304,0))),"")</f>
        <v>0</v>
      </c>
      <c r="U759" s="45">
        <f>IFERROR(IF(P759="","",P759*INDEX(Ingredients!$T$5:$T$304,MATCH(D759,Ingredients!$B$5:$B$304,0))),"")</f>
        <v>0</v>
      </c>
      <c r="V759" s="17">
        <f>IF(D759="","",IFERROR(INDEX(Ingredients!$W$5:$W$304,MATCH(D759,Ingredients!$B$5:$B$304,0)),"Add to Ingredients"))</f>
        <v>0</v>
      </c>
      <c r="W759" s="17">
        <f>IF(D759="","",IFERROR(INDEX(Ingredients!$C$5:$C$304,MATCH(D759,Ingredients!$B$5:$B$304,0)),"Add to Ingredients"))</f>
        <v>0</v>
      </c>
      <c r="X759" s="45">
        <f>IFERROR(INDEX(Recipes!$AT$5:$AT$204,MATCH(B759,Recipes!$A$5:$A$204,0)),0)</f>
        <v>0</v>
      </c>
      <c r="Y759" s="45">
        <f>IF(OR(J759="",X759=0),"",J759*X759)</f>
        <v>0</v>
      </c>
      <c r="Z759" s="17">
        <f>IF(D759="","",B759&amp;"#"&amp;COUNTIFS($B$5:B759,B759))</f>
        <v>0</v>
      </c>
      <c r="AA759" s="17">
        <f>IF(D759="","",B759&amp;"|"&amp;D759)</f>
        <v>0</v>
      </c>
      <c r="AB759" s="31">
        <f>IF(D759="","",IF(B759="","Add - which recipe?",IF(COUNTIFS(Ingredients!$B$5:$B$304,D759)=0,"Missing - not in the Ingredients tab",IF(E759="","Add - no quantity",IF(F759="","Add - no unit",IF(K759&lt;&gt;L759,"Check - recipe in "&amp;K759&amp;", priced in "&amp;L759,IF(COUNTIFS($AA$5:$AA$1204,AA759)&gt;1,"Duplicate - same ingredient twice","OK")))))))</f>
        <v>0</v>
      </c>
    </row>
    <row r="760" spans="1:28">
      <c r="A760" s="39">
        <f>IF(D760="","","RL-"&amp;TEXT(ROW()-4,"0000"))</f>
        <v>0</v>
      </c>
      <c r="C760" s="17">
        <f>IF(B760="","",IFERROR(INDEX(Recipes!$B$5:$B$204,MATCH(B760,Recipes!$A$5:$A$204,0)),"Not found"))</f>
        <v>0</v>
      </c>
      <c r="J760" s="45">
        <f>IF(E760="","",IFERROR(E760*INDEX(UnitFactors,MATCH(F760,UnitNames,0)),""))</f>
        <v>0</v>
      </c>
      <c r="K760" s="17">
        <f>IF(F760="","",IFERROR(INDEX(UnitBases,MATCH(F760,UnitNames,0)),"?"))</f>
        <v>0</v>
      </c>
      <c r="L760" s="17">
        <f>IF(D760="","",IFERROR(INDEX(Ingredients!$G$5:$G$304,MATCH(D760,Ingredients!$B$5:$B$304,0)),"Add to Ingredients"))</f>
        <v>0</v>
      </c>
      <c r="M760" s="25">
        <f>IF(D760="","",IFERROR(INDEX(Ingredients!$J$5:$J$304,MATCH(D760,Ingredients!$B$5:$B$304,0)),"Add to Ingredients"))</f>
        <v>0</v>
      </c>
      <c r="N760" s="25">
        <f>IF(OR(J760="",M760="",NOT(ISNUMBER(M760))),"",IF(K760&lt;&gt;L760,"",J760*M760))</f>
        <v>0</v>
      </c>
      <c r="O760" s="25">
        <f>IF(N760="","",IFERROR(N760/INDEX(Recipes!$G$5:$G$204,MATCH(B760,Recipes!$A$5:$A$204,0)),""))</f>
        <v>0</v>
      </c>
      <c r="P760" s="30">
        <f>IF(J760="","",IF(K760="each",J760,J760/100))</f>
        <v>0</v>
      </c>
      <c r="Q760" s="30">
        <f>IFERROR(IF(P760="","",P760*INDEX(Ingredients!$P$5:$P$304,MATCH(D760,Ingredients!$B$5:$B$304,0))),"")</f>
        <v>0</v>
      </c>
      <c r="R760" s="45">
        <f>IFERROR(IF(P760="","",P760*INDEX(Ingredients!$Q$5:$Q$304,MATCH(D760,Ingredients!$B$5:$B$304,0))),"")</f>
        <v>0</v>
      </c>
      <c r="S760" s="45">
        <f>IFERROR(IF(P760="","",P760*INDEX(Ingredients!$R$5:$R$304,MATCH(D760,Ingredients!$B$5:$B$304,0))),"")</f>
        <v>0</v>
      </c>
      <c r="T760" s="45">
        <f>IFERROR(IF(P760="","",P760*INDEX(Ingredients!$S$5:$S$304,MATCH(D760,Ingredients!$B$5:$B$304,0))),"")</f>
        <v>0</v>
      </c>
      <c r="U760" s="45">
        <f>IFERROR(IF(P760="","",P760*INDEX(Ingredients!$T$5:$T$304,MATCH(D760,Ingredients!$B$5:$B$304,0))),"")</f>
        <v>0</v>
      </c>
      <c r="V760" s="17">
        <f>IF(D760="","",IFERROR(INDEX(Ingredients!$W$5:$W$304,MATCH(D760,Ingredients!$B$5:$B$304,0)),"Add to Ingredients"))</f>
        <v>0</v>
      </c>
      <c r="W760" s="17">
        <f>IF(D760="","",IFERROR(INDEX(Ingredients!$C$5:$C$304,MATCH(D760,Ingredients!$B$5:$B$304,0)),"Add to Ingredients"))</f>
        <v>0</v>
      </c>
      <c r="X760" s="45">
        <f>IFERROR(INDEX(Recipes!$AT$5:$AT$204,MATCH(B760,Recipes!$A$5:$A$204,0)),0)</f>
        <v>0</v>
      </c>
      <c r="Y760" s="45">
        <f>IF(OR(J760="",X760=0),"",J760*X760)</f>
        <v>0</v>
      </c>
      <c r="Z760" s="17">
        <f>IF(D760="","",B760&amp;"#"&amp;COUNTIFS($B$5:B760,B760))</f>
        <v>0</v>
      </c>
      <c r="AA760" s="17">
        <f>IF(D760="","",B760&amp;"|"&amp;D760)</f>
        <v>0</v>
      </c>
      <c r="AB760" s="31">
        <f>IF(D760="","",IF(B760="","Add - which recipe?",IF(COUNTIFS(Ingredients!$B$5:$B$304,D760)=0,"Missing - not in the Ingredients tab",IF(E760="","Add - no quantity",IF(F760="","Add - no unit",IF(K760&lt;&gt;L760,"Check - recipe in "&amp;K760&amp;", priced in "&amp;L760,IF(COUNTIFS($AA$5:$AA$1204,AA760)&gt;1,"Duplicate - same ingredient twice","OK")))))))</f>
        <v>0</v>
      </c>
    </row>
    <row r="761" spans="1:28">
      <c r="A761" s="39">
        <f>IF(D761="","","RL-"&amp;TEXT(ROW()-4,"0000"))</f>
        <v>0</v>
      </c>
      <c r="C761" s="17">
        <f>IF(B761="","",IFERROR(INDEX(Recipes!$B$5:$B$204,MATCH(B761,Recipes!$A$5:$A$204,0)),"Not found"))</f>
        <v>0</v>
      </c>
      <c r="J761" s="45">
        <f>IF(E761="","",IFERROR(E761*INDEX(UnitFactors,MATCH(F761,UnitNames,0)),""))</f>
        <v>0</v>
      </c>
      <c r="K761" s="17">
        <f>IF(F761="","",IFERROR(INDEX(UnitBases,MATCH(F761,UnitNames,0)),"?"))</f>
        <v>0</v>
      </c>
      <c r="L761" s="17">
        <f>IF(D761="","",IFERROR(INDEX(Ingredients!$G$5:$G$304,MATCH(D761,Ingredients!$B$5:$B$304,0)),"Add to Ingredients"))</f>
        <v>0</v>
      </c>
      <c r="M761" s="25">
        <f>IF(D761="","",IFERROR(INDEX(Ingredients!$J$5:$J$304,MATCH(D761,Ingredients!$B$5:$B$304,0)),"Add to Ingredients"))</f>
        <v>0</v>
      </c>
      <c r="N761" s="25">
        <f>IF(OR(J761="",M761="",NOT(ISNUMBER(M761))),"",IF(K761&lt;&gt;L761,"",J761*M761))</f>
        <v>0</v>
      </c>
      <c r="O761" s="25">
        <f>IF(N761="","",IFERROR(N761/INDEX(Recipes!$G$5:$G$204,MATCH(B761,Recipes!$A$5:$A$204,0)),""))</f>
        <v>0</v>
      </c>
      <c r="P761" s="30">
        <f>IF(J761="","",IF(K761="each",J761,J761/100))</f>
        <v>0</v>
      </c>
      <c r="Q761" s="30">
        <f>IFERROR(IF(P761="","",P761*INDEX(Ingredients!$P$5:$P$304,MATCH(D761,Ingredients!$B$5:$B$304,0))),"")</f>
        <v>0</v>
      </c>
      <c r="R761" s="45">
        <f>IFERROR(IF(P761="","",P761*INDEX(Ingredients!$Q$5:$Q$304,MATCH(D761,Ingredients!$B$5:$B$304,0))),"")</f>
        <v>0</v>
      </c>
      <c r="S761" s="45">
        <f>IFERROR(IF(P761="","",P761*INDEX(Ingredients!$R$5:$R$304,MATCH(D761,Ingredients!$B$5:$B$304,0))),"")</f>
        <v>0</v>
      </c>
      <c r="T761" s="45">
        <f>IFERROR(IF(P761="","",P761*INDEX(Ingredients!$S$5:$S$304,MATCH(D761,Ingredients!$B$5:$B$304,0))),"")</f>
        <v>0</v>
      </c>
      <c r="U761" s="45">
        <f>IFERROR(IF(P761="","",P761*INDEX(Ingredients!$T$5:$T$304,MATCH(D761,Ingredients!$B$5:$B$304,0))),"")</f>
        <v>0</v>
      </c>
      <c r="V761" s="17">
        <f>IF(D761="","",IFERROR(INDEX(Ingredients!$W$5:$W$304,MATCH(D761,Ingredients!$B$5:$B$304,0)),"Add to Ingredients"))</f>
        <v>0</v>
      </c>
      <c r="W761" s="17">
        <f>IF(D761="","",IFERROR(INDEX(Ingredients!$C$5:$C$304,MATCH(D761,Ingredients!$B$5:$B$304,0)),"Add to Ingredients"))</f>
        <v>0</v>
      </c>
      <c r="X761" s="45">
        <f>IFERROR(INDEX(Recipes!$AT$5:$AT$204,MATCH(B761,Recipes!$A$5:$A$204,0)),0)</f>
        <v>0</v>
      </c>
      <c r="Y761" s="45">
        <f>IF(OR(J761="",X761=0),"",J761*X761)</f>
        <v>0</v>
      </c>
      <c r="Z761" s="17">
        <f>IF(D761="","",B761&amp;"#"&amp;COUNTIFS($B$5:B761,B761))</f>
        <v>0</v>
      </c>
      <c r="AA761" s="17">
        <f>IF(D761="","",B761&amp;"|"&amp;D761)</f>
        <v>0</v>
      </c>
      <c r="AB761" s="31">
        <f>IF(D761="","",IF(B761="","Add - which recipe?",IF(COUNTIFS(Ingredients!$B$5:$B$304,D761)=0,"Missing - not in the Ingredients tab",IF(E761="","Add - no quantity",IF(F761="","Add - no unit",IF(K761&lt;&gt;L761,"Check - recipe in "&amp;K761&amp;", priced in "&amp;L761,IF(COUNTIFS($AA$5:$AA$1204,AA761)&gt;1,"Duplicate - same ingredient twice","OK")))))))</f>
        <v>0</v>
      </c>
    </row>
    <row r="762" spans="1:28">
      <c r="A762" s="39">
        <f>IF(D762="","","RL-"&amp;TEXT(ROW()-4,"0000"))</f>
        <v>0</v>
      </c>
      <c r="C762" s="17">
        <f>IF(B762="","",IFERROR(INDEX(Recipes!$B$5:$B$204,MATCH(B762,Recipes!$A$5:$A$204,0)),"Not found"))</f>
        <v>0</v>
      </c>
      <c r="J762" s="45">
        <f>IF(E762="","",IFERROR(E762*INDEX(UnitFactors,MATCH(F762,UnitNames,0)),""))</f>
        <v>0</v>
      </c>
      <c r="K762" s="17">
        <f>IF(F762="","",IFERROR(INDEX(UnitBases,MATCH(F762,UnitNames,0)),"?"))</f>
        <v>0</v>
      </c>
      <c r="L762" s="17">
        <f>IF(D762="","",IFERROR(INDEX(Ingredients!$G$5:$G$304,MATCH(D762,Ingredients!$B$5:$B$304,0)),"Add to Ingredients"))</f>
        <v>0</v>
      </c>
      <c r="M762" s="25">
        <f>IF(D762="","",IFERROR(INDEX(Ingredients!$J$5:$J$304,MATCH(D762,Ingredients!$B$5:$B$304,0)),"Add to Ingredients"))</f>
        <v>0</v>
      </c>
      <c r="N762" s="25">
        <f>IF(OR(J762="",M762="",NOT(ISNUMBER(M762))),"",IF(K762&lt;&gt;L762,"",J762*M762))</f>
        <v>0</v>
      </c>
      <c r="O762" s="25">
        <f>IF(N762="","",IFERROR(N762/INDEX(Recipes!$G$5:$G$204,MATCH(B762,Recipes!$A$5:$A$204,0)),""))</f>
        <v>0</v>
      </c>
      <c r="P762" s="30">
        <f>IF(J762="","",IF(K762="each",J762,J762/100))</f>
        <v>0</v>
      </c>
      <c r="Q762" s="30">
        <f>IFERROR(IF(P762="","",P762*INDEX(Ingredients!$P$5:$P$304,MATCH(D762,Ingredients!$B$5:$B$304,0))),"")</f>
        <v>0</v>
      </c>
      <c r="R762" s="45">
        <f>IFERROR(IF(P762="","",P762*INDEX(Ingredients!$Q$5:$Q$304,MATCH(D762,Ingredients!$B$5:$B$304,0))),"")</f>
        <v>0</v>
      </c>
      <c r="S762" s="45">
        <f>IFERROR(IF(P762="","",P762*INDEX(Ingredients!$R$5:$R$304,MATCH(D762,Ingredients!$B$5:$B$304,0))),"")</f>
        <v>0</v>
      </c>
      <c r="T762" s="45">
        <f>IFERROR(IF(P762="","",P762*INDEX(Ingredients!$S$5:$S$304,MATCH(D762,Ingredients!$B$5:$B$304,0))),"")</f>
        <v>0</v>
      </c>
      <c r="U762" s="45">
        <f>IFERROR(IF(P762="","",P762*INDEX(Ingredients!$T$5:$T$304,MATCH(D762,Ingredients!$B$5:$B$304,0))),"")</f>
        <v>0</v>
      </c>
      <c r="V762" s="17">
        <f>IF(D762="","",IFERROR(INDEX(Ingredients!$W$5:$W$304,MATCH(D762,Ingredients!$B$5:$B$304,0)),"Add to Ingredients"))</f>
        <v>0</v>
      </c>
      <c r="W762" s="17">
        <f>IF(D762="","",IFERROR(INDEX(Ingredients!$C$5:$C$304,MATCH(D762,Ingredients!$B$5:$B$304,0)),"Add to Ingredients"))</f>
        <v>0</v>
      </c>
      <c r="X762" s="45">
        <f>IFERROR(INDEX(Recipes!$AT$5:$AT$204,MATCH(B762,Recipes!$A$5:$A$204,0)),0)</f>
        <v>0</v>
      </c>
      <c r="Y762" s="45">
        <f>IF(OR(J762="",X762=0),"",J762*X762)</f>
        <v>0</v>
      </c>
      <c r="Z762" s="17">
        <f>IF(D762="","",B762&amp;"#"&amp;COUNTIFS($B$5:B762,B762))</f>
        <v>0</v>
      </c>
      <c r="AA762" s="17">
        <f>IF(D762="","",B762&amp;"|"&amp;D762)</f>
        <v>0</v>
      </c>
      <c r="AB762" s="31">
        <f>IF(D762="","",IF(B762="","Add - which recipe?",IF(COUNTIFS(Ingredients!$B$5:$B$304,D762)=0,"Missing - not in the Ingredients tab",IF(E762="","Add - no quantity",IF(F762="","Add - no unit",IF(K762&lt;&gt;L762,"Check - recipe in "&amp;K762&amp;", priced in "&amp;L762,IF(COUNTIFS($AA$5:$AA$1204,AA762)&gt;1,"Duplicate - same ingredient twice","OK")))))))</f>
        <v>0</v>
      </c>
    </row>
    <row r="763" spans="1:28">
      <c r="A763" s="39">
        <f>IF(D763="","","RL-"&amp;TEXT(ROW()-4,"0000"))</f>
        <v>0</v>
      </c>
      <c r="C763" s="17">
        <f>IF(B763="","",IFERROR(INDEX(Recipes!$B$5:$B$204,MATCH(B763,Recipes!$A$5:$A$204,0)),"Not found"))</f>
        <v>0</v>
      </c>
      <c r="J763" s="45">
        <f>IF(E763="","",IFERROR(E763*INDEX(UnitFactors,MATCH(F763,UnitNames,0)),""))</f>
        <v>0</v>
      </c>
      <c r="K763" s="17">
        <f>IF(F763="","",IFERROR(INDEX(UnitBases,MATCH(F763,UnitNames,0)),"?"))</f>
        <v>0</v>
      </c>
      <c r="L763" s="17">
        <f>IF(D763="","",IFERROR(INDEX(Ingredients!$G$5:$G$304,MATCH(D763,Ingredients!$B$5:$B$304,0)),"Add to Ingredients"))</f>
        <v>0</v>
      </c>
      <c r="M763" s="25">
        <f>IF(D763="","",IFERROR(INDEX(Ingredients!$J$5:$J$304,MATCH(D763,Ingredients!$B$5:$B$304,0)),"Add to Ingredients"))</f>
        <v>0</v>
      </c>
      <c r="N763" s="25">
        <f>IF(OR(J763="",M763="",NOT(ISNUMBER(M763))),"",IF(K763&lt;&gt;L763,"",J763*M763))</f>
        <v>0</v>
      </c>
      <c r="O763" s="25">
        <f>IF(N763="","",IFERROR(N763/INDEX(Recipes!$G$5:$G$204,MATCH(B763,Recipes!$A$5:$A$204,0)),""))</f>
        <v>0</v>
      </c>
      <c r="P763" s="30">
        <f>IF(J763="","",IF(K763="each",J763,J763/100))</f>
        <v>0</v>
      </c>
      <c r="Q763" s="30">
        <f>IFERROR(IF(P763="","",P763*INDEX(Ingredients!$P$5:$P$304,MATCH(D763,Ingredients!$B$5:$B$304,0))),"")</f>
        <v>0</v>
      </c>
      <c r="R763" s="45">
        <f>IFERROR(IF(P763="","",P763*INDEX(Ingredients!$Q$5:$Q$304,MATCH(D763,Ingredients!$B$5:$B$304,0))),"")</f>
        <v>0</v>
      </c>
      <c r="S763" s="45">
        <f>IFERROR(IF(P763="","",P763*INDEX(Ingredients!$R$5:$R$304,MATCH(D763,Ingredients!$B$5:$B$304,0))),"")</f>
        <v>0</v>
      </c>
      <c r="T763" s="45">
        <f>IFERROR(IF(P763="","",P763*INDEX(Ingredients!$S$5:$S$304,MATCH(D763,Ingredients!$B$5:$B$304,0))),"")</f>
        <v>0</v>
      </c>
      <c r="U763" s="45">
        <f>IFERROR(IF(P763="","",P763*INDEX(Ingredients!$T$5:$T$304,MATCH(D763,Ingredients!$B$5:$B$304,0))),"")</f>
        <v>0</v>
      </c>
      <c r="V763" s="17">
        <f>IF(D763="","",IFERROR(INDEX(Ingredients!$W$5:$W$304,MATCH(D763,Ingredients!$B$5:$B$304,0)),"Add to Ingredients"))</f>
        <v>0</v>
      </c>
      <c r="W763" s="17">
        <f>IF(D763="","",IFERROR(INDEX(Ingredients!$C$5:$C$304,MATCH(D763,Ingredients!$B$5:$B$304,0)),"Add to Ingredients"))</f>
        <v>0</v>
      </c>
      <c r="X763" s="45">
        <f>IFERROR(INDEX(Recipes!$AT$5:$AT$204,MATCH(B763,Recipes!$A$5:$A$204,0)),0)</f>
        <v>0</v>
      </c>
      <c r="Y763" s="45">
        <f>IF(OR(J763="",X763=0),"",J763*X763)</f>
        <v>0</v>
      </c>
      <c r="Z763" s="17">
        <f>IF(D763="","",B763&amp;"#"&amp;COUNTIFS($B$5:B763,B763))</f>
        <v>0</v>
      </c>
      <c r="AA763" s="17">
        <f>IF(D763="","",B763&amp;"|"&amp;D763)</f>
        <v>0</v>
      </c>
      <c r="AB763" s="31">
        <f>IF(D763="","",IF(B763="","Add - which recipe?",IF(COUNTIFS(Ingredients!$B$5:$B$304,D763)=0,"Missing - not in the Ingredients tab",IF(E763="","Add - no quantity",IF(F763="","Add - no unit",IF(K763&lt;&gt;L763,"Check - recipe in "&amp;K763&amp;", priced in "&amp;L763,IF(COUNTIFS($AA$5:$AA$1204,AA763)&gt;1,"Duplicate - same ingredient twice","OK")))))))</f>
        <v>0</v>
      </c>
    </row>
    <row r="764" spans="1:28">
      <c r="A764" s="39">
        <f>IF(D764="","","RL-"&amp;TEXT(ROW()-4,"0000"))</f>
        <v>0</v>
      </c>
      <c r="C764" s="17">
        <f>IF(B764="","",IFERROR(INDEX(Recipes!$B$5:$B$204,MATCH(B764,Recipes!$A$5:$A$204,0)),"Not found"))</f>
        <v>0</v>
      </c>
      <c r="J764" s="45">
        <f>IF(E764="","",IFERROR(E764*INDEX(UnitFactors,MATCH(F764,UnitNames,0)),""))</f>
        <v>0</v>
      </c>
      <c r="K764" s="17">
        <f>IF(F764="","",IFERROR(INDEX(UnitBases,MATCH(F764,UnitNames,0)),"?"))</f>
        <v>0</v>
      </c>
      <c r="L764" s="17">
        <f>IF(D764="","",IFERROR(INDEX(Ingredients!$G$5:$G$304,MATCH(D764,Ingredients!$B$5:$B$304,0)),"Add to Ingredients"))</f>
        <v>0</v>
      </c>
      <c r="M764" s="25">
        <f>IF(D764="","",IFERROR(INDEX(Ingredients!$J$5:$J$304,MATCH(D764,Ingredients!$B$5:$B$304,0)),"Add to Ingredients"))</f>
        <v>0</v>
      </c>
      <c r="N764" s="25">
        <f>IF(OR(J764="",M764="",NOT(ISNUMBER(M764))),"",IF(K764&lt;&gt;L764,"",J764*M764))</f>
        <v>0</v>
      </c>
      <c r="O764" s="25">
        <f>IF(N764="","",IFERROR(N764/INDEX(Recipes!$G$5:$G$204,MATCH(B764,Recipes!$A$5:$A$204,0)),""))</f>
        <v>0</v>
      </c>
      <c r="P764" s="30">
        <f>IF(J764="","",IF(K764="each",J764,J764/100))</f>
        <v>0</v>
      </c>
      <c r="Q764" s="30">
        <f>IFERROR(IF(P764="","",P764*INDEX(Ingredients!$P$5:$P$304,MATCH(D764,Ingredients!$B$5:$B$304,0))),"")</f>
        <v>0</v>
      </c>
      <c r="R764" s="45">
        <f>IFERROR(IF(P764="","",P764*INDEX(Ingredients!$Q$5:$Q$304,MATCH(D764,Ingredients!$B$5:$B$304,0))),"")</f>
        <v>0</v>
      </c>
      <c r="S764" s="45">
        <f>IFERROR(IF(P764="","",P764*INDEX(Ingredients!$R$5:$R$304,MATCH(D764,Ingredients!$B$5:$B$304,0))),"")</f>
        <v>0</v>
      </c>
      <c r="T764" s="45">
        <f>IFERROR(IF(P764="","",P764*INDEX(Ingredients!$S$5:$S$304,MATCH(D764,Ingredients!$B$5:$B$304,0))),"")</f>
        <v>0</v>
      </c>
      <c r="U764" s="45">
        <f>IFERROR(IF(P764="","",P764*INDEX(Ingredients!$T$5:$T$304,MATCH(D764,Ingredients!$B$5:$B$304,0))),"")</f>
        <v>0</v>
      </c>
      <c r="V764" s="17">
        <f>IF(D764="","",IFERROR(INDEX(Ingredients!$W$5:$W$304,MATCH(D764,Ingredients!$B$5:$B$304,0)),"Add to Ingredients"))</f>
        <v>0</v>
      </c>
      <c r="W764" s="17">
        <f>IF(D764="","",IFERROR(INDEX(Ingredients!$C$5:$C$304,MATCH(D764,Ingredients!$B$5:$B$304,0)),"Add to Ingredients"))</f>
        <v>0</v>
      </c>
      <c r="X764" s="45">
        <f>IFERROR(INDEX(Recipes!$AT$5:$AT$204,MATCH(B764,Recipes!$A$5:$A$204,0)),0)</f>
        <v>0</v>
      </c>
      <c r="Y764" s="45">
        <f>IF(OR(J764="",X764=0),"",J764*X764)</f>
        <v>0</v>
      </c>
      <c r="Z764" s="17">
        <f>IF(D764="","",B764&amp;"#"&amp;COUNTIFS($B$5:B764,B764))</f>
        <v>0</v>
      </c>
      <c r="AA764" s="17">
        <f>IF(D764="","",B764&amp;"|"&amp;D764)</f>
        <v>0</v>
      </c>
      <c r="AB764" s="31">
        <f>IF(D764="","",IF(B764="","Add - which recipe?",IF(COUNTIFS(Ingredients!$B$5:$B$304,D764)=0,"Missing - not in the Ingredients tab",IF(E764="","Add - no quantity",IF(F764="","Add - no unit",IF(K764&lt;&gt;L764,"Check - recipe in "&amp;K764&amp;", priced in "&amp;L764,IF(COUNTIFS($AA$5:$AA$1204,AA764)&gt;1,"Duplicate - same ingredient twice","OK")))))))</f>
        <v>0</v>
      </c>
    </row>
    <row r="765" spans="1:28">
      <c r="A765" s="39">
        <f>IF(D765="","","RL-"&amp;TEXT(ROW()-4,"0000"))</f>
        <v>0</v>
      </c>
      <c r="C765" s="17">
        <f>IF(B765="","",IFERROR(INDEX(Recipes!$B$5:$B$204,MATCH(B765,Recipes!$A$5:$A$204,0)),"Not found"))</f>
        <v>0</v>
      </c>
      <c r="J765" s="45">
        <f>IF(E765="","",IFERROR(E765*INDEX(UnitFactors,MATCH(F765,UnitNames,0)),""))</f>
        <v>0</v>
      </c>
      <c r="K765" s="17">
        <f>IF(F765="","",IFERROR(INDEX(UnitBases,MATCH(F765,UnitNames,0)),"?"))</f>
        <v>0</v>
      </c>
      <c r="L765" s="17">
        <f>IF(D765="","",IFERROR(INDEX(Ingredients!$G$5:$G$304,MATCH(D765,Ingredients!$B$5:$B$304,0)),"Add to Ingredients"))</f>
        <v>0</v>
      </c>
      <c r="M765" s="25">
        <f>IF(D765="","",IFERROR(INDEX(Ingredients!$J$5:$J$304,MATCH(D765,Ingredients!$B$5:$B$304,0)),"Add to Ingredients"))</f>
        <v>0</v>
      </c>
      <c r="N765" s="25">
        <f>IF(OR(J765="",M765="",NOT(ISNUMBER(M765))),"",IF(K765&lt;&gt;L765,"",J765*M765))</f>
        <v>0</v>
      </c>
      <c r="O765" s="25">
        <f>IF(N765="","",IFERROR(N765/INDEX(Recipes!$G$5:$G$204,MATCH(B765,Recipes!$A$5:$A$204,0)),""))</f>
        <v>0</v>
      </c>
      <c r="P765" s="30">
        <f>IF(J765="","",IF(K765="each",J765,J765/100))</f>
        <v>0</v>
      </c>
      <c r="Q765" s="30">
        <f>IFERROR(IF(P765="","",P765*INDEX(Ingredients!$P$5:$P$304,MATCH(D765,Ingredients!$B$5:$B$304,0))),"")</f>
        <v>0</v>
      </c>
      <c r="R765" s="45">
        <f>IFERROR(IF(P765="","",P765*INDEX(Ingredients!$Q$5:$Q$304,MATCH(D765,Ingredients!$B$5:$B$304,0))),"")</f>
        <v>0</v>
      </c>
      <c r="S765" s="45">
        <f>IFERROR(IF(P765="","",P765*INDEX(Ingredients!$R$5:$R$304,MATCH(D765,Ingredients!$B$5:$B$304,0))),"")</f>
        <v>0</v>
      </c>
      <c r="T765" s="45">
        <f>IFERROR(IF(P765="","",P765*INDEX(Ingredients!$S$5:$S$304,MATCH(D765,Ingredients!$B$5:$B$304,0))),"")</f>
        <v>0</v>
      </c>
      <c r="U765" s="45">
        <f>IFERROR(IF(P765="","",P765*INDEX(Ingredients!$T$5:$T$304,MATCH(D765,Ingredients!$B$5:$B$304,0))),"")</f>
        <v>0</v>
      </c>
      <c r="V765" s="17">
        <f>IF(D765="","",IFERROR(INDEX(Ingredients!$W$5:$W$304,MATCH(D765,Ingredients!$B$5:$B$304,0)),"Add to Ingredients"))</f>
        <v>0</v>
      </c>
      <c r="W765" s="17">
        <f>IF(D765="","",IFERROR(INDEX(Ingredients!$C$5:$C$304,MATCH(D765,Ingredients!$B$5:$B$304,0)),"Add to Ingredients"))</f>
        <v>0</v>
      </c>
      <c r="X765" s="45">
        <f>IFERROR(INDEX(Recipes!$AT$5:$AT$204,MATCH(B765,Recipes!$A$5:$A$204,0)),0)</f>
        <v>0</v>
      </c>
      <c r="Y765" s="45">
        <f>IF(OR(J765="",X765=0),"",J765*X765)</f>
        <v>0</v>
      </c>
      <c r="Z765" s="17">
        <f>IF(D765="","",B765&amp;"#"&amp;COUNTIFS($B$5:B765,B765))</f>
        <v>0</v>
      </c>
      <c r="AA765" s="17">
        <f>IF(D765="","",B765&amp;"|"&amp;D765)</f>
        <v>0</v>
      </c>
      <c r="AB765" s="31">
        <f>IF(D765="","",IF(B765="","Add - which recipe?",IF(COUNTIFS(Ingredients!$B$5:$B$304,D765)=0,"Missing - not in the Ingredients tab",IF(E765="","Add - no quantity",IF(F765="","Add - no unit",IF(K765&lt;&gt;L765,"Check - recipe in "&amp;K765&amp;", priced in "&amp;L765,IF(COUNTIFS($AA$5:$AA$1204,AA765)&gt;1,"Duplicate - same ingredient twice","OK")))))))</f>
        <v>0</v>
      </c>
    </row>
    <row r="766" spans="1:28">
      <c r="A766" s="39">
        <f>IF(D766="","","RL-"&amp;TEXT(ROW()-4,"0000"))</f>
        <v>0</v>
      </c>
      <c r="C766" s="17">
        <f>IF(B766="","",IFERROR(INDEX(Recipes!$B$5:$B$204,MATCH(B766,Recipes!$A$5:$A$204,0)),"Not found"))</f>
        <v>0</v>
      </c>
      <c r="J766" s="45">
        <f>IF(E766="","",IFERROR(E766*INDEX(UnitFactors,MATCH(F766,UnitNames,0)),""))</f>
        <v>0</v>
      </c>
      <c r="K766" s="17">
        <f>IF(F766="","",IFERROR(INDEX(UnitBases,MATCH(F766,UnitNames,0)),"?"))</f>
        <v>0</v>
      </c>
      <c r="L766" s="17">
        <f>IF(D766="","",IFERROR(INDEX(Ingredients!$G$5:$G$304,MATCH(D766,Ingredients!$B$5:$B$304,0)),"Add to Ingredients"))</f>
        <v>0</v>
      </c>
      <c r="M766" s="25">
        <f>IF(D766="","",IFERROR(INDEX(Ingredients!$J$5:$J$304,MATCH(D766,Ingredients!$B$5:$B$304,0)),"Add to Ingredients"))</f>
        <v>0</v>
      </c>
      <c r="N766" s="25">
        <f>IF(OR(J766="",M766="",NOT(ISNUMBER(M766))),"",IF(K766&lt;&gt;L766,"",J766*M766))</f>
        <v>0</v>
      </c>
      <c r="O766" s="25">
        <f>IF(N766="","",IFERROR(N766/INDEX(Recipes!$G$5:$G$204,MATCH(B766,Recipes!$A$5:$A$204,0)),""))</f>
        <v>0</v>
      </c>
      <c r="P766" s="30">
        <f>IF(J766="","",IF(K766="each",J766,J766/100))</f>
        <v>0</v>
      </c>
      <c r="Q766" s="30">
        <f>IFERROR(IF(P766="","",P766*INDEX(Ingredients!$P$5:$P$304,MATCH(D766,Ingredients!$B$5:$B$304,0))),"")</f>
        <v>0</v>
      </c>
      <c r="R766" s="45">
        <f>IFERROR(IF(P766="","",P766*INDEX(Ingredients!$Q$5:$Q$304,MATCH(D766,Ingredients!$B$5:$B$304,0))),"")</f>
        <v>0</v>
      </c>
      <c r="S766" s="45">
        <f>IFERROR(IF(P766="","",P766*INDEX(Ingredients!$R$5:$R$304,MATCH(D766,Ingredients!$B$5:$B$304,0))),"")</f>
        <v>0</v>
      </c>
      <c r="T766" s="45">
        <f>IFERROR(IF(P766="","",P766*INDEX(Ingredients!$S$5:$S$304,MATCH(D766,Ingredients!$B$5:$B$304,0))),"")</f>
        <v>0</v>
      </c>
      <c r="U766" s="45">
        <f>IFERROR(IF(P766="","",P766*INDEX(Ingredients!$T$5:$T$304,MATCH(D766,Ingredients!$B$5:$B$304,0))),"")</f>
        <v>0</v>
      </c>
      <c r="V766" s="17">
        <f>IF(D766="","",IFERROR(INDEX(Ingredients!$W$5:$W$304,MATCH(D766,Ingredients!$B$5:$B$304,0)),"Add to Ingredients"))</f>
        <v>0</v>
      </c>
      <c r="W766" s="17">
        <f>IF(D766="","",IFERROR(INDEX(Ingredients!$C$5:$C$304,MATCH(D766,Ingredients!$B$5:$B$304,0)),"Add to Ingredients"))</f>
        <v>0</v>
      </c>
      <c r="X766" s="45">
        <f>IFERROR(INDEX(Recipes!$AT$5:$AT$204,MATCH(B766,Recipes!$A$5:$A$204,0)),0)</f>
        <v>0</v>
      </c>
      <c r="Y766" s="45">
        <f>IF(OR(J766="",X766=0),"",J766*X766)</f>
        <v>0</v>
      </c>
      <c r="Z766" s="17">
        <f>IF(D766="","",B766&amp;"#"&amp;COUNTIFS($B$5:B766,B766))</f>
        <v>0</v>
      </c>
      <c r="AA766" s="17">
        <f>IF(D766="","",B766&amp;"|"&amp;D766)</f>
        <v>0</v>
      </c>
      <c r="AB766" s="31">
        <f>IF(D766="","",IF(B766="","Add - which recipe?",IF(COUNTIFS(Ingredients!$B$5:$B$304,D766)=0,"Missing - not in the Ingredients tab",IF(E766="","Add - no quantity",IF(F766="","Add - no unit",IF(K766&lt;&gt;L766,"Check - recipe in "&amp;K766&amp;", priced in "&amp;L766,IF(COUNTIFS($AA$5:$AA$1204,AA766)&gt;1,"Duplicate - same ingredient twice","OK")))))))</f>
        <v>0</v>
      </c>
    </row>
    <row r="767" spans="1:28">
      <c r="A767" s="39">
        <f>IF(D767="","","RL-"&amp;TEXT(ROW()-4,"0000"))</f>
        <v>0</v>
      </c>
      <c r="C767" s="17">
        <f>IF(B767="","",IFERROR(INDEX(Recipes!$B$5:$B$204,MATCH(B767,Recipes!$A$5:$A$204,0)),"Not found"))</f>
        <v>0</v>
      </c>
      <c r="J767" s="45">
        <f>IF(E767="","",IFERROR(E767*INDEX(UnitFactors,MATCH(F767,UnitNames,0)),""))</f>
        <v>0</v>
      </c>
      <c r="K767" s="17">
        <f>IF(F767="","",IFERROR(INDEX(UnitBases,MATCH(F767,UnitNames,0)),"?"))</f>
        <v>0</v>
      </c>
      <c r="L767" s="17">
        <f>IF(D767="","",IFERROR(INDEX(Ingredients!$G$5:$G$304,MATCH(D767,Ingredients!$B$5:$B$304,0)),"Add to Ingredients"))</f>
        <v>0</v>
      </c>
      <c r="M767" s="25">
        <f>IF(D767="","",IFERROR(INDEX(Ingredients!$J$5:$J$304,MATCH(D767,Ingredients!$B$5:$B$304,0)),"Add to Ingredients"))</f>
        <v>0</v>
      </c>
      <c r="N767" s="25">
        <f>IF(OR(J767="",M767="",NOT(ISNUMBER(M767))),"",IF(K767&lt;&gt;L767,"",J767*M767))</f>
        <v>0</v>
      </c>
      <c r="O767" s="25">
        <f>IF(N767="","",IFERROR(N767/INDEX(Recipes!$G$5:$G$204,MATCH(B767,Recipes!$A$5:$A$204,0)),""))</f>
        <v>0</v>
      </c>
      <c r="P767" s="30">
        <f>IF(J767="","",IF(K767="each",J767,J767/100))</f>
        <v>0</v>
      </c>
      <c r="Q767" s="30">
        <f>IFERROR(IF(P767="","",P767*INDEX(Ingredients!$P$5:$P$304,MATCH(D767,Ingredients!$B$5:$B$304,0))),"")</f>
        <v>0</v>
      </c>
      <c r="R767" s="45">
        <f>IFERROR(IF(P767="","",P767*INDEX(Ingredients!$Q$5:$Q$304,MATCH(D767,Ingredients!$B$5:$B$304,0))),"")</f>
        <v>0</v>
      </c>
      <c r="S767" s="45">
        <f>IFERROR(IF(P767="","",P767*INDEX(Ingredients!$R$5:$R$304,MATCH(D767,Ingredients!$B$5:$B$304,0))),"")</f>
        <v>0</v>
      </c>
      <c r="T767" s="45">
        <f>IFERROR(IF(P767="","",P767*INDEX(Ingredients!$S$5:$S$304,MATCH(D767,Ingredients!$B$5:$B$304,0))),"")</f>
        <v>0</v>
      </c>
      <c r="U767" s="45">
        <f>IFERROR(IF(P767="","",P767*INDEX(Ingredients!$T$5:$T$304,MATCH(D767,Ingredients!$B$5:$B$304,0))),"")</f>
        <v>0</v>
      </c>
      <c r="V767" s="17">
        <f>IF(D767="","",IFERROR(INDEX(Ingredients!$W$5:$W$304,MATCH(D767,Ingredients!$B$5:$B$304,0)),"Add to Ingredients"))</f>
        <v>0</v>
      </c>
      <c r="W767" s="17">
        <f>IF(D767="","",IFERROR(INDEX(Ingredients!$C$5:$C$304,MATCH(D767,Ingredients!$B$5:$B$304,0)),"Add to Ingredients"))</f>
        <v>0</v>
      </c>
      <c r="X767" s="45">
        <f>IFERROR(INDEX(Recipes!$AT$5:$AT$204,MATCH(B767,Recipes!$A$5:$A$204,0)),0)</f>
        <v>0</v>
      </c>
      <c r="Y767" s="45">
        <f>IF(OR(J767="",X767=0),"",J767*X767)</f>
        <v>0</v>
      </c>
      <c r="Z767" s="17">
        <f>IF(D767="","",B767&amp;"#"&amp;COUNTIFS($B$5:B767,B767))</f>
        <v>0</v>
      </c>
      <c r="AA767" s="17">
        <f>IF(D767="","",B767&amp;"|"&amp;D767)</f>
        <v>0</v>
      </c>
      <c r="AB767" s="31">
        <f>IF(D767="","",IF(B767="","Add - which recipe?",IF(COUNTIFS(Ingredients!$B$5:$B$304,D767)=0,"Missing - not in the Ingredients tab",IF(E767="","Add - no quantity",IF(F767="","Add - no unit",IF(K767&lt;&gt;L767,"Check - recipe in "&amp;K767&amp;", priced in "&amp;L767,IF(COUNTIFS($AA$5:$AA$1204,AA767)&gt;1,"Duplicate - same ingredient twice","OK")))))))</f>
        <v>0</v>
      </c>
    </row>
    <row r="768" spans="1:28">
      <c r="A768" s="39">
        <f>IF(D768="","","RL-"&amp;TEXT(ROW()-4,"0000"))</f>
        <v>0</v>
      </c>
      <c r="C768" s="17">
        <f>IF(B768="","",IFERROR(INDEX(Recipes!$B$5:$B$204,MATCH(B768,Recipes!$A$5:$A$204,0)),"Not found"))</f>
        <v>0</v>
      </c>
      <c r="J768" s="45">
        <f>IF(E768="","",IFERROR(E768*INDEX(UnitFactors,MATCH(F768,UnitNames,0)),""))</f>
        <v>0</v>
      </c>
      <c r="K768" s="17">
        <f>IF(F768="","",IFERROR(INDEX(UnitBases,MATCH(F768,UnitNames,0)),"?"))</f>
        <v>0</v>
      </c>
      <c r="L768" s="17">
        <f>IF(D768="","",IFERROR(INDEX(Ingredients!$G$5:$G$304,MATCH(D768,Ingredients!$B$5:$B$304,0)),"Add to Ingredients"))</f>
        <v>0</v>
      </c>
      <c r="M768" s="25">
        <f>IF(D768="","",IFERROR(INDEX(Ingredients!$J$5:$J$304,MATCH(D768,Ingredients!$B$5:$B$304,0)),"Add to Ingredients"))</f>
        <v>0</v>
      </c>
      <c r="N768" s="25">
        <f>IF(OR(J768="",M768="",NOT(ISNUMBER(M768))),"",IF(K768&lt;&gt;L768,"",J768*M768))</f>
        <v>0</v>
      </c>
      <c r="O768" s="25">
        <f>IF(N768="","",IFERROR(N768/INDEX(Recipes!$G$5:$G$204,MATCH(B768,Recipes!$A$5:$A$204,0)),""))</f>
        <v>0</v>
      </c>
      <c r="P768" s="30">
        <f>IF(J768="","",IF(K768="each",J768,J768/100))</f>
        <v>0</v>
      </c>
      <c r="Q768" s="30">
        <f>IFERROR(IF(P768="","",P768*INDEX(Ingredients!$P$5:$P$304,MATCH(D768,Ingredients!$B$5:$B$304,0))),"")</f>
        <v>0</v>
      </c>
      <c r="R768" s="45">
        <f>IFERROR(IF(P768="","",P768*INDEX(Ingredients!$Q$5:$Q$304,MATCH(D768,Ingredients!$B$5:$B$304,0))),"")</f>
        <v>0</v>
      </c>
      <c r="S768" s="45">
        <f>IFERROR(IF(P768="","",P768*INDEX(Ingredients!$R$5:$R$304,MATCH(D768,Ingredients!$B$5:$B$304,0))),"")</f>
        <v>0</v>
      </c>
      <c r="T768" s="45">
        <f>IFERROR(IF(P768="","",P768*INDEX(Ingredients!$S$5:$S$304,MATCH(D768,Ingredients!$B$5:$B$304,0))),"")</f>
        <v>0</v>
      </c>
      <c r="U768" s="45">
        <f>IFERROR(IF(P768="","",P768*INDEX(Ingredients!$T$5:$T$304,MATCH(D768,Ingredients!$B$5:$B$304,0))),"")</f>
        <v>0</v>
      </c>
      <c r="V768" s="17">
        <f>IF(D768="","",IFERROR(INDEX(Ingredients!$W$5:$W$304,MATCH(D768,Ingredients!$B$5:$B$304,0)),"Add to Ingredients"))</f>
        <v>0</v>
      </c>
      <c r="W768" s="17">
        <f>IF(D768="","",IFERROR(INDEX(Ingredients!$C$5:$C$304,MATCH(D768,Ingredients!$B$5:$B$304,0)),"Add to Ingredients"))</f>
        <v>0</v>
      </c>
      <c r="X768" s="45">
        <f>IFERROR(INDEX(Recipes!$AT$5:$AT$204,MATCH(B768,Recipes!$A$5:$A$204,0)),0)</f>
        <v>0</v>
      </c>
      <c r="Y768" s="45">
        <f>IF(OR(J768="",X768=0),"",J768*X768)</f>
        <v>0</v>
      </c>
      <c r="Z768" s="17">
        <f>IF(D768="","",B768&amp;"#"&amp;COUNTIFS($B$5:B768,B768))</f>
        <v>0</v>
      </c>
      <c r="AA768" s="17">
        <f>IF(D768="","",B768&amp;"|"&amp;D768)</f>
        <v>0</v>
      </c>
      <c r="AB768" s="31">
        <f>IF(D768="","",IF(B768="","Add - which recipe?",IF(COUNTIFS(Ingredients!$B$5:$B$304,D768)=0,"Missing - not in the Ingredients tab",IF(E768="","Add - no quantity",IF(F768="","Add - no unit",IF(K768&lt;&gt;L768,"Check - recipe in "&amp;K768&amp;", priced in "&amp;L768,IF(COUNTIFS($AA$5:$AA$1204,AA768)&gt;1,"Duplicate - same ingredient twice","OK")))))))</f>
        <v>0</v>
      </c>
    </row>
    <row r="769" spans="1:28">
      <c r="A769" s="39">
        <f>IF(D769="","","RL-"&amp;TEXT(ROW()-4,"0000"))</f>
        <v>0</v>
      </c>
      <c r="C769" s="17">
        <f>IF(B769="","",IFERROR(INDEX(Recipes!$B$5:$B$204,MATCH(B769,Recipes!$A$5:$A$204,0)),"Not found"))</f>
        <v>0</v>
      </c>
      <c r="J769" s="45">
        <f>IF(E769="","",IFERROR(E769*INDEX(UnitFactors,MATCH(F769,UnitNames,0)),""))</f>
        <v>0</v>
      </c>
      <c r="K769" s="17">
        <f>IF(F769="","",IFERROR(INDEX(UnitBases,MATCH(F769,UnitNames,0)),"?"))</f>
        <v>0</v>
      </c>
      <c r="L769" s="17">
        <f>IF(D769="","",IFERROR(INDEX(Ingredients!$G$5:$G$304,MATCH(D769,Ingredients!$B$5:$B$304,0)),"Add to Ingredients"))</f>
        <v>0</v>
      </c>
      <c r="M769" s="25">
        <f>IF(D769="","",IFERROR(INDEX(Ingredients!$J$5:$J$304,MATCH(D769,Ingredients!$B$5:$B$304,0)),"Add to Ingredients"))</f>
        <v>0</v>
      </c>
      <c r="N769" s="25">
        <f>IF(OR(J769="",M769="",NOT(ISNUMBER(M769))),"",IF(K769&lt;&gt;L769,"",J769*M769))</f>
        <v>0</v>
      </c>
      <c r="O769" s="25">
        <f>IF(N769="","",IFERROR(N769/INDEX(Recipes!$G$5:$G$204,MATCH(B769,Recipes!$A$5:$A$204,0)),""))</f>
        <v>0</v>
      </c>
      <c r="P769" s="30">
        <f>IF(J769="","",IF(K769="each",J769,J769/100))</f>
        <v>0</v>
      </c>
      <c r="Q769" s="30">
        <f>IFERROR(IF(P769="","",P769*INDEX(Ingredients!$P$5:$P$304,MATCH(D769,Ingredients!$B$5:$B$304,0))),"")</f>
        <v>0</v>
      </c>
      <c r="R769" s="45">
        <f>IFERROR(IF(P769="","",P769*INDEX(Ingredients!$Q$5:$Q$304,MATCH(D769,Ingredients!$B$5:$B$304,0))),"")</f>
        <v>0</v>
      </c>
      <c r="S769" s="45">
        <f>IFERROR(IF(P769="","",P769*INDEX(Ingredients!$R$5:$R$304,MATCH(D769,Ingredients!$B$5:$B$304,0))),"")</f>
        <v>0</v>
      </c>
      <c r="T769" s="45">
        <f>IFERROR(IF(P769="","",P769*INDEX(Ingredients!$S$5:$S$304,MATCH(D769,Ingredients!$B$5:$B$304,0))),"")</f>
        <v>0</v>
      </c>
      <c r="U769" s="45">
        <f>IFERROR(IF(P769="","",P769*INDEX(Ingredients!$T$5:$T$304,MATCH(D769,Ingredients!$B$5:$B$304,0))),"")</f>
        <v>0</v>
      </c>
      <c r="V769" s="17">
        <f>IF(D769="","",IFERROR(INDEX(Ingredients!$W$5:$W$304,MATCH(D769,Ingredients!$B$5:$B$304,0)),"Add to Ingredients"))</f>
        <v>0</v>
      </c>
      <c r="W769" s="17">
        <f>IF(D769="","",IFERROR(INDEX(Ingredients!$C$5:$C$304,MATCH(D769,Ingredients!$B$5:$B$304,0)),"Add to Ingredients"))</f>
        <v>0</v>
      </c>
      <c r="X769" s="45">
        <f>IFERROR(INDEX(Recipes!$AT$5:$AT$204,MATCH(B769,Recipes!$A$5:$A$204,0)),0)</f>
        <v>0</v>
      </c>
      <c r="Y769" s="45">
        <f>IF(OR(J769="",X769=0),"",J769*X769)</f>
        <v>0</v>
      </c>
      <c r="Z769" s="17">
        <f>IF(D769="","",B769&amp;"#"&amp;COUNTIFS($B$5:B769,B769))</f>
        <v>0</v>
      </c>
      <c r="AA769" s="17">
        <f>IF(D769="","",B769&amp;"|"&amp;D769)</f>
        <v>0</v>
      </c>
      <c r="AB769" s="31">
        <f>IF(D769="","",IF(B769="","Add - which recipe?",IF(COUNTIFS(Ingredients!$B$5:$B$304,D769)=0,"Missing - not in the Ingredients tab",IF(E769="","Add - no quantity",IF(F769="","Add - no unit",IF(K769&lt;&gt;L769,"Check - recipe in "&amp;K769&amp;", priced in "&amp;L769,IF(COUNTIFS($AA$5:$AA$1204,AA769)&gt;1,"Duplicate - same ingredient twice","OK")))))))</f>
        <v>0</v>
      </c>
    </row>
    <row r="770" spans="1:28">
      <c r="A770" s="39">
        <f>IF(D770="","","RL-"&amp;TEXT(ROW()-4,"0000"))</f>
        <v>0</v>
      </c>
      <c r="C770" s="17">
        <f>IF(B770="","",IFERROR(INDEX(Recipes!$B$5:$B$204,MATCH(B770,Recipes!$A$5:$A$204,0)),"Not found"))</f>
        <v>0</v>
      </c>
      <c r="J770" s="45">
        <f>IF(E770="","",IFERROR(E770*INDEX(UnitFactors,MATCH(F770,UnitNames,0)),""))</f>
        <v>0</v>
      </c>
      <c r="K770" s="17">
        <f>IF(F770="","",IFERROR(INDEX(UnitBases,MATCH(F770,UnitNames,0)),"?"))</f>
        <v>0</v>
      </c>
      <c r="L770" s="17">
        <f>IF(D770="","",IFERROR(INDEX(Ingredients!$G$5:$G$304,MATCH(D770,Ingredients!$B$5:$B$304,0)),"Add to Ingredients"))</f>
        <v>0</v>
      </c>
      <c r="M770" s="25">
        <f>IF(D770="","",IFERROR(INDEX(Ingredients!$J$5:$J$304,MATCH(D770,Ingredients!$B$5:$B$304,0)),"Add to Ingredients"))</f>
        <v>0</v>
      </c>
      <c r="N770" s="25">
        <f>IF(OR(J770="",M770="",NOT(ISNUMBER(M770))),"",IF(K770&lt;&gt;L770,"",J770*M770))</f>
        <v>0</v>
      </c>
      <c r="O770" s="25">
        <f>IF(N770="","",IFERROR(N770/INDEX(Recipes!$G$5:$G$204,MATCH(B770,Recipes!$A$5:$A$204,0)),""))</f>
        <v>0</v>
      </c>
      <c r="P770" s="30">
        <f>IF(J770="","",IF(K770="each",J770,J770/100))</f>
        <v>0</v>
      </c>
      <c r="Q770" s="30">
        <f>IFERROR(IF(P770="","",P770*INDEX(Ingredients!$P$5:$P$304,MATCH(D770,Ingredients!$B$5:$B$304,0))),"")</f>
        <v>0</v>
      </c>
      <c r="R770" s="45">
        <f>IFERROR(IF(P770="","",P770*INDEX(Ingredients!$Q$5:$Q$304,MATCH(D770,Ingredients!$B$5:$B$304,0))),"")</f>
        <v>0</v>
      </c>
      <c r="S770" s="45">
        <f>IFERROR(IF(P770="","",P770*INDEX(Ingredients!$R$5:$R$304,MATCH(D770,Ingredients!$B$5:$B$304,0))),"")</f>
        <v>0</v>
      </c>
      <c r="T770" s="45">
        <f>IFERROR(IF(P770="","",P770*INDEX(Ingredients!$S$5:$S$304,MATCH(D770,Ingredients!$B$5:$B$304,0))),"")</f>
        <v>0</v>
      </c>
      <c r="U770" s="45">
        <f>IFERROR(IF(P770="","",P770*INDEX(Ingredients!$T$5:$T$304,MATCH(D770,Ingredients!$B$5:$B$304,0))),"")</f>
        <v>0</v>
      </c>
      <c r="V770" s="17">
        <f>IF(D770="","",IFERROR(INDEX(Ingredients!$W$5:$W$304,MATCH(D770,Ingredients!$B$5:$B$304,0)),"Add to Ingredients"))</f>
        <v>0</v>
      </c>
      <c r="W770" s="17">
        <f>IF(D770="","",IFERROR(INDEX(Ingredients!$C$5:$C$304,MATCH(D770,Ingredients!$B$5:$B$304,0)),"Add to Ingredients"))</f>
        <v>0</v>
      </c>
      <c r="X770" s="45">
        <f>IFERROR(INDEX(Recipes!$AT$5:$AT$204,MATCH(B770,Recipes!$A$5:$A$204,0)),0)</f>
        <v>0</v>
      </c>
      <c r="Y770" s="45">
        <f>IF(OR(J770="",X770=0),"",J770*X770)</f>
        <v>0</v>
      </c>
      <c r="Z770" s="17">
        <f>IF(D770="","",B770&amp;"#"&amp;COUNTIFS($B$5:B770,B770))</f>
        <v>0</v>
      </c>
      <c r="AA770" s="17">
        <f>IF(D770="","",B770&amp;"|"&amp;D770)</f>
        <v>0</v>
      </c>
      <c r="AB770" s="31">
        <f>IF(D770="","",IF(B770="","Add - which recipe?",IF(COUNTIFS(Ingredients!$B$5:$B$304,D770)=0,"Missing - not in the Ingredients tab",IF(E770="","Add - no quantity",IF(F770="","Add - no unit",IF(K770&lt;&gt;L770,"Check - recipe in "&amp;K770&amp;", priced in "&amp;L770,IF(COUNTIFS($AA$5:$AA$1204,AA770)&gt;1,"Duplicate - same ingredient twice","OK")))))))</f>
        <v>0</v>
      </c>
    </row>
    <row r="771" spans="1:28">
      <c r="A771" s="39">
        <f>IF(D771="","","RL-"&amp;TEXT(ROW()-4,"0000"))</f>
        <v>0</v>
      </c>
      <c r="C771" s="17">
        <f>IF(B771="","",IFERROR(INDEX(Recipes!$B$5:$B$204,MATCH(B771,Recipes!$A$5:$A$204,0)),"Not found"))</f>
        <v>0</v>
      </c>
      <c r="J771" s="45">
        <f>IF(E771="","",IFERROR(E771*INDEX(UnitFactors,MATCH(F771,UnitNames,0)),""))</f>
        <v>0</v>
      </c>
      <c r="K771" s="17">
        <f>IF(F771="","",IFERROR(INDEX(UnitBases,MATCH(F771,UnitNames,0)),"?"))</f>
        <v>0</v>
      </c>
      <c r="L771" s="17">
        <f>IF(D771="","",IFERROR(INDEX(Ingredients!$G$5:$G$304,MATCH(D771,Ingredients!$B$5:$B$304,0)),"Add to Ingredients"))</f>
        <v>0</v>
      </c>
      <c r="M771" s="25">
        <f>IF(D771="","",IFERROR(INDEX(Ingredients!$J$5:$J$304,MATCH(D771,Ingredients!$B$5:$B$304,0)),"Add to Ingredients"))</f>
        <v>0</v>
      </c>
      <c r="N771" s="25">
        <f>IF(OR(J771="",M771="",NOT(ISNUMBER(M771))),"",IF(K771&lt;&gt;L771,"",J771*M771))</f>
        <v>0</v>
      </c>
      <c r="O771" s="25">
        <f>IF(N771="","",IFERROR(N771/INDEX(Recipes!$G$5:$G$204,MATCH(B771,Recipes!$A$5:$A$204,0)),""))</f>
        <v>0</v>
      </c>
      <c r="P771" s="30">
        <f>IF(J771="","",IF(K771="each",J771,J771/100))</f>
        <v>0</v>
      </c>
      <c r="Q771" s="30">
        <f>IFERROR(IF(P771="","",P771*INDEX(Ingredients!$P$5:$P$304,MATCH(D771,Ingredients!$B$5:$B$304,0))),"")</f>
        <v>0</v>
      </c>
      <c r="R771" s="45">
        <f>IFERROR(IF(P771="","",P771*INDEX(Ingredients!$Q$5:$Q$304,MATCH(D771,Ingredients!$B$5:$B$304,0))),"")</f>
        <v>0</v>
      </c>
      <c r="S771" s="45">
        <f>IFERROR(IF(P771="","",P771*INDEX(Ingredients!$R$5:$R$304,MATCH(D771,Ingredients!$B$5:$B$304,0))),"")</f>
        <v>0</v>
      </c>
      <c r="T771" s="45">
        <f>IFERROR(IF(P771="","",P771*INDEX(Ingredients!$S$5:$S$304,MATCH(D771,Ingredients!$B$5:$B$304,0))),"")</f>
        <v>0</v>
      </c>
      <c r="U771" s="45">
        <f>IFERROR(IF(P771="","",P771*INDEX(Ingredients!$T$5:$T$304,MATCH(D771,Ingredients!$B$5:$B$304,0))),"")</f>
        <v>0</v>
      </c>
      <c r="V771" s="17">
        <f>IF(D771="","",IFERROR(INDEX(Ingredients!$W$5:$W$304,MATCH(D771,Ingredients!$B$5:$B$304,0)),"Add to Ingredients"))</f>
        <v>0</v>
      </c>
      <c r="W771" s="17">
        <f>IF(D771="","",IFERROR(INDEX(Ingredients!$C$5:$C$304,MATCH(D771,Ingredients!$B$5:$B$304,0)),"Add to Ingredients"))</f>
        <v>0</v>
      </c>
      <c r="X771" s="45">
        <f>IFERROR(INDEX(Recipes!$AT$5:$AT$204,MATCH(B771,Recipes!$A$5:$A$204,0)),0)</f>
        <v>0</v>
      </c>
      <c r="Y771" s="45">
        <f>IF(OR(J771="",X771=0),"",J771*X771)</f>
        <v>0</v>
      </c>
      <c r="Z771" s="17">
        <f>IF(D771="","",B771&amp;"#"&amp;COUNTIFS($B$5:B771,B771))</f>
        <v>0</v>
      </c>
      <c r="AA771" s="17">
        <f>IF(D771="","",B771&amp;"|"&amp;D771)</f>
        <v>0</v>
      </c>
      <c r="AB771" s="31">
        <f>IF(D771="","",IF(B771="","Add - which recipe?",IF(COUNTIFS(Ingredients!$B$5:$B$304,D771)=0,"Missing - not in the Ingredients tab",IF(E771="","Add - no quantity",IF(F771="","Add - no unit",IF(K771&lt;&gt;L771,"Check - recipe in "&amp;K771&amp;", priced in "&amp;L771,IF(COUNTIFS($AA$5:$AA$1204,AA771)&gt;1,"Duplicate - same ingredient twice","OK")))))))</f>
        <v>0</v>
      </c>
    </row>
    <row r="772" spans="1:28">
      <c r="A772" s="39">
        <f>IF(D772="","","RL-"&amp;TEXT(ROW()-4,"0000"))</f>
        <v>0</v>
      </c>
      <c r="C772" s="17">
        <f>IF(B772="","",IFERROR(INDEX(Recipes!$B$5:$B$204,MATCH(B772,Recipes!$A$5:$A$204,0)),"Not found"))</f>
        <v>0</v>
      </c>
      <c r="J772" s="45">
        <f>IF(E772="","",IFERROR(E772*INDEX(UnitFactors,MATCH(F772,UnitNames,0)),""))</f>
        <v>0</v>
      </c>
      <c r="K772" s="17">
        <f>IF(F772="","",IFERROR(INDEX(UnitBases,MATCH(F772,UnitNames,0)),"?"))</f>
        <v>0</v>
      </c>
      <c r="L772" s="17">
        <f>IF(D772="","",IFERROR(INDEX(Ingredients!$G$5:$G$304,MATCH(D772,Ingredients!$B$5:$B$304,0)),"Add to Ingredients"))</f>
        <v>0</v>
      </c>
      <c r="M772" s="25">
        <f>IF(D772="","",IFERROR(INDEX(Ingredients!$J$5:$J$304,MATCH(D772,Ingredients!$B$5:$B$304,0)),"Add to Ingredients"))</f>
        <v>0</v>
      </c>
      <c r="N772" s="25">
        <f>IF(OR(J772="",M772="",NOT(ISNUMBER(M772))),"",IF(K772&lt;&gt;L772,"",J772*M772))</f>
        <v>0</v>
      </c>
      <c r="O772" s="25">
        <f>IF(N772="","",IFERROR(N772/INDEX(Recipes!$G$5:$G$204,MATCH(B772,Recipes!$A$5:$A$204,0)),""))</f>
        <v>0</v>
      </c>
      <c r="P772" s="30">
        <f>IF(J772="","",IF(K772="each",J772,J772/100))</f>
        <v>0</v>
      </c>
      <c r="Q772" s="30">
        <f>IFERROR(IF(P772="","",P772*INDEX(Ingredients!$P$5:$P$304,MATCH(D772,Ingredients!$B$5:$B$304,0))),"")</f>
        <v>0</v>
      </c>
      <c r="R772" s="45">
        <f>IFERROR(IF(P772="","",P772*INDEX(Ingredients!$Q$5:$Q$304,MATCH(D772,Ingredients!$B$5:$B$304,0))),"")</f>
        <v>0</v>
      </c>
      <c r="S772" s="45">
        <f>IFERROR(IF(P772="","",P772*INDEX(Ingredients!$R$5:$R$304,MATCH(D772,Ingredients!$B$5:$B$304,0))),"")</f>
        <v>0</v>
      </c>
      <c r="T772" s="45">
        <f>IFERROR(IF(P772="","",P772*INDEX(Ingredients!$S$5:$S$304,MATCH(D772,Ingredients!$B$5:$B$304,0))),"")</f>
        <v>0</v>
      </c>
      <c r="U772" s="45">
        <f>IFERROR(IF(P772="","",P772*INDEX(Ingredients!$T$5:$T$304,MATCH(D772,Ingredients!$B$5:$B$304,0))),"")</f>
        <v>0</v>
      </c>
      <c r="V772" s="17">
        <f>IF(D772="","",IFERROR(INDEX(Ingredients!$W$5:$W$304,MATCH(D772,Ingredients!$B$5:$B$304,0)),"Add to Ingredients"))</f>
        <v>0</v>
      </c>
      <c r="W772" s="17">
        <f>IF(D772="","",IFERROR(INDEX(Ingredients!$C$5:$C$304,MATCH(D772,Ingredients!$B$5:$B$304,0)),"Add to Ingredients"))</f>
        <v>0</v>
      </c>
      <c r="X772" s="45">
        <f>IFERROR(INDEX(Recipes!$AT$5:$AT$204,MATCH(B772,Recipes!$A$5:$A$204,0)),0)</f>
        <v>0</v>
      </c>
      <c r="Y772" s="45">
        <f>IF(OR(J772="",X772=0),"",J772*X772)</f>
        <v>0</v>
      </c>
      <c r="Z772" s="17">
        <f>IF(D772="","",B772&amp;"#"&amp;COUNTIFS($B$5:B772,B772))</f>
        <v>0</v>
      </c>
      <c r="AA772" s="17">
        <f>IF(D772="","",B772&amp;"|"&amp;D772)</f>
        <v>0</v>
      </c>
      <c r="AB772" s="31">
        <f>IF(D772="","",IF(B772="","Add - which recipe?",IF(COUNTIFS(Ingredients!$B$5:$B$304,D772)=0,"Missing - not in the Ingredients tab",IF(E772="","Add - no quantity",IF(F772="","Add - no unit",IF(K772&lt;&gt;L772,"Check - recipe in "&amp;K772&amp;", priced in "&amp;L772,IF(COUNTIFS($AA$5:$AA$1204,AA772)&gt;1,"Duplicate - same ingredient twice","OK")))))))</f>
        <v>0</v>
      </c>
    </row>
    <row r="773" spans="1:28">
      <c r="A773" s="39">
        <f>IF(D773="","","RL-"&amp;TEXT(ROW()-4,"0000"))</f>
        <v>0</v>
      </c>
      <c r="C773" s="17">
        <f>IF(B773="","",IFERROR(INDEX(Recipes!$B$5:$B$204,MATCH(B773,Recipes!$A$5:$A$204,0)),"Not found"))</f>
        <v>0</v>
      </c>
      <c r="J773" s="45">
        <f>IF(E773="","",IFERROR(E773*INDEX(UnitFactors,MATCH(F773,UnitNames,0)),""))</f>
        <v>0</v>
      </c>
      <c r="K773" s="17">
        <f>IF(F773="","",IFERROR(INDEX(UnitBases,MATCH(F773,UnitNames,0)),"?"))</f>
        <v>0</v>
      </c>
      <c r="L773" s="17">
        <f>IF(D773="","",IFERROR(INDEX(Ingredients!$G$5:$G$304,MATCH(D773,Ingredients!$B$5:$B$304,0)),"Add to Ingredients"))</f>
        <v>0</v>
      </c>
      <c r="M773" s="25">
        <f>IF(D773="","",IFERROR(INDEX(Ingredients!$J$5:$J$304,MATCH(D773,Ingredients!$B$5:$B$304,0)),"Add to Ingredients"))</f>
        <v>0</v>
      </c>
      <c r="N773" s="25">
        <f>IF(OR(J773="",M773="",NOT(ISNUMBER(M773))),"",IF(K773&lt;&gt;L773,"",J773*M773))</f>
        <v>0</v>
      </c>
      <c r="O773" s="25">
        <f>IF(N773="","",IFERROR(N773/INDEX(Recipes!$G$5:$G$204,MATCH(B773,Recipes!$A$5:$A$204,0)),""))</f>
        <v>0</v>
      </c>
      <c r="P773" s="30">
        <f>IF(J773="","",IF(K773="each",J773,J773/100))</f>
        <v>0</v>
      </c>
      <c r="Q773" s="30">
        <f>IFERROR(IF(P773="","",P773*INDEX(Ingredients!$P$5:$P$304,MATCH(D773,Ingredients!$B$5:$B$304,0))),"")</f>
        <v>0</v>
      </c>
      <c r="R773" s="45">
        <f>IFERROR(IF(P773="","",P773*INDEX(Ingredients!$Q$5:$Q$304,MATCH(D773,Ingredients!$B$5:$B$304,0))),"")</f>
        <v>0</v>
      </c>
      <c r="S773" s="45">
        <f>IFERROR(IF(P773="","",P773*INDEX(Ingredients!$R$5:$R$304,MATCH(D773,Ingredients!$B$5:$B$304,0))),"")</f>
        <v>0</v>
      </c>
      <c r="T773" s="45">
        <f>IFERROR(IF(P773="","",P773*INDEX(Ingredients!$S$5:$S$304,MATCH(D773,Ingredients!$B$5:$B$304,0))),"")</f>
        <v>0</v>
      </c>
      <c r="U773" s="45">
        <f>IFERROR(IF(P773="","",P773*INDEX(Ingredients!$T$5:$T$304,MATCH(D773,Ingredients!$B$5:$B$304,0))),"")</f>
        <v>0</v>
      </c>
      <c r="V773" s="17">
        <f>IF(D773="","",IFERROR(INDEX(Ingredients!$W$5:$W$304,MATCH(D773,Ingredients!$B$5:$B$304,0)),"Add to Ingredients"))</f>
        <v>0</v>
      </c>
      <c r="W773" s="17">
        <f>IF(D773="","",IFERROR(INDEX(Ingredients!$C$5:$C$304,MATCH(D773,Ingredients!$B$5:$B$304,0)),"Add to Ingredients"))</f>
        <v>0</v>
      </c>
      <c r="X773" s="45">
        <f>IFERROR(INDEX(Recipes!$AT$5:$AT$204,MATCH(B773,Recipes!$A$5:$A$204,0)),0)</f>
        <v>0</v>
      </c>
      <c r="Y773" s="45">
        <f>IF(OR(J773="",X773=0),"",J773*X773)</f>
        <v>0</v>
      </c>
      <c r="Z773" s="17">
        <f>IF(D773="","",B773&amp;"#"&amp;COUNTIFS($B$5:B773,B773))</f>
        <v>0</v>
      </c>
      <c r="AA773" s="17">
        <f>IF(D773="","",B773&amp;"|"&amp;D773)</f>
        <v>0</v>
      </c>
      <c r="AB773" s="31">
        <f>IF(D773="","",IF(B773="","Add - which recipe?",IF(COUNTIFS(Ingredients!$B$5:$B$304,D773)=0,"Missing - not in the Ingredients tab",IF(E773="","Add - no quantity",IF(F773="","Add - no unit",IF(K773&lt;&gt;L773,"Check - recipe in "&amp;K773&amp;", priced in "&amp;L773,IF(COUNTIFS($AA$5:$AA$1204,AA773)&gt;1,"Duplicate - same ingredient twice","OK")))))))</f>
        <v>0</v>
      </c>
    </row>
    <row r="774" spans="1:28">
      <c r="A774" s="39">
        <f>IF(D774="","","RL-"&amp;TEXT(ROW()-4,"0000"))</f>
        <v>0</v>
      </c>
      <c r="C774" s="17">
        <f>IF(B774="","",IFERROR(INDEX(Recipes!$B$5:$B$204,MATCH(B774,Recipes!$A$5:$A$204,0)),"Not found"))</f>
        <v>0</v>
      </c>
      <c r="J774" s="45">
        <f>IF(E774="","",IFERROR(E774*INDEX(UnitFactors,MATCH(F774,UnitNames,0)),""))</f>
        <v>0</v>
      </c>
      <c r="K774" s="17">
        <f>IF(F774="","",IFERROR(INDEX(UnitBases,MATCH(F774,UnitNames,0)),"?"))</f>
        <v>0</v>
      </c>
      <c r="L774" s="17">
        <f>IF(D774="","",IFERROR(INDEX(Ingredients!$G$5:$G$304,MATCH(D774,Ingredients!$B$5:$B$304,0)),"Add to Ingredients"))</f>
        <v>0</v>
      </c>
      <c r="M774" s="25">
        <f>IF(D774="","",IFERROR(INDEX(Ingredients!$J$5:$J$304,MATCH(D774,Ingredients!$B$5:$B$304,0)),"Add to Ingredients"))</f>
        <v>0</v>
      </c>
      <c r="N774" s="25">
        <f>IF(OR(J774="",M774="",NOT(ISNUMBER(M774))),"",IF(K774&lt;&gt;L774,"",J774*M774))</f>
        <v>0</v>
      </c>
      <c r="O774" s="25">
        <f>IF(N774="","",IFERROR(N774/INDEX(Recipes!$G$5:$G$204,MATCH(B774,Recipes!$A$5:$A$204,0)),""))</f>
        <v>0</v>
      </c>
      <c r="P774" s="30">
        <f>IF(J774="","",IF(K774="each",J774,J774/100))</f>
        <v>0</v>
      </c>
      <c r="Q774" s="30">
        <f>IFERROR(IF(P774="","",P774*INDEX(Ingredients!$P$5:$P$304,MATCH(D774,Ingredients!$B$5:$B$304,0))),"")</f>
        <v>0</v>
      </c>
      <c r="R774" s="45">
        <f>IFERROR(IF(P774="","",P774*INDEX(Ingredients!$Q$5:$Q$304,MATCH(D774,Ingredients!$B$5:$B$304,0))),"")</f>
        <v>0</v>
      </c>
      <c r="S774" s="45">
        <f>IFERROR(IF(P774="","",P774*INDEX(Ingredients!$R$5:$R$304,MATCH(D774,Ingredients!$B$5:$B$304,0))),"")</f>
        <v>0</v>
      </c>
      <c r="T774" s="45">
        <f>IFERROR(IF(P774="","",P774*INDEX(Ingredients!$S$5:$S$304,MATCH(D774,Ingredients!$B$5:$B$304,0))),"")</f>
        <v>0</v>
      </c>
      <c r="U774" s="45">
        <f>IFERROR(IF(P774="","",P774*INDEX(Ingredients!$T$5:$T$304,MATCH(D774,Ingredients!$B$5:$B$304,0))),"")</f>
        <v>0</v>
      </c>
      <c r="V774" s="17">
        <f>IF(D774="","",IFERROR(INDEX(Ingredients!$W$5:$W$304,MATCH(D774,Ingredients!$B$5:$B$304,0)),"Add to Ingredients"))</f>
        <v>0</v>
      </c>
      <c r="W774" s="17">
        <f>IF(D774="","",IFERROR(INDEX(Ingredients!$C$5:$C$304,MATCH(D774,Ingredients!$B$5:$B$304,0)),"Add to Ingredients"))</f>
        <v>0</v>
      </c>
      <c r="X774" s="45">
        <f>IFERROR(INDEX(Recipes!$AT$5:$AT$204,MATCH(B774,Recipes!$A$5:$A$204,0)),0)</f>
        <v>0</v>
      </c>
      <c r="Y774" s="45">
        <f>IF(OR(J774="",X774=0),"",J774*X774)</f>
        <v>0</v>
      </c>
      <c r="Z774" s="17">
        <f>IF(D774="","",B774&amp;"#"&amp;COUNTIFS($B$5:B774,B774))</f>
        <v>0</v>
      </c>
      <c r="AA774" s="17">
        <f>IF(D774="","",B774&amp;"|"&amp;D774)</f>
        <v>0</v>
      </c>
      <c r="AB774" s="31">
        <f>IF(D774="","",IF(B774="","Add - which recipe?",IF(COUNTIFS(Ingredients!$B$5:$B$304,D774)=0,"Missing - not in the Ingredients tab",IF(E774="","Add - no quantity",IF(F774="","Add - no unit",IF(K774&lt;&gt;L774,"Check - recipe in "&amp;K774&amp;", priced in "&amp;L774,IF(COUNTIFS($AA$5:$AA$1204,AA774)&gt;1,"Duplicate - same ingredient twice","OK")))))))</f>
        <v>0</v>
      </c>
    </row>
    <row r="775" spans="1:28">
      <c r="A775" s="39">
        <f>IF(D775="","","RL-"&amp;TEXT(ROW()-4,"0000"))</f>
        <v>0</v>
      </c>
      <c r="C775" s="17">
        <f>IF(B775="","",IFERROR(INDEX(Recipes!$B$5:$B$204,MATCH(B775,Recipes!$A$5:$A$204,0)),"Not found"))</f>
        <v>0</v>
      </c>
      <c r="J775" s="45">
        <f>IF(E775="","",IFERROR(E775*INDEX(UnitFactors,MATCH(F775,UnitNames,0)),""))</f>
        <v>0</v>
      </c>
      <c r="K775" s="17">
        <f>IF(F775="","",IFERROR(INDEX(UnitBases,MATCH(F775,UnitNames,0)),"?"))</f>
        <v>0</v>
      </c>
      <c r="L775" s="17">
        <f>IF(D775="","",IFERROR(INDEX(Ingredients!$G$5:$G$304,MATCH(D775,Ingredients!$B$5:$B$304,0)),"Add to Ingredients"))</f>
        <v>0</v>
      </c>
      <c r="M775" s="25">
        <f>IF(D775="","",IFERROR(INDEX(Ingredients!$J$5:$J$304,MATCH(D775,Ingredients!$B$5:$B$304,0)),"Add to Ingredients"))</f>
        <v>0</v>
      </c>
      <c r="N775" s="25">
        <f>IF(OR(J775="",M775="",NOT(ISNUMBER(M775))),"",IF(K775&lt;&gt;L775,"",J775*M775))</f>
        <v>0</v>
      </c>
      <c r="O775" s="25">
        <f>IF(N775="","",IFERROR(N775/INDEX(Recipes!$G$5:$G$204,MATCH(B775,Recipes!$A$5:$A$204,0)),""))</f>
        <v>0</v>
      </c>
      <c r="P775" s="30">
        <f>IF(J775="","",IF(K775="each",J775,J775/100))</f>
        <v>0</v>
      </c>
      <c r="Q775" s="30">
        <f>IFERROR(IF(P775="","",P775*INDEX(Ingredients!$P$5:$P$304,MATCH(D775,Ingredients!$B$5:$B$304,0))),"")</f>
        <v>0</v>
      </c>
      <c r="R775" s="45">
        <f>IFERROR(IF(P775="","",P775*INDEX(Ingredients!$Q$5:$Q$304,MATCH(D775,Ingredients!$B$5:$B$304,0))),"")</f>
        <v>0</v>
      </c>
      <c r="S775" s="45">
        <f>IFERROR(IF(P775="","",P775*INDEX(Ingredients!$R$5:$R$304,MATCH(D775,Ingredients!$B$5:$B$304,0))),"")</f>
        <v>0</v>
      </c>
      <c r="T775" s="45">
        <f>IFERROR(IF(P775="","",P775*INDEX(Ingredients!$S$5:$S$304,MATCH(D775,Ingredients!$B$5:$B$304,0))),"")</f>
        <v>0</v>
      </c>
      <c r="U775" s="45">
        <f>IFERROR(IF(P775="","",P775*INDEX(Ingredients!$T$5:$T$304,MATCH(D775,Ingredients!$B$5:$B$304,0))),"")</f>
        <v>0</v>
      </c>
      <c r="V775" s="17">
        <f>IF(D775="","",IFERROR(INDEX(Ingredients!$W$5:$W$304,MATCH(D775,Ingredients!$B$5:$B$304,0)),"Add to Ingredients"))</f>
        <v>0</v>
      </c>
      <c r="W775" s="17">
        <f>IF(D775="","",IFERROR(INDEX(Ingredients!$C$5:$C$304,MATCH(D775,Ingredients!$B$5:$B$304,0)),"Add to Ingredients"))</f>
        <v>0</v>
      </c>
      <c r="X775" s="45">
        <f>IFERROR(INDEX(Recipes!$AT$5:$AT$204,MATCH(B775,Recipes!$A$5:$A$204,0)),0)</f>
        <v>0</v>
      </c>
      <c r="Y775" s="45">
        <f>IF(OR(J775="",X775=0),"",J775*X775)</f>
        <v>0</v>
      </c>
      <c r="Z775" s="17">
        <f>IF(D775="","",B775&amp;"#"&amp;COUNTIFS($B$5:B775,B775))</f>
        <v>0</v>
      </c>
      <c r="AA775" s="17">
        <f>IF(D775="","",B775&amp;"|"&amp;D775)</f>
        <v>0</v>
      </c>
      <c r="AB775" s="31">
        <f>IF(D775="","",IF(B775="","Add - which recipe?",IF(COUNTIFS(Ingredients!$B$5:$B$304,D775)=0,"Missing - not in the Ingredients tab",IF(E775="","Add - no quantity",IF(F775="","Add - no unit",IF(K775&lt;&gt;L775,"Check - recipe in "&amp;K775&amp;", priced in "&amp;L775,IF(COUNTIFS($AA$5:$AA$1204,AA775)&gt;1,"Duplicate - same ingredient twice","OK")))))))</f>
        <v>0</v>
      </c>
    </row>
    <row r="776" spans="1:28">
      <c r="A776" s="39">
        <f>IF(D776="","","RL-"&amp;TEXT(ROW()-4,"0000"))</f>
        <v>0</v>
      </c>
      <c r="C776" s="17">
        <f>IF(B776="","",IFERROR(INDEX(Recipes!$B$5:$B$204,MATCH(B776,Recipes!$A$5:$A$204,0)),"Not found"))</f>
        <v>0</v>
      </c>
      <c r="J776" s="45">
        <f>IF(E776="","",IFERROR(E776*INDEX(UnitFactors,MATCH(F776,UnitNames,0)),""))</f>
        <v>0</v>
      </c>
      <c r="K776" s="17">
        <f>IF(F776="","",IFERROR(INDEX(UnitBases,MATCH(F776,UnitNames,0)),"?"))</f>
        <v>0</v>
      </c>
      <c r="L776" s="17">
        <f>IF(D776="","",IFERROR(INDEX(Ingredients!$G$5:$G$304,MATCH(D776,Ingredients!$B$5:$B$304,0)),"Add to Ingredients"))</f>
        <v>0</v>
      </c>
      <c r="M776" s="25">
        <f>IF(D776="","",IFERROR(INDEX(Ingredients!$J$5:$J$304,MATCH(D776,Ingredients!$B$5:$B$304,0)),"Add to Ingredients"))</f>
        <v>0</v>
      </c>
      <c r="N776" s="25">
        <f>IF(OR(J776="",M776="",NOT(ISNUMBER(M776))),"",IF(K776&lt;&gt;L776,"",J776*M776))</f>
        <v>0</v>
      </c>
      <c r="O776" s="25">
        <f>IF(N776="","",IFERROR(N776/INDEX(Recipes!$G$5:$G$204,MATCH(B776,Recipes!$A$5:$A$204,0)),""))</f>
        <v>0</v>
      </c>
      <c r="P776" s="30">
        <f>IF(J776="","",IF(K776="each",J776,J776/100))</f>
        <v>0</v>
      </c>
      <c r="Q776" s="30">
        <f>IFERROR(IF(P776="","",P776*INDEX(Ingredients!$P$5:$P$304,MATCH(D776,Ingredients!$B$5:$B$304,0))),"")</f>
        <v>0</v>
      </c>
      <c r="R776" s="45">
        <f>IFERROR(IF(P776="","",P776*INDEX(Ingredients!$Q$5:$Q$304,MATCH(D776,Ingredients!$B$5:$B$304,0))),"")</f>
        <v>0</v>
      </c>
      <c r="S776" s="45">
        <f>IFERROR(IF(P776="","",P776*INDEX(Ingredients!$R$5:$R$304,MATCH(D776,Ingredients!$B$5:$B$304,0))),"")</f>
        <v>0</v>
      </c>
      <c r="T776" s="45">
        <f>IFERROR(IF(P776="","",P776*INDEX(Ingredients!$S$5:$S$304,MATCH(D776,Ingredients!$B$5:$B$304,0))),"")</f>
        <v>0</v>
      </c>
      <c r="U776" s="45">
        <f>IFERROR(IF(P776="","",P776*INDEX(Ingredients!$T$5:$T$304,MATCH(D776,Ingredients!$B$5:$B$304,0))),"")</f>
        <v>0</v>
      </c>
      <c r="V776" s="17">
        <f>IF(D776="","",IFERROR(INDEX(Ingredients!$W$5:$W$304,MATCH(D776,Ingredients!$B$5:$B$304,0)),"Add to Ingredients"))</f>
        <v>0</v>
      </c>
      <c r="W776" s="17">
        <f>IF(D776="","",IFERROR(INDEX(Ingredients!$C$5:$C$304,MATCH(D776,Ingredients!$B$5:$B$304,0)),"Add to Ingredients"))</f>
        <v>0</v>
      </c>
      <c r="X776" s="45">
        <f>IFERROR(INDEX(Recipes!$AT$5:$AT$204,MATCH(B776,Recipes!$A$5:$A$204,0)),0)</f>
        <v>0</v>
      </c>
      <c r="Y776" s="45">
        <f>IF(OR(J776="",X776=0),"",J776*X776)</f>
        <v>0</v>
      </c>
      <c r="Z776" s="17">
        <f>IF(D776="","",B776&amp;"#"&amp;COUNTIFS($B$5:B776,B776))</f>
        <v>0</v>
      </c>
      <c r="AA776" s="17">
        <f>IF(D776="","",B776&amp;"|"&amp;D776)</f>
        <v>0</v>
      </c>
      <c r="AB776" s="31">
        <f>IF(D776="","",IF(B776="","Add - which recipe?",IF(COUNTIFS(Ingredients!$B$5:$B$304,D776)=0,"Missing - not in the Ingredients tab",IF(E776="","Add - no quantity",IF(F776="","Add - no unit",IF(K776&lt;&gt;L776,"Check - recipe in "&amp;K776&amp;", priced in "&amp;L776,IF(COUNTIFS($AA$5:$AA$1204,AA776)&gt;1,"Duplicate - same ingredient twice","OK")))))))</f>
        <v>0</v>
      </c>
    </row>
    <row r="777" spans="1:28">
      <c r="A777" s="39">
        <f>IF(D777="","","RL-"&amp;TEXT(ROW()-4,"0000"))</f>
        <v>0</v>
      </c>
      <c r="C777" s="17">
        <f>IF(B777="","",IFERROR(INDEX(Recipes!$B$5:$B$204,MATCH(B777,Recipes!$A$5:$A$204,0)),"Not found"))</f>
        <v>0</v>
      </c>
      <c r="J777" s="45">
        <f>IF(E777="","",IFERROR(E777*INDEX(UnitFactors,MATCH(F777,UnitNames,0)),""))</f>
        <v>0</v>
      </c>
      <c r="K777" s="17">
        <f>IF(F777="","",IFERROR(INDEX(UnitBases,MATCH(F777,UnitNames,0)),"?"))</f>
        <v>0</v>
      </c>
      <c r="L777" s="17">
        <f>IF(D777="","",IFERROR(INDEX(Ingredients!$G$5:$G$304,MATCH(D777,Ingredients!$B$5:$B$304,0)),"Add to Ingredients"))</f>
        <v>0</v>
      </c>
      <c r="M777" s="25">
        <f>IF(D777="","",IFERROR(INDEX(Ingredients!$J$5:$J$304,MATCH(D777,Ingredients!$B$5:$B$304,0)),"Add to Ingredients"))</f>
        <v>0</v>
      </c>
      <c r="N777" s="25">
        <f>IF(OR(J777="",M777="",NOT(ISNUMBER(M777))),"",IF(K777&lt;&gt;L777,"",J777*M777))</f>
        <v>0</v>
      </c>
      <c r="O777" s="25">
        <f>IF(N777="","",IFERROR(N777/INDEX(Recipes!$G$5:$G$204,MATCH(B777,Recipes!$A$5:$A$204,0)),""))</f>
        <v>0</v>
      </c>
      <c r="P777" s="30">
        <f>IF(J777="","",IF(K777="each",J777,J777/100))</f>
        <v>0</v>
      </c>
      <c r="Q777" s="30">
        <f>IFERROR(IF(P777="","",P777*INDEX(Ingredients!$P$5:$P$304,MATCH(D777,Ingredients!$B$5:$B$304,0))),"")</f>
        <v>0</v>
      </c>
      <c r="R777" s="45">
        <f>IFERROR(IF(P777="","",P777*INDEX(Ingredients!$Q$5:$Q$304,MATCH(D777,Ingredients!$B$5:$B$304,0))),"")</f>
        <v>0</v>
      </c>
      <c r="S777" s="45">
        <f>IFERROR(IF(P777="","",P777*INDEX(Ingredients!$R$5:$R$304,MATCH(D777,Ingredients!$B$5:$B$304,0))),"")</f>
        <v>0</v>
      </c>
      <c r="T777" s="45">
        <f>IFERROR(IF(P777="","",P777*INDEX(Ingredients!$S$5:$S$304,MATCH(D777,Ingredients!$B$5:$B$304,0))),"")</f>
        <v>0</v>
      </c>
      <c r="U777" s="45">
        <f>IFERROR(IF(P777="","",P777*INDEX(Ingredients!$T$5:$T$304,MATCH(D777,Ingredients!$B$5:$B$304,0))),"")</f>
        <v>0</v>
      </c>
      <c r="V777" s="17">
        <f>IF(D777="","",IFERROR(INDEX(Ingredients!$W$5:$W$304,MATCH(D777,Ingredients!$B$5:$B$304,0)),"Add to Ingredients"))</f>
        <v>0</v>
      </c>
      <c r="W777" s="17">
        <f>IF(D777="","",IFERROR(INDEX(Ingredients!$C$5:$C$304,MATCH(D777,Ingredients!$B$5:$B$304,0)),"Add to Ingredients"))</f>
        <v>0</v>
      </c>
      <c r="X777" s="45">
        <f>IFERROR(INDEX(Recipes!$AT$5:$AT$204,MATCH(B777,Recipes!$A$5:$A$204,0)),0)</f>
        <v>0</v>
      </c>
      <c r="Y777" s="45">
        <f>IF(OR(J777="",X777=0),"",J777*X777)</f>
        <v>0</v>
      </c>
      <c r="Z777" s="17">
        <f>IF(D777="","",B777&amp;"#"&amp;COUNTIFS($B$5:B777,B777))</f>
        <v>0</v>
      </c>
      <c r="AA777" s="17">
        <f>IF(D777="","",B777&amp;"|"&amp;D777)</f>
        <v>0</v>
      </c>
      <c r="AB777" s="31">
        <f>IF(D777="","",IF(B777="","Add - which recipe?",IF(COUNTIFS(Ingredients!$B$5:$B$304,D777)=0,"Missing - not in the Ingredients tab",IF(E777="","Add - no quantity",IF(F777="","Add - no unit",IF(K777&lt;&gt;L777,"Check - recipe in "&amp;K777&amp;", priced in "&amp;L777,IF(COUNTIFS($AA$5:$AA$1204,AA777)&gt;1,"Duplicate - same ingredient twice","OK")))))))</f>
        <v>0</v>
      </c>
    </row>
    <row r="778" spans="1:28">
      <c r="A778" s="39">
        <f>IF(D778="","","RL-"&amp;TEXT(ROW()-4,"0000"))</f>
        <v>0</v>
      </c>
      <c r="C778" s="17">
        <f>IF(B778="","",IFERROR(INDEX(Recipes!$B$5:$B$204,MATCH(B778,Recipes!$A$5:$A$204,0)),"Not found"))</f>
        <v>0</v>
      </c>
      <c r="J778" s="45">
        <f>IF(E778="","",IFERROR(E778*INDEX(UnitFactors,MATCH(F778,UnitNames,0)),""))</f>
        <v>0</v>
      </c>
      <c r="K778" s="17">
        <f>IF(F778="","",IFERROR(INDEX(UnitBases,MATCH(F778,UnitNames,0)),"?"))</f>
        <v>0</v>
      </c>
      <c r="L778" s="17">
        <f>IF(D778="","",IFERROR(INDEX(Ingredients!$G$5:$G$304,MATCH(D778,Ingredients!$B$5:$B$304,0)),"Add to Ingredients"))</f>
        <v>0</v>
      </c>
      <c r="M778" s="25">
        <f>IF(D778="","",IFERROR(INDEX(Ingredients!$J$5:$J$304,MATCH(D778,Ingredients!$B$5:$B$304,0)),"Add to Ingredients"))</f>
        <v>0</v>
      </c>
      <c r="N778" s="25">
        <f>IF(OR(J778="",M778="",NOT(ISNUMBER(M778))),"",IF(K778&lt;&gt;L778,"",J778*M778))</f>
        <v>0</v>
      </c>
      <c r="O778" s="25">
        <f>IF(N778="","",IFERROR(N778/INDEX(Recipes!$G$5:$G$204,MATCH(B778,Recipes!$A$5:$A$204,0)),""))</f>
        <v>0</v>
      </c>
      <c r="P778" s="30">
        <f>IF(J778="","",IF(K778="each",J778,J778/100))</f>
        <v>0</v>
      </c>
      <c r="Q778" s="30">
        <f>IFERROR(IF(P778="","",P778*INDEX(Ingredients!$P$5:$P$304,MATCH(D778,Ingredients!$B$5:$B$304,0))),"")</f>
        <v>0</v>
      </c>
      <c r="R778" s="45">
        <f>IFERROR(IF(P778="","",P778*INDEX(Ingredients!$Q$5:$Q$304,MATCH(D778,Ingredients!$B$5:$B$304,0))),"")</f>
        <v>0</v>
      </c>
      <c r="S778" s="45">
        <f>IFERROR(IF(P778="","",P778*INDEX(Ingredients!$R$5:$R$304,MATCH(D778,Ingredients!$B$5:$B$304,0))),"")</f>
        <v>0</v>
      </c>
      <c r="T778" s="45">
        <f>IFERROR(IF(P778="","",P778*INDEX(Ingredients!$S$5:$S$304,MATCH(D778,Ingredients!$B$5:$B$304,0))),"")</f>
        <v>0</v>
      </c>
      <c r="U778" s="45">
        <f>IFERROR(IF(P778="","",P778*INDEX(Ingredients!$T$5:$T$304,MATCH(D778,Ingredients!$B$5:$B$304,0))),"")</f>
        <v>0</v>
      </c>
      <c r="V778" s="17">
        <f>IF(D778="","",IFERROR(INDEX(Ingredients!$W$5:$W$304,MATCH(D778,Ingredients!$B$5:$B$304,0)),"Add to Ingredients"))</f>
        <v>0</v>
      </c>
      <c r="W778" s="17">
        <f>IF(D778="","",IFERROR(INDEX(Ingredients!$C$5:$C$304,MATCH(D778,Ingredients!$B$5:$B$304,0)),"Add to Ingredients"))</f>
        <v>0</v>
      </c>
      <c r="X778" s="45">
        <f>IFERROR(INDEX(Recipes!$AT$5:$AT$204,MATCH(B778,Recipes!$A$5:$A$204,0)),0)</f>
        <v>0</v>
      </c>
      <c r="Y778" s="45">
        <f>IF(OR(J778="",X778=0),"",J778*X778)</f>
        <v>0</v>
      </c>
      <c r="Z778" s="17">
        <f>IF(D778="","",B778&amp;"#"&amp;COUNTIFS($B$5:B778,B778))</f>
        <v>0</v>
      </c>
      <c r="AA778" s="17">
        <f>IF(D778="","",B778&amp;"|"&amp;D778)</f>
        <v>0</v>
      </c>
      <c r="AB778" s="31">
        <f>IF(D778="","",IF(B778="","Add - which recipe?",IF(COUNTIFS(Ingredients!$B$5:$B$304,D778)=0,"Missing - not in the Ingredients tab",IF(E778="","Add - no quantity",IF(F778="","Add - no unit",IF(K778&lt;&gt;L778,"Check - recipe in "&amp;K778&amp;", priced in "&amp;L778,IF(COUNTIFS($AA$5:$AA$1204,AA778)&gt;1,"Duplicate - same ingredient twice","OK")))))))</f>
        <v>0</v>
      </c>
    </row>
    <row r="779" spans="1:28">
      <c r="A779" s="39">
        <f>IF(D779="","","RL-"&amp;TEXT(ROW()-4,"0000"))</f>
        <v>0</v>
      </c>
      <c r="C779" s="17">
        <f>IF(B779="","",IFERROR(INDEX(Recipes!$B$5:$B$204,MATCH(B779,Recipes!$A$5:$A$204,0)),"Not found"))</f>
        <v>0</v>
      </c>
      <c r="J779" s="45">
        <f>IF(E779="","",IFERROR(E779*INDEX(UnitFactors,MATCH(F779,UnitNames,0)),""))</f>
        <v>0</v>
      </c>
      <c r="K779" s="17">
        <f>IF(F779="","",IFERROR(INDEX(UnitBases,MATCH(F779,UnitNames,0)),"?"))</f>
        <v>0</v>
      </c>
      <c r="L779" s="17">
        <f>IF(D779="","",IFERROR(INDEX(Ingredients!$G$5:$G$304,MATCH(D779,Ingredients!$B$5:$B$304,0)),"Add to Ingredients"))</f>
        <v>0</v>
      </c>
      <c r="M779" s="25">
        <f>IF(D779="","",IFERROR(INDEX(Ingredients!$J$5:$J$304,MATCH(D779,Ingredients!$B$5:$B$304,0)),"Add to Ingredients"))</f>
        <v>0</v>
      </c>
      <c r="N779" s="25">
        <f>IF(OR(J779="",M779="",NOT(ISNUMBER(M779))),"",IF(K779&lt;&gt;L779,"",J779*M779))</f>
        <v>0</v>
      </c>
      <c r="O779" s="25">
        <f>IF(N779="","",IFERROR(N779/INDEX(Recipes!$G$5:$G$204,MATCH(B779,Recipes!$A$5:$A$204,0)),""))</f>
        <v>0</v>
      </c>
      <c r="P779" s="30">
        <f>IF(J779="","",IF(K779="each",J779,J779/100))</f>
        <v>0</v>
      </c>
      <c r="Q779" s="30">
        <f>IFERROR(IF(P779="","",P779*INDEX(Ingredients!$P$5:$P$304,MATCH(D779,Ingredients!$B$5:$B$304,0))),"")</f>
        <v>0</v>
      </c>
      <c r="R779" s="45">
        <f>IFERROR(IF(P779="","",P779*INDEX(Ingredients!$Q$5:$Q$304,MATCH(D779,Ingredients!$B$5:$B$304,0))),"")</f>
        <v>0</v>
      </c>
      <c r="S779" s="45">
        <f>IFERROR(IF(P779="","",P779*INDEX(Ingredients!$R$5:$R$304,MATCH(D779,Ingredients!$B$5:$B$304,0))),"")</f>
        <v>0</v>
      </c>
      <c r="T779" s="45">
        <f>IFERROR(IF(P779="","",P779*INDEX(Ingredients!$S$5:$S$304,MATCH(D779,Ingredients!$B$5:$B$304,0))),"")</f>
        <v>0</v>
      </c>
      <c r="U779" s="45">
        <f>IFERROR(IF(P779="","",P779*INDEX(Ingredients!$T$5:$T$304,MATCH(D779,Ingredients!$B$5:$B$304,0))),"")</f>
        <v>0</v>
      </c>
      <c r="V779" s="17">
        <f>IF(D779="","",IFERROR(INDEX(Ingredients!$W$5:$W$304,MATCH(D779,Ingredients!$B$5:$B$304,0)),"Add to Ingredients"))</f>
        <v>0</v>
      </c>
      <c r="W779" s="17">
        <f>IF(D779="","",IFERROR(INDEX(Ingredients!$C$5:$C$304,MATCH(D779,Ingredients!$B$5:$B$304,0)),"Add to Ingredients"))</f>
        <v>0</v>
      </c>
      <c r="X779" s="45">
        <f>IFERROR(INDEX(Recipes!$AT$5:$AT$204,MATCH(B779,Recipes!$A$5:$A$204,0)),0)</f>
        <v>0</v>
      </c>
      <c r="Y779" s="45">
        <f>IF(OR(J779="",X779=0),"",J779*X779)</f>
        <v>0</v>
      </c>
      <c r="Z779" s="17">
        <f>IF(D779="","",B779&amp;"#"&amp;COUNTIFS($B$5:B779,B779))</f>
        <v>0</v>
      </c>
      <c r="AA779" s="17">
        <f>IF(D779="","",B779&amp;"|"&amp;D779)</f>
        <v>0</v>
      </c>
      <c r="AB779" s="31">
        <f>IF(D779="","",IF(B779="","Add - which recipe?",IF(COUNTIFS(Ingredients!$B$5:$B$304,D779)=0,"Missing - not in the Ingredients tab",IF(E779="","Add - no quantity",IF(F779="","Add - no unit",IF(K779&lt;&gt;L779,"Check - recipe in "&amp;K779&amp;", priced in "&amp;L779,IF(COUNTIFS($AA$5:$AA$1204,AA779)&gt;1,"Duplicate - same ingredient twice","OK")))))))</f>
        <v>0</v>
      </c>
    </row>
    <row r="780" spans="1:28">
      <c r="A780" s="39">
        <f>IF(D780="","","RL-"&amp;TEXT(ROW()-4,"0000"))</f>
        <v>0</v>
      </c>
      <c r="C780" s="17">
        <f>IF(B780="","",IFERROR(INDEX(Recipes!$B$5:$B$204,MATCH(B780,Recipes!$A$5:$A$204,0)),"Not found"))</f>
        <v>0</v>
      </c>
      <c r="J780" s="45">
        <f>IF(E780="","",IFERROR(E780*INDEX(UnitFactors,MATCH(F780,UnitNames,0)),""))</f>
        <v>0</v>
      </c>
      <c r="K780" s="17">
        <f>IF(F780="","",IFERROR(INDEX(UnitBases,MATCH(F780,UnitNames,0)),"?"))</f>
        <v>0</v>
      </c>
      <c r="L780" s="17">
        <f>IF(D780="","",IFERROR(INDEX(Ingredients!$G$5:$G$304,MATCH(D780,Ingredients!$B$5:$B$304,0)),"Add to Ingredients"))</f>
        <v>0</v>
      </c>
      <c r="M780" s="25">
        <f>IF(D780="","",IFERROR(INDEX(Ingredients!$J$5:$J$304,MATCH(D780,Ingredients!$B$5:$B$304,0)),"Add to Ingredients"))</f>
        <v>0</v>
      </c>
      <c r="N780" s="25">
        <f>IF(OR(J780="",M780="",NOT(ISNUMBER(M780))),"",IF(K780&lt;&gt;L780,"",J780*M780))</f>
        <v>0</v>
      </c>
      <c r="O780" s="25">
        <f>IF(N780="","",IFERROR(N780/INDEX(Recipes!$G$5:$G$204,MATCH(B780,Recipes!$A$5:$A$204,0)),""))</f>
        <v>0</v>
      </c>
      <c r="P780" s="30">
        <f>IF(J780="","",IF(K780="each",J780,J780/100))</f>
        <v>0</v>
      </c>
      <c r="Q780" s="30">
        <f>IFERROR(IF(P780="","",P780*INDEX(Ingredients!$P$5:$P$304,MATCH(D780,Ingredients!$B$5:$B$304,0))),"")</f>
        <v>0</v>
      </c>
      <c r="R780" s="45">
        <f>IFERROR(IF(P780="","",P780*INDEX(Ingredients!$Q$5:$Q$304,MATCH(D780,Ingredients!$B$5:$B$304,0))),"")</f>
        <v>0</v>
      </c>
      <c r="S780" s="45">
        <f>IFERROR(IF(P780="","",P780*INDEX(Ingredients!$R$5:$R$304,MATCH(D780,Ingredients!$B$5:$B$304,0))),"")</f>
        <v>0</v>
      </c>
      <c r="T780" s="45">
        <f>IFERROR(IF(P780="","",P780*INDEX(Ingredients!$S$5:$S$304,MATCH(D780,Ingredients!$B$5:$B$304,0))),"")</f>
        <v>0</v>
      </c>
      <c r="U780" s="45">
        <f>IFERROR(IF(P780="","",P780*INDEX(Ingredients!$T$5:$T$304,MATCH(D780,Ingredients!$B$5:$B$304,0))),"")</f>
        <v>0</v>
      </c>
      <c r="V780" s="17">
        <f>IF(D780="","",IFERROR(INDEX(Ingredients!$W$5:$W$304,MATCH(D780,Ingredients!$B$5:$B$304,0)),"Add to Ingredients"))</f>
        <v>0</v>
      </c>
      <c r="W780" s="17">
        <f>IF(D780="","",IFERROR(INDEX(Ingredients!$C$5:$C$304,MATCH(D780,Ingredients!$B$5:$B$304,0)),"Add to Ingredients"))</f>
        <v>0</v>
      </c>
      <c r="X780" s="45">
        <f>IFERROR(INDEX(Recipes!$AT$5:$AT$204,MATCH(B780,Recipes!$A$5:$A$204,0)),0)</f>
        <v>0</v>
      </c>
      <c r="Y780" s="45">
        <f>IF(OR(J780="",X780=0),"",J780*X780)</f>
        <v>0</v>
      </c>
      <c r="Z780" s="17">
        <f>IF(D780="","",B780&amp;"#"&amp;COUNTIFS($B$5:B780,B780))</f>
        <v>0</v>
      </c>
      <c r="AA780" s="17">
        <f>IF(D780="","",B780&amp;"|"&amp;D780)</f>
        <v>0</v>
      </c>
      <c r="AB780" s="31">
        <f>IF(D780="","",IF(B780="","Add - which recipe?",IF(COUNTIFS(Ingredients!$B$5:$B$304,D780)=0,"Missing - not in the Ingredients tab",IF(E780="","Add - no quantity",IF(F780="","Add - no unit",IF(K780&lt;&gt;L780,"Check - recipe in "&amp;K780&amp;", priced in "&amp;L780,IF(COUNTIFS($AA$5:$AA$1204,AA780)&gt;1,"Duplicate - same ingredient twice","OK")))))))</f>
        <v>0</v>
      </c>
    </row>
    <row r="781" spans="1:28">
      <c r="A781" s="39">
        <f>IF(D781="","","RL-"&amp;TEXT(ROW()-4,"0000"))</f>
        <v>0</v>
      </c>
      <c r="C781" s="17">
        <f>IF(B781="","",IFERROR(INDEX(Recipes!$B$5:$B$204,MATCH(B781,Recipes!$A$5:$A$204,0)),"Not found"))</f>
        <v>0</v>
      </c>
      <c r="J781" s="45">
        <f>IF(E781="","",IFERROR(E781*INDEX(UnitFactors,MATCH(F781,UnitNames,0)),""))</f>
        <v>0</v>
      </c>
      <c r="K781" s="17">
        <f>IF(F781="","",IFERROR(INDEX(UnitBases,MATCH(F781,UnitNames,0)),"?"))</f>
        <v>0</v>
      </c>
      <c r="L781" s="17">
        <f>IF(D781="","",IFERROR(INDEX(Ingredients!$G$5:$G$304,MATCH(D781,Ingredients!$B$5:$B$304,0)),"Add to Ingredients"))</f>
        <v>0</v>
      </c>
      <c r="M781" s="25">
        <f>IF(D781="","",IFERROR(INDEX(Ingredients!$J$5:$J$304,MATCH(D781,Ingredients!$B$5:$B$304,0)),"Add to Ingredients"))</f>
        <v>0</v>
      </c>
      <c r="N781" s="25">
        <f>IF(OR(J781="",M781="",NOT(ISNUMBER(M781))),"",IF(K781&lt;&gt;L781,"",J781*M781))</f>
        <v>0</v>
      </c>
      <c r="O781" s="25">
        <f>IF(N781="","",IFERROR(N781/INDEX(Recipes!$G$5:$G$204,MATCH(B781,Recipes!$A$5:$A$204,0)),""))</f>
        <v>0</v>
      </c>
      <c r="P781" s="30">
        <f>IF(J781="","",IF(K781="each",J781,J781/100))</f>
        <v>0</v>
      </c>
      <c r="Q781" s="30">
        <f>IFERROR(IF(P781="","",P781*INDEX(Ingredients!$P$5:$P$304,MATCH(D781,Ingredients!$B$5:$B$304,0))),"")</f>
        <v>0</v>
      </c>
      <c r="R781" s="45">
        <f>IFERROR(IF(P781="","",P781*INDEX(Ingredients!$Q$5:$Q$304,MATCH(D781,Ingredients!$B$5:$B$304,0))),"")</f>
        <v>0</v>
      </c>
      <c r="S781" s="45">
        <f>IFERROR(IF(P781="","",P781*INDEX(Ingredients!$R$5:$R$304,MATCH(D781,Ingredients!$B$5:$B$304,0))),"")</f>
        <v>0</v>
      </c>
      <c r="T781" s="45">
        <f>IFERROR(IF(P781="","",P781*INDEX(Ingredients!$S$5:$S$304,MATCH(D781,Ingredients!$B$5:$B$304,0))),"")</f>
        <v>0</v>
      </c>
      <c r="U781" s="45">
        <f>IFERROR(IF(P781="","",P781*INDEX(Ingredients!$T$5:$T$304,MATCH(D781,Ingredients!$B$5:$B$304,0))),"")</f>
        <v>0</v>
      </c>
      <c r="V781" s="17">
        <f>IF(D781="","",IFERROR(INDEX(Ingredients!$W$5:$W$304,MATCH(D781,Ingredients!$B$5:$B$304,0)),"Add to Ingredients"))</f>
        <v>0</v>
      </c>
      <c r="W781" s="17">
        <f>IF(D781="","",IFERROR(INDEX(Ingredients!$C$5:$C$304,MATCH(D781,Ingredients!$B$5:$B$304,0)),"Add to Ingredients"))</f>
        <v>0</v>
      </c>
      <c r="X781" s="45">
        <f>IFERROR(INDEX(Recipes!$AT$5:$AT$204,MATCH(B781,Recipes!$A$5:$A$204,0)),0)</f>
        <v>0</v>
      </c>
      <c r="Y781" s="45">
        <f>IF(OR(J781="",X781=0),"",J781*X781)</f>
        <v>0</v>
      </c>
      <c r="Z781" s="17">
        <f>IF(D781="","",B781&amp;"#"&amp;COUNTIFS($B$5:B781,B781))</f>
        <v>0</v>
      </c>
      <c r="AA781" s="17">
        <f>IF(D781="","",B781&amp;"|"&amp;D781)</f>
        <v>0</v>
      </c>
      <c r="AB781" s="31">
        <f>IF(D781="","",IF(B781="","Add - which recipe?",IF(COUNTIFS(Ingredients!$B$5:$B$304,D781)=0,"Missing - not in the Ingredients tab",IF(E781="","Add - no quantity",IF(F781="","Add - no unit",IF(K781&lt;&gt;L781,"Check - recipe in "&amp;K781&amp;", priced in "&amp;L781,IF(COUNTIFS($AA$5:$AA$1204,AA781)&gt;1,"Duplicate - same ingredient twice","OK")))))))</f>
        <v>0</v>
      </c>
    </row>
    <row r="782" spans="1:28">
      <c r="A782" s="39">
        <f>IF(D782="","","RL-"&amp;TEXT(ROW()-4,"0000"))</f>
        <v>0</v>
      </c>
      <c r="C782" s="17">
        <f>IF(B782="","",IFERROR(INDEX(Recipes!$B$5:$B$204,MATCH(B782,Recipes!$A$5:$A$204,0)),"Not found"))</f>
        <v>0</v>
      </c>
      <c r="J782" s="45">
        <f>IF(E782="","",IFERROR(E782*INDEX(UnitFactors,MATCH(F782,UnitNames,0)),""))</f>
        <v>0</v>
      </c>
      <c r="K782" s="17">
        <f>IF(F782="","",IFERROR(INDEX(UnitBases,MATCH(F782,UnitNames,0)),"?"))</f>
        <v>0</v>
      </c>
      <c r="L782" s="17">
        <f>IF(D782="","",IFERROR(INDEX(Ingredients!$G$5:$G$304,MATCH(D782,Ingredients!$B$5:$B$304,0)),"Add to Ingredients"))</f>
        <v>0</v>
      </c>
      <c r="M782" s="25">
        <f>IF(D782="","",IFERROR(INDEX(Ingredients!$J$5:$J$304,MATCH(D782,Ingredients!$B$5:$B$304,0)),"Add to Ingredients"))</f>
        <v>0</v>
      </c>
      <c r="N782" s="25">
        <f>IF(OR(J782="",M782="",NOT(ISNUMBER(M782))),"",IF(K782&lt;&gt;L782,"",J782*M782))</f>
        <v>0</v>
      </c>
      <c r="O782" s="25">
        <f>IF(N782="","",IFERROR(N782/INDEX(Recipes!$G$5:$G$204,MATCH(B782,Recipes!$A$5:$A$204,0)),""))</f>
        <v>0</v>
      </c>
      <c r="P782" s="30">
        <f>IF(J782="","",IF(K782="each",J782,J782/100))</f>
        <v>0</v>
      </c>
      <c r="Q782" s="30">
        <f>IFERROR(IF(P782="","",P782*INDEX(Ingredients!$P$5:$P$304,MATCH(D782,Ingredients!$B$5:$B$304,0))),"")</f>
        <v>0</v>
      </c>
      <c r="R782" s="45">
        <f>IFERROR(IF(P782="","",P782*INDEX(Ingredients!$Q$5:$Q$304,MATCH(D782,Ingredients!$B$5:$B$304,0))),"")</f>
        <v>0</v>
      </c>
      <c r="S782" s="45">
        <f>IFERROR(IF(P782="","",P782*INDEX(Ingredients!$R$5:$R$304,MATCH(D782,Ingredients!$B$5:$B$304,0))),"")</f>
        <v>0</v>
      </c>
      <c r="T782" s="45">
        <f>IFERROR(IF(P782="","",P782*INDEX(Ingredients!$S$5:$S$304,MATCH(D782,Ingredients!$B$5:$B$304,0))),"")</f>
        <v>0</v>
      </c>
      <c r="U782" s="45">
        <f>IFERROR(IF(P782="","",P782*INDEX(Ingredients!$T$5:$T$304,MATCH(D782,Ingredients!$B$5:$B$304,0))),"")</f>
        <v>0</v>
      </c>
      <c r="V782" s="17">
        <f>IF(D782="","",IFERROR(INDEX(Ingredients!$W$5:$W$304,MATCH(D782,Ingredients!$B$5:$B$304,0)),"Add to Ingredients"))</f>
        <v>0</v>
      </c>
      <c r="W782" s="17">
        <f>IF(D782="","",IFERROR(INDEX(Ingredients!$C$5:$C$304,MATCH(D782,Ingredients!$B$5:$B$304,0)),"Add to Ingredients"))</f>
        <v>0</v>
      </c>
      <c r="X782" s="45">
        <f>IFERROR(INDEX(Recipes!$AT$5:$AT$204,MATCH(B782,Recipes!$A$5:$A$204,0)),0)</f>
        <v>0</v>
      </c>
      <c r="Y782" s="45">
        <f>IF(OR(J782="",X782=0),"",J782*X782)</f>
        <v>0</v>
      </c>
      <c r="Z782" s="17">
        <f>IF(D782="","",B782&amp;"#"&amp;COUNTIFS($B$5:B782,B782))</f>
        <v>0</v>
      </c>
      <c r="AA782" s="17">
        <f>IF(D782="","",B782&amp;"|"&amp;D782)</f>
        <v>0</v>
      </c>
      <c r="AB782" s="31">
        <f>IF(D782="","",IF(B782="","Add - which recipe?",IF(COUNTIFS(Ingredients!$B$5:$B$304,D782)=0,"Missing - not in the Ingredients tab",IF(E782="","Add - no quantity",IF(F782="","Add - no unit",IF(K782&lt;&gt;L782,"Check - recipe in "&amp;K782&amp;", priced in "&amp;L782,IF(COUNTIFS($AA$5:$AA$1204,AA782)&gt;1,"Duplicate - same ingredient twice","OK")))))))</f>
        <v>0</v>
      </c>
    </row>
    <row r="783" spans="1:28">
      <c r="A783" s="39">
        <f>IF(D783="","","RL-"&amp;TEXT(ROW()-4,"0000"))</f>
        <v>0</v>
      </c>
      <c r="C783" s="17">
        <f>IF(B783="","",IFERROR(INDEX(Recipes!$B$5:$B$204,MATCH(B783,Recipes!$A$5:$A$204,0)),"Not found"))</f>
        <v>0</v>
      </c>
      <c r="J783" s="45">
        <f>IF(E783="","",IFERROR(E783*INDEX(UnitFactors,MATCH(F783,UnitNames,0)),""))</f>
        <v>0</v>
      </c>
      <c r="K783" s="17">
        <f>IF(F783="","",IFERROR(INDEX(UnitBases,MATCH(F783,UnitNames,0)),"?"))</f>
        <v>0</v>
      </c>
      <c r="L783" s="17">
        <f>IF(D783="","",IFERROR(INDEX(Ingredients!$G$5:$G$304,MATCH(D783,Ingredients!$B$5:$B$304,0)),"Add to Ingredients"))</f>
        <v>0</v>
      </c>
      <c r="M783" s="25">
        <f>IF(D783="","",IFERROR(INDEX(Ingredients!$J$5:$J$304,MATCH(D783,Ingredients!$B$5:$B$304,0)),"Add to Ingredients"))</f>
        <v>0</v>
      </c>
      <c r="N783" s="25">
        <f>IF(OR(J783="",M783="",NOT(ISNUMBER(M783))),"",IF(K783&lt;&gt;L783,"",J783*M783))</f>
        <v>0</v>
      </c>
      <c r="O783" s="25">
        <f>IF(N783="","",IFERROR(N783/INDEX(Recipes!$G$5:$G$204,MATCH(B783,Recipes!$A$5:$A$204,0)),""))</f>
        <v>0</v>
      </c>
      <c r="P783" s="30">
        <f>IF(J783="","",IF(K783="each",J783,J783/100))</f>
        <v>0</v>
      </c>
      <c r="Q783" s="30">
        <f>IFERROR(IF(P783="","",P783*INDEX(Ingredients!$P$5:$P$304,MATCH(D783,Ingredients!$B$5:$B$304,0))),"")</f>
        <v>0</v>
      </c>
      <c r="R783" s="45">
        <f>IFERROR(IF(P783="","",P783*INDEX(Ingredients!$Q$5:$Q$304,MATCH(D783,Ingredients!$B$5:$B$304,0))),"")</f>
        <v>0</v>
      </c>
      <c r="S783" s="45">
        <f>IFERROR(IF(P783="","",P783*INDEX(Ingredients!$R$5:$R$304,MATCH(D783,Ingredients!$B$5:$B$304,0))),"")</f>
        <v>0</v>
      </c>
      <c r="T783" s="45">
        <f>IFERROR(IF(P783="","",P783*INDEX(Ingredients!$S$5:$S$304,MATCH(D783,Ingredients!$B$5:$B$304,0))),"")</f>
        <v>0</v>
      </c>
      <c r="U783" s="45">
        <f>IFERROR(IF(P783="","",P783*INDEX(Ingredients!$T$5:$T$304,MATCH(D783,Ingredients!$B$5:$B$304,0))),"")</f>
        <v>0</v>
      </c>
      <c r="V783" s="17">
        <f>IF(D783="","",IFERROR(INDEX(Ingredients!$W$5:$W$304,MATCH(D783,Ingredients!$B$5:$B$304,0)),"Add to Ingredients"))</f>
        <v>0</v>
      </c>
      <c r="W783" s="17">
        <f>IF(D783="","",IFERROR(INDEX(Ingredients!$C$5:$C$304,MATCH(D783,Ingredients!$B$5:$B$304,0)),"Add to Ingredients"))</f>
        <v>0</v>
      </c>
      <c r="X783" s="45">
        <f>IFERROR(INDEX(Recipes!$AT$5:$AT$204,MATCH(B783,Recipes!$A$5:$A$204,0)),0)</f>
        <v>0</v>
      </c>
      <c r="Y783" s="45">
        <f>IF(OR(J783="",X783=0),"",J783*X783)</f>
        <v>0</v>
      </c>
      <c r="Z783" s="17">
        <f>IF(D783="","",B783&amp;"#"&amp;COUNTIFS($B$5:B783,B783))</f>
        <v>0</v>
      </c>
      <c r="AA783" s="17">
        <f>IF(D783="","",B783&amp;"|"&amp;D783)</f>
        <v>0</v>
      </c>
      <c r="AB783" s="31">
        <f>IF(D783="","",IF(B783="","Add - which recipe?",IF(COUNTIFS(Ingredients!$B$5:$B$304,D783)=0,"Missing - not in the Ingredients tab",IF(E783="","Add - no quantity",IF(F783="","Add - no unit",IF(K783&lt;&gt;L783,"Check - recipe in "&amp;K783&amp;", priced in "&amp;L783,IF(COUNTIFS($AA$5:$AA$1204,AA783)&gt;1,"Duplicate - same ingredient twice","OK")))))))</f>
        <v>0</v>
      </c>
    </row>
    <row r="784" spans="1:28">
      <c r="A784" s="39">
        <f>IF(D784="","","RL-"&amp;TEXT(ROW()-4,"0000"))</f>
        <v>0</v>
      </c>
      <c r="C784" s="17">
        <f>IF(B784="","",IFERROR(INDEX(Recipes!$B$5:$B$204,MATCH(B784,Recipes!$A$5:$A$204,0)),"Not found"))</f>
        <v>0</v>
      </c>
      <c r="J784" s="45">
        <f>IF(E784="","",IFERROR(E784*INDEX(UnitFactors,MATCH(F784,UnitNames,0)),""))</f>
        <v>0</v>
      </c>
      <c r="K784" s="17">
        <f>IF(F784="","",IFERROR(INDEX(UnitBases,MATCH(F784,UnitNames,0)),"?"))</f>
        <v>0</v>
      </c>
      <c r="L784" s="17">
        <f>IF(D784="","",IFERROR(INDEX(Ingredients!$G$5:$G$304,MATCH(D784,Ingredients!$B$5:$B$304,0)),"Add to Ingredients"))</f>
        <v>0</v>
      </c>
      <c r="M784" s="25">
        <f>IF(D784="","",IFERROR(INDEX(Ingredients!$J$5:$J$304,MATCH(D784,Ingredients!$B$5:$B$304,0)),"Add to Ingredients"))</f>
        <v>0</v>
      </c>
      <c r="N784" s="25">
        <f>IF(OR(J784="",M784="",NOT(ISNUMBER(M784))),"",IF(K784&lt;&gt;L784,"",J784*M784))</f>
        <v>0</v>
      </c>
      <c r="O784" s="25">
        <f>IF(N784="","",IFERROR(N784/INDEX(Recipes!$G$5:$G$204,MATCH(B784,Recipes!$A$5:$A$204,0)),""))</f>
        <v>0</v>
      </c>
      <c r="P784" s="30">
        <f>IF(J784="","",IF(K784="each",J784,J784/100))</f>
        <v>0</v>
      </c>
      <c r="Q784" s="30">
        <f>IFERROR(IF(P784="","",P784*INDEX(Ingredients!$P$5:$P$304,MATCH(D784,Ingredients!$B$5:$B$304,0))),"")</f>
        <v>0</v>
      </c>
      <c r="R784" s="45">
        <f>IFERROR(IF(P784="","",P784*INDEX(Ingredients!$Q$5:$Q$304,MATCH(D784,Ingredients!$B$5:$B$304,0))),"")</f>
        <v>0</v>
      </c>
      <c r="S784" s="45">
        <f>IFERROR(IF(P784="","",P784*INDEX(Ingredients!$R$5:$R$304,MATCH(D784,Ingredients!$B$5:$B$304,0))),"")</f>
        <v>0</v>
      </c>
      <c r="T784" s="45">
        <f>IFERROR(IF(P784="","",P784*INDEX(Ingredients!$S$5:$S$304,MATCH(D784,Ingredients!$B$5:$B$304,0))),"")</f>
        <v>0</v>
      </c>
      <c r="U784" s="45">
        <f>IFERROR(IF(P784="","",P784*INDEX(Ingredients!$T$5:$T$304,MATCH(D784,Ingredients!$B$5:$B$304,0))),"")</f>
        <v>0</v>
      </c>
      <c r="V784" s="17">
        <f>IF(D784="","",IFERROR(INDEX(Ingredients!$W$5:$W$304,MATCH(D784,Ingredients!$B$5:$B$304,0)),"Add to Ingredients"))</f>
        <v>0</v>
      </c>
      <c r="W784" s="17">
        <f>IF(D784="","",IFERROR(INDEX(Ingredients!$C$5:$C$304,MATCH(D784,Ingredients!$B$5:$B$304,0)),"Add to Ingredients"))</f>
        <v>0</v>
      </c>
      <c r="X784" s="45">
        <f>IFERROR(INDEX(Recipes!$AT$5:$AT$204,MATCH(B784,Recipes!$A$5:$A$204,0)),0)</f>
        <v>0</v>
      </c>
      <c r="Y784" s="45">
        <f>IF(OR(J784="",X784=0),"",J784*X784)</f>
        <v>0</v>
      </c>
      <c r="Z784" s="17">
        <f>IF(D784="","",B784&amp;"#"&amp;COUNTIFS($B$5:B784,B784))</f>
        <v>0</v>
      </c>
      <c r="AA784" s="17">
        <f>IF(D784="","",B784&amp;"|"&amp;D784)</f>
        <v>0</v>
      </c>
      <c r="AB784" s="31">
        <f>IF(D784="","",IF(B784="","Add - which recipe?",IF(COUNTIFS(Ingredients!$B$5:$B$304,D784)=0,"Missing - not in the Ingredients tab",IF(E784="","Add - no quantity",IF(F784="","Add - no unit",IF(K784&lt;&gt;L784,"Check - recipe in "&amp;K784&amp;", priced in "&amp;L784,IF(COUNTIFS($AA$5:$AA$1204,AA784)&gt;1,"Duplicate - same ingredient twice","OK")))))))</f>
        <v>0</v>
      </c>
    </row>
    <row r="785" spans="1:28">
      <c r="A785" s="39">
        <f>IF(D785="","","RL-"&amp;TEXT(ROW()-4,"0000"))</f>
        <v>0</v>
      </c>
      <c r="C785" s="17">
        <f>IF(B785="","",IFERROR(INDEX(Recipes!$B$5:$B$204,MATCH(B785,Recipes!$A$5:$A$204,0)),"Not found"))</f>
        <v>0</v>
      </c>
      <c r="J785" s="45">
        <f>IF(E785="","",IFERROR(E785*INDEX(UnitFactors,MATCH(F785,UnitNames,0)),""))</f>
        <v>0</v>
      </c>
      <c r="K785" s="17">
        <f>IF(F785="","",IFERROR(INDEX(UnitBases,MATCH(F785,UnitNames,0)),"?"))</f>
        <v>0</v>
      </c>
      <c r="L785" s="17">
        <f>IF(D785="","",IFERROR(INDEX(Ingredients!$G$5:$G$304,MATCH(D785,Ingredients!$B$5:$B$304,0)),"Add to Ingredients"))</f>
        <v>0</v>
      </c>
      <c r="M785" s="25">
        <f>IF(D785="","",IFERROR(INDEX(Ingredients!$J$5:$J$304,MATCH(D785,Ingredients!$B$5:$B$304,0)),"Add to Ingredients"))</f>
        <v>0</v>
      </c>
      <c r="N785" s="25">
        <f>IF(OR(J785="",M785="",NOT(ISNUMBER(M785))),"",IF(K785&lt;&gt;L785,"",J785*M785))</f>
        <v>0</v>
      </c>
      <c r="O785" s="25">
        <f>IF(N785="","",IFERROR(N785/INDEX(Recipes!$G$5:$G$204,MATCH(B785,Recipes!$A$5:$A$204,0)),""))</f>
        <v>0</v>
      </c>
      <c r="P785" s="30">
        <f>IF(J785="","",IF(K785="each",J785,J785/100))</f>
        <v>0</v>
      </c>
      <c r="Q785" s="30">
        <f>IFERROR(IF(P785="","",P785*INDEX(Ingredients!$P$5:$P$304,MATCH(D785,Ingredients!$B$5:$B$304,0))),"")</f>
        <v>0</v>
      </c>
      <c r="R785" s="45">
        <f>IFERROR(IF(P785="","",P785*INDEX(Ingredients!$Q$5:$Q$304,MATCH(D785,Ingredients!$B$5:$B$304,0))),"")</f>
        <v>0</v>
      </c>
      <c r="S785" s="45">
        <f>IFERROR(IF(P785="","",P785*INDEX(Ingredients!$R$5:$R$304,MATCH(D785,Ingredients!$B$5:$B$304,0))),"")</f>
        <v>0</v>
      </c>
      <c r="T785" s="45">
        <f>IFERROR(IF(P785="","",P785*INDEX(Ingredients!$S$5:$S$304,MATCH(D785,Ingredients!$B$5:$B$304,0))),"")</f>
        <v>0</v>
      </c>
      <c r="U785" s="45">
        <f>IFERROR(IF(P785="","",P785*INDEX(Ingredients!$T$5:$T$304,MATCH(D785,Ingredients!$B$5:$B$304,0))),"")</f>
        <v>0</v>
      </c>
      <c r="V785" s="17">
        <f>IF(D785="","",IFERROR(INDEX(Ingredients!$W$5:$W$304,MATCH(D785,Ingredients!$B$5:$B$304,0)),"Add to Ingredients"))</f>
        <v>0</v>
      </c>
      <c r="W785" s="17">
        <f>IF(D785="","",IFERROR(INDEX(Ingredients!$C$5:$C$304,MATCH(D785,Ingredients!$B$5:$B$304,0)),"Add to Ingredients"))</f>
        <v>0</v>
      </c>
      <c r="X785" s="45">
        <f>IFERROR(INDEX(Recipes!$AT$5:$AT$204,MATCH(B785,Recipes!$A$5:$A$204,0)),0)</f>
        <v>0</v>
      </c>
      <c r="Y785" s="45">
        <f>IF(OR(J785="",X785=0),"",J785*X785)</f>
        <v>0</v>
      </c>
      <c r="Z785" s="17">
        <f>IF(D785="","",B785&amp;"#"&amp;COUNTIFS($B$5:B785,B785))</f>
        <v>0</v>
      </c>
      <c r="AA785" s="17">
        <f>IF(D785="","",B785&amp;"|"&amp;D785)</f>
        <v>0</v>
      </c>
      <c r="AB785" s="31">
        <f>IF(D785="","",IF(B785="","Add - which recipe?",IF(COUNTIFS(Ingredients!$B$5:$B$304,D785)=0,"Missing - not in the Ingredients tab",IF(E785="","Add - no quantity",IF(F785="","Add - no unit",IF(K785&lt;&gt;L785,"Check - recipe in "&amp;K785&amp;", priced in "&amp;L785,IF(COUNTIFS($AA$5:$AA$1204,AA785)&gt;1,"Duplicate - same ingredient twice","OK")))))))</f>
        <v>0</v>
      </c>
    </row>
    <row r="786" spans="1:28">
      <c r="A786" s="39">
        <f>IF(D786="","","RL-"&amp;TEXT(ROW()-4,"0000"))</f>
        <v>0</v>
      </c>
      <c r="C786" s="17">
        <f>IF(B786="","",IFERROR(INDEX(Recipes!$B$5:$B$204,MATCH(B786,Recipes!$A$5:$A$204,0)),"Not found"))</f>
        <v>0</v>
      </c>
      <c r="J786" s="45">
        <f>IF(E786="","",IFERROR(E786*INDEX(UnitFactors,MATCH(F786,UnitNames,0)),""))</f>
        <v>0</v>
      </c>
      <c r="K786" s="17">
        <f>IF(F786="","",IFERROR(INDEX(UnitBases,MATCH(F786,UnitNames,0)),"?"))</f>
        <v>0</v>
      </c>
      <c r="L786" s="17">
        <f>IF(D786="","",IFERROR(INDEX(Ingredients!$G$5:$G$304,MATCH(D786,Ingredients!$B$5:$B$304,0)),"Add to Ingredients"))</f>
        <v>0</v>
      </c>
      <c r="M786" s="25">
        <f>IF(D786="","",IFERROR(INDEX(Ingredients!$J$5:$J$304,MATCH(D786,Ingredients!$B$5:$B$304,0)),"Add to Ingredients"))</f>
        <v>0</v>
      </c>
      <c r="N786" s="25">
        <f>IF(OR(J786="",M786="",NOT(ISNUMBER(M786))),"",IF(K786&lt;&gt;L786,"",J786*M786))</f>
        <v>0</v>
      </c>
      <c r="O786" s="25">
        <f>IF(N786="","",IFERROR(N786/INDEX(Recipes!$G$5:$G$204,MATCH(B786,Recipes!$A$5:$A$204,0)),""))</f>
        <v>0</v>
      </c>
      <c r="P786" s="30">
        <f>IF(J786="","",IF(K786="each",J786,J786/100))</f>
        <v>0</v>
      </c>
      <c r="Q786" s="30">
        <f>IFERROR(IF(P786="","",P786*INDEX(Ingredients!$P$5:$P$304,MATCH(D786,Ingredients!$B$5:$B$304,0))),"")</f>
        <v>0</v>
      </c>
      <c r="R786" s="45">
        <f>IFERROR(IF(P786="","",P786*INDEX(Ingredients!$Q$5:$Q$304,MATCH(D786,Ingredients!$B$5:$B$304,0))),"")</f>
        <v>0</v>
      </c>
      <c r="S786" s="45">
        <f>IFERROR(IF(P786="","",P786*INDEX(Ingredients!$R$5:$R$304,MATCH(D786,Ingredients!$B$5:$B$304,0))),"")</f>
        <v>0</v>
      </c>
      <c r="T786" s="45">
        <f>IFERROR(IF(P786="","",P786*INDEX(Ingredients!$S$5:$S$304,MATCH(D786,Ingredients!$B$5:$B$304,0))),"")</f>
        <v>0</v>
      </c>
      <c r="U786" s="45">
        <f>IFERROR(IF(P786="","",P786*INDEX(Ingredients!$T$5:$T$304,MATCH(D786,Ingredients!$B$5:$B$304,0))),"")</f>
        <v>0</v>
      </c>
      <c r="V786" s="17">
        <f>IF(D786="","",IFERROR(INDEX(Ingredients!$W$5:$W$304,MATCH(D786,Ingredients!$B$5:$B$304,0)),"Add to Ingredients"))</f>
        <v>0</v>
      </c>
      <c r="W786" s="17">
        <f>IF(D786="","",IFERROR(INDEX(Ingredients!$C$5:$C$304,MATCH(D786,Ingredients!$B$5:$B$304,0)),"Add to Ingredients"))</f>
        <v>0</v>
      </c>
      <c r="X786" s="45">
        <f>IFERROR(INDEX(Recipes!$AT$5:$AT$204,MATCH(B786,Recipes!$A$5:$A$204,0)),0)</f>
        <v>0</v>
      </c>
      <c r="Y786" s="45">
        <f>IF(OR(J786="",X786=0),"",J786*X786)</f>
        <v>0</v>
      </c>
      <c r="Z786" s="17">
        <f>IF(D786="","",B786&amp;"#"&amp;COUNTIFS($B$5:B786,B786))</f>
        <v>0</v>
      </c>
      <c r="AA786" s="17">
        <f>IF(D786="","",B786&amp;"|"&amp;D786)</f>
        <v>0</v>
      </c>
      <c r="AB786" s="31">
        <f>IF(D786="","",IF(B786="","Add - which recipe?",IF(COUNTIFS(Ingredients!$B$5:$B$304,D786)=0,"Missing - not in the Ingredients tab",IF(E786="","Add - no quantity",IF(F786="","Add - no unit",IF(K786&lt;&gt;L786,"Check - recipe in "&amp;K786&amp;", priced in "&amp;L786,IF(COUNTIFS($AA$5:$AA$1204,AA786)&gt;1,"Duplicate - same ingredient twice","OK")))))))</f>
        <v>0</v>
      </c>
    </row>
    <row r="787" spans="1:28">
      <c r="A787" s="39">
        <f>IF(D787="","","RL-"&amp;TEXT(ROW()-4,"0000"))</f>
        <v>0</v>
      </c>
      <c r="C787" s="17">
        <f>IF(B787="","",IFERROR(INDEX(Recipes!$B$5:$B$204,MATCH(B787,Recipes!$A$5:$A$204,0)),"Not found"))</f>
        <v>0</v>
      </c>
      <c r="J787" s="45">
        <f>IF(E787="","",IFERROR(E787*INDEX(UnitFactors,MATCH(F787,UnitNames,0)),""))</f>
        <v>0</v>
      </c>
      <c r="K787" s="17">
        <f>IF(F787="","",IFERROR(INDEX(UnitBases,MATCH(F787,UnitNames,0)),"?"))</f>
        <v>0</v>
      </c>
      <c r="L787" s="17">
        <f>IF(D787="","",IFERROR(INDEX(Ingredients!$G$5:$G$304,MATCH(D787,Ingredients!$B$5:$B$304,0)),"Add to Ingredients"))</f>
        <v>0</v>
      </c>
      <c r="M787" s="25">
        <f>IF(D787="","",IFERROR(INDEX(Ingredients!$J$5:$J$304,MATCH(D787,Ingredients!$B$5:$B$304,0)),"Add to Ingredients"))</f>
        <v>0</v>
      </c>
      <c r="N787" s="25">
        <f>IF(OR(J787="",M787="",NOT(ISNUMBER(M787))),"",IF(K787&lt;&gt;L787,"",J787*M787))</f>
        <v>0</v>
      </c>
      <c r="O787" s="25">
        <f>IF(N787="","",IFERROR(N787/INDEX(Recipes!$G$5:$G$204,MATCH(B787,Recipes!$A$5:$A$204,0)),""))</f>
        <v>0</v>
      </c>
      <c r="P787" s="30">
        <f>IF(J787="","",IF(K787="each",J787,J787/100))</f>
        <v>0</v>
      </c>
      <c r="Q787" s="30">
        <f>IFERROR(IF(P787="","",P787*INDEX(Ingredients!$P$5:$P$304,MATCH(D787,Ingredients!$B$5:$B$304,0))),"")</f>
        <v>0</v>
      </c>
      <c r="R787" s="45">
        <f>IFERROR(IF(P787="","",P787*INDEX(Ingredients!$Q$5:$Q$304,MATCH(D787,Ingredients!$B$5:$B$304,0))),"")</f>
        <v>0</v>
      </c>
      <c r="S787" s="45">
        <f>IFERROR(IF(P787="","",P787*INDEX(Ingredients!$R$5:$R$304,MATCH(D787,Ingredients!$B$5:$B$304,0))),"")</f>
        <v>0</v>
      </c>
      <c r="T787" s="45">
        <f>IFERROR(IF(P787="","",P787*INDEX(Ingredients!$S$5:$S$304,MATCH(D787,Ingredients!$B$5:$B$304,0))),"")</f>
        <v>0</v>
      </c>
      <c r="U787" s="45">
        <f>IFERROR(IF(P787="","",P787*INDEX(Ingredients!$T$5:$T$304,MATCH(D787,Ingredients!$B$5:$B$304,0))),"")</f>
        <v>0</v>
      </c>
      <c r="V787" s="17">
        <f>IF(D787="","",IFERROR(INDEX(Ingredients!$W$5:$W$304,MATCH(D787,Ingredients!$B$5:$B$304,0)),"Add to Ingredients"))</f>
        <v>0</v>
      </c>
      <c r="W787" s="17">
        <f>IF(D787="","",IFERROR(INDEX(Ingredients!$C$5:$C$304,MATCH(D787,Ingredients!$B$5:$B$304,0)),"Add to Ingredients"))</f>
        <v>0</v>
      </c>
      <c r="X787" s="45">
        <f>IFERROR(INDEX(Recipes!$AT$5:$AT$204,MATCH(B787,Recipes!$A$5:$A$204,0)),0)</f>
        <v>0</v>
      </c>
      <c r="Y787" s="45">
        <f>IF(OR(J787="",X787=0),"",J787*X787)</f>
        <v>0</v>
      </c>
      <c r="Z787" s="17">
        <f>IF(D787="","",B787&amp;"#"&amp;COUNTIFS($B$5:B787,B787))</f>
        <v>0</v>
      </c>
      <c r="AA787" s="17">
        <f>IF(D787="","",B787&amp;"|"&amp;D787)</f>
        <v>0</v>
      </c>
      <c r="AB787" s="31">
        <f>IF(D787="","",IF(B787="","Add - which recipe?",IF(COUNTIFS(Ingredients!$B$5:$B$304,D787)=0,"Missing - not in the Ingredients tab",IF(E787="","Add - no quantity",IF(F787="","Add - no unit",IF(K787&lt;&gt;L787,"Check - recipe in "&amp;K787&amp;", priced in "&amp;L787,IF(COUNTIFS($AA$5:$AA$1204,AA787)&gt;1,"Duplicate - same ingredient twice","OK")))))))</f>
        <v>0</v>
      </c>
    </row>
    <row r="788" spans="1:28">
      <c r="A788" s="39">
        <f>IF(D788="","","RL-"&amp;TEXT(ROW()-4,"0000"))</f>
        <v>0</v>
      </c>
      <c r="C788" s="17">
        <f>IF(B788="","",IFERROR(INDEX(Recipes!$B$5:$B$204,MATCH(B788,Recipes!$A$5:$A$204,0)),"Not found"))</f>
        <v>0</v>
      </c>
      <c r="J788" s="45">
        <f>IF(E788="","",IFERROR(E788*INDEX(UnitFactors,MATCH(F788,UnitNames,0)),""))</f>
        <v>0</v>
      </c>
      <c r="K788" s="17">
        <f>IF(F788="","",IFERROR(INDEX(UnitBases,MATCH(F788,UnitNames,0)),"?"))</f>
        <v>0</v>
      </c>
      <c r="L788" s="17">
        <f>IF(D788="","",IFERROR(INDEX(Ingredients!$G$5:$G$304,MATCH(D788,Ingredients!$B$5:$B$304,0)),"Add to Ingredients"))</f>
        <v>0</v>
      </c>
      <c r="M788" s="25">
        <f>IF(D788="","",IFERROR(INDEX(Ingredients!$J$5:$J$304,MATCH(D788,Ingredients!$B$5:$B$304,0)),"Add to Ingredients"))</f>
        <v>0</v>
      </c>
      <c r="N788" s="25">
        <f>IF(OR(J788="",M788="",NOT(ISNUMBER(M788))),"",IF(K788&lt;&gt;L788,"",J788*M788))</f>
        <v>0</v>
      </c>
      <c r="O788" s="25">
        <f>IF(N788="","",IFERROR(N788/INDEX(Recipes!$G$5:$G$204,MATCH(B788,Recipes!$A$5:$A$204,0)),""))</f>
        <v>0</v>
      </c>
      <c r="P788" s="30">
        <f>IF(J788="","",IF(K788="each",J788,J788/100))</f>
        <v>0</v>
      </c>
      <c r="Q788" s="30">
        <f>IFERROR(IF(P788="","",P788*INDEX(Ingredients!$P$5:$P$304,MATCH(D788,Ingredients!$B$5:$B$304,0))),"")</f>
        <v>0</v>
      </c>
      <c r="R788" s="45">
        <f>IFERROR(IF(P788="","",P788*INDEX(Ingredients!$Q$5:$Q$304,MATCH(D788,Ingredients!$B$5:$B$304,0))),"")</f>
        <v>0</v>
      </c>
      <c r="S788" s="45">
        <f>IFERROR(IF(P788="","",P788*INDEX(Ingredients!$R$5:$R$304,MATCH(D788,Ingredients!$B$5:$B$304,0))),"")</f>
        <v>0</v>
      </c>
      <c r="T788" s="45">
        <f>IFERROR(IF(P788="","",P788*INDEX(Ingredients!$S$5:$S$304,MATCH(D788,Ingredients!$B$5:$B$304,0))),"")</f>
        <v>0</v>
      </c>
      <c r="U788" s="45">
        <f>IFERROR(IF(P788="","",P788*INDEX(Ingredients!$T$5:$T$304,MATCH(D788,Ingredients!$B$5:$B$304,0))),"")</f>
        <v>0</v>
      </c>
      <c r="V788" s="17">
        <f>IF(D788="","",IFERROR(INDEX(Ingredients!$W$5:$W$304,MATCH(D788,Ingredients!$B$5:$B$304,0)),"Add to Ingredients"))</f>
        <v>0</v>
      </c>
      <c r="W788" s="17">
        <f>IF(D788="","",IFERROR(INDEX(Ingredients!$C$5:$C$304,MATCH(D788,Ingredients!$B$5:$B$304,0)),"Add to Ingredients"))</f>
        <v>0</v>
      </c>
      <c r="X788" s="45">
        <f>IFERROR(INDEX(Recipes!$AT$5:$AT$204,MATCH(B788,Recipes!$A$5:$A$204,0)),0)</f>
        <v>0</v>
      </c>
      <c r="Y788" s="45">
        <f>IF(OR(J788="",X788=0),"",J788*X788)</f>
        <v>0</v>
      </c>
      <c r="Z788" s="17">
        <f>IF(D788="","",B788&amp;"#"&amp;COUNTIFS($B$5:B788,B788))</f>
        <v>0</v>
      </c>
      <c r="AA788" s="17">
        <f>IF(D788="","",B788&amp;"|"&amp;D788)</f>
        <v>0</v>
      </c>
      <c r="AB788" s="31">
        <f>IF(D788="","",IF(B788="","Add - which recipe?",IF(COUNTIFS(Ingredients!$B$5:$B$304,D788)=0,"Missing - not in the Ingredients tab",IF(E788="","Add - no quantity",IF(F788="","Add - no unit",IF(K788&lt;&gt;L788,"Check - recipe in "&amp;K788&amp;", priced in "&amp;L788,IF(COUNTIFS($AA$5:$AA$1204,AA788)&gt;1,"Duplicate - same ingredient twice","OK")))))))</f>
        <v>0</v>
      </c>
    </row>
    <row r="789" spans="1:28">
      <c r="A789" s="39">
        <f>IF(D789="","","RL-"&amp;TEXT(ROW()-4,"0000"))</f>
        <v>0</v>
      </c>
      <c r="C789" s="17">
        <f>IF(B789="","",IFERROR(INDEX(Recipes!$B$5:$B$204,MATCH(B789,Recipes!$A$5:$A$204,0)),"Not found"))</f>
        <v>0</v>
      </c>
      <c r="J789" s="45">
        <f>IF(E789="","",IFERROR(E789*INDEX(UnitFactors,MATCH(F789,UnitNames,0)),""))</f>
        <v>0</v>
      </c>
      <c r="K789" s="17">
        <f>IF(F789="","",IFERROR(INDEX(UnitBases,MATCH(F789,UnitNames,0)),"?"))</f>
        <v>0</v>
      </c>
      <c r="L789" s="17">
        <f>IF(D789="","",IFERROR(INDEX(Ingredients!$G$5:$G$304,MATCH(D789,Ingredients!$B$5:$B$304,0)),"Add to Ingredients"))</f>
        <v>0</v>
      </c>
      <c r="M789" s="25">
        <f>IF(D789="","",IFERROR(INDEX(Ingredients!$J$5:$J$304,MATCH(D789,Ingredients!$B$5:$B$304,0)),"Add to Ingredients"))</f>
        <v>0</v>
      </c>
      <c r="N789" s="25">
        <f>IF(OR(J789="",M789="",NOT(ISNUMBER(M789))),"",IF(K789&lt;&gt;L789,"",J789*M789))</f>
        <v>0</v>
      </c>
      <c r="O789" s="25">
        <f>IF(N789="","",IFERROR(N789/INDEX(Recipes!$G$5:$G$204,MATCH(B789,Recipes!$A$5:$A$204,0)),""))</f>
        <v>0</v>
      </c>
      <c r="P789" s="30">
        <f>IF(J789="","",IF(K789="each",J789,J789/100))</f>
        <v>0</v>
      </c>
      <c r="Q789" s="30">
        <f>IFERROR(IF(P789="","",P789*INDEX(Ingredients!$P$5:$P$304,MATCH(D789,Ingredients!$B$5:$B$304,0))),"")</f>
        <v>0</v>
      </c>
      <c r="R789" s="45">
        <f>IFERROR(IF(P789="","",P789*INDEX(Ingredients!$Q$5:$Q$304,MATCH(D789,Ingredients!$B$5:$B$304,0))),"")</f>
        <v>0</v>
      </c>
      <c r="S789" s="45">
        <f>IFERROR(IF(P789="","",P789*INDEX(Ingredients!$R$5:$R$304,MATCH(D789,Ingredients!$B$5:$B$304,0))),"")</f>
        <v>0</v>
      </c>
      <c r="T789" s="45">
        <f>IFERROR(IF(P789="","",P789*INDEX(Ingredients!$S$5:$S$304,MATCH(D789,Ingredients!$B$5:$B$304,0))),"")</f>
        <v>0</v>
      </c>
      <c r="U789" s="45">
        <f>IFERROR(IF(P789="","",P789*INDEX(Ingredients!$T$5:$T$304,MATCH(D789,Ingredients!$B$5:$B$304,0))),"")</f>
        <v>0</v>
      </c>
      <c r="V789" s="17">
        <f>IF(D789="","",IFERROR(INDEX(Ingredients!$W$5:$W$304,MATCH(D789,Ingredients!$B$5:$B$304,0)),"Add to Ingredients"))</f>
        <v>0</v>
      </c>
      <c r="W789" s="17">
        <f>IF(D789="","",IFERROR(INDEX(Ingredients!$C$5:$C$304,MATCH(D789,Ingredients!$B$5:$B$304,0)),"Add to Ingredients"))</f>
        <v>0</v>
      </c>
      <c r="X789" s="45">
        <f>IFERROR(INDEX(Recipes!$AT$5:$AT$204,MATCH(B789,Recipes!$A$5:$A$204,0)),0)</f>
        <v>0</v>
      </c>
      <c r="Y789" s="45">
        <f>IF(OR(J789="",X789=0),"",J789*X789)</f>
        <v>0</v>
      </c>
      <c r="Z789" s="17">
        <f>IF(D789="","",B789&amp;"#"&amp;COUNTIFS($B$5:B789,B789))</f>
        <v>0</v>
      </c>
      <c r="AA789" s="17">
        <f>IF(D789="","",B789&amp;"|"&amp;D789)</f>
        <v>0</v>
      </c>
      <c r="AB789" s="31">
        <f>IF(D789="","",IF(B789="","Add - which recipe?",IF(COUNTIFS(Ingredients!$B$5:$B$304,D789)=0,"Missing - not in the Ingredients tab",IF(E789="","Add - no quantity",IF(F789="","Add - no unit",IF(K789&lt;&gt;L789,"Check - recipe in "&amp;K789&amp;", priced in "&amp;L789,IF(COUNTIFS($AA$5:$AA$1204,AA789)&gt;1,"Duplicate - same ingredient twice","OK")))))))</f>
        <v>0</v>
      </c>
    </row>
    <row r="790" spans="1:28">
      <c r="A790" s="39">
        <f>IF(D790="","","RL-"&amp;TEXT(ROW()-4,"0000"))</f>
        <v>0</v>
      </c>
      <c r="C790" s="17">
        <f>IF(B790="","",IFERROR(INDEX(Recipes!$B$5:$B$204,MATCH(B790,Recipes!$A$5:$A$204,0)),"Not found"))</f>
        <v>0</v>
      </c>
      <c r="J790" s="45">
        <f>IF(E790="","",IFERROR(E790*INDEX(UnitFactors,MATCH(F790,UnitNames,0)),""))</f>
        <v>0</v>
      </c>
      <c r="K790" s="17">
        <f>IF(F790="","",IFERROR(INDEX(UnitBases,MATCH(F790,UnitNames,0)),"?"))</f>
        <v>0</v>
      </c>
      <c r="L790" s="17">
        <f>IF(D790="","",IFERROR(INDEX(Ingredients!$G$5:$G$304,MATCH(D790,Ingredients!$B$5:$B$304,0)),"Add to Ingredients"))</f>
        <v>0</v>
      </c>
      <c r="M790" s="25">
        <f>IF(D790="","",IFERROR(INDEX(Ingredients!$J$5:$J$304,MATCH(D790,Ingredients!$B$5:$B$304,0)),"Add to Ingredients"))</f>
        <v>0</v>
      </c>
      <c r="N790" s="25">
        <f>IF(OR(J790="",M790="",NOT(ISNUMBER(M790))),"",IF(K790&lt;&gt;L790,"",J790*M790))</f>
        <v>0</v>
      </c>
      <c r="O790" s="25">
        <f>IF(N790="","",IFERROR(N790/INDEX(Recipes!$G$5:$G$204,MATCH(B790,Recipes!$A$5:$A$204,0)),""))</f>
        <v>0</v>
      </c>
      <c r="P790" s="30">
        <f>IF(J790="","",IF(K790="each",J790,J790/100))</f>
        <v>0</v>
      </c>
      <c r="Q790" s="30">
        <f>IFERROR(IF(P790="","",P790*INDEX(Ingredients!$P$5:$P$304,MATCH(D790,Ingredients!$B$5:$B$304,0))),"")</f>
        <v>0</v>
      </c>
      <c r="R790" s="45">
        <f>IFERROR(IF(P790="","",P790*INDEX(Ingredients!$Q$5:$Q$304,MATCH(D790,Ingredients!$B$5:$B$304,0))),"")</f>
        <v>0</v>
      </c>
      <c r="S790" s="45">
        <f>IFERROR(IF(P790="","",P790*INDEX(Ingredients!$R$5:$R$304,MATCH(D790,Ingredients!$B$5:$B$304,0))),"")</f>
        <v>0</v>
      </c>
      <c r="T790" s="45">
        <f>IFERROR(IF(P790="","",P790*INDEX(Ingredients!$S$5:$S$304,MATCH(D790,Ingredients!$B$5:$B$304,0))),"")</f>
        <v>0</v>
      </c>
      <c r="U790" s="45">
        <f>IFERROR(IF(P790="","",P790*INDEX(Ingredients!$T$5:$T$304,MATCH(D790,Ingredients!$B$5:$B$304,0))),"")</f>
        <v>0</v>
      </c>
      <c r="V790" s="17">
        <f>IF(D790="","",IFERROR(INDEX(Ingredients!$W$5:$W$304,MATCH(D790,Ingredients!$B$5:$B$304,0)),"Add to Ingredients"))</f>
        <v>0</v>
      </c>
      <c r="W790" s="17">
        <f>IF(D790="","",IFERROR(INDEX(Ingredients!$C$5:$C$304,MATCH(D790,Ingredients!$B$5:$B$304,0)),"Add to Ingredients"))</f>
        <v>0</v>
      </c>
      <c r="X790" s="45">
        <f>IFERROR(INDEX(Recipes!$AT$5:$AT$204,MATCH(B790,Recipes!$A$5:$A$204,0)),0)</f>
        <v>0</v>
      </c>
      <c r="Y790" s="45">
        <f>IF(OR(J790="",X790=0),"",J790*X790)</f>
        <v>0</v>
      </c>
      <c r="Z790" s="17">
        <f>IF(D790="","",B790&amp;"#"&amp;COUNTIFS($B$5:B790,B790))</f>
        <v>0</v>
      </c>
      <c r="AA790" s="17">
        <f>IF(D790="","",B790&amp;"|"&amp;D790)</f>
        <v>0</v>
      </c>
      <c r="AB790" s="31">
        <f>IF(D790="","",IF(B790="","Add - which recipe?",IF(COUNTIFS(Ingredients!$B$5:$B$304,D790)=0,"Missing - not in the Ingredients tab",IF(E790="","Add - no quantity",IF(F790="","Add - no unit",IF(K790&lt;&gt;L790,"Check - recipe in "&amp;K790&amp;", priced in "&amp;L790,IF(COUNTIFS($AA$5:$AA$1204,AA790)&gt;1,"Duplicate - same ingredient twice","OK")))))))</f>
        <v>0</v>
      </c>
    </row>
    <row r="791" spans="1:28">
      <c r="A791" s="39">
        <f>IF(D791="","","RL-"&amp;TEXT(ROW()-4,"0000"))</f>
        <v>0</v>
      </c>
      <c r="C791" s="17">
        <f>IF(B791="","",IFERROR(INDEX(Recipes!$B$5:$B$204,MATCH(B791,Recipes!$A$5:$A$204,0)),"Not found"))</f>
        <v>0</v>
      </c>
      <c r="J791" s="45">
        <f>IF(E791="","",IFERROR(E791*INDEX(UnitFactors,MATCH(F791,UnitNames,0)),""))</f>
        <v>0</v>
      </c>
      <c r="K791" s="17">
        <f>IF(F791="","",IFERROR(INDEX(UnitBases,MATCH(F791,UnitNames,0)),"?"))</f>
        <v>0</v>
      </c>
      <c r="L791" s="17">
        <f>IF(D791="","",IFERROR(INDEX(Ingredients!$G$5:$G$304,MATCH(D791,Ingredients!$B$5:$B$304,0)),"Add to Ingredients"))</f>
        <v>0</v>
      </c>
      <c r="M791" s="25">
        <f>IF(D791="","",IFERROR(INDEX(Ingredients!$J$5:$J$304,MATCH(D791,Ingredients!$B$5:$B$304,0)),"Add to Ingredients"))</f>
        <v>0</v>
      </c>
      <c r="N791" s="25">
        <f>IF(OR(J791="",M791="",NOT(ISNUMBER(M791))),"",IF(K791&lt;&gt;L791,"",J791*M791))</f>
        <v>0</v>
      </c>
      <c r="O791" s="25">
        <f>IF(N791="","",IFERROR(N791/INDEX(Recipes!$G$5:$G$204,MATCH(B791,Recipes!$A$5:$A$204,0)),""))</f>
        <v>0</v>
      </c>
      <c r="P791" s="30">
        <f>IF(J791="","",IF(K791="each",J791,J791/100))</f>
        <v>0</v>
      </c>
      <c r="Q791" s="30">
        <f>IFERROR(IF(P791="","",P791*INDEX(Ingredients!$P$5:$P$304,MATCH(D791,Ingredients!$B$5:$B$304,0))),"")</f>
        <v>0</v>
      </c>
      <c r="R791" s="45">
        <f>IFERROR(IF(P791="","",P791*INDEX(Ingredients!$Q$5:$Q$304,MATCH(D791,Ingredients!$B$5:$B$304,0))),"")</f>
        <v>0</v>
      </c>
      <c r="S791" s="45">
        <f>IFERROR(IF(P791="","",P791*INDEX(Ingredients!$R$5:$R$304,MATCH(D791,Ingredients!$B$5:$B$304,0))),"")</f>
        <v>0</v>
      </c>
      <c r="T791" s="45">
        <f>IFERROR(IF(P791="","",P791*INDEX(Ingredients!$S$5:$S$304,MATCH(D791,Ingredients!$B$5:$B$304,0))),"")</f>
        <v>0</v>
      </c>
      <c r="U791" s="45">
        <f>IFERROR(IF(P791="","",P791*INDEX(Ingredients!$T$5:$T$304,MATCH(D791,Ingredients!$B$5:$B$304,0))),"")</f>
        <v>0</v>
      </c>
      <c r="V791" s="17">
        <f>IF(D791="","",IFERROR(INDEX(Ingredients!$W$5:$W$304,MATCH(D791,Ingredients!$B$5:$B$304,0)),"Add to Ingredients"))</f>
        <v>0</v>
      </c>
      <c r="W791" s="17">
        <f>IF(D791="","",IFERROR(INDEX(Ingredients!$C$5:$C$304,MATCH(D791,Ingredients!$B$5:$B$304,0)),"Add to Ingredients"))</f>
        <v>0</v>
      </c>
      <c r="X791" s="45">
        <f>IFERROR(INDEX(Recipes!$AT$5:$AT$204,MATCH(B791,Recipes!$A$5:$A$204,0)),0)</f>
        <v>0</v>
      </c>
      <c r="Y791" s="45">
        <f>IF(OR(J791="",X791=0),"",J791*X791)</f>
        <v>0</v>
      </c>
      <c r="Z791" s="17">
        <f>IF(D791="","",B791&amp;"#"&amp;COUNTIFS($B$5:B791,B791))</f>
        <v>0</v>
      </c>
      <c r="AA791" s="17">
        <f>IF(D791="","",B791&amp;"|"&amp;D791)</f>
        <v>0</v>
      </c>
      <c r="AB791" s="31">
        <f>IF(D791="","",IF(B791="","Add - which recipe?",IF(COUNTIFS(Ingredients!$B$5:$B$304,D791)=0,"Missing - not in the Ingredients tab",IF(E791="","Add - no quantity",IF(F791="","Add - no unit",IF(K791&lt;&gt;L791,"Check - recipe in "&amp;K791&amp;", priced in "&amp;L791,IF(COUNTIFS($AA$5:$AA$1204,AA791)&gt;1,"Duplicate - same ingredient twice","OK")))))))</f>
        <v>0</v>
      </c>
    </row>
    <row r="792" spans="1:28">
      <c r="A792" s="39">
        <f>IF(D792="","","RL-"&amp;TEXT(ROW()-4,"0000"))</f>
        <v>0</v>
      </c>
      <c r="C792" s="17">
        <f>IF(B792="","",IFERROR(INDEX(Recipes!$B$5:$B$204,MATCH(B792,Recipes!$A$5:$A$204,0)),"Not found"))</f>
        <v>0</v>
      </c>
      <c r="J792" s="45">
        <f>IF(E792="","",IFERROR(E792*INDEX(UnitFactors,MATCH(F792,UnitNames,0)),""))</f>
        <v>0</v>
      </c>
      <c r="K792" s="17">
        <f>IF(F792="","",IFERROR(INDEX(UnitBases,MATCH(F792,UnitNames,0)),"?"))</f>
        <v>0</v>
      </c>
      <c r="L792" s="17">
        <f>IF(D792="","",IFERROR(INDEX(Ingredients!$G$5:$G$304,MATCH(D792,Ingredients!$B$5:$B$304,0)),"Add to Ingredients"))</f>
        <v>0</v>
      </c>
      <c r="M792" s="25">
        <f>IF(D792="","",IFERROR(INDEX(Ingredients!$J$5:$J$304,MATCH(D792,Ingredients!$B$5:$B$304,0)),"Add to Ingredients"))</f>
        <v>0</v>
      </c>
      <c r="N792" s="25">
        <f>IF(OR(J792="",M792="",NOT(ISNUMBER(M792))),"",IF(K792&lt;&gt;L792,"",J792*M792))</f>
        <v>0</v>
      </c>
      <c r="O792" s="25">
        <f>IF(N792="","",IFERROR(N792/INDEX(Recipes!$G$5:$G$204,MATCH(B792,Recipes!$A$5:$A$204,0)),""))</f>
        <v>0</v>
      </c>
      <c r="P792" s="30">
        <f>IF(J792="","",IF(K792="each",J792,J792/100))</f>
        <v>0</v>
      </c>
      <c r="Q792" s="30">
        <f>IFERROR(IF(P792="","",P792*INDEX(Ingredients!$P$5:$P$304,MATCH(D792,Ingredients!$B$5:$B$304,0))),"")</f>
        <v>0</v>
      </c>
      <c r="R792" s="45">
        <f>IFERROR(IF(P792="","",P792*INDEX(Ingredients!$Q$5:$Q$304,MATCH(D792,Ingredients!$B$5:$B$304,0))),"")</f>
        <v>0</v>
      </c>
      <c r="S792" s="45">
        <f>IFERROR(IF(P792="","",P792*INDEX(Ingredients!$R$5:$R$304,MATCH(D792,Ingredients!$B$5:$B$304,0))),"")</f>
        <v>0</v>
      </c>
      <c r="T792" s="45">
        <f>IFERROR(IF(P792="","",P792*INDEX(Ingredients!$S$5:$S$304,MATCH(D792,Ingredients!$B$5:$B$304,0))),"")</f>
        <v>0</v>
      </c>
      <c r="U792" s="45">
        <f>IFERROR(IF(P792="","",P792*INDEX(Ingredients!$T$5:$T$304,MATCH(D792,Ingredients!$B$5:$B$304,0))),"")</f>
        <v>0</v>
      </c>
      <c r="V792" s="17">
        <f>IF(D792="","",IFERROR(INDEX(Ingredients!$W$5:$W$304,MATCH(D792,Ingredients!$B$5:$B$304,0)),"Add to Ingredients"))</f>
        <v>0</v>
      </c>
      <c r="W792" s="17">
        <f>IF(D792="","",IFERROR(INDEX(Ingredients!$C$5:$C$304,MATCH(D792,Ingredients!$B$5:$B$304,0)),"Add to Ingredients"))</f>
        <v>0</v>
      </c>
      <c r="X792" s="45">
        <f>IFERROR(INDEX(Recipes!$AT$5:$AT$204,MATCH(B792,Recipes!$A$5:$A$204,0)),0)</f>
        <v>0</v>
      </c>
      <c r="Y792" s="45">
        <f>IF(OR(J792="",X792=0),"",J792*X792)</f>
        <v>0</v>
      </c>
      <c r="Z792" s="17">
        <f>IF(D792="","",B792&amp;"#"&amp;COUNTIFS($B$5:B792,B792))</f>
        <v>0</v>
      </c>
      <c r="AA792" s="17">
        <f>IF(D792="","",B792&amp;"|"&amp;D792)</f>
        <v>0</v>
      </c>
      <c r="AB792" s="31">
        <f>IF(D792="","",IF(B792="","Add - which recipe?",IF(COUNTIFS(Ingredients!$B$5:$B$304,D792)=0,"Missing - not in the Ingredients tab",IF(E792="","Add - no quantity",IF(F792="","Add - no unit",IF(K792&lt;&gt;L792,"Check - recipe in "&amp;K792&amp;", priced in "&amp;L792,IF(COUNTIFS($AA$5:$AA$1204,AA792)&gt;1,"Duplicate - same ingredient twice","OK")))))))</f>
        <v>0</v>
      </c>
    </row>
    <row r="793" spans="1:28">
      <c r="A793" s="39">
        <f>IF(D793="","","RL-"&amp;TEXT(ROW()-4,"0000"))</f>
        <v>0</v>
      </c>
      <c r="C793" s="17">
        <f>IF(B793="","",IFERROR(INDEX(Recipes!$B$5:$B$204,MATCH(B793,Recipes!$A$5:$A$204,0)),"Not found"))</f>
        <v>0</v>
      </c>
      <c r="J793" s="45">
        <f>IF(E793="","",IFERROR(E793*INDEX(UnitFactors,MATCH(F793,UnitNames,0)),""))</f>
        <v>0</v>
      </c>
      <c r="K793" s="17">
        <f>IF(F793="","",IFERROR(INDEX(UnitBases,MATCH(F793,UnitNames,0)),"?"))</f>
        <v>0</v>
      </c>
      <c r="L793" s="17">
        <f>IF(D793="","",IFERROR(INDEX(Ingredients!$G$5:$G$304,MATCH(D793,Ingredients!$B$5:$B$304,0)),"Add to Ingredients"))</f>
        <v>0</v>
      </c>
      <c r="M793" s="25">
        <f>IF(D793="","",IFERROR(INDEX(Ingredients!$J$5:$J$304,MATCH(D793,Ingredients!$B$5:$B$304,0)),"Add to Ingredients"))</f>
        <v>0</v>
      </c>
      <c r="N793" s="25">
        <f>IF(OR(J793="",M793="",NOT(ISNUMBER(M793))),"",IF(K793&lt;&gt;L793,"",J793*M793))</f>
        <v>0</v>
      </c>
      <c r="O793" s="25">
        <f>IF(N793="","",IFERROR(N793/INDEX(Recipes!$G$5:$G$204,MATCH(B793,Recipes!$A$5:$A$204,0)),""))</f>
        <v>0</v>
      </c>
      <c r="P793" s="30">
        <f>IF(J793="","",IF(K793="each",J793,J793/100))</f>
        <v>0</v>
      </c>
      <c r="Q793" s="30">
        <f>IFERROR(IF(P793="","",P793*INDEX(Ingredients!$P$5:$P$304,MATCH(D793,Ingredients!$B$5:$B$304,0))),"")</f>
        <v>0</v>
      </c>
      <c r="R793" s="45">
        <f>IFERROR(IF(P793="","",P793*INDEX(Ingredients!$Q$5:$Q$304,MATCH(D793,Ingredients!$B$5:$B$304,0))),"")</f>
        <v>0</v>
      </c>
      <c r="S793" s="45">
        <f>IFERROR(IF(P793="","",P793*INDEX(Ingredients!$R$5:$R$304,MATCH(D793,Ingredients!$B$5:$B$304,0))),"")</f>
        <v>0</v>
      </c>
      <c r="T793" s="45">
        <f>IFERROR(IF(P793="","",P793*INDEX(Ingredients!$S$5:$S$304,MATCH(D793,Ingredients!$B$5:$B$304,0))),"")</f>
        <v>0</v>
      </c>
      <c r="U793" s="45">
        <f>IFERROR(IF(P793="","",P793*INDEX(Ingredients!$T$5:$T$304,MATCH(D793,Ingredients!$B$5:$B$304,0))),"")</f>
        <v>0</v>
      </c>
      <c r="V793" s="17">
        <f>IF(D793="","",IFERROR(INDEX(Ingredients!$W$5:$W$304,MATCH(D793,Ingredients!$B$5:$B$304,0)),"Add to Ingredients"))</f>
        <v>0</v>
      </c>
      <c r="W793" s="17">
        <f>IF(D793="","",IFERROR(INDEX(Ingredients!$C$5:$C$304,MATCH(D793,Ingredients!$B$5:$B$304,0)),"Add to Ingredients"))</f>
        <v>0</v>
      </c>
      <c r="X793" s="45">
        <f>IFERROR(INDEX(Recipes!$AT$5:$AT$204,MATCH(B793,Recipes!$A$5:$A$204,0)),0)</f>
        <v>0</v>
      </c>
      <c r="Y793" s="45">
        <f>IF(OR(J793="",X793=0),"",J793*X793)</f>
        <v>0</v>
      </c>
      <c r="Z793" s="17">
        <f>IF(D793="","",B793&amp;"#"&amp;COUNTIFS($B$5:B793,B793))</f>
        <v>0</v>
      </c>
      <c r="AA793" s="17">
        <f>IF(D793="","",B793&amp;"|"&amp;D793)</f>
        <v>0</v>
      </c>
      <c r="AB793" s="31">
        <f>IF(D793="","",IF(B793="","Add - which recipe?",IF(COUNTIFS(Ingredients!$B$5:$B$304,D793)=0,"Missing - not in the Ingredients tab",IF(E793="","Add - no quantity",IF(F793="","Add - no unit",IF(K793&lt;&gt;L793,"Check - recipe in "&amp;K793&amp;", priced in "&amp;L793,IF(COUNTIFS($AA$5:$AA$1204,AA793)&gt;1,"Duplicate - same ingredient twice","OK")))))))</f>
        <v>0</v>
      </c>
    </row>
    <row r="794" spans="1:28">
      <c r="A794" s="39">
        <f>IF(D794="","","RL-"&amp;TEXT(ROW()-4,"0000"))</f>
        <v>0</v>
      </c>
      <c r="C794" s="17">
        <f>IF(B794="","",IFERROR(INDEX(Recipes!$B$5:$B$204,MATCH(B794,Recipes!$A$5:$A$204,0)),"Not found"))</f>
        <v>0</v>
      </c>
      <c r="J794" s="45">
        <f>IF(E794="","",IFERROR(E794*INDEX(UnitFactors,MATCH(F794,UnitNames,0)),""))</f>
        <v>0</v>
      </c>
      <c r="K794" s="17">
        <f>IF(F794="","",IFERROR(INDEX(UnitBases,MATCH(F794,UnitNames,0)),"?"))</f>
        <v>0</v>
      </c>
      <c r="L794" s="17">
        <f>IF(D794="","",IFERROR(INDEX(Ingredients!$G$5:$G$304,MATCH(D794,Ingredients!$B$5:$B$304,0)),"Add to Ingredients"))</f>
        <v>0</v>
      </c>
      <c r="M794" s="25">
        <f>IF(D794="","",IFERROR(INDEX(Ingredients!$J$5:$J$304,MATCH(D794,Ingredients!$B$5:$B$304,0)),"Add to Ingredients"))</f>
        <v>0</v>
      </c>
      <c r="N794" s="25">
        <f>IF(OR(J794="",M794="",NOT(ISNUMBER(M794))),"",IF(K794&lt;&gt;L794,"",J794*M794))</f>
        <v>0</v>
      </c>
      <c r="O794" s="25">
        <f>IF(N794="","",IFERROR(N794/INDEX(Recipes!$G$5:$G$204,MATCH(B794,Recipes!$A$5:$A$204,0)),""))</f>
        <v>0</v>
      </c>
      <c r="P794" s="30">
        <f>IF(J794="","",IF(K794="each",J794,J794/100))</f>
        <v>0</v>
      </c>
      <c r="Q794" s="30">
        <f>IFERROR(IF(P794="","",P794*INDEX(Ingredients!$P$5:$P$304,MATCH(D794,Ingredients!$B$5:$B$304,0))),"")</f>
        <v>0</v>
      </c>
      <c r="R794" s="45">
        <f>IFERROR(IF(P794="","",P794*INDEX(Ingredients!$Q$5:$Q$304,MATCH(D794,Ingredients!$B$5:$B$304,0))),"")</f>
        <v>0</v>
      </c>
      <c r="S794" s="45">
        <f>IFERROR(IF(P794="","",P794*INDEX(Ingredients!$R$5:$R$304,MATCH(D794,Ingredients!$B$5:$B$304,0))),"")</f>
        <v>0</v>
      </c>
      <c r="T794" s="45">
        <f>IFERROR(IF(P794="","",P794*INDEX(Ingredients!$S$5:$S$304,MATCH(D794,Ingredients!$B$5:$B$304,0))),"")</f>
        <v>0</v>
      </c>
      <c r="U794" s="45">
        <f>IFERROR(IF(P794="","",P794*INDEX(Ingredients!$T$5:$T$304,MATCH(D794,Ingredients!$B$5:$B$304,0))),"")</f>
        <v>0</v>
      </c>
      <c r="V794" s="17">
        <f>IF(D794="","",IFERROR(INDEX(Ingredients!$W$5:$W$304,MATCH(D794,Ingredients!$B$5:$B$304,0)),"Add to Ingredients"))</f>
        <v>0</v>
      </c>
      <c r="W794" s="17">
        <f>IF(D794="","",IFERROR(INDEX(Ingredients!$C$5:$C$304,MATCH(D794,Ingredients!$B$5:$B$304,0)),"Add to Ingredients"))</f>
        <v>0</v>
      </c>
      <c r="X794" s="45">
        <f>IFERROR(INDEX(Recipes!$AT$5:$AT$204,MATCH(B794,Recipes!$A$5:$A$204,0)),0)</f>
        <v>0</v>
      </c>
      <c r="Y794" s="45">
        <f>IF(OR(J794="",X794=0),"",J794*X794)</f>
        <v>0</v>
      </c>
      <c r="Z794" s="17">
        <f>IF(D794="","",B794&amp;"#"&amp;COUNTIFS($B$5:B794,B794))</f>
        <v>0</v>
      </c>
      <c r="AA794" s="17">
        <f>IF(D794="","",B794&amp;"|"&amp;D794)</f>
        <v>0</v>
      </c>
      <c r="AB794" s="31">
        <f>IF(D794="","",IF(B794="","Add - which recipe?",IF(COUNTIFS(Ingredients!$B$5:$B$304,D794)=0,"Missing - not in the Ingredients tab",IF(E794="","Add - no quantity",IF(F794="","Add - no unit",IF(K794&lt;&gt;L794,"Check - recipe in "&amp;K794&amp;", priced in "&amp;L794,IF(COUNTIFS($AA$5:$AA$1204,AA794)&gt;1,"Duplicate - same ingredient twice","OK")))))))</f>
        <v>0</v>
      </c>
    </row>
    <row r="795" spans="1:28">
      <c r="A795" s="39">
        <f>IF(D795="","","RL-"&amp;TEXT(ROW()-4,"0000"))</f>
        <v>0</v>
      </c>
      <c r="C795" s="17">
        <f>IF(B795="","",IFERROR(INDEX(Recipes!$B$5:$B$204,MATCH(B795,Recipes!$A$5:$A$204,0)),"Not found"))</f>
        <v>0</v>
      </c>
      <c r="J795" s="45">
        <f>IF(E795="","",IFERROR(E795*INDEX(UnitFactors,MATCH(F795,UnitNames,0)),""))</f>
        <v>0</v>
      </c>
      <c r="K795" s="17">
        <f>IF(F795="","",IFERROR(INDEX(UnitBases,MATCH(F795,UnitNames,0)),"?"))</f>
        <v>0</v>
      </c>
      <c r="L795" s="17">
        <f>IF(D795="","",IFERROR(INDEX(Ingredients!$G$5:$G$304,MATCH(D795,Ingredients!$B$5:$B$304,0)),"Add to Ingredients"))</f>
        <v>0</v>
      </c>
      <c r="M795" s="25">
        <f>IF(D795="","",IFERROR(INDEX(Ingredients!$J$5:$J$304,MATCH(D795,Ingredients!$B$5:$B$304,0)),"Add to Ingredients"))</f>
        <v>0</v>
      </c>
      <c r="N795" s="25">
        <f>IF(OR(J795="",M795="",NOT(ISNUMBER(M795))),"",IF(K795&lt;&gt;L795,"",J795*M795))</f>
        <v>0</v>
      </c>
      <c r="O795" s="25">
        <f>IF(N795="","",IFERROR(N795/INDEX(Recipes!$G$5:$G$204,MATCH(B795,Recipes!$A$5:$A$204,0)),""))</f>
        <v>0</v>
      </c>
      <c r="P795" s="30">
        <f>IF(J795="","",IF(K795="each",J795,J795/100))</f>
        <v>0</v>
      </c>
      <c r="Q795" s="30">
        <f>IFERROR(IF(P795="","",P795*INDEX(Ingredients!$P$5:$P$304,MATCH(D795,Ingredients!$B$5:$B$304,0))),"")</f>
        <v>0</v>
      </c>
      <c r="R795" s="45">
        <f>IFERROR(IF(P795="","",P795*INDEX(Ingredients!$Q$5:$Q$304,MATCH(D795,Ingredients!$B$5:$B$304,0))),"")</f>
        <v>0</v>
      </c>
      <c r="S795" s="45">
        <f>IFERROR(IF(P795="","",P795*INDEX(Ingredients!$R$5:$R$304,MATCH(D795,Ingredients!$B$5:$B$304,0))),"")</f>
        <v>0</v>
      </c>
      <c r="T795" s="45">
        <f>IFERROR(IF(P795="","",P795*INDEX(Ingredients!$S$5:$S$304,MATCH(D795,Ingredients!$B$5:$B$304,0))),"")</f>
        <v>0</v>
      </c>
      <c r="U795" s="45">
        <f>IFERROR(IF(P795="","",P795*INDEX(Ingredients!$T$5:$T$304,MATCH(D795,Ingredients!$B$5:$B$304,0))),"")</f>
        <v>0</v>
      </c>
      <c r="V795" s="17">
        <f>IF(D795="","",IFERROR(INDEX(Ingredients!$W$5:$W$304,MATCH(D795,Ingredients!$B$5:$B$304,0)),"Add to Ingredients"))</f>
        <v>0</v>
      </c>
      <c r="W795" s="17">
        <f>IF(D795="","",IFERROR(INDEX(Ingredients!$C$5:$C$304,MATCH(D795,Ingredients!$B$5:$B$304,0)),"Add to Ingredients"))</f>
        <v>0</v>
      </c>
      <c r="X795" s="45">
        <f>IFERROR(INDEX(Recipes!$AT$5:$AT$204,MATCH(B795,Recipes!$A$5:$A$204,0)),0)</f>
        <v>0</v>
      </c>
      <c r="Y795" s="45">
        <f>IF(OR(J795="",X795=0),"",J795*X795)</f>
        <v>0</v>
      </c>
      <c r="Z795" s="17">
        <f>IF(D795="","",B795&amp;"#"&amp;COUNTIFS($B$5:B795,B795))</f>
        <v>0</v>
      </c>
      <c r="AA795" s="17">
        <f>IF(D795="","",B795&amp;"|"&amp;D795)</f>
        <v>0</v>
      </c>
      <c r="AB795" s="31">
        <f>IF(D795="","",IF(B795="","Add - which recipe?",IF(COUNTIFS(Ingredients!$B$5:$B$304,D795)=0,"Missing - not in the Ingredients tab",IF(E795="","Add - no quantity",IF(F795="","Add - no unit",IF(K795&lt;&gt;L795,"Check - recipe in "&amp;K795&amp;", priced in "&amp;L795,IF(COUNTIFS($AA$5:$AA$1204,AA795)&gt;1,"Duplicate - same ingredient twice","OK")))))))</f>
        <v>0</v>
      </c>
    </row>
    <row r="796" spans="1:28">
      <c r="A796" s="39">
        <f>IF(D796="","","RL-"&amp;TEXT(ROW()-4,"0000"))</f>
        <v>0</v>
      </c>
      <c r="C796" s="17">
        <f>IF(B796="","",IFERROR(INDEX(Recipes!$B$5:$B$204,MATCH(B796,Recipes!$A$5:$A$204,0)),"Not found"))</f>
        <v>0</v>
      </c>
      <c r="J796" s="45">
        <f>IF(E796="","",IFERROR(E796*INDEX(UnitFactors,MATCH(F796,UnitNames,0)),""))</f>
        <v>0</v>
      </c>
      <c r="K796" s="17">
        <f>IF(F796="","",IFERROR(INDEX(UnitBases,MATCH(F796,UnitNames,0)),"?"))</f>
        <v>0</v>
      </c>
      <c r="L796" s="17">
        <f>IF(D796="","",IFERROR(INDEX(Ingredients!$G$5:$G$304,MATCH(D796,Ingredients!$B$5:$B$304,0)),"Add to Ingredients"))</f>
        <v>0</v>
      </c>
      <c r="M796" s="25">
        <f>IF(D796="","",IFERROR(INDEX(Ingredients!$J$5:$J$304,MATCH(D796,Ingredients!$B$5:$B$304,0)),"Add to Ingredients"))</f>
        <v>0</v>
      </c>
      <c r="N796" s="25">
        <f>IF(OR(J796="",M796="",NOT(ISNUMBER(M796))),"",IF(K796&lt;&gt;L796,"",J796*M796))</f>
        <v>0</v>
      </c>
      <c r="O796" s="25">
        <f>IF(N796="","",IFERROR(N796/INDEX(Recipes!$G$5:$G$204,MATCH(B796,Recipes!$A$5:$A$204,0)),""))</f>
        <v>0</v>
      </c>
      <c r="P796" s="30">
        <f>IF(J796="","",IF(K796="each",J796,J796/100))</f>
        <v>0</v>
      </c>
      <c r="Q796" s="30">
        <f>IFERROR(IF(P796="","",P796*INDEX(Ingredients!$P$5:$P$304,MATCH(D796,Ingredients!$B$5:$B$304,0))),"")</f>
        <v>0</v>
      </c>
      <c r="R796" s="45">
        <f>IFERROR(IF(P796="","",P796*INDEX(Ingredients!$Q$5:$Q$304,MATCH(D796,Ingredients!$B$5:$B$304,0))),"")</f>
        <v>0</v>
      </c>
      <c r="S796" s="45">
        <f>IFERROR(IF(P796="","",P796*INDEX(Ingredients!$R$5:$R$304,MATCH(D796,Ingredients!$B$5:$B$304,0))),"")</f>
        <v>0</v>
      </c>
      <c r="T796" s="45">
        <f>IFERROR(IF(P796="","",P796*INDEX(Ingredients!$S$5:$S$304,MATCH(D796,Ingredients!$B$5:$B$304,0))),"")</f>
        <v>0</v>
      </c>
      <c r="U796" s="45">
        <f>IFERROR(IF(P796="","",P796*INDEX(Ingredients!$T$5:$T$304,MATCH(D796,Ingredients!$B$5:$B$304,0))),"")</f>
        <v>0</v>
      </c>
      <c r="V796" s="17">
        <f>IF(D796="","",IFERROR(INDEX(Ingredients!$W$5:$W$304,MATCH(D796,Ingredients!$B$5:$B$304,0)),"Add to Ingredients"))</f>
        <v>0</v>
      </c>
      <c r="W796" s="17">
        <f>IF(D796="","",IFERROR(INDEX(Ingredients!$C$5:$C$304,MATCH(D796,Ingredients!$B$5:$B$304,0)),"Add to Ingredients"))</f>
        <v>0</v>
      </c>
      <c r="X796" s="45">
        <f>IFERROR(INDEX(Recipes!$AT$5:$AT$204,MATCH(B796,Recipes!$A$5:$A$204,0)),0)</f>
        <v>0</v>
      </c>
      <c r="Y796" s="45">
        <f>IF(OR(J796="",X796=0),"",J796*X796)</f>
        <v>0</v>
      </c>
      <c r="Z796" s="17">
        <f>IF(D796="","",B796&amp;"#"&amp;COUNTIFS($B$5:B796,B796))</f>
        <v>0</v>
      </c>
      <c r="AA796" s="17">
        <f>IF(D796="","",B796&amp;"|"&amp;D796)</f>
        <v>0</v>
      </c>
      <c r="AB796" s="31">
        <f>IF(D796="","",IF(B796="","Add - which recipe?",IF(COUNTIFS(Ingredients!$B$5:$B$304,D796)=0,"Missing - not in the Ingredients tab",IF(E796="","Add - no quantity",IF(F796="","Add - no unit",IF(K796&lt;&gt;L796,"Check - recipe in "&amp;K796&amp;", priced in "&amp;L796,IF(COUNTIFS($AA$5:$AA$1204,AA796)&gt;1,"Duplicate - same ingredient twice","OK")))))))</f>
        <v>0</v>
      </c>
    </row>
    <row r="797" spans="1:28">
      <c r="A797" s="39">
        <f>IF(D797="","","RL-"&amp;TEXT(ROW()-4,"0000"))</f>
        <v>0</v>
      </c>
      <c r="C797" s="17">
        <f>IF(B797="","",IFERROR(INDEX(Recipes!$B$5:$B$204,MATCH(B797,Recipes!$A$5:$A$204,0)),"Not found"))</f>
        <v>0</v>
      </c>
      <c r="J797" s="45">
        <f>IF(E797="","",IFERROR(E797*INDEX(UnitFactors,MATCH(F797,UnitNames,0)),""))</f>
        <v>0</v>
      </c>
      <c r="K797" s="17">
        <f>IF(F797="","",IFERROR(INDEX(UnitBases,MATCH(F797,UnitNames,0)),"?"))</f>
        <v>0</v>
      </c>
      <c r="L797" s="17">
        <f>IF(D797="","",IFERROR(INDEX(Ingredients!$G$5:$G$304,MATCH(D797,Ingredients!$B$5:$B$304,0)),"Add to Ingredients"))</f>
        <v>0</v>
      </c>
      <c r="M797" s="25">
        <f>IF(D797="","",IFERROR(INDEX(Ingredients!$J$5:$J$304,MATCH(D797,Ingredients!$B$5:$B$304,0)),"Add to Ingredients"))</f>
        <v>0</v>
      </c>
      <c r="N797" s="25">
        <f>IF(OR(J797="",M797="",NOT(ISNUMBER(M797))),"",IF(K797&lt;&gt;L797,"",J797*M797))</f>
        <v>0</v>
      </c>
      <c r="O797" s="25">
        <f>IF(N797="","",IFERROR(N797/INDEX(Recipes!$G$5:$G$204,MATCH(B797,Recipes!$A$5:$A$204,0)),""))</f>
        <v>0</v>
      </c>
      <c r="P797" s="30">
        <f>IF(J797="","",IF(K797="each",J797,J797/100))</f>
        <v>0</v>
      </c>
      <c r="Q797" s="30">
        <f>IFERROR(IF(P797="","",P797*INDEX(Ingredients!$P$5:$P$304,MATCH(D797,Ingredients!$B$5:$B$304,0))),"")</f>
        <v>0</v>
      </c>
      <c r="R797" s="45">
        <f>IFERROR(IF(P797="","",P797*INDEX(Ingredients!$Q$5:$Q$304,MATCH(D797,Ingredients!$B$5:$B$304,0))),"")</f>
        <v>0</v>
      </c>
      <c r="S797" s="45">
        <f>IFERROR(IF(P797="","",P797*INDEX(Ingredients!$R$5:$R$304,MATCH(D797,Ingredients!$B$5:$B$304,0))),"")</f>
        <v>0</v>
      </c>
      <c r="T797" s="45">
        <f>IFERROR(IF(P797="","",P797*INDEX(Ingredients!$S$5:$S$304,MATCH(D797,Ingredients!$B$5:$B$304,0))),"")</f>
        <v>0</v>
      </c>
      <c r="U797" s="45">
        <f>IFERROR(IF(P797="","",P797*INDEX(Ingredients!$T$5:$T$304,MATCH(D797,Ingredients!$B$5:$B$304,0))),"")</f>
        <v>0</v>
      </c>
      <c r="V797" s="17">
        <f>IF(D797="","",IFERROR(INDEX(Ingredients!$W$5:$W$304,MATCH(D797,Ingredients!$B$5:$B$304,0)),"Add to Ingredients"))</f>
        <v>0</v>
      </c>
      <c r="W797" s="17">
        <f>IF(D797="","",IFERROR(INDEX(Ingredients!$C$5:$C$304,MATCH(D797,Ingredients!$B$5:$B$304,0)),"Add to Ingredients"))</f>
        <v>0</v>
      </c>
      <c r="X797" s="45">
        <f>IFERROR(INDEX(Recipes!$AT$5:$AT$204,MATCH(B797,Recipes!$A$5:$A$204,0)),0)</f>
        <v>0</v>
      </c>
      <c r="Y797" s="45">
        <f>IF(OR(J797="",X797=0),"",J797*X797)</f>
        <v>0</v>
      </c>
      <c r="Z797" s="17">
        <f>IF(D797="","",B797&amp;"#"&amp;COUNTIFS($B$5:B797,B797))</f>
        <v>0</v>
      </c>
      <c r="AA797" s="17">
        <f>IF(D797="","",B797&amp;"|"&amp;D797)</f>
        <v>0</v>
      </c>
      <c r="AB797" s="31">
        <f>IF(D797="","",IF(B797="","Add - which recipe?",IF(COUNTIFS(Ingredients!$B$5:$B$304,D797)=0,"Missing - not in the Ingredients tab",IF(E797="","Add - no quantity",IF(F797="","Add - no unit",IF(K797&lt;&gt;L797,"Check - recipe in "&amp;K797&amp;", priced in "&amp;L797,IF(COUNTIFS($AA$5:$AA$1204,AA797)&gt;1,"Duplicate - same ingredient twice","OK")))))))</f>
        <v>0</v>
      </c>
    </row>
    <row r="798" spans="1:28">
      <c r="A798" s="39">
        <f>IF(D798="","","RL-"&amp;TEXT(ROW()-4,"0000"))</f>
        <v>0</v>
      </c>
      <c r="C798" s="17">
        <f>IF(B798="","",IFERROR(INDEX(Recipes!$B$5:$B$204,MATCH(B798,Recipes!$A$5:$A$204,0)),"Not found"))</f>
        <v>0</v>
      </c>
      <c r="J798" s="45">
        <f>IF(E798="","",IFERROR(E798*INDEX(UnitFactors,MATCH(F798,UnitNames,0)),""))</f>
        <v>0</v>
      </c>
      <c r="K798" s="17">
        <f>IF(F798="","",IFERROR(INDEX(UnitBases,MATCH(F798,UnitNames,0)),"?"))</f>
        <v>0</v>
      </c>
      <c r="L798" s="17">
        <f>IF(D798="","",IFERROR(INDEX(Ingredients!$G$5:$G$304,MATCH(D798,Ingredients!$B$5:$B$304,0)),"Add to Ingredients"))</f>
        <v>0</v>
      </c>
      <c r="M798" s="25">
        <f>IF(D798="","",IFERROR(INDEX(Ingredients!$J$5:$J$304,MATCH(D798,Ingredients!$B$5:$B$304,0)),"Add to Ingredients"))</f>
        <v>0</v>
      </c>
      <c r="N798" s="25">
        <f>IF(OR(J798="",M798="",NOT(ISNUMBER(M798))),"",IF(K798&lt;&gt;L798,"",J798*M798))</f>
        <v>0</v>
      </c>
      <c r="O798" s="25">
        <f>IF(N798="","",IFERROR(N798/INDEX(Recipes!$G$5:$G$204,MATCH(B798,Recipes!$A$5:$A$204,0)),""))</f>
        <v>0</v>
      </c>
      <c r="P798" s="30">
        <f>IF(J798="","",IF(K798="each",J798,J798/100))</f>
        <v>0</v>
      </c>
      <c r="Q798" s="30">
        <f>IFERROR(IF(P798="","",P798*INDEX(Ingredients!$P$5:$P$304,MATCH(D798,Ingredients!$B$5:$B$304,0))),"")</f>
        <v>0</v>
      </c>
      <c r="R798" s="45">
        <f>IFERROR(IF(P798="","",P798*INDEX(Ingredients!$Q$5:$Q$304,MATCH(D798,Ingredients!$B$5:$B$304,0))),"")</f>
        <v>0</v>
      </c>
      <c r="S798" s="45">
        <f>IFERROR(IF(P798="","",P798*INDEX(Ingredients!$R$5:$R$304,MATCH(D798,Ingredients!$B$5:$B$304,0))),"")</f>
        <v>0</v>
      </c>
      <c r="T798" s="45">
        <f>IFERROR(IF(P798="","",P798*INDEX(Ingredients!$S$5:$S$304,MATCH(D798,Ingredients!$B$5:$B$304,0))),"")</f>
        <v>0</v>
      </c>
      <c r="U798" s="45">
        <f>IFERROR(IF(P798="","",P798*INDEX(Ingredients!$T$5:$T$304,MATCH(D798,Ingredients!$B$5:$B$304,0))),"")</f>
        <v>0</v>
      </c>
      <c r="V798" s="17">
        <f>IF(D798="","",IFERROR(INDEX(Ingredients!$W$5:$W$304,MATCH(D798,Ingredients!$B$5:$B$304,0)),"Add to Ingredients"))</f>
        <v>0</v>
      </c>
      <c r="W798" s="17">
        <f>IF(D798="","",IFERROR(INDEX(Ingredients!$C$5:$C$304,MATCH(D798,Ingredients!$B$5:$B$304,0)),"Add to Ingredients"))</f>
        <v>0</v>
      </c>
      <c r="X798" s="45">
        <f>IFERROR(INDEX(Recipes!$AT$5:$AT$204,MATCH(B798,Recipes!$A$5:$A$204,0)),0)</f>
        <v>0</v>
      </c>
      <c r="Y798" s="45">
        <f>IF(OR(J798="",X798=0),"",J798*X798)</f>
        <v>0</v>
      </c>
      <c r="Z798" s="17">
        <f>IF(D798="","",B798&amp;"#"&amp;COUNTIFS($B$5:B798,B798))</f>
        <v>0</v>
      </c>
      <c r="AA798" s="17">
        <f>IF(D798="","",B798&amp;"|"&amp;D798)</f>
        <v>0</v>
      </c>
      <c r="AB798" s="31">
        <f>IF(D798="","",IF(B798="","Add - which recipe?",IF(COUNTIFS(Ingredients!$B$5:$B$304,D798)=0,"Missing - not in the Ingredients tab",IF(E798="","Add - no quantity",IF(F798="","Add - no unit",IF(K798&lt;&gt;L798,"Check - recipe in "&amp;K798&amp;", priced in "&amp;L798,IF(COUNTIFS($AA$5:$AA$1204,AA798)&gt;1,"Duplicate - same ingredient twice","OK")))))))</f>
        <v>0</v>
      </c>
    </row>
    <row r="799" spans="1:28">
      <c r="A799" s="39">
        <f>IF(D799="","","RL-"&amp;TEXT(ROW()-4,"0000"))</f>
        <v>0</v>
      </c>
      <c r="C799" s="17">
        <f>IF(B799="","",IFERROR(INDEX(Recipes!$B$5:$B$204,MATCH(B799,Recipes!$A$5:$A$204,0)),"Not found"))</f>
        <v>0</v>
      </c>
      <c r="J799" s="45">
        <f>IF(E799="","",IFERROR(E799*INDEX(UnitFactors,MATCH(F799,UnitNames,0)),""))</f>
        <v>0</v>
      </c>
      <c r="K799" s="17">
        <f>IF(F799="","",IFERROR(INDEX(UnitBases,MATCH(F799,UnitNames,0)),"?"))</f>
        <v>0</v>
      </c>
      <c r="L799" s="17">
        <f>IF(D799="","",IFERROR(INDEX(Ingredients!$G$5:$G$304,MATCH(D799,Ingredients!$B$5:$B$304,0)),"Add to Ingredients"))</f>
        <v>0</v>
      </c>
      <c r="M799" s="25">
        <f>IF(D799="","",IFERROR(INDEX(Ingredients!$J$5:$J$304,MATCH(D799,Ingredients!$B$5:$B$304,0)),"Add to Ingredients"))</f>
        <v>0</v>
      </c>
      <c r="N799" s="25">
        <f>IF(OR(J799="",M799="",NOT(ISNUMBER(M799))),"",IF(K799&lt;&gt;L799,"",J799*M799))</f>
        <v>0</v>
      </c>
      <c r="O799" s="25">
        <f>IF(N799="","",IFERROR(N799/INDEX(Recipes!$G$5:$G$204,MATCH(B799,Recipes!$A$5:$A$204,0)),""))</f>
        <v>0</v>
      </c>
      <c r="P799" s="30">
        <f>IF(J799="","",IF(K799="each",J799,J799/100))</f>
        <v>0</v>
      </c>
      <c r="Q799" s="30">
        <f>IFERROR(IF(P799="","",P799*INDEX(Ingredients!$P$5:$P$304,MATCH(D799,Ingredients!$B$5:$B$304,0))),"")</f>
        <v>0</v>
      </c>
      <c r="R799" s="45">
        <f>IFERROR(IF(P799="","",P799*INDEX(Ingredients!$Q$5:$Q$304,MATCH(D799,Ingredients!$B$5:$B$304,0))),"")</f>
        <v>0</v>
      </c>
      <c r="S799" s="45">
        <f>IFERROR(IF(P799="","",P799*INDEX(Ingredients!$R$5:$R$304,MATCH(D799,Ingredients!$B$5:$B$304,0))),"")</f>
        <v>0</v>
      </c>
      <c r="T799" s="45">
        <f>IFERROR(IF(P799="","",P799*INDEX(Ingredients!$S$5:$S$304,MATCH(D799,Ingredients!$B$5:$B$304,0))),"")</f>
        <v>0</v>
      </c>
      <c r="U799" s="45">
        <f>IFERROR(IF(P799="","",P799*INDEX(Ingredients!$T$5:$T$304,MATCH(D799,Ingredients!$B$5:$B$304,0))),"")</f>
        <v>0</v>
      </c>
      <c r="V799" s="17">
        <f>IF(D799="","",IFERROR(INDEX(Ingredients!$W$5:$W$304,MATCH(D799,Ingredients!$B$5:$B$304,0)),"Add to Ingredients"))</f>
        <v>0</v>
      </c>
      <c r="W799" s="17">
        <f>IF(D799="","",IFERROR(INDEX(Ingredients!$C$5:$C$304,MATCH(D799,Ingredients!$B$5:$B$304,0)),"Add to Ingredients"))</f>
        <v>0</v>
      </c>
      <c r="X799" s="45">
        <f>IFERROR(INDEX(Recipes!$AT$5:$AT$204,MATCH(B799,Recipes!$A$5:$A$204,0)),0)</f>
        <v>0</v>
      </c>
      <c r="Y799" s="45">
        <f>IF(OR(J799="",X799=0),"",J799*X799)</f>
        <v>0</v>
      </c>
      <c r="Z799" s="17">
        <f>IF(D799="","",B799&amp;"#"&amp;COUNTIFS($B$5:B799,B799))</f>
        <v>0</v>
      </c>
      <c r="AA799" s="17">
        <f>IF(D799="","",B799&amp;"|"&amp;D799)</f>
        <v>0</v>
      </c>
      <c r="AB799" s="31">
        <f>IF(D799="","",IF(B799="","Add - which recipe?",IF(COUNTIFS(Ingredients!$B$5:$B$304,D799)=0,"Missing - not in the Ingredients tab",IF(E799="","Add - no quantity",IF(F799="","Add - no unit",IF(K799&lt;&gt;L799,"Check - recipe in "&amp;K799&amp;", priced in "&amp;L799,IF(COUNTIFS($AA$5:$AA$1204,AA799)&gt;1,"Duplicate - same ingredient twice","OK")))))))</f>
        <v>0</v>
      </c>
    </row>
    <row r="800" spans="1:28">
      <c r="A800" s="39">
        <f>IF(D800="","","RL-"&amp;TEXT(ROW()-4,"0000"))</f>
        <v>0</v>
      </c>
      <c r="C800" s="17">
        <f>IF(B800="","",IFERROR(INDEX(Recipes!$B$5:$B$204,MATCH(B800,Recipes!$A$5:$A$204,0)),"Not found"))</f>
        <v>0</v>
      </c>
      <c r="J800" s="45">
        <f>IF(E800="","",IFERROR(E800*INDEX(UnitFactors,MATCH(F800,UnitNames,0)),""))</f>
        <v>0</v>
      </c>
      <c r="K800" s="17">
        <f>IF(F800="","",IFERROR(INDEX(UnitBases,MATCH(F800,UnitNames,0)),"?"))</f>
        <v>0</v>
      </c>
      <c r="L800" s="17">
        <f>IF(D800="","",IFERROR(INDEX(Ingredients!$G$5:$G$304,MATCH(D800,Ingredients!$B$5:$B$304,0)),"Add to Ingredients"))</f>
        <v>0</v>
      </c>
      <c r="M800" s="25">
        <f>IF(D800="","",IFERROR(INDEX(Ingredients!$J$5:$J$304,MATCH(D800,Ingredients!$B$5:$B$304,0)),"Add to Ingredients"))</f>
        <v>0</v>
      </c>
      <c r="N800" s="25">
        <f>IF(OR(J800="",M800="",NOT(ISNUMBER(M800))),"",IF(K800&lt;&gt;L800,"",J800*M800))</f>
        <v>0</v>
      </c>
      <c r="O800" s="25">
        <f>IF(N800="","",IFERROR(N800/INDEX(Recipes!$G$5:$G$204,MATCH(B800,Recipes!$A$5:$A$204,0)),""))</f>
        <v>0</v>
      </c>
      <c r="P800" s="30">
        <f>IF(J800="","",IF(K800="each",J800,J800/100))</f>
        <v>0</v>
      </c>
      <c r="Q800" s="30">
        <f>IFERROR(IF(P800="","",P800*INDEX(Ingredients!$P$5:$P$304,MATCH(D800,Ingredients!$B$5:$B$304,0))),"")</f>
        <v>0</v>
      </c>
      <c r="R800" s="45">
        <f>IFERROR(IF(P800="","",P800*INDEX(Ingredients!$Q$5:$Q$304,MATCH(D800,Ingredients!$B$5:$B$304,0))),"")</f>
        <v>0</v>
      </c>
      <c r="S800" s="45">
        <f>IFERROR(IF(P800="","",P800*INDEX(Ingredients!$R$5:$R$304,MATCH(D800,Ingredients!$B$5:$B$304,0))),"")</f>
        <v>0</v>
      </c>
      <c r="T800" s="45">
        <f>IFERROR(IF(P800="","",P800*INDEX(Ingredients!$S$5:$S$304,MATCH(D800,Ingredients!$B$5:$B$304,0))),"")</f>
        <v>0</v>
      </c>
      <c r="U800" s="45">
        <f>IFERROR(IF(P800="","",P800*INDEX(Ingredients!$T$5:$T$304,MATCH(D800,Ingredients!$B$5:$B$304,0))),"")</f>
        <v>0</v>
      </c>
      <c r="V800" s="17">
        <f>IF(D800="","",IFERROR(INDEX(Ingredients!$W$5:$W$304,MATCH(D800,Ingredients!$B$5:$B$304,0)),"Add to Ingredients"))</f>
        <v>0</v>
      </c>
      <c r="W800" s="17">
        <f>IF(D800="","",IFERROR(INDEX(Ingredients!$C$5:$C$304,MATCH(D800,Ingredients!$B$5:$B$304,0)),"Add to Ingredients"))</f>
        <v>0</v>
      </c>
      <c r="X800" s="45">
        <f>IFERROR(INDEX(Recipes!$AT$5:$AT$204,MATCH(B800,Recipes!$A$5:$A$204,0)),0)</f>
        <v>0</v>
      </c>
      <c r="Y800" s="45">
        <f>IF(OR(J800="",X800=0),"",J800*X800)</f>
        <v>0</v>
      </c>
      <c r="Z800" s="17">
        <f>IF(D800="","",B800&amp;"#"&amp;COUNTIFS($B$5:B800,B800))</f>
        <v>0</v>
      </c>
      <c r="AA800" s="17">
        <f>IF(D800="","",B800&amp;"|"&amp;D800)</f>
        <v>0</v>
      </c>
      <c r="AB800" s="31">
        <f>IF(D800="","",IF(B800="","Add - which recipe?",IF(COUNTIFS(Ingredients!$B$5:$B$304,D800)=0,"Missing - not in the Ingredients tab",IF(E800="","Add - no quantity",IF(F800="","Add - no unit",IF(K800&lt;&gt;L800,"Check - recipe in "&amp;K800&amp;", priced in "&amp;L800,IF(COUNTIFS($AA$5:$AA$1204,AA800)&gt;1,"Duplicate - same ingredient twice","OK")))))))</f>
        <v>0</v>
      </c>
    </row>
    <row r="801" spans="1:28">
      <c r="A801" s="39">
        <f>IF(D801="","","RL-"&amp;TEXT(ROW()-4,"0000"))</f>
        <v>0</v>
      </c>
      <c r="C801" s="17">
        <f>IF(B801="","",IFERROR(INDEX(Recipes!$B$5:$B$204,MATCH(B801,Recipes!$A$5:$A$204,0)),"Not found"))</f>
        <v>0</v>
      </c>
      <c r="J801" s="45">
        <f>IF(E801="","",IFERROR(E801*INDEX(UnitFactors,MATCH(F801,UnitNames,0)),""))</f>
        <v>0</v>
      </c>
      <c r="K801" s="17">
        <f>IF(F801="","",IFERROR(INDEX(UnitBases,MATCH(F801,UnitNames,0)),"?"))</f>
        <v>0</v>
      </c>
      <c r="L801" s="17">
        <f>IF(D801="","",IFERROR(INDEX(Ingredients!$G$5:$G$304,MATCH(D801,Ingredients!$B$5:$B$304,0)),"Add to Ingredients"))</f>
        <v>0</v>
      </c>
      <c r="M801" s="25">
        <f>IF(D801="","",IFERROR(INDEX(Ingredients!$J$5:$J$304,MATCH(D801,Ingredients!$B$5:$B$304,0)),"Add to Ingredients"))</f>
        <v>0</v>
      </c>
      <c r="N801" s="25">
        <f>IF(OR(J801="",M801="",NOT(ISNUMBER(M801))),"",IF(K801&lt;&gt;L801,"",J801*M801))</f>
        <v>0</v>
      </c>
      <c r="O801" s="25">
        <f>IF(N801="","",IFERROR(N801/INDEX(Recipes!$G$5:$G$204,MATCH(B801,Recipes!$A$5:$A$204,0)),""))</f>
        <v>0</v>
      </c>
      <c r="P801" s="30">
        <f>IF(J801="","",IF(K801="each",J801,J801/100))</f>
        <v>0</v>
      </c>
      <c r="Q801" s="30">
        <f>IFERROR(IF(P801="","",P801*INDEX(Ingredients!$P$5:$P$304,MATCH(D801,Ingredients!$B$5:$B$304,0))),"")</f>
        <v>0</v>
      </c>
      <c r="R801" s="45">
        <f>IFERROR(IF(P801="","",P801*INDEX(Ingredients!$Q$5:$Q$304,MATCH(D801,Ingredients!$B$5:$B$304,0))),"")</f>
        <v>0</v>
      </c>
      <c r="S801" s="45">
        <f>IFERROR(IF(P801="","",P801*INDEX(Ingredients!$R$5:$R$304,MATCH(D801,Ingredients!$B$5:$B$304,0))),"")</f>
        <v>0</v>
      </c>
      <c r="T801" s="45">
        <f>IFERROR(IF(P801="","",P801*INDEX(Ingredients!$S$5:$S$304,MATCH(D801,Ingredients!$B$5:$B$304,0))),"")</f>
        <v>0</v>
      </c>
      <c r="U801" s="45">
        <f>IFERROR(IF(P801="","",P801*INDEX(Ingredients!$T$5:$T$304,MATCH(D801,Ingredients!$B$5:$B$304,0))),"")</f>
        <v>0</v>
      </c>
      <c r="V801" s="17">
        <f>IF(D801="","",IFERROR(INDEX(Ingredients!$W$5:$W$304,MATCH(D801,Ingredients!$B$5:$B$304,0)),"Add to Ingredients"))</f>
        <v>0</v>
      </c>
      <c r="W801" s="17">
        <f>IF(D801="","",IFERROR(INDEX(Ingredients!$C$5:$C$304,MATCH(D801,Ingredients!$B$5:$B$304,0)),"Add to Ingredients"))</f>
        <v>0</v>
      </c>
      <c r="X801" s="45">
        <f>IFERROR(INDEX(Recipes!$AT$5:$AT$204,MATCH(B801,Recipes!$A$5:$A$204,0)),0)</f>
        <v>0</v>
      </c>
      <c r="Y801" s="45">
        <f>IF(OR(J801="",X801=0),"",J801*X801)</f>
        <v>0</v>
      </c>
      <c r="Z801" s="17">
        <f>IF(D801="","",B801&amp;"#"&amp;COUNTIFS($B$5:B801,B801))</f>
        <v>0</v>
      </c>
      <c r="AA801" s="17">
        <f>IF(D801="","",B801&amp;"|"&amp;D801)</f>
        <v>0</v>
      </c>
      <c r="AB801" s="31">
        <f>IF(D801="","",IF(B801="","Add - which recipe?",IF(COUNTIFS(Ingredients!$B$5:$B$304,D801)=0,"Missing - not in the Ingredients tab",IF(E801="","Add - no quantity",IF(F801="","Add - no unit",IF(K801&lt;&gt;L801,"Check - recipe in "&amp;K801&amp;", priced in "&amp;L801,IF(COUNTIFS($AA$5:$AA$1204,AA801)&gt;1,"Duplicate - same ingredient twice","OK")))))))</f>
        <v>0</v>
      </c>
    </row>
    <row r="802" spans="1:28">
      <c r="A802" s="39">
        <f>IF(D802="","","RL-"&amp;TEXT(ROW()-4,"0000"))</f>
        <v>0</v>
      </c>
      <c r="C802" s="17">
        <f>IF(B802="","",IFERROR(INDEX(Recipes!$B$5:$B$204,MATCH(B802,Recipes!$A$5:$A$204,0)),"Not found"))</f>
        <v>0</v>
      </c>
      <c r="J802" s="45">
        <f>IF(E802="","",IFERROR(E802*INDEX(UnitFactors,MATCH(F802,UnitNames,0)),""))</f>
        <v>0</v>
      </c>
      <c r="K802" s="17">
        <f>IF(F802="","",IFERROR(INDEX(UnitBases,MATCH(F802,UnitNames,0)),"?"))</f>
        <v>0</v>
      </c>
      <c r="L802" s="17">
        <f>IF(D802="","",IFERROR(INDEX(Ingredients!$G$5:$G$304,MATCH(D802,Ingredients!$B$5:$B$304,0)),"Add to Ingredients"))</f>
        <v>0</v>
      </c>
      <c r="M802" s="25">
        <f>IF(D802="","",IFERROR(INDEX(Ingredients!$J$5:$J$304,MATCH(D802,Ingredients!$B$5:$B$304,0)),"Add to Ingredients"))</f>
        <v>0</v>
      </c>
      <c r="N802" s="25">
        <f>IF(OR(J802="",M802="",NOT(ISNUMBER(M802))),"",IF(K802&lt;&gt;L802,"",J802*M802))</f>
        <v>0</v>
      </c>
      <c r="O802" s="25">
        <f>IF(N802="","",IFERROR(N802/INDEX(Recipes!$G$5:$G$204,MATCH(B802,Recipes!$A$5:$A$204,0)),""))</f>
        <v>0</v>
      </c>
      <c r="P802" s="30">
        <f>IF(J802="","",IF(K802="each",J802,J802/100))</f>
        <v>0</v>
      </c>
      <c r="Q802" s="30">
        <f>IFERROR(IF(P802="","",P802*INDEX(Ingredients!$P$5:$P$304,MATCH(D802,Ingredients!$B$5:$B$304,0))),"")</f>
        <v>0</v>
      </c>
      <c r="R802" s="45">
        <f>IFERROR(IF(P802="","",P802*INDEX(Ingredients!$Q$5:$Q$304,MATCH(D802,Ingredients!$B$5:$B$304,0))),"")</f>
        <v>0</v>
      </c>
      <c r="S802" s="45">
        <f>IFERROR(IF(P802="","",P802*INDEX(Ingredients!$R$5:$R$304,MATCH(D802,Ingredients!$B$5:$B$304,0))),"")</f>
        <v>0</v>
      </c>
      <c r="T802" s="45">
        <f>IFERROR(IF(P802="","",P802*INDEX(Ingredients!$S$5:$S$304,MATCH(D802,Ingredients!$B$5:$B$304,0))),"")</f>
        <v>0</v>
      </c>
      <c r="U802" s="45">
        <f>IFERROR(IF(P802="","",P802*INDEX(Ingredients!$T$5:$T$304,MATCH(D802,Ingredients!$B$5:$B$304,0))),"")</f>
        <v>0</v>
      </c>
      <c r="V802" s="17">
        <f>IF(D802="","",IFERROR(INDEX(Ingredients!$W$5:$W$304,MATCH(D802,Ingredients!$B$5:$B$304,0)),"Add to Ingredients"))</f>
        <v>0</v>
      </c>
      <c r="W802" s="17">
        <f>IF(D802="","",IFERROR(INDEX(Ingredients!$C$5:$C$304,MATCH(D802,Ingredients!$B$5:$B$304,0)),"Add to Ingredients"))</f>
        <v>0</v>
      </c>
      <c r="X802" s="45">
        <f>IFERROR(INDEX(Recipes!$AT$5:$AT$204,MATCH(B802,Recipes!$A$5:$A$204,0)),0)</f>
        <v>0</v>
      </c>
      <c r="Y802" s="45">
        <f>IF(OR(J802="",X802=0),"",J802*X802)</f>
        <v>0</v>
      </c>
      <c r="Z802" s="17">
        <f>IF(D802="","",B802&amp;"#"&amp;COUNTIFS($B$5:B802,B802))</f>
        <v>0</v>
      </c>
      <c r="AA802" s="17">
        <f>IF(D802="","",B802&amp;"|"&amp;D802)</f>
        <v>0</v>
      </c>
      <c r="AB802" s="31">
        <f>IF(D802="","",IF(B802="","Add - which recipe?",IF(COUNTIFS(Ingredients!$B$5:$B$304,D802)=0,"Missing - not in the Ingredients tab",IF(E802="","Add - no quantity",IF(F802="","Add - no unit",IF(K802&lt;&gt;L802,"Check - recipe in "&amp;K802&amp;", priced in "&amp;L802,IF(COUNTIFS($AA$5:$AA$1204,AA802)&gt;1,"Duplicate - same ingredient twice","OK")))))))</f>
        <v>0</v>
      </c>
    </row>
    <row r="803" spans="1:28">
      <c r="A803" s="39">
        <f>IF(D803="","","RL-"&amp;TEXT(ROW()-4,"0000"))</f>
        <v>0</v>
      </c>
      <c r="C803" s="17">
        <f>IF(B803="","",IFERROR(INDEX(Recipes!$B$5:$B$204,MATCH(B803,Recipes!$A$5:$A$204,0)),"Not found"))</f>
        <v>0</v>
      </c>
      <c r="J803" s="45">
        <f>IF(E803="","",IFERROR(E803*INDEX(UnitFactors,MATCH(F803,UnitNames,0)),""))</f>
        <v>0</v>
      </c>
      <c r="K803" s="17">
        <f>IF(F803="","",IFERROR(INDEX(UnitBases,MATCH(F803,UnitNames,0)),"?"))</f>
        <v>0</v>
      </c>
      <c r="L803" s="17">
        <f>IF(D803="","",IFERROR(INDEX(Ingredients!$G$5:$G$304,MATCH(D803,Ingredients!$B$5:$B$304,0)),"Add to Ingredients"))</f>
        <v>0</v>
      </c>
      <c r="M803" s="25">
        <f>IF(D803="","",IFERROR(INDEX(Ingredients!$J$5:$J$304,MATCH(D803,Ingredients!$B$5:$B$304,0)),"Add to Ingredients"))</f>
        <v>0</v>
      </c>
      <c r="N803" s="25">
        <f>IF(OR(J803="",M803="",NOT(ISNUMBER(M803))),"",IF(K803&lt;&gt;L803,"",J803*M803))</f>
        <v>0</v>
      </c>
      <c r="O803" s="25">
        <f>IF(N803="","",IFERROR(N803/INDEX(Recipes!$G$5:$G$204,MATCH(B803,Recipes!$A$5:$A$204,0)),""))</f>
        <v>0</v>
      </c>
      <c r="P803" s="30">
        <f>IF(J803="","",IF(K803="each",J803,J803/100))</f>
        <v>0</v>
      </c>
      <c r="Q803" s="30">
        <f>IFERROR(IF(P803="","",P803*INDEX(Ingredients!$P$5:$P$304,MATCH(D803,Ingredients!$B$5:$B$304,0))),"")</f>
        <v>0</v>
      </c>
      <c r="R803" s="45">
        <f>IFERROR(IF(P803="","",P803*INDEX(Ingredients!$Q$5:$Q$304,MATCH(D803,Ingredients!$B$5:$B$304,0))),"")</f>
        <v>0</v>
      </c>
      <c r="S803" s="45">
        <f>IFERROR(IF(P803="","",P803*INDEX(Ingredients!$R$5:$R$304,MATCH(D803,Ingredients!$B$5:$B$304,0))),"")</f>
        <v>0</v>
      </c>
      <c r="T803" s="45">
        <f>IFERROR(IF(P803="","",P803*INDEX(Ingredients!$S$5:$S$304,MATCH(D803,Ingredients!$B$5:$B$304,0))),"")</f>
        <v>0</v>
      </c>
      <c r="U803" s="45">
        <f>IFERROR(IF(P803="","",P803*INDEX(Ingredients!$T$5:$T$304,MATCH(D803,Ingredients!$B$5:$B$304,0))),"")</f>
        <v>0</v>
      </c>
      <c r="V803" s="17">
        <f>IF(D803="","",IFERROR(INDEX(Ingredients!$W$5:$W$304,MATCH(D803,Ingredients!$B$5:$B$304,0)),"Add to Ingredients"))</f>
        <v>0</v>
      </c>
      <c r="W803" s="17">
        <f>IF(D803="","",IFERROR(INDEX(Ingredients!$C$5:$C$304,MATCH(D803,Ingredients!$B$5:$B$304,0)),"Add to Ingredients"))</f>
        <v>0</v>
      </c>
      <c r="X803" s="45">
        <f>IFERROR(INDEX(Recipes!$AT$5:$AT$204,MATCH(B803,Recipes!$A$5:$A$204,0)),0)</f>
        <v>0</v>
      </c>
      <c r="Y803" s="45">
        <f>IF(OR(J803="",X803=0),"",J803*X803)</f>
        <v>0</v>
      </c>
      <c r="Z803" s="17">
        <f>IF(D803="","",B803&amp;"#"&amp;COUNTIFS($B$5:B803,B803))</f>
        <v>0</v>
      </c>
      <c r="AA803" s="17">
        <f>IF(D803="","",B803&amp;"|"&amp;D803)</f>
        <v>0</v>
      </c>
      <c r="AB803" s="31">
        <f>IF(D803="","",IF(B803="","Add - which recipe?",IF(COUNTIFS(Ingredients!$B$5:$B$304,D803)=0,"Missing - not in the Ingredients tab",IF(E803="","Add - no quantity",IF(F803="","Add - no unit",IF(K803&lt;&gt;L803,"Check - recipe in "&amp;K803&amp;", priced in "&amp;L803,IF(COUNTIFS($AA$5:$AA$1204,AA803)&gt;1,"Duplicate - same ingredient twice","OK")))))))</f>
        <v>0</v>
      </c>
    </row>
    <row r="804" spans="1:28">
      <c r="A804" s="39">
        <f>IF(D804="","","RL-"&amp;TEXT(ROW()-4,"0000"))</f>
        <v>0</v>
      </c>
      <c r="C804" s="17">
        <f>IF(B804="","",IFERROR(INDEX(Recipes!$B$5:$B$204,MATCH(B804,Recipes!$A$5:$A$204,0)),"Not found"))</f>
        <v>0</v>
      </c>
      <c r="J804" s="45">
        <f>IF(E804="","",IFERROR(E804*INDEX(UnitFactors,MATCH(F804,UnitNames,0)),""))</f>
        <v>0</v>
      </c>
      <c r="K804" s="17">
        <f>IF(F804="","",IFERROR(INDEX(UnitBases,MATCH(F804,UnitNames,0)),"?"))</f>
        <v>0</v>
      </c>
      <c r="L804" s="17">
        <f>IF(D804="","",IFERROR(INDEX(Ingredients!$G$5:$G$304,MATCH(D804,Ingredients!$B$5:$B$304,0)),"Add to Ingredients"))</f>
        <v>0</v>
      </c>
      <c r="M804" s="25">
        <f>IF(D804="","",IFERROR(INDEX(Ingredients!$J$5:$J$304,MATCH(D804,Ingredients!$B$5:$B$304,0)),"Add to Ingredients"))</f>
        <v>0</v>
      </c>
      <c r="N804" s="25">
        <f>IF(OR(J804="",M804="",NOT(ISNUMBER(M804))),"",IF(K804&lt;&gt;L804,"",J804*M804))</f>
        <v>0</v>
      </c>
      <c r="O804" s="25">
        <f>IF(N804="","",IFERROR(N804/INDEX(Recipes!$G$5:$G$204,MATCH(B804,Recipes!$A$5:$A$204,0)),""))</f>
        <v>0</v>
      </c>
      <c r="P804" s="30">
        <f>IF(J804="","",IF(K804="each",J804,J804/100))</f>
        <v>0</v>
      </c>
      <c r="Q804" s="30">
        <f>IFERROR(IF(P804="","",P804*INDEX(Ingredients!$P$5:$P$304,MATCH(D804,Ingredients!$B$5:$B$304,0))),"")</f>
        <v>0</v>
      </c>
      <c r="R804" s="45">
        <f>IFERROR(IF(P804="","",P804*INDEX(Ingredients!$Q$5:$Q$304,MATCH(D804,Ingredients!$B$5:$B$304,0))),"")</f>
        <v>0</v>
      </c>
      <c r="S804" s="45">
        <f>IFERROR(IF(P804="","",P804*INDEX(Ingredients!$R$5:$R$304,MATCH(D804,Ingredients!$B$5:$B$304,0))),"")</f>
        <v>0</v>
      </c>
      <c r="T804" s="45">
        <f>IFERROR(IF(P804="","",P804*INDEX(Ingredients!$S$5:$S$304,MATCH(D804,Ingredients!$B$5:$B$304,0))),"")</f>
        <v>0</v>
      </c>
      <c r="U804" s="45">
        <f>IFERROR(IF(P804="","",P804*INDEX(Ingredients!$T$5:$T$304,MATCH(D804,Ingredients!$B$5:$B$304,0))),"")</f>
        <v>0</v>
      </c>
      <c r="V804" s="17">
        <f>IF(D804="","",IFERROR(INDEX(Ingredients!$W$5:$W$304,MATCH(D804,Ingredients!$B$5:$B$304,0)),"Add to Ingredients"))</f>
        <v>0</v>
      </c>
      <c r="W804" s="17">
        <f>IF(D804="","",IFERROR(INDEX(Ingredients!$C$5:$C$304,MATCH(D804,Ingredients!$B$5:$B$304,0)),"Add to Ingredients"))</f>
        <v>0</v>
      </c>
      <c r="X804" s="45">
        <f>IFERROR(INDEX(Recipes!$AT$5:$AT$204,MATCH(B804,Recipes!$A$5:$A$204,0)),0)</f>
        <v>0</v>
      </c>
      <c r="Y804" s="45">
        <f>IF(OR(J804="",X804=0),"",J804*X804)</f>
        <v>0</v>
      </c>
      <c r="Z804" s="17">
        <f>IF(D804="","",B804&amp;"#"&amp;COUNTIFS($B$5:B804,B804))</f>
        <v>0</v>
      </c>
      <c r="AA804" s="17">
        <f>IF(D804="","",B804&amp;"|"&amp;D804)</f>
        <v>0</v>
      </c>
      <c r="AB804" s="31">
        <f>IF(D804="","",IF(B804="","Add - which recipe?",IF(COUNTIFS(Ingredients!$B$5:$B$304,D804)=0,"Missing - not in the Ingredients tab",IF(E804="","Add - no quantity",IF(F804="","Add - no unit",IF(K804&lt;&gt;L804,"Check - recipe in "&amp;K804&amp;", priced in "&amp;L804,IF(COUNTIFS($AA$5:$AA$1204,AA804)&gt;1,"Duplicate - same ingredient twice","OK")))))))</f>
        <v>0</v>
      </c>
    </row>
    <row r="805" spans="1:28">
      <c r="A805" s="39">
        <f>IF(D805="","","RL-"&amp;TEXT(ROW()-4,"0000"))</f>
        <v>0</v>
      </c>
      <c r="C805" s="17">
        <f>IF(B805="","",IFERROR(INDEX(Recipes!$B$5:$B$204,MATCH(B805,Recipes!$A$5:$A$204,0)),"Not found"))</f>
        <v>0</v>
      </c>
      <c r="J805" s="45">
        <f>IF(E805="","",IFERROR(E805*INDEX(UnitFactors,MATCH(F805,UnitNames,0)),""))</f>
        <v>0</v>
      </c>
      <c r="K805" s="17">
        <f>IF(F805="","",IFERROR(INDEX(UnitBases,MATCH(F805,UnitNames,0)),"?"))</f>
        <v>0</v>
      </c>
      <c r="L805" s="17">
        <f>IF(D805="","",IFERROR(INDEX(Ingredients!$G$5:$G$304,MATCH(D805,Ingredients!$B$5:$B$304,0)),"Add to Ingredients"))</f>
        <v>0</v>
      </c>
      <c r="M805" s="25">
        <f>IF(D805="","",IFERROR(INDEX(Ingredients!$J$5:$J$304,MATCH(D805,Ingredients!$B$5:$B$304,0)),"Add to Ingredients"))</f>
        <v>0</v>
      </c>
      <c r="N805" s="25">
        <f>IF(OR(J805="",M805="",NOT(ISNUMBER(M805))),"",IF(K805&lt;&gt;L805,"",J805*M805))</f>
        <v>0</v>
      </c>
      <c r="O805" s="25">
        <f>IF(N805="","",IFERROR(N805/INDEX(Recipes!$G$5:$G$204,MATCH(B805,Recipes!$A$5:$A$204,0)),""))</f>
        <v>0</v>
      </c>
      <c r="P805" s="30">
        <f>IF(J805="","",IF(K805="each",J805,J805/100))</f>
        <v>0</v>
      </c>
      <c r="Q805" s="30">
        <f>IFERROR(IF(P805="","",P805*INDEX(Ingredients!$P$5:$P$304,MATCH(D805,Ingredients!$B$5:$B$304,0))),"")</f>
        <v>0</v>
      </c>
      <c r="R805" s="45">
        <f>IFERROR(IF(P805="","",P805*INDEX(Ingredients!$Q$5:$Q$304,MATCH(D805,Ingredients!$B$5:$B$304,0))),"")</f>
        <v>0</v>
      </c>
      <c r="S805" s="45">
        <f>IFERROR(IF(P805="","",P805*INDEX(Ingredients!$R$5:$R$304,MATCH(D805,Ingredients!$B$5:$B$304,0))),"")</f>
        <v>0</v>
      </c>
      <c r="T805" s="45">
        <f>IFERROR(IF(P805="","",P805*INDEX(Ingredients!$S$5:$S$304,MATCH(D805,Ingredients!$B$5:$B$304,0))),"")</f>
        <v>0</v>
      </c>
      <c r="U805" s="45">
        <f>IFERROR(IF(P805="","",P805*INDEX(Ingredients!$T$5:$T$304,MATCH(D805,Ingredients!$B$5:$B$304,0))),"")</f>
        <v>0</v>
      </c>
      <c r="V805" s="17">
        <f>IF(D805="","",IFERROR(INDEX(Ingredients!$W$5:$W$304,MATCH(D805,Ingredients!$B$5:$B$304,0)),"Add to Ingredients"))</f>
        <v>0</v>
      </c>
      <c r="W805" s="17">
        <f>IF(D805="","",IFERROR(INDEX(Ingredients!$C$5:$C$304,MATCH(D805,Ingredients!$B$5:$B$304,0)),"Add to Ingredients"))</f>
        <v>0</v>
      </c>
      <c r="X805" s="45">
        <f>IFERROR(INDEX(Recipes!$AT$5:$AT$204,MATCH(B805,Recipes!$A$5:$A$204,0)),0)</f>
        <v>0</v>
      </c>
      <c r="Y805" s="45">
        <f>IF(OR(J805="",X805=0),"",J805*X805)</f>
        <v>0</v>
      </c>
      <c r="Z805" s="17">
        <f>IF(D805="","",B805&amp;"#"&amp;COUNTIFS($B$5:B805,B805))</f>
        <v>0</v>
      </c>
      <c r="AA805" s="17">
        <f>IF(D805="","",B805&amp;"|"&amp;D805)</f>
        <v>0</v>
      </c>
      <c r="AB805" s="31">
        <f>IF(D805="","",IF(B805="","Add - which recipe?",IF(COUNTIFS(Ingredients!$B$5:$B$304,D805)=0,"Missing - not in the Ingredients tab",IF(E805="","Add - no quantity",IF(F805="","Add - no unit",IF(K805&lt;&gt;L805,"Check - recipe in "&amp;K805&amp;", priced in "&amp;L805,IF(COUNTIFS($AA$5:$AA$1204,AA805)&gt;1,"Duplicate - same ingredient twice","OK")))))))</f>
        <v>0</v>
      </c>
    </row>
    <row r="806" spans="1:28">
      <c r="A806" s="39">
        <f>IF(D806="","","RL-"&amp;TEXT(ROW()-4,"0000"))</f>
        <v>0</v>
      </c>
      <c r="C806" s="17">
        <f>IF(B806="","",IFERROR(INDEX(Recipes!$B$5:$B$204,MATCH(B806,Recipes!$A$5:$A$204,0)),"Not found"))</f>
        <v>0</v>
      </c>
      <c r="J806" s="45">
        <f>IF(E806="","",IFERROR(E806*INDEX(UnitFactors,MATCH(F806,UnitNames,0)),""))</f>
        <v>0</v>
      </c>
      <c r="K806" s="17">
        <f>IF(F806="","",IFERROR(INDEX(UnitBases,MATCH(F806,UnitNames,0)),"?"))</f>
        <v>0</v>
      </c>
      <c r="L806" s="17">
        <f>IF(D806="","",IFERROR(INDEX(Ingredients!$G$5:$G$304,MATCH(D806,Ingredients!$B$5:$B$304,0)),"Add to Ingredients"))</f>
        <v>0</v>
      </c>
      <c r="M806" s="25">
        <f>IF(D806="","",IFERROR(INDEX(Ingredients!$J$5:$J$304,MATCH(D806,Ingredients!$B$5:$B$304,0)),"Add to Ingredients"))</f>
        <v>0</v>
      </c>
      <c r="N806" s="25">
        <f>IF(OR(J806="",M806="",NOT(ISNUMBER(M806))),"",IF(K806&lt;&gt;L806,"",J806*M806))</f>
        <v>0</v>
      </c>
      <c r="O806" s="25">
        <f>IF(N806="","",IFERROR(N806/INDEX(Recipes!$G$5:$G$204,MATCH(B806,Recipes!$A$5:$A$204,0)),""))</f>
        <v>0</v>
      </c>
      <c r="P806" s="30">
        <f>IF(J806="","",IF(K806="each",J806,J806/100))</f>
        <v>0</v>
      </c>
      <c r="Q806" s="30">
        <f>IFERROR(IF(P806="","",P806*INDEX(Ingredients!$P$5:$P$304,MATCH(D806,Ingredients!$B$5:$B$304,0))),"")</f>
        <v>0</v>
      </c>
      <c r="R806" s="45">
        <f>IFERROR(IF(P806="","",P806*INDEX(Ingredients!$Q$5:$Q$304,MATCH(D806,Ingredients!$B$5:$B$304,0))),"")</f>
        <v>0</v>
      </c>
      <c r="S806" s="45">
        <f>IFERROR(IF(P806="","",P806*INDEX(Ingredients!$R$5:$R$304,MATCH(D806,Ingredients!$B$5:$B$304,0))),"")</f>
        <v>0</v>
      </c>
      <c r="T806" s="45">
        <f>IFERROR(IF(P806="","",P806*INDEX(Ingredients!$S$5:$S$304,MATCH(D806,Ingredients!$B$5:$B$304,0))),"")</f>
        <v>0</v>
      </c>
      <c r="U806" s="45">
        <f>IFERROR(IF(P806="","",P806*INDEX(Ingredients!$T$5:$T$304,MATCH(D806,Ingredients!$B$5:$B$304,0))),"")</f>
        <v>0</v>
      </c>
      <c r="V806" s="17">
        <f>IF(D806="","",IFERROR(INDEX(Ingredients!$W$5:$W$304,MATCH(D806,Ingredients!$B$5:$B$304,0)),"Add to Ingredients"))</f>
        <v>0</v>
      </c>
      <c r="W806" s="17">
        <f>IF(D806="","",IFERROR(INDEX(Ingredients!$C$5:$C$304,MATCH(D806,Ingredients!$B$5:$B$304,0)),"Add to Ingredients"))</f>
        <v>0</v>
      </c>
      <c r="X806" s="45">
        <f>IFERROR(INDEX(Recipes!$AT$5:$AT$204,MATCH(B806,Recipes!$A$5:$A$204,0)),0)</f>
        <v>0</v>
      </c>
      <c r="Y806" s="45">
        <f>IF(OR(J806="",X806=0),"",J806*X806)</f>
        <v>0</v>
      </c>
      <c r="Z806" s="17">
        <f>IF(D806="","",B806&amp;"#"&amp;COUNTIFS($B$5:B806,B806))</f>
        <v>0</v>
      </c>
      <c r="AA806" s="17">
        <f>IF(D806="","",B806&amp;"|"&amp;D806)</f>
        <v>0</v>
      </c>
      <c r="AB806" s="31">
        <f>IF(D806="","",IF(B806="","Add - which recipe?",IF(COUNTIFS(Ingredients!$B$5:$B$304,D806)=0,"Missing - not in the Ingredients tab",IF(E806="","Add - no quantity",IF(F806="","Add - no unit",IF(K806&lt;&gt;L806,"Check - recipe in "&amp;K806&amp;", priced in "&amp;L806,IF(COUNTIFS($AA$5:$AA$1204,AA806)&gt;1,"Duplicate - same ingredient twice","OK")))))))</f>
        <v>0</v>
      </c>
    </row>
    <row r="807" spans="1:28">
      <c r="A807" s="39">
        <f>IF(D807="","","RL-"&amp;TEXT(ROW()-4,"0000"))</f>
        <v>0</v>
      </c>
      <c r="C807" s="17">
        <f>IF(B807="","",IFERROR(INDEX(Recipes!$B$5:$B$204,MATCH(B807,Recipes!$A$5:$A$204,0)),"Not found"))</f>
        <v>0</v>
      </c>
      <c r="J807" s="45">
        <f>IF(E807="","",IFERROR(E807*INDEX(UnitFactors,MATCH(F807,UnitNames,0)),""))</f>
        <v>0</v>
      </c>
      <c r="K807" s="17">
        <f>IF(F807="","",IFERROR(INDEX(UnitBases,MATCH(F807,UnitNames,0)),"?"))</f>
        <v>0</v>
      </c>
      <c r="L807" s="17">
        <f>IF(D807="","",IFERROR(INDEX(Ingredients!$G$5:$G$304,MATCH(D807,Ingredients!$B$5:$B$304,0)),"Add to Ingredients"))</f>
        <v>0</v>
      </c>
      <c r="M807" s="25">
        <f>IF(D807="","",IFERROR(INDEX(Ingredients!$J$5:$J$304,MATCH(D807,Ingredients!$B$5:$B$304,0)),"Add to Ingredients"))</f>
        <v>0</v>
      </c>
      <c r="N807" s="25">
        <f>IF(OR(J807="",M807="",NOT(ISNUMBER(M807))),"",IF(K807&lt;&gt;L807,"",J807*M807))</f>
        <v>0</v>
      </c>
      <c r="O807" s="25">
        <f>IF(N807="","",IFERROR(N807/INDEX(Recipes!$G$5:$G$204,MATCH(B807,Recipes!$A$5:$A$204,0)),""))</f>
        <v>0</v>
      </c>
      <c r="P807" s="30">
        <f>IF(J807="","",IF(K807="each",J807,J807/100))</f>
        <v>0</v>
      </c>
      <c r="Q807" s="30">
        <f>IFERROR(IF(P807="","",P807*INDEX(Ingredients!$P$5:$P$304,MATCH(D807,Ingredients!$B$5:$B$304,0))),"")</f>
        <v>0</v>
      </c>
      <c r="R807" s="45">
        <f>IFERROR(IF(P807="","",P807*INDEX(Ingredients!$Q$5:$Q$304,MATCH(D807,Ingredients!$B$5:$B$304,0))),"")</f>
        <v>0</v>
      </c>
      <c r="S807" s="45">
        <f>IFERROR(IF(P807="","",P807*INDEX(Ingredients!$R$5:$R$304,MATCH(D807,Ingredients!$B$5:$B$304,0))),"")</f>
        <v>0</v>
      </c>
      <c r="T807" s="45">
        <f>IFERROR(IF(P807="","",P807*INDEX(Ingredients!$S$5:$S$304,MATCH(D807,Ingredients!$B$5:$B$304,0))),"")</f>
        <v>0</v>
      </c>
      <c r="U807" s="45">
        <f>IFERROR(IF(P807="","",P807*INDEX(Ingredients!$T$5:$T$304,MATCH(D807,Ingredients!$B$5:$B$304,0))),"")</f>
        <v>0</v>
      </c>
      <c r="V807" s="17">
        <f>IF(D807="","",IFERROR(INDEX(Ingredients!$W$5:$W$304,MATCH(D807,Ingredients!$B$5:$B$304,0)),"Add to Ingredients"))</f>
        <v>0</v>
      </c>
      <c r="W807" s="17">
        <f>IF(D807="","",IFERROR(INDEX(Ingredients!$C$5:$C$304,MATCH(D807,Ingredients!$B$5:$B$304,0)),"Add to Ingredients"))</f>
        <v>0</v>
      </c>
      <c r="X807" s="45">
        <f>IFERROR(INDEX(Recipes!$AT$5:$AT$204,MATCH(B807,Recipes!$A$5:$A$204,0)),0)</f>
        <v>0</v>
      </c>
      <c r="Y807" s="45">
        <f>IF(OR(J807="",X807=0),"",J807*X807)</f>
        <v>0</v>
      </c>
      <c r="Z807" s="17">
        <f>IF(D807="","",B807&amp;"#"&amp;COUNTIFS($B$5:B807,B807))</f>
        <v>0</v>
      </c>
      <c r="AA807" s="17">
        <f>IF(D807="","",B807&amp;"|"&amp;D807)</f>
        <v>0</v>
      </c>
      <c r="AB807" s="31">
        <f>IF(D807="","",IF(B807="","Add - which recipe?",IF(COUNTIFS(Ingredients!$B$5:$B$304,D807)=0,"Missing - not in the Ingredients tab",IF(E807="","Add - no quantity",IF(F807="","Add - no unit",IF(K807&lt;&gt;L807,"Check - recipe in "&amp;K807&amp;", priced in "&amp;L807,IF(COUNTIFS($AA$5:$AA$1204,AA807)&gt;1,"Duplicate - same ingredient twice","OK")))))))</f>
        <v>0</v>
      </c>
    </row>
    <row r="808" spans="1:28">
      <c r="A808" s="39">
        <f>IF(D808="","","RL-"&amp;TEXT(ROW()-4,"0000"))</f>
        <v>0</v>
      </c>
      <c r="C808" s="17">
        <f>IF(B808="","",IFERROR(INDEX(Recipes!$B$5:$B$204,MATCH(B808,Recipes!$A$5:$A$204,0)),"Not found"))</f>
        <v>0</v>
      </c>
      <c r="J808" s="45">
        <f>IF(E808="","",IFERROR(E808*INDEX(UnitFactors,MATCH(F808,UnitNames,0)),""))</f>
        <v>0</v>
      </c>
      <c r="K808" s="17">
        <f>IF(F808="","",IFERROR(INDEX(UnitBases,MATCH(F808,UnitNames,0)),"?"))</f>
        <v>0</v>
      </c>
      <c r="L808" s="17">
        <f>IF(D808="","",IFERROR(INDEX(Ingredients!$G$5:$G$304,MATCH(D808,Ingredients!$B$5:$B$304,0)),"Add to Ingredients"))</f>
        <v>0</v>
      </c>
      <c r="M808" s="25">
        <f>IF(D808="","",IFERROR(INDEX(Ingredients!$J$5:$J$304,MATCH(D808,Ingredients!$B$5:$B$304,0)),"Add to Ingredients"))</f>
        <v>0</v>
      </c>
      <c r="N808" s="25">
        <f>IF(OR(J808="",M808="",NOT(ISNUMBER(M808))),"",IF(K808&lt;&gt;L808,"",J808*M808))</f>
        <v>0</v>
      </c>
      <c r="O808" s="25">
        <f>IF(N808="","",IFERROR(N808/INDEX(Recipes!$G$5:$G$204,MATCH(B808,Recipes!$A$5:$A$204,0)),""))</f>
        <v>0</v>
      </c>
      <c r="P808" s="30">
        <f>IF(J808="","",IF(K808="each",J808,J808/100))</f>
        <v>0</v>
      </c>
      <c r="Q808" s="30">
        <f>IFERROR(IF(P808="","",P808*INDEX(Ingredients!$P$5:$P$304,MATCH(D808,Ingredients!$B$5:$B$304,0))),"")</f>
        <v>0</v>
      </c>
      <c r="R808" s="45">
        <f>IFERROR(IF(P808="","",P808*INDEX(Ingredients!$Q$5:$Q$304,MATCH(D808,Ingredients!$B$5:$B$304,0))),"")</f>
        <v>0</v>
      </c>
      <c r="S808" s="45">
        <f>IFERROR(IF(P808="","",P808*INDEX(Ingredients!$R$5:$R$304,MATCH(D808,Ingredients!$B$5:$B$304,0))),"")</f>
        <v>0</v>
      </c>
      <c r="T808" s="45">
        <f>IFERROR(IF(P808="","",P808*INDEX(Ingredients!$S$5:$S$304,MATCH(D808,Ingredients!$B$5:$B$304,0))),"")</f>
        <v>0</v>
      </c>
      <c r="U808" s="45">
        <f>IFERROR(IF(P808="","",P808*INDEX(Ingredients!$T$5:$T$304,MATCH(D808,Ingredients!$B$5:$B$304,0))),"")</f>
        <v>0</v>
      </c>
      <c r="V808" s="17">
        <f>IF(D808="","",IFERROR(INDEX(Ingredients!$W$5:$W$304,MATCH(D808,Ingredients!$B$5:$B$304,0)),"Add to Ingredients"))</f>
        <v>0</v>
      </c>
      <c r="W808" s="17">
        <f>IF(D808="","",IFERROR(INDEX(Ingredients!$C$5:$C$304,MATCH(D808,Ingredients!$B$5:$B$304,0)),"Add to Ingredients"))</f>
        <v>0</v>
      </c>
      <c r="X808" s="45">
        <f>IFERROR(INDEX(Recipes!$AT$5:$AT$204,MATCH(B808,Recipes!$A$5:$A$204,0)),0)</f>
        <v>0</v>
      </c>
      <c r="Y808" s="45">
        <f>IF(OR(J808="",X808=0),"",J808*X808)</f>
        <v>0</v>
      </c>
      <c r="Z808" s="17">
        <f>IF(D808="","",B808&amp;"#"&amp;COUNTIFS($B$5:B808,B808))</f>
        <v>0</v>
      </c>
      <c r="AA808" s="17">
        <f>IF(D808="","",B808&amp;"|"&amp;D808)</f>
        <v>0</v>
      </c>
      <c r="AB808" s="31">
        <f>IF(D808="","",IF(B808="","Add - which recipe?",IF(COUNTIFS(Ingredients!$B$5:$B$304,D808)=0,"Missing - not in the Ingredients tab",IF(E808="","Add - no quantity",IF(F808="","Add - no unit",IF(K808&lt;&gt;L808,"Check - recipe in "&amp;K808&amp;", priced in "&amp;L808,IF(COUNTIFS($AA$5:$AA$1204,AA808)&gt;1,"Duplicate - same ingredient twice","OK")))))))</f>
        <v>0</v>
      </c>
    </row>
    <row r="809" spans="1:28">
      <c r="A809" s="39">
        <f>IF(D809="","","RL-"&amp;TEXT(ROW()-4,"0000"))</f>
        <v>0</v>
      </c>
      <c r="C809" s="17">
        <f>IF(B809="","",IFERROR(INDEX(Recipes!$B$5:$B$204,MATCH(B809,Recipes!$A$5:$A$204,0)),"Not found"))</f>
        <v>0</v>
      </c>
      <c r="J809" s="45">
        <f>IF(E809="","",IFERROR(E809*INDEX(UnitFactors,MATCH(F809,UnitNames,0)),""))</f>
        <v>0</v>
      </c>
      <c r="K809" s="17">
        <f>IF(F809="","",IFERROR(INDEX(UnitBases,MATCH(F809,UnitNames,0)),"?"))</f>
        <v>0</v>
      </c>
      <c r="L809" s="17">
        <f>IF(D809="","",IFERROR(INDEX(Ingredients!$G$5:$G$304,MATCH(D809,Ingredients!$B$5:$B$304,0)),"Add to Ingredients"))</f>
        <v>0</v>
      </c>
      <c r="M809" s="25">
        <f>IF(D809="","",IFERROR(INDEX(Ingredients!$J$5:$J$304,MATCH(D809,Ingredients!$B$5:$B$304,0)),"Add to Ingredients"))</f>
        <v>0</v>
      </c>
      <c r="N809" s="25">
        <f>IF(OR(J809="",M809="",NOT(ISNUMBER(M809))),"",IF(K809&lt;&gt;L809,"",J809*M809))</f>
        <v>0</v>
      </c>
      <c r="O809" s="25">
        <f>IF(N809="","",IFERROR(N809/INDEX(Recipes!$G$5:$G$204,MATCH(B809,Recipes!$A$5:$A$204,0)),""))</f>
        <v>0</v>
      </c>
      <c r="P809" s="30">
        <f>IF(J809="","",IF(K809="each",J809,J809/100))</f>
        <v>0</v>
      </c>
      <c r="Q809" s="30">
        <f>IFERROR(IF(P809="","",P809*INDEX(Ingredients!$P$5:$P$304,MATCH(D809,Ingredients!$B$5:$B$304,0))),"")</f>
        <v>0</v>
      </c>
      <c r="R809" s="45">
        <f>IFERROR(IF(P809="","",P809*INDEX(Ingredients!$Q$5:$Q$304,MATCH(D809,Ingredients!$B$5:$B$304,0))),"")</f>
        <v>0</v>
      </c>
      <c r="S809" s="45">
        <f>IFERROR(IF(P809="","",P809*INDEX(Ingredients!$R$5:$R$304,MATCH(D809,Ingredients!$B$5:$B$304,0))),"")</f>
        <v>0</v>
      </c>
      <c r="T809" s="45">
        <f>IFERROR(IF(P809="","",P809*INDEX(Ingredients!$S$5:$S$304,MATCH(D809,Ingredients!$B$5:$B$304,0))),"")</f>
        <v>0</v>
      </c>
      <c r="U809" s="45">
        <f>IFERROR(IF(P809="","",P809*INDEX(Ingredients!$T$5:$T$304,MATCH(D809,Ingredients!$B$5:$B$304,0))),"")</f>
        <v>0</v>
      </c>
      <c r="V809" s="17">
        <f>IF(D809="","",IFERROR(INDEX(Ingredients!$W$5:$W$304,MATCH(D809,Ingredients!$B$5:$B$304,0)),"Add to Ingredients"))</f>
        <v>0</v>
      </c>
      <c r="W809" s="17">
        <f>IF(D809="","",IFERROR(INDEX(Ingredients!$C$5:$C$304,MATCH(D809,Ingredients!$B$5:$B$304,0)),"Add to Ingredients"))</f>
        <v>0</v>
      </c>
      <c r="X809" s="45">
        <f>IFERROR(INDEX(Recipes!$AT$5:$AT$204,MATCH(B809,Recipes!$A$5:$A$204,0)),0)</f>
        <v>0</v>
      </c>
      <c r="Y809" s="45">
        <f>IF(OR(J809="",X809=0),"",J809*X809)</f>
        <v>0</v>
      </c>
      <c r="Z809" s="17">
        <f>IF(D809="","",B809&amp;"#"&amp;COUNTIFS($B$5:B809,B809))</f>
        <v>0</v>
      </c>
      <c r="AA809" s="17">
        <f>IF(D809="","",B809&amp;"|"&amp;D809)</f>
        <v>0</v>
      </c>
      <c r="AB809" s="31">
        <f>IF(D809="","",IF(B809="","Add - which recipe?",IF(COUNTIFS(Ingredients!$B$5:$B$304,D809)=0,"Missing - not in the Ingredients tab",IF(E809="","Add - no quantity",IF(F809="","Add - no unit",IF(K809&lt;&gt;L809,"Check - recipe in "&amp;K809&amp;", priced in "&amp;L809,IF(COUNTIFS($AA$5:$AA$1204,AA809)&gt;1,"Duplicate - same ingredient twice","OK")))))))</f>
        <v>0</v>
      </c>
    </row>
    <row r="810" spans="1:28">
      <c r="A810" s="39">
        <f>IF(D810="","","RL-"&amp;TEXT(ROW()-4,"0000"))</f>
        <v>0</v>
      </c>
      <c r="C810" s="17">
        <f>IF(B810="","",IFERROR(INDEX(Recipes!$B$5:$B$204,MATCH(B810,Recipes!$A$5:$A$204,0)),"Not found"))</f>
        <v>0</v>
      </c>
      <c r="J810" s="45">
        <f>IF(E810="","",IFERROR(E810*INDEX(UnitFactors,MATCH(F810,UnitNames,0)),""))</f>
        <v>0</v>
      </c>
      <c r="K810" s="17">
        <f>IF(F810="","",IFERROR(INDEX(UnitBases,MATCH(F810,UnitNames,0)),"?"))</f>
        <v>0</v>
      </c>
      <c r="L810" s="17">
        <f>IF(D810="","",IFERROR(INDEX(Ingredients!$G$5:$G$304,MATCH(D810,Ingredients!$B$5:$B$304,0)),"Add to Ingredients"))</f>
        <v>0</v>
      </c>
      <c r="M810" s="25">
        <f>IF(D810="","",IFERROR(INDEX(Ingredients!$J$5:$J$304,MATCH(D810,Ingredients!$B$5:$B$304,0)),"Add to Ingredients"))</f>
        <v>0</v>
      </c>
      <c r="N810" s="25">
        <f>IF(OR(J810="",M810="",NOT(ISNUMBER(M810))),"",IF(K810&lt;&gt;L810,"",J810*M810))</f>
        <v>0</v>
      </c>
      <c r="O810" s="25">
        <f>IF(N810="","",IFERROR(N810/INDEX(Recipes!$G$5:$G$204,MATCH(B810,Recipes!$A$5:$A$204,0)),""))</f>
        <v>0</v>
      </c>
      <c r="P810" s="30">
        <f>IF(J810="","",IF(K810="each",J810,J810/100))</f>
        <v>0</v>
      </c>
      <c r="Q810" s="30">
        <f>IFERROR(IF(P810="","",P810*INDEX(Ingredients!$P$5:$P$304,MATCH(D810,Ingredients!$B$5:$B$304,0))),"")</f>
        <v>0</v>
      </c>
      <c r="R810" s="45">
        <f>IFERROR(IF(P810="","",P810*INDEX(Ingredients!$Q$5:$Q$304,MATCH(D810,Ingredients!$B$5:$B$304,0))),"")</f>
        <v>0</v>
      </c>
      <c r="S810" s="45">
        <f>IFERROR(IF(P810="","",P810*INDEX(Ingredients!$R$5:$R$304,MATCH(D810,Ingredients!$B$5:$B$304,0))),"")</f>
        <v>0</v>
      </c>
      <c r="T810" s="45">
        <f>IFERROR(IF(P810="","",P810*INDEX(Ingredients!$S$5:$S$304,MATCH(D810,Ingredients!$B$5:$B$304,0))),"")</f>
        <v>0</v>
      </c>
      <c r="U810" s="45">
        <f>IFERROR(IF(P810="","",P810*INDEX(Ingredients!$T$5:$T$304,MATCH(D810,Ingredients!$B$5:$B$304,0))),"")</f>
        <v>0</v>
      </c>
      <c r="V810" s="17">
        <f>IF(D810="","",IFERROR(INDEX(Ingredients!$W$5:$W$304,MATCH(D810,Ingredients!$B$5:$B$304,0)),"Add to Ingredients"))</f>
        <v>0</v>
      </c>
      <c r="W810" s="17">
        <f>IF(D810="","",IFERROR(INDEX(Ingredients!$C$5:$C$304,MATCH(D810,Ingredients!$B$5:$B$304,0)),"Add to Ingredients"))</f>
        <v>0</v>
      </c>
      <c r="X810" s="45">
        <f>IFERROR(INDEX(Recipes!$AT$5:$AT$204,MATCH(B810,Recipes!$A$5:$A$204,0)),0)</f>
        <v>0</v>
      </c>
      <c r="Y810" s="45">
        <f>IF(OR(J810="",X810=0),"",J810*X810)</f>
        <v>0</v>
      </c>
      <c r="Z810" s="17">
        <f>IF(D810="","",B810&amp;"#"&amp;COUNTIFS($B$5:B810,B810))</f>
        <v>0</v>
      </c>
      <c r="AA810" s="17">
        <f>IF(D810="","",B810&amp;"|"&amp;D810)</f>
        <v>0</v>
      </c>
      <c r="AB810" s="31">
        <f>IF(D810="","",IF(B810="","Add - which recipe?",IF(COUNTIFS(Ingredients!$B$5:$B$304,D810)=0,"Missing - not in the Ingredients tab",IF(E810="","Add - no quantity",IF(F810="","Add - no unit",IF(K810&lt;&gt;L810,"Check - recipe in "&amp;K810&amp;", priced in "&amp;L810,IF(COUNTIFS($AA$5:$AA$1204,AA810)&gt;1,"Duplicate - same ingredient twice","OK")))))))</f>
        <v>0</v>
      </c>
    </row>
    <row r="811" spans="1:28">
      <c r="A811" s="39">
        <f>IF(D811="","","RL-"&amp;TEXT(ROW()-4,"0000"))</f>
        <v>0</v>
      </c>
      <c r="C811" s="17">
        <f>IF(B811="","",IFERROR(INDEX(Recipes!$B$5:$B$204,MATCH(B811,Recipes!$A$5:$A$204,0)),"Not found"))</f>
        <v>0</v>
      </c>
      <c r="J811" s="45">
        <f>IF(E811="","",IFERROR(E811*INDEX(UnitFactors,MATCH(F811,UnitNames,0)),""))</f>
        <v>0</v>
      </c>
      <c r="K811" s="17">
        <f>IF(F811="","",IFERROR(INDEX(UnitBases,MATCH(F811,UnitNames,0)),"?"))</f>
        <v>0</v>
      </c>
      <c r="L811" s="17">
        <f>IF(D811="","",IFERROR(INDEX(Ingredients!$G$5:$G$304,MATCH(D811,Ingredients!$B$5:$B$304,0)),"Add to Ingredients"))</f>
        <v>0</v>
      </c>
      <c r="M811" s="25">
        <f>IF(D811="","",IFERROR(INDEX(Ingredients!$J$5:$J$304,MATCH(D811,Ingredients!$B$5:$B$304,0)),"Add to Ingredients"))</f>
        <v>0</v>
      </c>
      <c r="N811" s="25">
        <f>IF(OR(J811="",M811="",NOT(ISNUMBER(M811))),"",IF(K811&lt;&gt;L811,"",J811*M811))</f>
        <v>0</v>
      </c>
      <c r="O811" s="25">
        <f>IF(N811="","",IFERROR(N811/INDEX(Recipes!$G$5:$G$204,MATCH(B811,Recipes!$A$5:$A$204,0)),""))</f>
        <v>0</v>
      </c>
      <c r="P811" s="30">
        <f>IF(J811="","",IF(K811="each",J811,J811/100))</f>
        <v>0</v>
      </c>
      <c r="Q811" s="30">
        <f>IFERROR(IF(P811="","",P811*INDEX(Ingredients!$P$5:$P$304,MATCH(D811,Ingredients!$B$5:$B$304,0))),"")</f>
        <v>0</v>
      </c>
      <c r="R811" s="45">
        <f>IFERROR(IF(P811="","",P811*INDEX(Ingredients!$Q$5:$Q$304,MATCH(D811,Ingredients!$B$5:$B$304,0))),"")</f>
        <v>0</v>
      </c>
      <c r="S811" s="45">
        <f>IFERROR(IF(P811="","",P811*INDEX(Ingredients!$R$5:$R$304,MATCH(D811,Ingredients!$B$5:$B$304,0))),"")</f>
        <v>0</v>
      </c>
      <c r="T811" s="45">
        <f>IFERROR(IF(P811="","",P811*INDEX(Ingredients!$S$5:$S$304,MATCH(D811,Ingredients!$B$5:$B$304,0))),"")</f>
        <v>0</v>
      </c>
      <c r="U811" s="45">
        <f>IFERROR(IF(P811="","",P811*INDEX(Ingredients!$T$5:$T$304,MATCH(D811,Ingredients!$B$5:$B$304,0))),"")</f>
        <v>0</v>
      </c>
      <c r="V811" s="17">
        <f>IF(D811="","",IFERROR(INDEX(Ingredients!$W$5:$W$304,MATCH(D811,Ingredients!$B$5:$B$304,0)),"Add to Ingredients"))</f>
        <v>0</v>
      </c>
      <c r="W811" s="17">
        <f>IF(D811="","",IFERROR(INDEX(Ingredients!$C$5:$C$304,MATCH(D811,Ingredients!$B$5:$B$304,0)),"Add to Ingredients"))</f>
        <v>0</v>
      </c>
      <c r="X811" s="45">
        <f>IFERROR(INDEX(Recipes!$AT$5:$AT$204,MATCH(B811,Recipes!$A$5:$A$204,0)),0)</f>
        <v>0</v>
      </c>
      <c r="Y811" s="45">
        <f>IF(OR(J811="",X811=0),"",J811*X811)</f>
        <v>0</v>
      </c>
      <c r="Z811" s="17">
        <f>IF(D811="","",B811&amp;"#"&amp;COUNTIFS($B$5:B811,B811))</f>
        <v>0</v>
      </c>
      <c r="AA811" s="17">
        <f>IF(D811="","",B811&amp;"|"&amp;D811)</f>
        <v>0</v>
      </c>
      <c r="AB811" s="31">
        <f>IF(D811="","",IF(B811="","Add - which recipe?",IF(COUNTIFS(Ingredients!$B$5:$B$304,D811)=0,"Missing - not in the Ingredients tab",IF(E811="","Add - no quantity",IF(F811="","Add - no unit",IF(K811&lt;&gt;L811,"Check - recipe in "&amp;K811&amp;", priced in "&amp;L811,IF(COUNTIFS($AA$5:$AA$1204,AA811)&gt;1,"Duplicate - same ingredient twice","OK")))))))</f>
        <v>0</v>
      </c>
    </row>
    <row r="812" spans="1:28">
      <c r="A812" s="39">
        <f>IF(D812="","","RL-"&amp;TEXT(ROW()-4,"0000"))</f>
        <v>0</v>
      </c>
      <c r="C812" s="17">
        <f>IF(B812="","",IFERROR(INDEX(Recipes!$B$5:$B$204,MATCH(B812,Recipes!$A$5:$A$204,0)),"Not found"))</f>
        <v>0</v>
      </c>
      <c r="J812" s="45">
        <f>IF(E812="","",IFERROR(E812*INDEX(UnitFactors,MATCH(F812,UnitNames,0)),""))</f>
        <v>0</v>
      </c>
      <c r="K812" s="17">
        <f>IF(F812="","",IFERROR(INDEX(UnitBases,MATCH(F812,UnitNames,0)),"?"))</f>
        <v>0</v>
      </c>
      <c r="L812" s="17">
        <f>IF(D812="","",IFERROR(INDEX(Ingredients!$G$5:$G$304,MATCH(D812,Ingredients!$B$5:$B$304,0)),"Add to Ingredients"))</f>
        <v>0</v>
      </c>
      <c r="M812" s="25">
        <f>IF(D812="","",IFERROR(INDEX(Ingredients!$J$5:$J$304,MATCH(D812,Ingredients!$B$5:$B$304,0)),"Add to Ingredients"))</f>
        <v>0</v>
      </c>
      <c r="N812" s="25">
        <f>IF(OR(J812="",M812="",NOT(ISNUMBER(M812))),"",IF(K812&lt;&gt;L812,"",J812*M812))</f>
        <v>0</v>
      </c>
      <c r="O812" s="25">
        <f>IF(N812="","",IFERROR(N812/INDEX(Recipes!$G$5:$G$204,MATCH(B812,Recipes!$A$5:$A$204,0)),""))</f>
        <v>0</v>
      </c>
      <c r="P812" s="30">
        <f>IF(J812="","",IF(K812="each",J812,J812/100))</f>
        <v>0</v>
      </c>
      <c r="Q812" s="30">
        <f>IFERROR(IF(P812="","",P812*INDEX(Ingredients!$P$5:$P$304,MATCH(D812,Ingredients!$B$5:$B$304,0))),"")</f>
        <v>0</v>
      </c>
      <c r="R812" s="45">
        <f>IFERROR(IF(P812="","",P812*INDEX(Ingredients!$Q$5:$Q$304,MATCH(D812,Ingredients!$B$5:$B$304,0))),"")</f>
        <v>0</v>
      </c>
      <c r="S812" s="45">
        <f>IFERROR(IF(P812="","",P812*INDEX(Ingredients!$R$5:$R$304,MATCH(D812,Ingredients!$B$5:$B$304,0))),"")</f>
        <v>0</v>
      </c>
      <c r="T812" s="45">
        <f>IFERROR(IF(P812="","",P812*INDEX(Ingredients!$S$5:$S$304,MATCH(D812,Ingredients!$B$5:$B$304,0))),"")</f>
        <v>0</v>
      </c>
      <c r="U812" s="45">
        <f>IFERROR(IF(P812="","",P812*INDEX(Ingredients!$T$5:$T$304,MATCH(D812,Ingredients!$B$5:$B$304,0))),"")</f>
        <v>0</v>
      </c>
      <c r="V812" s="17">
        <f>IF(D812="","",IFERROR(INDEX(Ingredients!$W$5:$W$304,MATCH(D812,Ingredients!$B$5:$B$304,0)),"Add to Ingredients"))</f>
        <v>0</v>
      </c>
      <c r="W812" s="17">
        <f>IF(D812="","",IFERROR(INDEX(Ingredients!$C$5:$C$304,MATCH(D812,Ingredients!$B$5:$B$304,0)),"Add to Ingredients"))</f>
        <v>0</v>
      </c>
      <c r="X812" s="45">
        <f>IFERROR(INDEX(Recipes!$AT$5:$AT$204,MATCH(B812,Recipes!$A$5:$A$204,0)),0)</f>
        <v>0</v>
      </c>
      <c r="Y812" s="45">
        <f>IF(OR(J812="",X812=0),"",J812*X812)</f>
        <v>0</v>
      </c>
      <c r="Z812" s="17">
        <f>IF(D812="","",B812&amp;"#"&amp;COUNTIFS($B$5:B812,B812))</f>
        <v>0</v>
      </c>
      <c r="AA812" s="17">
        <f>IF(D812="","",B812&amp;"|"&amp;D812)</f>
        <v>0</v>
      </c>
      <c r="AB812" s="31">
        <f>IF(D812="","",IF(B812="","Add - which recipe?",IF(COUNTIFS(Ingredients!$B$5:$B$304,D812)=0,"Missing - not in the Ingredients tab",IF(E812="","Add - no quantity",IF(F812="","Add - no unit",IF(K812&lt;&gt;L812,"Check - recipe in "&amp;K812&amp;", priced in "&amp;L812,IF(COUNTIFS($AA$5:$AA$1204,AA812)&gt;1,"Duplicate - same ingredient twice","OK")))))))</f>
        <v>0</v>
      </c>
    </row>
    <row r="813" spans="1:28">
      <c r="A813" s="39">
        <f>IF(D813="","","RL-"&amp;TEXT(ROW()-4,"0000"))</f>
        <v>0</v>
      </c>
      <c r="C813" s="17">
        <f>IF(B813="","",IFERROR(INDEX(Recipes!$B$5:$B$204,MATCH(B813,Recipes!$A$5:$A$204,0)),"Not found"))</f>
        <v>0</v>
      </c>
      <c r="J813" s="45">
        <f>IF(E813="","",IFERROR(E813*INDEX(UnitFactors,MATCH(F813,UnitNames,0)),""))</f>
        <v>0</v>
      </c>
      <c r="K813" s="17">
        <f>IF(F813="","",IFERROR(INDEX(UnitBases,MATCH(F813,UnitNames,0)),"?"))</f>
        <v>0</v>
      </c>
      <c r="L813" s="17">
        <f>IF(D813="","",IFERROR(INDEX(Ingredients!$G$5:$G$304,MATCH(D813,Ingredients!$B$5:$B$304,0)),"Add to Ingredients"))</f>
        <v>0</v>
      </c>
      <c r="M813" s="25">
        <f>IF(D813="","",IFERROR(INDEX(Ingredients!$J$5:$J$304,MATCH(D813,Ingredients!$B$5:$B$304,0)),"Add to Ingredients"))</f>
        <v>0</v>
      </c>
      <c r="N813" s="25">
        <f>IF(OR(J813="",M813="",NOT(ISNUMBER(M813))),"",IF(K813&lt;&gt;L813,"",J813*M813))</f>
        <v>0</v>
      </c>
      <c r="O813" s="25">
        <f>IF(N813="","",IFERROR(N813/INDEX(Recipes!$G$5:$G$204,MATCH(B813,Recipes!$A$5:$A$204,0)),""))</f>
        <v>0</v>
      </c>
      <c r="P813" s="30">
        <f>IF(J813="","",IF(K813="each",J813,J813/100))</f>
        <v>0</v>
      </c>
      <c r="Q813" s="30">
        <f>IFERROR(IF(P813="","",P813*INDEX(Ingredients!$P$5:$P$304,MATCH(D813,Ingredients!$B$5:$B$304,0))),"")</f>
        <v>0</v>
      </c>
      <c r="R813" s="45">
        <f>IFERROR(IF(P813="","",P813*INDEX(Ingredients!$Q$5:$Q$304,MATCH(D813,Ingredients!$B$5:$B$304,0))),"")</f>
        <v>0</v>
      </c>
      <c r="S813" s="45">
        <f>IFERROR(IF(P813="","",P813*INDEX(Ingredients!$R$5:$R$304,MATCH(D813,Ingredients!$B$5:$B$304,0))),"")</f>
        <v>0</v>
      </c>
      <c r="T813" s="45">
        <f>IFERROR(IF(P813="","",P813*INDEX(Ingredients!$S$5:$S$304,MATCH(D813,Ingredients!$B$5:$B$304,0))),"")</f>
        <v>0</v>
      </c>
      <c r="U813" s="45">
        <f>IFERROR(IF(P813="","",P813*INDEX(Ingredients!$T$5:$T$304,MATCH(D813,Ingredients!$B$5:$B$304,0))),"")</f>
        <v>0</v>
      </c>
      <c r="V813" s="17">
        <f>IF(D813="","",IFERROR(INDEX(Ingredients!$W$5:$W$304,MATCH(D813,Ingredients!$B$5:$B$304,0)),"Add to Ingredients"))</f>
        <v>0</v>
      </c>
      <c r="W813" s="17">
        <f>IF(D813="","",IFERROR(INDEX(Ingredients!$C$5:$C$304,MATCH(D813,Ingredients!$B$5:$B$304,0)),"Add to Ingredients"))</f>
        <v>0</v>
      </c>
      <c r="X813" s="45">
        <f>IFERROR(INDEX(Recipes!$AT$5:$AT$204,MATCH(B813,Recipes!$A$5:$A$204,0)),0)</f>
        <v>0</v>
      </c>
      <c r="Y813" s="45">
        <f>IF(OR(J813="",X813=0),"",J813*X813)</f>
        <v>0</v>
      </c>
      <c r="Z813" s="17">
        <f>IF(D813="","",B813&amp;"#"&amp;COUNTIFS($B$5:B813,B813))</f>
        <v>0</v>
      </c>
      <c r="AA813" s="17">
        <f>IF(D813="","",B813&amp;"|"&amp;D813)</f>
        <v>0</v>
      </c>
      <c r="AB813" s="31">
        <f>IF(D813="","",IF(B813="","Add - which recipe?",IF(COUNTIFS(Ingredients!$B$5:$B$304,D813)=0,"Missing - not in the Ingredients tab",IF(E813="","Add - no quantity",IF(F813="","Add - no unit",IF(K813&lt;&gt;L813,"Check - recipe in "&amp;K813&amp;", priced in "&amp;L813,IF(COUNTIFS($AA$5:$AA$1204,AA813)&gt;1,"Duplicate - same ingredient twice","OK")))))))</f>
        <v>0</v>
      </c>
    </row>
    <row r="814" spans="1:28">
      <c r="A814" s="39">
        <f>IF(D814="","","RL-"&amp;TEXT(ROW()-4,"0000"))</f>
        <v>0</v>
      </c>
      <c r="C814" s="17">
        <f>IF(B814="","",IFERROR(INDEX(Recipes!$B$5:$B$204,MATCH(B814,Recipes!$A$5:$A$204,0)),"Not found"))</f>
        <v>0</v>
      </c>
      <c r="J814" s="45">
        <f>IF(E814="","",IFERROR(E814*INDEX(UnitFactors,MATCH(F814,UnitNames,0)),""))</f>
        <v>0</v>
      </c>
      <c r="K814" s="17">
        <f>IF(F814="","",IFERROR(INDEX(UnitBases,MATCH(F814,UnitNames,0)),"?"))</f>
        <v>0</v>
      </c>
      <c r="L814" s="17">
        <f>IF(D814="","",IFERROR(INDEX(Ingredients!$G$5:$G$304,MATCH(D814,Ingredients!$B$5:$B$304,0)),"Add to Ingredients"))</f>
        <v>0</v>
      </c>
      <c r="M814" s="25">
        <f>IF(D814="","",IFERROR(INDEX(Ingredients!$J$5:$J$304,MATCH(D814,Ingredients!$B$5:$B$304,0)),"Add to Ingredients"))</f>
        <v>0</v>
      </c>
      <c r="N814" s="25">
        <f>IF(OR(J814="",M814="",NOT(ISNUMBER(M814))),"",IF(K814&lt;&gt;L814,"",J814*M814))</f>
        <v>0</v>
      </c>
      <c r="O814" s="25">
        <f>IF(N814="","",IFERROR(N814/INDEX(Recipes!$G$5:$G$204,MATCH(B814,Recipes!$A$5:$A$204,0)),""))</f>
        <v>0</v>
      </c>
      <c r="P814" s="30">
        <f>IF(J814="","",IF(K814="each",J814,J814/100))</f>
        <v>0</v>
      </c>
      <c r="Q814" s="30">
        <f>IFERROR(IF(P814="","",P814*INDEX(Ingredients!$P$5:$P$304,MATCH(D814,Ingredients!$B$5:$B$304,0))),"")</f>
        <v>0</v>
      </c>
      <c r="R814" s="45">
        <f>IFERROR(IF(P814="","",P814*INDEX(Ingredients!$Q$5:$Q$304,MATCH(D814,Ingredients!$B$5:$B$304,0))),"")</f>
        <v>0</v>
      </c>
      <c r="S814" s="45">
        <f>IFERROR(IF(P814="","",P814*INDEX(Ingredients!$R$5:$R$304,MATCH(D814,Ingredients!$B$5:$B$304,0))),"")</f>
        <v>0</v>
      </c>
      <c r="T814" s="45">
        <f>IFERROR(IF(P814="","",P814*INDEX(Ingredients!$S$5:$S$304,MATCH(D814,Ingredients!$B$5:$B$304,0))),"")</f>
        <v>0</v>
      </c>
      <c r="U814" s="45">
        <f>IFERROR(IF(P814="","",P814*INDEX(Ingredients!$T$5:$T$304,MATCH(D814,Ingredients!$B$5:$B$304,0))),"")</f>
        <v>0</v>
      </c>
      <c r="V814" s="17">
        <f>IF(D814="","",IFERROR(INDEX(Ingredients!$W$5:$W$304,MATCH(D814,Ingredients!$B$5:$B$304,0)),"Add to Ingredients"))</f>
        <v>0</v>
      </c>
      <c r="W814" s="17">
        <f>IF(D814="","",IFERROR(INDEX(Ingredients!$C$5:$C$304,MATCH(D814,Ingredients!$B$5:$B$304,0)),"Add to Ingredients"))</f>
        <v>0</v>
      </c>
      <c r="X814" s="45">
        <f>IFERROR(INDEX(Recipes!$AT$5:$AT$204,MATCH(B814,Recipes!$A$5:$A$204,0)),0)</f>
        <v>0</v>
      </c>
      <c r="Y814" s="45">
        <f>IF(OR(J814="",X814=0),"",J814*X814)</f>
        <v>0</v>
      </c>
      <c r="Z814" s="17">
        <f>IF(D814="","",B814&amp;"#"&amp;COUNTIFS($B$5:B814,B814))</f>
        <v>0</v>
      </c>
      <c r="AA814" s="17">
        <f>IF(D814="","",B814&amp;"|"&amp;D814)</f>
        <v>0</v>
      </c>
      <c r="AB814" s="31">
        <f>IF(D814="","",IF(B814="","Add - which recipe?",IF(COUNTIFS(Ingredients!$B$5:$B$304,D814)=0,"Missing - not in the Ingredients tab",IF(E814="","Add - no quantity",IF(F814="","Add - no unit",IF(K814&lt;&gt;L814,"Check - recipe in "&amp;K814&amp;", priced in "&amp;L814,IF(COUNTIFS($AA$5:$AA$1204,AA814)&gt;1,"Duplicate - same ingredient twice","OK")))))))</f>
        <v>0</v>
      </c>
    </row>
    <row r="815" spans="1:28">
      <c r="A815" s="39">
        <f>IF(D815="","","RL-"&amp;TEXT(ROW()-4,"0000"))</f>
        <v>0</v>
      </c>
      <c r="C815" s="17">
        <f>IF(B815="","",IFERROR(INDEX(Recipes!$B$5:$B$204,MATCH(B815,Recipes!$A$5:$A$204,0)),"Not found"))</f>
        <v>0</v>
      </c>
      <c r="J815" s="45">
        <f>IF(E815="","",IFERROR(E815*INDEX(UnitFactors,MATCH(F815,UnitNames,0)),""))</f>
        <v>0</v>
      </c>
      <c r="K815" s="17">
        <f>IF(F815="","",IFERROR(INDEX(UnitBases,MATCH(F815,UnitNames,0)),"?"))</f>
        <v>0</v>
      </c>
      <c r="L815" s="17">
        <f>IF(D815="","",IFERROR(INDEX(Ingredients!$G$5:$G$304,MATCH(D815,Ingredients!$B$5:$B$304,0)),"Add to Ingredients"))</f>
        <v>0</v>
      </c>
      <c r="M815" s="25">
        <f>IF(D815="","",IFERROR(INDEX(Ingredients!$J$5:$J$304,MATCH(D815,Ingredients!$B$5:$B$304,0)),"Add to Ingredients"))</f>
        <v>0</v>
      </c>
      <c r="N815" s="25">
        <f>IF(OR(J815="",M815="",NOT(ISNUMBER(M815))),"",IF(K815&lt;&gt;L815,"",J815*M815))</f>
        <v>0</v>
      </c>
      <c r="O815" s="25">
        <f>IF(N815="","",IFERROR(N815/INDEX(Recipes!$G$5:$G$204,MATCH(B815,Recipes!$A$5:$A$204,0)),""))</f>
        <v>0</v>
      </c>
      <c r="P815" s="30">
        <f>IF(J815="","",IF(K815="each",J815,J815/100))</f>
        <v>0</v>
      </c>
      <c r="Q815" s="30">
        <f>IFERROR(IF(P815="","",P815*INDEX(Ingredients!$P$5:$P$304,MATCH(D815,Ingredients!$B$5:$B$304,0))),"")</f>
        <v>0</v>
      </c>
      <c r="R815" s="45">
        <f>IFERROR(IF(P815="","",P815*INDEX(Ingredients!$Q$5:$Q$304,MATCH(D815,Ingredients!$B$5:$B$304,0))),"")</f>
        <v>0</v>
      </c>
      <c r="S815" s="45">
        <f>IFERROR(IF(P815="","",P815*INDEX(Ingredients!$R$5:$R$304,MATCH(D815,Ingredients!$B$5:$B$304,0))),"")</f>
        <v>0</v>
      </c>
      <c r="T815" s="45">
        <f>IFERROR(IF(P815="","",P815*INDEX(Ingredients!$S$5:$S$304,MATCH(D815,Ingredients!$B$5:$B$304,0))),"")</f>
        <v>0</v>
      </c>
      <c r="U815" s="45">
        <f>IFERROR(IF(P815="","",P815*INDEX(Ingredients!$T$5:$T$304,MATCH(D815,Ingredients!$B$5:$B$304,0))),"")</f>
        <v>0</v>
      </c>
      <c r="V815" s="17">
        <f>IF(D815="","",IFERROR(INDEX(Ingredients!$W$5:$W$304,MATCH(D815,Ingredients!$B$5:$B$304,0)),"Add to Ingredients"))</f>
        <v>0</v>
      </c>
      <c r="W815" s="17">
        <f>IF(D815="","",IFERROR(INDEX(Ingredients!$C$5:$C$304,MATCH(D815,Ingredients!$B$5:$B$304,0)),"Add to Ingredients"))</f>
        <v>0</v>
      </c>
      <c r="X815" s="45">
        <f>IFERROR(INDEX(Recipes!$AT$5:$AT$204,MATCH(B815,Recipes!$A$5:$A$204,0)),0)</f>
        <v>0</v>
      </c>
      <c r="Y815" s="45">
        <f>IF(OR(J815="",X815=0),"",J815*X815)</f>
        <v>0</v>
      </c>
      <c r="Z815" s="17">
        <f>IF(D815="","",B815&amp;"#"&amp;COUNTIFS($B$5:B815,B815))</f>
        <v>0</v>
      </c>
      <c r="AA815" s="17">
        <f>IF(D815="","",B815&amp;"|"&amp;D815)</f>
        <v>0</v>
      </c>
      <c r="AB815" s="31">
        <f>IF(D815="","",IF(B815="","Add - which recipe?",IF(COUNTIFS(Ingredients!$B$5:$B$304,D815)=0,"Missing - not in the Ingredients tab",IF(E815="","Add - no quantity",IF(F815="","Add - no unit",IF(K815&lt;&gt;L815,"Check - recipe in "&amp;K815&amp;", priced in "&amp;L815,IF(COUNTIFS($AA$5:$AA$1204,AA815)&gt;1,"Duplicate - same ingredient twice","OK")))))))</f>
        <v>0</v>
      </c>
    </row>
    <row r="816" spans="1:28">
      <c r="A816" s="39">
        <f>IF(D816="","","RL-"&amp;TEXT(ROW()-4,"0000"))</f>
        <v>0</v>
      </c>
      <c r="C816" s="17">
        <f>IF(B816="","",IFERROR(INDEX(Recipes!$B$5:$B$204,MATCH(B816,Recipes!$A$5:$A$204,0)),"Not found"))</f>
        <v>0</v>
      </c>
      <c r="J816" s="45">
        <f>IF(E816="","",IFERROR(E816*INDEX(UnitFactors,MATCH(F816,UnitNames,0)),""))</f>
        <v>0</v>
      </c>
      <c r="K816" s="17">
        <f>IF(F816="","",IFERROR(INDEX(UnitBases,MATCH(F816,UnitNames,0)),"?"))</f>
        <v>0</v>
      </c>
      <c r="L816" s="17">
        <f>IF(D816="","",IFERROR(INDEX(Ingredients!$G$5:$G$304,MATCH(D816,Ingredients!$B$5:$B$304,0)),"Add to Ingredients"))</f>
        <v>0</v>
      </c>
      <c r="M816" s="25">
        <f>IF(D816="","",IFERROR(INDEX(Ingredients!$J$5:$J$304,MATCH(D816,Ingredients!$B$5:$B$304,0)),"Add to Ingredients"))</f>
        <v>0</v>
      </c>
      <c r="N816" s="25">
        <f>IF(OR(J816="",M816="",NOT(ISNUMBER(M816))),"",IF(K816&lt;&gt;L816,"",J816*M816))</f>
        <v>0</v>
      </c>
      <c r="O816" s="25">
        <f>IF(N816="","",IFERROR(N816/INDEX(Recipes!$G$5:$G$204,MATCH(B816,Recipes!$A$5:$A$204,0)),""))</f>
        <v>0</v>
      </c>
      <c r="P816" s="30">
        <f>IF(J816="","",IF(K816="each",J816,J816/100))</f>
        <v>0</v>
      </c>
      <c r="Q816" s="30">
        <f>IFERROR(IF(P816="","",P816*INDEX(Ingredients!$P$5:$P$304,MATCH(D816,Ingredients!$B$5:$B$304,0))),"")</f>
        <v>0</v>
      </c>
      <c r="R816" s="45">
        <f>IFERROR(IF(P816="","",P816*INDEX(Ingredients!$Q$5:$Q$304,MATCH(D816,Ingredients!$B$5:$B$304,0))),"")</f>
        <v>0</v>
      </c>
      <c r="S816" s="45">
        <f>IFERROR(IF(P816="","",P816*INDEX(Ingredients!$R$5:$R$304,MATCH(D816,Ingredients!$B$5:$B$304,0))),"")</f>
        <v>0</v>
      </c>
      <c r="T816" s="45">
        <f>IFERROR(IF(P816="","",P816*INDEX(Ingredients!$S$5:$S$304,MATCH(D816,Ingredients!$B$5:$B$304,0))),"")</f>
        <v>0</v>
      </c>
      <c r="U816" s="45">
        <f>IFERROR(IF(P816="","",P816*INDEX(Ingredients!$T$5:$T$304,MATCH(D816,Ingredients!$B$5:$B$304,0))),"")</f>
        <v>0</v>
      </c>
      <c r="V816" s="17">
        <f>IF(D816="","",IFERROR(INDEX(Ingredients!$W$5:$W$304,MATCH(D816,Ingredients!$B$5:$B$304,0)),"Add to Ingredients"))</f>
        <v>0</v>
      </c>
      <c r="W816" s="17">
        <f>IF(D816="","",IFERROR(INDEX(Ingredients!$C$5:$C$304,MATCH(D816,Ingredients!$B$5:$B$304,0)),"Add to Ingredients"))</f>
        <v>0</v>
      </c>
      <c r="X816" s="45">
        <f>IFERROR(INDEX(Recipes!$AT$5:$AT$204,MATCH(B816,Recipes!$A$5:$A$204,0)),0)</f>
        <v>0</v>
      </c>
      <c r="Y816" s="45">
        <f>IF(OR(J816="",X816=0),"",J816*X816)</f>
        <v>0</v>
      </c>
      <c r="Z816" s="17">
        <f>IF(D816="","",B816&amp;"#"&amp;COUNTIFS($B$5:B816,B816))</f>
        <v>0</v>
      </c>
      <c r="AA816" s="17">
        <f>IF(D816="","",B816&amp;"|"&amp;D816)</f>
        <v>0</v>
      </c>
      <c r="AB816" s="31">
        <f>IF(D816="","",IF(B816="","Add - which recipe?",IF(COUNTIFS(Ingredients!$B$5:$B$304,D816)=0,"Missing - not in the Ingredients tab",IF(E816="","Add - no quantity",IF(F816="","Add - no unit",IF(K816&lt;&gt;L816,"Check - recipe in "&amp;K816&amp;", priced in "&amp;L816,IF(COUNTIFS($AA$5:$AA$1204,AA816)&gt;1,"Duplicate - same ingredient twice","OK")))))))</f>
        <v>0</v>
      </c>
    </row>
    <row r="817" spans="1:28">
      <c r="A817" s="39">
        <f>IF(D817="","","RL-"&amp;TEXT(ROW()-4,"0000"))</f>
        <v>0</v>
      </c>
      <c r="C817" s="17">
        <f>IF(B817="","",IFERROR(INDEX(Recipes!$B$5:$B$204,MATCH(B817,Recipes!$A$5:$A$204,0)),"Not found"))</f>
        <v>0</v>
      </c>
      <c r="J817" s="45">
        <f>IF(E817="","",IFERROR(E817*INDEX(UnitFactors,MATCH(F817,UnitNames,0)),""))</f>
        <v>0</v>
      </c>
      <c r="K817" s="17">
        <f>IF(F817="","",IFERROR(INDEX(UnitBases,MATCH(F817,UnitNames,0)),"?"))</f>
        <v>0</v>
      </c>
      <c r="L817" s="17">
        <f>IF(D817="","",IFERROR(INDEX(Ingredients!$G$5:$G$304,MATCH(D817,Ingredients!$B$5:$B$304,0)),"Add to Ingredients"))</f>
        <v>0</v>
      </c>
      <c r="M817" s="25">
        <f>IF(D817="","",IFERROR(INDEX(Ingredients!$J$5:$J$304,MATCH(D817,Ingredients!$B$5:$B$304,0)),"Add to Ingredients"))</f>
        <v>0</v>
      </c>
      <c r="N817" s="25">
        <f>IF(OR(J817="",M817="",NOT(ISNUMBER(M817))),"",IF(K817&lt;&gt;L817,"",J817*M817))</f>
        <v>0</v>
      </c>
      <c r="O817" s="25">
        <f>IF(N817="","",IFERROR(N817/INDEX(Recipes!$G$5:$G$204,MATCH(B817,Recipes!$A$5:$A$204,0)),""))</f>
        <v>0</v>
      </c>
      <c r="P817" s="30">
        <f>IF(J817="","",IF(K817="each",J817,J817/100))</f>
        <v>0</v>
      </c>
      <c r="Q817" s="30">
        <f>IFERROR(IF(P817="","",P817*INDEX(Ingredients!$P$5:$P$304,MATCH(D817,Ingredients!$B$5:$B$304,0))),"")</f>
        <v>0</v>
      </c>
      <c r="R817" s="45">
        <f>IFERROR(IF(P817="","",P817*INDEX(Ingredients!$Q$5:$Q$304,MATCH(D817,Ingredients!$B$5:$B$304,0))),"")</f>
        <v>0</v>
      </c>
      <c r="S817" s="45">
        <f>IFERROR(IF(P817="","",P817*INDEX(Ingredients!$R$5:$R$304,MATCH(D817,Ingredients!$B$5:$B$304,0))),"")</f>
        <v>0</v>
      </c>
      <c r="T817" s="45">
        <f>IFERROR(IF(P817="","",P817*INDEX(Ingredients!$S$5:$S$304,MATCH(D817,Ingredients!$B$5:$B$304,0))),"")</f>
        <v>0</v>
      </c>
      <c r="U817" s="45">
        <f>IFERROR(IF(P817="","",P817*INDEX(Ingredients!$T$5:$T$304,MATCH(D817,Ingredients!$B$5:$B$304,0))),"")</f>
        <v>0</v>
      </c>
      <c r="V817" s="17">
        <f>IF(D817="","",IFERROR(INDEX(Ingredients!$W$5:$W$304,MATCH(D817,Ingredients!$B$5:$B$304,0)),"Add to Ingredients"))</f>
        <v>0</v>
      </c>
      <c r="W817" s="17">
        <f>IF(D817="","",IFERROR(INDEX(Ingredients!$C$5:$C$304,MATCH(D817,Ingredients!$B$5:$B$304,0)),"Add to Ingredients"))</f>
        <v>0</v>
      </c>
      <c r="X817" s="45">
        <f>IFERROR(INDEX(Recipes!$AT$5:$AT$204,MATCH(B817,Recipes!$A$5:$A$204,0)),0)</f>
        <v>0</v>
      </c>
      <c r="Y817" s="45">
        <f>IF(OR(J817="",X817=0),"",J817*X817)</f>
        <v>0</v>
      </c>
      <c r="Z817" s="17">
        <f>IF(D817="","",B817&amp;"#"&amp;COUNTIFS($B$5:B817,B817))</f>
        <v>0</v>
      </c>
      <c r="AA817" s="17">
        <f>IF(D817="","",B817&amp;"|"&amp;D817)</f>
        <v>0</v>
      </c>
      <c r="AB817" s="31">
        <f>IF(D817="","",IF(B817="","Add - which recipe?",IF(COUNTIFS(Ingredients!$B$5:$B$304,D817)=0,"Missing - not in the Ingredients tab",IF(E817="","Add - no quantity",IF(F817="","Add - no unit",IF(K817&lt;&gt;L817,"Check - recipe in "&amp;K817&amp;", priced in "&amp;L817,IF(COUNTIFS($AA$5:$AA$1204,AA817)&gt;1,"Duplicate - same ingredient twice","OK")))))))</f>
        <v>0</v>
      </c>
    </row>
    <row r="818" spans="1:28">
      <c r="A818" s="39">
        <f>IF(D818="","","RL-"&amp;TEXT(ROW()-4,"0000"))</f>
        <v>0</v>
      </c>
      <c r="C818" s="17">
        <f>IF(B818="","",IFERROR(INDEX(Recipes!$B$5:$B$204,MATCH(B818,Recipes!$A$5:$A$204,0)),"Not found"))</f>
        <v>0</v>
      </c>
      <c r="J818" s="45">
        <f>IF(E818="","",IFERROR(E818*INDEX(UnitFactors,MATCH(F818,UnitNames,0)),""))</f>
        <v>0</v>
      </c>
      <c r="K818" s="17">
        <f>IF(F818="","",IFERROR(INDEX(UnitBases,MATCH(F818,UnitNames,0)),"?"))</f>
        <v>0</v>
      </c>
      <c r="L818" s="17">
        <f>IF(D818="","",IFERROR(INDEX(Ingredients!$G$5:$G$304,MATCH(D818,Ingredients!$B$5:$B$304,0)),"Add to Ingredients"))</f>
        <v>0</v>
      </c>
      <c r="M818" s="25">
        <f>IF(D818="","",IFERROR(INDEX(Ingredients!$J$5:$J$304,MATCH(D818,Ingredients!$B$5:$B$304,0)),"Add to Ingredients"))</f>
        <v>0</v>
      </c>
      <c r="N818" s="25">
        <f>IF(OR(J818="",M818="",NOT(ISNUMBER(M818))),"",IF(K818&lt;&gt;L818,"",J818*M818))</f>
        <v>0</v>
      </c>
      <c r="O818" s="25">
        <f>IF(N818="","",IFERROR(N818/INDEX(Recipes!$G$5:$G$204,MATCH(B818,Recipes!$A$5:$A$204,0)),""))</f>
        <v>0</v>
      </c>
      <c r="P818" s="30">
        <f>IF(J818="","",IF(K818="each",J818,J818/100))</f>
        <v>0</v>
      </c>
      <c r="Q818" s="30">
        <f>IFERROR(IF(P818="","",P818*INDEX(Ingredients!$P$5:$P$304,MATCH(D818,Ingredients!$B$5:$B$304,0))),"")</f>
        <v>0</v>
      </c>
      <c r="R818" s="45">
        <f>IFERROR(IF(P818="","",P818*INDEX(Ingredients!$Q$5:$Q$304,MATCH(D818,Ingredients!$B$5:$B$304,0))),"")</f>
        <v>0</v>
      </c>
      <c r="S818" s="45">
        <f>IFERROR(IF(P818="","",P818*INDEX(Ingredients!$R$5:$R$304,MATCH(D818,Ingredients!$B$5:$B$304,0))),"")</f>
        <v>0</v>
      </c>
      <c r="T818" s="45">
        <f>IFERROR(IF(P818="","",P818*INDEX(Ingredients!$S$5:$S$304,MATCH(D818,Ingredients!$B$5:$B$304,0))),"")</f>
        <v>0</v>
      </c>
      <c r="U818" s="45">
        <f>IFERROR(IF(P818="","",P818*INDEX(Ingredients!$T$5:$T$304,MATCH(D818,Ingredients!$B$5:$B$304,0))),"")</f>
        <v>0</v>
      </c>
      <c r="V818" s="17">
        <f>IF(D818="","",IFERROR(INDEX(Ingredients!$W$5:$W$304,MATCH(D818,Ingredients!$B$5:$B$304,0)),"Add to Ingredients"))</f>
        <v>0</v>
      </c>
      <c r="W818" s="17">
        <f>IF(D818="","",IFERROR(INDEX(Ingredients!$C$5:$C$304,MATCH(D818,Ingredients!$B$5:$B$304,0)),"Add to Ingredients"))</f>
        <v>0</v>
      </c>
      <c r="X818" s="45">
        <f>IFERROR(INDEX(Recipes!$AT$5:$AT$204,MATCH(B818,Recipes!$A$5:$A$204,0)),0)</f>
        <v>0</v>
      </c>
      <c r="Y818" s="45">
        <f>IF(OR(J818="",X818=0),"",J818*X818)</f>
        <v>0</v>
      </c>
      <c r="Z818" s="17">
        <f>IF(D818="","",B818&amp;"#"&amp;COUNTIFS($B$5:B818,B818))</f>
        <v>0</v>
      </c>
      <c r="AA818" s="17">
        <f>IF(D818="","",B818&amp;"|"&amp;D818)</f>
        <v>0</v>
      </c>
      <c r="AB818" s="31">
        <f>IF(D818="","",IF(B818="","Add - which recipe?",IF(COUNTIFS(Ingredients!$B$5:$B$304,D818)=0,"Missing - not in the Ingredients tab",IF(E818="","Add - no quantity",IF(F818="","Add - no unit",IF(K818&lt;&gt;L818,"Check - recipe in "&amp;K818&amp;", priced in "&amp;L818,IF(COUNTIFS($AA$5:$AA$1204,AA818)&gt;1,"Duplicate - same ingredient twice","OK")))))))</f>
        <v>0</v>
      </c>
    </row>
    <row r="819" spans="1:28">
      <c r="A819" s="39">
        <f>IF(D819="","","RL-"&amp;TEXT(ROW()-4,"0000"))</f>
        <v>0</v>
      </c>
      <c r="C819" s="17">
        <f>IF(B819="","",IFERROR(INDEX(Recipes!$B$5:$B$204,MATCH(B819,Recipes!$A$5:$A$204,0)),"Not found"))</f>
        <v>0</v>
      </c>
      <c r="J819" s="45">
        <f>IF(E819="","",IFERROR(E819*INDEX(UnitFactors,MATCH(F819,UnitNames,0)),""))</f>
        <v>0</v>
      </c>
      <c r="K819" s="17">
        <f>IF(F819="","",IFERROR(INDEX(UnitBases,MATCH(F819,UnitNames,0)),"?"))</f>
        <v>0</v>
      </c>
      <c r="L819" s="17">
        <f>IF(D819="","",IFERROR(INDEX(Ingredients!$G$5:$G$304,MATCH(D819,Ingredients!$B$5:$B$304,0)),"Add to Ingredients"))</f>
        <v>0</v>
      </c>
      <c r="M819" s="25">
        <f>IF(D819="","",IFERROR(INDEX(Ingredients!$J$5:$J$304,MATCH(D819,Ingredients!$B$5:$B$304,0)),"Add to Ingredients"))</f>
        <v>0</v>
      </c>
      <c r="N819" s="25">
        <f>IF(OR(J819="",M819="",NOT(ISNUMBER(M819))),"",IF(K819&lt;&gt;L819,"",J819*M819))</f>
        <v>0</v>
      </c>
      <c r="O819" s="25">
        <f>IF(N819="","",IFERROR(N819/INDEX(Recipes!$G$5:$G$204,MATCH(B819,Recipes!$A$5:$A$204,0)),""))</f>
        <v>0</v>
      </c>
      <c r="P819" s="30">
        <f>IF(J819="","",IF(K819="each",J819,J819/100))</f>
        <v>0</v>
      </c>
      <c r="Q819" s="30">
        <f>IFERROR(IF(P819="","",P819*INDEX(Ingredients!$P$5:$P$304,MATCH(D819,Ingredients!$B$5:$B$304,0))),"")</f>
        <v>0</v>
      </c>
      <c r="R819" s="45">
        <f>IFERROR(IF(P819="","",P819*INDEX(Ingredients!$Q$5:$Q$304,MATCH(D819,Ingredients!$B$5:$B$304,0))),"")</f>
        <v>0</v>
      </c>
      <c r="S819" s="45">
        <f>IFERROR(IF(P819="","",P819*INDEX(Ingredients!$R$5:$R$304,MATCH(D819,Ingredients!$B$5:$B$304,0))),"")</f>
        <v>0</v>
      </c>
      <c r="T819" s="45">
        <f>IFERROR(IF(P819="","",P819*INDEX(Ingredients!$S$5:$S$304,MATCH(D819,Ingredients!$B$5:$B$304,0))),"")</f>
        <v>0</v>
      </c>
      <c r="U819" s="45">
        <f>IFERROR(IF(P819="","",P819*INDEX(Ingredients!$T$5:$T$304,MATCH(D819,Ingredients!$B$5:$B$304,0))),"")</f>
        <v>0</v>
      </c>
      <c r="V819" s="17">
        <f>IF(D819="","",IFERROR(INDEX(Ingredients!$W$5:$W$304,MATCH(D819,Ingredients!$B$5:$B$304,0)),"Add to Ingredients"))</f>
        <v>0</v>
      </c>
      <c r="W819" s="17">
        <f>IF(D819="","",IFERROR(INDEX(Ingredients!$C$5:$C$304,MATCH(D819,Ingredients!$B$5:$B$304,0)),"Add to Ingredients"))</f>
        <v>0</v>
      </c>
      <c r="X819" s="45">
        <f>IFERROR(INDEX(Recipes!$AT$5:$AT$204,MATCH(B819,Recipes!$A$5:$A$204,0)),0)</f>
        <v>0</v>
      </c>
      <c r="Y819" s="45">
        <f>IF(OR(J819="",X819=0),"",J819*X819)</f>
        <v>0</v>
      </c>
      <c r="Z819" s="17">
        <f>IF(D819="","",B819&amp;"#"&amp;COUNTIFS($B$5:B819,B819))</f>
        <v>0</v>
      </c>
      <c r="AA819" s="17">
        <f>IF(D819="","",B819&amp;"|"&amp;D819)</f>
        <v>0</v>
      </c>
      <c r="AB819" s="31">
        <f>IF(D819="","",IF(B819="","Add - which recipe?",IF(COUNTIFS(Ingredients!$B$5:$B$304,D819)=0,"Missing - not in the Ingredients tab",IF(E819="","Add - no quantity",IF(F819="","Add - no unit",IF(K819&lt;&gt;L819,"Check - recipe in "&amp;K819&amp;", priced in "&amp;L819,IF(COUNTIFS($AA$5:$AA$1204,AA819)&gt;1,"Duplicate - same ingredient twice","OK")))))))</f>
        <v>0</v>
      </c>
    </row>
    <row r="820" spans="1:28">
      <c r="A820" s="39">
        <f>IF(D820="","","RL-"&amp;TEXT(ROW()-4,"0000"))</f>
        <v>0</v>
      </c>
      <c r="C820" s="17">
        <f>IF(B820="","",IFERROR(INDEX(Recipes!$B$5:$B$204,MATCH(B820,Recipes!$A$5:$A$204,0)),"Not found"))</f>
        <v>0</v>
      </c>
      <c r="J820" s="45">
        <f>IF(E820="","",IFERROR(E820*INDEX(UnitFactors,MATCH(F820,UnitNames,0)),""))</f>
        <v>0</v>
      </c>
      <c r="K820" s="17">
        <f>IF(F820="","",IFERROR(INDEX(UnitBases,MATCH(F820,UnitNames,0)),"?"))</f>
        <v>0</v>
      </c>
      <c r="L820" s="17">
        <f>IF(D820="","",IFERROR(INDEX(Ingredients!$G$5:$G$304,MATCH(D820,Ingredients!$B$5:$B$304,0)),"Add to Ingredients"))</f>
        <v>0</v>
      </c>
      <c r="M820" s="25">
        <f>IF(D820="","",IFERROR(INDEX(Ingredients!$J$5:$J$304,MATCH(D820,Ingredients!$B$5:$B$304,0)),"Add to Ingredients"))</f>
        <v>0</v>
      </c>
      <c r="N820" s="25">
        <f>IF(OR(J820="",M820="",NOT(ISNUMBER(M820))),"",IF(K820&lt;&gt;L820,"",J820*M820))</f>
        <v>0</v>
      </c>
      <c r="O820" s="25">
        <f>IF(N820="","",IFERROR(N820/INDEX(Recipes!$G$5:$G$204,MATCH(B820,Recipes!$A$5:$A$204,0)),""))</f>
        <v>0</v>
      </c>
      <c r="P820" s="30">
        <f>IF(J820="","",IF(K820="each",J820,J820/100))</f>
        <v>0</v>
      </c>
      <c r="Q820" s="30">
        <f>IFERROR(IF(P820="","",P820*INDEX(Ingredients!$P$5:$P$304,MATCH(D820,Ingredients!$B$5:$B$304,0))),"")</f>
        <v>0</v>
      </c>
      <c r="R820" s="45">
        <f>IFERROR(IF(P820="","",P820*INDEX(Ingredients!$Q$5:$Q$304,MATCH(D820,Ingredients!$B$5:$B$304,0))),"")</f>
        <v>0</v>
      </c>
      <c r="S820" s="45">
        <f>IFERROR(IF(P820="","",P820*INDEX(Ingredients!$R$5:$R$304,MATCH(D820,Ingredients!$B$5:$B$304,0))),"")</f>
        <v>0</v>
      </c>
      <c r="T820" s="45">
        <f>IFERROR(IF(P820="","",P820*INDEX(Ingredients!$S$5:$S$304,MATCH(D820,Ingredients!$B$5:$B$304,0))),"")</f>
        <v>0</v>
      </c>
      <c r="U820" s="45">
        <f>IFERROR(IF(P820="","",P820*INDEX(Ingredients!$T$5:$T$304,MATCH(D820,Ingredients!$B$5:$B$304,0))),"")</f>
        <v>0</v>
      </c>
      <c r="V820" s="17">
        <f>IF(D820="","",IFERROR(INDEX(Ingredients!$W$5:$W$304,MATCH(D820,Ingredients!$B$5:$B$304,0)),"Add to Ingredients"))</f>
        <v>0</v>
      </c>
      <c r="W820" s="17">
        <f>IF(D820="","",IFERROR(INDEX(Ingredients!$C$5:$C$304,MATCH(D820,Ingredients!$B$5:$B$304,0)),"Add to Ingredients"))</f>
        <v>0</v>
      </c>
      <c r="X820" s="45">
        <f>IFERROR(INDEX(Recipes!$AT$5:$AT$204,MATCH(B820,Recipes!$A$5:$A$204,0)),0)</f>
        <v>0</v>
      </c>
      <c r="Y820" s="45">
        <f>IF(OR(J820="",X820=0),"",J820*X820)</f>
        <v>0</v>
      </c>
      <c r="Z820" s="17">
        <f>IF(D820="","",B820&amp;"#"&amp;COUNTIFS($B$5:B820,B820))</f>
        <v>0</v>
      </c>
      <c r="AA820" s="17">
        <f>IF(D820="","",B820&amp;"|"&amp;D820)</f>
        <v>0</v>
      </c>
      <c r="AB820" s="31">
        <f>IF(D820="","",IF(B820="","Add - which recipe?",IF(COUNTIFS(Ingredients!$B$5:$B$304,D820)=0,"Missing - not in the Ingredients tab",IF(E820="","Add - no quantity",IF(F820="","Add - no unit",IF(K820&lt;&gt;L820,"Check - recipe in "&amp;K820&amp;", priced in "&amp;L820,IF(COUNTIFS($AA$5:$AA$1204,AA820)&gt;1,"Duplicate - same ingredient twice","OK")))))))</f>
        <v>0</v>
      </c>
    </row>
    <row r="821" spans="1:28">
      <c r="A821" s="39">
        <f>IF(D821="","","RL-"&amp;TEXT(ROW()-4,"0000"))</f>
        <v>0</v>
      </c>
      <c r="C821" s="17">
        <f>IF(B821="","",IFERROR(INDEX(Recipes!$B$5:$B$204,MATCH(B821,Recipes!$A$5:$A$204,0)),"Not found"))</f>
        <v>0</v>
      </c>
      <c r="J821" s="45">
        <f>IF(E821="","",IFERROR(E821*INDEX(UnitFactors,MATCH(F821,UnitNames,0)),""))</f>
        <v>0</v>
      </c>
      <c r="K821" s="17">
        <f>IF(F821="","",IFERROR(INDEX(UnitBases,MATCH(F821,UnitNames,0)),"?"))</f>
        <v>0</v>
      </c>
      <c r="L821" s="17">
        <f>IF(D821="","",IFERROR(INDEX(Ingredients!$G$5:$G$304,MATCH(D821,Ingredients!$B$5:$B$304,0)),"Add to Ingredients"))</f>
        <v>0</v>
      </c>
      <c r="M821" s="25">
        <f>IF(D821="","",IFERROR(INDEX(Ingredients!$J$5:$J$304,MATCH(D821,Ingredients!$B$5:$B$304,0)),"Add to Ingredients"))</f>
        <v>0</v>
      </c>
      <c r="N821" s="25">
        <f>IF(OR(J821="",M821="",NOT(ISNUMBER(M821))),"",IF(K821&lt;&gt;L821,"",J821*M821))</f>
        <v>0</v>
      </c>
      <c r="O821" s="25">
        <f>IF(N821="","",IFERROR(N821/INDEX(Recipes!$G$5:$G$204,MATCH(B821,Recipes!$A$5:$A$204,0)),""))</f>
        <v>0</v>
      </c>
      <c r="P821" s="30">
        <f>IF(J821="","",IF(K821="each",J821,J821/100))</f>
        <v>0</v>
      </c>
      <c r="Q821" s="30">
        <f>IFERROR(IF(P821="","",P821*INDEX(Ingredients!$P$5:$P$304,MATCH(D821,Ingredients!$B$5:$B$304,0))),"")</f>
        <v>0</v>
      </c>
      <c r="R821" s="45">
        <f>IFERROR(IF(P821="","",P821*INDEX(Ingredients!$Q$5:$Q$304,MATCH(D821,Ingredients!$B$5:$B$304,0))),"")</f>
        <v>0</v>
      </c>
      <c r="S821" s="45">
        <f>IFERROR(IF(P821="","",P821*INDEX(Ingredients!$R$5:$R$304,MATCH(D821,Ingredients!$B$5:$B$304,0))),"")</f>
        <v>0</v>
      </c>
      <c r="T821" s="45">
        <f>IFERROR(IF(P821="","",P821*INDEX(Ingredients!$S$5:$S$304,MATCH(D821,Ingredients!$B$5:$B$304,0))),"")</f>
        <v>0</v>
      </c>
      <c r="U821" s="45">
        <f>IFERROR(IF(P821="","",P821*INDEX(Ingredients!$T$5:$T$304,MATCH(D821,Ingredients!$B$5:$B$304,0))),"")</f>
        <v>0</v>
      </c>
      <c r="V821" s="17">
        <f>IF(D821="","",IFERROR(INDEX(Ingredients!$W$5:$W$304,MATCH(D821,Ingredients!$B$5:$B$304,0)),"Add to Ingredients"))</f>
        <v>0</v>
      </c>
      <c r="W821" s="17">
        <f>IF(D821="","",IFERROR(INDEX(Ingredients!$C$5:$C$304,MATCH(D821,Ingredients!$B$5:$B$304,0)),"Add to Ingredients"))</f>
        <v>0</v>
      </c>
      <c r="X821" s="45">
        <f>IFERROR(INDEX(Recipes!$AT$5:$AT$204,MATCH(B821,Recipes!$A$5:$A$204,0)),0)</f>
        <v>0</v>
      </c>
      <c r="Y821" s="45">
        <f>IF(OR(J821="",X821=0),"",J821*X821)</f>
        <v>0</v>
      </c>
      <c r="Z821" s="17">
        <f>IF(D821="","",B821&amp;"#"&amp;COUNTIFS($B$5:B821,B821))</f>
        <v>0</v>
      </c>
      <c r="AA821" s="17">
        <f>IF(D821="","",B821&amp;"|"&amp;D821)</f>
        <v>0</v>
      </c>
      <c r="AB821" s="31">
        <f>IF(D821="","",IF(B821="","Add - which recipe?",IF(COUNTIFS(Ingredients!$B$5:$B$304,D821)=0,"Missing - not in the Ingredients tab",IF(E821="","Add - no quantity",IF(F821="","Add - no unit",IF(K821&lt;&gt;L821,"Check - recipe in "&amp;K821&amp;", priced in "&amp;L821,IF(COUNTIFS($AA$5:$AA$1204,AA821)&gt;1,"Duplicate - same ingredient twice","OK")))))))</f>
        <v>0</v>
      </c>
    </row>
    <row r="822" spans="1:28">
      <c r="A822" s="39">
        <f>IF(D822="","","RL-"&amp;TEXT(ROW()-4,"0000"))</f>
        <v>0</v>
      </c>
      <c r="C822" s="17">
        <f>IF(B822="","",IFERROR(INDEX(Recipes!$B$5:$B$204,MATCH(B822,Recipes!$A$5:$A$204,0)),"Not found"))</f>
        <v>0</v>
      </c>
      <c r="J822" s="45">
        <f>IF(E822="","",IFERROR(E822*INDEX(UnitFactors,MATCH(F822,UnitNames,0)),""))</f>
        <v>0</v>
      </c>
      <c r="K822" s="17">
        <f>IF(F822="","",IFERROR(INDEX(UnitBases,MATCH(F822,UnitNames,0)),"?"))</f>
        <v>0</v>
      </c>
      <c r="L822" s="17">
        <f>IF(D822="","",IFERROR(INDEX(Ingredients!$G$5:$G$304,MATCH(D822,Ingredients!$B$5:$B$304,0)),"Add to Ingredients"))</f>
        <v>0</v>
      </c>
      <c r="M822" s="25">
        <f>IF(D822="","",IFERROR(INDEX(Ingredients!$J$5:$J$304,MATCH(D822,Ingredients!$B$5:$B$304,0)),"Add to Ingredients"))</f>
        <v>0</v>
      </c>
      <c r="N822" s="25">
        <f>IF(OR(J822="",M822="",NOT(ISNUMBER(M822))),"",IF(K822&lt;&gt;L822,"",J822*M822))</f>
        <v>0</v>
      </c>
      <c r="O822" s="25">
        <f>IF(N822="","",IFERROR(N822/INDEX(Recipes!$G$5:$G$204,MATCH(B822,Recipes!$A$5:$A$204,0)),""))</f>
        <v>0</v>
      </c>
      <c r="P822" s="30">
        <f>IF(J822="","",IF(K822="each",J822,J822/100))</f>
        <v>0</v>
      </c>
      <c r="Q822" s="30">
        <f>IFERROR(IF(P822="","",P822*INDEX(Ingredients!$P$5:$P$304,MATCH(D822,Ingredients!$B$5:$B$304,0))),"")</f>
        <v>0</v>
      </c>
      <c r="R822" s="45">
        <f>IFERROR(IF(P822="","",P822*INDEX(Ingredients!$Q$5:$Q$304,MATCH(D822,Ingredients!$B$5:$B$304,0))),"")</f>
        <v>0</v>
      </c>
      <c r="S822" s="45">
        <f>IFERROR(IF(P822="","",P822*INDEX(Ingredients!$R$5:$R$304,MATCH(D822,Ingredients!$B$5:$B$304,0))),"")</f>
        <v>0</v>
      </c>
      <c r="T822" s="45">
        <f>IFERROR(IF(P822="","",P822*INDEX(Ingredients!$S$5:$S$304,MATCH(D822,Ingredients!$B$5:$B$304,0))),"")</f>
        <v>0</v>
      </c>
      <c r="U822" s="45">
        <f>IFERROR(IF(P822="","",P822*INDEX(Ingredients!$T$5:$T$304,MATCH(D822,Ingredients!$B$5:$B$304,0))),"")</f>
        <v>0</v>
      </c>
      <c r="V822" s="17">
        <f>IF(D822="","",IFERROR(INDEX(Ingredients!$W$5:$W$304,MATCH(D822,Ingredients!$B$5:$B$304,0)),"Add to Ingredients"))</f>
        <v>0</v>
      </c>
      <c r="W822" s="17">
        <f>IF(D822="","",IFERROR(INDEX(Ingredients!$C$5:$C$304,MATCH(D822,Ingredients!$B$5:$B$304,0)),"Add to Ingredients"))</f>
        <v>0</v>
      </c>
      <c r="X822" s="45">
        <f>IFERROR(INDEX(Recipes!$AT$5:$AT$204,MATCH(B822,Recipes!$A$5:$A$204,0)),0)</f>
        <v>0</v>
      </c>
      <c r="Y822" s="45">
        <f>IF(OR(J822="",X822=0),"",J822*X822)</f>
        <v>0</v>
      </c>
      <c r="Z822" s="17">
        <f>IF(D822="","",B822&amp;"#"&amp;COUNTIFS($B$5:B822,B822))</f>
        <v>0</v>
      </c>
      <c r="AA822" s="17">
        <f>IF(D822="","",B822&amp;"|"&amp;D822)</f>
        <v>0</v>
      </c>
      <c r="AB822" s="31">
        <f>IF(D822="","",IF(B822="","Add - which recipe?",IF(COUNTIFS(Ingredients!$B$5:$B$304,D822)=0,"Missing - not in the Ingredients tab",IF(E822="","Add - no quantity",IF(F822="","Add - no unit",IF(K822&lt;&gt;L822,"Check - recipe in "&amp;K822&amp;", priced in "&amp;L822,IF(COUNTIFS($AA$5:$AA$1204,AA822)&gt;1,"Duplicate - same ingredient twice","OK")))))))</f>
        <v>0</v>
      </c>
    </row>
    <row r="823" spans="1:28">
      <c r="A823" s="39">
        <f>IF(D823="","","RL-"&amp;TEXT(ROW()-4,"0000"))</f>
        <v>0</v>
      </c>
      <c r="C823" s="17">
        <f>IF(B823="","",IFERROR(INDEX(Recipes!$B$5:$B$204,MATCH(B823,Recipes!$A$5:$A$204,0)),"Not found"))</f>
        <v>0</v>
      </c>
      <c r="J823" s="45">
        <f>IF(E823="","",IFERROR(E823*INDEX(UnitFactors,MATCH(F823,UnitNames,0)),""))</f>
        <v>0</v>
      </c>
      <c r="K823" s="17">
        <f>IF(F823="","",IFERROR(INDEX(UnitBases,MATCH(F823,UnitNames,0)),"?"))</f>
        <v>0</v>
      </c>
      <c r="L823" s="17">
        <f>IF(D823="","",IFERROR(INDEX(Ingredients!$G$5:$G$304,MATCH(D823,Ingredients!$B$5:$B$304,0)),"Add to Ingredients"))</f>
        <v>0</v>
      </c>
      <c r="M823" s="25">
        <f>IF(D823="","",IFERROR(INDEX(Ingredients!$J$5:$J$304,MATCH(D823,Ingredients!$B$5:$B$304,0)),"Add to Ingredients"))</f>
        <v>0</v>
      </c>
      <c r="N823" s="25">
        <f>IF(OR(J823="",M823="",NOT(ISNUMBER(M823))),"",IF(K823&lt;&gt;L823,"",J823*M823))</f>
        <v>0</v>
      </c>
      <c r="O823" s="25">
        <f>IF(N823="","",IFERROR(N823/INDEX(Recipes!$G$5:$G$204,MATCH(B823,Recipes!$A$5:$A$204,0)),""))</f>
        <v>0</v>
      </c>
      <c r="P823" s="30">
        <f>IF(J823="","",IF(K823="each",J823,J823/100))</f>
        <v>0</v>
      </c>
      <c r="Q823" s="30">
        <f>IFERROR(IF(P823="","",P823*INDEX(Ingredients!$P$5:$P$304,MATCH(D823,Ingredients!$B$5:$B$304,0))),"")</f>
        <v>0</v>
      </c>
      <c r="R823" s="45">
        <f>IFERROR(IF(P823="","",P823*INDEX(Ingredients!$Q$5:$Q$304,MATCH(D823,Ingredients!$B$5:$B$304,0))),"")</f>
        <v>0</v>
      </c>
      <c r="S823" s="45">
        <f>IFERROR(IF(P823="","",P823*INDEX(Ingredients!$R$5:$R$304,MATCH(D823,Ingredients!$B$5:$B$304,0))),"")</f>
        <v>0</v>
      </c>
      <c r="T823" s="45">
        <f>IFERROR(IF(P823="","",P823*INDEX(Ingredients!$S$5:$S$304,MATCH(D823,Ingredients!$B$5:$B$304,0))),"")</f>
        <v>0</v>
      </c>
      <c r="U823" s="45">
        <f>IFERROR(IF(P823="","",P823*INDEX(Ingredients!$T$5:$T$304,MATCH(D823,Ingredients!$B$5:$B$304,0))),"")</f>
        <v>0</v>
      </c>
      <c r="V823" s="17">
        <f>IF(D823="","",IFERROR(INDEX(Ingredients!$W$5:$W$304,MATCH(D823,Ingredients!$B$5:$B$304,0)),"Add to Ingredients"))</f>
        <v>0</v>
      </c>
      <c r="W823" s="17">
        <f>IF(D823="","",IFERROR(INDEX(Ingredients!$C$5:$C$304,MATCH(D823,Ingredients!$B$5:$B$304,0)),"Add to Ingredients"))</f>
        <v>0</v>
      </c>
      <c r="X823" s="45">
        <f>IFERROR(INDEX(Recipes!$AT$5:$AT$204,MATCH(B823,Recipes!$A$5:$A$204,0)),0)</f>
        <v>0</v>
      </c>
      <c r="Y823" s="45">
        <f>IF(OR(J823="",X823=0),"",J823*X823)</f>
        <v>0</v>
      </c>
      <c r="Z823" s="17">
        <f>IF(D823="","",B823&amp;"#"&amp;COUNTIFS($B$5:B823,B823))</f>
        <v>0</v>
      </c>
      <c r="AA823" s="17">
        <f>IF(D823="","",B823&amp;"|"&amp;D823)</f>
        <v>0</v>
      </c>
      <c r="AB823" s="31">
        <f>IF(D823="","",IF(B823="","Add - which recipe?",IF(COUNTIFS(Ingredients!$B$5:$B$304,D823)=0,"Missing - not in the Ingredients tab",IF(E823="","Add - no quantity",IF(F823="","Add - no unit",IF(K823&lt;&gt;L823,"Check - recipe in "&amp;K823&amp;", priced in "&amp;L823,IF(COUNTIFS($AA$5:$AA$1204,AA823)&gt;1,"Duplicate - same ingredient twice","OK")))))))</f>
        <v>0</v>
      </c>
    </row>
    <row r="824" spans="1:28">
      <c r="A824" s="39">
        <f>IF(D824="","","RL-"&amp;TEXT(ROW()-4,"0000"))</f>
        <v>0</v>
      </c>
      <c r="C824" s="17">
        <f>IF(B824="","",IFERROR(INDEX(Recipes!$B$5:$B$204,MATCH(B824,Recipes!$A$5:$A$204,0)),"Not found"))</f>
        <v>0</v>
      </c>
      <c r="J824" s="45">
        <f>IF(E824="","",IFERROR(E824*INDEX(UnitFactors,MATCH(F824,UnitNames,0)),""))</f>
        <v>0</v>
      </c>
      <c r="K824" s="17">
        <f>IF(F824="","",IFERROR(INDEX(UnitBases,MATCH(F824,UnitNames,0)),"?"))</f>
        <v>0</v>
      </c>
      <c r="L824" s="17">
        <f>IF(D824="","",IFERROR(INDEX(Ingredients!$G$5:$G$304,MATCH(D824,Ingredients!$B$5:$B$304,0)),"Add to Ingredients"))</f>
        <v>0</v>
      </c>
      <c r="M824" s="25">
        <f>IF(D824="","",IFERROR(INDEX(Ingredients!$J$5:$J$304,MATCH(D824,Ingredients!$B$5:$B$304,0)),"Add to Ingredients"))</f>
        <v>0</v>
      </c>
      <c r="N824" s="25">
        <f>IF(OR(J824="",M824="",NOT(ISNUMBER(M824))),"",IF(K824&lt;&gt;L824,"",J824*M824))</f>
        <v>0</v>
      </c>
      <c r="O824" s="25">
        <f>IF(N824="","",IFERROR(N824/INDEX(Recipes!$G$5:$G$204,MATCH(B824,Recipes!$A$5:$A$204,0)),""))</f>
        <v>0</v>
      </c>
      <c r="P824" s="30">
        <f>IF(J824="","",IF(K824="each",J824,J824/100))</f>
        <v>0</v>
      </c>
      <c r="Q824" s="30">
        <f>IFERROR(IF(P824="","",P824*INDEX(Ingredients!$P$5:$P$304,MATCH(D824,Ingredients!$B$5:$B$304,0))),"")</f>
        <v>0</v>
      </c>
      <c r="R824" s="45">
        <f>IFERROR(IF(P824="","",P824*INDEX(Ingredients!$Q$5:$Q$304,MATCH(D824,Ingredients!$B$5:$B$304,0))),"")</f>
        <v>0</v>
      </c>
      <c r="S824" s="45">
        <f>IFERROR(IF(P824="","",P824*INDEX(Ingredients!$R$5:$R$304,MATCH(D824,Ingredients!$B$5:$B$304,0))),"")</f>
        <v>0</v>
      </c>
      <c r="T824" s="45">
        <f>IFERROR(IF(P824="","",P824*INDEX(Ingredients!$S$5:$S$304,MATCH(D824,Ingredients!$B$5:$B$304,0))),"")</f>
        <v>0</v>
      </c>
      <c r="U824" s="45">
        <f>IFERROR(IF(P824="","",P824*INDEX(Ingredients!$T$5:$T$304,MATCH(D824,Ingredients!$B$5:$B$304,0))),"")</f>
        <v>0</v>
      </c>
      <c r="V824" s="17">
        <f>IF(D824="","",IFERROR(INDEX(Ingredients!$W$5:$W$304,MATCH(D824,Ingredients!$B$5:$B$304,0)),"Add to Ingredients"))</f>
        <v>0</v>
      </c>
      <c r="W824" s="17">
        <f>IF(D824="","",IFERROR(INDEX(Ingredients!$C$5:$C$304,MATCH(D824,Ingredients!$B$5:$B$304,0)),"Add to Ingredients"))</f>
        <v>0</v>
      </c>
      <c r="X824" s="45">
        <f>IFERROR(INDEX(Recipes!$AT$5:$AT$204,MATCH(B824,Recipes!$A$5:$A$204,0)),0)</f>
        <v>0</v>
      </c>
      <c r="Y824" s="45">
        <f>IF(OR(J824="",X824=0),"",J824*X824)</f>
        <v>0</v>
      </c>
      <c r="Z824" s="17">
        <f>IF(D824="","",B824&amp;"#"&amp;COUNTIFS($B$5:B824,B824))</f>
        <v>0</v>
      </c>
      <c r="AA824" s="17">
        <f>IF(D824="","",B824&amp;"|"&amp;D824)</f>
        <v>0</v>
      </c>
      <c r="AB824" s="31">
        <f>IF(D824="","",IF(B824="","Add - which recipe?",IF(COUNTIFS(Ingredients!$B$5:$B$304,D824)=0,"Missing - not in the Ingredients tab",IF(E824="","Add - no quantity",IF(F824="","Add - no unit",IF(K824&lt;&gt;L824,"Check - recipe in "&amp;K824&amp;", priced in "&amp;L824,IF(COUNTIFS($AA$5:$AA$1204,AA824)&gt;1,"Duplicate - same ingredient twice","OK")))))))</f>
        <v>0</v>
      </c>
    </row>
    <row r="825" spans="1:28">
      <c r="A825" s="39">
        <f>IF(D825="","","RL-"&amp;TEXT(ROW()-4,"0000"))</f>
        <v>0</v>
      </c>
      <c r="C825" s="17">
        <f>IF(B825="","",IFERROR(INDEX(Recipes!$B$5:$B$204,MATCH(B825,Recipes!$A$5:$A$204,0)),"Not found"))</f>
        <v>0</v>
      </c>
      <c r="J825" s="45">
        <f>IF(E825="","",IFERROR(E825*INDEX(UnitFactors,MATCH(F825,UnitNames,0)),""))</f>
        <v>0</v>
      </c>
      <c r="K825" s="17">
        <f>IF(F825="","",IFERROR(INDEX(UnitBases,MATCH(F825,UnitNames,0)),"?"))</f>
        <v>0</v>
      </c>
      <c r="L825" s="17">
        <f>IF(D825="","",IFERROR(INDEX(Ingredients!$G$5:$G$304,MATCH(D825,Ingredients!$B$5:$B$304,0)),"Add to Ingredients"))</f>
        <v>0</v>
      </c>
      <c r="M825" s="25">
        <f>IF(D825="","",IFERROR(INDEX(Ingredients!$J$5:$J$304,MATCH(D825,Ingredients!$B$5:$B$304,0)),"Add to Ingredients"))</f>
        <v>0</v>
      </c>
      <c r="N825" s="25">
        <f>IF(OR(J825="",M825="",NOT(ISNUMBER(M825))),"",IF(K825&lt;&gt;L825,"",J825*M825))</f>
        <v>0</v>
      </c>
      <c r="O825" s="25">
        <f>IF(N825="","",IFERROR(N825/INDEX(Recipes!$G$5:$G$204,MATCH(B825,Recipes!$A$5:$A$204,0)),""))</f>
        <v>0</v>
      </c>
      <c r="P825" s="30">
        <f>IF(J825="","",IF(K825="each",J825,J825/100))</f>
        <v>0</v>
      </c>
      <c r="Q825" s="30">
        <f>IFERROR(IF(P825="","",P825*INDEX(Ingredients!$P$5:$P$304,MATCH(D825,Ingredients!$B$5:$B$304,0))),"")</f>
        <v>0</v>
      </c>
      <c r="R825" s="45">
        <f>IFERROR(IF(P825="","",P825*INDEX(Ingredients!$Q$5:$Q$304,MATCH(D825,Ingredients!$B$5:$B$304,0))),"")</f>
        <v>0</v>
      </c>
      <c r="S825" s="45">
        <f>IFERROR(IF(P825="","",P825*INDEX(Ingredients!$R$5:$R$304,MATCH(D825,Ingredients!$B$5:$B$304,0))),"")</f>
        <v>0</v>
      </c>
      <c r="T825" s="45">
        <f>IFERROR(IF(P825="","",P825*INDEX(Ingredients!$S$5:$S$304,MATCH(D825,Ingredients!$B$5:$B$304,0))),"")</f>
        <v>0</v>
      </c>
      <c r="U825" s="45">
        <f>IFERROR(IF(P825="","",P825*INDEX(Ingredients!$T$5:$T$304,MATCH(D825,Ingredients!$B$5:$B$304,0))),"")</f>
        <v>0</v>
      </c>
      <c r="V825" s="17">
        <f>IF(D825="","",IFERROR(INDEX(Ingredients!$W$5:$W$304,MATCH(D825,Ingredients!$B$5:$B$304,0)),"Add to Ingredients"))</f>
        <v>0</v>
      </c>
      <c r="W825" s="17">
        <f>IF(D825="","",IFERROR(INDEX(Ingredients!$C$5:$C$304,MATCH(D825,Ingredients!$B$5:$B$304,0)),"Add to Ingredients"))</f>
        <v>0</v>
      </c>
      <c r="X825" s="45">
        <f>IFERROR(INDEX(Recipes!$AT$5:$AT$204,MATCH(B825,Recipes!$A$5:$A$204,0)),0)</f>
        <v>0</v>
      </c>
      <c r="Y825" s="45">
        <f>IF(OR(J825="",X825=0),"",J825*X825)</f>
        <v>0</v>
      </c>
      <c r="Z825" s="17">
        <f>IF(D825="","",B825&amp;"#"&amp;COUNTIFS($B$5:B825,B825))</f>
        <v>0</v>
      </c>
      <c r="AA825" s="17">
        <f>IF(D825="","",B825&amp;"|"&amp;D825)</f>
        <v>0</v>
      </c>
      <c r="AB825" s="31">
        <f>IF(D825="","",IF(B825="","Add - which recipe?",IF(COUNTIFS(Ingredients!$B$5:$B$304,D825)=0,"Missing - not in the Ingredients tab",IF(E825="","Add - no quantity",IF(F825="","Add - no unit",IF(K825&lt;&gt;L825,"Check - recipe in "&amp;K825&amp;", priced in "&amp;L825,IF(COUNTIFS($AA$5:$AA$1204,AA825)&gt;1,"Duplicate - same ingredient twice","OK")))))))</f>
        <v>0</v>
      </c>
    </row>
    <row r="826" spans="1:28">
      <c r="A826" s="39">
        <f>IF(D826="","","RL-"&amp;TEXT(ROW()-4,"0000"))</f>
        <v>0</v>
      </c>
      <c r="C826" s="17">
        <f>IF(B826="","",IFERROR(INDEX(Recipes!$B$5:$B$204,MATCH(B826,Recipes!$A$5:$A$204,0)),"Not found"))</f>
        <v>0</v>
      </c>
      <c r="J826" s="45">
        <f>IF(E826="","",IFERROR(E826*INDEX(UnitFactors,MATCH(F826,UnitNames,0)),""))</f>
        <v>0</v>
      </c>
      <c r="K826" s="17">
        <f>IF(F826="","",IFERROR(INDEX(UnitBases,MATCH(F826,UnitNames,0)),"?"))</f>
        <v>0</v>
      </c>
      <c r="L826" s="17">
        <f>IF(D826="","",IFERROR(INDEX(Ingredients!$G$5:$G$304,MATCH(D826,Ingredients!$B$5:$B$304,0)),"Add to Ingredients"))</f>
        <v>0</v>
      </c>
      <c r="M826" s="25">
        <f>IF(D826="","",IFERROR(INDEX(Ingredients!$J$5:$J$304,MATCH(D826,Ingredients!$B$5:$B$304,0)),"Add to Ingredients"))</f>
        <v>0</v>
      </c>
      <c r="N826" s="25">
        <f>IF(OR(J826="",M826="",NOT(ISNUMBER(M826))),"",IF(K826&lt;&gt;L826,"",J826*M826))</f>
        <v>0</v>
      </c>
      <c r="O826" s="25">
        <f>IF(N826="","",IFERROR(N826/INDEX(Recipes!$G$5:$G$204,MATCH(B826,Recipes!$A$5:$A$204,0)),""))</f>
        <v>0</v>
      </c>
      <c r="P826" s="30">
        <f>IF(J826="","",IF(K826="each",J826,J826/100))</f>
        <v>0</v>
      </c>
      <c r="Q826" s="30">
        <f>IFERROR(IF(P826="","",P826*INDEX(Ingredients!$P$5:$P$304,MATCH(D826,Ingredients!$B$5:$B$304,0))),"")</f>
        <v>0</v>
      </c>
      <c r="R826" s="45">
        <f>IFERROR(IF(P826="","",P826*INDEX(Ingredients!$Q$5:$Q$304,MATCH(D826,Ingredients!$B$5:$B$304,0))),"")</f>
        <v>0</v>
      </c>
      <c r="S826" s="45">
        <f>IFERROR(IF(P826="","",P826*INDEX(Ingredients!$R$5:$R$304,MATCH(D826,Ingredients!$B$5:$B$304,0))),"")</f>
        <v>0</v>
      </c>
      <c r="T826" s="45">
        <f>IFERROR(IF(P826="","",P826*INDEX(Ingredients!$S$5:$S$304,MATCH(D826,Ingredients!$B$5:$B$304,0))),"")</f>
        <v>0</v>
      </c>
      <c r="U826" s="45">
        <f>IFERROR(IF(P826="","",P826*INDEX(Ingredients!$T$5:$T$304,MATCH(D826,Ingredients!$B$5:$B$304,0))),"")</f>
        <v>0</v>
      </c>
      <c r="V826" s="17">
        <f>IF(D826="","",IFERROR(INDEX(Ingredients!$W$5:$W$304,MATCH(D826,Ingredients!$B$5:$B$304,0)),"Add to Ingredients"))</f>
        <v>0</v>
      </c>
      <c r="W826" s="17">
        <f>IF(D826="","",IFERROR(INDEX(Ingredients!$C$5:$C$304,MATCH(D826,Ingredients!$B$5:$B$304,0)),"Add to Ingredients"))</f>
        <v>0</v>
      </c>
      <c r="X826" s="45">
        <f>IFERROR(INDEX(Recipes!$AT$5:$AT$204,MATCH(B826,Recipes!$A$5:$A$204,0)),0)</f>
        <v>0</v>
      </c>
      <c r="Y826" s="45">
        <f>IF(OR(J826="",X826=0),"",J826*X826)</f>
        <v>0</v>
      </c>
      <c r="Z826" s="17">
        <f>IF(D826="","",B826&amp;"#"&amp;COUNTIFS($B$5:B826,B826))</f>
        <v>0</v>
      </c>
      <c r="AA826" s="17">
        <f>IF(D826="","",B826&amp;"|"&amp;D826)</f>
        <v>0</v>
      </c>
      <c r="AB826" s="31">
        <f>IF(D826="","",IF(B826="","Add - which recipe?",IF(COUNTIFS(Ingredients!$B$5:$B$304,D826)=0,"Missing - not in the Ingredients tab",IF(E826="","Add - no quantity",IF(F826="","Add - no unit",IF(K826&lt;&gt;L826,"Check - recipe in "&amp;K826&amp;", priced in "&amp;L826,IF(COUNTIFS($AA$5:$AA$1204,AA826)&gt;1,"Duplicate - same ingredient twice","OK")))))))</f>
        <v>0</v>
      </c>
    </row>
    <row r="827" spans="1:28">
      <c r="A827" s="39">
        <f>IF(D827="","","RL-"&amp;TEXT(ROW()-4,"0000"))</f>
        <v>0</v>
      </c>
      <c r="C827" s="17">
        <f>IF(B827="","",IFERROR(INDEX(Recipes!$B$5:$B$204,MATCH(B827,Recipes!$A$5:$A$204,0)),"Not found"))</f>
        <v>0</v>
      </c>
      <c r="J827" s="45">
        <f>IF(E827="","",IFERROR(E827*INDEX(UnitFactors,MATCH(F827,UnitNames,0)),""))</f>
        <v>0</v>
      </c>
      <c r="K827" s="17">
        <f>IF(F827="","",IFERROR(INDEX(UnitBases,MATCH(F827,UnitNames,0)),"?"))</f>
        <v>0</v>
      </c>
      <c r="L827" s="17">
        <f>IF(D827="","",IFERROR(INDEX(Ingredients!$G$5:$G$304,MATCH(D827,Ingredients!$B$5:$B$304,0)),"Add to Ingredients"))</f>
        <v>0</v>
      </c>
      <c r="M827" s="25">
        <f>IF(D827="","",IFERROR(INDEX(Ingredients!$J$5:$J$304,MATCH(D827,Ingredients!$B$5:$B$304,0)),"Add to Ingredients"))</f>
        <v>0</v>
      </c>
      <c r="N827" s="25">
        <f>IF(OR(J827="",M827="",NOT(ISNUMBER(M827))),"",IF(K827&lt;&gt;L827,"",J827*M827))</f>
        <v>0</v>
      </c>
      <c r="O827" s="25">
        <f>IF(N827="","",IFERROR(N827/INDEX(Recipes!$G$5:$G$204,MATCH(B827,Recipes!$A$5:$A$204,0)),""))</f>
        <v>0</v>
      </c>
      <c r="P827" s="30">
        <f>IF(J827="","",IF(K827="each",J827,J827/100))</f>
        <v>0</v>
      </c>
      <c r="Q827" s="30">
        <f>IFERROR(IF(P827="","",P827*INDEX(Ingredients!$P$5:$P$304,MATCH(D827,Ingredients!$B$5:$B$304,0))),"")</f>
        <v>0</v>
      </c>
      <c r="R827" s="45">
        <f>IFERROR(IF(P827="","",P827*INDEX(Ingredients!$Q$5:$Q$304,MATCH(D827,Ingredients!$B$5:$B$304,0))),"")</f>
        <v>0</v>
      </c>
      <c r="S827" s="45">
        <f>IFERROR(IF(P827="","",P827*INDEX(Ingredients!$R$5:$R$304,MATCH(D827,Ingredients!$B$5:$B$304,0))),"")</f>
        <v>0</v>
      </c>
      <c r="T827" s="45">
        <f>IFERROR(IF(P827="","",P827*INDEX(Ingredients!$S$5:$S$304,MATCH(D827,Ingredients!$B$5:$B$304,0))),"")</f>
        <v>0</v>
      </c>
      <c r="U827" s="45">
        <f>IFERROR(IF(P827="","",P827*INDEX(Ingredients!$T$5:$T$304,MATCH(D827,Ingredients!$B$5:$B$304,0))),"")</f>
        <v>0</v>
      </c>
      <c r="V827" s="17">
        <f>IF(D827="","",IFERROR(INDEX(Ingredients!$W$5:$W$304,MATCH(D827,Ingredients!$B$5:$B$304,0)),"Add to Ingredients"))</f>
        <v>0</v>
      </c>
      <c r="W827" s="17">
        <f>IF(D827="","",IFERROR(INDEX(Ingredients!$C$5:$C$304,MATCH(D827,Ingredients!$B$5:$B$304,0)),"Add to Ingredients"))</f>
        <v>0</v>
      </c>
      <c r="X827" s="45">
        <f>IFERROR(INDEX(Recipes!$AT$5:$AT$204,MATCH(B827,Recipes!$A$5:$A$204,0)),0)</f>
        <v>0</v>
      </c>
      <c r="Y827" s="45">
        <f>IF(OR(J827="",X827=0),"",J827*X827)</f>
        <v>0</v>
      </c>
      <c r="Z827" s="17">
        <f>IF(D827="","",B827&amp;"#"&amp;COUNTIFS($B$5:B827,B827))</f>
        <v>0</v>
      </c>
      <c r="AA827" s="17">
        <f>IF(D827="","",B827&amp;"|"&amp;D827)</f>
        <v>0</v>
      </c>
      <c r="AB827" s="31">
        <f>IF(D827="","",IF(B827="","Add - which recipe?",IF(COUNTIFS(Ingredients!$B$5:$B$304,D827)=0,"Missing - not in the Ingredients tab",IF(E827="","Add - no quantity",IF(F827="","Add - no unit",IF(K827&lt;&gt;L827,"Check - recipe in "&amp;K827&amp;", priced in "&amp;L827,IF(COUNTIFS($AA$5:$AA$1204,AA827)&gt;1,"Duplicate - same ingredient twice","OK")))))))</f>
        <v>0</v>
      </c>
    </row>
    <row r="828" spans="1:28">
      <c r="A828" s="39">
        <f>IF(D828="","","RL-"&amp;TEXT(ROW()-4,"0000"))</f>
        <v>0</v>
      </c>
      <c r="C828" s="17">
        <f>IF(B828="","",IFERROR(INDEX(Recipes!$B$5:$B$204,MATCH(B828,Recipes!$A$5:$A$204,0)),"Not found"))</f>
        <v>0</v>
      </c>
      <c r="J828" s="45">
        <f>IF(E828="","",IFERROR(E828*INDEX(UnitFactors,MATCH(F828,UnitNames,0)),""))</f>
        <v>0</v>
      </c>
      <c r="K828" s="17">
        <f>IF(F828="","",IFERROR(INDEX(UnitBases,MATCH(F828,UnitNames,0)),"?"))</f>
        <v>0</v>
      </c>
      <c r="L828" s="17">
        <f>IF(D828="","",IFERROR(INDEX(Ingredients!$G$5:$G$304,MATCH(D828,Ingredients!$B$5:$B$304,0)),"Add to Ingredients"))</f>
        <v>0</v>
      </c>
      <c r="M828" s="25">
        <f>IF(D828="","",IFERROR(INDEX(Ingredients!$J$5:$J$304,MATCH(D828,Ingredients!$B$5:$B$304,0)),"Add to Ingredients"))</f>
        <v>0</v>
      </c>
      <c r="N828" s="25">
        <f>IF(OR(J828="",M828="",NOT(ISNUMBER(M828))),"",IF(K828&lt;&gt;L828,"",J828*M828))</f>
        <v>0</v>
      </c>
      <c r="O828" s="25">
        <f>IF(N828="","",IFERROR(N828/INDEX(Recipes!$G$5:$G$204,MATCH(B828,Recipes!$A$5:$A$204,0)),""))</f>
        <v>0</v>
      </c>
      <c r="P828" s="30">
        <f>IF(J828="","",IF(K828="each",J828,J828/100))</f>
        <v>0</v>
      </c>
      <c r="Q828" s="30">
        <f>IFERROR(IF(P828="","",P828*INDEX(Ingredients!$P$5:$P$304,MATCH(D828,Ingredients!$B$5:$B$304,0))),"")</f>
        <v>0</v>
      </c>
      <c r="R828" s="45">
        <f>IFERROR(IF(P828="","",P828*INDEX(Ingredients!$Q$5:$Q$304,MATCH(D828,Ingredients!$B$5:$B$304,0))),"")</f>
        <v>0</v>
      </c>
      <c r="S828" s="45">
        <f>IFERROR(IF(P828="","",P828*INDEX(Ingredients!$R$5:$R$304,MATCH(D828,Ingredients!$B$5:$B$304,0))),"")</f>
        <v>0</v>
      </c>
      <c r="T828" s="45">
        <f>IFERROR(IF(P828="","",P828*INDEX(Ingredients!$S$5:$S$304,MATCH(D828,Ingredients!$B$5:$B$304,0))),"")</f>
        <v>0</v>
      </c>
      <c r="U828" s="45">
        <f>IFERROR(IF(P828="","",P828*INDEX(Ingredients!$T$5:$T$304,MATCH(D828,Ingredients!$B$5:$B$304,0))),"")</f>
        <v>0</v>
      </c>
      <c r="V828" s="17">
        <f>IF(D828="","",IFERROR(INDEX(Ingredients!$W$5:$W$304,MATCH(D828,Ingredients!$B$5:$B$304,0)),"Add to Ingredients"))</f>
        <v>0</v>
      </c>
      <c r="W828" s="17">
        <f>IF(D828="","",IFERROR(INDEX(Ingredients!$C$5:$C$304,MATCH(D828,Ingredients!$B$5:$B$304,0)),"Add to Ingredients"))</f>
        <v>0</v>
      </c>
      <c r="X828" s="45">
        <f>IFERROR(INDEX(Recipes!$AT$5:$AT$204,MATCH(B828,Recipes!$A$5:$A$204,0)),0)</f>
        <v>0</v>
      </c>
      <c r="Y828" s="45">
        <f>IF(OR(J828="",X828=0),"",J828*X828)</f>
        <v>0</v>
      </c>
      <c r="Z828" s="17">
        <f>IF(D828="","",B828&amp;"#"&amp;COUNTIFS($B$5:B828,B828))</f>
        <v>0</v>
      </c>
      <c r="AA828" s="17">
        <f>IF(D828="","",B828&amp;"|"&amp;D828)</f>
        <v>0</v>
      </c>
      <c r="AB828" s="31">
        <f>IF(D828="","",IF(B828="","Add - which recipe?",IF(COUNTIFS(Ingredients!$B$5:$B$304,D828)=0,"Missing - not in the Ingredients tab",IF(E828="","Add - no quantity",IF(F828="","Add - no unit",IF(K828&lt;&gt;L828,"Check - recipe in "&amp;K828&amp;", priced in "&amp;L828,IF(COUNTIFS($AA$5:$AA$1204,AA828)&gt;1,"Duplicate - same ingredient twice","OK")))))))</f>
        <v>0</v>
      </c>
    </row>
    <row r="829" spans="1:28">
      <c r="A829" s="39">
        <f>IF(D829="","","RL-"&amp;TEXT(ROW()-4,"0000"))</f>
        <v>0</v>
      </c>
      <c r="C829" s="17">
        <f>IF(B829="","",IFERROR(INDEX(Recipes!$B$5:$B$204,MATCH(B829,Recipes!$A$5:$A$204,0)),"Not found"))</f>
        <v>0</v>
      </c>
      <c r="J829" s="45">
        <f>IF(E829="","",IFERROR(E829*INDEX(UnitFactors,MATCH(F829,UnitNames,0)),""))</f>
        <v>0</v>
      </c>
      <c r="K829" s="17">
        <f>IF(F829="","",IFERROR(INDEX(UnitBases,MATCH(F829,UnitNames,0)),"?"))</f>
        <v>0</v>
      </c>
      <c r="L829" s="17">
        <f>IF(D829="","",IFERROR(INDEX(Ingredients!$G$5:$G$304,MATCH(D829,Ingredients!$B$5:$B$304,0)),"Add to Ingredients"))</f>
        <v>0</v>
      </c>
      <c r="M829" s="25">
        <f>IF(D829="","",IFERROR(INDEX(Ingredients!$J$5:$J$304,MATCH(D829,Ingredients!$B$5:$B$304,0)),"Add to Ingredients"))</f>
        <v>0</v>
      </c>
      <c r="N829" s="25">
        <f>IF(OR(J829="",M829="",NOT(ISNUMBER(M829))),"",IF(K829&lt;&gt;L829,"",J829*M829))</f>
        <v>0</v>
      </c>
      <c r="O829" s="25">
        <f>IF(N829="","",IFERROR(N829/INDEX(Recipes!$G$5:$G$204,MATCH(B829,Recipes!$A$5:$A$204,0)),""))</f>
        <v>0</v>
      </c>
      <c r="P829" s="30">
        <f>IF(J829="","",IF(K829="each",J829,J829/100))</f>
        <v>0</v>
      </c>
      <c r="Q829" s="30">
        <f>IFERROR(IF(P829="","",P829*INDEX(Ingredients!$P$5:$P$304,MATCH(D829,Ingredients!$B$5:$B$304,0))),"")</f>
        <v>0</v>
      </c>
      <c r="R829" s="45">
        <f>IFERROR(IF(P829="","",P829*INDEX(Ingredients!$Q$5:$Q$304,MATCH(D829,Ingredients!$B$5:$B$304,0))),"")</f>
        <v>0</v>
      </c>
      <c r="S829" s="45">
        <f>IFERROR(IF(P829="","",P829*INDEX(Ingredients!$R$5:$R$304,MATCH(D829,Ingredients!$B$5:$B$304,0))),"")</f>
        <v>0</v>
      </c>
      <c r="T829" s="45">
        <f>IFERROR(IF(P829="","",P829*INDEX(Ingredients!$S$5:$S$304,MATCH(D829,Ingredients!$B$5:$B$304,0))),"")</f>
        <v>0</v>
      </c>
      <c r="U829" s="45">
        <f>IFERROR(IF(P829="","",P829*INDEX(Ingredients!$T$5:$T$304,MATCH(D829,Ingredients!$B$5:$B$304,0))),"")</f>
        <v>0</v>
      </c>
      <c r="V829" s="17">
        <f>IF(D829="","",IFERROR(INDEX(Ingredients!$W$5:$W$304,MATCH(D829,Ingredients!$B$5:$B$304,0)),"Add to Ingredients"))</f>
        <v>0</v>
      </c>
      <c r="W829" s="17">
        <f>IF(D829="","",IFERROR(INDEX(Ingredients!$C$5:$C$304,MATCH(D829,Ingredients!$B$5:$B$304,0)),"Add to Ingredients"))</f>
        <v>0</v>
      </c>
      <c r="X829" s="45">
        <f>IFERROR(INDEX(Recipes!$AT$5:$AT$204,MATCH(B829,Recipes!$A$5:$A$204,0)),0)</f>
        <v>0</v>
      </c>
      <c r="Y829" s="45">
        <f>IF(OR(J829="",X829=0),"",J829*X829)</f>
        <v>0</v>
      </c>
      <c r="Z829" s="17">
        <f>IF(D829="","",B829&amp;"#"&amp;COUNTIFS($B$5:B829,B829))</f>
        <v>0</v>
      </c>
      <c r="AA829" s="17">
        <f>IF(D829="","",B829&amp;"|"&amp;D829)</f>
        <v>0</v>
      </c>
      <c r="AB829" s="31">
        <f>IF(D829="","",IF(B829="","Add - which recipe?",IF(COUNTIFS(Ingredients!$B$5:$B$304,D829)=0,"Missing - not in the Ingredients tab",IF(E829="","Add - no quantity",IF(F829="","Add - no unit",IF(K829&lt;&gt;L829,"Check - recipe in "&amp;K829&amp;", priced in "&amp;L829,IF(COUNTIFS($AA$5:$AA$1204,AA829)&gt;1,"Duplicate - same ingredient twice","OK")))))))</f>
        <v>0</v>
      </c>
    </row>
    <row r="830" spans="1:28">
      <c r="A830" s="39">
        <f>IF(D830="","","RL-"&amp;TEXT(ROW()-4,"0000"))</f>
        <v>0</v>
      </c>
      <c r="C830" s="17">
        <f>IF(B830="","",IFERROR(INDEX(Recipes!$B$5:$B$204,MATCH(B830,Recipes!$A$5:$A$204,0)),"Not found"))</f>
        <v>0</v>
      </c>
      <c r="J830" s="45">
        <f>IF(E830="","",IFERROR(E830*INDEX(UnitFactors,MATCH(F830,UnitNames,0)),""))</f>
        <v>0</v>
      </c>
      <c r="K830" s="17">
        <f>IF(F830="","",IFERROR(INDEX(UnitBases,MATCH(F830,UnitNames,0)),"?"))</f>
        <v>0</v>
      </c>
      <c r="L830" s="17">
        <f>IF(D830="","",IFERROR(INDEX(Ingredients!$G$5:$G$304,MATCH(D830,Ingredients!$B$5:$B$304,0)),"Add to Ingredients"))</f>
        <v>0</v>
      </c>
      <c r="M830" s="25">
        <f>IF(D830="","",IFERROR(INDEX(Ingredients!$J$5:$J$304,MATCH(D830,Ingredients!$B$5:$B$304,0)),"Add to Ingredients"))</f>
        <v>0</v>
      </c>
      <c r="N830" s="25">
        <f>IF(OR(J830="",M830="",NOT(ISNUMBER(M830))),"",IF(K830&lt;&gt;L830,"",J830*M830))</f>
        <v>0</v>
      </c>
      <c r="O830" s="25">
        <f>IF(N830="","",IFERROR(N830/INDEX(Recipes!$G$5:$G$204,MATCH(B830,Recipes!$A$5:$A$204,0)),""))</f>
        <v>0</v>
      </c>
      <c r="P830" s="30">
        <f>IF(J830="","",IF(K830="each",J830,J830/100))</f>
        <v>0</v>
      </c>
      <c r="Q830" s="30">
        <f>IFERROR(IF(P830="","",P830*INDEX(Ingredients!$P$5:$P$304,MATCH(D830,Ingredients!$B$5:$B$304,0))),"")</f>
        <v>0</v>
      </c>
      <c r="R830" s="45">
        <f>IFERROR(IF(P830="","",P830*INDEX(Ingredients!$Q$5:$Q$304,MATCH(D830,Ingredients!$B$5:$B$304,0))),"")</f>
        <v>0</v>
      </c>
      <c r="S830" s="45">
        <f>IFERROR(IF(P830="","",P830*INDEX(Ingredients!$R$5:$R$304,MATCH(D830,Ingredients!$B$5:$B$304,0))),"")</f>
        <v>0</v>
      </c>
      <c r="T830" s="45">
        <f>IFERROR(IF(P830="","",P830*INDEX(Ingredients!$S$5:$S$304,MATCH(D830,Ingredients!$B$5:$B$304,0))),"")</f>
        <v>0</v>
      </c>
      <c r="U830" s="45">
        <f>IFERROR(IF(P830="","",P830*INDEX(Ingredients!$T$5:$T$304,MATCH(D830,Ingredients!$B$5:$B$304,0))),"")</f>
        <v>0</v>
      </c>
      <c r="V830" s="17">
        <f>IF(D830="","",IFERROR(INDEX(Ingredients!$W$5:$W$304,MATCH(D830,Ingredients!$B$5:$B$304,0)),"Add to Ingredients"))</f>
        <v>0</v>
      </c>
      <c r="W830" s="17">
        <f>IF(D830="","",IFERROR(INDEX(Ingredients!$C$5:$C$304,MATCH(D830,Ingredients!$B$5:$B$304,0)),"Add to Ingredients"))</f>
        <v>0</v>
      </c>
      <c r="X830" s="45">
        <f>IFERROR(INDEX(Recipes!$AT$5:$AT$204,MATCH(B830,Recipes!$A$5:$A$204,0)),0)</f>
        <v>0</v>
      </c>
      <c r="Y830" s="45">
        <f>IF(OR(J830="",X830=0),"",J830*X830)</f>
        <v>0</v>
      </c>
      <c r="Z830" s="17">
        <f>IF(D830="","",B830&amp;"#"&amp;COUNTIFS($B$5:B830,B830))</f>
        <v>0</v>
      </c>
      <c r="AA830" s="17">
        <f>IF(D830="","",B830&amp;"|"&amp;D830)</f>
        <v>0</v>
      </c>
      <c r="AB830" s="31">
        <f>IF(D830="","",IF(B830="","Add - which recipe?",IF(COUNTIFS(Ingredients!$B$5:$B$304,D830)=0,"Missing - not in the Ingredients tab",IF(E830="","Add - no quantity",IF(F830="","Add - no unit",IF(K830&lt;&gt;L830,"Check - recipe in "&amp;K830&amp;", priced in "&amp;L830,IF(COUNTIFS($AA$5:$AA$1204,AA830)&gt;1,"Duplicate - same ingredient twice","OK")))))))</f>
        <v>0</v>
      </c>
    </row>
    <row r="831" spans="1:28">
      <c r="A831" s="39">
        <f>IF(D831="","","RL-"&amp;TEXT(ROW()-4,"0000"))</f>
        <v>0</v>
      </c>
      <c r="C831" s="17">
        <f>IF(B831="","",IFERROR(INDEX(Recipes!$B$5:$B$204,MATCH(B831,Recipes!$A$5:$A$204,0)),"Not found"))</f>
        <v>0</v>
      </c>
      <c r="J831" s="45">
        <f>IF(E831="","",IFERROR(E831*INDEX(UnitFactors,MATCH(F831,UnitNames,0)),""))</f>
        <v>0</v>
      </c>
      <c r="K831" s="17">
        <f>IF(F831="","",IFERROR(INDEX(UnitBases,MATCH(F831,UnitNames,0)),"?"))</f>
        <v>0</v>
      </c>
      <c r="L831" s="17">
        <f>IF(D831="","",IFERROR(INDEX(Ingredients!$G$5:$G$304,MATCH(D831,Ingredients!$B$5:$B$304,0)),"Add to Ingredients"))</f>
        <v>0</v>
      </c>
      <c r="M831" s="25">
        <f>IF(D831="","",IFERROR(INDEX(Ingredients!$J$5:$J$304,MATCH(D831,Ingredients!$B$5:$B$304,0)),"Add to Ingredients"))</f>
        <v>0</v>
      </c>
      <c r="N831" s="25">
        <f>IF(OR(J831="",M831="",NOT(ISNUMBER(M831))),"",IF(K831&lt;&gt;L831,"",J831*M831))</f>
        <v>0</v>
      </c>
      <c r="O831" s="25">
        <f>IF(N831="","",IFERROR(N831/INDEX(Recipes!$G$5:$G$204,MATCH(B831,Recipes!$A$5:$A$204,0)),""))</f>
        <v>0</v>
      </c>
      <c r="P831" s="30">
        <f>IF(J831="","",IF(K831="each",J831,J831/100))</f>
        <v>0</v>
      </c>
      <c r="Q831" s="30">
        <f>IFERROR(IF(P831="","",P831*INDEX(Ingredients!$P$5:$P$304,MATCH(D831,Ingredients!$B$5:$B$304,0))),"")</f>
        <v>0</v>
      </c>
      <c r="R831" s="45">
        <f>IFERROR(IF(P831="","",P831*INDEX(Ingredients!$Q$5:$Q$304,MATCH(D831,Ingredients!$B$5:$B$304,0))),"")</f>
        <v>0</v>
      </c>
      <c r="S831" s="45">
        <f>IFERROR(IF(P831="","",P831*INDEX(Ingredients!$R$5:$R$304,MATCH(D831,Ingredients!$B$5:$B$304,0))),"")</f>
        <v>0</v>
      </c>
      <c r="T831" s="45">
        <f>IFERROR(IF(P831="","",P831*INDEX(Ingredients!$S$5:$S$304,MATCH(D831,Ingredients!$B$5:$B$304,0))),"")</f>
        <v>0</v>
      </c>
      <c r="U831" s="45">
        <f>IFERROR(IF(P831="","",P831*INDEX(Ingredients!$T$5:$T$304,MATCH(D831,Ingredients!$B$5:$B$304,0))),"")</f>
        <v>0</v>
      </c>
      <c r="V831" s="17">
        <f>IF(D831="","",IFERROR(INDEX(Ingredients!$W$5:$W$304,MATCH(D831,Ingredients!$B$5:$B$304,0)),"Add to Ingredients"))</f>
        <v>0</v>
      </c>
      <c r="W831" s="17">
        <f>IF(D831="","",IFERROR(INDEX(Ingredients!$C$5:$C$304,MATCH(D831,Ingredients!$B$5:$B$304,0)),"Add to Ingredients"))</f>
        <v>0</v>
      </c>
      <c r="X831" s="45">
        <f>IFERROR(INDEX(Recipes!$AT$5:$AT$204,MATCH(B831,Recipes!$A$5:$A$204,0)),0)</f>
        <v>0</v>
      </c>
      <c r="Y831" s="45">
        <f>IF(OR(J831="",X831=0),"",J831*X831)</f>
        <v>0</v>
      </c>
      <c r="Z831" s="17">
        <f>IF(D831="","",B831&amp;"#"&amp;COUNTIFS($B$5:B831,B831))</f>
        <v>0</v>
      </c>
      <c r="AA831" s="17">
        <f>IF(D831="","",B831&amp;"|"&amp;D831)</f>
        <v>0</v>
      </c>
      <c r="AB831" s="31">
        <f>IF(D831="","",IF(B831="","Add - which recipe?",IF(COUNTIFS(Ingredients!$B$5:$B$304,D831)=0,"Missing - not in the Ingredients tab",IF(E831="","Add - no quantity",IF(F831="","Add - no unit",IF(K831&lt;&gt;L831,"Check - recipe in "&amp;K831&amp;", priced in "&amp;L831,IF(COUNTIFS($AA$5:$AA$1204,AA831)&gt;1,"Duplicate - same ingredient twice","OK")))))))</f>
        <v>0</v>
      </c>
    </row>
    <row r="832" spans="1:28">
      <c r="A832" s="39">
        <f>IF(D832="","","RL-"&amp;TEXT(ROW()-4,"0000"))</f>
        <v>0</v>
      </c>
      <c r="C832" s="17">
        <f>IF(B832="","",IFERROR(INDEX(Recipes!$B$5:$B$204,MATCH(B832,Recipes!$A$5:$A$204,0)),"Not found"))</f>
        <v>0</v>
      </c>
      <c r="J832" s="45">
        <f>IF(E832="","",IFERROR(E832*INDEX(UnitFactors,MATCH(F832,UnitNames,0)),""))</f>
        <v>0</v>
      </c>
      <c r="K832" s="17">
        <f>IF(F832="","",IFERROR(INDEX(UnitBases,MATCH(F832,UnitNames,0)),"?"))</f>
        <v>0</v>
      </c>
      <c r="L832" s="17">
        <f>IF(D832="","",IFERROR(INDEX(Ingredients!$G$5:$G$304,MATCH(D832,Ingredients!$B$5:$B$304,0)),"Add to Ingredients"))</f>
        <v>0</v>
      </c>
      <c r="M832" s="25">
        <f>IF(D832="","",IFERROR(INDEX(Ingredients!$J$5:$J$304,MATCH(D832,Ingredients!$B$5:$B$304,0)),"Add to Ingredients"))</f>
        <v>0</v>
      </c>
      <c r="N832" s="25">
        <f>IF(OR(J832="",M832="",NOT(ISNUMBER(M832))),"",IF(K832&lt;&gt;L832,"",J832*M832))</f>
        <v>0</v>
      </c>
      <c r="O832" s="25">
        <f>IF(N832="","",IFERROR(N832/INDEX(Recipes!$G$5:$G$204,MATCH(B832,Recipes!$A$5:$A$204,0)),""))</f>
        <v>0</v>
      </c>
      <c r="P832" s="30">
        <f>IF(J832="","",IF(K832="each",J832,J832/100))</f>
        <v>0</v>
      </c>
      <c r="Q832" s="30">
        <f>IFERROR(IF(P832="","",P832*INDEX(Ingredients!$P$5:$P$304,MATCH(D832,Ingredients!$B$5:$B$304,0))),"")</f>
        <v>0</v>
      </c>
      <c r="R832" s="45">
        <f>IFERROR(IF(P832="","",P832*INDEX(Ingredients!$Q$5:$Q$304,MATCH(D832,Ingredients!$B$5:$B$304,0))),"")</f>
        <v>0</v>
      </c>
      <c r="S832" s="45">
        <f>IFERROR(IF(P832="","",P832*INDEX(Ingredients!$R$5:$R$304,MATCH(D832,Ingredients!$B$5:$B$304,0))),"")</f>
        <v>0</v>
      </c>
      <c r="T832" s="45">
        <f>IFERROR(IF(P832="","",P832*INDEX(Ingredients!$S$5:$S$304,MATCH(D832,Ingredients!$B$5:$B$304,0))),"")</f>
        <v>0</v>
      </c>
      <c r="U832" s="45">
        <f>IFERROR(IF(P832="","",P832*INDEX(Ingredients!$T$5:$T$304,MATCH(D832,Ingredients!$B$5:$B$304,0))),"")</f>
        <v>0</v>
      </c>
      <c r="V832" s="17">
        <f>IF(D832="","",IFERROR(INDEX(Ingredients!$W$5:$W$304,MATCH(D832,Ingredients!$B$5:$B$304,0)),"Add to Ingredients"))</f>
        <v>0</v>
      </c>
      <c r="W832" s="17">
        <f>IF(D832="","",IFERROR(INDEX(Ingredients!$C$5:$C$304,MATCH(D832,Ingredients!$B$5:$B$304,0)),"Add to Ingredients"))</f>
        <v>0</v>
      </c>
      <c r="X832" s="45">
        <f>IFERROR(INDEX(Recipes!$AT$5:$AT$204,MATCH(B832,Recipes!$A$5:$A$204,0)),0)</f>
        <v>0</v>
      </c>
      <c r="Y832" s="45">
        <f>IF(OR(J832="",X832=0),"",J832*X832)</f>
        <v>0</v>
      </c>
      <c r="Z832" s="17">
        <f>IF(D832="","",B832&amp;"#"&amp;COUNTIFS($B$5:B832,B832))</f>
        <v>0</v>
      </c>
      <c r="AA832" s="17">
        <f>IF(D832="","",B832&amp;"|"&amp;D832)</f>
        <v>0</v>
      </c>
      <c r="AB832" s="31">
        <f>IF(D832="","",IF(B832="","Add - which recipe?",IF(COUNTIFS(Ingredients!$B$5:$B$304,D832)=0,"Missing - not in the Ingredients tab",IF(E832="","Add - no quantity",IF(F832="","Add - no unit",IF(K832&lt;&gt;L832,"Check - recipe in "&amp;K832&amp;", priced in "&amp;L832,IF(COUNTIFS($AA$5:$AA$1204,AA832)&gt;1,"Duplicate - same ingredient twice","OK")))))))</f>
        <v>0</v>
      </c>
    </row>
    <row r="833" spans="1:28">
      <c r="A833" s="39">
        <f>IF(D833="","","RL-"&amp;TEXT(ROW()-4,"0000"))</f>
        <v>0</v>
      </c>
      <c r="C833" s="17">
        <f>IF(B833="","",IFERROR(INDEX(Recipes!$B$5:$B$204,MATCH(B833,Recipes!$A$5:$A$204,0)),"Not found"))</f>
        <v>0</v>
      </c>
      <c r="J833" s="45">
        <f>IF(E833="","",IFERROR(E833*INDEX(UnitFactors,MATCH(F833,UnitNames,0)),""))</f>
        <v>0</v>
      </c>
      <c r="K833" s="17">
        <f>IF(F833="","",IFERROR(INDEX(UnitBases,MATCH(F833,UnitNames,0)),"?"))</f>
        <v>0</v>
      </c>
      <c r="L833" s="17">
        <f>IF(D833="","",IFERROR(INDEX(Ingredients!$G$5:$G$304,MATCH(D833,Ingredients!$B$5:$B$304,0)),"Add to Ingredients"))</f>
        <v>0</v>
      </c>
      <c r="M833" s="25">
        <f>IF(D833="","",IFERROR(INDEX(Ingredients!$J$5:$J$304,MATCH(D833,Ingredients!$B$5:$B$304,0)),"Add to Ingredients"))</f>
        <v>0</v>
      </c>
      <c r="N833" s="25">
        <f>IF(OR(J833="",M833="",NOT(ISNUMBER(M833))),"",IF(K833&lt;&gt;L833,"",J833*M833))</f>
        <v>0</v>
      </c>
      <c r="O833" s="25">
        <f>IF(N833="","",IFERROR(N833/INDEX(Recipes!$G$5:$G$204,MATCH(B833,Recipes!$A$5:$A$204,0)),""))</f>
        <v>0</v>
      </c>
      <c r="P833" s="30">
        <f>IF(J833="","",IF(K833="each",J833,J833/100))</f>
        <v>0</v>
      </c>
      <c r="Q833" s="30">
        <f>IFERROR(IF(P833="","",P833*INDEX(Ingredients!$P$5:$P$304,MATCH(D833,Ingredients!$B$5:$B$304,0))),"")</f>
        <v>0</v>
      </c>
      <c r="R833" s="45">
        <f>IFERROR(IF(P833="","",P833*INDEX(Ingredients!$Q$5:$Q$304,MATCH(D833,Ingredients!$B$5:$B$304,0))),"")</f>
        <v>0</v>
      </c>
      <c r="S833" s="45">
        <f>IFERROR(IF(P833="","",P833*INDEX(Ingredients!$R$5:$R$304,MATCH(D833,Ingredients!$B$5:$B$304,0))),"")</f>
        <v>0</v>
      </c>
      <c r="T833" s="45">
        <f>IFERROR(IF(P833="","",P833*INDEX(Ingredients!$S$5:$S$304,MATCH(D833,Ingredients!$B$5:$B$304,0))),"")</f>
        <v>0</v>
      </c>
      <c r="U833" s="45">
        <f>IFERROR(IF(P833="","",P833*INDEX(Ingredients!$T$5:$T$304,MATCH(D833,Ingredients!$B$5:$B$304,0))),"")</f>
        <v>0</v>
      </c>
      <c r="V833" s="17">
        <f>IF(D833="","",IFERROR(INDEX(Ingredients!$W$5:$W$304,MATCH(D833,Ingredients!$B$5:$B$304,0)),"Add to Ingredients"))</f>
        <v>0</v>
      </c>
      <c r="W833" s="17">
        <f>IF(D833="","",IFERROR(INDEX(Ingredients!$C$5:$C$304,MATCH(D833,Ingredients!$B$5:$B$304,0)),"Add to Ingredients"))</f>
        <v>0</v>
      </c>
      <c r="X833" s="45">
        <f>IFERROR(INDEX(Recipes!$AT$5:$AT$204,MATCH(B833,Recipes!$A$5:$A$204,0)),0)</f>
        <v>0</v>
      </c>
      <c r="Y833" s="45">
        <f>IF(OR(J833="",X833=0),"",J833*X833)</f>
        <v>0</v>
      </c>
      <c r="Z833" s="17">
        <f>IF(D833="","",B833&amp;"#"&amp;COUNTIFS($B$5:B833,B833))</f>
        <v>0</v>
      </c>
      <c r="AA833" s="17">
        <f>IF(D833="","",B833&amp;"|"&amp;D833)</f>
        <v>0</v>
      </c>
      <c r="AB833" s="31">
        <f>IF(D833="","",IF(B833="","Add - which recipe?",IF(COUNTIFS(Ingredients!$B$5:$B$304,D833)=0,"Missing - not in the Ingredients tab",IF(E833="","Add - no quantity",IF(F833="","Add - no unit",IF(K833&lt;&gt;L833,"Check - recipe in "&amp;K833&amp;", priced in "&amp;L833,IF(COUNTIFS($AA$5:$AA$1204,AA833)&gt;1,"Duplicate - same ingredient twice","OK")))))))</f>
        <v>0</v>
      </c>
    </row>
    <row r="834" spans="1:28">
      <c r="A834" s="39">
        <f>IF(D834="","","RL-"&amp;TEXT(ROW()-4,"0000"))</f>
        <v>0</v>
      </c>
      <c r="C834" s="17">
        <f>IF(B834="","",IFERROR(INDEX(Recipes!$B$5:$B$204,MATCH(B834,Recipes!$A$5:$A$204,0)),"Not found"))</f>
        <v>0</v>
      </c>
      <c r="J834" s="45">
        <f>IF(E834="","",IFERROR(E834*INDEX(UnitFactors,MATCH(F834,UnitNames,0)),""))</f>
        <v>0</v>
      </c>
      <c r="K834" s="17">
        <f>IF(F834="","",IFERROR(INDEX(UnitBases,MATCH(F834,UnitNames,0)),"?"))</f>
        <v>0</v>
      </c>
      <c r="L834" s="17">
        <f>IF(D834="","",IFERROR(INDEX(Ingredients!$G$5:$G$304,MATCH(D834,Ingredients!$B$5:$B$304,0)),"Add to Ingredients"))</f>
        <v>0</v>
      </c>
      <c r="M834" s="25">
        <f>IF(D834="","",IFERROR(INDEX(Ingredients!$J$5:$J$304,MATCH(D834,Ingredients!$B$5:$B$304,0)),"Add to Ingredients"))</f>
        <v>0</v>
      </c>
      <c r="N834" s="25">
        <f>IF(OR(J834="",M834="",NOT(ISNUMBER(M834))),"",IF(K834&lt;&gt;L834,"",J834*M834))</f>
        <v>0</v>
      </c>
      <c r="O834" s="25">
        <f>IF(N834="","",IFERROR(N834/INDEX(Recipes!$G$5:$G$204,MATCH(B834,Recipes!$A$5:$A$204,0)),""))</f>
        <v>0</v>
      </c>
      <c r="P834" s="30">
        <f>IF(J834="","",IF(K834="each",J834,J834/100))</f>
        <v>0</v>
      </c>
      <c r="Q834" s="30">
        <f>IFERROR(IF(P834="","",P834*INDEX(Ingredients!$P$5:$P$304,MATCH(D834,Ingredients!$B$5:$B$304,0))),"")</f>
        <v>0</v>
      </c>
      <c r="R834" s="45">
        <f>IFERROR(IF(P834="","",P834*INDEX(Ingredients!$Q$5:$Q$304,MATCH(D834,Ingredients!$B$5:$B$304,0))),"")</f>
        <v>0</v>
      </c>
      <c r="S834" s="45">
        <f>IFERROR(IF(P834="","",P834*INDEX(Ingredients!$R$5:$R$304,MATCH(D834,Ingredients!$B$5:$B$304,0))),"")</f>
        <v>0</v>
      </c>
      <c r="T834" s="45">
        <f>IFERROR(IF(P834="","",P834*INDEX(Ingredients!$S$5:$S$304,MATCH(D834,Ingredients!$B$5:$B$304,0))),"")</f>
        <v>0</v>
      </c>
      <c r="U834" s="45">
        <f>IFERROR(IF(P834="","",P834*INDEX(Ingredients!$T$5:$T$304,MATCH(D834,Ingredients!$B$5:$B$304,0))),"")</f>
        <v>0</v>
      </c>
      <c r="V834" s="17">
        <f>IF(D834="","",IFERROR(INDEX(Ingredients!$W$5:$W$304,MATCH(D834,Ingredients!$B$5:$B$304,0)),"Add to Ingredients"))</f>
        <v>0</v>
      </c>
      <c r="W834" s="17">
        <f>IF(D834="","",IFERROR(INDEX(Ingredients!$C$5:$C$304,MATCH(D834,Ingredients!$B$5:$B$304,0)),"Add to Ingredients"))</f>
        <v>0</v>
      </c>
      <c r="X834" s="45">
        <f>IFERROR(INDEX(Recipes!$AT$5:$AT$204,MATCH(B834,Recipes!$A$5:$A$204,0)),0)</f>
        <v>0</v>
      </c>
      <c r="Y834" s="45">
        <f>IF(OR(J834="",X834=0),"",J834*X834)</f>
        <v>0</v>
      </c>
      <c r="Z834" s="17">
        <f>IF(D834="","",B834&amp;"#"&amp;COUNTIFS($B$5:B834,B834))</f>
        <v>0</v>
      </c>
      <c r="AA834" s="17">
        <f>IF(D834="","",B834&amp;"|"&amp;D834)</f>
        <v>0</v>
      </c>
      <c r="AB834" s="31">
        <f>IF(D834="","",IF(B834="","Add - which recipe?",IF(COUNTIFS(Ingredients!$B$5:$B$304,D834)=0,"Missing - not in the Ingredients tab",IF(E834="","Add - no quantity",IF(F834="","Add - no unit",IF(K834&lt;&gt;L834,"Check - recipe in "&amp;K834&amp;", priced in "&amp;L834,IF(COUNTIFS($AA$5:$AA$1204,AA834)&gt;1,"Duplicate - same ingredient twice","OK")))))))</f>
        <v>0</v>
      </c>
    </row>
    <row r="835" spans="1:28">
      <c r="A835" s="39">
        <f>IF(D835="","","RL-"&amp;TEXT(ROW()-4,"0000"))</f>
        <v>0</v>
      </c>
      <c r="C835" s="17">
        <f>IF(B835="","",IFERROR(INDEX(Recipes!$B$5:$B$204,MATCH(B835,Recipes!$A$5:$A$204,0)),"Not found"))</f>
        <v>0</v>
      </c>
      <c r="J835" s="45">
        <f>IF(E835="","",IFERROR(E835*INDEX(UnitFactors,MATCH(F835,UnitNames,0)),""))</f>
        <v>0</v>
      </c>
      <c r="K835" s="17">
        <f>IF(F835="","",IFERROR(INDEX(UnitBases,MATCH(F835,UnitNames,0)),"?"))</f>
        <v>0</v>
      </c>
      <c r="L835" s="17">
        <f>IF(D835="","",IFERROR(INDEX(Ingredients!$G$5:$G$304,MATCH(D835,Ingredients!$B$5:$B$304,0)),"Add to Ingredients"))</f>
        <v>0</v>
      </c>
      <c r="M835" s="25">
        <f>IF(D835="","",IFERROR(INDEX(Ingredients!$J$5:$J$304,MATCH(D835,Ingredients!$B$5:$B$304,0)),"Add to Ingredients"))</f>
        <v>0</v>
      </c>
      <c r="N835" s="25">
        <f>IF(OR(J835="",M835="",NOT(ISNUMBER(M835))),"",IF(K835&lt;&gt;L835,"",J835*M835))</f>
        <v>0</v>
      </c>
      <c r="O835" s="25">
        <f>IF(N835="","",IFERROR(N835/INDEX(Recipes!$G$5:$G$204,MATCH(B835,Recipes!$A$5:$A$204,0)),""))</f>
        <v>0</v>
      </c>
      <c r="P835" s="30">
        <f>IF(J835="","",IF(K835="each",J835,J835/100))</f>
        <v>0</v>
      </c>
      <c r="Q835" s="30">
        <f>IFERROR(IF(P835="","",P835*INDEX(Ingredients!$P$5:$P$304,MATCH(D835,Ingredients!$B$5:$B$304,0))),"")</f>
        <v>0</v>
      </c>
      <c r="R835" s="45">
        <f>IFERROR(IF(P835="","",P835*INDEX(Ingredients!$Q$5:$Q$304,MATCH(D835,Ingredients!$B$5:$B$304,0))),"")</f>
        <v>0</v>
      </c>
      <c r="S835" s="45">
        <f>IFERROR(IF(P835="","",P835*INDEX(Ingredients!$R$5:$R$304,MATCH(D835,Ingredients!$B$5:$B$304,0))),"")</f>
        <v>0</v>
      </c>
      <c r="T835" s="45">
        <f>IFERROR(IF(P835="","",P835*INDEX(Ingredients!$S$5:$S$304,MATCH(D835,Ingredients!$B$5:$B$304,0))),"")</f>
        <v>0</v>
      </c>
      <c r="U835" s="45">
        <f>IFERROR(IF(P835="","",P835*INDEX(Ingredients!$T$5:$T$304,MATCH(D835,Ingredients!$B$5:$B$304,0))),"")</f>
        <v>0</v>
      </c>
      <c r="V835" s="17">
        <f>IF(D835="","",IFERROR(INDEX(Ingredients!$W$5:$W$304,MATCH(D835,Ingredients!$B$5:$B$304,0)),"Add to Ingredients"))</f>
        <v>0</v>
      </c>
      <c r="W835" s="17">
        <f>IF(D835="","",IFERROR(INDEX(Ingredients!$C$5:$C$304,MATCH(D835,Ingredients!$B$5:$B$304,0)),"Add to Ingredients"))</f>
        <v>0</v>
      </c>
      <c r="X835" s="45">
        <f>IFERROR(INDEX(Recipes!$AT$5:$AT$204,MATCH(B835,Recipes!$A$5:$A$204,0)),0)</f>
        <v>0</v>
      </c>
      <c r="Y835" s="45">
        <f>IF(OR(J835="",X835=0),"",J835*X835)</f>
        <v>0</v>
      </c>
      <c r="Z835" s="17">
        <f>IF(D835="","",B835&amp;"#"&amp;COUNTIFS($B$5:B835,B835))</f>
        <v>0</v>
      </c>
      <c r="AA835" s="17">
        <f>IF(D835="","",B835&amp;"|"&amp;D835)</f>
        <v>0</v>
      </c>
      <c r="AB835" s="31">
        <f>IF(D835="","",IF(B835="","Add - which recipe?",IF(COUNTIFS(Ingredients!$B$5:$B$304,D835)=0,"Missing - not in the Ingredients tab",IF(E835="","Add - no quantity",IF(F835="","Add - no unit",IF(K835&lt;&gt;L835,"Check - recipe in "&amp;K835&amp;", priced in "&amp;L835,IF(COUNTIFS($AA$5:$AA$1204,AA835)&gt;1,"Duplicate - same ingredient twice","OK")))))))</f>
        <v>0</v>
      </c>
    </row>
    <row r="836" spans="1:28">
      <c r="A836" s="39">
        <f>IF(D836="","","RL-"&amp;TEXT(ROW()-4,"0000"))</f>
        <v>0</v>
      </c>
      <c r="C836" s="17">
        <f>IF(B836="","",IFERROR(INDEX(Recipes!$B$5:$B$204,MATCH(B836,Recipes!$A$5:$A$204,0)),"Not found"))</f>
        <v>0</v>
      </c>
      <c r="J836" s="45">
        <f>IF(E836="","",IFERROR(E836*INDEX(UnitFactors,MATCH(F836,UnitNames,0)),""))</f>
        <v>0</v>
      </c>
      <c r="K836" s="17">
        <f>IF(F836="","",IFERROR(INDEX(UnitBases,MATCH(F836,UnitNames,0)),"?"))</f>
        <v>0</v>
      </c>
      <c r="L836" s="17">
        <f>IF(D836="","",IFERROR(INDEX(Ingredients!$G$5:$G$304,MATCH(D836,Ingredients!$B$5:$B$304,0)),"Add to Ingredients"))</f>
        <v>0</v>
      </c>
      <c r="M836" s="25">
        <f>IF(D836="","",IFERROR(INDEX(Ingredients!$J$5:$J$304,MATCH(D836,Ingredients!$B$5:$B$304,0)),"Add to Ingredients"))</f>
        <v>0</v>
      </c>
      <c r="N836" s="25">
        <f>IF(OR(J836="",M836="",NOT(ISNUMBER(M836))),"",IF(K836&lt;&gt;L836,"",J836*M836))</f>
        <v>0</v>
      </c>
      <c r="O836" s="25">
        <f>IF(N836="","",IFERROR(N836/INDEX(Recipes!$G$5:$G$204,MATCH(B836,Recipes!$A$5:$A$204,0)),""))</f>
        <v>0</v>
      </c>
      <c r="P836" s="30">
        <f>IF(J836="","",IF(K836="each",J836,J836/100))</f>
        <v>0</v>
      </c>
      <c r="Q836" s="30">
        <f>IFERROR(IF(P836="","",P836*INDEX(Ingredients!$P$5:$P$304,MATCH(D836,Ingredients!$B$5:$B$304,0))),"")</f>
        <v>0</v>
      </c>
      <c r="R836" s="45">
        <f>IFERROR(IF(P836="","",P836*INDEX(Ingredients!$Q$5:$Q$304,MATCH(D836,Ingredients!$B$5:$B$304,0))),"")</f>
        <v>0</v>
      </c>
      <c r="S836" s="45">
        <f>IFERROR(IF(P836="","",P836*INDEX(Ingredients!$R$5:$R$304,MATCH(D836,Ingredients!$B$5:$B$304,0))),"")</f>
        <v>0</v>
      </c>
      <c r="T836" s="45">
        <f>IFERROR(IF(P836="","",P836*INDEX(Ingredients!$S$5:$S$304,MATCH(D836,Ingredients!$B$5:$B$304,0))),"")</f>
        <v>0</v>
      </c>
      <c r="U836" s="45">
        <f>IFERROR(IF(P836="","",P836*INDEX(Ingredients!$T$5:$T$304,MATCH(D836,Ingredients!$B$5:$B$304,0))),"")</f>
        <v>0</v>
      </c>
      <c r="V836" s="17">
        <f>IF(D836="","",IFERROR(INDEX(Ingredients!$W$5:$W$304,MATCH(D836,Ingredients!$B$5:$B$304,0)),"Add to Ingredients"))</f>
        <v>0</v>
      </c>
      <c r="W836" s="17">
        <f>IF(D836="","",IFERROR(INDEX(Ingredients!$C$5:$C$304,MATCH(D836,Ingredients!$B$5:$B$304,0)),"Add to Ingredients"))</f>
        <v>0</v>
      </c>
      <c r="X836" s="45">
        <f>IFERROR(INDEX(Recipes!$AT$5:$AT$204,MATCH(B836,Recipes!$A$5:$A$204,0)),0)</f>
        <v>0</v>
      </c>
      <c r="Y836" s="45">
        <f>IF(OR(J836="",X836=0),"",J836*X836)</f>
        <v>0</v>
      </c>
      <c r="Z836" s="17">
        <f>IF(D836="","",B836&amp;"#"&amp;COUNTIFS($B$5:B836,B836))</f>
        <v>0</v>
      </c>
      <c r="AA836" s="17">
        <f>IF(D836="","",B836&amp;"|"&amp;D836)</f>
        <v>0</v>
      </c>
      <c r="AB836" s="31">
        <f>IF(D836="","",IF(B836="","Add - which recipe?",IF(COUNTIFS(Ingredients!$B$5:$B$304,D836)=0,"Missing - not in the Ingredients tab",IF(E836="","Add - no quantity",IF(F836="","Add - no unit",IF(K836&lt;&gt;L836,"Check - recipe in "&amp;K836&amp;", priced in "&amp;L836,IF(COUNTIFS($AA$5:$AA$1204,AA836)&gt;1,"Duplicate - same ingredient twice","OK")))))))</f>
        <v>0</v>
      </c>
    </row>
    <row r="837" spans="1:28">
      <c r="A837" s="39">
        <f>IF(D837="","","RL-"&amp;TEXT(ROW()-4,"0000"))</f>
        <v>0</v>
      </c>
      <c r="C837" s="17">
        <f>IF(B837="","",IFERROR(INDEX(Recipes!$B$5:$B$204,MATCH(B837,Recipes!$A$5:$A$204,0)),"Not found"))</f>
        <v>0</v>
      </c>
      <c r="J837" s="45">
        <f>IF(E837="","",IFERROR(E837*INDEX(UnitFactors,MATCH(F837,UnitNames,0)),""))</f>
        <v>0</v>
      </c>
      <c r="K837" s="17">
        <f>IF(F837="","",IFERROR(INDEX(UnitBases,MATCH(F837,UnitNames,0)),"?"))</f>
        <v>0</v>
      </c>
      <c r="L837" s="17">
        <f>IF(D837="","",IFERROR(INDEX(Ingredients!$G$5:$G$304,MATCH(D837,Ingredients!$B$5:$B$304,0)),"Add to Ingredients"))</f>
        <v>0</v>
      </c>
      <c r="M837" s="25">
        <f>IF(D837="","",IFERROR(INDEX(Ingredients!$J$5:$J$304,MATCH(D837,Ingredients!$B$5:$B$304,0)),"Add to Ingredients"))</f>
        <v>0</v>
      </c>
      <c r="N837" s="25">
        <f>IF(OR(J837="",M837="",NOT(ISNUMBER(M837))),"",IF(K837&lt;&gt;L837,"",J837*M837))</f>
        <v>0</v>
      </c>
      <c r="O837" s="25">
        <f>IF(N837="","",IFERROR(N837/INDEX(Recipes!$G$5:$G$204,MATCH(B837,Recipes!$A$5:$A$204,0)),""))</f>
        <v>0</v>
      </c>
      <c r="P837" s="30">
        <f>IF(J837="","",IF(K837="each",J837,J837/100))</f>
        <v>0</v>
      </c>
      <c r="Q837" s="30">
        <f>IFERROR(IF(P837="","",P837*INDEX(Ingredients!$P$5:$P$304,MATCH(D837,Ingredients!$B$5:$B$304,0))),"")</f>
        <v>0</v>
      </c>
      <c r="R837" s="45">
        <f>IFERROR(IF(P837="","",P837*INDEX(Ingredients!$Q$5:$Q$304,MATCH(D837,Ingredients!$B$5:$B$304,0))),"")</f>
        <v>0</v>
      </c>
      <c r="S837" s="45">
        <f>IFERROR(IF(P837="","",P837*INDEX(Ingredients!$R$5:$R$304,MATCH(D837,Ingredients!$B$5:$B$304,0))),"")</f>
        <v>0</v>
      </c>
      <c r="T837" s="45">
        <f>IFERROR(IF(P837="","",P837*INDEX(Ingredients!$S$5:$S$304,MATCH(D837,Ingredients!$B$5:$B$304,0))),"")</f>
        <v>0</v>
      </c>
      <c r="U837" s="45">
        <f>IFERROR(IF(P837="","",P837*INDEX(Ingredients!$T$5:$T$304,MATCH(D837,Ingredients!$B$5:$B$304,0))),"")</f>
        <v>0</v>
      </c>
      <c r="V837" s="17">
        <f>IF(D837="","",IFERROR(INDEX(Ingredients!$W$5:$W$304,MATCH(D837,Ingredients!$B$5:$B$304,0)),"Add to Ingredients"))</f>
        <v>0</v>
      </c>
      <c r="W837" s="17">
        <f>IF(D837="","",IFERROR(INDEX(Ingredients!$C$5:$C$304,MATCH(D837,Ingredients!$B$5:$B$304,0)),"Add to Ingredients"))</f>
        <v>0</v>
      </c>
      <c r="X837" s="45">
        <f>IFERROR(INDEX(Recipes!$AT$5:$AT$204,MATCH(B837,Recipes!$A$5:$A$204,0)),0)</f>
        <v>0</v>
      </c>
      <c r="Y837" s="45">
        <f>IF(OR(J837="",X837=0),"",J837*X837)</f>
        <v>0</v>
      </c>
      <c r="Z837" s="17">
        <f>IF(D837="","",B837&amp;"#"&amp;COUNTIFS($B$5:B837,B837))</f>
        <v>0</v>
      </c>
      <c r="AA837" s="17">
        <f>IF(D837="","",B837&amp;"|"&amp;D837)</f>
        <v>0</v>
      </c>
      <c r="AB837" s="31">
        <f>IF(D837="","",IF(B837="","Add - which recipe?",IF(COUNTIFS(Ingredients!$B$5:$B$304,D837)=0,"Missing - not in the Ingredients tab",IF(E837="","Add - no quantity",IF(F837="","Add - no unit",IF(K837&lt;&gt;L837,"Check - recipe in "&amp;K837&amp;", priced in "&amp;L837,IF(COUNTIFS($AA$5:$AA$1204,AA837)&gt;1,"Duplicate - same ingredient twice","OK")))))))</f>
        <v>0</v>
      </c>
    </row>
    <row r="838" spans="1:28">
      <c r="A838" s="39">
        <f>IF(D838="","","RL-"&amp;TEXT(ROW()-4,"0000"))</f>
        <v>0</v>
      </c>
      <c r="C838" s="17">
        <f>IF(B838="","",IFERROR(INDEX(Recipes!$B$5:$B$204,MATCH(B838,Recipes!$A$5:$A$204,0)),"Not found"))</f>
        <v>0</v>
      </c>
      <c r="J838" s="45">
        <f>IF(E838="","",IFERROR(E838*INDEX(UnitFactors,MATCH(F838,UnitNames,0)),""))</f>
        <v>0</v>
      </c>
      <c r="K838" s="17">
        <f>IF(F838="","",IFERROR(INDEX(UnitBases,MATCH(F838,UnitNames,0)),"?"))</f>
        <v>0</v>
      </c>
      <c r="L838" s="17">
        <f>IF(D838="","",IFERROR(INDEX(Ingredients!$G$5:$G$304,MATCH(D838,Ingredients!$B$5:$B$304,0)),"Add to Ingredients"))</f>
        <v>0</v>
      </c>
      <c r="M838" s="25">
        <f>IF(D838="","",IFERROR(INDEX(Ingredients!$J$5:$J$304,MATCH(D838,Ingredients!$B$5:$B$304,0)),"Add to Ingredients"))</f>
        <v>0</v>
      </c>
      <c r="N838" s="25">
        <f>IF(OR(J838="",M838="",NOT(ISNUMBER(M838))),"",IF(K838&lt;&gt;L838,"",J838*M838))</f>
        <v>0</v>
      </c>
      <c r="O838" s="25">
        <f>IF(N838="","",IFERROR(N838/INDEX(Recipes!$G$5:$G$204,MATCH(B838,Recipes!$A$5:$A$204,0)),""))</f>
        <v>0</v>
      </c>
      <c r="P838" s="30">
        <f>IF(J838="","",IF(K838="each",J838,J838/100))</f>
        <v>0</v>
      </c>
      <c r="Q838" s="30">
        <f>IFERROR(IF(P838="","",P838*INDEX(Ingredients!$P$5:$P$304,MATCH(D838,Ingredients!$B$5:$B$304,0))),"")</f>
        <v>0</v>
      </c>
      <c r="R838" s="45">
        <f>IFERROR(IF(P838="","",P838*INDEX(Ingredients!$Q$5:$Q$304,MATCH(D838,Ingredients!$B$5:$B$304,0))),"")</f>
        <v>0</v>
      </c>
      <c r="S838" s="45">
        <f>IFERROR(IF(P838="","",P838*INDEX(Ingredients!$R$5:$R$304,MATCH(D838,Ingredients!$B$5:$B$304,0))),"")</f>
        <v>0</v>
      </c>
      <c r="T838" s="45">
        <f>IFERROR(IF(P838="","",P838*INDEX(Ingredients!$S$5:$S$304,MATCH(D838,Ingredients!$B$5:$B$304,0))),"")</f>
        <v>0</v>
      </c>
      <c r="U838" s="45">
        <f>IFERROR(IF(P838="","",P838*INDEX(Ingredients!$T$5:$T$304,MATCH(D838,Ingredients!$B$5:$B$304,0))),"")</f>
        <v>0</v>
      </c>
      <c r="V838" s="17">
        <f>IF(D838="","",IFERROR(INDEX(Ingredients!$W$5:$W$304,MATCH(D838,Ingredients!$B$5:$B$304,0)),"Add to Ingredients"))</f>
        <v>0</v>
      </c>
      <c r="W838" s="17">
        <f>IF(D838="","",IFERROR(INDEX(Ingredients!$C$5:$C$304,MATCH(D838,Ingredients!$B$5:$B$304,0)),"Add to Ingredients"))</f>
        <v>0</v>
      </c>
      <c r="X838" s="45">
        <f>IFERROR(INDEX(Recipes!$AT$5:$AT$204,MATCH(B838,Recipes!$A$5:$A$204,0)),0)</f>
        <v>0</v>
      </c>
      <c r="Y838" s="45">
        <f>IF(OR(J838="",X838=0),"",J838*X838)</f>
        <v>0</v>
      </c>
      <c r="Z838" s="17">
        <f>IF(D838="","",B838&amp;"#"&amp;COUNTIFS($B$5:B838,B838))</f>
        <v>0</v>
      </c>
      <c r="AA838" s="17">
        <f>IF(D838="","",B838&amp;"|"&amp;D838)</f>
        <v>0</v>
      </c>
      <c r="AB838" s="31">
        <f>IF(D838="","",IF(B838="","Add - which recipe?",IF(COUNTIFS(Ingredients!$B$5:$B$304,D838)=0,"Missing - not in the Ingredients tab",IF(E838="","Add - no quantity",IF(F838="","Add - no unit",IF(K838&lt;&gt;L838,"Check - recipe in "&amp;K838&amp;", priced in "&amp;L838,IF(COUNTIFS($AA$5:$AA$1204,AA838)&gt;1,"Duplicate - same ingredient twice","OK")))))))</f>
        <v>0</v>
      </c>
    </row>
    <row r="839" spans="1:28">
      <c r="A839" s="39">
        <f>IF(D839="","","RL-"&amp;TEXT(ROW()-4,"0000"))</f>
        <v>0</v>
      </c>
      <c r="C839" s="17">
        <f>IF(B839="","",IFERROR(INDEX(Recipes!$B$5:$B$204,MATCH(B839,Recipes!$A$5:$A$204,0)),"Not found"))</f>
        <v>0</v>
      </c>
      <c r="J839" s="45">
        <f>IF(E839="","",IFERROR(E839*INDEX(UnitFactors,MATCH(F839,UnitNames,0)),""))</f>
        <v>0</v>
      </c>
      <c r="K839" s="17">
        <f>IF(F839="","",IFERROR(INDEX(UnitBases,MATCH(F839,UnitNames,0)),"?"))</f>
        <v>0</v>
      </c>
      <c r="L839" s="17">
        <f>IF(D839="","",IFERROR(INDEX(Ingredients!$G$5:$G$304,MATCH(D839,Ingredients!$B$5:$B$304,0)),"Add to Ingredients"))</f>
        <v>0</v>
      </c>
      <c r="M839" s="25">
        <f>IF(D839="","",IFERROR(INDEX(Ingredients!$J$5:$J$304,MATCH(D839,Ingredients!$B$5:$B$304,0)),"Add to Ingredients"))</f>
        <v>0</v>
      </c>
      <c r="N839" s="25">
        <f>IF(OR(J839="",M839="",NOT(ISNUMBER(M839))),"",IF(K839&lt;&gt;L839,"",J839*M839))</f>
        <v>0</v>
      </c>
      <c r="O839" s="25">
        <f>IF(N839="","",IFERROR(N839/INDEX(Recipes!$G$5:$G$204,MATCH(B839,Recipes!$A$5:$A$204,0)),""))</f>
        <v>0</v>
      </c>
      <c r="P839" s="30">
        <f>IF(J839="","",IF(K839="each",J839,J839/100))</f>
        <v>0</v>
      </c>
      <c r="Q839" s="30">
        <f>IFERROR(IF(P839="","",P839*INDEX(Ingredients!$P$5:$P$304,MATCH(D839,Ingredients!$B$5:$B$304,0))),"")</f>
        <v>0</v>
      </c>
      <c r="R839" s="45">
        <f>IFERROR(IF(P839="","",P839*INDEX(Ingredients!$Q$5:$Q$304,MATCH(D839,Ingredients!$B$5:$B$304,0))),"")</f>
        <v>0</v>
      </c>
      <c r="S839" s="45">
        <f>IFERROR(IF(P839="","",P839*INDEX(Ingredients!$R$5:$R$304,MATCH(D839,Ingredients!$B$5:$B$304,0))),"")</f>
        <v>0</v>
      </c>
      <c r="T839" s="45">
        <f>IFERROR(IF(P839="","",P839*INDEX(Ingredients!$S$5:$S$304,MATCH(D839,Ingredients!$B$5:$B$304,0))),"")</f>
        <v>0</v>
      </c>
      <c r="U839" s="45">
        <f>IFERROR(IF(P839="","",P839*INDEX(Ingredients!$T$5:$T$304,MATCH(D839,Ingredients!$B$5:$B$304,0))),"")</f>
        <v>0</v>
      </c>
      <c r="V839" s="17">
        <f>IF(D839="","",IFERROR(INDEX(Ingredients!$W$5:$W$304,MATCH(D839,Ingredients!$B$5:$B$304,0)),"Add to Ingredients"))</f>
        <v>0</v>
      </c>
      <c r="W839" s="17">
        <f>IF(D839="","",IFERROR(INDEX(Ingredients!$C$5:$C$304,MATCH(D839,Ingredients!$B$5:$B$304,0)),"Add to Ingredients"))</f>
        <v>0</v>
      </c>
      <c r="X839" s="45">
        <f>IFERROR(INDEX(Recipes!$AT$5:$AT$204,MATCH(B839,Recipes!$A$5:$A$204,0)),0)</f>
        <v>0</v>
      </c>
      <c r="Y839" s="45">
        <f>IF(OR(J839="",X839=0),"",J839*X839)</f>
        <v>0</v>
      </c>
      <c r="Z839" s="17">
        <f>IF(D839="","",B839&amp;"#"&amp;COUNTIFS($B$5:B839,B839))</f>
        <v>0</v>
      </c>
      <c r="AA839" s="17">
        <f>IF(D839="","",B839&amp;"|"&amp;D839)</f>
        <v>0</v>
      </c>
      <c r="AB839" s="31">
        <f>IF(D839="","",IF(B839="","Add - which recipe?",IF(COUNTIFS(Ingredients!$B$5:$B$304,D839)=0,"Missing - not in the Ingredients tab",IF(E839="","Add - no quantity",IF(F839="","Add - no unit",IF(K839&lt;&gt;L839,"Check - recipe in "&amp;K839&amp;", priced in "&amp;L839,IF(COUNTIFS($AA$5:$AA$1204,AA839)&gt;1,"Duplicate - same ingredient twice","OK")))))))</f>
        <v>0</v>
      </c>
    </row>
    <row r="840" spans="1:28">
      <c r="A840" s="39">
        <f>IF(D840="","","RL-"&amp;TEXT(ROW()-4,"0000"))</f>
        <v>0</v>
      </c>
      <c r="C840" s="17">
        <f>IF(B840="","",IFERROR(INDEX(Recipes!$B$5:$B$204,MATCH(B840,Recipes!$A$5:$A$204,0)),"Not found"))</f>
        <v>0</v>
      </c>
      <c r="J840" s="45">
        <f>IF(E840="","",IFERROR(E840*INDEX(UnitFactors,MATCH(F840,UnitNames,0)),""))</f>
        <v>0</v>
      </c>
      <c r="K840" s="17">
        <f>IF(F840="","",IFERROR(INDEX(UnitBases,MATCH(F840,UnitNames,0)),"?"))</f>
        <v>0</v>
      </c>
      <c r="L840" s="17">
        <f>IF(D840="","",IFERROR(INDEX(Ingredients!$G$5:$G$304,MATCH(D840,Ingredients!$B$5:$B$304,0)),"Add to Ingredients"))</f>
        <v>0</v>
      </c>
      <c r="M840" s="25">
        <f>IF(D840="","",IFERROR(INDEX(Ingredients!$J$5:$J$304,MATCH(D840,Ingredients!$B$5:$B$304,0)),"Add to Ingredients"))</f>
        <v>0</v>
      </c>
      <c r="N840" s="25">
        <f>IF(OR(J840="",M840="",NOT(ISNUMBER(M840))),"",IF(K840&lt;&gt;L840,"",J840*M840))</f>
        <v>0</v>
      </c>
      <c r="O840" s="25">
        <f>IF(N840="","",IFERROR(N840/INDEX(Recipes!$G$5:$G$204,MATCH(B840,Recipes!$A$5:$A$204,0)),""))</f>
        <v>0</v>
      </c>
      <c r="P840" s="30">
        <f>IF(J840="","",IF(K840="each",J840,J840/100))</f>
        <v>0</v>
      </c>
      <c r="Q840" s="30">
        <f>IFERROR(IF(P840="","",P840*INDEX(Ingredients!$P$5:$P$304,MATCH(D840,Ingredients!$B$5:$B$304,0))),"")</f>
        <v>0</v>
      </c>
      <c r="R840" s="45">
        <f>IFERROR(IF(P840="","",P840*INDEX(Ingredients!$Q$5:$Q$304,MATCH(D840,Ingredients!$B$5:$B$304,0))),"")</f>
        <v>0</v>
      </c>
      <c r="S840" s="45">
        <f>IFERROR(IF(P840="","",P840*INDEX(Ingredients!$R$5:$R$304,MATCH(D840,Ingredients!$B$5:$B$304,0))),"")</f>
        <v>0</v>
      </c>
      <c r="T840" s="45">
        <f>IFERROR(IF(P840="","",P840*INDEX(Ingredients!$S$5:$S$304,MATCH(D840,Ingredients!$B$5:$B$304,0))),"")</f>
        <v>0</v>
      </c>
      <c r="U840" s="45">
        <f>IFERROR(IF(P840="","",P840*INDEX(Ingredients!$T$5:$T$304,MATCH(D840,Ingredients!$B$5:$B$304,0))),"")</f>
        <v>0</v>
      </c>
      <c r="V840" s="17">
        <f>IF(D840="","",IFERROR(INDEX(Ingredients!$W$5:$W$304,MATCH(D840,Ingredients!$B$5:$B$304,0)),"Add to Ingredients"))</f>
        <v>0</v>
      </c>
      <c r="W840" s="17">
        <f>IF(D840="","",IFERROR(INDEX(Ingredients!$C$5:$C$304,MATCH(D840,Ingredients!$B$5:$B$304,0)),"Add to Ingredients"))</f>
        <v>0</v>
      </c>
      <c r="X840" s="45">
        <f>IFERROR(INDEX(Recipes!$AT$5:$AT$204,MATCH(B840,Recipes!$A$5:$A$204,0)),0)</f>
        <v>0</v>
      </c>
      <c r="Y840" s="45">
        <f>IF(OR(J840="",X840=0),"",J840*X840)</f>
        <v>0</v>
      </c>
      <c r="Z840" s="17">
        <f>IF(D840="","",B840&amp;"#"&amp;COUNTIFS($B$5:B840,B840))</f>
        <v>0</v>
      </c>
      <c r="AA840" s="17">
        <f>IF(D840="","",B840&amp;"|"&amp;D840)</f>
        <v>0</v>
      </c>
      <c r="AB840" s="31">
        <f>IF(D840="","",IF(B840="","Add - which recipe?",IF(COUNTIFS(Ingredients!$B$5:$B$304,D840)=0,"Missing - not in the Ingredients tab",IF(E840="","Add - no quantity",IF(F840="","Add - no unit",IF(K840&lt;&gt;L840,"Check - recipe in "&amp;K840&amp;", priced in "&amp;L840,IF(COUNTIFS($AA$5:$AA$1204,AA840)&gt;1,"Duplicate - same ingredient twice","OK")))))))</f>
        <v>0</v>
      </c>
    </row>
    <row r="841" spans="1:28">
      <c r="A841" s="39">
        <f>IF(D841="","","RL-"&amp;TEXT(ROW()-4,"0000"))</f>
        <v>0</v>
      </c>
      <c r="C841" s="17">
        <f>IF(B841="","",IFERROR(INDEX(Recipes!$B$5:$B$204,MATCH(B841,Recipes!$A$5:$A$204,0)),"Not found"))</f>
        <v>0</v>
      </c>
      <c r="J841" s="45">
        <f>IF(E841="","",IFERROR(E841*INDEX(UnitFactors,MATCH(F841,UnitNames,0)),""))</f>
        <v>0</v>
      </c>
      <c r="K841" s="17">
        <f>IF(F841="","",IFERROR(INDEX(UnitBases,MATCH(F841,UnitNames,0)),"?"))</f>
        <v>0</v>
      </c>
      <c r="L841" s="17">
        <f>IF(D841="","",IFERROR(INDEX(Ingredients!$G$5:$G$304,MATCH(D841,Ingredients!$B$5:$B$304,0)),"Add to Ingredients"))</f>
        <v>0</v>
      </c>
      <c r="M841" s="25">
        <f>IF(D841="","",IFERROR(INDEX(Ingredients!$J$5:$J$304,MATCH(D841,Ingredients!$B$5:$B$304,0)),"Add to Ingredients"))</f>
        <v>0</v>
      </c>
      <c r="N841" s="25">
        <f>IF(OR(J841="",M841="",NOT(ISNUMBER(M841))),"",IF(K841&lt;&gt;L841,"",J841*M841))</f>
        <v>0</v>
      </c>
      <c r="O841" s="25">
        <f>IF(N841="","",IFERROR(N841/INDEX(Recipes!$G$5:$G$204,MATCH(B841,Recipes!$A$5:$A$204,0)),""))</f>
        <v>0</v>
      </c>
      <c r="P841" s="30">
        <f>IF(J841="","",IF(K841="each",J841,J841/100))</f>
        <v>0</v>
      </c>
      <c r="Q841" s="30">
        <f>IFERROR(IF(P841="","",P841*INDEX(Ingredients!$P$5:$P$304,MATCH(D841,Ingredients!$B$5:$B$304,0))),"")</f>
        <v>0</v>
      </c>
      <c r="R841" s="45">
        <f>IFERROR(IF(P841="","",P841*INDEX(Ingredients!$Q$5:$Q$304,MATCH(D841,Ingredients!$B$5:$B$304,0))),"")</f>
        <v>0</v>
      </c>
      <c r="S841" s="45">
        <f>IFERROR(IF(P841="","",P841*INDEX(Ingredients!$R$5:$R$304,MATCH(D841,Ingredients!$B$5:$B$304,0))),"")</f>
        <v>0</v>
      </c>
      <c r="T841" s="45">
        <f>IFERROR(IF(P841="","",P841*INDEX(Ingredients!$S$5:$S$304,MATCH(D841,Ingredients!$B$5:$B$304,0))),"")</f>
        <v>0</v>
      </c>
      <c r="U841" s="45">
        <f>IFERROR(IF(P841="","",P841*INDEX(Ingredients!$T$5:$T$304,MATCH(D841,Ingredients!$B$5:$B$304,0))),"")</f>
        <v>0</v>
      </c>
      <c r="V841" s="17">
        <f>IF(D841="","",IFERROR(INDEX(Ingredients!$W$5:$W$304,MATCH(D841,Ingredients!$B$5:$B$304,0)),"Add to Ingredients"))</f>
        <v>0</v>
      </c>
      <c r="W841" s="17">
        <f>IF(D841="","",IFERROR(INDEX(Ingredients!$C$5:$C$304,MATCH(D841,Ingredients!$B$5:$B$304,0)),"Add to Ingredients"))</f>
        <v>0</v>
      </c>
      <c r="X841" s="45">
        <f>IFERROR(INDEX(Recipes!$AT$5:$AT$204,MATCH(B841,Recipes!$A$5:$A$204,0)),0)</f>
        <v>0</v>
      </c>
      <c r="Y841" s="45">
        <f>IF(OR(J841="",X841=0),"",J841*X841)</f>
        <v>0</v>
      </c>
      <c r="Z841" s="17">
        <f>IF(D841="","",B841&amp;"#"&amp;COUNTIFS($B$5:B841,B841))</f>
        <v>0</v>
      </c>
      <c r="AA841" s="17">
        <f>IF(D841="","",B841&amp;"|"&amp;D841)</f>
        <v>0</v>
      </c>
      <c r="AB841" s="31">
        <f>IF(D841="","",IF(B841="","Add - which recipe?",IF(COUNTIFS(Ingredients!$B$5:$B$304,D841)=0,"Missing - not in the Ingredients tab",IF(E841="","Add - no quantity",IF(F841="","Add - no unit",IF(K841&lt;&gt;L841,"Check - recipe in "&amp;K841&amp;", priced in "&amp;L841,IF(COUNTIFS($AA$5:$AA$1204,AA841)&gt;1,"Duplicate - same ingredient twice","OK")))))))</f>
        <v>0</v>
      </c>
    </row>
    <row r="842" spans="1:28">
      <c r="A842" s="39">
        <f>IF(D842="","","RL-"&amp;TEXT(ROW()-4,"0000"))</f>
        <v>0</v>
      </c>
      <c r="C842" s="17">
        <f>IF(B842="","",IFERROR(INDEX(Recipes!$B$5:$B$204,MATCH(B842,Recipes!$A$5:$A$204,0)),"Not found"))</f>
        <v>0</v>
      </c>
      <c r="J842" s="45">
        <f>IF(E842="","",IFERROR(E842*INDEX(UnitFactors,MATCH(F842,UnitNames,0)),""))</f>
        <v>0</v>
      </c>
      <c r="K842" s="17">
        <f>IF(F842="","",IFERROR(INDEX(UnitBases,MATCH(F842,UnitNames,0)),"?"))</f>
        <v>0</v>
      </c>
      <c r="L842" s="17">
        <f>IF(D842="","",IFERROR(INDEX(Ingredients!$G$5:$G$304,MATCH(D842,Ingredients!$B$5:$B$304,0)),"Add to Ingredients"))</f>
        <v>0</v>
      </c>
      <c r="M842" s="25">
        <f>IF(D842="","",IFERROR(INDEX(Ingredients!$J$5:$J$304,MATCH(D842,Ingredients!$B$5:$B$304,0)),"Add to Ingredients"))</f>
        <v>0</v>
      </c>
      <c r="N842" s="25">
        <f>IF(OR(J842="",M842="",NOT(ISNUMBER(M842))),"",IF(K842&lt;&gt;L842,"",J842*M842))</f>
        <v>0</v>
      </c>
      <c r="O842" s="25">
        <f>IF(N842="","",IFERROR(N842/INDEX(Recipes!$G$5:$G$204,MATCH(B842,Recipes!$A$5:$A$204,0)),""))</f>
        <v>0</v>
      </c>
      <c r="P842" s="30">
        <f>IF(J842="","",IF(K842="each",J842,J842/100))</f>
        <v>0</v>
      </c>
      <c r="Q842" s="30">
        <f>IFERROR(IF(P842="","",P842*INDEX(Ingredients!$P$5:$P$304,MATCH(D842,Ingredients!$B$5:$B$304,0))),"")</f>
        <v>0</v>
      </c>
      <c r="R842" s="45">
        <f>IFERROR(IF(P842="","",P842*INDEX(Ingredients!$Q$5:$Q$304,MATCH(D842,Ingredients!$B$5:$B$304,0))),"")</f>
        <v>0</v>
      </c>
      <c r="S842" s="45">
        <f>IFERROR(IF(P842="","",P842*INDEX(Ingredients!$R$5:$R$304,MATCH(D842,Ingredients!$B$5:$B$304,0))),"")</f>
        <v>0</v>
      </c>
      <c r="T842" s="45">
        <f>IFERROR(IF(P842="","",P842*INDEX(Ingredients!$S$5:$S$304,MATCH(D842,Ingredients!$B$5:$B$304,0))),"")</f>
        <v>0</v>
      </c>
      <c r="U842" s="45">
        <f>IFERROR(IF(P842="","",P842*INDEX(Ingredients!$T$5:$T$304,MATCH(D842,Ingredients!$B$5:$B$304,0))),"")</f>
        <v>0</v>
      </c>
      <c r="V842" s="17">
        <f>IF(D842="","",IFERROR(INDEX(Ingredients!$W$5:$W$304,MATCH(D842,Ingredients!$B$5:$B$304,0)),"Add to Ingredients"))</f>
        <v>0</v>
      </c>
      <c r="W842" s="17">
        <f>IF(D842="","",IFERROR(INDEX(Ingredients!$C$5:$C$304,MATCH(D842,Ingredients!$B$5:$B$304,0)),"Add to Ingredients"))</f>
        <v>0</v>
      </c>
      <c r="X842" s="45">
        <f>IFERROR(INDEX(Recipes!$AT$5:$AT$204,MATCH(B842,Recipes!$A$5:$A$204,0)),0)</f>
        <v>0</v>
      </c>
      <c r="Y842" s="45">
        <f>IF(OR(J842="",X842=0),"",J842*X842)</f>
        <v>0</v>
      </c>
      <c r="Z842" s="17">
        <f>IF(D842="","",B842&amp;"#"&amp;COUNTIFS($B$5:B842,B842))</f>
        <v>0</v>
      </c>
      <c r="AA842" s="17">
        <f>IF(D842="","",B842&amp;"|"&amp;D842)</f>
        <v>0</v>
      </c>
      <c r="AB842" s="31">
        <f>IF(D842="","",IF(B842="","Add - which recipe?",IF(COUNTIFS(Ingredients!$B$5:$B$304,D842)=0,"Missing - not in the Ingredients tab",IF(E842="","Add - no quantity",IF(F842="","Add - no unit",IF(K842&lt;&gt;L842,"Check - recipe in "&amp;K842&amp;", priced in "&amp;L842,IF(COUNTIFS($AA$5:$AA$1204,AA842)&gt;1,"Duplicate - same ingredient twice","OK")))))))</f>
        <v>0</v>
      </c>
    </row>
    <row r="843" spans="1:28">
      <c r="A843" s="39">
        <f>IF(D843="","","RL-"&amp;TEXT(ROW()-4,"0000"))</f>
        <v>0</v>
      </c>
      <c r="C843" s="17">
        <f>IF(B843="","",IFERROR(INDEX(Recipes!$B$5:$B$204,MATCH(B843,Recipes!$A$5:$A$204,0)),"Not found"))</f>
        <v>0</v>
      </c>
      <c r="J843" s="45">
        <f>IF(E843="","",IFERROR(E843*INDEX(UnitFactors,MATCH(F843,UnitNames,0)),""))</f>
        <v>0</v>
      </c>
      <c r="K843" s="17">
        <f>IF(F843="","",IFERROR(INDEX(UnitBases,MATCH(F843,UnitNames,0)),"?"))</f>
        <v>0</v>
      </c>
      <c r="L843" s="17">
        <f>IF(D843="","",IFERROR(INDEX(Ingredients!$G$5:$G$304,MATCH(D843,Ingredients!$B$5:$B$304,0)),"Add to Ingredients"))</f>
        <v>0</v>
      </c>
      <c r="M843" s="25">
        <f>IF(D843="","",IFERROR(INDEX(Ingredients!$J$5:$J$304,MATCH(D843,Ingredients!$B$5:$B$304,0)),"Add to Ingredients"))</f>
        <v>0</v>
      </c>
      <c r="N843" s="25">
        <f>IF(OR(J843="",M843="",NOT(ISNUMBER(M843))),"",IF(K843&lt;&gt;L843,"",J843*M843))</f>
        <v>0</v>
      </c>
      <c r="O843" s="25">
        <f>IF(N843="","",IFERROR(N843/INDEX(Recipes!$G$5:$G$204,MATCH(B843,Recipes!$A$5:$A$204,0)),""))</f>
        <v>0</v>
      </c>
      <c r="P843" s="30">
        <f>IF(J843="","",IF(K843="each",J843,J843/100))</f>
        <v>0</v>
      </c>
      <c r="Q843" s="30">
        <f>IFERROR(IF(P843="","",P843*INDEX(Ingredients!$P$5:$P$304,MATCH(D843,Ingredients!$B$5:$B$304,0))),"")</f>
        <v>0</v>
      </c>
      <c r="R843" s="45">
        <f>IFERROR(IF(P843="","",P843*INDEX(Ingredients!$Q$5:$Q$304,MATCH(D843,Ingredients!$B$5:$B$304,0))),"")</f>
        <v>0</v>
      </c>
      <c r="S843" s="45">
        <f>IFERROR(IF(P843="","",P843*INDEX(Ingredients!$R$5:$R$304,MATCH(D843,Ingredients!$B$5:$B$304,0))),"")</f>
        <v>0</v>
      </c>
      <c r="T843" s="45">
        <f>IFERROR(IF(P843="","",P843*INDEX(Ingredients!$S$5:$S$304,MATCH(D843,Ingredients!$B$5:$B$304,0))),"")</f>
        <v>0</v>
      </c>
      <c r="U843" s="45">
        <f>IFERROR(IF(P843="","",P843*INDEX(Ingredients!$T$5:$T$304,MATCH(D843,Ingredients!$B$5:$B$304,0))),"")</f>
        <v>0</v>
      </c>
      <c r="V843" s="17">
        <f>IF(D843="","",IFERROR(INDEX(Ingredients!$W$5:$W$304,MATCH(D843,Ingredients!$B$5:$B$304,0)),"Add to Ingredients"))</f>
        <v>0</v>
      </c>
      <c r="W843" s="17">
        <f>IF(D843="","",IFERROR(INDEX(Ingredients!$C$5:$C$304,MATCH(D843,Ingredients!$B$5:$B$304,0)),"Add to Ingredients"))</f>
        <v>0</v>
      </c>
      <c r="X843" s="45">
        <f>IFERROR(INDEX(Recipes!$AT$5:$AT$204,MATCH(B843,Recipes!$A$5:$A$204,0)),0)</f>
        <v>0</v>
      </c>
      <c r="Y843" s="45">
        <f>IF(OR(J843="",X843=0),"",J843*X843)</f>
        <v>0</v>
      </c>
      <c r="Z843" s="17">
        <f>IF(D843="","",B843&amp;"#"&amp;COUNTIFS($B$5:B843,B843))</f>
        <v>0</v>
      </c>
      <c r="AA843" s="17">
        <f>IF(D843="","",B843&amp;"|"&amp;D843)</f>
        <v>0</v>
      </c>
      <c r="AB843" s="31">
        <f>IF(D843="","",IF(B843="","Add - which recipe?",IF(COUNTIFS(Ingredients!$B$5:$B$304,D843)=0,"Missing - not in the Ingredients tab",IF(E843="","Add - no quantity",IF(F843="","Add - no unit",IF(K843&lt;&gt;L843,"Check - recipe in "&amp;K843&amp;", priced in "&amp;L843,IF(COUNTIFS($AA$5:$AA$1204,AA843)&gt;1,"Duplicate - same ingredient twice","OK")))))))</f>
        <v>0</v>
      </c>
    </row>
    <row r="844" spans="1:28">
      <c r="A844" s="39">
        <f>IF(D844="","","RL-"&amp;TEXT(ROW()-4,"0000"))</f>
        <v>0</v>
      </c>
      <c r="C844" s="17">
        <f>IF(B844="","",IFERROR(INDEX(Recipes!$B$5:$B$204,MATCH(B844,Recipes!$A$5:$A$204,0)),"Not found"))</f>
        <v>0</v>
      </c>
      <c r="J844" s="45">
        <f>IF(E844="","",IFERROR(E844*INDEX(UnitFactors,MATCH(F844,UnitNames,0)),""))</f>
        <v>0</v>
      </c>
      <c r="K844" s="17">
        <f>IF(F844="","",IFERROR(INDEX(UnitBases,MATCH(F844,UnitNames,0)),"?"))</f>
        <v>0</v>
      </c>
      <c r="L844" s="17">
        <f>IF(D844="","",IFERROR(INDEX(Ingredients!$G$5:$G$304,MATCH(D844,Ingredients!$B$5:$B$304,0)),"Add to Ingredients"))</f>
        <v>0</v>
      </c>
      <c r="M844" s="25">
        <f>IF(D844="","",IFERROR(INDEX(Ingredients!$J$5:$J$304,MATCH(D844,Ingredients!$B$5:$B$304,0)),"Add to Ingredients"))</f>
        <v>0</v>
      </c>
      <c r="N844" s="25">
        <f>IF(OR(J844="",M844="",NOT(ISNUMBER(M844))),"",IF(K844&lt;&gt;L844,"",J844*M844))</f>
        <v>0</v>
      </c>
      <c r="O844" s="25">
        <f>IF(N844="","",IFERROR(N844/INDEX(Recipes!$G$5:$G$204,MATCH(B844,Recipes!$A$5:$A$204,0)),""))</f>
        <v>0</v>
      </c>
      <c r="P844" s="30">
        <f>IF(J844="","",IF(K844="each",J844,J844/100))</f>
        <v>0</v>
      </c>
      <c r="Q844" s="30">
        <f>IFERROR(IF(P844="","",P844*INDEX(Ingredients!$P$5:$P$304,MATCH(D844,Ingredients!$B$5:$B$304,0))),"")</f>
        <v>0</v>
      </c>
      <c r="R844" s="45">
        <f>IFERROR(IF(P844="","",P844*INDEX(Ingredients!$Q$5:$Q$304,MATCH(D844,Ingredients!$B$5:$B$304,0))),"")</f>
        <v>0</v>
      </c>
      <c r="S844" s="45">
        <f>IFERROR(IF(P844="","",P844*INDEX(Ingredients!$R$5:$R$304,MATCH(D844,Ingredients!$B$5:$B$304,0))),"")</f>
        <v>0</v>
      </c>
      <c r="T844" s="45">
        <f>IFERROR(IF(P844="","",P844*INDEX(Ingredients!$S$5:$S$304,MATCH(D844,Ingredients!$B$5:$B$304,0))),"")</f>
        <v>0</v>
      </c>
      <c r="U844" s="45">
        <f>IFERROR(IF(P844="","",P844*INDEX(Ingredients!$T$5:$T$304,MATCH(D844,Ingredients!$B$5:$B$304,0))),"")</f>
        <v>0</v>
      </c>
      <c r="V844" s="17">
        <f>IF(D844="","",IFERROR(INDEX(Ingredients!$W$5:$W$304,MATCH(D844,Ingredients!$B$5:$B$304,0)),"Add to Ingredients"))</f>
        <v>0</v>
      </c>
      <c r="W844" s="17">
        <f>IF(D844="","",IFERROR(INDEX(Ingredients!$C$5:$C$304,MATCH(D844,Ingredients!$B$5:$B$304,0)),"Add to Ingredients"))</f>
        <v>0</v>
      </c>
      <c r="X844" s="45">
        <f>IFERROR(INDEX(Recipes!$AT$5:$AT$204,MATCH(B844,Recipes!$A$5:$A$204,0)),0)</f>
        <v>0</v>
      </c>
      <c r="Y844" s="45">
        <f>IF(OR(J844="",X844=0),"",J844*X844)</f>
        <v>0</v>
      </c>
      <c r="Z844" s="17">
        <f>IF(D844="","",B844&amp;"#"&amp;COUNTIFS($B$5:B844,B844))</f>
        <v>0</v>
      </c>
      <c r="AA844" s="17">
        <f>IF(D844="","",B844&amp;"|"&amp;D844)</f>
        <v>0</v>
      </c>
      <c r="AB844" s="31">
        <f>IF(D844="","",IF(B844="","Add - which recipe?",IF(COUNTIFS(Ingredients!$B$5:$B$304,D844)=0,"Missing - not in the Ingredients tab",IF(E844="","Add - no quantity",IF(F844="","Add - no unit",IF(K844&lt;&gt;L844,"Check - recipe in "&amp;K844&amp;", priced in "&amp;L844,IF(COUNTIFS($AA$5:$AA$1204,AA844)&gt;1,"Duplicate - same ingredient twice","OK")))))))</f>
        <v>0</v>
      </c>
    </row>
    <row r="845" spans="1:28">
      <c r="A845" s="39">
        <f>IF(D845="","","RL-"&amp;TEXT(ROW()-4,"0000"))</f>
        <v>0</v>
      </c>
      <c r="C845" s="17">
        <f>IF(B845="","",IFERROR(INDEX(Recipes!$B$5:$B$204,MATCH(B845,Recipes!$A$5:$A$204,0)),"Not found"))</f>
        <v>0</v>
      </c>
      <c r="J845" s="45">
        <f>IF(E845="","",IFERROR(E845*INDEX(UnitFactors,MATCH(F845,UnitNames,0)),""))</f>
        <v>0</v>
      </c>
      <c r="K845" s="17">
        <f>IF(F845="","",IFERROR(INDEX(UnitBases,MATCH(F845,UnitNames,0)),"?"))</f>
        <v>0</v>
      </c>
      <c r="L845" s="17">
        <f>IF(D845="","",IFERROR(INDEX(Ingredients!$G$5:$G$304,MATCH(D845,Ingredients!$B$5:$B$304,0)),"Add to Ingredients"))</f>
        <v>0</v>
      </c>
      <c r="M845" s="25">
        <f>IF(D845="","",IFERROR(INDEX(Ingredients!$J$5:$J$304,MATCH(D845,Ingredients!$B$5:$B$304,0)),"Add to Ingredients"))</f>
        <v>0</v>
      </c>
      <c r="N845" s="25">
        <f>IF(OR(J845="",M845="",NOT(ISNUMBER(M845))),"",IF(K845&lt;&gt;L845,"",J845*M845))</f>
        <v>0</v>
      </c>
      <c r="O845" s="25">
        <f>IF(N845="","",IFERROR(N845/INDEX(Recipes!$G$5:$G$204,MATCH(B845,Recipes!$A$5:$A$204,0)),""))</f>
        <v>0</v>
      </c>
      <c r="P845" s="30">
        <f>IF(J845="","",IF(K845="each",J845,J845/100))</f>
        <v>0</v>
      </c>
      <c r="Q845" s="30">
        <f>IFERROR(IF(P845="","",P845*INDEX(Ingredients!$P$5:$P$304,MATCH(D845,Ingredients!$B$5:$B$304,0))),"")</f>
        <v>0</v>
      </c>
      <c r="R845" s="45">
        <f>IFERROR(IF(P845="","",P845*INDEX(Ingredients!$Q$5:$Q$304,MATCH(D845,Ingredients!$B$5:$B$304,0))),"")</f>
        <v>0</v>
      </c>
      <c r="S845" s="45">
        <f>IFERROR(IF(P845="","",P845*INDEX(Ingredients!$R$5:$R$304,MATCH(D845,Ingredients!$B$5:$B$304,0))),"")</f>
        <v>0</v>
      </c>
      <c r="T845" s="45">
        <f>IFERROR(IF(P845="","",P845*INDEX(Ingredients!$S$5:$S$304,MATCH(D845,Ingredients!$B$5:$B$304,0))),"")</f>
        <v>0</v>
      </c>
      <c r="U845" s="45">
        <f>IFERROR(IF(P845="","",P845*INDEX(Ingredients!$T$5:$T$304,MATCH(D845,Ingredients!$B$5:$B$304,0))),"")</f>
        <v>0</v>
      </c>
      <c r="V845" s="17">
        <f>IF(D845="","",IFERROR(INDEX(Ingredients!$W$5:$W$304,MATCH(D845,Ingredients!$B$5:$B$304,0)),"Add to Ingredients"))</f>
        <v>0</v>
      </c>
      <c r="W845" s="17">
        <f>IF(D845="","",IFERROR(INDEX(Ingredients!$C$5:$C$304,MATCH(D845,Ingredients!$B$5:$B$304,0)),"Add to Ingredients"))</f>
        <v>0</v>
      </c>
      <c r="X845" s="45">
        <f>IFERROR(INDEX(Recipes!$AT$5:$AT$204,MATCH(B845,Recipes!$A$5:$A$204,0)),0)</f>
        <v>0</v>
      </c>
      <c r="Y845" s="45">
        <f>IF(OR(J845="",X845=0),"",J845*X845)</f>
        <v>0</v>
      </c>
      <c r="Z845" s="17">
        <f>IF(D845="","",B845&amp;"#"&amp;COUNTIFS($B$5:B845,B845))</f>
        <v>0</v>
      </c>
      <c r="AA845" s="17">
        <f>IF(D845="","",B845&amp;"|"&amp;D845)</f>
        <v>0</v>
      </c>
      <c r="AB845" s="31">
        <f>IF(D845="","",IF(B845="","Add - which recipe?",IF(COUNTIFS(Ingredients!$B$5:$B$304,D845)=0,"Missing - not in the Ingredients tab",IF(E845="","Add - no quantity",IF(F845="","Add - no unit",IF(K845&lt;&gt;L845,"Check - recipe in "&amp;K845&amp;", priced in "&amp;L845,IF(COUNTIFS($AA$5:$AA$1204,AA845)&gt;1,"Duplicate - same ingredient twice","OK")))))))</f>
        <v>0</v>
      </c>
    </row>
    <row r="846" spans="1:28">
      <c r="A846" s="39">
        <f>IF(D846="","","RL-"&amp;TEXT(ROW()-4,"0000"))</f>
        <v>0</v>
      </c>
      <c r="C846" s="17">
        <f>IF(B846="","",IFERROR(INDEX(Recipes!$B$5:$B$204,MATCH(B846,Recipes!$A$5:$A$204,0)),"Not found"))</f>
        <v>0</v>
      </c>
      <c r="J846" s="45">
        <f>IF(E846="","",IFERROR(E846*INDEX(UnitFactors,MATCH(F846,UnitNames,0)),""))</f>
        <v>0</v>
      </c>
      <c r="K846" s="17">
        <f>IF(F846="","",IFERROR(INDEX(UnitBases,MATCH(F846,UnitNames,0)),"?"))</f>
        <v>0</v>
      </c>
      <c r="L846" s="17">
        <f>IF(D846="","",IFERROR(INDEX(Ingredients!$G$5:$G$304,MATCH(D846,Ingredients!$B$5:$B$304,0)),"Add to Ingredients"))</f>
        <v>0</v>
      </c>
      <c r="M846" s="25">
        <f>IF(D846="","",IFERROR(INDEX(Ingredients!$J$5:$J$304,MATCH(D846,Ingredients!$B$5:$B$304,0)),"Add to Ingredients"))</f>
        <v>0</v>
      </c>
      <c r="N846" s="25">
        <f>IF(OR(J846="",M846="",NOT(ISNUMBER(M846))),"",IF(K846&lt;&gt;L846,"",J846*M846))</f>
        <v>0</v>
      </c>
      <c r="O846" s="25">
        <f>IF(N846="","",IFERROR(N846/INDEX(Recipes!$G$5:$G$204,MATCH(B846,Recipes!$A$5:$A$204,0)),""))</f>
        <v>0</v>
      </c>
      <c r="P846" s="30">
        <f>IF(J846="","",IF(K846="each",J846,J846/100))</f>
        <v>0</v>
      </c>
      <c r="Q846" s="30">
        <f>IFERROR(IF(P846="","",P846*INDEX(Ingredients!$P$5:$P$304,MATCH(D846,Ingredients!$B$5:$B$304,0))),"")</f>
        <v>0</v>
      </c>
      <c r="R846" s="45">
        <f>IFERROR(IF(P846="","",P846*INDEX(Ingredients!$Q$5:$Q$304,MATCH(D846,Ingredients!$B$5:$B$304,0))),"")</f>
        <v>0</v>
      </c>
      <c r="S846" s="45">
        <f>IFERROR(IF(P846="","",P846*INDEX(Ingredients!$R$5:$R$304,MATCH(D846,Ingredients!$B$5:$B$304,0))),"")</f>
        <v>0</v>
      </c>
      <c r="T846" s="45">
        <f>IFERROR(IF(P846="","",P846*INDEX(Ingredients!$S$5:$S$304,MATCH(D846,Ingredients!$B$5:$B$304,0))),"")</f>
        <v>0</v>
      </c>
      <c r="U846" s="45">
        <f>IFERROR(IF(P846="","",P846*INDEX(Ingredients!$T$5:$T$304,MATCH(D846,Ingredients!$B$5:$B$304,0))),"")</f>
        <v>0</v>
      </c>
      <c r="V846" s="17">
        <f>IF(D846="","",IFERROR(INDEX(Ingredients!$W$5:$W$304,MATCH(D846,Ingredients!$B$5:$B$304,0)),"Add to Ingredients"))</f>
        <v>0</v>
      </c>
      <c r="W846" s="17">
        <f>IF(D846="","",IFERROR(INDEX(Ingredients!$C$5:$C$304,MATCH(D846,Ingredients!$B$5:$B$304,0)),"Add to Ingredients"))</f>
        <v>0</v>
      </c>
      <c r="X846" s="45">
        <f>IFERROR(INDEX(Recipes!$AT$5:$AT$204,MATCH(B846,Recipes!$A$5:$A$204,0)),0)</f>
        <v>0</v>
      </c>
      <c r="Y846" s="45">
        <f>IF(OR(J846="",X846=0),"",J846*X846)</f>
        <v>0</v>
      </c>
      <c r="Z846" s="17">
        <f>IF(D846="","",B846&amp;"#"&amp;COUNTIFS($B$5:B846,B846))</f>
        <v>0</v>
      </c>
      <c r="AA846" s="17">
        <f>IF(D846="","",B846&amp;"|"&amp;D846)</f>
        <v>0</v>
      </c>
      <c r="AB846" s="31">
        <f>IF(D846="","",IF(B846="","Add - which recipe?",IF(COUNTIFS(Ingredients!$B$5:$B$304,D846)=0,"Missing - not in the Ingredients tab",IF(E846="","Add - no quantity",IF(F846="","Add - no unit",IF(K846&lt;&gt;L846,"Check - recipe in "&amp;K846&amp;", priced in "&amp;L846,IF(COUNTIFS($AA$5:$AA$1204,AA846)&gt;1,"Duplicate - same ingredient twice","OK")))))))</f>
        <v>0</v>
      </c>
    </row>
    <row r="847" spans="1:28">
      <c r="A847" s="39">
        <f>IF(D847="","","RL-"&amp;TEXT(ROW()-4,"0000"))</f>
        <v>0</v>
      </c>
      <c r="C847" s="17">
        <f>IF(B847="","",IFERROR(INDEX(Recipes!$B$5:$B$204,MATCH(B847,Recipes!$A$5:$A$204,0)),"Not found"))</f>
        <v>0</v>
      </c>
      <c r="J847" s="45">
        <f>IF(E847="","",IFERROR(E847*INDEX(UnitFactors,MATCH(F847,UnitNames,0)),""))</f>
        <v>0</v>
      </c>
      <c r="K847" s="17">
        <f>IF(F847="","",IFERROR(INDEX(UnitBases,MATCH(F847,UnitNames,0)),"?"))</f>
        <v>0</v>
      </c>
      <c r="L847" s="17">
        <f>IF(D847="","",IFERROR(INDEX(Ingredients!$G$5:$G$304,MATCH(D847,Ingredients!$B$5:$B$304,0)),"Add to Ingredients"))</f>
        <v>0</v>
      </c>
      <c r="M847" s="25">
        <f>IF(D847="","",IFERROR(INDEX(Ingredients!$J$5:$J$304,MATCH(D847,Ingredients!$B$5:$B$304,0)),"Add to Ingredients"))</f>
        <v>0</v>
      </c>
      <c r="N847" s="25">
        <f>IF(OR(J847="",M847="",NOT(ISNUMBER(M847))),"",IF(K847&lt;&gt;L847,"",J847*M847))</f>
        <v>0</v>
      </c>
      <c r="O847" s="25">
        <f>IF(N847="","",IFERROR(N847/INDEX(Recipes!$G$5:$G$204,MATCH(B847,Recipes!$A$5:$A$204,0)),""))</f>
        <v>0</v>
      </c>
      <c r="P847" s="30">
        <f>IF(J847="","",IF(K847="each",J847,J847/100))</f>
        <v>0</v>
      </c>
      <c r="Q847" s="30">
        <f>IFERROR(IF(P847="","",P847*INDEX(Ingredients!$P$5:$P$304,MATCH(D847,Ingredients!$B$5:$B$304,0))),"")</f>
        <v>0</v>
      </c>
      <c r="R847" s="45">
        <f>IFERROR(IF(P847="","",P847*INDEX(Ingredients!$Q$5:$Q$304,MATCH(D847,Ingredients!$B$5:$B$304,0))),"")</f>
        <v>0</v>
      </c>
      <c r="S847" s="45">
        <f>IFERROR(IF(P847="","",P847*INDEX(Ingredients!$R$5:$R$304,MATCH(D847,Ingredients!$B$5:$B$304,0))),"")</f>
        <v>0</v>
      </c>
      <c r="T847" s="45">
        <f>IFERROR(IF(P847="","",P847*INDEX(Ingredients!$S$5:$S$304,MATCH(D847,Ingredients!$B$5:$B$304,0))),"")</f>
        <v>0</v>
      </c>
      <c r="U847" s="45">
        <f>IFERROR(IF(P847="","",P847*INDEX(Ingredients!$T$5:$T$304,MATCH(D847,Ingredients!$B$5:$B$304,0))),"")</f>
        <v>0</v>
      </c>
      <c r="V847" s="17">
        <f>IF(D847="","",IFERROR(INDEX(Ingredients!$W$5:$W$304,MATCH(D847,Ingredients!$B$5:$B$304,0)),"Add to Ingredients"))</f>
        <v>0</v>
      </c>
      <c r="W847" s="17">
        <f>IF(D847="","",IFERROR(INDEX(Ingredients!$C$5:$C$304,MATCH(D847,Ingredients!$B$5:$B$304,0)),"Add to Ingredients"))</f>
        <v>0</v>
      </c>
      <c r="X847" s="45">
        <f>IFERROR(INDEX(Recipes!$AT$5:$AT$204,MATCH(B847,Recipes!$A$5:$A$204,0)),0)</f>
        <v>0</v>
      </c>
      <c r="Y847" s="45">
        <f>IF(OR(J847="",X847=0),"",J847*X847)</f>
        <v>0</v>
      </c>
      <c r="Z847" s="17">
        <f>IF(D847="","",B847&amp;"#"&amp;COUNTIFS($B$5:B847,B847))</f>
        <v>0</v>
      </c>
      <c r="AA847" s="17">
        <f>IF(D847="","",B847&amp;"|"&amp;D847)</f>
        <v>0</v>
      </c>
      <c r="AB847" s="31">
        <f>IF(D847="","",IF(B847="","Add - which recipe?",IF(COUNTIFS(Ingredients!$B$5:$B$304,D847)=0,"Missing - not in the Ingredients tab",IF(E847="","Add - no quantity",IF(F847="","Add - no unit",IF(K847&lt;&gt;L847,"Check - recipe in "&amp;K847&amp;", priced in "&amp;L847,IF(COUNTIFS($AA$5:$AA$1204,AA847)&gt;1,"Duplicate - same ingredient twice","OK")))))))</f>
        <v>0</v>
      </c>
    </row>
    <row r="848" spans="1:28">
      <c r="A848" s="39">
        <f>IF(D848="","","RL-"&amp;TEXT(ROW()-4,"0000"))</f>
        <v>0</v>
      </c>
      <c r="C848" s="17">
        <f>IF(B848="","",IFERROR(INDEX(Recipes!$B$5:$B$204,MATCH(B848,Recipes!$A$5:$A$204,0)),"Not found"))</f>
        <v>0</v>
      </c>
      <c r="J848" s="45">
        <f>IF(E848="","",IFERROR(E848*INDEX(UnitFactors,MATCH(F848,UnitNames,0)),""))</f>
        <v>0</v>
      </c>
      <c r="K848" s="17">
        <f>IF(F848="","",IFERROR(INDEX(UnitBases,MATCH(F848,UnitNames,0)),"?"))</f>
        <v>0</v>
      </c>
      <c r="L848" s="17">
        <f>IF(D848="","",IFERROR(INDEX(Ingredients!$G$5:$G$304,MATCH(D848,Ingredients!$B$5:$B$304,0)),"Add to Ingredients"))</f>
        <v>0</v>
      </c>
      <c r="M848" s="25">
        <f>IF(D848="","",IFERROR(INDEX(Ingredients!$J$5:$J$304,MATCH(D848,Ingredients!$B$5:$B$304,0)),"Add to Ingredients"))</f>
        <v>0</v>
      </c>
      <c r="N848" s="25">
        <f>IF(OR(J848="",M848="",NOT(ISNUMBER(M848))),"",IF(K848&lt;&gt;L848,"",J848*M848))</f>
        <v>0</v>
      </c>
      <c r="O848" s="25">
        <f>IF(N848="","",IFERROR(N848/INDEX(Recipes!$G$5:$G$204,MATCH(B848,Recipes!$A$5:$A$204,0)),""))</f>
        <v>0</v>
      </c>
      <c r="P848" s="30">
        <f>IF(J848="","",IF(K848="each",J848,J848/100))</f>
        <v>0</v>
      </c>
      <c r="Q848" s="30">
        <f>IFERROR(IF(P848="","",P848*INDEX(Ingredients!$P$5:$P$304,MATCH(D848,Ingredients!$B$5:$B$304,0))),"")</f>
        <v>0</v>
      </c>
      <c r="R848" s="45">
        <f>IFERROR(IF(P848="","",P848*INDEX(Ingredients!$Q$5:$Q$304,MATCH(D848,Ingredients!$B$5:$B$304,0))),"")</f>
        <v>0</v>
      </c>
      <c r="S848" s="45">
        <f>IFERROR(IF(P848="","",P848*INDEX(Ingredients!$R$5:$R$304,MATCH(D848,Ingredients!$B$5:$B$304,0))),"")</f>
        <v>0</v>
      </c>
      <c r="T848" s="45">
        <f>IFERROR(IF(P848="","",P848*INDEX(Ingredients!$S$5:$S$304,MATCH(D848,Ingredients!$B$5:$B$304,0))),"")</f>
        <v>0</v>
      </c>
      <c r="U848" s="45">
        <f>IFERROR(IF(P848="","",P848*INDEX(Ingredients!$T$5:$T$304,MATCH(D848,Ingredients!$B$5:$B$304,0))),"")</f>
        <v>0</v>
      </c>
      <c r="V848" s="17">
        <f>IF(D848="","",IFERROR(INDEX(Ingredients!$W$5:$W$304,MATCH(D848,Ingredients!$B$5:$B$304,0)),"Add to Ingredients"))</f>
        <v>0</v>
      </c>
      <c r="W848" s="17">
        <f>IF(D848="","",IFERROR(INDEX(Ingredients!$C$5:$C$304,MATCH(D848,Ingredients!$B$5:$B$304,0)),"Add to Ingredients"))</f>
        <v>0</v>
      </c>
      <c r="X848" s="45">
        <f>IFERROR(INDEX(Recipes!$AT$5:$AT$204,MATCH(B848,Recipes!$A$5:$A$204,0)),0)</f>
        <v>0</v>
      </c>
      <c r="Y848" s="45">
        <f>IF(OR(J848="",X848=0),"",J848*X848)</f>
        <v>0</v>
      </c>
      <c r="Z848" s="17">
        <f>IF(D848="","",B848&amp;"#"&amp;COUNTIFS($B$5:B848,B848))</f>
        <v>0</v>
      </c>
      <c r="AA848" s="17">
        <f>IF(D848="","",B848&amp;"|"&amp;D848)</f>
        <v>0</v>
      </c>
      <c r="AB848" s="31">
        <f>IF(D848="","",IF(B848="","Add - which recipe?",IF(COUNTIFS(Ingredients!$B$5:$B$304,D848)=0,"Missing - not in the Ingredients tab",IF(E848="","Add - no quantity",IF(F848="","Add - no unit",IF(K848&lt;&gt;L848,"Check - recipe in "&amp;K848&amp;", priced in "&amp;L848,IF(COUNTIFS($AA$5:$AA$1204,AA848)&gt;1,"Duplicate - same ingredient twice","OK")))))))</f>
        <v>0</v>
      </c>
    </row>
    <row r="849" spans="1:28">
      <c r="A849" s="39">
        <f>IF(D849="","","RL-"&amp;TEXT(ROW()-4,"0000"))</f>
        <v>0</v>
      </c>
      <c r="C849" s="17">
        <f>IF(B849="","",IFERROR(INDEX(Recipes!$B$5:$B$204,MATCH(B849,Recipes!$A$5:$A$204,0)),"Not found"))</f>
        <v>0</v>
      </c>
      <c r="J849" s="45">
        <f>IF(E849="","",IFERROR(E849*INDEX(UnitFactors,MATCH(F849,UnitNames,0)),""))</f>
        <v>0</v>
      </c>
      <c r="K849" s="17">
        <f>IF(F849="","",IFERROR(INDEX(UnitBases,MATCH(F849,UnitNames,0)),"?"))</f>
        <v>0</v>
      </c>
      <c r="L849" s="17">
        <f>IF(D849="","",IFERROR(INDEX(Ingredients!$G$5:$G$304,MATCH(D849,Ingredients!$B$5:$B$304,0)),"Add to Ingredients"))</f>
        <v>0</v>
      </c>
      <c r="M849" s="25">
        <f>IF(D849="","",IFERROR(INDEX(Ingredients!$J$5:$J$304,MATCH(D849,Ingredients!$B$5:$B$304,0)),"Add to Ingredients"))</f>
        <v>0</v>
      </c>
      <c r="N849" s="25">
        <f>IF(OR(J849="",M849="",NOT(ISNUMBER(M849))),"",IF(K849&lt;&gt;L849,"",J849*M849))</f>
        <v>0</v>
      </c>
      <c r="O849" s="25">
        <f>IF(N849="","",IFERROR(N849/INDEX(Recipes!$G$5:$G$204,MATCH(B849,Recipes!$A$5:$A$204,0)),""))</f>
        <v>0</v>
      </c>
      <c r="P849" s="30">
        <f>IF(J849="","",IF(K849="each",J849,J849/100))</f>
        <v>0</v>
      </c>
      <c r="Q849" s="30">
        <f>IFERROR(IF(P849="","",P849*INDEX(Ingredients!$P$5:$P$304,MATCH(D849,Ingredients!$B$5:$B$304,0))),"")</f>
        <v>0</v>
      </c>
      <c r="R849" s="45">
        <f>IFERROR(IF(P849="","",P849*INDEX(Ingredients!$Q$5:$Q$304,MATCH(D849,Ingredients!$B$5:$B$304,0))),"")</f>
        <v>0</v>
      </c>
      <c r="S849" s="45">
        <f>IFERROR(IF(P849="","",P849*INDEX(Ingredients!$R$5:$R$304,MATCH(D849,Ingredients!$B$5:$B$304,0))),"")</f>
        <v>0</v>
      </c>
      <c r="T849" s="45">
        <f>IFERROR(IF(P849="","",P849*INDEX(Ingredients!$S$5:$S$304,MATCH(D849,Ingredients!$B$5:$B$304,0))),"")</f>
        <v>0</v>
      </c>
      <c r="U849" s="45">
        <f>IFERROR(IF(P849="","",P849*INDEX(Ingredients!$T$5:$T$304,MATCH(D849,Ingredients!$B$5:$B$304,0))),"")</f>
        <v>0</v>
      </c>
      <c r="V849" s="17">
        <f>IF(D849="","",IFERROR(INDEX(Ingredients!$W$5:$W$304,MATCH(D849,Ingredients!$B$5:$B$304,0)),"Add to Ingredients"))</f>
        <v>0</v>
      </c>
      <c r="W849" s="17">
        <f>IF(D849="","",IFERROR(INDEX(Ingredients!$C$5:$C$304,MATCH(D849,Ingredients!$B$5:$B$304,0)),"Add to Ingredients"))</f>
        <v>0</v>
      </c>
      <c r="X849" s="45">
        <f>IFERROR(INDEX(Recipes!$AT$5:$AT$204,MATCH(B849,Recipes!$A$5:$A$204,0)),0)</f>
        <v>0</v>
      </c>
      <c r="Y849" s="45">
        <f>IF(OR(J849="",X849=0),"",J849*X849)</f>
        <v>0</v>
      </c>
      <c r="Z849" s="17">
        <f>IF(D849="","",B849&amp;"#"&amp;COUNTIFS($B$5:B849,B849))</f>
        <v>0</v>
      </c>
      <c r="AA849" s="17">
        <f>IF(D849="","",B849&amp;"|"&amp;D849)</f>
        <v>0</v>
      </c>
      <c r="AB849" s="31">
        <f>IF(D849="","",IF(B849="","Add - which recipe?",IF(COUNTIFS(Ingredients!$B$5:$B$304,D849)=0,"Missing - not in the Ingredients tab",IF(E849="","Add - no quantity",IF(F849="","Add - no unit",IF(K849&lt;&gt;L849,"Check - recipe in "&amp;K849&amp;", priced in "&amp;L849,IF(COUNTIFS($AA$5:$AA$1204,AA849)&gt;1,"Duplicate - same ingredient twice","OK")))))))</f>
        <v>0</v>
      </c>
    </row>
    <row r="850" spans="1:28">
      <c r="A850" s="39">
        <f>IF(D850="","","RL-"&amp;TEXT(ROW()-4,"0000"))</f>
        <v>0</v>
      </c>
      <c r="C850" s="17">
        <f>IF(B850="","",IFERROR(INDEX(Recipes!$B$5:$B$204,MATCH(B850,Recipes!$A$5:$A$204,0)),"Not found"))</f>
        <v>0</v>
      </c>
      <c r="J850" s="45">
        <f>IF(E850="","",IFERROR(E850*INDEX(UnitFactors,MATCH(F850,UnitNames,0)),""))</f>
        <v>0</v>
      </c>
      <c r="K850" s="17">
        <f>IF(F850="","",IFERROR(INDEX(UnitBases,MATCH(F850,UnitNames,0)),"?"))</f>
        <v>0</v>
      </c>
      <c r="L850" s="17">
        <f>IF(D850="","",IFERROR(INDEX(Ingredients!$G$5:$G$304,MATCH(D850,Ingredients!$B$5:$B$304,0)),"Add to Ingredients"))</f>
        <v>0</v>
      </c>
      <c r="M850" s="25">
        <f>IF(D850="","",IFERROR(INDEX(Ingredients!$J$5:$J$304,MATCH(D850,Ingredients!$B$5:$B$304,0)),"Add to Ingredients"))</f>
        <v>0</v>
      </c>
      <c r="N850" s="25">
        <f>IF(OR(J850="",M850="",NOT(ISNUMBER(M850))),"",IF(K850&lt;&gt;L850,"",J850*M850))</f>
        <v>0</v>
      </c>
      <c r="O850" s="25">
        <f>IF(N850="","",IFERROR(N850/INDEX(Recipes!$G$5:$G$204,MATCH(B850,Recipes!$A$5:$A$204,0)),""))</f>
        <v>0</v>
      </c>
      <c r="P850" s="30">
        <f>IF(J850="","",IF(K850="each",J850,J850/100))</f>
        <v>0</v>
      </c>
      <c r="Q850" s="30">
        <f>IFERROR(IF(P850="","",P850*INDEX(Ingredients!$P$5:$P$304,MATCH(D850,Ingredients!$B$5:$B$304,0))),"")</f>
        <v>0</v>
      </c>
      <c r="R850" s="45">
        <f>IFERROR(IF(P850="","",P850*INDEX(Ingredients!$Q$5:$Q$304,MATCH(D850,Ingredients!$B$5:$B$304,0))),"")</f>
        <v>0</v>
      </c>
      <c r="S850" s="45">
        <f>IFERROR(IF(P850="","",P850*INDEX(Ingredients!$R$5:$R$304,MATCH(D850,Ingredients!$B$5:$B$304,0))),"")</f>
        <v>0</v>
      </c>
      <c r="T850" s="45">
        <f>IFERROR(IF(P850="","",P850*INDEX(Ingredients!$S$5:$S$304,MATCH(D850,Ingredients!$B$5:$B$304,0))),"")</f>
        <v>0</v>
      </c>
      <c r="U850" s="45">
        <f>IFERROR(IF(P850="","",P850*INDEX(Ingredients!$T$5:$T$304,MATCH(D850,Ingredients!$B$5:$B$304,0))),"")</f>
        <v>0</v>
      </c>
      <c r="V850" s="17">
        <f>IF(D850="","",IFERROR(INDEX(Ingredients!$W$5:$W$304,MATCH(D850,Ingredients!$B$5:$B$304,0)),"Add to Ingredients"))</f>
        <v>0</v>
      </c>
      <c r="W850" s="17">
        <f>IF(D850="","",IFERROR(INDEX(Ingredients!$C$5:$C$304,MATCH(D850,Ingredients!$B$5:$B$304,0)),"Add to Ingredients"))</f>
        <v>0</v>
      </c>
      <c r="X850" s="45">
        <f>IFERROR(INDEX(Recipes!$AT$5:$AT$204,MATCH(B850,Recipes!$A$5:$A$204,0)),0)</f>
        <v>0</v>
      </c>
      <c r="Y850" s="45">
        <f>IF(OR(J850="",X850=0),"",J850*X850)</f>
        <v>0</v>
      </c>
      <c r="Z850" s="17">
        <f>IF(D850="","",B850&amp;"#"&amp;COUNTIFS($B$5:B850,B850))</f>
        <v>0</v>
      </c>
      <c r="AA850" s="17">
        <f>IF(D850="","",B850&amp;"|"&amp;D850)</f>
        <v>0</v>
      </c>
      <c r="AB850" s="31">
        <f>IF(D850="","",IF(B850="","Add - which recipe?",IF(COUNTIFS(Ingredients!$B$5:$B$304,D850)=0,"Missing - not in the Ingredients tab",IF(E850="","Add - no quantity",IF(F850="","Add - no unit",IF(K850&lt;&gt;L850,"Check - recipe in "&amp;K850&amp;", priced in "&amp;L850,IF(COUNTIFS($AA$5:$AA$1204,AA850)&gt;1,"Duplicate - same ingredient twice","OK")))))))</f>
        <v>0</v>
      </c>
    </row>
    <row r="851" spans="1:28">
      <c r="A851" s="39">
        <f>IF(D851="","","RL-"&amp;TEXT(ROW()-4,"0000"))</f>
        <v>0</v>
      </c>
      <c r="C851" s="17">
        <f>IF(B851="","",IFERROR(INDEX(Recipes!$B$5:$B$204,MATCH(B851,Recipes!$A$5:$A$204,0)),"Not found"))</f>
        <v>0</v>
      </c>
      <c r="J851" s="45">
        <f>IF(E851="","",IFERROR(E851*INDEX(UnitFactors,MATCH(F851,UnitNames,0)),""))</f>
        <v>0</v>
      </c>
      <c r="K851" s="17">
        <f>IF(F851="","",IFERROR(INDEX(UnitBases,MATCH(F851,UnitNames,0)),"?"))</f>
        <v>0</v>
      </c>
      <c r="L851" s="17">
        <f>IF(D851="","",IFERROR(INDEX(Ingredients!$G$5:$G$304,MATCH(D851,Ingredients!$B$5:$B$304,0)),"Add to Ingredients"))</f>
        <v>0</v>
      </c>
      <c r="M851" s="25">
        <f>IF(D851="","",IFERROR(INDEX(Ingredients!$J$5:$J$304,MATCH(D851,Ingredients!$B$5:$B$304,0)),"Add to Ingredients"))</f>
        <v>0</v>
      </c>
      <c r="N851" s="25">
        <f>IF(OR(J851="",M851="",NOT(ISNUMBER(M851))),"",IF(K851&lt;&gt;L851,"",J851*M851))</f>
        <v>0</v>
      </c>
      <c r="O851" s="25">
        <f>IF(N851="","",IFERROR(N851/INDEX(Recipes!$G$5:$G$204,MATCH(B851,Recipes!$A$5:$A$204,0)),""))</f>
        <v>0</v>
      </c>
      <c r="P851" s="30">
        <f>IF(J851="","",IF(K851="each",J851,J851/100))</f>
        <v>0</v>
      </c>
      <c r="Q851" s="30">
        <f>IFERROR(IF(P851="","",P851*INDEX(Ingredients!$P$5:$P$304,MATCH(D851,Ingredients!$B$5:$B$304,0))),"")</f>
        <v>0</v>
      </c>
      <c r="R851" s="45">
        <f>IFERROR(IF(P851="","",P851*INDEX(Ingredients!$Q$5:$Q$304,MATCH(D851,Ingredients!$B$5:$B$304,0))),"")</f>
        <v>0</v>
      </c>
      <c r="S851" s="45">
        <f>IFERROR(IF(P851="","",P851*INDEX(Ingredients!$R$5:$R$304,MATCH(D851,Ingredients!$B$5:$B$304,0))),"")</f>
        <v>0</v>
      </c>
      <c r="T851" s="45">
        <f>IFERROR(IF(P851="","",P851*INDEX(Ingredients!$S$5:$S$304,MATCH(D851,Ingredients!$B$5:$B$304,0))),"")</f>
        <v>0</v>
      </c>
      <c r="U851" s="45">
        <f>IFERROR(IF(P851="","",P851*INDEX(Ingredients!$T$5:$T$304,MATCH(D851,Ingredients!$B$5:$B$304,0))),"")</f>
        <v>0</v>
      </c>
      <c r="V851" s="17">
        <f>IF(D851="","",IFERROR(INDEX(Ingredients!$W$5:$W$304,MATCH(D851,Ingredients!$B$5:$B$304,0)),"Add to Ingredients"))</f>
        <v>0</v>
      </c>
      <c r="W851" s="17">
        <f>IF(D851="","",IFERROR(INDEX(Ingredients!$C$5:$C$304,MATCH(D851,Ingredients!$B$5:$B$304,0)),"Add to Ingredients"))</f>
        <v>0</v>
      </c>
      <c r="X851" s="45">
        <f>IFERROR(INDEX(Recipes!$AT$5:$AT$204,MATCH(B851,Recipes!$A$5:$A$204,0)),0)</f>
        <v>0</v>
      </c>
      <c r="Y851" s="45">
        <f>IF(OR(J851="",X851=0),"",J851*X851)</f>
        <v>0</v>
      </c>
      <c r="Z851" s="17">
        <f>IF(D851="","",B851&amp;"#"&amp;COUNTIFS($B$5:B851,B851))</f>
        <v>0</v>
      </c>
      <c r="AA851" s="17">
        <f>IF(D851="","",B851&amp;"|"&amp;D851)</f>
        <v>0</v>
      </c>
      <c r="AB851" s="31">
        <f>IF(D851="","",IF(B851="","Add - which recipe?",IF(COUNTIFS(Ingredients!$B$5:$B$304,D851)=0,"Missing - not in the Ingredients tab",IF(E851="","Add - no quantity",IF(F851="","Add - no unit",IF(K851&lt;&gt;L851,"Check - recipe in "&amp;K851&amp;", priced in "&amp;L851,IF(COUNTIFS($AA$5:$AA$1204,AA851)&gt;1,"Duplicate - same ingredient twice","OK")))))))</f>
        <v>0</v>
      </c>
    </row>
    <row r="852" spans="1:28">
      <c r="A852" s="39">
        <f>IF(D852="","","RL-"&amp;TEXT(ROW()-4,"0000"))</f>
        <v>0</v>
      </c>
      <c r="C852" s="17">
        <f>IF(B852="","",IFERROR(INDEX(Recipes!$B$5:$B$204,MATCH(B852,Recipes!$A$5:$A$204,0)),"Not found"))</f>
        <v>0</v>
      </c>
      <c r="J852" s="45">
        <f>IF(E852="","",IFERROR(E852*INDEX(UnitFactors,MATCH(F852,UnitNames,0)),""))</f>
        <v>0</v>
      </c>
      <c r="K852" s="17">
        <f>IF(F852="","",IFERROR(INDEX(UnitBases,MATCH(F852,UnitNames,0)),"?"))</f>
        <v>0</v>
      </c>
      <c r="L852" s="17">
        <f>IF(D852="","",IFERROR(INDEX(Ingredients!$G$5:$G$304,MATCH(D852,Ingredients!$B$5:$B$304,0)),"Add to Ingredients"))</f>
        <v>0</v>
      </c>
      <c r="M852" s="25">
        <f>IF(D852="","",IFERROR(INDEX(Ingredients!$J$5:$J$304,MATCH(D852,Ingredients!$B$5:$B$304,0)),"Add to Ingredients"))</f>
        <v>0</v>
      </c>
      <c r="N852" s="25">
        <f>IF(OR(J852="",M852="",NOT(ISNUMBER(M852))),"",IF(K852&lt;&gt;L852,"",J852*M852))</f>
        <v>0</v>
      </c>
      <c r="O852" s="25">
        <f>IF(N852="","",IFERROR(N852/INDEX(Recipes!$G$5:$G$204,MATCH(B852,Recipes!$A$5:$A$204,0)),""))</f>
        <v>0</v>
      </c>
      <c r="P852" s="30">
        <f>IF(J852="","",IF(K852="each",J852,J852/100))</f>
        <v>0</v>
      </c>
      <c r="Q852" s="30">
        <f>IFERROR(IF(P852="","",P852*INDEX(Ingredients!$P$5:$P$304,MATCH(D852,Ingredients!$B$5:$B$304,0))),"")</f>
        <v>0</v>
      </c>
      <c r="R852" s="45">
        <f>IFERROR(IF(P852="","",P852*INDEX(Ingredients!$Q$5:$Q$304,MATCH(D852,Ingredients!$B$5:$B$304,0))),"")</f>
        <v>0</v>
      </c>
      <c r="S852" s="45">
        <f>IFERROR(IF(P852="","",P852*INDEX(Ingredients!$R$5:$R$304,MATCH(D852,Ingredients!$B$5:$B$304,0))),"")</f>
        <v>0</v>
      </c>
      <c r="T852" s="45">
        <f>IFERROR(IF(P852="","",P852*INDEX(Ingredients!$S$5:$S$304,MATCH(D852,Ingredients!$B$5:$B$304,0))),"")</f>
        <v>0</v>
      </c>
      <c r="U852" s="45">
        <f>IFERROR(IF(P852="","",P852*INDEX(Ingredients!$T$5:$T$304,MATCH(D852,Ingredients!$B$5:$B$304,0))),"")</f>
        <v>0</v>
      </c>
      <c r="V852" s="17">
        <f>IF(D852="","",IFERROR(INDEX(Ingredients!$W$5:$W$304,MATCH(D852,Ingredients!$B$5:$B$304,0)),"Add to Ingredients"))</f>
        <v>0</v>
      </c>
      <c r="W852" s="17">
        <f>IF(D852="","",IFERROR(INDEX(Ingredients!$C$5:$C$304,MATCH(D852,Ingredients!$B$5:$B$304,0)),"Add to Ingredients"))</f>
        <v>0</v>
      </c>
      <c r="X852" s="45">
        <f>IFERROR(INDEX(Recipes!$AT$5:$AT$204,MATCH(B852,Recipes!$A$5:$A$204,0)),0)</f>
        <v>0</v>
      </c>
      <c r="Y852" s="45">
        <f>IF(OR(J852="",X852=0),"",J852*X852)</f>
        <v>0</v>
      </c>
      <c r="Z852" s="17">
        <f>IF(D852="","",B852&amp;"#"&amp;COUNTIFS($B$5:B852,B852))</f>
        <v>0</v>
      </c>
      <c r="AA852" s="17">
        <f>IF(D852="","",B852&amp;"|"&amp;D852)</f>
        <v>0</v>
      </c>
      <c r="AB852" s="31">
        <f>IF(D852="","",IF(B852="","Add - which recipe?",IF(COUNTIFS(Ingredients!$B$5:$B$304,D852)=0,"Missing - not in the Ingredients tab",IF(E852="","Add - no quantity",IF(F852="","Add - no unit",IF(K852&lt;&gt;L852,"Check - recipe in "&amp;K852&amp;", priced in "&amp;L852,IF(COUNTIFS($AA$5:$AA$1204,AA852)&gt;1,"Duplicate - same ingredient twice","OK")))))))</f>
        <v>0</v>
      </c>
    </row>
    <row r="853" spans="1:28">
      <c r="A853" s="39">
        <f>IF(D853="","","RL-"&amp;TEXT(ROW()-4,"0000"))</f>
        <v>0</v>
      </c>
      <c r="C853" s="17">
        <f>IF(B853="","",IFERROR(INDEX(Recipes!$B$5:$B$204,MATCH(B853,Recipes!$A$5:$A$204,0)),"Not found"))</f>
        <v>0</v>
      </c>
      <c r="J853" s="45">
        <f>IF(E853="","",IFERROR(E853*INDEX(UnitFactors,MATCH(F853,UnitNames,0)),""))</f>
        <v>0</v>
      </c>
      <c r="K853" s="17">
        <f>IF(F853="","",IFERROR(INDEX(UnitBases,MATCH(F853,UnitNames,0)),"?"))</f>
        <v>0</v>
      </c>
      <c r="L853" s="17">
        <f>IF(D853="","",IFERROR(INDEX(Ingredients!$G$5:$G$304,MATCH(D853,Ingredients!$B$5:$B$304,0)),"Add to Ingredients"))</f>
        <v>0</v>
      </c>
      <c r="M853" s="25">
        <f>IF(D853="","",IFERROR(INDEX(Ingredients!$J$5:$J$304,MATCH(D853,Ingredients!$B$5:$B$304,0)),"Add to Ingredients"))</f>
        <v>0</v>
      </c>
      <c r="N853" s="25">
        <f>IF(OR(J853="",M853="",NOT(ISNUMBER(M853))),"",IF(K853&lt;&gt;L853,"",J853*M853))</f>
        <v>0</v>
      </c>
      <c r="O853" s="25">
        <f>IF(N853="","",IFERROR(N853/INDEX(Recipes!$G$5:$G$204,MATCH(B853,Recipes!$A$5:$A$204,0)),""))</f>
        <v>0</v>
      </c>
      <c r="P853" s="30">
        <f>IF(J853="","",IF(K853="each",J853,J853/100))</f>
        <v>0</v>
      </c>
      <c r="Q853" s="30">
        <f>IFERROR(IF(P853="","",P853*INDEX(Ingredients!$P$5:$P$304,MATCH(D853,Ingredients!$B$5:$B$304,0))),"")</f>
        <v>0</v>
      </c>
      <c r="R853" s="45">
        <f>IFERROR(IF(P853="","",P853*INDEX(Ingredients!$Q$5:$Q$304,MATCH(D853,Ingredients!$B$5:$B$304,0))),"")</f>
        <v>0</v>
      </c>
      <c r="S853" s="45">
        <f>IFERROR(IF(P853="","",P853*INDEX(Ingredients!$R$5:$R$304,MATCH(D853,Ingredients!$B$5:$B$304,0))),"")</f>
        <v>0</v>
      </c>
      <c r="T853" s="45">
        <f>IFERROR(IF(P853="","",P853*INDEX(Ingredients!$S$5:$S$304,MATCH(D853,Ingredients!$B$5:$B$304,0))),"")</f>
        <v>0</v>
      </c>
      <c r="U853" s="45">
        <f>IFERROR(IF(P853="","",P853*INDEX(Ingredients!$T$5:$T$304,MATCH(D853,Ingredients!$B$5:$B$304,0))),"")</f>
        <v>0</v>
      </c>
      <c r="V853" s="17">
        <f>IF(D853="","",IFERROR(INDEX(Ingredients!$W$5:$W$304,MATCH(D853,Ingredients!$B$5:$B$304,0)),"Add to Ingredients"))</f>
        <v>0</v>
      </c>
      <c r="W853" s="17">
        <f>IF(D853="","",IFERROR(INDEX(Ingredients!$C$5:$C$304,MATCH(D853,Ingredients!$B$5:$B$304,0)),"Add to Ingredients"))</f>
        <v>0</v>
      </c>
      <c r="X853" s="45">
        <f>IFERROR(INDEX(Recipes!$AT$5:$AT$204,MATCH(B853,Recipes!$A$5:$A$204,0)),0)</f>
        <v>0</v>
      </c>
      <c r="Y853" s="45">
        <f>IF(OR(J853="",X853=0),"",J853*X853)</f>
        <v>0</v>
      </c>
      <c r="Z853" s="17">
        <f>IF(D853="","",B853&amp;"#"&amp;COUNTIFS($B$5:B853,B853))</f>
        <v>0</v>
      </c>
      <c r="AA853" s="17">
        <f>IF(D853="","",B853&amp;"|"&amp;D853)</f>
        <v>0</v>
      </c>
      <c r="AB853" s="31">
        <f>IF(D853="","",IF(B853="","Add - which recipe?",IF(COUNTIFS(Ingredients!$B$5:$B$304,D853)=0,"Missing - not in the Ingredients tab",IF(E853="","Add - no quantity",IF(F853="","Add - no unit",IF(K853&lt;&gt;L853,"Check - recipe in "&amp;K853&amp;", priced in "&amp;L853,IF(COUNTIFS($AA$5:$AA$1204,AA853)&gt;1,"Duplicate - same ingredient twice","OK")))))))</f>
        <v>0</v>
      </c>
    </row>
    <row r="854" spans="1:28">
      <c r="A854" s="39">
        <f>IF(D854="","","RL-"&amp;TEXT(ROW()-4,"0000"))</f>
        <v>0</v>
      </c>
      <c r="C854" s="17">
        <f>IF(B854="","",IFERROR(INDEX(Recipes!$B$5:$B$204,MATCH(B854,Recipes!$A$5:$A$204,0)),"Not found"))</f>
        <v>0</v>
      </c>
      <c r="J854" s="45">
        <f>IF(E854="","",IFERROR(E854*INDEX(UnitFactors,MATCH(F854,UnitNames,0)),""))</f>
        <v>0</v>
      </c>
      <c r="K854" s="17">
        <f>IF(F854="","",IFERROR(INDEX(UnitBases,MATCH(F854,UnitNames,0)),"?"))</f>
        <v>0</v>
      </c>
      <c r="L854" s="17">
        <f>IF(D854="","",IFERROR(INDEX(Ingredients!$G$5:$G$304,MATCH(D854,Ingredients!$B$5:$B$304,0)),"Add to Ingredients"))</f>
        <v>0</v>
      </c>
      <c r="M854" s="25">
        <f>IF(D854="","",IFERROR(INDEX(Ingredients!$J$5:$J$304,MATCH(D854,Ingredients!$B$5:$B$304,0)),"Add to Ingredients"))</f>
        <v>0</v>
      </c>
      <c r="N854" s="25">
        <f>IF(OR(J854="",M854="",NOT(ISNUMBER(M854))),"",IF(K854&lt;&gt;L854,"",J854*M854))</f>
        <v>0</v>
      </c>
      <c r="O854" s="25">
        <f>IF(N854="","",IFERROR(N854/INDEX(Recipes!$G$5:$G$204,MATCH(B854,Recipes!$A$5:$A$204,0)),""))</f>
        <v>0</v>
      </c>
      <c r="P854" s="30">
        <f>IF(J854="","",IF(K854="each",J854,J854/100))</f>
        <v>0</v>
      </c>
      <c r="Q854" s="30">
        <f>IFERROR(IF(P854="","",P854*INDEX(Ingredients!$P$5:$P$304,MATCH(D854,Ingredients!$B$5:$B$304,0))),"")</f>
        <v>0</v>
      </c>
      <c r="R854" s="45">
        <f>IFERROR(IF(P854="","",P854*INDEX(Ingredients!$Q$5:$Q$304,MATCH(D854,Ingredients!$B$5:$B$304,0))),"")</f>
        <v>0</v>
      </c>
      <c r="S854" s="45">
        <f>IFERROR(IF(P854="","",P854*INDEX(Ingredients!$R$5:$R$304,MATCH(D854,Ingredients!$B$5:$B$304,0))),"")</f>
        <v>0</v>
      </c>
      <c r="T854" s="45">
        <f>IFERROR(IF(P854="","",P854*INDEX(Ingredients!$S$5:$S$304,MATCH(D854,Ingredients!$B$5:$B$304,0))),"")</f>
        <v>0</v>
      </c>
      <c r="U854" s="45">
        <f>IFERROR(IF(P854="","",P854*INDEX(Ingredients!$T$5:$T$304,MATCH(D854,Ingredients!$B$5:$B$304,0))),"")</f>
        <v>0</v>
      </c>
      <c r="V854" s="17">
        <f>IF(D854="","",IFERROR(INDEX(Ingredients!$W$5:$W$304,MATCH(D854,Ingredients!$B$5:$B$304,0)),"Add to Ingredients"))</f>
        <v>0</v>
      </c>
      <c r="W854" s="17">
        <f>IF(D854="","",IFERROR(INDEX(Ingredients!$C$5:$C$304,MATCH(D854,Ingredients!$B$5:$B$304,0)),"Add to Ingredients"))</f>
        <v>0</v>
      </c>
      <c r="X854" s="45">
        <f>IFERROR(INDEX(Recipes!$AT$5:$AT$204,MATCH(B854,Recipes!$A$5:$A$204,0)),0)</f>
        <v>0</v>
      </c>
      <c r="Y854" s="45">
        <f>IF(OR(J854="",X854=0),"",J854*X854)</f>
        <v>0</v>
      </c>
      <c r="Z854" s="17">
        <f>IF(D854="","",B854&amp;"#"&amp;COUNTIFS($B$5:B854,B854))</f>
        <v>0</v>
      </c>
      <c r="AA854" s="17">
        <f>IF(D854="","",B854&amp;"|"&amp;D854)</f>
        <v>0</v>
      </c>
      <c r="AB854" s="31">
        <f>IF(D854="","",IF(B854="","Add - which recipe?",IF(COUNTIFS(Ingredients!$B$5:$B$304,D854)=0,"Missing - not in the Ingredients tab",IF(E854="","Add - no quantity",IF(F854="","Add - no unit",IF(K854&lt;&gt;L854,"Check - recipe in "&amp;K854&amp;", priced in "&amp;L854,IF(COUNTIFS($AA$5:$AA$1204,AA854)&gt;1,"Duplicate - same ingredient twice","OK")))))))</f>
        <v>0</v>
      </c>
    </row>
    <row r="855" spans="1:28">
      <c r="A855" s="39">
        <f>IF(D855="","","RL-"&amp;TEXT(ROW()-4,"0000"))</f>
        <v>0</v>
      </c>
      <c r="C855" s="17">
        <f>IF(B855="","",IFERROR(INDEX(Recipes!$B$5:$B$204,MATCH(B855,Recipes!$A$5:$A$204,0)),"Not found"))</f>
        <v>0</v>
      </c>
      <c r="J855" s="45">
        <f>IF(E855="","",IFERROR(E855*INDEX(UnitFactors,MATCH(F855,UnitNames,0)),""))</f>
        <v>0</v>
      </c>
      <c r="K855" s="17">
        <f>IF(F855="","",IFERROR(INDEX(UnitBases,MATCH(F855,UnitNames,0)),"?"))</f>
        <v>0</v>
      </c>
      <c r="L855" s="17">
        <f>IF(D855="","",IFERROR(INDEX(Ingredients!$G$5:$G$304,MATCH(D855,Ingredients!$B$5:$B$304,0)),"Add to Ingredients"))</f>
        <v>0</v>
      </c>
      <c r="M855" s="25">
        <f>IF(D855="","",IFERROR(INDEX(Ingredients!$J$5:$J$304,MATCH(D855,Ingredients!$B$5:$B$304,0)),"Add to Ingredients"))</f>
        <v>0</v>
      </c>
      <c r="N855" s="25">
        <f>IF(OR(J855="",M855="",NOT(ISNUMBER(M855))),"",IF(K855&lt;&gt;L855,"",J855*M855))</f>
        <v>0</v>
      </c>
      <c r="O855" s="25">
        <f>IF(N855="","",IFERROR(N855/INDEX(Recipes!$G$5:$G$204,MATCH(B855,Recipes!$A$5:$A$204,0)),""))</f>
        <v>0</v>
      </c>
      <c r="P855" s="30">
        <f>IF(J855="","",IF(K855="each",J855,J855/100))</f>
        <v>0</v>
      </c>
      <c r="Q855" s="30">
        <f>IFERROR(IF(P855="","",P855*INDEX(Ingredients!$P$5:$P$304,MATCH(D855,Ingredients!$B$5:$B$304,0))),"")</f>
        <v>0</v>
      </c>
      <c r="R855" s="45">
        <f>IFERROR(IF(P855="","",P855*INDEX(Ingredients!$Q$5:$Q$304,MATCH(D855,Ingredients!$B$5:$B$304,0))),"")</f>
        <v>0</v>
      </c>
      <c r="S855" s="45">
        <f>IFERROR(IF(P855="","",P855*INDEX(Ingredients!$R$5:$R$304,MATCH(D855,Ingredients!$B$5:$B$304,0))),"")</f>
        <v>0</v>
      </c>
      <c r="T855" s="45">
        <f>IFERROR(IF(P855="","",P855*INDEX(Ingredients!$S$5:$S$304,MATCH(D855,Ingredients!$B$5:$B$304,0))),"")</f>
        <v>0</v>
      </c>
      <c r="U855" s="45">
        <f>IFERROR(IF(P855="","",P855*INDEX(Ingredients!$T$5:$T$304,MATCH(D855,Ingredients!$B$5:$B$304,0))),"")</f>
        <v>0</v>
      </c>
      <c r="V855" s="17">
        <f>IF(D855="","",IFERROR(INDEX(Ingredients!$W$5:$W$304,MATCH(D855,Ingredients!$B$5:$B$304,0)),"Add to Ingredients"))</f>
        <v>0</v>
      </c>
      <c r="W855" s="17">
        <f>IF(D855="","",IFERROR(INDEX(Ingredients!$C$5:$C$304,MATCH(D855,Ingredients!$B$5:$B$304,0)),"Add to Ingredients"))</f>
        <v>0</v>
      </c>
      <c r="X855" s="45">
        <f>IFERROR(INDEX(Recipes!$AT$5:$AT$204,MATCH(B855,Recipes!$A$5:$A$204,0)),0)</f>
        <v>0</v>
      </c>
      <c r="Y855" s="45">
        <f>IF(OR(J855="",X855=0),"",J855*X855)</f>
        <v>0</v>
      </c>
      <c r="Z855" s="17">
        <f>IF(D855="","",B855&amp;"#"&amp;COUNTIFS($B$5:B855,B855))</f>
        <v>0</v>
      </c>
      <c r="AA855" s="17">
        <f>IF(D855="","",B855&amp;"|"&amp;D855)</f>
        <v>0</v>
      </c>
      <c r="AB855" s="31">
        <f>IF(D855="","",IF(B855="","Add - which recipe?",IF(COUNTIFS(Ingredients!$B$5:$B$304,D855)=0,"Missing - not in the Ingredients tab",IF(E855="","Add - no quantity",IF(F855="","Add - no unit",IF(K855&lt;&gt;L855,"Check - recipe in "&amp;K855&amp;", priced in "&amp;L855,IF(COUNTIFS($AA$5:$AA$1204,AA855)&gt;1,"Duplicate - same ingredient twice","OK")))))))</f>
        <v>0</v>
      </c>
    </row>
    <row r="856" spans="1:28">
      <c r="A856" s="39">
        <f>IF(D856="","","RL-"&amp;TEXT(ROW()-4,"0000"))</f>
        <v>0</v>
      </c>
      <c r="C856" s="17">
        <f>IF(B856="","",IFERROR(INDEX(Recipes!$B$5:$B$204,MATCH(B856,Recipes!$A$5:$A$204,0)),"Not found"))</f>
        <v>0</v>
      </c>
      <c r="J856" s="45">
        <f>IF(E856="","",IFERROR(E856*INDEX(UnitFactors,MATCH(F856,UnitNames,0)),""))</f>
        <v>0</v>
      </c>
      <c r="K856" s="17">
        <f>IF(F856="","",IFERROR(INDEX(UnitBases,MATCH(F856,UnitNames,0)),"?"))</f>
        <v>0</v>
      </c>
      <c r="L856" s="17">
        <f>IF(D856="","",IFERROR(INDEX(Ingredients!$G$5:$G$304,MATCH(D856,Ingredients!$B$5:$B$304,0)),"Add to Ingredients"))</f>
        <v>0</v>
      </c>
      <c r="M856" s="25">
        <f>IF(D856="","",IFERROR(INDEX(Ingredients!$J$5:$J$304,MATCH(D856,Ingredients!$B$5:$B$304,0)),"Add to Ingredients"))</f>
        <v>0</v>
      </c>
      <c r="N856" s="25">
        <f>IF(OR(J856="",M856="",NOT(ISNUMBER(M856))),"",IF(K856&lt;&gt;L856,"",J856*M856))</f>
        <v>0</v>
      </c>
      <c r="O856" s="25">
        <f>IF(N856="","",IFERROR(N856/INDEX(Recipes!$G$5:$G$204,MATCH(B856,Recipes!$A$5:$A$204,0)),""))</f>
        <v>0</v>
      </c>
      <c r="P856" s="30">
        <f>IF(J856="","",IF(K856="each",J856,J856/100))</f>
        <v>0</v>
      </c>
      <c r="Q856" s="30">
        <f>IFERROR(IF(P856="","",P856*INDEX(Ingredients!$P$5:$P$304,MATCH(D856,Ingredients!$B$5:$B$304,0))),"")</f>
        <v>0</v>
      </c>
      <c r="R856" s="45">
        <f>IFERROR(IF(P856="","",P856*INDEX(Ingredients!$Q$5:$Q$304,MATCH(D856,Ingredients!$B$5:$B$304,0))),"")</f>
        <v>0</v>
      </c>
      <c r="S856" s="45">
        <f>IFERROR(IF(P856="","",P856*INDEX(Ingredients!$R$5:$R$304,MATCH(D856,Ingredients!$B$5:$B$304,0))),"")</f>
        <v>0</v>
      </c>
      <c r="T856" s="45">
        <f>IFERROR(IF(P856="","",P856*INDEX(Ingredients!$S$5:$S$304,MATCH(D856,Ingredients!$B$5:$B$304,0))),"")</f>
        <v>0</v>
      </c>
      <c r="U856" s="45">
        <f>IFERROR(IF(P856="","",P856*INDEX(Ingredients!$T$5:$T$304,MATCH(D856,Ingredients!$B$5:$B$304,0))),"")</f>
        <v>0</v>
      </c>
      <c r="V856" s="17">
        <f>IF(D856="","",IFERROR(INDEX(Ingredients!$W$5:$W$304,MATCH(D856,Ingredients!$B$5:$B$304,0)),"Add to Ingredients"))</f>
        <v>0</v>
      </c>
      <c r="W856" s="17">
        <f>IF(D856="","",IFERROR(INDEX(Ingredients!$C$5:$C$304,MATCH(D856,Ingredients!$B$5:$B$304,0)),"Add to Ingredients"))</f>
        <v>0</v>
      </c>
      <c r="X856" s="45">
        <f>IFERROR(INDEX(Recipes!$AT$5:$AT$204,MATCH(B856,Recipes!$A$5:$A$204,0)),0)</f>
        <v>0</v>
      </c>
      <c r="Y856" s="45">
        <f>IF(OR(J856="",X856=0),"",J856*X856)</f>
        <v>0</v>
      </c>
      <c r="Z856" s="17">
        <f>IF(D856="","",B856&amp;"#"&amp;COUNTIFS($B$5:B856,B856))</f>
        <v>0</v>
      </c>
      <c r="AA856" s="17">
        <f>IF(D856="","",B856&amp;"|"&amp;D856)</f>
        <v>0</v>
      </c>
      <c r="AB856" s="31">
        <f>IF(D856="","",IF(B856="","Add - which recipe?",IF(COUNTIFS(Ingredients!$B$5:$B$304,D856)=0,"Missing - not in the Ingredients tab",IF(E856="","Add - no quantity",IF(F856="","Add - no unit",IF(K856&lt;&gt;L856,"Check - recipe in "&amp;K856&amp;", priced in "&amp;L856,IF(COUNTIFS($AA$5:$AA$1204,AA856)&gt;1,"Duplicate - same ingredient twice","OK")))))))</f>
        <v>0</v>
      </c>
    </row>
    <row r="857" spans="1:28">
      <c r="A857" s="39">
        <f>IF(D857="","","RL-"&amp;TEXT(ROW()-4,"0000"))</f>
        <v>0</v>
      </c>
      <c r="C857" s="17">
        <f>IF(B857="","",IFERROR(INDEX(Recipes!$B$5:$B$204,MATCH(B857,Recipes!$A$5:$A$204,0)),"Not found"))</f>
        <v>0</v>
      </c>
      <c r="J857" s="45">
        <f>IF(E857="","",IFERROR(E857*INDEX(UnitFactors,MATCH(F857,UnitNames,0)),""))</f>
        <v>0</v>
      </c>
      <c r="K857" s="17">
        <f>IF(F857="","",IFERROR(INDEX(UnitBases,MATCH(F857,UnitNames,0)),"?"))</f>
        <v>0</v>
      </c>
      <c r="L857" s="17">
        <f>IF(D857="","",IFERROR(INDEX(Ingredients!$G$5:$G$304,MATCH(D857,Ingredients!$B$5:$B$304,0)),"Add to Ingredients"))</f>
        <v>0</v>
      </c>
      <c r="M857" s="25">
        <f>IF(D857="","",IFERROR(INDEX(Ingredients!$J$5:$J$304,MATCH(D857,Ingredients!$B$5:$B$304,0)),"Add to Ingredients"))</f>
        <v>0</v>
      </c>
      <c r="N857" s="25">
        <f>IF(OR(J857="",M857="",NOT(ISNUMBER(M857))),"",IF(K857&lt;&gt;L857,"",J857*M857))</f>
        <v>0</v>
      </c>
      <c r="O857" s="25">
        <f>IF(N857="","",IFERROR(N857/INDEX(Recipes!$G$5:$G$204,MATCH(B857,Recipes!$A$5:$A$204,0)),""))</f>
        <v>0</v>
      </c>
      <c r="P857" s="30">
        <f>IF(J857="","",IF(K857="each",J857,J857/100))</f>
        <v>0</v>
      </c>
      <c r="Q857" s="30">
        <f>IFERROR(IF(P857="","",P857*INDEX(Ingredients!$P$5:$P$304,MATCH(D857,Ingredients!$B$5:$B$304,0))),"")</f>
        <v>0</v>
      </c>
      <c r="R857" s="45">
        <f>IFERROR(IF(P857="","",P857*INDEX(Ingredients!$Q$5:$Q$304,MATCH(D857,Ingredients!$B$5:$B$304,0))),"")</f>
        <v>0</v>
      </c>
      <c r="S857" s="45">
        <f>IFERROR(IF(P857="","",P857*INDEX(Ingredients!$R$5:$R$304,MATCH(D857,Ingredients!$B$5:$B$304,0))),"")</f>
        <v>0</v>
      </c>
      <c r="T857" s="45">
        <f>IFERROR(IF(P857="","",P857*INDEX(Ingredients!$S$5:$S$304,MATCH(D857,Ingredients!$B$5:$B$304,0))),"")</f>
        <v>0</v>
      </c>
      <c r="U857" s="45">
        <f>IFERROR(IF(P857="","",P857*INDEX(Ingredients!$T$5:$T$304,MATCH(D857,Ingredients!$B$5:$B$304,0))),"")</f>
        <v>0</v>
      </c>
      <c r="V857" s="17">
        <f>IF(D857="","",IFERROR(INDEX(Ingredients!$W$5:$W$304,MATCH(D857,Ingredients!$B$5:$B$304,0)),"Add to Ingredients"))</f>
        <v>0</v>
      </c>
      <c r="W857" s="17">
        <f>IF(D857="","",IFERROR(INDEX(Ingredients!$C$5:$C$304,MATCH(D857,Ingredients!$B$5:$B$304,0)),"Add to Ingredients"))</f>
        <v>0</v>
      </c>
      <c r="X857" s="45">
        <f>IFERROR(INDEX(Recipes!$AT$5:$AT$204,MATCH(B857,Recipes!$A$5:$A$204,0)),0)</f>
        <v>0</v>
      </c>
      <c r="Y857" s="45">
        <f>IF(OR(J857="",X857=0),"",J857*X857)</f>
        <v>0</v>
      </c>
      <c r="Z857" s="17">
        <f>IF(D857="","",B857&amp;"#"&amp;COUNTIFS($B$5:B857,B857))</f>
        <v>0</v>
      </c>
      <c r="AA857" s="17">
        <f>IF(D857="","",B857&amp;"|"&amp;D857)</f>
        <v>0</v>
      </c>
      <c r="AB857" s="31">
        <f>IF(D857="","",IF(B857="","Add - which recipe?",IF(COUNTIFS(Ingredients!$B$5:$B$304,D857)=0,"Missing - not in the Ingredients tab",IF(E857="","Add - no quantity",IF(F857="","Add - no unit",IF(K857&lt;&gt;L857,"Check - recipe in "&amp;K857&amp;", priced in "&amp;L857,IF(COUNTIFS($AA$5:$AA$1204,AA857)&gt;1,"Duplicate - same ingredient twice","OK")))))))</f>
        <v>0</v>
      </c>
    </row>
    <row r="858" spans="1:28">
      <c r="A858" s="39">
        <f>IF(D858="","","RL-"&amp;TEXT(ROW()-4,"0000"))</f>
        <v>0</v>
      </c>
      <c r="C858" s="17">
        <f>IF(B858="","",IFERROR(INDEX(Recipes!$B$5:$B$204,MATCH(B858,Recipes!$A$5:$A$204,0)),"Not found"))</f>
        <v>0</v>
      </c>
      <c r="J858" s="45">
        <f>IF(E858="","",IFERROR(E858*INDEX(UnitFactors,MATCH(F858,UnitNames,0)),""))</f>
        <v>0</v>
      </c>
      <c r="K858" s="17">
        <f>IF(F858="","",IFERROR(INDEX(UnitBases,MATCH(F858,UnitNames,0)),"?"))</f>
        <v>0</v>
      </c>
      <c r="L858" s="17">
        <f>IF(D858="","",IFERROR(INDEX(Ingredients!$G$5:$G$304,MATCH(D858,Ingredients!$B$5:$B$304,0)),"Add to Ingredients"))</f>
        <v>0</v>
      </c>
      <c r="M858" s="25">
        <f>IF(D858="","",IFERROR(INDEX(Ingredients!$J$5:$J$304,MATCH(D858,Ingredients!$B$5:$B$304,0)),"Add to Ingredients"))</f>
        <v>0</v>
      </c>
      <c r="N858" s="25">
        <f>IF(OR(J858="",M858="",NOT(ISNUMBER(M858))),"",IF(K858&lt;&gt;L858,"",J858*M858))</f>
        <v>0</v>
      </c>
      <c r="O858" s="25">
        <f>IF(N858="","",IFERROR(N858/INDEX(Recipes!$G$5:$G$204,MATCH(B858,Recipes!$A$5:$A$204,0)),""))</f>
        <v>0</v>
      </c>
      <c r="P858" s="30">
        <f>IF(J858="","",IF(K858="each",J858,J858/100))</f>
        <v>0</v>
      </c>
      <c r="Q858" s="30">
        <f>IFERROR(IF(P858="","",P858*INDEX(Ingredients!$P$5:$P$304,MATCH(D858,Ingredients!$B$5:$B$304,0))),"")</f>
        <v>0</v>
      </c>
      <c r="R858" s="45">
        <f>IFERROR(IF(P858="","",P858*INDEX(Ingredients!$Q$5:$Q$304,MATCH(D858,Ingredients!$B$5:$B$304,0))),"")</f>
        <v>0</v>
      </c>
      <c r="S858" s="45">
        <f>IFERROR(IF(P858="","",P858*INDEX(Ingredients!$R$5:$R$304,MATCH(D858,Ingredients!$B$5:$B$304,0))),"")</f>
        <v>0</v>
      </c>
      <c r="T858" s="45">
        <f>IFERROR(IF(P858="","",P858*INDEX(Ingredients!$S$5:$S$304,MATCH(D858,Ingredients!$B$5:$B$304,0))),"")</f>
        <v>0</v>
      </c>
      <c r="U858" s="45">
        <f>IFERROR(IF(P858="","",P858*INDEX(Ingredients!$T$5:$T$304,MATCH(D858,Ingredients!$B$5:$B$304,0))),"")</f>
        <v>0</v>
      </c>
      <c r="V858" s="17">
        <f>IF(D858="","",IFERROR(INDEX(Ingredients!$W$5:$W$304,MATCH(D858,Ingredients!$B$5:$B$304,0)),"Add to Ingredients"))</f>
        <v>0</v>
      </c>
      <c r="W858" s="17">
        <f>IF(D858="","",IFERROR(INDEX(Ingredients!$C$5:$C$304,MATCH(D858,Ingredients!$B$5:$B$304,0)),"Add to Ingredients"))</f>
        <v>0</v>
      </c>
      <c r="X858" s="45">
        <f>IFERROR(INDEX(Recipes!$AT$5:$AT$204,MATCH(B858,Recipes!$A$5:$A$204,0)),0)</f>
        <v>0</v>
      </c>
      <c r="Y858" s="45">
        <f>IF(OR(J858="",X858=0),"",J858*X858)</f>
        <v>0</v>
      </c>
      <c r="Z858" s="17">
        <f>IF(D858="","",B858&amp;"#"&amp;COUNTIFS($B$5:B858,B858))</f>
        <v>0</v>
      </c>
      <c r="AA858" s="17">
        <f>IF(D858="","",B858&amp;"|"&amp;D858)</f>
        <v>0</v>
      </c>
      <c r="AB858" s="31">
        <f>IF(D858="","",IF(B858="","Add - which recipe?",IF(COUNTIFS(Ingredients!$B$5:$B$304,D858)=0,"Missing - not in the Ingredients tab",IF(E858="","Add - no quantity",IF(F858="","Add - no unit",IF(K858&lt;&gt;L858,"Check - recipe in "&amp;K858&amp;", priced in "&amp;L858,IF(COUNTIFS($AA$5:$AA$1204,AA858)&gt;1,"Duplicate - same ingredient twice","OK")))))))</f>
        <v>0</v>
      </c>
    </row>
    <row r="859" spans="1:28">
      <c r="A859" s="39">
        <f>IF(D859="","","RL-"&amp;TEXT(ROW()-4,"0000"))</f>
        <v>0</v>
      </c>
      <c r="C859" s="17">
        <f>IF(B859="","",IFERROR(INDEX(Recipes!$B$5:$B$204,MATCH(B859,Recipes!$A$5:$A$204,0)),"Not found"))</f>
        <v>0</v>
      </c>
      <c r="J859" s="45">
        <f>IF(E859="","",IFERROR(E859*INDEX(UnitFactors,MATCH(F859,UnitNames,0)),""))</f>
        <v>0</v>
      </c>
      <c r="K859" s="17">
        <f>IF(F859="","",IFERROR(INDEX(UnitBases,MATCH(F859,UnitNames,0)),"?"))</f>
        <v>0</v>
      </c>
      <c r="L859" s="17">
        <f>IF(D859="","",IFERROR(INDEX(Ingredients!$G$5:$G$304,MATCH(D859,Ingredients!$B$5:$B$304,0)),"Add to Ingredients"))</f>
        <v>0</v>
      </c>
      <c r="M859" s="25">
        <f>IF(D859="","",IFERROR(INDEX(Ingredients!$J$5:$J$304,MATCH(D859,Ingredients!$B$5:$B$304,0)),"Add to Ingredients"))</f>
        <v>0</v>
      </c>
      <c r="N859" s="25">
        <f>IF(OR(J859="",M859="",NOT(ISNUMBER(M859))),"",IF(K859&lt;&gt;L859,"",J859*M859))</f>
        <v>0</v>
      </c>
      <c r="O859" s="25">
        <f>IF(N859="","",IFERROR(N859/INDEX(Recipes!$G$5:$G$204,MATCH(B859,Recipes!$A$5:$A$204,0)),""))</f>
        <v>0</v>
      </c>
      <c r="P859" s="30">
        <f>IF(J859="","",IF(K859="each",J859,J859/100))</f>
        <v>0</v>
      </c>
      <c r="Q859" s="30">
        <f>IFERROR(IF(P859="","",P859*INDEX(Ingredients!$P$5:$P$304,MATCH(D859,Ingredients!$B$5:$B$304,0))),"")</f>
        <v>0</v>
      </c>
      <c r="R859" s="45">
        <f>IFERROR(IF(P859="","",P859*INDEX(Ingredients!$Q$5:$Q$304,MATCH(D859,Ingredients!$B$5:$B$304,0))),"")</f>
        <v>0</v>
      </c>
      <c r="S859" s="45">
        <f>IFERROR(IF(P859="","",P859*INDEX(Ingredients!$R$5:$R$304,MATCH(D859,Ingredients!$B$5:$B$304,0))),"")</f>
        <v>0</v>
      </c>
      <c r="T859" s="45">
        <f>IFERROR(IF(P859="","",P859*INDEX(Ingredients!$S$5:$S$304,MATCH(D859,Ingredients!$B$5:$B$304,0))),"")</f>
        <v>0</v>
      </c>
      <c r="U859" s="45">
        <f>IFERROR(IF(P859="","",P859*INDEX(Ingredients!$T$5:$T$304,MATCH(D859,Ingredients!$B$5:$B$304,0))),"")</f>
        <v>0</v>
      </c>
      <c r="V859" s="17">
        <f>IF(D859="","",IFERROR(INDEX(Ingredients!$W$5:$W$304,MATCH(D859,Ingredients!$B$5:$B$304,0)),"Add to Ingredients"))</f>
        <v>0</v>
      </c>
      <c r="W859" s="17">
        <f>IF(D859="","",IFERROR(INDEX(Ingredients!$C$5:$C$304,MATCH(D859,Ingredients!$B$5:$B$304,0)),"Add to Ingredients"))</f>
        <v>0</v>
      </c>
      <c r="X859" s="45">
        <f>IFERROR(INDEX(Recipes!$AT$5:$AT$204,MATCH(B859,Recipes!$A$5:$A$204,0)),0)</f>
        <v>0</v>
      </c>
      <c r="Y859" s="45">
        <f>IF(OR(J859="",X859=0),"",J859*X859)</f>
        <v>0</v>
      </c>
      <c r="Z859" s="17">
        <f>IF(D859="","",B859&amp;"#"&amp;COUNTIFS($B$5:B859,B859))</f>
        <v>0</v>
      </c>
      <c r="AA859" s="17">
        <f>IF(D859="","",B859&amp;"|"&amp;D859)</f>
        <v>0</v>
      </c>
      <c r="AB859" s="31">
        <f>IF(D859="","",IF(B859="","Add - which recipe?",IF(COUNTIFS(Ingredients!$B$5:$B$304,D859)=0,"Missing - not in the Ingredients tab",IF(E859="","Add - no quantity",IF(F859="","Add - no unit",IF(K859&lt;&gt;L859,"Check - recipe in "&amp;K859&amp;", priced in "&amp;L859,IF(COUNTIFS($AA$5:$AA$1204,AA859)&gt;1,"Duplicate - same ingredient twice","OK")))))))</f>
        <v>0</v>
      </c>
    </row>
    <row r="860" spans="1:28">
      <c r="A860" s="39">
        <f>IF(D860="","","RL-"&amp;TEXT(ROW()-4,"0000"))</f>
        <v>0</v>
      </c>
      <c r="C860" s="17">
        <f>IF(B860="","",IFERROR(INDEX(Recipes!$B$5:$B$204,MATCH(B860,Recipes!$A$5:$A$204,0)),"Not found"))</f>
        <v>0</v>
      </c>
      <c r="J860" s="45">
        <f>IF(E860="","",IFERROR(E860*INDEX(UnitFactors,MATCH(F860,UnitNames,0)),""))</f>
        <v>0</v>
      </c>
      <c r="K860" s="17">
        <f>IF(F860="","",IFERROR(INDEX(UnitBases,MATCH(F860,UnitNames,0)),"?"))</f>
        <v>0</v>
      </c>
      <c r="L860" s="17">
        <f>IF(D860="","",IFERROR(INDEX(Ingredients!$G$5:$G$304,MATCH(D860,Ingredients!$B$5:$B$304,0)),"Add to Ingredients"))</f>
        <v>0</v>
      </c>
      <c r="M860" s="25">
        <f>IF(D860="","",IFERROR(INDEX(Ingredients!$J$5:$J$304,MATCH(D860,Ingredients!$B$5:$B$304,0)),"Add to Ingredients"))</f>
        <v>0</v>
      </c>
      <c r="N860" s="25">
        <f>IF(OR(J860="",M860="",NOT(ISNUMBER(M860))),"",IF(K860&lt;&gt;L860,"",J860*M860))</f>
        <v>0</v>
      </c>
      <c r="O860" s="25">
        <f>IF(N860="","",IFERROR(N860/INDEX(Recipes!$G$5:$G$204,MATCH(B860,Recipes!$A$5:$A$204,0)),""))</f>
        <v>0</v>
      </c>
      <c r="P860" s="30">
        <f>IF(J860="","",IF(K860="each",J860,J860/100))</f>
        <v>0</v>
      </c>
      <c r="Q860" s="30">
        <f>IFERROR(IF(P860="","",P860*INDEX(Ingredients!$P$5:$P$304,MATCH(D860,Ingredients!$B$5:$B$304,0))),"")</f>
        <v>0</v>
      </c>
      <c r="R860" s="45">
        <f>IFERROR(IF(P860="","",P860*INDEX(Ingredients!$Q$5:$Q$304,MATCH(D860,Ingredients!$B$5:$B$304,0))),"")</f>
        <v>0</v>
      </c>
      <c r="S860" s="45">
        <f>IFERROR(IF(P860="","",P860*INDEX(Ingredients!$R$5:$R$304,MATCH(D860,Ingredients!$B$5:$B$304,0))),"")</f>
        <v>0</v>
      </c>
      <c r="T860" s="45">
        <f>IFERROR(IF(P860="","",P860*INDEX(Ingredients!$S$5:$S$304,MATCH(D860,Ingredients!$B$5:$B$304,0))),"")</f>
        <v>0</v>
      </c>
      <c r="U860" s="45">
        <f>IFERROR(IF(P860="","",P860*INDEX(Ingredients!$T$5:$T$304,MATCH(D860,Ingredients!$B$5:$B$304,0))),"")</f>
        <v>0</v>
      </c>
      <c r="V860" s="17">
        <f>IF(D860="","",IFERROR(INDEX(Ingredients!$W$5:$W$304,MATCH(D860,Ingredients!$B$5:$B$304,0)),"Add to Ingredients"))</f>
        <v>0</v>
      </c>
      <c r="W860" s="17">
        <f>IF(D860="","",IFERROR(INDEX(Ingredients!$C$5:$C$304,MATCH(D860,Ingredients!$B$5:$B$304,0)),"Add to Ingredients"))</f>
        <v>0</v>
      </c>
      <c r="X860" s="45">
        <f>IFERROR(INDEX(Recipes!$AT$5:$AT$204,MATCH(B860,Recipes!$A$5:$A$204,0)),0)</f>
        <v>0</v>
      </c>
      <c r="Y860" s="45">
        <f>IF(OR(J860="",X860=0),"",J860*X860)</f>
        <v>0</v>
      </c>
      <c r="Z860" s="17">
        <f>IF(D860="","",B860&amp;"#"&amp;COUNTIFS($B$5:B860,B860))</f>
        <v>0</v>
      </c>
      <c r="AA860" s="17">
        <f>IF(D860="","",B860&amp;"|"&amp;D860)</f>
        <v>0</v>
      </c>
      <c r="AB860" s="31">
        <f>IF(D860="","",IF(B860="","Add - which recipe?",IF(COUNTIFS(Ingredients!$B$5:$B$304,D860)=0,"Missing - not in the Ingredients tab",IF(E860="","Add - no quantity",IF(F860="","Add - no unit",IF(K860&lt;&gt;L860,"Check - recipe in "&amp;K860&amp;", priced in "&amp;L860,IF(COUNTIFS($AA$5:$AA$1204,AA860)&gt;1,"Duplicate - same ingredient twice","OK")))))))</f>
        <v>0</v>
      </c>
    </row>
    <row r="861" spans="1:28">
      <c r="A861" s="39">
        <f>IF(D861="","","RL-"&amp;TEXT(ROW()-4,"0000"))</f>
        <v>0</v>
      </c>
      <c r="C861" s="17">
        <f>IF(B861="","",IFERROR(INDEX(Recipes!$B$5:$B$204,MATCH(B861,Recipes!$A$5:$A$204,0)),"Not found"))</f>
        <v>0</v>
      </c>
      <c r="J861" s="45">
        <f>IF(E861="","",IFERROR(E861*INDEX(UnitFactors,MATCH(F861,UnitNames,0)),""))</f>
        <v>0</v>
      </c>
      <c r="K861" s="17">
        <f>IF(F861="","",IFERROR(INDEX(UnitBases,MATCH(F861,UnitNames,0)),"?"))</f>
        <v>0</v>
      </c>
      <c r="L861" s="17">
        <f>IF(D861="","",IFERROR(INDEX(Ingredients!$G$5:$G$304,MATCH(D861,Ingredients!$B$5:$B$304,0)),"Add to Ingredients"))</f>
        <v>0</v>
      </c>
      <c r="M861" s="25">
        <f>IF(D861="","",IFERROR(INDEX(Ingredients!$J$5:$J$304,MATCH(D861,Ingredients!$B$5:$B$304,0)),"Add to Ingredients"))</f>
        <v>0</v>
      </c>
      <c r="N861" s="25">
        <f>IF(OR(J861="",M861="",NOT(ISNUMBER(M861))),"",IF(K861&lt;&gt;L861,"",J861*M861))</f>
        <v>0</v>
      </c>
      <c r="O861" s="25">
        <f>IF(N861="","",IFERROR(N861/INDEX(Recipes!$G$5:$G$204,MATCH(B861,Recipes!$A$5:$A$204,0)),""))</f>
        <v>0</v>
      </c>
      <c r="P861" s="30">
        <f>IF(J861="","",IF(K861="each",J861,J861/100))</f>
        <v>0</v>
      </c>
      <c r="Q861" s="30">
        <f>IFERROR(IF(P861="","",P861*INDEX(Ingredients!$P$5:$P$304,MATCH(D861,Ingredients!$B$5:$B$304,0))),"")</f>
        <v>0</v>
      </c>
      <c r="R861" s="45">
        <f>IFERROR(IF(P861="","",P861*INDEX(Ingredients!$Q$5:$Q$304,MATCH(D861,Ingredients!$B$5:$B$304,0))),"")</f>
        <v>0</v>
      </c>
      <c r="S861" s="45">
        <f>IFERROR(IF(P861="","",P861*INDEX(Ingredients!$R$5:$R$304,MATCH(D861,Ingredients!$B$5:$B$304,0))),"")</f>
        <v>0</v>
      </c>
      <c r="T861" s="45">
        <f>IFERROR(IF(P861="","",P861*INDEX(Ingredients!$S$5:$S$304,MATCH(D861,Ingredients!$B$5:$B$304,0))),"")</f>
        <v>0</v>
      </c>
      <c r="U861" s="45">
        <f>IFERROR(IF(P861="","",P861*INDEX(Ingredients!$T$5:$T$304,MATCH(D861,Ingredients!$B$5:$B$304,0))),"")</f>
        <v>0</v>
      </c>
      <c r="V861" s="17">
        <f>IF(D861="","",IFERROR(INDEX(Ingredients!$W$5:$W$304,MATCH(D861,Ingredients!$B$5:$B$304,0)),"Add to Ingredients"))</f>
        <v>0</v>
      </c>
      <c r="W861" s="17">
        <f>IF(D861="","",IFERROR(INDEX(Ingredients!$C$5:$C$304,MATCH(D861,Ingredients!$B$5:$B$304,0)),"Add to Ingredients"))</f>
        <v>0</v>
      </c>
      <c r="X861" s="45">
        <f>IFERROR(INDEX(Recipes!$AT$5:$AT$204,MATCH(B861,Recipes!$A$5:$A$204,0)),0)</f>
        <v>0</v>
      </c>
      <c r="Y861" s="45">
        <f>IF(OR(J861="",X861=0),"",J861*X861)</f>
        <v>0</v>
      </c>
      <c r="Z861" s="17">
        <f>IF(D861="","",B861&amp;"#"&amp;COUNTIFS($B$5:B861,B861))</f>
        <v>0</v>
      </c>
      <c r="AA861" s="17">
        <f>IF(D861="","",B861&amp;"|"&amp;D861)</f>
        <v>0</v>
      </c>
      <c r="AB861" s="31">
        <f>IF(D861="","",IF(B861="","Add - which recipe?",IF(COUNTIFS(Ingredients!$B$5:$B$304,D861)=0,"Missing - not in the Ingredients tab",IF(E861="","Add - no quantity",IF(F861="","Add - no unit",IF(K861&lt;&gt;L861,"Check - recipe in "&amp;K861&amp;", priced in "&amp;L861,IF(COUNTIFS($AA$5:$AA$1204,AA861)&gt;1,"Duplicate - same ingredient twice","OK")))))))</f>
        <v>0</v>
      </c>
    </row>
    <row r="862" spans="1:28">
      <c r="A862" s="39">
        <f>IF(D862="","","RL-"&amp;TEXT(ROW()-4,"0000"))</f>
        <v>0</v>
      </c>
      <c r="C862" s="17">
        <f>IF(B862="","",IFERROR(INDEX(Recipes!$B$5:$B$204,MATCH(B862,Recipes!$A$5:$A$204,0)),"Not found"))</f>
        <v>0</v>
      </c>
      <c r="J862" s="45">
        <f>IF(E862="","",IFERROR(E862*INDEX(UnitFactors,MATCH(F862,UnitNames,0)),""))</f>
        <v>0</v>
      </c>
      <c r="K862" s="17">
        <f>IF(F862="","",IFERROR(INDEX(UnitBases,MATCH(F862,UnitNames,0)),"?"))</f>
        <v>0</v>
      </c>
      <c r="L862" s="17">
        <f>IF(D862="","",IFERROR(INDEX(Ingredients!$G$5:$G$304,MATCH(D862,Ingredients!$B$5:$B$304,0)),"Add to Ingredients"))</f>
        <v>0</v>
      </c>
      <c r="M862" s="25">
        <f>IF(D862="","",IFERROR(INDEX(Ingredients!$J$5:$J$304,MATCH(D862,Ingredients!$B$5:$B$304,0)),"Add to Ingredients"))</f>
        <v>0</v>
      </c>
      <c r="N862" s="25">
        <f>IF(OR(J862="",M862="",NOT(ISNUMBER(M862))),"",IF(K862&lt;&gt;L862,"",J862*M862))</f>
        <v>0</v>
      </c>
      <c r="O862" s="25">
        <f>IF(N862="","",IFERROR(N862/INDEX(Recipes!$G$5:$G$204,MATCH(B862,Recipes!$A$5:$A$204,0)),""))</f>
        <v>0</v>
      </c>
      <c r="P862" s="30">
        <f>IF(J862="","",IF(K862="each",J862,J862/100))</f>
        <v>0</v>
      </c>
      <c r="Q862" s="30">
        <f>IFERROR(IF(P862="","",P862*INDEX(Ingredients!$P$5:$P$304,MATCH(D862,Ingredients!$B$5:$B$304,0))),"")</f>
        <v>0</v>
      </c>
      <c r="R862" s="45">
        <f>IFERROR(IF(P862="","",P862*INDEX(Ingredients!$Q$5:$Q$304,MATCH(D862,Ingredients!$B$5:$B$304,0))),"")</f>
        <v>0</v>
      </c>
      <c r="S862" s="45">
        <f>IFERROR(IF(P862="","",P862*INDEX(Ingredients!$R$5:$R$304,MATCH(D862,Ingredients!$B$5:$B$304,0))),"")</f>
        <v>0</v>
      </c>
      <c r="T862" s="45">
        <f>IFERROR(IF(P862="","",P862*INDEX(Ingredients!$S$5:$S$304,MATCH(D862,Ingredients!$B$5:$B$304,0))),"")</f>
        <v>0</v>
      </c>
      <c r="U862" s="45">
        <f>IFERROR(IF(P862="","",P862*INDEX(Ingredients!$T$5:$T$304,MATCH(D862,Ingredients!$B$5:$B$304,0))),"")</f>
        <v>0</v>
      </c>
      <c r="V862" s="17">
        <f>IF(D862="","",IFERROR(INDEX(Ingredients!$W$5:$W$304,MATCH(D862,Ingredients!$B$5:$B$304,0)),"Add to Ingredients"))</f>
        <v>0</v>
      </c>
      <c r="W862" s="17">
        <f>IF(D862="","",IFERROR(INDEX(Ingredients!$C$5:$C$304,MATCH(D862,Ingredients!$B$5:$B$304,0)),"Add to Ingredients"))</f>
        <v>0</v>
      </c>
      <c r="X862" s="45">
        <f>IFERROR(INDEX(Recipes!$AT$5:$AT$204,MATCH(B862,Recipes!$A$5:$A$204,0)),0)</f>
        <v>0</v>
      </c>
      <c r="Y862" s="45">
        <f>IF(OR(J862="",X862=0),"",J862*X862)</f>
        <v>0</v>
      </c>
      <c r="Z862" s="17">
        <f>IF(D862="","",B862&amp;"#"&amp;COUNTIFS($B$5:B862,B862))</f>
        <v>0</v>
      </c>
      <c r="AA862" s="17">
        <f>IF(D862="","",B862&amp;"|"&amp;D862)</f>
        <v>0</v>
      </c>
      <c r="AB862" s="31">
        <f>IF(D862="","",IF(B862="","Add - which recipe?",IF(COUNTIFS(Ingredients!$B$5:$B$304,D862)=0,"Missing - not in the Ingredients tab",IF(E862="","Add - no quantity",IF(F862="","Add - no unit",IF(K862&lt;&gt;L862,"Check - recipe in "&amp;K862&amp;", priced in "&amp;L862,IF(COUNTIFS($AA$5:$AA$1204,AA862)&gt;1,"Duplicate - same ingredient twice","OK")))))))</f>
        <v>0</v>
      </c>
    </row>
    <row r="863" spans="1:28">
      <c r="A863" s="39">
        <f>IF(D863="","","RL-"&amp;TEXT(ROW()-4,"0000"))</f>
        <v>0</v>
      </c>
      <c r="C863" s="17">
        <f>IF(B863="","",IFERROR(INDEX(Recipes!$B$5:$B$204,MATCH(B863,Recipes!$A$5:$A$204,0)),"Not found"))</f>
        <v>0</v>
      </c>
      <c r="J863" s="45">
        <f>IF(E863="","",IFERROR(E863*INDEX(UnitFactors,MATCH(F863,UnitNames,0)),""))</f>
        <v>0</v>
      </c>
      <c r="K863" s="17">
        <f>IF(F863="","",IFERROR(INDEX(UnitBases,MATCH(F863,UnitNames,0)),"?"))</f>
        <v>0</v>
      </c>
      <c r="L863" s="17">
        <f>IF(D863="","",IFERROR(INDEX(Ingredients!$G$5:$G$304,MATCH(D863,Ingredients!$B$5:$B$304,0)),"Add to Ingredients"))</f>
        <v>0</v>
      </c>
      <c r="M863" s="25">
        <f>IF(D863="","",IFERROR(INDEX(Ingredients!$J$5:$J$304,MATCH(D863,Ingredients!$B$5:$B$304,0)),"Add to Ingredients"))</f>
        <v>0</v>
      </c>
      <c r="N863" s="25">
        <f>IF(OR(J863="",M863="",NOT(ISNUMBER(M863))),"",IF(K863&lt;&gt;L863,"",J863*M863))</f>
        <v>0</v>
      </c>
      <c r="O863" s="25">
        <f>IF(N863="","",IFERROR(N863/INDEX(Recipes!$G$5:$G$204,MATCH(B863,Recipes!$A$5:$A$204,0)),""))</f>
        <v>0</v>
      </c>
      <c r="P863" s="30">
        <f>IF(J863="","",IF(K863="each",J863,J863/100))</f>
        <v>0</v>
      </c>
      <c r="Q863" s="30">
        <f>IFERROR(IF(P863="","",P863*INDEX(Ingredients!$P$5:$P$304,MATCH(D863,Ingredients!$B$5:$B$304,0))),"")</f>
        <v>0</v>
      </c>
      <c r="R863" s="45">
        <f>IFERROR(IF(P863="","",P863*INDEX(Ingredients!$Q$5:$Q$304,MATCH(D863,Ingredients!$B$5:$B$304,0))),"")</f>
        <v>0</v>
      </c>
      <c r="S863" s="45">
        <f>IFERROR(IF(P863="","",P863*INDEX(Ingredients!$R$5:$R$304,MATCH(D863,Ingredients!$B$5:$B$304,0))),"")</f>
        <v>0</v>
      </c>
      <c r="T863" s="45">
        <f>IFERROR(IF(P863="","",P863*INDEX(Ingredients!$S$5:$S$304,MATCH(D863,Ingredients!$B$5:$B$304,0))),"")</f>
        <v>0</v>
      </c>
      <c r="U863" s="45">
        <f>IFERROR(IF(P863="","",P863*INDEX(Ingredients!$T$5:$T$304,MATCH(D863,Ingredients!$B$5:$B$304,0))),"")</f>
        <v>0</v>
      </c>
      <c r="V863" s="17">
        <f>IF(D863="","",IFERROR(INDEX(Ingredients!$W$5:$W$304,MATCH(D863,Ingredients!$B$5:$B$304,0)),"Add to Ingredients"))</f>
        <v>0</v>
      </c>
      <c r="W863" s="17">
        <f>IF(D863="","",IFERROR(INDEX(Ingredients!$C$5:$C$304,MATCH(D863,Ingredients!$B$5:$B$304,0)),"Add to Ingredients"))</f>
        <v>0</v>
      </c>
      <c r="X863" s="45">
        <f>IFERROR(INDEX(Recipes!$AT$5:$AT$204,MATCH(B863,Recipes!$A$5:$A$204,0)),0)</f>
        <v>0</v>
      </c>
      <c r="Y863" s="45">
        <f>IF(OR(J863="",X863=0),"",J863*X863)</f>
        <v>0</v>
      </c>
      <c r="Z863" s="17">
        <f>IF(D863="","",B863&amp;"#"&amp;COUNTIFS($B$5:B863,B863))</f>
        <v>0</v>
      </c>
      <c r="AA863" s="17">
        <f>IF(D863="","",B863&amp;"|"&amp;D863)</f>
        <v>0</v>
      </c>
      <c r="AB863" s="31">
        <f>IF(D863="","",IF(B863="","Add - which recipe?",IF(COUNTIFS(Ingredients!$B$5:$B$304,D863)=0,"Missing - not in the Ingredients tab",IF(E863="","Add - no quantity",IF(F863="","Add - no unit",IF(K863&lt;&gt;L863,"Check - recipe in "&amp;K863&amp;", priced in "&amp;L863,IF(COUNTIFS($AA$5:$AA$1204,AA863)&gt;1,"Duplicate - same ingredient twice","OK")))))))</f>
        <v>0</v>
      </c>
    </row>
    <row r="864" spans="1:28">
      <c r="A864" s="39">
        <f>IF(D864="","","RL-"&amp;TEXT(ROW()-4,"0000"))</f>
        <v>0</v>
      </c>
      <c r="C864" s="17">
        <f>IF(B864="","",IFERROR(INDEX(Recipes!$B$5:$B$204,MATCH(B864,Recipes!$A$5:$A$204,0)),"Not found"))</f>
        <v>0</v>
      </c>
      <c r="J864" s="45">
        <f>IF(E864="","",IFERROR(E864*INDEX(UnitFactors,MATCH(F864,UnitNames,0)),""))</f>
        <v>0</v>
      </c>
      <c r="K864" s="17">
        <f>IF(F864="","",IFERROR(INDEX(UnitBases,MATCH(F864,UnitNames,0)),"?"))</f>
        <v>0</v>
      </c>
      <c r="L864" s="17">
        <f>IF(D864="","",IFERROR(INDEX(Ingredients!$G$5:$G$304,MATCH(D864,Ingredients!$B$5:$B$304,0)),"Add to Ingredients"))</f>
        <v>0</v>
      </c>
      <c r="M864" s="25">
        <f>IF(D864="","",IFERROR(INDEX(Ingredients!$J$5:$J$304,MATCH(D864,Ingredients!$B$5:$B$304,0)),"Add to Ingredients"))</f>
        <v>0</v>
      </c>
      <c r="N864" s="25">
        <f>IF(OR(J864="",M864="",NOT(ISNUMBER(M864))),"",IF(K864&lt;&gt;L864,"",J864*M864))</f>
        <v>0</v>
      </c>
      <c r="O864" s="25">
        <f>IF(N864="","",IFERROR(N864/INDEX(Recipes!$G$5:$G$204,MATCH(B864,Recipes!$A$5:$A$204,0)),""))</f>
        <v>0</v>
      </c>
      <c r="P864" s="30">
        <f>IF(J864="","",IF(K864="each",J864,J864/100))</f>
        <v>0</v>
      </c>
      <c r="Q864" s="30">
        <f>IFERROR(IF(P864="","",P864*INDEX(Ingredients!$P$5:$P$304,MATCH(D864,Ingredients!$B$5:$B$304,0))),"")</f>
        <v>0</v>
      </c>
      <c r="R864" s="45">
        <f>IFERROR(IF(P864="","",P864*INDEX(Ingredients!$Q$5:$Q$304,MATCH(D864,Ingredients!$B$5:$B$304,0))),"")</f>
        <v>0</v>
      </c>
      <c r="S864" s="45">
        <f>IFERROR(IF(P864="","",P864*INDEX(Ingredients!$R$5:$R$304,MATCH(D864,Ingredients!$B$5:$B$304,0))),"")</f>
        <v>0</v>
      </c>
      <c r="T864" s="45">
        <f>IFERROR(IF(P864="","",P864*INDEX(Ingredients!$S$5:$S$304,MATCH(D864,Ingredients!$B$5:$B$304,0))),"")</f>
        <v>0</v>
      </c>
      <c r="U864" s="45">
        <f>IFERROR(IF(P864="","",P864*INDEX(Ingredients!$T$5:$T$304,MATCH(D864,Ingredients!$B$5:$B$304,0))),"")</f>
        <v>0</v>
      </c>
      <c r="V864" s="17">
        <f>IF(D864="","",IFERROR(INDEX(Ingredients!$W$5:$W$304,MATCH(D864,Ingredients!$B$5:$B$304,0)),"Add to Ingredients"))</f>
        <v>0</v>
      </c>
      <c r="W864" s="17">
        <f>IF(D864="","",IFERROR(INDEX(Ingredients!$C$5:$C$304,MATCH(D864,Ingredients!$B$5:$B$304,0)),"Add to Ingredients"))</f>
        <v>0</v>
      </c>
      <c r="X864" s="45">
        <f>IFERROR(INDEX(Recipes!$AT$5:$AT$204,MATCH(B864,Recipes!$A$5:$A$204,0)),0)</f>
        <v>0</v>
      </c>
      <c r="Y864" s="45">
        <f>IF(OR(J864="",X864=0),"",J864*X864)</f>
        <v>0</v>
      </c>
      <c r="Z864" s="17">
        <f>IF(D864="","",B864&amp;"#"&amp;COUNTIFS($B$5:B864,B864))</f>
        <v>0</v>
      </c>
      <c r="AA864" s="17">
        <f>IF(D864="","",B864&amp;"|"&amp;D864)</f>
        <v>0</v>
      </c>
      <c r="AB864" s="31">
        <f>IF(D864="","",IF(B864="","Add - which recipe?",IF(COUNTIFS(Ingredients!$B$5:$B$304,D864)=0,"Missing - not in the Ingredients tab",IF(E864="","Add - no quantity",IF(F864="","Add - no unit",IF(K864&lt;&gt;L864,"Check - recipe in "&amp;K864&amp;", priced in "&amp;L864,IF(COUNTIFS($AA$5:$AA$1204,AA864)&gt;1,"Duplicate - same ingredient twice","OK")))))))</f>
        <v>0</v>
      </c>
    </row>
    <row r="865" spans="1:28">
      <c r="A865" s="39">
        <f>IF(D865="","","RL-"&amp;TEXT(ROW()-4,"0000"))</f>
        <v>0</v>
      </c>
      <c r="C865" s="17">
        <f>IF(B865="","",IFERROR(INDEX(Recipes!$B$5:$B$204,MATCH(B865,Recipes!$A$5:$A$204,0)),"Not found"))</f>
        <v>0</v>
      </c>
      <c r="J865" s="45">
        <f>IF(E865="","",IFERROR(E865*INDEX(UnitFactors,MATCH(F865,UnitNames,0)),""))</f>
        <v>0</v>
      </c>
      <c r="K865" s="17">
        <f>IF(F865="","",IFERROR(INDEX(UnitBases,MATCH(F865,UnitNames,0)),"?"))</f>
        <v>0</v>
      </c>
      <c r="L865" s="17">
        <f>IF(D865="","",IFERROR(INDEX(Ingredients!$G$5:$G$304,MATCH(D865,Ingredients!$B$5:$B$304,0)),"Add to Ingredients"))</f>
        <v>0</v>
      </c>
      <c r="M865" s="25">
        <f>IF(D865="","",IFERROR(INDEX(Ingredients!$J$5:$J$304,MATCH(D865,Ingredients!$B$5:$B$304,0)),"Add to Ingredients"))</f>
        <v>0</v>
      </c>
      <c r="N865" s="25">
        <f>IF(OR(J865="",M865="",NOT(ISNUMBER(M865))),"",IF(K865&lt;&gt;L865,"",J865*M865))</f>
        <v>0</v>
      </c>
      <c r="O865" s="25">
        <f>IF(N865="","",IFERROR(N865/INDEX(Recipes!$G$5:$G$204,MATCH(B865,Recipes!$A$5:$A$204,0)),""))</f>
        <v>0</v>
      </c>
      <c r="P865" s="30">
        <f>IF(J865="","",IF(K865="each",J865,J865/100))</f>
        <v>0</v>
      </c>
      <c r="Q865" s="30">
        <f>IFERROR(IF(P865="","",P865*INDEX(Ingredients!$P$5:$P$304,MATCH(D865,Ingredients!$B$5:$B$304,0))),"")</f>
        <v>0</v>
      </c>
      <c r="R865" s="45">
        <f>IFERROR(IF(P865="","",P865*INDEX(Ingredients!$Q$5:$Q$304,MATCH(D865,Ingredients!$B$5:$B$304,0))),"")</f>
        <v>0</v>
      </c>
      <c r="S865" s="45">
        <f>IFERROR(IF(P865="","",P865*INDEX(Ingredients!$R$5:$R$304,MATCH(D865,Ingredients!$B$5:$B$304,0))),"")</f>
        <v>0</v>
      </c>
      <c r="T865" s="45">
        <f>IFERROR(IF(P865="","",P865*INDEX(Ingredients!$S$5:$S$304,MATCH(D865,Ingredients!$B$5:$B$304,0))),"")</f>
        <v>0</v>
      </c>
      <c r="U865" s="45">
        <f>IFERROR(IF(P865="","",P865*INDEX(Ingredients!$T$5:$T$304,MATCH(D865,Ingredients!$B$5:$B$304,0))),"")</f>
        <v>0</v>
      </c>
      <c r="V865" s="17">
        <f>IF(D865="","",IFERROR(INDEX(Ingredients!$W$5:$W$304,MATCH(D865,Ingredients!$B$5:$B$304,0)),"Add to Ingredients"))</f>
        <v>0</v>
      </c>
      <c r="W865" s="17">
        <f>IF(D865="","",IFERROR(INDEX(Ingredients!$C$5:$C$304,MATCH(D865,Ingredients!$B$5:$B$304,0)),"Add to Ingredients"))</f>
        <v>0</v>
      </c>
      <c r="X865" s="45">
        <f>IFERROR(INDEX(Recipes!$AT$5:$AT$204,MATCH(B865,Recipes!$A$5:$A$204,0)),0)</f>
        <v>0</v>
      </c>
      <c r="Y865" s="45">
        <f>IF(OR(J865="",X865=0),"",J865*X865)</f>
        <v>0</v>
      </c>
      <c r="Z865" s="17">
        <f>IF(D865="","",B865&amp;"#"&amp;COUNTIFS($B$5:B865,B865))</f>
        <v>0</v>
      </c>
      <c r="AA865" s="17">
        <f>IF(D865="","",B865&amp;"|"&amp;D865)</f>
        <v>0</v>
      </c>
      <c r="AB865" s="31">
        <f>IF(D865="","",IF(B865="","Add - which recipe?",IF(COUNTIFS(Ingredients!$B$5:$B$304,D865)=0,"Missing - not in the Ingredients tab",IF(E865="","Add - no quantity",IF(F865="","Add - no unit",IF(K865&lt;&gt;L865,"Check - recipe in "&amp;K865&amp;", priced in "&amp;L865,IF(COUNTIFS($AA$5:$AA$1204,AA865)&gt;1,"Duplicate - same ingredient twice","OK")))))))</f>
        <v>0</v>
      </c>
    </row>
    <row r="866" spans="1:28">
      <c r="A866" s="39">
        <f>IF(D866="","","RL-"&amp;TEXT(ROW()-4,"0000"))</f>
        <v>0</v>
      </c>
      <c r="C866" s="17">
        <f>IF(B866="","",IFERROR(INDEX(Recipes!$B$5:$B$204,MATCH(B866,Recipes!$A$5:$A$204,0)),"Not found"))</f>
        <v>0</v>
      </c>
      <c r="J866" s="45">
        <f>IF(E866="","",IFERROR(E866*INDEX(UnitFactors,MATCH(F866,UnitNames,0)),""))</f>
        <v>0</v>
      </c>
      <c r="K866" s="17">
        <f>IF(F866="","",IFERROR(INDEX(UnitBases,MATCH(F866,UnitNames,0)),"?"))</f>
        <v>0</v>
      </c>
      <c r="L866" s="17">
        <f>IF(D866="","",IFERROR(INDEX(Ingredients!$G$5:$G$304,MATCH(D866,Ingredients!$B$5:$B$304,0)),"Add to Ingredients"))</f>
        <v>0</v>
      </c>
      <c r="M866" s="25">
        <f>IF(D866="","",IFERROR(INDEX(Ingredients!$J$5:$J$304,MATCH(D866,Ingredients!$B$5:$B$304,0)),"Add to Ingredients"))</f>
        <v>0</v>
      </c>
      <c r="N866" s="25">
        <f>IF(OR(J866="",M866="",NOT(ISNUMBER(M866))),"",IF(K866&lt;&gt;L866,"",J866*M866))</f>
        <v>0</v>
      </c>
      <c r="O866" s="25">
        <f>IF(N866="","",IFERROR(N866/INDEX(Recipes!$G$5:$G$204,MATCH(B866,Recipes!$A$5:$A$204,0)),""))</f>
        <v>0</v>
      </c>
      <c r="P866" s="30">
        <f>IF(J866="","",IF(K866="each",J866,J866/100))</f>
        <v>0</v>
      </c>
      <c r="Q866" s="30">
        <f>IFERROR(IF(P866="","",P866*INDEX(Ingredients!$P$5:$P$304,MATCH(D866,Ingredients!$B$5:$B$304,0))),"")</f>
        <v>0</v>
      </c>
      <c r="R866" s="45">
        <f>IFERROR(IF(P866="","",P866*INDEX(Ingredients!$Q$5:$Q$304,MATCH(D866,Ingredients!$B$5:$B$304,0))),"")</f>
        <v>0</v>
      </c>
      <c r="S866" s="45">
        <f>IFERROR(IF(P866="","",P866*INDEX(Ingredients!$R$5:$R$304,MATCH(D866,Ingredients!$B$5:$B$304,0))),"")</f>
        <v>0</v>
      </c>
      <c r="T866" s="45">
        <f>IFERROR(IF(P866="","",P866*INDEX(Ingredients!$S$5:$S$304,MATCH(D866,Ingredients!$B$5:$B$304,0))),"")</f>
        <v>0</v>
      </c>
      <c r="U866" s="45">
        <f>IFERROR(IF(P866="","",P866*INDEX(Ingredients!$T$5:$T$304,MATCH(D866,Ingredients!$B$5:$B$304,0))),"")</f>
        <v>0</v>
      </c>
      <c r="V866" s="17">
        <f>IF(D866="","",IFERROR(INDEX(Ingredients!$W$5:$W$304,MATCH(D866,Ingredients!$B$5:$B$304,0)),"Add to Ingredients"))</f>
        <v>0</v>
      </c>
      <c r="W866" s="17">
        <f>IF(D866="","",IFERROR(INDEX(Ingredients!$C$5:$C$304,MATCH(D866,Ingredients!$B$5:$B$304,0)),"Add to Ingredients"))</f>
        <v>0</v>
      </c>
      <c r="X866" s="45">
        <f>IFERROR(INDEX(Recipes!$AT$5:$AT$204,MATCH(B866,Recipes!$A$5:$A$204,0)),0)</f>
        <v>0</v>
      </c>
      <c r="Y866" s="45">
        <f>IF(OR(J866="",X866=0),"",J866*X866)</f>
        <v>0</v>
      </c>
      <c r="Z866" s="17">
        <f>IF(D866="","",B866&amp;"#"&amp;COUNTIFS($B$5:B866,B866))</f>
        <v>0</v>
      </c>
      <c r="AA866" s="17">
        <f>IF(D866="","",B866&amp;"|"&amp;D866)</f>
        <v>0</v>
      </c>
      <c r="AB866" s="31">
        <f>IF(D866="","",IF(B866="","Add - which recipe?",IF(COUNTIFS(Ingredients!$B$5:$B$304,D866)=0,"Missing - not in the Ingredients tab",IF(E866="","Add - no quantity",IF(F866="","Add - no unit",IF(K866&lt;&gt;L866,"Check - recipe in "&amp;K866&amp;", priced in "&amp;L866,IF(COUNTIFS($AA$5:$AA$1204,AA866)&gt;1,"Duplicate - same ingredient twice","OK")))))))</f>
        <v>0</v>
      </c>
    </row>
    <row r="867" spans="1:28">
      <c r="A867" s="39">
        <f>IF(D867="","","RL-"&amp;TEXT(ROW()-4,"0000"))</f>
        <v>0</v>
      </c>
      <c r="C867" s="17">
        <f>IF(B867="","",IFERROR(INDEX(Recipes!$B$5:$B$204,MATCH(B867,Recipes!$A$5:$A$204,0)),"Not found"))</f>
        <v>0</v>
      </c>
      <c r="J867" s="45">
        <f>IF(E867="","",IFERROR(E867*INDEX(UnitFactors,MATCH(F867,UnitNames,0)),""))</f>
        <v>0</v>
      </c>
      <c r="K867" s="17">
        <f>IF(F867="","",IFERROR(INDEX(UnitBases,MATCH(F867,UnitNames,0)),"?"))</f>
        <v>0</v>
      </c>
      <c r="L867" s="17">
        <f>IF(D867="","",IFERROR(INDEX(Ingredients!$G$5:$G$304,MATCH(D867,Ingredients!$B$5:$B$304,0)),"Add to Ingredients"))</f>
        <v>0</v>
      </c>
      <c r="M867" s="25">
        <f>IF(D867="","",IFERROR(INDEX(Ingredients!$J$5:$J$304,MATCH(D867,Ingredients!$B$5:$B$304,0)),"Add to Ingredients"))</f>
        <v>0</v>
      </c>
      <c r="N867" s="25">
        <f>IF(OR(J867="",M867="",NOT(ISNUMBER(M867))),"",IF(K867&lt;&gt;L867,"",J867*M867))</f>
        <v>0</v>
      </c>
      <c r="O867" s="25">
        <f>IF(N867="","",IFERROR(N867/INDEX(Recipes!$G$5:$G$204,MATCH(B867,Recipes!$A$5:$A$204,0)),""))</f>
        <v>0</v>
      </c>
      <c r="P867" s="30">
        <f>IF(J867="","",IF(K867="each",J867,J867/100))</f>
        <v>0</v>
      </c>
      <c r="Q867" s="30">
        <f>IFERROR(IF(P867="","",P867*INDEX(Ingredients!$P$5:$P$304,MATCH(D867,Ingredients!$B$5:$B$304,0))),"")</f>
        <v>0</v>
      </c>
      <c r="R867" s="45">
        <f>IFERROR(IF(P867="","",P867*INDEX(Ingredients!$Q$5:$Q$304,MATCH(D867,Ingredients!$B$5:$B$304,0))),"")</f>
        <v>0</v>
      </c>
      <c r="S867" s="45">
        <f>IFERROR(IF(P867="","",P867*INDEX(Ingredients!$R$5:$R$304,MATCH(D867,Ingredients!$B$5:$B$304,0))),"")</f>
        <v>0</v>
      </c>
      <c r="T867" s="45">
        <f>IFERROR(IF(P867="","",P867*INDEX(Ingredients!$S$5:$S$304,MATCH(D867,Ingredients!$B$5:$B$304,0))),"")</f>
        <v>0</v>
      </c>
      <c r="U867" s="45">
        <f>IFERROR(IF(P867="","",P867*INDEX(Ingredients!$T$5:$T$304,MATCH(D867,Ingredients!$B$5:$B$304,0))),"")</f>
        <v>0</v>
      </c>
      <c r="V867" s="17">
        <f>IF(D867="","",IFERROR(INDEX(Ingredients!$W$5:$W$304,MATCH(D867,Ingredients!$B$5:$B$304,0)),"Add to Ingredients"))</f>
        <v>0</v>
      </c>
      <c r="W867" s="17">
        <f>IF(D867="","",IFERROR(INDEX(Ingredients!$C$5:$C$304,MATCH(D867,Ingredients!$B$5:$B$304,0)),"Add to Ingredients"))</f>
        <v>0</v>
      </c>
      <c r="X867" s="45">
        <f>IFERROR(INDEX(Recipes!$AT$5:$AT$204,MATCH(B867,Recipes!$A$5:$A$204,0)),0)</f>
        <v>0</v>
      </c>
      <c r="Y867" s="45">
        <f>IF(OR(J867="",X867=0),"",J867*X867)</f>
        <v>0</v>
      </c>
      <c r="Z867" s="17">
        <f>IF(D867="","",B867&amp;"#"&amp;COUNTIFS($B$5:B867,B867))</f>
        <v>0</v>
      </c>
      <c r="AA867" s="17">
        <f>IF(D867="","",B867&amp;"|"&amp;D867)</f>
        <v>0</v>
      </c>
      <c r="AB867" s="31">
        <f>IF(D867="","",IF(B867="","Add - which recipe?",IF(COUNTIFS(Ingredients!$B$5:$B$304,D867)=0,"Missing - not in the Ingredients tab",IF(E867="","Add - no quantity",IF(F867="","Add - no unit",IF(K867&lt;&gt;L867,"Check - recipe in "&amp;K867&amp;", priced in "&amp;L867,IF(COUNTIFS($AA$5:$AA$1204,AA867)&gt;1,"Duplicate - same ingredient twice","OK")))))))</f>
        <v>0</v>
      </c>
    </row>
    <row r="868" spans="1:28">
      <c r="A868" s="39">
        <f>IF(D868="","","RL-"&amp;TEXT(ROW()-4,"0000"))</f>
        <v>0</v>
      </c>
      <c r="C868" s="17">
        <f>IF(B868="","",IFERROR(INDEX(Recipes!$B$5:$B$204,MATCH(B868,Recipes!$A$5:$A$204,0)),"Not found"))</f>
        <v>0</v>
      </c>
      <c r="J868" s="45">
        <f>IF(E868="","",IFERROR(E868*INDEX(UnitFactors,MATCH(F868,UnitNames,0)),""))</f>
        <v>0</v>
      </c>
      <c r="K868" s="17">
        <f>IF(F868="","",IFERROR(INDEX(UnitBases,MATCH(F868,UnitNames,0)),"?"))</f>
        <v>0</v>
      </c>
      <c r="L868" s="17">
        <f>IF(D868="","",IFERROR(INDEX(Ingredients!$G$5:$G$304,MATCH(D868,Ingredients!$B$5:$B$304,0)),"Add to Ingredients"))</f>
        <v>0</v>
      </c>
      <c r="M868" s="25">
        <f>IF(D868="","",IFERROR(INDEX(Ingredients!$J$5:$J$304,MATCH(D868,Ingredients!$B$5:$B$304,0)),"Add to Ingredients"))</f>
        <v>0</v>
      </c>
      <c r="N868" s="25">
        <f>IF(OR(J868="",M868="",NOT(ISNUMBER(M868))),"",IF(K868&lt;&gt;L868,"",J868*M868))</f>
        <v>0</v>
      </c>
      <c r="O868" s="25">
        <f>IF(N868="","",IFERROR(N868/INDEX(Recipes!$G$5:$G$204,MATCH(B868,Recipes!$A$5:$A$204,0)),""))</f>
        <v>0</v>
      </c>
      <c r="P868" s="30">
        <f>IF(J868="","",IF(K868="each",J868,J868/100))</f>
        <v>0</v>
      </c>
      <c r="Q868" s="30">
        <f>IFERROR(IF(P868="","",P868*INDEX(Ingredients!$P$5:$P$304,MATCH(D868,Ingredients!$B$5:$B$304,0))),"")</f>
        <v>0</v>
      </c>
      <c r="R868" s="45">
        <f>IFERROR(IF(P868="","",P868*INDEX(Ingredients!$Q$5:$Q$304,MATCH(D868,Ingredients!$B$5:$B$304,0))),"")</f>
        <v>0</v>
      </c>
      <c r="S868" s="45">
        <f>IFERROR(IF(P868="","",P868*INDEX(Ingredients!$R$5:$R$304,MATCH(D868,Ingredients!$B$5:$B$304,0))),"")</f>
        <v>0</v>
      </c>
      <c r="T868" s="45">
        <f>IFERROR(IF(P868="","",P868*INDEX(Ingredients!$S$5:$S$304,MATCH(D868,Ingredients!$B$5:$B$304,0))),"")</f>
        <v>0</v>
      </c>
      <c r="U868" s="45">
        <f>IFERROR(IF(P868="","",P868*INDEX(Ingredients!$T$5:$T$304,MATCH(D868,Ingredients!$B$5:$B$304,0))),"")</f>
        <v>0</v>
      </c>
      <c r="V868" s="17">
        <f>IF(D868="","",IFERROR(INDEX(Ingredients!$W$5:$W$304,MATCH(D868,Ingredients!$B$5:$B$304,0)),"Add to Ingredients"))</f>
        <v>0</v>
      </c>
      <c r="W868" s="17">
        <f>IF(D868="","",IFERROR(INDEX(Ingredients!$C$5:$C$304,MATCH(D868,Ingredients!$B$5:$B$304,0)),"Add to Ingredients"))</f>
        <v>0</v>
      </c>
      <c r="X868" s="45">
        <f>IFERROR(INDEX(Recipes!$AT$5:$AT$204,MATCH(B868,Recipes!$A$5:$A$204,0)),0)</f>
        <v>0</v>
      </c>
      <c r="Y868" s="45">
        <f>IF(OR(J868="",X868=0),"",J868*X868)</f>
        <v>0</v>
      </c>
      <c r="Z868" s="17">
        <f>IF(D868="","",B868&amp;"#"&amp;COUNTIFS($B$5:B868,B868))</f>
        <v>0</v>
      </c>
      <c r="AA868" s="17">
        <f>IF(D868="","",B868&amp;"|"&amp;D868)</f>
        <v>0</v>
      </c>
      <c r="AB868" s="31">
        <f>IF(D868="","",IF(B868="","Add - which recipe?",IF(COUNTIFS(Ingredients!$B$5:$B$304,D868)=0,"Missing - not in the Ingredients tab",IF(E868="","Add - no quantity",IF(F868="","Add - no unit",IF(K868&lt;&gt;L868,"Check - recipe in "&amp;K868&amp;", priced in "&amp;L868,IF(COUNTIFS($AA$5:$AA$1204,AA868)&gt;1,"Duplicate - same ingredient twice","OK")))))))</f>
        <v>0</v>
      </c>
    </row>
    <row r="869" spans="1:28">
      <c r="A869" s="39">
        <f>IF(D869="","","RL-"&amp;TEXT(ROW()-4,"0000"))</f>
        <v>0</v>
      </c>
      <c r="C869" s="17">
        <f>IF(B869="","",IFERROR(INDEX(Recipes!$B$5:$B$204,MATCH(B869,Recipes!$A$5:$A$204,0)),"Not found"))</f>
        <v>0</v>
      </c>
      <c r="J869" s="45">
        <f>IF(E869="","",IFERROR(E869*INDEX(UnitFactors,MATCH(F869,UnitNames,0)),""))</f>
        <v>0</v>
      </c>
      <c r="K869" s="17">
        <f>IF(F869="","",IFERROR(INDEX(UnitBases,MATCH(F869,UnitNames,0)),"?"))</f>
        <v>0</v>
      </c>
      <c r="L869" s="17">
        <f>IF(D869="","",IFERROR(INDEX(Ingredients!$G$5:$G$304,MATCH(D869,Ingredients!$B$5:$B$304,0)),"Add to Ingredients"))</f>
        <v>0</v>
      </c>
      <c r="M869" s="25">
        <f>IF(D869="","",IFERROR(INDEX(Ingredients!$J$5:$J$304,MATCH(D869,Ingredients!$B$5:$B$304,0)),"Add to Ingredients"))</f>
        <v>0</v>
      </c>
      <c r="N869" s="25">
        <f>IF(OR(J869="",M869="",NOT(ISNUMBER(M869))),"",IF(K869&lt;&gt;L869,"",J869*M869))</f>
        <v>0</v>
      </c>
      <c r="O869" s="25">
        <f>IF(N869="","",IFERROR(N869/INDEX(Recipes!$G$5:$G$204,MATCH(B869,Recipes!$A$5:$A$204,0)),""))</f>
        <v>0</v>
      </c>
      <c r="P869" s="30">
        <f>IF(J869="","",IF(K869="each",J869,J869/100))</f>
        <v>0</v>
      </c>
      <c r="Q869" s="30">
        <f>IFERROR(IF(P869="","",P869*INDEX(Ingredients!$P$5:$P$304,MATCH(D869,Ingredients!$B$5:$B$304,0))),"")</f>
        <v>0</v>
      </c>
      <c r="R869" s="45">
        <f>IFERROR(IF(P869="","",P869*INDEX(Ingredients!$Q$5:$Q$304,MATCH(D869,Ingredients!$B$5:$B$304,0))),"")</f>
        <v>0</v>
      </c>
      <c r="S869" s="45">
        <f>IFERROR(IF(P869="","",P869*INDEX(Ingredients!$R$5:$R$304,MATCH(D869,Ingredients!$B$5:$B$304,0))),"")</f>
        <v>0</v>
      </c>
      <c r="T869" s="45">
        <f>IFERROR(IF(P869="","",P869*INDEX(Ingredients!$S$5:$S$304,MATCH(D869,Ingredients!$B$5:$B$304,0))),"")</f>
        <v>0</v>
      </c>
      <c r="U869" s="45">
        <f>IFERROR(IF(P869="","",P869*INDEX(Ingredients!$T$5:$T$304,MATCH(D869,Ingredients!$B$5:$B$304,0))),"")</f>
        <v>0</v>
      </c>
      <c r="V869" s="17">
        <f>IF(D869="","",IFERROR(INDEX(Ingredients!$W$5:$W$304,MATCH(D869,Ingredients!$B$5:$B$304,0)),"Add to Ingredients"))</f>
        <v>0</v>
      </c>
      <c r="W869" s="17">
        <f>IF(D869="","",IFERROR(INDEX(Ingredients!$C$5:$C$304,MATCH(D869,Ingredients!$B$5:$B$304,0)),"Add to Ingredients"))</f>
        <v>0</v>
      </c>
      <c r="X869" s="45">
        <f>IFERROR(INDEX(Recipes!$AT$5:$AT$204,MATCH(B869,Recipes!$A$5:$A$204,0)),0)</f>
        <v>0</v>
      </c>
      <c r="Y869" s="45">
        <f>IF(OR(J869="",X869=0),"",J869*X869)</f>
        <v>0</v>
      </c>
      <c r="Z869" s="17">
        <f>IF(D869="","",B869&amp;"#"&amp;COUNTIFS($B$5:B869,B869))</f>
        <v>0</v>
      </c>
      <c r="AA869" s="17">
        <f>IF(D869="","",B869&amp;"|"&amp;D869)</f>
        <v>0</v>
      </c>
      <c r="AB869" s="31">
        <f>IF(D869="","",IF(B869="","Add - which recipe?",IF(COUNTIFS(Ingredients!$B$5:$B$304,D869)=0,"Missing - not in the Ingredients tab",IF(E869="","Add - no quantity",IF(F869="","Add - no unit",IF(K869&lt;&gt;L869,"Check - recipe in "&amp;K869&amp;", priced in "&amp;L869,IF(COUNTIFS($AA$5:$AA$1204,AA869)&gt;1,"Duplicate - same ingredient twice","OK")))))))</f>
        <v>0</v>
      </c>
    </row>
    <row r="870" spans="1:28">
      <c r="A870" s="39">
        <f>IF(D870="","","RL-"&amp;TEXT(ROW()-4,"0000"))</f>
        <v>0</v>
      </c>
      <c r="C870" s="17">
        <f>IF(B870="","",IFERROR(INDEX(Recipes!$B$5:$B$204,MATCH(B870,Recipes!$A$5:$A$204,0)),"Not found"))</f>
        <v>0</v>
      </c>
      <c r="J870" s="45">
        <f>IF(E870="","",IFERROR(E870*INDEX(UnitFactors,MATCH(F870,UnitNames,0)),""))</f>
        <v>0</v>
      </c>
      <c r="K870" s="17">
        <f>IF(F870="","",IFERROR(INDEX(UnitBases,MATCH(F870,UnitNames,0)),"?"))</f>
        <v>0</v>
      </c>
      <c r="L870" s="17">
        <f>IF(D870="","",IFERROR(INDEX(Ingredients!$G$5:$G$304,MATCH(D870,Ingredients!$B$5:$B$304,0)),"Add to Ingredients"))</f>
        <v>0</v>
      </c>
      <c r="M870" s="25">
        <f>IF(D870="","",IFERROR(INDEX(Ingredients!$J$5:$J$304,MATCH(D870,Ingredients!$B$5:$B$304,0)),"Add to Ingredients"))</f>
        <v>0</v>
      </c>
      <c r="N870" s="25">
        <f>IF(OR(J870="",M870="",NOT(ISNUMBER(M870))),"",IF(K870&lt;&gt;L870,"",J870*M870))</f>
        <v>0</v>
      </c>
      <c r="O870" s="25">
        <f>IF(N870="","",IFERROR(N870/INDEX(Recipes!$G$5:$G$204,MATCH(B870,Recipes!$A$5:$A$204,0)),""))</f>
        <v>0</v>
      </c>
      <c r="P870" s="30">
        <f>IF(J870="","",IF(K870="each",J870,J870/100))</f>
        <v>0</v>
      </c>
      <c r="Q870" s="30">
        <f>IFERROR(IF(P870="","",P870*INDEX(Ingredients!$P$5:$P$304,MATCH(D870,Ingredients!$B$5:$B$304,0))),"")</f>
        <v>0</v>
      </c>
      <c r="R870" s="45">
        <f>IFERROR(IF(P870="","",P870*INDEX(Ingredients!$Q$5:$Q$304,MATCH(D870,Ingredients!$B$5:$B$304,0))),"")</f>
        <v>0</v>
      </c>
      <c r="S870" s="45">
        <f>IFERROR(IF(P870="","",P870*INDEX(Ingredients!$R$5:$R$304,MATCH(D870,Ingredients!$B$5:$B$304,0))),"")</f>
        <v>0</v>
      </c>
      <c r="T870" s="45">
        <f>IFERROR(IF(P870="","",P870*INDEX(Ingredients!$S$5:$S$304,MATCH(D870,Ingredients!$B$5:$B$304,0))),"")</f>
        <v>0</v>
      </c>
      <c r="U870" s="45">
        <f>IFERROR(IF(P870="","",P870*INDEX(Ingredients!$T$5:$T$304,MATCH(D870,Ingredients!$B$5:$B$304,0))),"")</f>
        <v>0</v>
      </c>
      <c r="V870" s="17">
        <f>IF(D870="","",IFERROR(INDEX(Ingredients!$W$5:$W$304,MATCH(D870,Ingredients!$B$5:$B$304,0)),"Add to Ingredients"))</f>
        <v>0</v>
      </c>
      <c r="W870" s="17">
        <f>IF(D870="","",IFERROR(INDEX(Ingredients!$C$5:$C$304,MATCH(D870,Ingredients!$B$5:$B$304,0)),"Add to Ingredients"))</f>
        <v>0</v>
      </c>
      <c r="X870" s="45">
        <f>IFERROR(INDEX(Recipes!$AT$5:$AT$204,MATCH(B870,Recipes!$A$5:$A$204,0)),0)</f>
        <v>0</v>
      </c>
      <c r="Y870" s="45">
        <f>IF(OR(J870="",X870=0),"",J870*X870)</f>
        <v>0</v>
      </c>
      <c r="Z870" s="17">
        <f>IF(D870="","",B870&amp;"#"&amp;COUNTIFS($B$5:B870,B870))</f>
        <v>0</v>
      </c>
      <c r="AA870" s="17">
        <f>IF(D870="","",B870&amp;"|"&amp;D870)</f>
        <v>0</v>
      </c>
      <c r="AB870" s="31">
        <f>IF(D870="","",IF(B870="","Add - which recipe?",IF(COUNTIFS(Ingredients!$B$5:$B$304,D870)=0,"Missing - not in the Ingredients tab",IF(E870="","Add - no quantity",IF(F870="","Add - no unit",IF(K870&lt;&gt;L870,"Check - recipe in "&amp;K870&amp;", priced in "&amp;L870,IF(COUNTIFS($AA$5:$AA$1204,AA870)&gt;1,"Duplicate - same ingredient twice","OK")))))))</f>
        <v>0</v>
      </c>
    </row>
    <row r="871" spans="1:28">
      <c r="A871" s="39">
        <f>IF(D871="","","RL-"&amp;TEXT(ROW()-4,"0000"))</f>
        <v>0</v>
      </c>
      <c r="C871" s="17">
        <f>IF(B871="","",IFERROR(INDEX(Recipes!$B$5:$B$204,MATCH(B871,Recipes!$A$5:$A$204,0)),"Not found"))</f>
        <v>0</v>
      </c>
      <c r="J871" s="45">
        <f>IF(E871="","",IFERROR(E871*INDEX(UnitFactors,MATCH(F871,UnitNames,0)),""))</f>
        <v>0</v>
      </c>
      <c r="K871" s="17">
        <f>IF(F871="","",IFERROR(INDEX(UnitBases,MATCH(F871,UnitNames,0)),"?"))</f>
        <v>0</v>
      </c>
      <c r="L871" s="17">
        <f>IF(D871="","",IFERROR(INDEX(Ingredients!$G$5:$G$304,MATCH(D871,Ingredients!$B$5:$B$304,0)),"Add to Ingredients"))</f>
        <v>0</v>
      </c>
      <c r="M871" s="25">
        <f>IF(D871="","",IFERROR(INDEX(Ingredients!$J$5:$J$304,MATCH(D871,Ingredients!$B$5:$B$304,0)),"Add to Ingredients"))</f>
        <v>0</v>
      </c>
      <c r="N871" s="25">
        <f>IF(OR(J871="",M871="",NOT(ISNUMBER(M871))),"",IF(K871&lt;&gt;L871,"",J871*M871))</f>
        <v>0</v>
      </c>
      <c r="O871" s="25">
        <f>IF(N871="","",IFERROR(N871/INDEX(Recipes!$G$5:$G$204,MATCH(B871,Recipes!$A$5:$A$204,0)),""))</f>
        <v>0</v>
      </c>
      <c r="P871" s="30">
        <f>IF(J871="","",IF(K871="each",J871,J871/100))</f>
        <v>0</v>
      </c>
      <c r="Q871" s="30">
        <f>IFERROR(IF(P871="","",P871*INDEX(Ingredients!$P$5:$P$304,MATCH(D871,Ingredients!$B$5:$B$304,0))),"")</f>
        <v>0</v>
      </c>
      <c r="R871" s="45">
        <f>IFERROR(IF(P871="","",P871*INDEX(Ingredients!$Q$5:$Q$304,MATCH(D871,Ingredients!$B$5:$B$304,0))),"")</f>
        <v>0</v>
      </c>
      <c r="S871" s="45">
        <f>IFERROR(IF(P871="","",P871*INDEX(Ingredients!$R$5:$R$304,MATCH(D871,Ingredients!$B$5:$B$304,0))),"")</f>
        <v>0</v>
      </c>
      <c r="T871" s="45">
        <f>IFERROR(IF(P871="","",P871*INDEX(Ingredients!$S$5:$S$304,MATCH(D871,Ingredients!$B$5:$B$304,0))),"")</f>
        <v>0</v>
      </c>
      <c r="U871" s="45">
        <f>IFERROR(IF(P871="","",P871*INDEX(Ingredients!$T$5:$T$304,MATCH(D871,Ingredients!$B$5:$B$304,0))),"")</f>
        <v>0</v>
      </c>
      <c r="V871" s="17">
        <f>IF(D871="","",IFERROR(INDEX(Ingredients!$W$5:$W$304,MATCH(D871,Ingredients!$B$5:$B$304,0)),"Add to Ingredients"))</f>
        <v>0</v>
      </c>
      <c r="W871" s="17">
        <f>IF(D871="","",IFERROR(INDEX(Ingredients!$C$5:$C$304,MATCH(D871,Ingredients!$B$5:$B$304,0)),"Add to Ingredients"))</f>
        <v>0</v>
      </c>
      <c r="X871" s="45">
        <f>IFERROR(INDEX(Recipes!$AT$5:$AT$204,MATCH(B871,Recipes!$A$5:$A$204,0)),0)</f>
        <v>0</v>
      </c>
      <c r="Y871" s="45">
        <f>IF(OR(J871="",X871=0),"",J871*X871)</f>
        <v>0</v>
      </c>
      <c r="Z871" s="17">
        <f>IF(D871="","",B871&amp;"#"&amp;COUNTIFS($B$5:B871,B871))</f>
        <v>0</v>
      </c>
      <c r="AA871" s="17">
        <f>IF(D871="","",B871&amp;"|"&amp;D871)</f>
        <v>0</v>
      </c>
      <c r="AB871" s="31">
        <f>IF(D871="","",IF(B871="","Add - which recipe?",IF(COUNTIFS(Ingredients!$B$5:$B$304,D871)=0,"Missing - not in the Ingredients tab",IF(E871="","Add - no quantity",IF(F871="","Add - no unit",IF(K871&lt;&gt;L871,"Check - recipe in "&amp;K871&amp;", priced in "&amp;L871,IF(COUNTIFS($AA$5:$AA$1204,AA871)&gt;1,"Duplicate - same ingredient twice","OK")))))))</f>
        <v>0</v>
      </c>
    </row>
    <row r="872" spans="1:28">
      <c r="A872" s="39">
        <f>IF(D872="","","RL-"&amp;TEXT(ROW()-4,"0000"))</f>
        <v>0</v>
      </c>
      <c r="C872" s="17">
        <f>IF(B872="","",IFERROR(INDEX(Recipes!$B$5:$B$204,MATCH(B872,Recipes!$A$5:$A$204,0)),"Not found"))</f>
        <v>0</v>
      </c>
      <c r="J872" s="45">
        <f>IF(E872="","",IFERROR(E872*INDEX(UnitFactors,MATCH(F872,UnitNames,0)),""))</f>
        <v>0</v>
      </c>
      <c r="K872" s="17">
        <f>IF(F872="","",IFERROR(INDEX(UnitBases,MATCH(F872,UnitNames,0)),"?"))</f>
        <v>0</v>
      </c>
      <c r="L872" s="17">
        <f>IF(D872="","",IFERROR(INDEX(Ingredients!$G$5:$G$304,MATCH(D872,Ingredients!$B$5:$B$304,0)),"Add to Ingredients"))</f>
        <v>0</v>
      </c>
      <c r="M872" s="25">
        <f>IF(D872="","",IFERROR(INDEX(Ingredients!$J$5:$J$304,MATCH(D872,Ingredients!$B$5:$B$304,0)),"Add to Ingredients"))</f>
        <v>0</v>
      </c>
      <c r="N872" s="25">
        <f>IF(OR(J872="",M872="",NOT(ISNUMBER(M872))),"",IF(K872&lt;&gt;L872,"",J872*M872))</f>
        <v>0</v>
      </c>
      <c r="O872" s="25">
        <f>IF(N872="","",IFERROR(N872/INDEX(Recipes!$G$5:$G$204,MATCH(B872,Recipes!$A$5:$A$204,0)),""))</f>
        <v>0</v>
      </c>
      <c r="P872" s="30">
        <f>IF(J872="","",IF(K872="each",J872,J872/100))</f>
        <v>0</v>
      </c>
      <c r="Q872" s="30">
        <f>IFERROR(IF(P872="","",P872*INDEX(Ingredients!$P$5:$P$304,MATCH(D872,Ingredients!$B$5:$B$304,0))),"")</f>
        <v>0</v>
      </c>
      <c r="R872" s="45">
        <f>IFERROR(IF(P872="","",P872*INDEX(Ingredients!$Q$5:$Q$304,MATCH(D872,Ingredients!$B$5:$B$304,0))),"")</f>
        <v>0</v>
      </c>
      <c r="S872" s="45">
        <f>IFERROR(IF(P872="","",P872*INDEX(Ingredients!$R$5:$R$304,MATCH(D872,Ingredients!$B$5:$B$304,0))),"")</f>
        <v>0</v>
      </c>
      <c r="T872" s="45">
        <f>IFERROR(IF(P872="","",P872*INDEX(Ingredients!$S$5:$S$304,MATCH(D872,Ingredients!$B$5:$B$304,0))),"")</f>
        <v>0</v>
      </c>
      <c r="U872" s="45">
        <f>IFERROR(IF(P872="","",P872*INDEX(Ingredients!$T$5:$T$304,MATCH(D872,Ingredients!$B$5:$B$304,0))),"")</f>
        <v>0</v>
      </c>
      <c r="V872" s="17">
        <f>IF(D872="","",IFERROR(INDEX(Ingredients!$W$5:$W$304,MATCH(D872,Ingredients!$B$5:$B$304,0)),"Add to Ingredients"))</f>
        <v>0</v>
      </c>
      <c r="W872" s="17">
        <f>IF(D872="","",IFERROR(INDEX(Ingredients!$C$5:$C$304,MATCH(D872,Ingredients!$B$5:$B$304,0)),"Add to Ingredients"))</f>
        <v>0</v>
      </c>
      <c r="X872" s="45">
        <f>IFERROR(INDEX(Recipes!$AT$5:$AT$204,MATCH(B872,Recipes!$A$5:$A$204,0)),0)</f>
        <v>0</v>
      </c>
      <c r="Y872" s="45">
        <f>IF(OR(J872="",X872=0),"",J872*X872)</f>
        <v>0</v>
      </c>
      <c r="Z872" s="17">
        <f>IF(D872="","",B872&amp;"#"&amp;COUNTIFS($B$5:B872,B872))</f>
        <v>0</v>
      </c>
      <c r="AA872" s="17">
        <f>IF(D872="","",B872&amp;"|"&amp;D872)</f>
        <v>0</v>
      </c>
      <c r="AB872" s="31">
        <f>IF(D872="","",IF(B872="","Add - which recipe?",IF(COUNTIFS(Ingredients!$B$5:$B$304,D872)=0,"Missing - not in the Ingredients tab",IF(E872="","Add - no quantity",IF(F872="","Add - no unit",IF(K872&lt;&gt;L872,"Check - recipe in "&amp;K872&amp;", priced in "&amp;L872,IF(COUNTIFS($AA$5:$AA$1204,AA872)&gt;1,"Duplicate - same ingredient twice","OK")))))))</f>
        <v>0</v>
      </c>
    </row>
    <row r="873" spans="1:28">
      <c r="A873" s="39">
        <f>IF(D873="","","RL-"&amp;TEXT(ROW()-4,"0000"))</f>
        <v>0</v>
      </c>
      <c r="C873" s="17">
        <f>IF(B873="","",IFERROR(INDEX(Recipes!$B$5:$B$204,MATCH(B873,Recipes!$A$5:$A$204,0)),"Not found"))</f>
        <v>0</v>
      </c>
      <c r="J873" s="45">
        <f>IF(E873="","",IFERROR(E873*INDEX(UnitFactors,MATCH(F873,UnitNames,0)),""))</f>
        <v>0</v>
      </c>
      <c r="K873" s="17">
        <f>IF(F873="","",IFERROR(INDEX(UnitBases,MATCH(F873,UnitNames,0)),"?"))</f>
        <v>0</v>
      </c>
      <c r="L873" s="17">
        <f>IF(D873="","",IFERROR(INDEX(Ingredients!$G$5:$G$304,MATCH(D873,Ingredients!$B$5:$B$304,0)),"Add to Ingredients"))</f>
        <v>0</v>
      </c>
      <c r="M873" s="25">
        <f>IF(D873="","",IFERROR(INDEX(Ingredients!$J$5:$J$304,MATCH(D873,Ingredients!$B$5:$B$304,0)),"Add to Ingredients"))</f>
        <v>0</v>
      </c>
      <c r="N873" s="25">
        <f>IF(OR(J873="",M873="",NOT(ISNUMBER(M873))),"",IF(K873&lt;&gt;L873,"",J873*M873))</f>
        <v>0</v>
      </c>
      <c r="O873" s="25">
        <f>IF(N873="","",IFERROR(N873/INDEX(Recipes!$G$5:$G$204,MATCH(B873,Recipes!$A$5:$A$204,0)),""))</f>
        <v>0</v>
      </c>
      <c r="P873" s="30">
        <f>IF(J873="","",IF(K873="each",J873,J873/100))</f>
        <v>0</v>
      </c>
      <c r="Q873" s="30">
        <f>IFERROR(IF(P873="","",P873*INDEX(Ingredients!$P$5:$P$304,MATCH(D873,Ingredients!$B$5:$B$304,0))),"")</f>
        <v>0</v>
      </c>
      <c r="R873" s="45">
        <f>IFERROR(IF(P873="","",P873*INDEX(Ingredients!$Q$5:$Q$304,MATCH(D873,Ingredients!$B$5:$B$304,0))),"")</f>
        <v>0</v>
      </c>
      <c r="S873" s="45">
        <f>IFERROR(IF(P873="","",P873*INDEX(Ingredients!$R$5:$R$304,MATCH(D873,Ingredients!$B$5:$B$304,0))),"")</f>
        <v>0</v>
      </c>
      <c r="T873" s="45">
        <f>IFERROR(IF(P873="","",P873*INDEX(Ingredients!$S$5:$S$304,MATCH(D873,Ingredients!$B$5:$B$304,0))),"")</f>
        <v>0</v>
      </c>
      <c r="U873" s="45">
        <f>IFERROR(IF(P873="","",P873*INDEX(Ingredients!$T$5:$T$304,MATCH(D873,Ingredients!$B$5:$B$304,0))),"")</f>
        <v>0</v>
      </c>
      <c r="V873" s="17">
        <f>IF(D873="","",IFERROR(INDEX(Ingredients!$W$5:$W$304,MATCH(D873,Ingredients!$B$5:$B$304,0)),"Add to Ingredients"))</f>
        <v>0</v>
      </c>
      <c r="W873" s="17">
        <f>IF(D873="","",IFERROR(INDEX(Ingredients!$C$5:$C$304,MATCH(D873,Ingredients!$B$5:$B$304,0)),"Add to Ingredients"))</f>
        <v>0</v>
      </c>
      <c r="X873" s="45">
        <f>IFERROR(INDEX(Recipes!$AT$5:$AT$204,MATCH(B873,Recipes!$A$5:$A$204,0)),0)</f>
        <v>0</v>
      </c>
      <c r="Y873" s="45">
        <f>IF(OR(J873="",X873=0),"",J873*X873)</f>
        <v>0</v>
      </c>
      <c r="Z873" s="17">
        <f>IF(D873="","",B873&amp;"#"&amp;COUNTIFS($B$5:B873,B873))</f>
        <v>0</v>
      </c>
      <c r="AA873" s="17">
        <f>IF(D873="","",B873&amp;"|"&amp;D873)</f>
        <v>0</v>
      </c>
      <c r="AB873" s="31">
        <f>IF(D873="","",IF(B873="","Add - which recipe?",IF(COUNTIFS(Ingredients!$B$5:$B$304,D873)=0,"Missing - not in the Ingredients tab",IF(E873="","Add - no quantity",IF(F873="","Add - no unit",IF(K873&lt;&gt;L873,"Check - recipe in "&amp;K873&amp;", priced in "&amp;L873,IF(COUNTIFS($AA$5:$AA$1204,AA873)&gt;1,"Duplicate - same ingredient twice","OK")))))))</f>
        <v>0</v>
      </c>
    </row>
    <row r="874" spans="1:28">
      <c r="A874" s="39">
        <f>IF(D874="","","RL-"&amp;TEXT(ROW()-4,"0000"))</f>
        <v>0</v>
      </c>
      <c r="C874" s="17">
        <f>IF(B874="","",IFERROR(INDEX(Recipes!$B$5:$B$204,MATCH(B874,Recipes!$A$5:$A$204,0)),"Not found"))</f>
        <v>0</v>
      </c>
      <c r="J874" s="45">
        <f>IF(E874="","",IFERROR(E874*INDEX(UnitFactors,MATCH(F874,UnitNames,0)),""))</f>
        <v>0</v>
      </c>
      <c r="K874" s="17">
        <f>IF(F874="","",IFERROR(INDEX(UnitBases,MATCH(F874,UnitNames,0)),"?"))</f>
        <v>0</v>
      </c>
      <c r="L874" s="17">
        <f>IF(D874="","",IFERROR(INDEX(Ingredients!$G$5:$G$304,MATCH(D874,Ingredients!$B$5:$B$304,0)),"Add to Ingredients"))</f>
        <v>0</v>
      </c>
      <c r="M874" s="25">
        <f>IF(D874="","",IFERROR(INDEX(Ingredients!$J$5:$J$304,MATCH(D874,Ingredients!$B$5:$B$304,0)),"Add to Ingredients"))</f>
        <v>0</v>
      </c>
      <c r="N874" s="25">
        <f>IF(OR(J874="",M874="",NOT(ISNUMBER(M874))),"",IF(K874&lt;&gt;L874,"",J874*M874))</f>
        <v>0</v>
      </c>
      <c r="O874" s="25">
        <f>IF(N874="","",IFERROR(N874/INDEX(Recipes!$G$5:$G$204,MATCH(B874,Recipes!$A$5:$A$204,0)),""))</f>
        <v>0</v>
      </c>
      <c r="P874" s="30">
        <f>IF(J874="","",IF(K874="each",J874,J874/100))</f>
        <v>0</v>
      </c>
      <c r="Q874" s="30">
        <f>IFERROR(IF(P874="","",P874*INDEX(Ingredients!$P$5:$P$304,MATCH(D874,Ingredients!$B$5:$B$304,0))),"")</f>
        <v>0</v>
      </c>
      <c r="R874" s="45">
        <f>IFERROR(IF(P874="","",P874*INDEX(Ingredients!$Q$5:$Q$304,MATCH(D874,Ingredients!$B$5:$B$304,0))),"")</f>
        <v>0</v>
      </c>
      <c r="S874" s="45">
        <f>IFERROR(IF(P874="","",P874*INDEX(Ingredients!$R$5:$R$304,MATCH(D874,Ingredients!$B$5:$B$304,0))),"")</f>
        <v>0</v>
      </c>
      <c r="T874" s="45">
        <f>IFERROR(IF(P874="","",P874*INDEX(Ingredients!$S$5:$S$304,MATCH(D874,Ingredients!$B$5:$B$304,0))),"")</f>
        <v>0</v>
      </c>
      <c r="U874" s="45">
        <f>IFERROR(IF(P874="","",P874*INDEX(Ingredients!$T$5:$T$304,MATCH(D874,Ingredients!$B$5:$B$304,0))),"")</f>
        <v>0</v>
      </c>
      <c r="V874" s="17">
        <f>IF(D874="","",IFERROR(INDEX(Ingredients!$W$5:$W$304,MATCH(D874,Ingredients!$B$5:$B$304,0)),"Add to Ingredients"))</f>
        <v>0</v>
      </c>
      <c r="W874" s="17">
        <f>IF(D874="","",IFERROR(INDEX(Ingredients!$C$5:$C$304,MATCH(D874,Ingredients!$B$5:$B$304,0)),"Add to Ingredients"))</f>
        <v>0</v>
      </c>
      <c r="X874" s="45">
        <f>IFERROR(INDEX(Recipes!$AT$5:$AT$204,MATCH(B874,Recipes!$A$5:$A$204,0)),0)</f>
        <v>0</v>
      </c>
      <c r="Y874" s="45">
        <f>IF(OR(J874="",X874=0),"",J874*X874)</f>
        <v>0</v>
      </c>
      <c r="Z874" s="17">
        <f>IF(D874="","",B874&amp;"#"&amp;COUNTIFS($B$5:B874,B874))</f>
        <v>0</v>
      </c>
      <c r="AA874" s="17">
        <f>IF(D874="","",B874&amp;"|"&amp;D874)</f>
        <v>0</v>
      </c>
      <c r="AB874" s="31">
        <f>IF(D874="","",IF(B874="","Add - which recipe?",IF(COUNTIFS(Ingredients!$B$5:$B$304,D874)=0,"Missing - not in the Ingredients tab",IF(E874="","Add - no quantity",IF(F874="","Add - no unit",IF(K874&lt;&gt;L874,"Check - recipe in "&amp;K874&amp;", priced in "&amp;L874,IF(COUNTIFS($AA$5:$AA$1204,AA874)&gt;1,"Duplicate - same ingredient twice","OK")))))))</f>
        <v>0</v>
      </c>
    </row>
    <row r="875" spans="1:28">
      <c r="A875" s="39">
        <f>IF(D875="","","RL-"&amp;TEXT(ROW()-4,"0000"))</f>
        <v>0</v>
      </c>
      <c r="C875" s="17">
        <f>IF(B875="","",IFERROR(INDEX(Recipes!$B$5:$B$204,MATCH(B875,Recipes!$A$5:$A$204,0)),"Not found"))</f>
        <v>0</v>
      </c>
      <c r="J875" s="45">
        <f>IF(E875="","",IFERROR(E875*INDEX(UnitFactors,MATCH(F875,UnitNames,0)),""))</f>
        <v>0</v>
      </c>
      <c r="K875" s="17">
        <f>IF(F875="","",IFERROR(INDEX(UnitBases,MATCH(F875,UnitNames,0)),"?"))</f>
        <v>0</v>
      </c>
      <c r="L875" s="17">
        <f>IF(D875="","",IFERROR(INDEX(Ingredients!$G$5:$G$304,MATCH(D875,Ingredients!$B$5:$B$304,0)),"Add to Ingredients"))</f>
        <v>0</v>
      </c>
      <c r="M875" s="25">
        <f>IF(D875="","",IFERROR(INDEX(Ingredients!$J$5:$J$304,MATCH(D875,Ingredients!$B$5:$B$304,0)),"Add to Ingredients"))</f>
        <v>0</v>
      </c>
      <c r="N875" s="25">
        <f>IF(OR(J875="",M875="",NOT(ISNUMBER(M875))),"",IF(K875&lt;&gt;L875,"",J875*M875))</f>
        <v>0</v>
      </c>
      <c r="O875" s="25">
        <f>IF(N875="","",IFERROR(N875/INDEX(Recipes!$G$5:$G$204,MATCH(B875,Recipes!$A$5:$A$204,0)),""))</f>
        <v>0</v>
      </c>
      <c r="P875" s="30">
        <f>IF(J875="","",IF(K875="each",J875,J875/100))</f>
        <v>0</v>
      </c>
      <c r="Q875" s="30">
        <f>IFERROR(IF(P875="","",P875*INDEX(Ingredients!$P$5:$P$304,MATCH(D875,Ingredients!$B$5:$B$304,0))),"")</f>
        <v>0</v>
      </c>
      <c r="R875" s="45">
        <f>IFERROR(IF(P875="","",P875*INDEX(Ingredients!$Q$5:$Q$304,MATCH(D875,Ingredients!$B$5:$B$304,0))),"")</f>
        <v>0</v>
      </c>
      <c r="S875" s="45">
        <f>IFERROR(IF(P875="","",P875*INDEX(Ingredients!$R$5:$R$304,MATCH(D875,Ingredients!$B$5:$B$304,0))),"")</f>
        <v>0</v>
      </c>
      <c r="T875" s="45">
        <f>IFERROR(IF(P875="","",P875*INDEX(Ingredients!$S$5:$S$304,MATCH(D875,Ingredients!$B$5:$B$304,0))),"")</f>
        <v>0</v>
      </c>
      <c r="U875" s="45">
        <f>IFERROR(IF(P875="","",P875*INDEX(Ingredients!$T$5:$T$304,MATCH(D875,Ingredients!$B$5:$B$304,0))),"")</f>
        <v>0</v>
      </c>
      <c r="V875" s="17">
        <f>IF(D875="","",IFERROR(INDEX(Ingredients!$W$5:$W$304,MATCH(D875,Ingredients!$B$5:$B$304,0)),"Add to Ingredients"))</f>
        <v>0</v>
      </c>
      <c r="W875" s="17">
        <f>IF(D875="","",IFERROR(INDEX(Ingredients!$C$5:$C$304,MATCH(D875,Ingredients!$B$5:$B$304,0)),"Add to Ingredients"))</f>
        <v>0</v>
      </c>
      <c r="X875" s="45">
        <f>IFERROR(INDEX(Recipes!$AT$5:$AT$204,MATCH(B875,Recipes!$A$5:$A$204,0)),0)</f>
        <v>0</v>
      </c>
      <c r="Y875" s="45">
        <f>IF(OR(J875="",X875=0),"",J875*X875)</f>
        <v>0</v>
      </c>
      <c r="Z875" s="17">
        <f>IF(D875="","",B875&amp;"#"&amp;COUNTIFS($B$5:B875,B875))</f>
        <v>0</v>
      </c>
      <c r="AA875" s="17">
        <f>IF(D875="","",B875&amp;"|"&amp;D875)</f>
        <v>0</v>
      </c>
      <c r="AB875" s="31">
        <f>IF(D875="","",IF(B875="","Add - which recipe?",IF(COUNTIFS(Ingredients!$B$5:$B$304,D875)=0,"Missing - not in the Ingredients tab",IF(E875="","Add - no quantity",IF(F875="","Add - no unit",IF(K875&lt;&gt;L875,"Check - recipe in "&amp;K875&amp;", priced in "&amp;L875,IF(COUNTIFS($AA$5:$AA$1204,AA875)&gt;1,"Duplicate - same ingredient twice","OK")))))))</f>
        <v>0</v>
      </c>
    </row>
    <row r="876" spans="1:28">
      <c r="A876" s="39">
        <f>IF(D876="","","RL-"&amp;TEXT(ROW()-4,"0000"))</f>
        <v>0</v>
      </c>
      <c r="C876" s="17">
        <f>IF(B876="","",IFERROR(INDEX(Recipes!$B$5:$B$204,MATCH(B876,Recipes!$A$5:$A$204,0)),"Not found"))</f>
        <v>0</v>
      </c>
      <c r="J876" s="45">
        <f>IF(E876="","",IFERROR(E876*INDEX(UnitFactors,MATCH(F876,UnitNames,0)),""))</f>
        <v>0</v>
      </c>
      <c r="K876" s="17">
        <f>IF(F876="","",IFERROR(INDEX(UnitBases,MATCH(F876,UnitNames,0)),"?"))</f>
        <v>0</v>
      </c>
      <c r="L876" s="17">
        <f>IF(D876="","",IFERROR(INDEX(Ingredients!$G$5:$G$304,MATCH(D876,Ingredients!$B$5:$B$304,0)),"Add to Ingredients"))</f>
        <v>0</v>
      </c>
      <c r="M876" s="25">
        <f>IF(D876="","",IFERROR(INDEX(Ingredients!$J$5:$J$304,MATCH(D876,Ingredients!$B$5:$B$304,0)),"Add to Ingredients"))</f>
        <v>0</v>
      </c>
      <c r="N876" s="25">
        <f>IF(OR(J876="",M876="",NOT(ISNUMBER(M876))),"",IF(K876&lt;&gt;L876,"",J876*M876))</f>
        <v>0</v>
      </c>
      <c r="O876" s="25">
        <f>IF(N876="","",IFERROR(N876/INDEX(Recipes!$G$5:$G$204,MATCH(B876,Recipes!$A$5:$A$204,0)),""))</f>
        <v>0</v>
      </c>
      <c r="P876" s="30">
        <f>IF(J876="","",IF(K876="each",J876,J876/100))</f>
        <v>0</v>
      </c>
      <c r="Q876" s="30">
        <f>IFERROR(IF(P876="","",P876*INDEX(Ingredients!$P$5:$P$304,MATCH(D876,Ingredients!$B$5:$B$304,0))),"")</f>
        <v>0</v>
      </c>
      <c r="R876" s="45">
        <f>IFERROR(IF(P876="","",P876*INDEX(Ingredients!$Q$5:$Q$304,MATCH(D876,Ingredients!$B$5:$B$304,0))),"")</f>
        <v>0</v>
      </c>
      <c r="S876" s="45">
        <f>IFERROR(IF(P876="","",P876*INDEX(Ingredients!$R$5:$R$304,MATCH(D876,Ingredients!$B$5:$B$304,0))),"")</f>
        <v>0</v>
      </c>
      <c r="T876" s="45">
        <f>IFERROR(IF(P876="","",P876*INDEX(Ingredients!$S$5:$S$304,MATCH(D876,Ingredients!$B$5:$B$304,0))),"")</f>
        <v>0</v>
      </c>
      <c r="U876" s="45">
        <f>IFERROR(IF(P876="","",P876*INDEX(Ingredients!$T$5:$T$304,MATCH(D876,Ingredients!$B$5:$B$304,0))),"")</f>
        <v>0</v>
      </c>
      <c r="V876" s="17">
        <f>IF(D876="","",IFERROR(INDEX(Ingredients!$W$5:$W$304,MATCH(D876,Ingredients!$B$5:$B$304,0)),"Add to Ingredients"))</f>
        <v>0</v>
      </c>
      <c r="W876" s="17">
        <f>IF(D876="","",IFERROR(INDEX(Ingredients!$C$5:$C$304,MATCH(D876,Ingredients!$B$5:$B$304,0)),"Add to Ingredients"))</f>
        <v>0</v>
      </c>
      <c r="X876" s="45">
        <f>IFERROR(INDEX(Recipes!$AT$5:$AT$204,MATCH(B876,Recipes!$A$5:$A$204,0)),0)</f>
        <v>0</v>
      </c>
      <c r="Y876" s="45">
        <f>IF(OR(J876="",X876=0),"",J876*X876)</f>
        <v>0</v>
      </c>
      <c r="Z876" s="17">
        <f>IF(D876="","",B876&amp;"#"&amp;COUNTIFS($B$5:B876,B876))</f>
        <v>0</v>
      </c>
      <c r="AA876" s="17">
        <f>IF(D876="","",B876&amp;"|"&amp;D876)</f>
        <v>0</v>
      </c>
      <c r="AB876" s="31">
        <f>IF(D876="","",IF(B876="","Add - which recipe?",IF(COUNTIFS(Ingredients!$B$5:$B$304,D876)=0,"Missing - not in the Ingredients tab",IF(E876="","Add - no quantity",IF(F876="","Add - no unit",IF(K876&lt;&gt;L876,"Check - recipe in "&amp;K876&amp;", priced in "&amp;L876,IF(COUNTIFS($AA$5:$AA$1204,AA876)&gt;1,"Duplicate - same ingredient twice","OK")))))))</f>
        <v>0</v>
      </c>
    </row>
    <row r="877" spans="1:28">
      <c r="A877" s="39">
        <f>IF(D877="","","RL-"&amp;TEXT(ROW()-4,"0000"))</f>
        <v>0</v>
      </c>
      <c r="C877" s="17">
        <f>IF(B877="","",IFERROR(INDEX(Recipes!$B$5:$B$204,MATCH(B877,Recipes!$A$5:$A$204,0)),"Not found"))</f>
        <v>0</v>
      </c>
      <c r="J877" s="45">
        <f>IF(E877="","",IFERROR(E877*INDEX(UnitFactors,MATCH(F877,UnitNames,0)),""))</f>
        <v>0</v>
      </c>
      <c r="K877" s="17">
        <f>IF(F877="","",IFERROR(INDEX(UnitBases,MATCH(F877,UnitNames,0)),"?"))</f>
        <v>0</v>
      </c>
      <c r="L877" s="17">
        <f>IF(D877="","",IFERROR(INDEX(Ingredients!$G$5:$G$304,MATCH(D877,Ingredients!$B$5:$B$304,0)),"Add to Ingredients"))</f>
        <v>0</v>
      </c>
      <c r="M877" s="25">
        <f>IF(D877="","",IFERROR(INDEX(Ingredients!$J$5:$J$304,MATCH(D877,Ingredients!$B$5:$B$304,0)),"Add to Ingredients"))</f>
        <v>0</v>
      </c>
      <c r="N877" s="25">
        <f>IF(OR(J877="",M877="",NOT(ISNUMBER(M877))),"",IF(K877&lt;&gt;L877,"",J877*M877))</f>
        <v>0</v>
      </c>
      <c r="O877" s="25">
        <f>IF(N877="","",IFERROR(N877/INDEX(Recipes!$G$5:$G$204,MATCH(B877,Recipes!$A$5:$A$204,0)),""))</f>
        <v>0</v>
      </c>
      <c r="P877" s="30">
        <f>IF(J877="","",IF(K877="each",J877,J877/100))</f>
        <v>0</v>
      </c>
      <c r="Q877" s="30">
        <f>IFERROR(IF(P877="","",P877*INDEX(Ingredients!$P$5:$P$304,MATCH(D877,Ingredients!$B$5:$B$304,0))),"")</f>
        <v>0</v>
      </c>
      <c r="R877" s="45">
        <f>IFERROR(IF(P877="","",P877*INDEX(Ingredients!$Q$5:$Q$304,MATCH(D877,Ingredients!$B$5:$B$304,0))),"")</f>
        <v>0</v>
      </c>
      <c r="S877" s="45">
        <f>IFERROR(IF(P877="","",P877*INDEX(Ingredients!$R$5:$R$304,MATCH(D877,Ingredients!$B$5:$B$304,0))),"")</f>
        <v>0</v>
      </c>
      <c r="T877" s="45">
        <f>IFERROR(IF(P877="","",P877*INDEX(Ingredients!$S$5:$S$304,MATCH(D877,Ingredients!$B$5:$B$304,0))),"")</f>
        <v>0</v>
      </c>
      <c r="U877" s="45">
        <f>IFERROR(IF(P877="","",P877*INDEX(Ingredients!$T$5:$T$304,MATCH(D877,Ingredients!$B$5:$B$304,0))),"")</f>
        <v>0</v>
      </c>
      <c r="V877" s="17">
        <f>IF(D877="","",IFERROR(INDEX(Ingredients!$W$5:$W$304,MATCH(D877,Ingredients!$B$5:$B$304,0)),"Add to Ingredients"))</f>
        <v>0</v>
      </c>
      <c r="W877" s="17">
        <f>IF(D877="","",IFERROR(INDEX(Ingredients!$C$5:$C$304,MATCH(D877,Ingredients!$B$5:$B$304,0)),"Add to Ingredients"))</f>
        <v>0</v>
      </c>
      <c r="X877" s="45">
        <f>IFERROR(INDEX(Recipes!$AT$5:$AT$204,MATCH(B877,Recipes!$A$5:$A$204,0)),0)</f>
        <v>0</v>
      </c>
      <c r="Y877" s="45">
        <f>IF(OR(J877="",X877=0),"",J877*X877)</f>
        <v>0</v>
      </c>
      <c r="Z877" s="17">
        <f>IF(D877="","",B877&amp;"#"&amp;COUNTIFS($B$5:B877,B877))</f>
        <v>0</v>
      </c>
      <c r="AA877" s="17">
        <f>IF(D877="","",B877&amp;"|"&amp;D877)</f>
        <v>0</v>
      </c>
      <c r="AB877" s="31">
        <f>IF(D877="","",IF(B877="","Add - which recipe?",IF(COUNTIFS(Ingredients!$B$5:$B$304,D877)=0,"Missing - not in the Ingredients tab",IF(E877="","Add - no quantity",IF(F877="","Add - no unit",IF(K877&lt;&gt;L877,"Check - recipe in "&amp;K877&amp;", priced in "&amp;L877,IF(COUNTIFS($AA$5:$AA$1204,AA877)&gt;1,"Duplicate - same ingredient twice","OK")))))))</f>
        <v>0</v>
      </c>
    </row>
    <row r="878" spans="1:28">
      <c r="A878" s="39">
        <f>IF(D878="","","RL-"&amp;TEXT(ROW()-4,"0000"))</f>
        <v>0</v>
      </c>
      <c r="C878" s="17">
        <f>IF(B878="","",IFERROR(INDEX(Recipes!$B$5:$B$204,MATCH(B878,Recipes!$A$5:$A$204,0)),"Not found"))</f>
        <v>0</v>
      </c>
      <c r="J878" s="45">
        <f>IF(E878="","",IFERROR(E878*INDEX(UnitFactors,MATCH(F878,UnitNames,0)),""))</f>
        <v>0</v>
      </c>
      <c r="K878" s="17">
        <f>IF(F878="","",IFERROR(INDEX(UnitBases,MATCH(F878,UnitNames,0)),"?"))</f>
        <v>0</v>
      </c>
      <c r="L878" s="17">
        <f>IF(D878="","",IFERROR(INDEX(Ingredients!$G$5:$G$304,MATCH(D878,Ingredients!$B$5:$B$304,0)),"Add to Ingredients"))</f>
        <v>0</v>
      </c>
      <c r="M878" s="25">
        <f>IF(D878="","",IFERROR(INDEX(Ingredients!$J$5:$J$304,MATCH(D878,Ingredients!$B$5:$B$304,0)),"Add to Ingredients"))</f>
        <v>0</v>
      </c>
      <c r="N878" s="25">
        <f>IF(OR(J878="",M878="",NOT(ISNUMBER(M878))),"",IF(K878&lt;&gt;L878,"",J878*M878))</f>
        <v>0</v>
      </c>
      <c r="O878" s="25">
        <f>IF(N878="","",IFERROR(N878/INDEX(Recipes!$G$5:$G$204,MATCH(B878,Recipes!$A$5:$A$204,0)),""))</f>
        <v>0</v>
      </c>
      <c r="P878" s="30">
        <f>IF(J878="","",IF(K878="each",J878,J878/100))</f>
        <v>0</v>
      </c>
      <c r="Q878" s="30">
        <f>IFERROR(IF(P878="","",P878*INDEX(Ingredients!$P$5:$P$304,MATCH(D878,Ingredients!$B$5:$B$304,0))),"")</f>
        <v>0</v>
      </c>
      <c r="R878" s="45">
        <f>IFERROR(IF(P878="","",P878*INDEX(Ingredients!$Q$5:$Q$304,MATCH(D878,Ingredients!$B$5:$B$304,0))),"")</f>
        <v>0</v>
      </c>
      <c r="S878" s="45">
        <f>IFERROR(IF(P878="","",P878*INDEX(Ingredients!$R$5:$R$304,MATCH(D878,Ingredients!$B$5:$B$304,0))),"")</f>
        <v>0</v>
      </c>
      <c r="T878" s="45">
        <f>IFERROR(IF(P878="","",P878*INDEX(Ingredients!$S$5:$S$304,MATCH(D878,Ingredients!$B$5:$B$304,0))),"")</f>
        <v>0</v>
      </c>
      <c r="U878" s="45">
        <f>IFERROR(IF(P878="","",P878*INDEX(Ingredients!$T$5:$T$304,MATCH(D878,Ingredients!$B$5:$B$304,0))),"")</f>
        <v>0</v>
      </c>
      <c r="V878" s="17">
        <f>IF(D878="","",IFERROR(INDEX(Ingredients!$W$5:$W$304,MATCH(D878,Ingredients!$B$5:$B$304,0)),"Add to Ingredients"))</f>
        <v>0</v>
      </c>
      <c r="W878" s="17">
        <f>IF(D878="","",IFERROR(INDEX(Ingredients!$C$5:$C$304,MATCH(D878,Ingredients!$B$5:$B$304,0)),"Add to Ingredients"))</f>
        <v>0</v>
      </c>
      <c r="X878" s="45">
        <f>IFERROR(INDEX(Recipes!$AT$5:$AT$204,MATCH(B878,Recipes!$A$5:$A$204,0)),0)</f>
        <v>0</v>
      </c>
      <c r="Y878" s="45">
        <f>IF(OR(J878="",X878=0),"",J878*X878)</f>
        <v>0</v>
      </c>
      <c r="Z878" s="17">
        <f>IF(D878="","",B878&amp;"#"&amp;COUNTIFS($B$5:B878,B878))</f>
        <v>0</v>
      </c>
      <c r="AA878" s="17">
        <f>IF(D878="","",B878&amp;"|"&amp;D878)</f>
        <v>0</v>
      </c>
      <c r="AB878" s="31">
        <f>IF(D878="","",IF(B878="","Add - which recipe?",IF(COUNTIFS(Ingredients!$B$5:$B$304,D878)=0,"Missing - not in the Ingredients tab",IF(E878="","Add - no quantity",IF(F878="","Add - no unit",IF(K878&lt;&gt;L878,"Check - recipe in "&amp;K878&amp;", priced in "&amp;L878,IF(COUNTIFS($AA$5:$AA$1204,AA878)&gt;1,"Duplicate - same ingredient twice","OK")))))))</f>
        <v>0</v>
      </c>
    </row>
    <row r="879" spans="1:28">
      <c r="A879" s="39">
        <f>IF(D879="","","RL-"&amp;TEXT(ROW()-4,"0000"))</f>
        <v>0</v>
      </c>
      <c r="C879" s="17">
        <f>IF(B879="","",IFERROR(INDEX(Recipes!$B$5:$B$204,MATCH(B879,Recipes!$A$5:$A$204,0)),"Not found"))</f>
        <v>0</v>
      </c>
      <c r="J879" s="45">
        <f>IF(E879="","",IFERROR(E879*INDEX(UnitFactors,MATCH(F879,UnitNames,0)),""))</f>
        <v>0</v>
      </c>
      <c r="K879" s="17">
        <f>IF(F879="","",IFERROR(INDEX(UnitBases,MATCH(F879,UnitNames,0)),"?"))</f>
        <v>0</v>
      </c>
      <c r="L879" s="17">
        <f>IF(D879="","",IFERROR(INDEX(Ingredients!$G$5:$G$304,MATCH(D879,Ingredients!$B$5:$B$304,0)),"Add to Ingredients"))</f>
        <v>0</v>
      </c>
      <c r="M879" s="25">
        <f>IF(D879="","",IFERROR(INDEX(Ingredients!$J$5:$J$304,MATCH(D879,Ingredients!$B$5:$B$304,0)),"Add to Ingredients"))</f>
        <v>0</v>
      </c>
      <c r="N879" s="25">
        <f>IF(OR(J879="",M879="",NOT(ISNUMBER(M879))),"",IF(K879&lt;&gt;L879,"",J879*M879))</f>
        <v>0</v>
      </c>
      <c r="O879" s="25">
        <f>IF(N879="","",IFERROR(N879/INDEX(Recipes!$G$5:$G$204,MATCH(B879,Recipes!$A$5:$A$204,0)),""))</f>
        <v>0</v>
      </c>
      <c r="P879" s="30">
        <f>IF(J879="","",IF(K879="each",J879,J879/100))</f>
        <v>0</v>
      </c>
      <c r="Q879" s="30">
        <f>IFERROR(IF(P879="","",P879*INDEX(Ingredients!$P$5:$P$304,MATCH(D879,Ingredients!$B$5:$B$304,0))),"")</f>
        <v>0</v>
      </c>
      <c r="R879" s="45">
        <f>IFERROR(IF(P879="","",P879*INDEX(Ingredients!$Q$5:$Q$304,MATCH(D879,Ingredients!$B$5:$B$304,0))),"")</f>
        <v>0</v>
      </c>
      <c r="S879" s="45">
        <f>IFERROR(IF(P879="","",P879*INDEX(Ingredients!$R$5:$R$304,MATCH(D879,Ingredients!$B$5:$B$304,0))),"")</f>
        <v>0</v>
      </c>
      <c r="T879" s="45">
        <f>IFERROR(IF(P879="","",P879*INDEX(Ingredients!$S$5:$S$304,MATCH(D879,Ingredients!$B$5:$B$304,0))),"")</f>
        <v>0</v>
      </c>
      <c r="U879" s="45">
        <f>IFERROR(IF(P879="","",P879*INDEX(Ingredients!$T$5:$T$304,MATCH(D879,Ingredients!$B$5:$B$304,0))),"")</f>
        <v>0</v>
      </c>
      <c r="V879" s="17">
        <f>IF(D879="","",IFERROR(INDEX(Ingredients!$W$5:$W$304,MATCH(D879,Ingredients!$B$5:$B$304,0)),"Add to Ingredients"))</f>
        <v>0</v>
      </c>
      <c r="W879" s="17">
        <f>IF(D879="","",IFERROR(INDEX(Ingredients!$C$5:$C$304,MATCH(D879,Ingredients!$B$5:$B$304,0)),"Add to Ingredients"))</f>
        <v>0</v>
      </c>
      <c r="X879" s="45">
        <f>IFERROR(INDEX(Recipes!$AT$5:$AT$204,MATCH(B879,Recipes!$A$5:$A$204,0)),0)</f>
        <v>0</v>
      </c>
      <c r="Y879" s="45">
        <f>IF(OR(J879="",X879=0),"",J879*X879)</f>
        <v>0</v>
      </c>
      <c r="Z879" s="17">
        <f>IF(D879="","",B879&amp;"#"&amp;COUNTIFS($B$5:B879,B879))</f>
        <v>0</v>
      </c>
      <c r="AA879" s="17">
        <f>IF(D879="","",B879&amp;"|"&amp;D879)</f>
        <v>0</v>
      </c>
      <c r="AB879" s="31">
        <f>IF(D879="","",IF(B879="","Add - which recipe?",IF(COUNTIFS(Ingredients!$B$5:$B$304,D879)=0,"Missing - not in the Ingredients tab",IF(E879="","Add - no quantity",IF(F879="","Add - no unit",IF(K879&lt;&gt;L879,"Check - recipe in "&amp;K879&amp;", priced in "&amp;L879,IF(COUNTIFS($AA$5:$AA$1204,AA879)&gt;1,"Duplicate - same ingredient twice","OK")))))))</f>
        <v>0</v>
      </c>
    </row>
    <row r="880" spans="1:28">
      <c r="A880" s="39">
        <f>IF(D880="","","RL-"&amp;TEXT(ROW()-4,"0000"))</f>
        <v>0</v>
      </c>
      <c r="C880" s="17">
        <f>IF(B880="","",IFERROR(INDEX(Recipes!$B$5:$B$204,MATCH(B880,Recipes!$A$5:$A$204,0)),"Not found"))</f>
        <v>0</v>
      </c>
      <c r="J880" s="45">
        <f>IF(E880="","",IFERROR(E880*INDEX(UnitFactors,MATCH(F880,UnitNames,0)),""))</f>
        <v>0</v>
      </c>
      <c r="K880" s="17">
        <f>IF(F880="","",IFERROR(INDEX(UnitBases,MATCH(F880,UnitNames,0)),"?"))</f>
        <v>0</v>
      </c>
      <c r="L880" s="17">
        <f>IF(D880="","",IFERROR(INDEX(Ingredients!$G$5:$G$304,MATCH(D880,Ingredients!$B$5:$B$304,0)),"Add to Ingredients"))</f>
        <v>0</v>
      </c>
      <c r="M880" s="25">
        <f>IF(D880="","",IFERROR(INDEX(Ingredients!$J$5:$J$304,MATCH(D880,Ingredients!$B$5:$B$304,0)),"Add to Ingredients"))</f>
        <v>0</v>
      </c>
      <c r="N880" s="25">
        <f>IF(OR(J880="",M880="",NOT(ISNUMBER(M880))),"",IF(K880&lt;&gt;L880,"",J880*M880))</f>
        <v>0</v>
      </c>
      <c r="O880" s="25">
        <f>IF(N880="","",IFERROR(N880/INDEX(Recipes!$G$5:$G$204,MATCH(B880,Recipes!$A$5:$A$204,0)),""))</f>
        <v>0</v>
      </c>
      <c r="P880" s="30">
        <f>IF(J880="","",IF(K880="each",J880,J880/100))</f>
        <v>0</v>
      </c>
      <c r="Q880" s="30">
        <f>IFERROR(IF(P880="","",P880*INDEX(Ingredients!$P$5:$P$304,MATCH(D880,Ingredients!$B$5:$B$304,0))),"")</f>
        <v>0</v>
      </c>
      <c r="R880" s="45">
        <f>IFERROR(IF(P880="","",P880*INDEX(Ingredients!$Q$5:$Q$304,MATCH(D880,Ingredients!$B$5:$B$304,0))),"")</f>
        <v>0</v>
      </c>
      <c r="S880" s="45">
        <f>IFERROR(IF(P880="","",P880*INDEX(Ingredients!$R$5:$R$304,MATCH(D880,Ingredients!$B$5:$B$304,0))),"")</f>
        <v>0</v>
      </c>
      <c r="T880" s="45">
        <f>IFERROR(IF(P880="","",P880*INDEX(Ingredients!$S$5:$S$304,MATCH(D880,Ingredients!$B$5:$B$304,0))),"")</f>
        <v>0</v>
      </c>
      <c r="U880" s="45">
        <f>IFERROR(IF(P880="","",P880*INDEX(Ingredients!$T$5:$T$304,MATCH(D880,Ingredients!$B$5:$B$304,0))),"")</f>
        <v>0</v>
      </c>
      <c r="V880" s="17">
        <f>IF(D880="","",IFERROR(INDEX(Ingredients!$W$5:$W$304,MATCH(D880,Ingredients!$B$5:$B$304,0)),"Add to Ingredients"))</f>
        <v>0</v>
      </c>
      <c r="W880" s="17">
        <f>IF(D880="","",IFERROR(INDEX(Ingredients!$C$5:$C$304,MATCH(D880,Ingredients!$B$5:$B$304,0)),"Add to Ingredients"))</f>
        <v>0</v>
      </c>
      <c r="X880" s="45">
        <f>IFERROR(INDEX(Recipes!$AT$5:$AT$204,MATCH(B880,Recipes!$A$5:$A$204,0)),0)</f>
        <v>0</v>
      </c>
      <c r="Y880" s="45">
        <f>IF(OR(J880="",X880=0),"",J880*X880)</f>
        <v>0</v>
      </c>
      <c r="Z880" s="17">
        <f>IF(D880="","",B880&amp;"#"&amp;COUNTIFS($B$5:B880,B880))</f>
        <v>0</v>
      </c>
      <c r="AA880" s="17">
        <f>IF(D880="","",B880&amp;"|"&amp;D880)</f>
        <v>0</v>
      </c>
      <c r="AB880" s="31">
        <f>IF(D880="","",IF(B880="","Add - which recipe?",IF(COUNTIFS(Ingredients!$B$5:$B$304,D880)=0,"Missing - not in the Ingredients tab",IF(E880="","Add - no quantity",IF(F880="","Add - no unit",IF(K880&lt;&gt;L880,"Check - recipe in "&amp;K880&amp;", priced in "&amp;L880,IF(COUNTIFS($AA$5:$AA$1204,AA880)&gt;1,"Duplicate - same ingredient twice","OK")))))))</f>
        <v>0</v>
      </c>
    </row>
    <row r="881" spans="1:28">
      <c r="A881" s="39">
        <f>IF(D881="","","RL-"&amp;TEXT(ROW()-4,"0000"))</f>
        <v>0</v>
      </c>
      <c r="C881" s="17">
        <f>IF(B881="","",IFERROR(INDEX(Recipes!$B$5:$B$204,MATCH(B881,Recipes!$A$5:$A$204,0)),"Not found"))</f>
        <v>0</v>
      </c>
      <c r="J881" s="45">
        <f>IF(E881="","",IFERROR(E881*INDEX(UnitFactors,MATCH(F881,UnitNames,0)),""))</f>
        <v>0</v>
      </c>
      <c r="K881" s="17">
        <f>IF(F881="","",IFERROR(INDEX(UnitBases,MATCH(F881,UnitNames,0)),"?"))</f>
        <v>0</v>
      </c>
      <c r="L881" s="17">
        <f>IF(D881="","",IFERROR(INDEX(Ingredients!$G$5:$G$304,MATCH(D881,Ingredients!$B$5:$B$304,0)),"Add to Ingredients"))</f>
        <v>0</v>
      </c>
      <c r="M881" s="25">
        <f>IF(D881="","",IFERROR(INDEX(Ingredients!$J$5:$J$304,MATCH(D881,Ingredients!$B$5:$B$304,0)),"Add to Ingredients"))</f>
        <v>0</v>
      </c>
      <c r="N881" s="25">
        <f>IF(OR(J881="",M881="",NOT(ISNUMBER(M881))),"",IF(K881&lt;&gt;L881,"",J881*M881))</f>
        <v>0</v>
      </c>
      <c r="O881" s="25">
        <f>IF(N881="","",IFERROR(N881/INDEX(Recipes!$G$5:$G$204,MATCH(B881,Recipes!$A$5:$A$204,0)),""))</f>
        <v>0</v>
      </c>
      <c r="P881" s="30">
        <f>IF(J881="","",IF(K881="each",J881,J881/100))</f>
        <v>0</v>
      </c>
      <c r="Q881" s="30">
        <f>IFERROR(IF(P881="","",P881*INDEX(Ingredients!$P$5:$P$304,MATCH(D881,Ingredients!$B$5:$B$304,0))),"")</f>
        <v>0</v>
      </c>
      <c r="R881" s="45">
        <f>IFERROR(IF(P881="","",P881*INDEX(Ingredients!$Q$5:$Q$304,MATCH(D881,Ingredients!$B$5:$B$304,0))),"")</f>
        <v>0</v>
      </c>
      <c r="S881" s="45">
        <f>IFERROR(IF(P881="","",P881*INDEX(Ingredients!$R$5:$R$304,MATCH(D881,Ingredients!$B$5:$B$304,0))),"")</f>
        <v>0</v>
      </c>
      <c r="T881" s="45">
        <f>IFERROR(IF(P881="","",P881*INDEX(Ingredients!$S$5:$S$304,MATCH(D881,Ingredients!$B$5:$B$304,0))),"")</f>
        <v>0</v>
      </c>
      <c r="U881" s="45">
        <f>IFERROR(IF(P881="","",P881*INDEX(Ingredients!$T$5:$T$304,MATCH(D881,Ingredients!$B$5:$B$304,0))),"")</f>
        <v>0</v>
      </c>
      <c r="V881" s="17">
        <f>IF(D881="","",IFERROR(INDEX(Ingredients!$W$5:$W$304,MATCH(D881,Ingredients!$B$5:$B$304,0)),"Add to Ingredients"))</f>
        <v>0</v>
      </c>
      <c r="W881" s="17">
        <f>IF(D881="","",IFERROR(INDEX(Ingredients!$C$5:$C$304,MATCH(D881,Ingredients!$B$5:$B$304,0)),"Add to Ingredients"))</f>
        <v>0</v>
      </c>
      <c r="X881" s="45">
        <f>IFERROR(INDEX(Recipes!$AT$5:$AT$204,MATCH(B881,Recipes!$A$5:$A$204,0)),0)</f>
        <v>0</v>
      </c>
      <c r="Y881" s="45">
        <f>IF(OR(J881="",X881=0),"",J881*X881)</f>
        <v>0</v>
      </c>
      <c r="Z881" s="17">
        <f>IF(D881="","",B881&amp;"#"&amp;COUNTIFS($B$5:B881,B881))</f>
        <v>0</v>
      </c>
      <c r="AA881" s="17">
        <f>IF(D881="","",B881&amp;"|"&amp;D881)</f>
        <v>0</v>
      </c>
      <c r="AB881" s="31">
        <f>IF(D881="","",IF(B881="","Add - which recipe?",IF(COUNTIFS(Ingredients!$B$5:$B$304,D881)=0,"Missing - not in the Ingredients tab",IF(E881="","Add - no quantity",IF(F881="","Add - no unit",IF(K881&lt;&gt;L881,"Check - recipe in "&amp;K881&amp;", priced in "&amp;L881,IF(COUNTIFS($AA$5:$AA$1204,AA881)&gt;1,"Duplicate - same ingredient twice","OK")))))))</f>
        <v>0</v>
      </c>
    </row>
    <row r="882" spans="1:28">
      <c r="A882" s="39">
        <f>IF(D882="","","RL-"&amp;TEXT(ROW()-4,"0000"))</f>
        <v>0</v>
      </c>
      <c r="C882" s="17">
        <f>IF(B882="","",IFERROR(INDEX(Recipes!$B$5:$B$204,MATCH(B882,Recipes!$A$5:$A$204,0)),"Not found"))</f>
        <v>0</v>
      </c>
      <c r="J882" s="45">
        <f>IF(E882="","",IFERROR(E882*INDEX(UnitFactors,MATCH(F882,UnitNames,0)),""))</f>
        <v>0</v>
      </c>
      <c r="K882" s="17">
        <f>IF(F882="","",IFERROR(INDEX(UnitBases,MATCH(F882,UnitNames,0)),"?"))</f>
        <v>0</v>
      </c>
      <c r="L882" s="17">
        <f>IF(D882="","",IFERROR(INDEX(Ingredients!$G$5:$G$304,MATCH(D882,Ingredients!$B$5:$B$304,0)),"Add to Ingredients"))</f>
        <v>0</v>
      </c>
      <c r="M882" s="25">
        <f>IF(D882="","",IFERROR(INDEX(Ingredients!$J$5:$J$304,MATCH(D882,Ingredients!$B$5:$B$304,0)),"Add to Ingredients"))</f>
        <v>0</v>
      </c>
      <c r="N882" s="25">
        <f>IF(OR(J882="",M882="",NOT(ISNUMBER(M882))),"",IF(K882&lt;&gt;L882,"",J882*M882))</f>
        <v>0</v>
      </c>
      <c r="O882" s="25">
        <f>IF(N882="","",IFERROR(N882/INDEX(Recipes!$G$5:$G$204,MATCH(B882,Recipes!$A$5:$A$204,0)),""))</f>
        <v>0</v>
      </c>
      <c r="P882" s="30">
        <f>IF(J882="","",IF(K882="each",J882,J882/100))</f>
        <v>0</v>
      </c>
      <c r="Q882" s="30">
        <f>IFERROR(IF(P882="","",P882*INDEX(Ingredients!$P$5:$P$304,MATCH(D882,Ingredients!$B$5:$B$304,0))),"")</f>
        <v>0</v>
      </c>
      <c r="R882" s="45">
        <f>IFERROR(IF(P882="","",P882*INDEX(Ingredients!$Q$5:$Q$304,MATCH(D882,Ingredients!$B$5:$B$304,0))),"")</f>
        <v>0</v>
      </c>
      <c r="S882" s="45">
        <f>IFERROR(IF(P882="","",P882*INDEX(Ingredients!$R$5:$R$304,MATCH(D882,Ingredients!$B$5:$B$304,0))),"")</f>
        <v>0</v>
      </c>
      <c r="T882" s="45">
        <f>IFERROR(IF(P882="","",P882*INDEX(Ingredients!$S$5:$S$304,MATCH(D882,Ingredients!$B$5:$B$304,0))),"")</f>
        <v>0</v>
      </c>
      <c r="U882" s="45">
        <f>IFERROR(IF(P882="","",P882*INDEX(Ingredients!$T$5:$T$304,MATCH(D882,Ingredients!$B$5:$B$304,0))),"")</f>
        <v>0</v>
      </c>
      <c r="V882" s="17">
        <f>IF(D882="","",IFERROR(INDEX(Ingredients!$W$5:$W$304,MATCH(D882,Ingredients!$B$5:$B$304,0)),"Add to Ingredients"))</f>
        <v>0</v>
      </c>
      <c r="W882" s="17">
        <f>IF(D882="","",IFERROR(INDEX(Ingredients!$C$5:$C$304,MATCH(D882,Ingredients!$B$5:$B$304,0)),"Add to Ingredients"))</f>
        <v>0</v>
      </c>
      <c r="X882" s="45">
        <f>IFERROR(INDEX(Recipes!$AT$5:$AT$204,MATCH(B882,Recipes!$A$5:$A$204,0)),0)</f>
        <v>0</v>
      </c>
      <c r="Y882" s="45">
        <f>IF(OR(J882="",X882=0),"",J882*X882)</f>
        <v>0</v>
      </c>
      <c r="Z882" s="17">
        <f>IF(D882="","",B882&amp;"#"&amp;COUNTIFS($B$5:B882,B882))</f>
        <v>0</v>
      </c>
      <c r="AA882" s="17">
        <f>IF(D882="","",B882&amp;"|"&amp;D882)</f>
        <v>0</v>
      </c>
      <c r="AB882" s="31">
        <f>IF(D882="","",IF(B882="","Add - which recipe?",IF(COUNTIFS(Ingredients!$B$5:$B$304,D882)=0,"Missing - not in the Ingredients tab",IF(E882="","Add - no quantity",IF(F882="","Add - no unit",IF(K882&lt;&gt;L882,"Check - recipe in "&amp;K882&amp;", priced in "&amp;L882,IF(COUNTIFS($AA$5:$AA$1204,AA882)&gt;1,"Duplicate - same ingredient twice","OK")))))))</f>
        <v>0</v>
      </c>
    </row>
    <row r="883" spans="1:28">
      <c r="A883" s="39">
        <f>IF(D883="","","RL-"&amp;TEXT(ROW()-4,"0000"))</f>
        <v>0</v>
      </c>
      <c r="C883" s="17">
        <f>IF(B883="","",IFERROR(INDEX(Recipes!$B$5:$B$204,MATCH(B883,Recipes!$A$5:$A$204,0)),"Not found"))</f>
        <v>0</v>
      </c>
      <c r="J883" s="45">
        <f>IF(E883="","",IFERROR(E883*INDEX(UnitFactors,MATCH(F883,UnitNames,0)),""))</f>
        <v>0</v>
      </c>
      <c r="K883" s="17">
        <f>IF(F883="","",IFERROR(INDEX(UnitBases,MATCH(F883,UnitNames,0)),"?"))</f>
        <v>0</v>
      </c>
      <c r="L883" s="17">
        <f>IF(D883="","",IFERROR(INDEX(Ingredients!$G$5:$G$304,MATCH(D883,Ingredients!$B$5:$B$304,0)),"Add to Ingredients"))</f>
        <v>0</v>
      </c>
      <c r="M883" s="25">
        <f>IF(D883="","",IFERROR(INDEX(Ingredients!$J$5:$J$304,MATCH(D883,Ingredients!$B$5:$B$304,0)),"Add to Ingredients"))</f>
        <v>0</v>
      </c>
      <c r="N883" s="25">
        <f>IF(OR(J883="",M883="",NOT(ISNUMBER(M883))),"",IF(K883&lt;&gt;L883,"",J883*M883))</f>
        <v>0</v>
      </c>
      <c r="O883" s="25">
        <f>IF(N883="","",IFERROR(N883/INDEX(Recipes!$G$5:$G$204,MATCH(B883,Recipes!$A$5:$A$204,0)),""))</f>
        <v>0</v>
      </c>
      <c r="P883" s="30">
        <f>IF(J883="","",IF(K883="each",J883,J883/100))</f>
        <v>0</v>
      </c>
      <c r="Q883" s="30">
        <f>IFERROR(IF(P883="","",P883*INDEX(Ingredients!$P$5:$P$304,MATCH(D883,Ingredients!$B$5:$B$304,0))),"")</f>
        <v>0</v>
      </c>
      <c r="R883" s="45">
        <f>IFERROR(IF(P883="","",P883*INDEX(Ingredients!$Q$5:$Q$304,MATCH(D883,Ingredients!$B$5:$B$304,0))),"")</f>
        <v>0</v>
      </c>
      <c r="S883" s="45">
        <f>IFERROR(IF(P883="","",P883*INDEX(Ingredients!$R$5:$R$304,MATCH(D883,Ingredients!$B$5:$B$304,0))),"")</f>
        <v>0</v>
      </c>
      <c r="T883" s="45">
        <f>IFERROR(IF(P883="","",P883*INDEX(Ingredients!$S$5:$S$304,MATCH(D883,Ingredients!$B$5:$B$304,0))),"")</f>
        <v>0</v>
      </c>
      <c r="U883" s="45">
        <f>IFERROR(IF(P883="","",P883*INDEX(Ingredients!$T$5:$T$304,MATCH(D883,Ingredients!$B$5:$B$304,0))),"")</f>
        <v>0</v>
      </c>
      <c r="V883" s="17">
        <f>IF(D883="","",IFERROR(INDEX(Ingredients!$W$5:$W$304,MATCH(D883,Ingredients!$B$5:$B$304,0)),"Add to Ingredients"))</f>
        <v>0</v>
      </c>
      <c r="W883" s="17">
        <f>IF(D883="","",IFERROR(INDEX(Ingredients!$C$5:$C$304,MATCH(D883,Ingredients!$B$5:$B$304,0)),"Add to Ingredients"))</f>
        <v>0</v>
      </c>
      <c r="X883" s="45">
        <f>IFERROR(INDEX(Recipes!$AT$5:$AT$204,MATCH(B883,Recipes!$A$5:$A$204,0)),0)</f>
        <v>0</v>
      </c>
      <c r="Y883" s="45">
        <f>IF(OR(J883="",X883=0),"",J883*X883)</f>
        <v>0</v>
      </c>
      <c r="Z883" s="17">
        <f>IF(D883="","",B883&amp;"#"&amp;COUNTIFS($B$5:B883,B883))</f>
        <v>0</v>
      </c>
      <c r="AA883" s="17">
        <f>IF(D883="","",B883&amp;"|"&amp;D883)</f>
        <v>0</v>
      </c>
      <c r="AB883" s="31">
        <f>IF(D883="","",IF(B883="","Add - which recipe?",IF(COUNTIFS(Ingredients!$B$5:$B$304,D883)=0,"Missing - not in the Ingredients tab",IF(E883="","Add - no quantity",IF(F883="","Add - no unit",IF(K883&lt;&gt;L883,"Check - recipe in "&amp;K883&amp;", priced in "&amp;L883,IF(COUNTIFS($AA$5:$AA$1204,AA883)&gt;1,"Duplicate - same ingredient twice","OK")))))))</f>
        <v>0</v>
      </c>
    </row>
    <row r="884" spans="1:28">
      <c r="A884" s="39">
        <f>IF(D884="","","RL-"&amp;TEXT(ROW()-4,"0000"))</f>
        <v>0</v>
      </c>
      <c r="C884" s="17">
        <f>IF(B884="","",IFERROR(INDEX(Recipes!$B$5:$B$204,MATCH(B884,Recipes!$A$5:$A$204,0)),"Not found"))</f>
        <v>0</v>
      </c>
      <c r="J884" s="45">
        <f>IF(E884="","",IFERROR(E884*INDEX(UnitFactors,MATCH(F884,UnitNames,0)),""))</f>
        <v>0</v>
      </c>
      <c r="K884" s="17">
        <f>IF(F884="","",IFERROR(INDEX(UnitBases,MATCH(F884,UnitNames,0)),"?"))</f>
        <v>0</v>
      </c>
      <c r="L884" s="17">
        <f>IF(D884="","",IFERROR(INDEX(Ingredients!$G$5:$G$304,MATCH(D884,Ingredients!$B$5:$B$304,0)),"Add to Ingredients"))</f>
        <v>0</v>
      </c>
      <c r="M884" s="25">
        <f>IF(D884="","",IFERROR(INDEX(Ingredients!$J$5:$J$304,MATCH(D884,Ingredients!$B$5:$B$304,0)),"Add to Ingredients"))</f>
        <v>0</v>
      </c>
      <c r="N884" s="25">
        <f>IF(OR(J884="",M884="",NOT(ISNUMBER(M884))),"",IF(K884&lt;&gt;L884,"",J884*M884))</f>
        <v>0</v>
      </c>
      <c r="O884" s="25">
        <f>IF(N884="","",IFERROR(N884/INDEX(Recipes!$G$5:$G$204,MATCH(B884,Recipes!$A$5:$A$204,0)),""))</f>
        <v>0</v>
      </c>
      <c r="P884" s="30">
        <f>IF(J884="","",IF(K884="each",J884,J884/100))</f>
        <v>0</v>
      </c>
      <c r="Q884" s="30">
        <f>IFERROR(IF(P884="","",P884*INDEX(Ingredients!$P$5:$P$304,MATCH(D884,Ingredients!$B$5:$B$304,0))),"")</f>
        <v>0</v>
      </c>
      <c r="R884" s="45">
        <f>IFERROR(IF(P884="","",P884*INDEX(Ingredients!$Q$5:$Q$304,MATCH(D884,Ingredients!$B$5:$B$304,0))),"")</f>
        <v>0</v>
      </c>
      <c r="S884" s="45">
        <f>IFERROR(IF(P884="","",P884*INDEX(Ingredients!$R$5:$R$304,MATCH(D884,Ingredients!$B$5:$B$304,0))),"")</f>
        <v>0</v>
      </c>
      <c r="T884" s="45">
        <f>IFERROR(IF(P884="","",P884*INDEX(Ingredients!$S$5:$S$304,MATCH(D884,Ingredients!$B$5:$B$304,0))),"")</f>
        <v>0</v>
      </c>
      <c r="U884" s="45">
        <f>IFERROR(IF(P884="","",P884*INDEX(Ingredients!$T$5:$T$304,MATCH(D884,Ingredients!$B$5:$B$304,0))),"")</f>
        <v>0</v>
      </c>
      <c r="V884" s="17">
        <f>IF(D884="","",IFERROR(INDEX(Ingredients!$W$5:$W$304,MATCH(D884,Ingredients!$B$5:$B$304,0)),"Add to Ingredients"))</f>
        <v>0</v>
      </c>
      <c r="W884" s="17">
        <f>IF(D884="","",IFERROR(INDEX(Ingredients!$C$5:$C$304,MATCH(D884,Ingredients!$B$5:$B$304,0)),"Add to Ingredients"))</f>
        <v>0</v>
      </c>
      <c r="X884" s="45">
        <f>IFERROR(INDEX(Recipes!$AT$5:$AT$204,MATCH(B884,Recipes!$A$5:$A$204,0)),0)</f>
        <v>0</v>
      </c>
      <c r="Y884" s="45">
        <f>IF(OR(J884="",X884=0),"",J884*X884)</f>
        <v>0</v>
      </c>
      <c r="Z884" s="17">
        <f>IF(D884="","",B884&amp;"#"&amp;COUNTIFS($B$5:B884,B884))</f>
        <v>0</v>
      </c>
      <c r="AA884" s="17">
        <f>IF(D884="","",B884&amp;"|"&amp;D884)</f>
        <v>0</v>
      </c>
      <c r="AB884" s="31">
        <f>IF(D884="","",IF(B884="","Add - which recipe?",IF(COUNTIFS(Ingredients!$B$5:$B$304,D884)=0,"Missing - not in the Ingredients tab",IF(E884="","Add - no quantity",IF(F884="","Add - no unit",IF(K884&lt;&gt;L884,"Check - recipe in "&amp;K884&amp;", priced in "&amp;L884,IF(COUNTIFS($AA$5:$AA$1204,AA884)&gt;1,"Duplicate - same ingredient twice","OK")))))))</f>
        <v>0</v>
      </c>
    </row>
    <row r="885" spans="1:28">
      <c r="A885" s="39">
        <f>IF(D885="","","RL-"&amp;TEXT(ROW()-4,"0000"))</f>
        <v>0</v>
      </c>
      <c r="C885" s="17">
        <f>IF(B885="","",IFERROR(INDEX(Recipes!$B$5:$B$204,MATCH(B885,Recipes!$A$5:$A$204,0)),"Not found"))</f>
        <v>0</v>
      </c>
      <c r="J885" s="45">
        <f>IF(E885="","",IFERROR(E885*INDEX(UnitFactors,MATCH(F885,UnitNames,0)),""))</f>
        <v>0</v>
      </c>
      <c r="K885" s="17">
        <f>IF(F885="","",IFERROR(INDEX(UnitBases,MATCH(F885,UnitNames,0)),"?"))</f>
        <v>0</v>
      </c>
      <c r="L885" s="17">
        <f>IF(D885="","",IFERROR(INDEX(Ingredients!$G$5:$G$304,MATCH(D885,Ingredients!$B$5:$B$304,0)),"Add to Ingredients"))</f>
        <v>0</v>
      </c>
      <c r="M885" s="25">
        <f>IF(D885="","",IFERROR(INDEX(Ingredients!$J$5:$J$304,MATCH(D885,Ingredients!$B$5:$B$304,0)),"Add to Ingredients"))</f>
        <v>0</v>
      </c>
      <c r="N885" s="25">
        <f>IF(OR(J885="",M885="",NOT(ISNUMBER(M885))),"",IF(K885&lt;&gt;L885,"",J885*M885))</f>
        <v>0</v>
      </c>
      <c r="O885" s="25">
        <f>IF(N885="","",IFERROR(N885/INDEX(Recipes!$G$5:$G$204,MATCH(B885,Recipes!$A$5:$A$204,0)),""))</f>
        <v>0</v>
      </c>
      <c r="P885" s="30">
        <f>IF(J885="","",IF(K885="each",J885,J885/100))</f>
        <v>0</v>
      </c>
      <c r="Q885" s="30">
        <f>IFERROR(IF(P885="","",P885*INDEX(Ingredients!$P$5:$P$304,MATCH(D885,Ingredients!$B$5:$B$304,0))),"")</f>
        <v>0</v>
      </c>
      <c r="R885" s="45">
        <f>IFERROR(IF(P885="","",P885*INDEX(Ingredients!$Q$5:$Q$304,MATCH(D885,Ingredients!$B$5:$B$304,0))),"")</f>
        <v>0</v>
      </c>
      <c r="S885" s="45">
        <f>IFERROR(IF(P885="","",P885*INDEX(Ingredients!$R$5:$R$304,MATCH(D885,Ingredients!$B$5:$B$304,0))),"")</f>
        <v>0</v>
      </c>
      <c r="T885" s="45">
        <f>IFERROR(IF(P885="","",P885*INDEX(Ingredients!$S$5:$S$304,MATCH(D885,Ingredients!$B$5:$B$304,0))),"")</f>
        <v>0</v>
      </c>
      <c r="U885" s="45">
        <f>IFERROR(IF(P885="","",P885*INDEX(Ingredients!$T$5:$T$304,MATCH(D885,Ingredients!$B$5:$B$304,0))),"")</f>
        <v>0</v>
      </c>
      <c r="V885" s="17">
        <f>IF(D885="","",IFERROR(INDEX(Ingredients!$W$5:$W$304,MATCH(D885,Ingredients!$B$5:$B$304,0)),"Add to Ingredients"))</f>
        <v>0</v>
      </c>
      <c r="W885" s="17">
        <f>IF(D885="","",IFERROR(INDEX(Ingredients!$C$5:$C$304,MATCH(D885,Ingredients!$B$5:$B$304,0)),"Add to Ingredients"))</f>
        <v>0</v>
      </c>
      <c r="X885" s="45">
        <f>IFERROR(INDEX(Recipes!$AT$5:$AT$204,MATCH(B885,Recipes!$A$5:$A$204,0)),0)</f>
        <v>0</v>
      </c>
      <c r="Y885" s="45">
        <f>IF(OR(J885="",X885=0),"",J885*X885)</f>
        <v>0</v>
      </c>
      <c r="Z885" s="17">
        <f>IF(D885="","",B885&amp;"#"&amp;COUNTIFS($B$5:B885,B885))</f>
        <v>0</v>
      </c>
      <c r="AA885" s="17">
        <f>IF(D885="","",B885&amp;"|"&amp;D885)</f>
        <v>0</v>
      </c>
      <c r="AB885" s="31">
        <f>IF(D885="","",IF(B885="","Add - which recipe?",IF(COUNTIFS(Ingredients!$B$5:$B$304,D885)=0,"Missing - not in the Ingredients tab",IF(E885="","Add - no quantity",IF(F885="","Add - no unit",IF(K885&lt;&gt;L885,"Check - recipe in "&amp;K885&amp;", priced in "&amp;L885,IF(COUNTIFS($AA$5:$AA$1204,AA885)&gt;1,"Duplicate - same ingredient twice","OK")))))))</f>
        <v>0</v>
      </c>
    </row>
    <row r="886" spans="1:28">
      <c r="A886" s="39">
        <f>IF(D886="","","RL-"&amp;TEXT(ROW()-4,"0000"))</f>
        <v>0</v>
      </c>
      <c r="C886" s="17">
        <f>IF(B886="","",IFERROR(INDEX(Recipes!$B$5:$B$204,MATCH(B886,Recipes!$A$5:$A$204,0)),"Not found"))</f>
        <v>0</v>
      </c>
      <c r="J886" s="45">
        <f>IF(E886="","",IFERROR(E886*INDEX(UnitFactors,MATCH(F886,UnitNames,0)),""))</f>
        <v>0</v>
      </c>
      <c r="K886" s="17">
        <f>IF(F886="","",IFERROR(INDEX(UnitBases,MATCH(F886,UnitNames,0)),"?"))</f>
        <v>0</v>
      </c>
      <c r="L886" s="17">
        <f>IF(D886="","",IFERROR(INDEX(Ingredients!$G$5:$G$304,MATCH(D886,Ingredients!$B$5:$B$304,0)),"Add to Ingredients"))</f>
        <v>0</v>
      </c>
      <c r="M886" s="25">
        <f>IF(D886="","",IFERROR(INDEX(Ingredients!$J$5:$J$304,MATCH(D886,Ingredients!$B$5:$B$304,0)),"Add to Ingredients"))</f>
        <v>0</v>
      </c>
      <c r="N886" s="25">
        <f>IF(OR(J886="",M886="",NOT(ISNUMBER(M886))),"",IF(K886&lt;&gt;L886,"",J886*M886))</f>
        <v>0</v>
      </c>
      <c r="O886" s="25">
        <f>IF(N886="","",IFERROR(N886/INDEX(Recipes!$G$5:$G$204,MATCH(B886,Recipes!$A$5:$A$204,0)),""))</f>
        <v>0</v>
      </c>
      <c r="P886" s="30">
        <f>IF(J886="","",IF(K886="each",J886,J886/100))</f>
        <v>0</v>
      </c>
      <c r="Q886" s="30">
        <f>IFERROR(IF(P886="","",P886*INDEX(Ingredients!$P$5:$P$304,MATCH(D886,Ingredients!$B$5:$B$304,0))),"")</f>
        <v>0</v>
      </c>
      <c r="R886" s="45">
        <f>IFERROR(IF(P886="","",P886*INDEX(Ingredients!$Q$5:$Q$304,MATCH(D886,Ingredients!$B$5:$B$304,0))),"")</f>
        <v>0</v>
      </c>
      <c r="S886" s="45">
        <f>IFERROR(IF(P886="","",P886*INDEX(Ingredients!$R$5:$R$304,MATCH(D886,Ingredients!$B$5:$B$304,0))),"")</f>
        <v>0</v>
      </c>
      <c r="T886" s="45">
        <f>IFERROR(IF(P886="","",P886*INDEX(Ingredients!$S$5:$S$304,MATCH(D886,Ingredients!$B$5:$B$304,0))),"")</f>
        <v>0</v>
      </c>
      <c r="U886" s="45">
        <f>IFERROR(IF(P886="","",P886*INDEX(Ingredients!$T$5:$T$304,MATCH(D886,Ingredients!$B$5:$B$304,0))),"")</f>
        <v>0</v>
      </c>
      <c r="V886" s="17">
        <f>IF(D886="","",IFERROR(INDEX(Ingredients!$W$5:$W$304,MATCH(D886,Ingredients!$B$5:$B$304,0)),"Add to Ingredients"))</f>
        <v>0</v>
      </c>
      <c r="W886" s="17">
        <f>IF(D886="","",IFERROR(INDEX(Ingredients!$C$5:$C$304,MATCH(D886,Ingredients!$B$5:$B$304,0)),"Add to Ingredients"))</f>
        <v>0</v>
      </c>
      <c r="X886" s="45">
        <f>IFERROR(INDEX(Recipes!$AT$5:$AT$204,MATCH(B886,Recipes!$A$5:$A$204,0)),0)</f>
        <v>0</v>
      </c>
      <c r="Y886" s="45">
        <f>IF(OR(J886="",X886=0),"",J886*X886)</f>
        <v>0</v>
      </c>
      <c r="Z886" s="17">
        <f>IF(D886="","",B886&amp;"#"&amp;COUNTIFS($B$5:B886,B886))</f>
        <v>0</v>
      </c>
      <c r="AA886" s="17">
        <f>IF(D886="","",B886&amp;"|"&amp;D886)</f>
        <v>0</v>
      </c>
      <c r="AB886" s="31">
        <f>IF(D886="","",IF(B886="","Add - which recipe?",IF(COUNTIFS(Ingredients!$B$5:$B$304,D886)=0,"Missing - not in the Ingredients tab",IF(E886="","Add - no quantity",IF(F886="","Add - no unit",IF(K886&lt;&gt;L886,"Check - recipe in "&amp;K886&amp;", priced in "&amp;L886,IF(COUNTIFS($AA$5:$AA$1204,AA886)&gt;1,"Duplicate - same ingredient twice","OK")))))))</f>
        <v>0</v>
      </c>
    </row>
    <row r="887" spans="1:28">
      <c r="A887" s="39">
        <f>IF(D887="","","RL-"&amp;TEXT(ROW()-4,"0000"))</f>
        <v>0</v>
      </c>
      <c r="C887" s="17">
        <f>IF(B887="","",IFERROR(INDEX(Recipes!$B$5:$B$204,MATCH(B887,Recipes!$A$5:$A$204,0)),"Not found"))</f>
        <v>0</v>
      </c>
      <c r="J887" s="45">
        <f>IF(E887="","",IFERROR(E887*INDEX(UnitFactors,MATCH(F887,UnitNames,0)),""))</f>
        <v>0</v>
      </c>
      <c r="K887" s="17">
        <f>IF(F887="","",IFERROR(INDEX(UnitBases,MATCH(F887,UnitNames,0)),"?"))</f>
        <v>0</v>
      </c>
      <c r="L887" s="17">
        <f>IF(D887="","",IFERROR(INDEX(Ingredients!$G$5:$G$304,MATCH(D887,Ingredients!$B$5:$B$304,0)),"Add to Ingredients"))</f>
        <v>0</v>
      </c>
      <c r="M887" s="25">
        <f>IF(D887="","",IFERROR(INDEX(Ingredients!$J$5:$J$304,MATCH(D887,Ingredients!$B$5:$B$304,0)),"Add to Ingredients"))</f>
        <v>0</v>
      </c>
      <c r="N887" s="25">
        <f>IF(OR(J887="",M887="",NOT(ISNUMBER(M887))),"",IF(K887&lt;&gt;L887,"",J887*M887))</f>
        <v>0</v>
      </c>
      <c r="O887" s="25">
        <f>IF(N887="","",IFERROR(N887/INDEX(Recipes!$G$5:$G$204,MATCH(B887,Recipes!$A$5:$A$204,0)),""))</f>
        <v>0</v>
      </c>
      <c r="P887" s="30">
        <f>IF(J887="","",IF(K887="each",J887,J887/100))</f>
        <v>0</v>
      </c>
      <c r="Q887" s="30">
        <f>IFERROR(IF(P887="","",P887*INDEX(Ingredients!$P$5:$P$304,MATCH(D887,Ingredients!$B$5:$B$304,0))),"")</f>
        <v>0</v>
      </c>
      <c r="R887" s="45">
        <f>IFERROR(IF(P887="","",P887*INDEX(Ingredients!$Q$5:$Q$304,MATCH(D887,Ingredients!$B$5:$B$304,0))),"")</f>
        <v>0</v>
      </c>
      <c r="S887" s="45">
        <f>IFERROR(IF(P887="","",P887*INDEX(Ingredients!$R$5:$R$304,MATCH(D887,Ingredients!$B$5:$B$304,0))),"")</f>
        <v>0</v>
      </c>
      <c r="T887" s="45">
        <f>IFERROR(IF(P887="","",P887*INDEX(Ingredients!$S$5:$S$304,MATCH(D887,Ingredients!$B$5:$B$304,0))),"")</f>
        <v>0</v>
      </c>
      <c r="U887" s="45">
        <f>IFERROR(IF(P887="","",P887*INDEX(Ingredients!$T$5:$T$304,MATCH(D887,Ingredients!$B$5:$B$304,0))),"")</f>
        <v>0</v>
      </c>
      <c r="V887" s="17">
        <f>IF(D887="","",IFERROR(INDEX(Ingredients!$W$5:$W$304,MATCH(D887,Ingredients!$B$5:$B$304,0)),"Add to Ingredients"))</f>
        <v>0</v>
      </c>
      <c r="W887" s="17">
        <f>IF(D887="","",IFERROR(INDEX(Ingredients!$C$5:$C$304,MATCH(D887,Ingredients!$B$5:$B$304,0)),"Add to Ingredients"))</f>
        <v>0</v>
      </c>
      <c r="X887" s="45">
        <f>IFERROR(INDEX(Recipes!$AT$5:$AT$204,MATCH(B887,Recipes!$A$5:$A$204,0)),0)</f>
        <v>0</v>
      </c>
      <c r="Y887" s="45">
        <f>IF(OR(J887="",X887=0),"",J887*X887)</f>
        <v>0</v>
      </c>
      <c r="Z887" s="17">
        <f>IF(D887="","",B887&amp;"#"&amp;COUNTIFS($B$5:B887,B887))</f>
        <v>0</v>
      </c>
      <c r="AA887" s="17">
        <f>IF(D887="","",B887&amp;"|"&amp;D887)</f>
        <v>0</v>
      </c>
      <c r="AB887" s="31">
        <f>IF(D887="","",IF(B887="","Add - which recipe?",IF(COUNTIFS(Ingredients!$B$5:$B$304,D887)=0,"Missing - not in the Ingredients tab",IF(E887="","Add - no quantity",IF(F887="","Add - no unit",IF(K887&lt;&gt;L887,"Check - recipe in "&amp;K887&amp;", priced in "&amp;L887,IF(COUNTIFS($AA$5:$AA$1204,AA887)&gt;1,"Duplicate - same ingredient twice","OK")))))))</f>
        <v>0</v>
      </c>
    </row>
    <row r="888" spans="1:28">
      <c r="A888" s="39">
        <f>IF(D888="","","RL-"&amp;TEXT(ROW()-4,"0000"))</f>
        <v>0</v>
      </c>
      <c r="C888" s="17">
        <f>IF(B888="","",IFERROR(INDEX(Recipes!$B$5:$B$204,MATCH(B888,Recipes!$A$5:$A$204,0)),"Not found"))</f>
        <v>0</v>
      </c>
      <c r="J888" s="45">
        <f>IF(E888="","",IFERROR(E888*INDEX(UnitFactors,MATCH(F888,UnitNames,0)),""))</f>
        <v>0</v>
      </c>
      <c r="K888" s="17">
        <f>IF(F888="","",IFERROR(INDEX(UnitBases,MATCH(F888,UnitNames,0)),"?"))</f>
        <v>0</v>
      </c>
      <c r="L888" s="17">
        <f>IF(D888="","",IFERROR(INDEX(Ingredients!$G$5:$G$304,MATCH(D888,Ingredients!$B$5:$B$304,0)),"Add to Ingredients"))</f>
        <v>0</v>
      </c>
      <c r="M888" s="25">
        <f>IF(D888="","",IFERROR(INDEX(Ingredients!$J$5:$J$304,MATCH(D888,Ingredients!$B$5:$B$304,0)),"Add to Ingredients"))</f>
        <v>0</v>
      </c>
      <c r="N888" s="25">
        <f>IF(OR(J888="",M888="",NOT(ISNUMBER(M888))),"",IF(K888&lt;&gt;L888,"",J888*M888))</f>
        <v>0</v>
      </c>
      <c r="O888" s="25">
        <f>IF(N888="","",IFERROR(N888/INDEX(Recipes!$G$5:$G$204,MATCH(B888,Recipes!$A$5:$A$204,0)),""))</f>
        <v>0</v>
      </c>
      <c r="P888" s="30">
        <f>IF(J888="","",IF(K888="each",J888,J888/100))</f>
        <v>0</v>
      </c>
      <c r="Q888" s="30">
        <f>IFERROR(IF(P888="","",P888*INDEX(Ingredients!$P$5:$P$304,MATCH(D888,Ingredients!$B$5:$B$304,0))),"")</f>
        <v>0</v>
      </c>
      <c r="R888" s="45">
        <f>IFERROR(IF(P888="","",P888*INDEX(Ingredients!$Q$5:$Q$304,MATCH(D888,Ingredients!$B$5:$B$304,0))),"")</f>
        <v>0</v>
      </c>
      <c r="S888" s="45">
        <f>IFERROR(IF(P888="","",P888*INDEX(Ingredients!$R$5:$R$304,MATCH(D888,Ingredients!$B$5:$B$304,0))),"")</f>
        <v>0</v>
      </c>
      <c r="T888" s="45">
        <f>IFERROR(IF(P888="","",P888*INDEX(Ingredients!$S$5:$S$304,MATCH(D888,Ingredients!$B$5:$B$304,0))),"")</f>
        <v>0</v>
      </c>
      <c r="U888" s="45">
        <f>IFERROR(IF(P888="","",P888*INDEX(Ingredients!$T$5:$T$304,MATCH(D888,Ingredients!$B$5:$B$304,0))),"")</f>
        <v>0</v>
      </c>
      <c r="V888" s="17">
        <f>IF(D888="","",IFERROR(INDEX(Ingredients!$W$5:$W$304,MATCH(D888,Ingredients!$B$5:$B$304,0)),"Add to Ingredients"))</f>
        <v>0</v>
      </c>
      <c r="W888" s="17">
        <f>IF(D888="","",IFERROR(INDEX(Ingredients!$C$5:$C$304,MATCH(D888,Ingredients!$B$5:$B$304,0)),"Add to Ingredients"))</f>
        <v>0</v>
      </c>
      <c r="X888" s="45">
        <f>IFERROR(INDEX(Recipes!$AT$5:$AT$204,MATCH(B888,Recipes!$A$5:$A$204,0)),0)</f>
        <v>0</v>
      </c>
      <c r="Y888" s="45">
        <f>IF(OR(J888="",X888=0),"",J888*X888)</f>
        <v>0</v>
      </c>
      <c r="Z888" s="17">
        <f>IF(D888="","",B888&amp;"#"&amp;COUNTIFS($B$5:B888,B888))</f>
        <v>0</v>
      </c>
      <c r="AA888" s="17">
        <f>IF(D888="","",B888&amp;"|"&amp;D888)</f>
        <v>0</v>
      </c>
      <c r="AB888" s="31">
        <f>IF(D888="","",IF(B888="","Add - which recipe?",IF(COUNTIFS(Ingredients!$B$5:$B$304,D888)=0,"Missing - not in the Ingredients tab",IF(E888="","Add - no quantity",IF(F888="","Add - no unit",IF(K888&lt;&gt;L888,"Check - recipe in "&amp;K888&amp;", priced in "&amp;L888,IF(COUNTIFS($AA$5:$AA$1204,AA888)&gt;1,"Duplicate - same ingredient twice","OK")))))))</f>
        <v>0</v>
      </c>
    </row>
    <row r="889" spans="1:28">
      <c r="A889" s="39">
        <f>IF(D889="","","RL-"&amp;TEXT(ROW()-4,"0000"))</f>
        <v>0</v>
      </c>
      <c r="C889" s="17">
        <f>IF(B889="","",IFERROR(INDEX(Recipes!$B$5:$B$204,MATCH(B889,Recipes!$A$5:$A$204,0)),"Not found"))</f>
        <v>0</v>
      </c>
      <c r="J889" s="45">
        <f>IF(E889="","",IFERROR(E889*INDEX(UnitFactors,MATCH(F889,UnitNames,0)),""))</f>
        <v>0</v>
      </c>
      <c r="K889" s="17">
        <f>IF(F889="","",IFERROR(INDEX(UnitBases,MATCH(F889,UnitNames,0)),"?"))</f>
        <v>0</v>
      </c>
      <c r="L889" s="17">
        <f>IF(D889="","",IFERROR(INDEX(Ingredients!$G$5:$G$304,MATCH(D889,Ingredients!$B$5:$B$304,0)),"Add to Ingredients"))</f>
        <v>0</v>
      </c>
      <c r="M889" s="25">
        <f>IF(D889="","",IFERROR(INDEX(Ingredients!$J$5:$J$304,MATCH(D889,Ingredients!$B$5:$B$304,0)),"Add to Ingredients"))</f>
        <v>0</v>
      </c>
      <c r="N889" s="25">
        <f>IF(OR(J889="",M889="",NOT(ISNUMBER(M889))),"",IF(K889&lt;&gt;L889,"",J889*M889))</f>
        <v>0</v>
      </c>
      <c r="O889" s="25">
        <f>IF(N889="","",IFERROR(N889/INDEX(Recipes!$G$5:$G$204,MATCH(B889,Recipes!$A$5:$A$204,0)),""))</f>
        <v>0</v>
      </c>
      <c r="P889" s="30">
        <f>IF(J889="","",IF(K889="each",J889,J889/100))</f>
        <v>0</v>
      </c>
      <c r="Q889" s="30">
        <f>IFERROR(IF(P889="","",P889*INDEX(Ingredients!$P$5:$P$304,MATCH(D889,Ingredients!$B$5:$B$304,0))),"")</f>
        <v>0</v>
      </c>
      <c r="R889" s="45">
        <f>IFERROR(IF(P889="","",P889*INDEX(Ingredients!$Q$5:$Q$304,MATCH(D889,Ingredients!$B$5:$B$304,0))),"")</f>
        <v>0</v>
      </c>
      <c r="S889" s="45">
        <f>IFERROR(IF(P889="","",P889*INDEX(Ingredients!$R$5:$R$304,MATCH(D889,Ingredients!$B$5:$B$304,0))),"")</f>
        <v>0</v>
      </c>
      <c r="T889" s="45">
        <f>IFERROR(IF(P889="","",P889*INDEX(Ingredients!$S$5:$S$304,MATCH(D889,Ingredients!$B$5:$B$304,0))),"")</f>
        <v>0</v>
      </c>
      <c r="U889" s="45">
        <f>IFERROR(IF(P889="","",P889*INDEX(Ingredients!$T$5:$T$304,MATCH(D889,Ingredients!$B$5:$B$304,0))),"")</f>
        <v>0</v>
      </c>
      <c r="V889" s="17">
        <f>IF(D889="","",IFERROR(INDEX(Ingredients!$W$5:$W$304,MATCH(D889,Ingredients!$B$5:$B$304,0)),"Add to Ingredients"))</f>
        <v>0</v>
      </c>
      <c r="W889" s="17">
        <f>IF(D889="","",IFERROR(INDEX(Ingredients!$C$5:$C$304,MATCH(D889,Ingredients!$B$5:$B$304,0)),"Add to Ingredients"))</f>
        <v>0</v>
      </c>
      <c r="X889" s="45">
        <f>IFERROR(INDEX(Recipes!$AT$5:$AT$204,MATCH(B889,Recipes!$A$5:$A$204,0)),0)</f>
        <v>0</v>
      </c>
      <c r="Y889" s="45">
        <f>IF(OR(J889="",X889=0),"",J889*X889)</f>
        <v>0</v>
      </c>
      <c r="Z889" s="17">
        <f>IF(D889="","",B889&amp;"#"&amp;COUNTIFS($B$5:B889,B889))</f>
        <v>0</v>
      </c>
      <c r="AA889" s="17">
        <f>IF(D889="","",B889&amp;"|"&amp;D889)</f>
        <v>0</v>
      </c>
      <c r="AB889" s="31">
        <f>IF(D889="","",IF(B889="","Add - which recipe?",IF(COUNTIFS(Ingredients!$B$5:$B$304,D889)=0,"Missing - not in the Ingredients tab",IF(E889="","Add - no quantity",IF(F889="","Add - no unit",IF(K889&lt;&gt;L889,"Check - recipe in "&amp;K889&amp;", priced in "&amp;L889,IF(COUNTIFS($AA$5:$AA$1204,AA889)&gt;1,"Duplicate - same ingredient twice","OK")))))))</f>
        <v>0</v>
      </c>
    </row>
    <row r="890" spans="1:28">
      <c r="A890" s="39">
        <f>IF(D890="","","RL-"&amp;TEXT(ROW()-4,"0000"))</f>
        <v>0</v>
      </c>
      <c r="C890" s="17">
        <f>IF(B890="","",IFERROR(INDEX(Recipes!$B$5:$B$204,MATCH(B890,Recipes!$A$5:$A$204,0)),"Not found"))</f>
        <v>0</v>
      </c>
      <c r="J890" s="45">
        <f>IF(E890="","",IFERROR(E890*INDEX(UnitFactors,MATCH(F890,UnitNames,0)),""))</f>
        <v>0</v>
      </c>
      <c r="K890" s="17">
        <f>IF(F890="","",IFERROR(INDEX(UnitBases,MATCH(F890,UnitNames,0)),"?"))</f>
        <v>0</v>
      </c>
      <c r="L890" s="17">
        <f>IF(D890="","",IFERROR(INDEX(Ingredients!$G$5:$G$304,MATCH(D890,Ingredients!$B$5:$B$304,0)),"Add to Ingredients"))</f>
        <v>0</v>
      </c>
      <c r="M890" s="25">
        <f>IF(D890="","",IFERROR(INDEX(Ingredients!$J$5:$J$304,MATCH(D890,Ingredients!$B$5:$B$304,0)),"Add to Ingredients"))</f>
        <v>0</v>
      </c>
      <c r="N890" s="25">
        <f>IF(OR(J890="",M890="",NOT(ISNUMBER(M890))),"",IF(K890&lt;&gt;L890,"",J890*M890))</f>
        <v>0</v>
      </c>
      <c r="O890" s="25">
        <f>IF(N890="","",IFERROR(N890/INDEX(Recipes!$G$5:$G$204,MATCH(B890,Recipes!$A$5:$A$204,0)),""))</f>
        <v>0</v>
      </c>
      <c r="P890" s="30">
        <f>IF(J890="","",IF(K890="each",J890,J890/100))</f>
        <v>0</v>
      </c>
      <c r="Q890" s="30">
        <f>IFERROR(IF(P890="","",P890*INDEX(Ingredients!$P$5:$P$304,MATCH(D890,Ingredients!$B$5:$B$304,0))),"")</f>
        <v>0</v>
      </c>
      <c r="R890" s="45">
        <f>IFERROR(IF(P890="","",P890*INDEX(Ingredients!$Q$5:$Q$304,MATCH(D890,Ingredients!$B$5:$B$304,0))),"")</f>
        <v>0</v>
      </c>
      <c r="S890" s="45">
        <f>IFERROR(IF(P890="","",P890*INDEX(Ingredients!$R$5:$R$304,MATCH(D890,Ingredients!$B$5:$B$304,0))),"")</f>
        <v>0</v>
      </c>
      <c r="T890" s="45">
        <f>IFERROR(IF(P890="","",P890*INDEX(Ingredients!$S$5:$S$304,MATCH(D890,Ingredients!$B$5:$B$304,0))),"")</f>
        <v>0</v>
      </c>
      <c r="U890" s="45">
        <f>IFERROR(IF(P890="","",P890*INDEX(Ingredients!$T$5:$T$304,MATCH(D890,Ingredients!$B$5:$B$304,0))),"")</f>
        <v>0</v>
      </c>
      <c r="V890" s="17">
        <f>IF(D890="","",IFERROR(INDEX(Ingredients!$W$5:$W$304,MATCH(D890,Ingredients!$B$5:$B$304,0)),"Add to Ingredients"))</f>
        <v>0</v>
      </c>
      <c r="W890" s="17">
        <f>IF(D890="","",IFERROR(INDEX(Ingredients!$C$5:$C$304,MATCH(D890,Ingredients!$B$5:$B$304,0)),"Add to Ingredients"))</f>
        <v>0</v>
      </c>
      <c r="X890" s="45">
        <f>IFERROR(INDEX(Recipes!$AT$5:$AT$204,MATCH(B890,Recipes!$A$5:$A$204,0)),0)</f>
        <v>0</v>
      </c>
      <c r="Y890" s="45">
        <f>IF(OR(J890="",X890=0),"",J890*X890)</f>
        <v>0</v>
      </c>
      <c r="Z890" s="17">
        <f>IF(D890="","",B890&amp;"#"&amp;COUNTIFS($B$5:B890,B890))</f>
        <v>0</v>
      </c>
      <c r="AA890" s="17">
        <f>IF(D890="","",B890&amp;"|"&amp;D890)</f>
        <v>0</v>
      </c>
      <c r="AB890" s="31">
        <f>IF(D890="","",IF(B890="","Add - which recipe?",IF(COUNTIFS(Ingredients!$B$5:$B$304,D890)=0,"Missing - not in the Ingredients tab",IF(E890="","Add - no quantity",IF(F890="","Add - no unit",IF(K890&lt;&gt;L890,"Check - recipe in "&amp;K890&amp;", priced in "&amp;L890,IF(COUNTIFS($AA$5:$AA$1204,AA890)&gt;1,"Duplicate - same ingredient twice","OK")))))))</f>
        <v>0</v>
      </c>
    </row>
    <row r="891" spans="1:28">
      <c r="A891" s="39">
        <f>IF(D891="","","RL-"&amp;TEXT(ROW()-4,"0000"))</f>
        <v>0</v>
      </c>
      <c r="C891" s="17">
        <f>IF(B891="","",IFERROR(INDEX(Recipes!$B$5:$B$204,MATCH(B891,Recipes!$A$5:$A$204,0)),"Not found"))</f>
        <v>0</v>
      </c>
      <c r="J891" s="45">
        <f>IF(E891="","",IFERROR(E891*INDEX(UnitFactors,MATCH(F891,UnitNames,0)),""))</f>
        <v>0</v>
      </c>
      <c r="K891" s="17">
        <f>IF(F891="","",IFERROR(INDEX(UnitBases,MATCH(F891,UnitNames,0)),"?"))</f>
        <v>0</v>
      </c>
      <c r="L891" s="17">
        <f>IF(D891="","",IFERROR(INDEX(Ingredients!$G$5:$G$304,MATCH(D891,Ingredients!$B$5:$B$304,0)),"Add to Ingredients"))</f>
        <v>0</v>
      </c>
      <c r="M891" s="25">
        <f>IF(D891="","",IFERROR(INDEX(Ingredients!$J$5:$J$304,MATCH(D891,Ingredients!$B$5:$B$304,0)),"Add to Ingredients"))</f>
        <v>0</v>
      </c>
      <c r="N891" s="25">
        <f>IF(OR(J891="",M891="",NOT(ISNUMBER(M891))),"",IF(K891&lt;&gt;L891,"",J891*M891))</f>
        <v>0</v>
      </c>
      <c r="O891" s="25">
        <f>IF(N891="","",IFERROR(N891/INDEX(Recipes!$G$5:$G$204,MATCH(B891,Recipes!$A$5:$A$204,0)),""))</f>
        <v>0</v>
      </c>
      <c r="P891" s="30">
        <f>IF(J891="","",IF(K891="each",J891,J891/100))</f>
        <v>0</v>
      </c>
      <c r="Q891" s="30">
        <f>IFERROR(IF(P891="","",P891*INDEX(Ingredients!$P$5:$P$304,MATCH(D891,Ingredients!$B$5:$B$304,0))),"")</f>
        <v>0</v>
      </c>
      <c r="R891" s="45">
        <f>IFERROR(IF(P891="","",P891*INDEX(Ingredients!$Q$5:$Q$304,MATCH(D891,Ingredients!$B$5:$B$304,0))),"")</f>
        <v>0</v>
      </c>
      <c r="S891" s="45">
        <f>IFERROR(IF(P891="","",P891*INDEX(Ingredients!$R$5:$R$304,MATCH(D891,Ingredients!$B$5:$B$304,0))),"")</f>
        <v>0</v>
      </c>
      <c r="T891" s="45">
        <f>IFERROR(IF(P891="","",P891*INDEX(Ingredients!$S$5:$S$304,MATCH(D891,Ingredients!$B$5:$B$304,0))),"")</f>
        <v>0</v>
      </c>
      <c r="U891" s="45">
        <f>IFERROR(IF(P891="","",P891*INDEX(Ingredients!$T$5:$T$304,MATCH(D891,Ingredients!$B$5:$B$304,0))),"")</f>
        <v>0</v>
      </c>
      <c r="V891" s="17">
        <f>IF(D891="","",IFERROR(INDEX(Ingredients!$W$5:$W$304,MATCH(D891,Ingredients!$B$5:$B$304,0)),"Add to Ingredients"))</f>
        <v>0</v>
      </c>
      <c r="W891" s="17">
        <f>IF(D891="","",IFERROR(INDEX(Ingredients!$C$5:$C$304,MATCH(D891,Ingredients!$B$5:$B$304,0)),"Add to Ingredients"))</f>
        <v>0</v>
      </c>
      <c r="X891" s="45">
        <f>IFERROR(INDEX(Recipes!$AT$5:$AT$204,MATCH(B891,Recipes!$A$5:$A$204,0)),0)</f>
        <v>0</v>
      </c>
      <c r="Y891" s="45">
        <f>IF(OR(J891="",X891=0),"",J891*X891)</f>
        <v>0</v>
      </c>
      <c r="Z891" s="17">
        <f>IF(D891="","",B891&amp;"#"&amp;COUNTIFS($B$5:B891,B891))</f>
        <v>0</v>
      </c>
      <c r="AA891" s="17">
        <f>IF(D891="","",B891&amp;"|"&amp;D891)</f>
        <v>0</v>
      </c>
      <c r="AB891" s="31">
        <f>IF(D891="","",IF(B891="","Add - which recipe?",IF(COUNTIFS(Ingredients!$B$5:$B$304,D891)=0,"Missing - not in the Ingredients tab",IF(E891="","Add - no quantity",IF(F891="","Add - no unit",IF(K891&lt;&gt;L891,"Check - recipe in "&amp;K891&amp;", priced in "&amp;L891,IF(COUNTIFS($AA$5:$AA$1204,AA891)&gt;1,"Duplicate - same ingredient twice","OK")))))))</f>
        <v>0</v>
      </c>
    </row>
    <row r="892" spans="1:28">
      <c r="A892" s="39">
        <f>IF(D892="","","RL-"&amp;TEXT(ROW()-4,"0000"))</f>
        <v>0</v>
      </c>
      <c r="C892" s="17">
        <f>IF(B892="","",IFERROR(INDEX(Recipes!$B$5:$B$204,MATCH(B892,Recipes!$A$5:$A$204,0)),"Not found"))</f>
        <v>0</v>
      </c>
      <c r="J892" s="45">
        <f>IF(E892="","",IFERROR(E892*INDEX(UnitFactors,MATCH(F892,UnitNames,0)),""))</f>
        <v>0</v>
      </c>
      <c r="K892" s="17">
        <f>IF(F892="","",IFERROR(INDEX(UnitBases,MATCH(F892,UnitNames,0)),"?"))</f>
        <v>0</v>
      </c>
      <c r="L892" s="17">
        <f>IF(D892="","",IFERROR(INDEX(Ingredients!$G$5:$G$304,MATCH(D892,Ingredients!$B$5:$B$304,0)),"Add to Ingredients"))</f>
        <v>0</v>
      </c>
      <c r="M892" s="25">
        <f>IF(D892="","",IFERROR(INDEX(Ingredients!$J$5:$J$304,MATCH(D892,Ingredients!$B$5:$B$304,0)),"Add to Ingredients"))</f>
        <v>0</v>
      </c>
      <c r="N892" s="25">
        <f>IF(OR(J892="",M892="",NOT(ISNUMBER(M892))),"",IF(K892&lt;&gt;L892,"",J892*M892))</f>
        <v>0</v>
      </c>
      <c r="O892" s="25">
        <f>IF(N892="","",IFERROR(N892/INDEX(Recipes!$G$5:$G$204,MATCH(B892,Recipes!$A$5:$A$204,0)),""))</f>
        <v>0</v>
      </c>
      <c r="P892" s="30">
        <f>IF(J892="","",IF(K892="each",J892,J892/100))</f>
        <v>0</v>
      </c>
      <c r="Q892" s="30">
        <f>IFERROR(IF(P892="","",P892*INDEX(Ingredients!$P$5:$P$304,MATCH(D892,Ingredients!$B$5:$B$304,0))),"")</f>
        <v>0</v>
      </c>
      <c r="R892" s="45">
        <f>IFERROR(IF(P892="","",P892*INDEX(Ingredients!$Q$5:$Q$304,MATCH(D892,Ingredients!$B$5:$B$304,0))),"")</f>
        <v>0</v>
      </c>
      <c r="S892" s="45">
        <f>IFERROR(IF(P892="","",P892*INDEX(Ingredients!$R$5:$R$304,MATCH(D892,Ingredients!$B$5:$B$304,0))),"")</f>
        <v>0</v>
      </c>
      <c r="T892" s="45">
        <f>IFERROR(IF(P892="","",P892*INDEX(Ingredients!$S$5:$S$304,MATCH(D892,Ingredients!$B$5:$B$304,0))),"")</f>
        <v>0</v>
      </c>
      <c r="U892" s="45">
        <f>IFERROR(IF(P892="","",P892*INDEX(Ingredients!$T$5:$T$304,MATCH(D892,Ingredients!$B$5:$B$304,0))),"")</f>
        <v>0</v>
      </c>
      <c r="V892" s="17">
        <f>IF(D892="","",IFERROR(INDEX(Ingredients!$W$5:$W$304,MATCH(D892,Ingredients!$B$5:$B$304,0)),"Add to Ingredients"))</f>
        <v>0</v>
      </c>
      <c r="W892" s="17">
        <f>IF(D892="","",IFERROR(INDEX(Ingredients!$C$5:$C$304,MATCH(D892,Ingredients!$B$5:$B$304,0)),"Add to Ingredients"))</f>
        <v>0</v>
      </c>
      <c r="X892" s="45">
        <f>IFERROR(INDEX(Recipes!$AT$5:$AT$204,MATCH(B892,Recipes!$A$5:$A$204,0)),0)</f>
        <v>0</v>
      </c>
      <c r="Y892" s="45">
        <f>IF(OR(J892="",X892=0),"",J892*X892)</f>
        <v>0</v>
      </c>
      <c r="Z892" s="17">
        <f>IF(D892="","",B892&amp;"#"&amp;COUNTIFS($B$5:B892,B892))</f>
        <v>0</v>
      </c>
      <c r="AA892" s="17">
        <f>IF(D892="","",B892&amp;"|"&amp;D892)</f>
        <v>0</v>
      </c>
      <c r="AB892" s="31">
        <f>IF(D892="","",IF(B892="","Add - which recipe?",IF(COUNTIFS(Ingredients!$B$5:$B$304,D892)=0,"Missing - not in the Ingredients tab",IF(E892="","Add - no quantity",IF(F892="","Add - no unit",IF(K892&lt;&gt;L892,"Check - recipe in "&amp;K892&amp;", priced in "&amp;L892,IF(COUNTIFS($AA$5:$AA$1204,AA892)&gt;1,"Duplicate - same ingredient twice","OK")))))))</f>
        <v>0</v>
      </c>
    </row>
    <row r="893" spans="1:28">
      <c r="A893" s="39">
        <f>IF(D893="","","RL-"&amp;TEXT(ROW()-4,"0000"))</f>
        <v>0</v>
      </c>
      <c r="C893" s="17">
        <f>IF(B893="","",IFERROR(INDEX(Recipes!$B$5:$B$204,MATCH(B893,Recipes!$A$5:$A$204,0)),"Not found"))</f>
        <v>0</v>
      </c>
      <c r="J893" s="45">
        <f>IF(E893="","",IFERROR(E893*INDEX(UnitFactors,MATCH(F893,UnitNames,0)),""))</f>
        <v>0</v>
      </c>
      <c r="K893" s="17">
        <f>IF(F893="","",IFERROR(INDEX(UnitBases,MATCH(F893,UnitNames,0)),"?"))</f>
        <v>0</v>
      </c>
      <c r="L893" s="17">
        <f>IF(D893="","",IFERROR(INDEX(Ingredients!$G$5:$G$304,MATCH(D893,Ingredients!$B$5:$B$304,0)),"Add to Ingredients"))</f>
        <v>0</v>
      </c>
      <c r="M893" s="25">
        <f>IF(D893="","",IFERROR(INDEX(Ingredients!$J$5:$J$304,MATCH(D893,Ingredients!$B$5:$B$304,0)),"Add to Ingredients"))</f>
        <v>0</v>
      </c>
      <c r="N893" s="25">
        <f>IF(OR(J893="",M893="",NOT(ISNUMBER(M893))),"",IF(K893&lt;&gt;L893,"",J893*M893))</f>
        <v>0</v>
      </c>
      <c r="O893" s="25">
        <f>IF(N893="","",IFERROR(N893/INDEX(Recipes!$G$5:$G$204,MATCH(B893,Recipes!$A$5:$A$204,0)),""))</f>
        <v>0</v>
      </c>
      <c r="P893" s="30">
        <f>IF(J893="","",IF(K893="each",J893,J893/100))</f>
        <v>0</v>
      </c>
      <c r="Q893" s="30">
        <f>IFERROR(IF(P893="","",P893*INDEX(Ingredients!$P$5:$P$304,MATCH(D893,Ingredients!$B$5:$B$304,0))),"")</f>
        <v>0</v>
      </c>
      <c r="R893" s="45">
        <f>IFERROR(IF(P893="","",P893*INDEX(Ingredients!$Q$5:$Q$304,MATCH(D893,Ingredients!$B$5:$B$304,0))),"")</f>
        <v>0</v>
      </c>
      <c r="S893" s="45">
        <f>IFERROR(IF(P893="","",P893*INDEX(Ingredients!$R$5:$R$304,MATCH(D893,Ingredients!$B$5:$B$304,0))),"")</f>
        <v>0</v>
      </c>
      <c r="T893" s="45">
        <f>IFERROR(IF(P893="","",P893*INDEX(Ingredients!$S$5:$S$304,MATCH(D893,Ingredients!$B$5:$B$304,0))),"")</f>
        <v>0</v>
      </c>
      <c r="U893" s="45">
        <f>IFERROR(IF(P893="","",P893*INDEX(Ingredients!$T$5:$T$304,MATCH(D893,Ingredients!$B$5:$B$304,0))),"")</f>
        <v>0</v>
      </c>
      <c r="V893" s="17">
        <f>IF(D893="","",IFERROR(INDEX(Ingredients!$W$5:$W$304,MATCH(D893,Ingredients!$B$5:$B$304,0)),"Add to Ingredients"))</f>
        <v>0</v>
      </c>
      <c r="W893" s="17">
        <f>IF(D893="","",IFERROR(INDEX(Ingredients!$C$5:$C$304,MATCH(D893,Ingredients!$B$5:$B$304,0)),"Add to Ingredients"))</f>
        <v>0</v>
      </c>
      <c r="X893" s="45">
        <f>IFERROR(INDEX(Recipes!$AT$5:$AT$204,MATCH(B893,Recipes!$A$5:$A$204,0)),0)</f>
        <v>0</v>
      </c>
      <c r="Y893" s="45">
        <f>IF(OR(J893="",X893=0),"",J893*X893)</f>
        <v>0</v>
      </c>
      <c r="Z893" s="17">
        <f>IF(D893="","",B893&amp;"#"&amp;COUNTIFS($B$5:B893,B893))</f>
        <v>0</v>
      </c>
      <c r="AA893" s="17">
        <f>IF(D893="","",B893&amp;"|"&amp;D893)</f>
        <v>0</v>
      </c>
      <c r="AB893" s="31">
        <f>IF(D893="","",IF(B893="","Add - which recipe?",IF(COUNTIFS(Ingredients!$B$5:$B$304,D893)=0,"Missing - not in the Ingredients tab",IF(E893="","Add - no quantity",IF(F893="","Add - no unit",IF(K893&lt;&gt;L893,"Check - recipe in "&amp;K893&amp;", priced in "&amp;L893,IF(COUNTIFS($AA$5:$AA$1204,AA893)&gt;1,"Duplicate - same ingredient twice","OK")))))))</f>
        <v>0</v>
      </c>
    </row>
    <row r="894" spans="1:28">
      <c r="A894" s="39">
        <f>IF(D894="","","RL-"&amp;TEXT(ROW()-4,"0000"))</f>
        <v>0</v>
      </c>
      <c r="C894" s="17">
        <f>IF(B894="","",IFERROR(INDEX(Recipes!$B$5:$B$204,MATCH(B894,Recipes!$A$5:$A$204,0)),"Not found"))</f>
        <v>0</v>
      </c>
      <c r="J894" s="45">
        <f>IF(E894="","",IFERROR(E894*INDEX(UnitFactors,MATCH(F894,UnitNames,0)),""))</f>
        <v>0</v>
      </c>
      <c r="K894" s="17">
        <f>IF(F894="","",IFERROR(INDEX(UnitBases,MATCH(F894,UnitNames,0)),"?"))</f>
        <v>0</v>
      </c>
      <c r="L894" s="17">
        <f>IF(D894="","",IFERROR(INDEX(Ingredients!$G$5:$G$304,MATCH(D894,Ingredients!$B$5:$B$304,0)),"Add to Ingredients"))</f>
        <v>0</v>
      </c>
      <c r="M894" s="25">
        <f>IF(D894="","",IFERROR(INDEX(Ingredients!$J$5:$J$304,MATCH(D894,Ingredients!$B$5:$B$304,0)),"Add to Ingredients"))</f>
        <v>0</v>
      </c>
      <c r="N894" s="25">
        <f>IF(OR(J894="",M894="",NOT(ISNUMBER(M894))),"",IF(K894&lt;&gt;L894,"",J894*M894))</f>
        <v>0</v>
      </c>
      <c r="O894" s="25">
        <f>IF(N894="","",IFERROR(N894/INDEX(Recipes!$G$5:$G$204,MATCH(B894,Recipes!$A$5:$A$204,0)),""))</f>
        <v>0</v>
      </c>
      <c r="P894" s="30">
        <f>IF(J894="","",IF(K894="each",J894,J894/100))</f>
        <v>0</v>
      </c>
      <c r="Q894" s="30">
        <f>IFERROR(IF(P894="","",P894*INDEX(Ingredients!$P$5:$P$304,MATCH(D894,Ingredients!$B$5:$B$304,0))),"")</f>
        <v>0</v>
      </c>
      <c r="R894" s="45">
        <f>IFERROR(IF(P894="","",P894*INDEX(Ingredients!$Q$5:$Q$304,MATCH(D894,Ingredients!$B$5:$B$304,0))),"")</f>
        <v>0</v>
      </c>
      <c r="S894" s="45">
        <f>IFERROR(IF(P894="","",P894*INDEX(Ingredients!$R$5:$R$304,MATCH(D894,Ingredients!$B$5:$B$304,0))),"")</f>
        <v>0</v>
      </c>
      <c r="T894" s="45">
        <f>IFERROR(IF(P894="","",P894*INDEX(Ingredients!$S$5:$S$304,MATCH(D894,Ingredients!$B$5:$B$304,0))),"")</f>
        <v>0</v>
      </c>
      <c r="U894" s="45">
        <f>IFERROR(IF(P894="","",P894*INDEX(Ingredients!$T$5:$T$304,MATCH(D894,Ingredients!$B$5:$B$304,0))),"")</f>
        <v>0</v>
      </c>
      <c r="V894" s="17">
        <f>IF(D894="","",IFERROR(INDEX(Ingredients!$W$5:$W$304,MATCH(D894,Ingredients!$B$5:$B$304,0)),"Add to Ingredients"))</f>
        <v>0</v>
      </c>
      <c r="W894" s="17">
        <f>IF(D894="","",IFERROR(INDEX(Ingredients!$C$5:$C$304,MATCH(D894,Ingredients!$B$5:$B$304,0)),"Add to Ingredients"))</f>
        <v>0</v>
      </c>
      <c r="X894" s="45">
        <f>IFERROR(INDEX(Recipes!$AT$5:$AT$204,MATCH(B894,Recipes!$A$5:$A$204,0)),0)</f>
        <v>0</v>
      </c>
      <c r="Y894" s="45">
        <f>IF(OR(J894="",X894=0),"",J894*X894)</f>
        <v>0</v>
      </c>
      <c r="Z894" s="17">
        <f>IF(D894="","",B894&amp;"#"&amp;COUNTIFS($B$5:B894,B894))</f>
        <v>0</v>
      </c>
      <c r="AA894" s="17">
        <f>IF(D894="","",B894&amp;"|"&amp;D894)</f>
        <v>0</v>
      </c>
      <c r="AB894" s="31">
        <f>IF(D894="","",IF(B894="","Add - which recipe?",IF(COUNTIFS(Ingredients!$B$5:$B$304,D894)=0,"Missing - not in the Ingredients tab",IF(E894="","Add - no quantity",IF(F894="","Add - no unit",IF(K894&lt;&gt;L894,"Check - recipe in "&amp;K894&amp;", priced in "&amp;L894,IF(COUNTIFS($AA$5:$AA$1204,AA894)&gt;1,"Duplicate - same ingredient twice","OK")))))))</f>
        <v>0</v>
      </c>
    </row>
    <row r="895" spans="1:28">
      <c r="A895" s="39">
        <f>IF(D895="","","RL-"&amp;TEXT(ROW()-4,"0000"))</f>
        <v>0</v>
      </c>
      <c r="C895" s="17">
        <f>IF(B895="","",IFERROR(INDEX(Recipes!$B$5:$B$204,MATCH(B895,Recipes!$A$5:$A$204,0)),"Not found"))</f>
        <v>0</v>
      </c>
      <c r="J895" s="45">
        <f>IF(E895="","",IFERROR(E895*INDEX(UnitFactors,MATCH(F895,UnitNames,0)),""))</f>
        <v>0</v>
      </c>
      <c r="K895" s="17">
        <f>IF(F895="","",IFERROR(INDEX(UnitBases,MATCH(F895,UnitNames,0)),"?"))</f>
        <v>0</v>
      </c>
      <c r="L895" s="17">
        <f>IF(D895="","",IFERROR(INDEX(Ingredients!$G$5:$G$304,MATCH(D895,Ingredients!$B$5:$B$304,0)),"Add to Ingredients"))</f>
        <v>0</v>
      </c>
      <c r="M895" s="25">
        <f>IF(D895="","",IFERROR(INDEX(Ingredients!$J$5:$J$304,MATCH(D895,Ingredients!$B$5:$B$304,0)),"Add to Ingredients"))</f>
        <v>0</v>
      </c>
      <c r="N895" s="25">
        <f>IF(OR(J895="",M895="",NOT(ISNUMBER(M895))),"",IF(K895&lt;&gt;L895,"",J895*M895))</f>
        <v>0</v>
      </c>
      <c r="O895" s="25">
        <f>IF(N895="","",IFERROR(N895/INDEX(Recipes!$G$5:$G$204,MATCH(B895,Recipes!$A$5:$A$204,0)),""))</f>
        <v>0</v>
      </c>
      <c r="P895" s="30">
        <f>IF(J895="","",IF(K895="each",J895,J895/100))</f>
        <v>0</v>
      </c>
      <c r="Q895" s="30">
        <f>IFERROR(IF(P895="","",P895*INDEX(Ingredients!$P$5:$P$304,MATCH(D895,Ingredients!$B$5:$B$304,0))),"")</f>
        <v>0</v>
      </c>
      <c r="R895" s="45">
        <f>IFERROR(IF(P895="","",P895*INDEX(Ingredients!$Q$5:$Q$304,MATCH(D895,Ingredients!$B$5:$B$304,0))),"")</f>
        <v>0</v>
      </c>
      <c r="S895" s="45">
        <f>IFERROR(IF(P895="","",P895*INDEX(Ingredients!$R$5:$R$304,MATCH(D895,Ingredients!$B$5:$B$304,0))),"")</f>
        <v>0</v>
      </c>
      <c r="T895" s="45">
        <f>IFERROR(IF(P895="","",P895*INDEX(Ingredients!$S$5:$S$304,MATCH(D895,Ingredients!$B$5:$B$304,0))),"")</f>
        <v>0</v>
      </c>
      <c r="U895" s="45">
        <f>IFERROR(IF(P895="","",P895*INDEX(Ingredients!$T$5:$T$304,MATCH(D895,Ingredients!$B$5:$B$304,0))),"")</f>
        <v>0</v>
      </c>
      <c r="V895" s="17">
        <f>IF(D895="","",IFERROR(INDEX(Ingredients!$W$5:$W$304,MATCH(D895,Ingredients!$B$5:$B$304,0)),"Add to Ingredients"))</f>
        <v>0</v>
      </c>
      <c r="W895" s="17">
        <f>IF(D895="","",IFERROR(INDEX(Ingredients!$C$5:$C$304,MATCH(D895,Ingredients!$B$5:$B$304,0)),"Add to Ingredients"))</f>
        <v>0</v>
      </c>
      <c r="X895" s="45">
        <f>IFERROR(INDEX(Recipes!$AT$5:$AT$204,MATCH(B895,Recipes!$A$5:$A$204,0)),0)</f>
        <v>0</v>
      </c>
      <c r="Y895" s="45">
        <f>IF(OR(J895="",X895=0),"",J895*X895)</f>
        <v>0</v>
      </c>
      <c r="Z895" s="17">
        <f>IF(D895="","",B895&amp;"#"&amp;COUNTIFS($B$5:B895,B895))</f>
        <v>0</v>
      </c>
      <c r="AA895" s="17">
        <f>IF(D895="","",B895&amp;"|"&amp;D895)</f>
        <v>0</v>
      </c>
      <c r="AB895" s="31">
        <f>IF(D895="","",IF(B895="","Add - which recipe?",IF(COUNTIFS(Ingredients!$B$5:$B$304,D895)=0,"Missing - not in the Ingredients tab",IF(E895="","Add - no quantity",IF(F895="","Add - no unit",IF(K895&lt;&gt;L895,"Check - recipe in "&amp;K895&amp;", priced in "&amp;L895,IF(COUNTIFS($AA$5:$AA$1204,AA895)&gt;1,"Duplicate - same ingredient twice","OK")))))))</f>
        <v>0</v>
      </c>
    </row>
    <row r="896" spans="1:28">
      <c r="A896" s="39">
        <f>IF(D896="","","RL-"&amp;TEXT(ROW()-4,"0000"))</f>
        <v>0</v>
      </c>
      <c r="C896" s="17">
        <f>IF(B896="","",IFERROR(INDEX(Recipes!$B$5:$B$204,MATCH(B896,Recipes!$A$5:$A$204,0)),"Not found"))</f>
        <v>0</v>
      </c>
      <c r="J896" s="45">
        <f>IF(E896="","",IFERROR(E896*INDEX(UnitFactors,MATCH(F896,UnitNames,0)),""))</f>
        <v>0</v>
      </c>
      <c r="K896" s="17">
        <f>IF(F896="","",IFERROR(INDEX(UnitBases,MATCH(F896,UnitNames,0)),"?"))</f>
        <v>0</v>
      </c>
      <c r="L896" s="17">
        <f>IF(D896="","",IFERROR(INDEX(Ingredients!$G$5:$G$304,MATCH(D896,Ingredients!$B$5:$B$304,0)),"Add to Ingredients"))</f>
        <v>0</v>
      </c>
      <c r="M896" s="25">
        <f>IF(D896="","",IFERROR(INDEX(Ingredients!$J$5:$J$304,MATCH(D896,Ingredients!$B$5:$B$304,0)),"Add to Ingredients"))</f>
        <v>0</v>
      </c>
      <c r="N896" s="25">
        <f>IF(OR(J896="",M896="",NOT(ISNUMBER(M896))),"",IF(K896&lt;&gt;L896,"",J896*M896))</f>
        <v>0</v>
      </c>
      <c r="O896" s="25">
        <f>IF(N896="","",IFERROR(N896/INDEX(Recipes!$G$5:$G$204,MATCH(B896,Recipes!$A$5:$A$204,0)),""))</f>
        <v>0</v>
      </c>
      <c r="P896" s="30">
        <f>IF(J896="","",IF(K896="each",J896,J896/100))</f>
        <v>0</v>
      </c>
      <c r="Q896" s="30">
        <f>IFERROR(IF(P896="","",P896*INDEX(Ingredients!$P$5:$P$304,MATCH(D896,Ingredients!$B$5:$B$304,0))),"")</f>
        <v>0</v>
      </c>
      <c r="R896" s="45">
        <f>IFERROR(IF(P896="","",P896*INDEX(Ingredients!$Q$5:$Q$304,MATCH(D896,Ingredients!$B$5:$B$304,0))),"")</f>
        <v>0</v>
      </c>
      <c r="S896" s="45">
        <f>IFERROR(IF(P896="","",P896*INDEX(Ingredients!$R$5:$R$304,MATCH(D896,Ingredients!$B$5:$B$304,0))),"")</f>
        <v>0</v>
      </c>
      <c r="T896" s="45">
        <f>IFERROR(IF(P896="","",P896*INDEX(Ingredients!$S$5:$S$304,MATCH(D896,Ingredients!$B$5:$B$304,0))),"")</f>
        <v>0</v>
      </c>
      <c r="U896" s="45">
        <f>IFERROR(IF(P896="","",P896*INDEX(Ingredients!$T$5:$T$304,MATCH(D896,Ingredients!$B$5:$B$304,0))),"")</f>
        <v>0</v>
      </c>
      <c r="V896" s="17">
        <f>IF(D896="","",IFERROR(INDEX(Ingredients!$W$5:$W$304,MATCH(D896,Ingredients!$B$5:$B$304,0)),"Add to Ingredients"))</f>
        <v>0</v>
      </c>
      <c r="W896" s="17">
        <f>IF(D896="","",IFERROR(INDEX(Ingredients!$C$5:$C$304,MATCH(D896,Ingredients!$B$5:$B$304,0)),"Add to Ingredients"))</f>
        <v>0</v>
      </c>
      <c r="X896" s="45">
        <f>IFERROR(INDEX(Recipes!$AT$5:$AT$204,MATCH(B896,Recipes!$A$5:$A$204,0)),0)</f>
        <v>0</v>
      </c>
      <c r="Y896" s="45">
        <f>IF(OR(J896="",X896=0),"",J896*X896)</f>
        <v>0</v>
      </c>
      <c r="Z896" s="17">
        <f>IF(D896="","",B896&amp;"#"&amp;COUNTIFS($B$5:B896,B896))</f>
        <v>0</v>
      </c>
      <c r="AA896" s="17">
        <f>IF(D896="","",B896&amp;"|"&amp;D896)</f>
        <v>0</v>
      </c>
      <c r="AB896" s="31">
        <f>IF(D896="","",IF(B896="","Add - which recipe?",IF(COUNTIFS(Ingredients!$B$5:$B$304,D896)=0,"Missing - not in the Ingredients tab",IF(E896="","Add - no quantity",IF(F896="","Add - no unit",IF(K896&lt;&gt;L896,"Check - recipe in "&amp;K896&amp;", priced in "&amp;L896,IF(COUNTIFS($AA$5:$AA$1204,AA896)&gt;1,"Duplicate - same ingredient twice","OK")))))))</f>
        <v>0</v>
      </c>
    </row>
    <row r="897" spans="1:28">
      <c r="A897" s="39">
        <f>IF(D897="","","RL-"&amp;TEXT(ROW()-4,"0000"))</f>
        <v>0</v>
      </c>
      <c r="C897" s="17">
        <f>IF(B897="","",IFERROR(INDEX(Recipes!$B$5:$B$204,MATCH(B897,Recipes!$A$5:$A$204,0)),"Not found"))</f>
        <v>0</v>
      </c>
      <c r="J897" s="45">
        <f>IF(E897="","",IFERROR(E897*INDEX(UnitFactors,MATCH(F897,UnitNames,0)),""))</f>
        <v>0</v>
      </c>
      <c r="K897" s="17">
        <f>IF(F897="","",IFERROR(INDEX(UnitBases,MATCH(F897,UnitNames,0)),"?"))</f>
        <v>0</v>
      </c>
      <c r="L897" s="17">
        <f>IF(D897="","",IFERROR(INDEX(Ingredients!$G$5:$G$304,MATCH(D897,Ingredients!$B$5:$B$304,0)),"Add to Ingredients"))</f>
        <v>0</v>
      </c>
      <c r="M897" s="25">
        <f>IF(D897="","",IFERROR(INDEX(Ingredients!$J$5:$J$304,MATCH(D897,Ingredients!$B$5:$B$304,0)),"Add to Ingredients"))</f>
        <v>0</v>
      </c>
      <c r="N897" s="25">
        <f>IF(OR(J897="",M897="",NOT(ISNUMBER(M897))),"",IF(K897&lt;&gt;L897,"",J897*M897))</f>
        <v>0</v>
      </c>
      <c r="O897" s="25">
        <f>IF(N897="","",IFERROR(N897/INDEX(Recipes!$G$5:$G$204,MATCH(B897,Recipes!$A$5:$A$204,0)),""))</f>
        <v>0</v>
      </c>
      <c r="P897" s="30">
        <f>IF(J897="","",IF(K897="each",J897,J897/100))</f>
        <v>0</v>
      </c>
      <c r="Q897" s="30">
        <f>IFERROR(IF(P897="","",P897*INDEX(Ingredients!$P$5:$P$304,MATCH(D897,Ingredients!$B$5:$B$304,0))),"")</f>
        <v>0</v>
      </c>
      <c r="R897" s="45">
        <f>IFERROR(IF(P897="","",P897*INDEX(Ingredients!$Q$5:$Q$304,MATCH(D897,Ingredients!$B$5:$B$304,0))),"")</f>
        <v>0</v>
      </c>
      <c r="S897" s="45">
        <f>IFERROR(IF(P897="","",P897*INDEX(Ingredients!$R$5:$R$304,MATCH(D897,Ingredients!$B$5:$B$304,0))),"")</f>
        <v>0</v>
      </c>
      <c r="T897" s="45">
        <f>IFERROR(IF(P897="","",P897*INDEX(Ingredients!$S$5:$S$304,MATCH(D897,Ingredients!$B$5:$B$304,0))),"")</f>
        <v>0</v>
      </c>
      <c r="U897" s="45">
        <f>IFERROR(IF(P897="","",P897*INDEX(Ingredients!$T$5:$T$304,MATCH(D897,Ingredients!$B$5:$B$304,0))),"")</f>
        <v>0</v>
      </c>
      <c r="V897" s="17">
        <f>IF(D897="","",IFERROR(INDEX(Ingredients!$W$5:$W$304,MATCH(D897,Ingredients!$B$5:$B$304,0)),"Add to Ingredients"))</f>
        <v>0</v>
      </c>
      <c r="W897" s="17">
        <f>IF(D897="","",IFERROR(INDEX(Ingredients!$C$5:$C$304,MATCH(D897,Ingredients!$B$5:$B$304,0)),"Add to Ingredients"))</f>
        <v>0</v>
      </c>
      <c r="X897" s="45">
        <f>IFERROR(INDEX(Recipes!$AT$5:$AT$204,MATCH(B897,Recipes!$A$5:$A$204,0)),0)</f>
        <v>0</v>
      </c>
      <c r="Y897" s="45">
        <f>IF(OR(J897="",X897=0),"",J897*X897)</f>
        <v>0</v>
      </c>
      <c r="Z897" s="17">
        <f>IF(D897="","",B897&amp;"#"&amp;COUNTIFS($B$5:B897,B897))</f>
        <v>0</v>
      </c>
      <c r="AA897" s="17">
        <f>IF(D897="","",B897&amp;"|"&amp;D897)</f>
        <v>0</v>
      </c>
      <c r="AB897" s="31">
        <f>IF(D897="","",IF(B897="","Add - which recipe?",IF(COUNTIFS(Ingredients!$B$5:$B$304,D897)=0,"Missing - not in the Ingredients tab",IF(E897="","Add - no quantity",IF(F897="","Add - no unit",IF(K897&lt;&gt;L897,"Check - recipe in "&amp;K897&amp;", priced in "&amp;L897,IF(COUNTIFS($AA$5:$AA$1204,AA897)&gt;1,"Duplicate - same ingredient twice","OK")))))))</f>
        <v>0</v>
      </c>
    </row>
    <row r="898" spans="1:28">
      <c r="A898" s="39">
        <f>IF(D898="","","RL-"&amp;TEXT(ROW()-4,"0000"))</f>
        <v>0</v>
      </c>
      <c r="C898" s="17">
        <f>IF(B898="","",IFERROR(INDEX(Recipes!$B$5:$B$204,MATCH(B898,Recipes!$A$5:$A$204,0)),"Not found"))</f>
        <v>0</v>
      </c>
      <c r="J898" s="45">
        <f>IF(E898="","",IFERROR(E898*INDEX(UnitFactors,MATCH(F898,UnitNames,0)),""))</f>
        <v>0</v>
      </c>
      <c r="K898" s="17">
        <f>IF(F898="","",IFERROR(INDEX(UnitBases,MATCH(F898,UnitNames,0)),"?"))</f>
        <v>0</v>
      </c>
      <c r="L898" s="17">
        <f>IF(D898="","",IFERROR(INDEX(Ingredients!$G$5:$G$304,MATCH(D898,Ingredients!$B$5:$B$304,0)),"Add to Ingredients"))</f>
        <v>0</v>
      </c>
      <c r="M898" s="25">
        <f>IF(D898="","",IFERROR(INDEX(Ingredients!$J$5:$J$304,MATCH(D898,Ingredients!$B$5:$B$304,0)),"Add to Ingredients"))</f>
        <v>0</v>
      </c>
      <c r="N898" s="25">
        <f>IF(OR(J898="",M898="",NOT(ISNUMBER(M898))),"",IF(K898&lt;&gt;L898,"",J898*M898))</f>
        <v>0</v>
      </c>
      <c r="O898" s="25">
        <f>IF(N898="","",IFERROR(N898/INDEX(Recipes!$G$5:$G$204,MATCH(B898,Recipes!$A$5:$A$204,0)),""))</f>
        <v>0</v>
      </c>
      <c r="P898" s="30">
        <f>IF(J898="","",IF(K898="each",J898,J898/100))</f>
        <v>0</v>
      </c>
      <c r="Q898" s="30">
        <f>IFERROR(IF(P898="","",P898*INDEX(Ingredients!$P$5:$P$304,MATCH(D898,Ingredients!$B$5:$B$304,0))),"")</f>
        <v>0</v>
      </c>
      <c r="R898" s="45">
        <f>IFERROR(IF(P898="","",P898*INDEX(Ingredients!$Q$5:$Q$304,MATCH(D898,Ingredients!$B$5:$B$304,0))),"")</f>
        <v>0</v>
      </c>
      <c r="S898" s="45">
        <f>IFERROR(IF(P898="","",P898*INDEX(Ingredients!$R$5:$R$304,MATCH(D898,Ingredients!$B$5:$B$304,0))),"")</f>
        <v>0</v>
      </c>
      <c r="T898" s="45">
        <f>IFERROR(IF(P898="","",P898*INDEX(Ingredients!$S$5:$S$304,MATCH(D898,Ingredients!$B$5:$B$304,0))),"")</f>
        <v>0</v>
      </c>
      <c r="U898" s="45">
        <f>IFERROR(IF(P898="","",P898*INDEX(Ingredients!$T$5:$T$304,MATCH(D898,Ingredients!$B$5:$B$304,0))),"")</f>
        <v>0</v>
      </c>
      <c r="V898" s="17">
        <f>IF(D898="","",IFERROR(INDEX(Ingredients!$W$5:$W$304,MATCH(D898,Ingredients!$B$5:$B$304,0)),"Add to Ingredients"))</f>
        <v>0</v>
      </c>
      <c r="W898" s="17">
        <f>IF(D898="","",IFERROR(INDEX(Ingredients!$C$5:$C$304,MATCH(D898,Ingredients!$B$5:$B$304,0)),"Add to Ingredients"))</f>
        <v>0</v>
      </c>
      <c r="X898" s="45">
        <f>IFERROR(INDEX(Recipes!$AT$5:$AT$204,MATCH(B898,Recipes!$A$5:$A$204,0)),0)</f>
        <v>0</v>
      </c>
      <c r="Y898" s="45">
        <f>IF(OR(J898="",X898=0),"",J898*X898)</f>
        <v>0</v>
      </c>
      <c r="Z898" s="17">
        <f>IF(D898="","",B898&amp;"#"&amp;COUNTIFS($B$5:B898,B898))</f>
        <v>0</v>
      </c>
      <c r="AA898" s="17">
        <f>IF(D898="","",B898&amp;"|"&amp;D898)</f>
        <v>0</v>
      </c>
      <c r="AB898" s="31">
        <f>IF(D898="","",IF(B898="","Add - which recipe?",IF(COUNTIFS(Ingredients!$B$5:$B$304,D898)=0,"Missing - not in the Ingredients tab",IF(E898="","Add - no quantity",IF(F898="","Add - no unit",IF(K898&lt;&gt;L898,"Check - recipe in "&amp;K898&amp;", priced in "&amp;L898,IF(COUNTIFS($AA$5:$AA$1204,AA898)&gt;1,"Duplicate - same ingredient twice","OK")))))))</f>
        <v>0</v>
      </c>
    </row>
    <row r="899" spans="1:28">
      <c r="A899" s="39">
        <f>IF(D899="","","RL-"&amp;TEXT(ROW()-4,"0000"))</f>
        <v>0</v>
      </c>
      <c r="C899" s="17">
        <f>IF(B899="","",IFERROR(INDEX(Recipes!$B$5:$B$204,MATCH(B899,Recipes!$A$5:$A$204,0)),"Not found"))</f>
        <v>0</v>
      </c>
      <c r="J899" s="45">
        <f>IF(E899="","",IFERROR(E899*INDEX(UnitFactors,MATCH(F899,UnitNames,0)),""))</f>
        <v>0</v>
      </c>
      <c r="K899" s="17">
        <f>IF(F899="","",IFERROR(INDEX(UnitBases,MATCH(F899,UnitNames,0)),"?"))</f>
        <v>0</v>
      </c>
      <c r="L899" s="17">
        <f>IF(D899="","",IFERROR(INDEX(Ingredients!$G$5:$G$304,MATCH(D899,Ingredients!$B$5:$B$304,0)),"Add to Ingredients"))</f>
        <v>0</v>
      </c>
      <c r="M899" s="25">
        <f>IF(D899="","",IFERROR(INDEX(Ingredients!$J$5:$J$304,MATCH(D899,Ingredients!$B$5:$B$304,0)),"Add to Ingredients"))</f>
        <v>0</v>
      </c>
      <c r="N899" s="25">
        <f>IF(OR(J899="",M899="",NOT(ISNUMBER(M899))),"",IF(K899&lt;&gt;L899,"",J899*M899))</f>
        <v>0</v>
      </c>
      <c r="O899" s="25">
        <f>IF(N899="","",IFERROR(N899/INDEX(Recipes!$G$5:$G$204,MATCH(B899,Recipes!$A$5:$A$204,0)),""))</f>
        <v>0</v>
      </c>
      <c r="P899" s="30">
        <f>IF(J899="","",IF(K899="each",J899,J899/100))</f>
        <v>0</v>
      </c>
      <c r="Q899" s="30">
        <f>IFERROR(IF(P899="","",P899*INDEX(Ingredients!$P$5:$P$304,MATCH(D899,Ingredients!$B$5:$B$304,0))),"")</f>
        <v>0</v>
      </c>
      <c r="R899" s="45">
        <f>IFERROR(IF(P899="","",P899*INDEX(Ingredients!$Q$5:$Q$304,MATCH(D899,Ingredients!$B$5:$B$304,0))),"")</f>
        <v>0</v>
      </c>
      <c r="S899" s="45">
        <f>IFERROR(IF(P899="","",P899*INDEX(Ingredients!$R$5:$R$304,MATCH(D899,Ingredients!$B$5:$B$304,0))),"")</f>
        <v>0</v>
      </c>
      <c r="T899" s="45">
        <f>IFERROR(IF(P899="","",P899*INDEX(Ingredients!$S$5:$S$304,MATCH(D899,Ingredients!$B$5:$B$304,0))),"")</f>
        <v>0</v>
      </c>
      <c r="U899" s="45">
        <f>IFERROR(IF(P899="","",P899*INDEX(Ingredients!$T$5:$T$304,MATCH(D899,Ingredients!$B$5:$B$304,0))),"")</f>
        <v>0</v>
      </c>
      <c r="V899" s="17">
        <f>IF(D899="","",IFERROR(INDEX(Ingredients!$W$5:$W$304,MATCH(D899,Ingredients!$B$5:$B$304,0)),"Add to Ingredients"))</f>
        <v>0</v>
      </c>
      <c r="W899" s="17">
        <f>IF(D899="","",IFERROR(INDEX(Ingredients!$C$5:$C$304,MATCH(D899,Ingredients!$B$5:$B$304,0)),"Add to Ingredients"))</f>
        <v>0</v>
      </c>
      <c r="X899" s="45">
        <f>IFERROR(INDEX(Recipes!$AT$5:$AT$204,MATCH(B899,Recipes!$A$5:$A$204,0)),0)</f>
        <v>0</v>
      </c>
      <c r="Y899" s="45">
        <f>IF(OR(J899="",X899=0),"",J899*X899)</f>
        <v>0</v>
      </c>
      <c r="Z899" s="17">
        <f>IF(D899="","",B899&amp;"#"&amp;COUNTIFS($B$5:B899,B899))</f>
        <v>0</v>
      </c>
      <c r="AA899" s="17">
        <f>IF(D899="","",B899&amp;"|"&amp;D899)</f>
        <v>0</v>
      </c>
      <c r="AB899" s="31">
        <f>IF(D899="","",IF(B899="","Add - which recipe?",IF(COUNTIFS(Ingredients!$B$5:$B$304,D899)=0,"Missing - not in the Ingredients tab",IF(E899="","Add - no quantity",IF(F899="","Add - no unit",IF(K899&lt;&gt;L899,"Check - recipe in "&amp;K899&amp;", priced in "&amp;L899,IF(COUNTIFS($AA$5:$AA$1204,AA899)&gt;1,"Duplicate - same ingredient twice","OK")))))))</f>
        <v>0</v>
      </c>
    </row>
    <row r="900" spans="1:28">
      <c r="A900" s="39">
        <f>IF(D900="","","RL-"&amp;TEXT(ROW()-4,"0000"))</f>
        <v>0</v>
      </c>
      <c r="C900" s="17">
        <f>IF(B900="","",IFERROR(INDEX(Recipes!$B$5:$B$204,MATCH(B900,Recipes!$A$5:$A$204,0)),"Not found"))</f>
        <v>0</v>
      </c>
      <c r="J900" s="45">
        <f>IF(E900="","",IFERROR(E900*INDEX(UnitFactors,MATCH(F900,UnitNames,0)),""))</f>
        <v>0</v>
      </c>
      <c r="K900" s="17">
        <f>IF(F900="","",IFERROR(INDEX(UnitBases,MATCH(F900,UnitNames,0)),"?"))</f>
        <v>0</v>
      </c>
      <c r="L900" s="17">
        <f>IF(D900="","",IFERROR(INDEX(Ingredients!$G$5:$G$304,MATCH(D900,Ingredients!$B$5:$B$304,0)),"Add to Ingredients"))</f>
        <v>0</v>
      </c>
      <c r="M900" s="25">
        <f>IF(D900="","",IFERROR(INDEX(Ingredients!$J$5:$J$304,MATCH(D900,Ingredients!$B$5:$B$304,0)),"Add to Ingredients"))</f>
        <v>0</v>
      </c>
      <c r="N900" s="25">
        <f>IF(OR(J900="",M900="",NOT(ISNUMBER(M900))),"",IF(K900&lt;&gt;L900,"",J900*M900))</f>
        <v>0</v>
      </c>
      <c r="O900" s="25">
        <f>IF(N900="","",IFERROR(N900/INDEX(Recipes!$G$5:$G$204,MATCH(B900,Recipes!$A$5:$A$204,0)),""))</f>
        <v>0</v>
      </c>
      <c r="P900" s="30">
        <f>IF(J900="","",IF(K900="each",J900,J900/100))</f>
        <v>0</v>
      </c>
      <c r="Q900" s="30">
        <f>IFERROR(IF(P900="","",P900*INDEX(Ingredients!$P$5:$P$304,MATCH(D900,Ingredients!$B$5:$B$304,0))),"")</f>
        <v>0</v>
      </c>
      <c r="R900" s="45">
        <f>IFERROR(IF(P900="","",P900*INDEX(Ingredients!$Q$5:$Q$304,MATCH(D900,Ingredients!$B$5:$B$304,0))),"")</f>
        <v>0</v>
      </c>
      <c r="S900" s="45">
        <f>IFERROR(IF(P900="","",P900*INDEX(Ingredients!$R$5:$R$304,MATCH(D900,Ingredients!$B$5:$B$304,0))),"")</f>
        <v>0</v>
      </c>
      <c r="T900" s="45">
        <f>IFERROR(IF(P900="","",P900*INDEX(Ingredients!$S$5:$S$304,MATCH(D900,Ingredients!$B$5:$B$304,0))),"")</f>
        <v>0</v>
      </c>
      <c r="U900" s="45">
        <f>IFERROR(IF(P900="","",P900*INDEX(Ingredients!$T$5:$T$304,MATCH(D900,Ingredients!$B$5:$B$304,0))),"")</f>
        <v>0</v>
      </c>
      <c r="V900" s="17">
        <f>IF(D900="","",IFERROR(INDEX(Ingredients!$W$5:$W$304,MATCH(D900,Ingredients!$B$5:$B$304,0)),"Add to Ingredients"))</f>
        <v>0</v>
      </c>
      <c r="W900" s="17">
        <f>IF(D900="","",IFERROR(INDEX(Ingredients!$C$5:$C$304,MATCH(D900,Ingredients!$B$5:$B$304,0)),"Add to Ingredients"))</f>
        <v>0</v>
      </c>
      <c r="X900" s="45">
        <f>IFERROR(INDEX(Recipes!$AT$5:$AT$204,MATCH(B900,Recipes!$A$5:$A$204,0)),0)</f>
        <v>0</v>
      </c>
      <c r="Y900" s="45">
        <f>IF(OR(J900="",X900=0),"",J900*X900)</f>
        <v>0</v>
      </c>
      <c r="Z900" s="17">
        <f>IF(D900="","",B900&amp;"#"&amp;COUNTIFS($B$5:B900,B900))</f>
        <v>0</v>
      </c>
      <c r="AA900" s="17">
        <f>IF(D900="","",B900&amp;"|"&amp;D900)</f>
        <v>0</v>
      </c>
      <c r="AB900" s="31">
        <f>IF(D900="","",IF(B900="","Add - which recipe?",IF(COUNTIFS(Ingredients!$B$5:$B$304,D900)=0,"Missing - not in the Ingredients tab",IF(E900="","Add - no quantity",IF(F900="","Add - no unit",IF(K900&lt;&gt;L900,"Check - recipe in "&amp;K900&amp;", priced in "&amp;L900,IF(COUNTIFS($AA$5:$AA$1204,AA900)&gt;1,"Duplicate - same ingredient twice","OK")))))))</f>
        <v>0</v>
      </c>
    </row>
    <row r="901" spans="1:28">
      <c r="A901" s="39">
        <f>IF(D901="","","RL-"&amp;TEXT(ROW()-4,"0000"))</f>
        <v>0</v>
      </c>
      <c r="C901" s="17">
        <f>IF(B901="","",IFERROR(INDEX(Recipes!$B$5:$B$204,MATCH(B901,Recipes!$A$5:$A$204,0)),"Not found"))</f>
        <v>0</v>
      </c>
      <c r="J901" s="45">
        <f>IF(E901="","",IFERROR(E901*INDEX(UnitFactors,MATCH(F901,UnitNames,0)),""))</f>
        <v>0</v>
      </c>
      <c r="K901" s="17">
        <f>IF(F901="","",IFERROR(INDEX(UnitBases,MATCH(F901,UnitNames,0)),"?"))</f>
        <v>0</v>
      </c>
      <c r="L901" s="17">
        <f>IF(D901="","",IFERROR(INDEX(Ingredients!$G$5:$G$304,MATCH(D901,Ingredients!$B$5:$B$304,0)),"Add to Ingredients"))</f>
        <v>0</v>
      </c>
      <c r="M901" s="25">
        <f>IF(D901="","",IFERROR(INDEX(Ingredients!$J$5:$J$304,MATCH(D901,Ingredients!$B$5:$B$304,0)),"Add to Ingredients"))</f>
        <v>0</v>
      </c>
      <c r="N901" s="25">
        <f>IF(OR(J901="",M901="",NOT(ISNUMBER(M901))),"",IF(K901&lt;&gt;L901,"",J901*M901))</f>
        <v>0</v>
      </c>
      <c r="O901" s="25">
        <f>IF(N901="","",IFERROR(N901/INDEX(Recipes!$G$5:$G$204,MATCH(B901,Recipes!$A$5:$A$204,0)),""))</f>
        <v>0</v>
      </c>
      <c r="P901" s="30">
        <f>IF(J901="","",IF(K901="each",J901,J901/100))</f>
        <v>0</v>
      </c>
      <c r="Q901" s="30">
        <f>IFERROR(IF(P901="","",P901*INDEX(Ingredients!$P$5:$P$304,MATCH(D901,Ingredients!$B$5:$B$304,0))),"")</f>
        <v>0</v>
      </c>
      <c r="R901" s="45">
        <f>IFERROR(IF(P901="","",P901*INDEX(Ingredients!$Q$5:$Q$304,MATCH(D901,Ingredients!$B$5:$B$304,0))),"")</f>
        <v>0</v>
      </c>
      <c r="S901" s="45">
        <f>IFERROR(IF(P901="","",P901*INDEX(Ingredients!$R$5:$R$304,MATCH(D901,Ingredients!$B$5:$B$304,0))),"")</f>
        <v>0</v>
      </c>
      <c r="T901" s="45">
        <f>IFERROR(IF(P901="","",P901*INDEX(Ingredients!$S$5:$S$304,MATCH(D901,Ingredients!$B$5:$B$304,0))),"")</f>
        <v>0</v>
      </c>
      <c r="U901" s="45">
        <f>IFERROR(IF(P901="","",P901*INDEX(Ingredients!$T$5:$T$304,MATCH(D901,Ingredients!$B$5:$B$304,0))),"")</f>
        <v>0</v>
      </c>
      <c r="V901" s="17">
        <f>IF(D901="","",IFERROR(INDEX(Ingredients!$W$5:$W$304,MATCH(D901,Ingredients!$B$5:$B$304,0)),"Add to Ingredients"))</f>
        <v>0</v>
      </c>
      <c r="W901" s="17">
        <f>IF(D901="","",IFERROR(INDEX(Ingredients!$C$5:$C$304,MATCH(D901,Ingredients!$B$5:$B$304,0)),"Add to Ingredients"))</f>
        <v>0</v>
      </c>
      <c r="X901" s="45">
        <f>IFERROR(INDEX(Recipes!$AT$5:$AT$204,MATCH(B901,Recipes!$A$5:$A$204,0)),0)</f>
        <v>0</v>
      </c>
      <c r="Y901" s="45">
        <f>IF(OR(J901="",X901=0),"",J901*X901)</f>
        <v>0</v>
      </c>
      <c r="Z901" s="17">
        <f>IF(D901="","",B901&amp;"#"&amp;COUNTIFS($B$5:B901,B901))</f>
        <v>0</v>
      </c>
      <c r="AA901" s="17">
        <f>IF(D901="","",B901&amp;"|"&amp;D901)</f>
        <v>0</v>
      </c>
      <c r="AB901" s="31">
        <f>IF(D901="","",IF(B901="","Add - which recipe?",IF(COUNTIFS(Ingredients!$B$5:$B$304,D901)=0,"Missing - not in the Ingredients tab",IF(E901="","Add - no quantity",IF(F901="","Add - no unit",IF(K901&lt;&gt;L901,"Check - recipe in "&amp;K901&amp;", priced in "&amp;L901,IF(COUNTIFS($AA$5:$AA$1204,AA901)&gt;1,"Duplicate - same ingredient twice","OK")))))))</f>
        <v>0</v>
      </c>
    </row>
    <row r="902" spans="1:28">
      <c r="A902" s="39">
        <f>IF(D902="","","RL-"&amp;TEXT(ROW()-4,"0000"))</f>
        <v>0</v>
      </c>
      <c r="C902" s="17">
        <f>IF(B902="","",IFERROR(INDEX(Recipes!$B$5:$B$204,MATCH(B902,Recipes!$A$5:$A$204,0)),"Not found"))</f>
        <v>0</v>
      </c>
      <c r="J902" s="45">
        <f>IF(E902="","",IFERROR(E902*INDEX(UnitFactors,MATCH(F902,UnitNames,0)),""))</f>
        <v>0</v>
      </c>
      <c r="K902" s="17">
        <f>IF(F902="","",IFERROR(INDEX(UnitBases,MATCH(F902,UnitNames,0)),"?"))</f>
        <v>0</v>
      </c>
      <c r="L902" s="17">
        <f>IF(D902="","",IFERROR(INDEX(Ingredients!$G$5:$G$304,MATCH(D902,Ingredients!$B$5:$B$304,0)),"Add to Ingredients"))</f>
        <v>0</v>
      </c>
      <c r="M902" s="25">
        <f>IF(D902="","",IFERROR(INDEX(Ingredients!$J$5:$J$304,MATCH(D902,Ingredients!$B$5:$B$304,0)),"Add to Ingredients"))</f>
        <v>0</v>
      </c>
      <c r="N902" s="25">
        <f>IF(OR(J902="",M902="",NOT(ISNUMBER(M902))),"",IF(K902&lt;&gt;L902,"",J902*M902))</f>
        <v>0</v>
      </c>
      <c r="O902" s="25">
        <f>IF(N902="","",IFERROR(N902/INDEX(Recipes!$G$5:$G$204,MATCH(B902,Recipes!$A$5:$A$204,0)),""))</f>
        <v>0</v>
      </c>
      <c r="P902" s="30">
        <f>IF(J902="","",IF(K902="each",J902,J902/100))</f>
        <v>0</v>
      </c>
      <c r="Q902" s="30">
        <f>IFERROR(IF(P902="","",P902*INDEX(Ingredients!$P$5:$P$304,MATCH(D902,Ingredients!$B$5:$B$304,0))),"")</f>
        <v>0</v>
      </c>
      <c r="R902" s="45">
        <f>IFERROR(IF(P902="","",P902*INDEX(Ingredients!$Q$5:$Q$304,MATCH(D902,Ingredients!$B$5:$B$304,0))),"")</f>
        <v>0</v>
      </c>
      <c r="S902" s="45">
        <f>IFERROR(IF(P902="","",P902*INDEX(Ingredients!$R$5:$R$304,MATCH(D902,Ingredients!$B$5:$B$304,0))),"")</f>
        <v>0</v>
      </c>
      <c r="T902" s="45">
        <f>IFERROR(IF(P902="","",P902*INDEX(Ingredients!$S$5:$S$304,MATCH(D902,Ingredients!$B$5:$B$304,0))),"")</f>
        <v>0</v>
      </c>
      <c r="U902" s="45">
        <f>IFERROR(IF(P902="","",P902*INDEX(Ingredients!$T$5:$T$304,MATCH(D902,Ingredients!$B$5:$B$304,0))),"")</f>
        <v>0</v>
      </c>
      <c r="V902" s="17">
        <f>IF(D902="","",IFERROR(INDEX(Ingredients!$W$5:$W$304,MATCH(D902,Ingredients!$B$5:$B$304,0)),"Add to Ingredients"))</f>
        <v>0</v>
      </c>
      <c r="W902" s="17">
        <f>IF(D902="","",IFERROR(INDEX(Ingredients!$C$5:$C$304,MATCH(D902,Ingredients!$B$5:$B$304,0)),"Add to Ingredients"))</f>
        <v>0</v>
      </c>
      <c r="X902" s="45">
        <f>IFERROR(INDEX(Recipes!$AT$5:$AT$204,MATCH(B902,Recipes!$A$5:$A$204,0)),0)</f>
        <v>0</v>
      </c>
      <c r="Y902" s="45">
        <f>IF(OR(J902="",X902=0),"",J902*X902)</f>
        <v>0</v>
      </c>
      <c r="Z902" s="17">
        <f>IF(D902="","",B902&amp;"#"&amp;COUNTIFS($B$5:B902,B902))</f>
        <v>0</v>
      </c>
      <c r="AA902" s="17">
        <f>IF(D902="","",B902&amp;"|"&amp;D902)</f>
        <v>0</v>
      </c>
      <c r="AB902" s="31">
        <f>IF(D902="","",IF(B902="","Add - which recipe?",IF(COUNTIFS(Ingredients!$B$5:$B$304,D902)=0,"Missing - not in the Ingredients tab",IF(E902="","Add - no quantity",IF(F902="","Add - no unit",IF(K902&lt;&gt;L902,"Check - recipe in "&amp;K902&amp;", priced in "&amp;L902,IF(COUNTIFS($AA$5:$AA$1204,AA902)&gt;1,"Duplicate - same ingredient twice","OK")))))))</f>
        <v>0</v>
      </c>
    </row>
    <row r="903" spans="1:28">
      <c r="A903" s="39">
        <f>IF(D903="","","RL-"&amp;TEXT(ROW()-4,"0000"))</f>
        <v>0</v>
      </c>
      <c r="C903" s="17">
        <f>IF(B903="","",IFERROR(INDEX(Recipes!$B$5:$B$204,MATCH(B903,Recipes!$A$5:$A$204,0)),"Not found"))</f>
        <v>0</v>
      </c>
      <c r="J903" s="45">
        <f>IF(E903="","",IFERROR(E903*INDEX(UnitFactors,MATCH(F903,UnitNames,0)),""))</f>
        <v>0</v>
      </c>
      <c r="K903" s="17">
        <f>IF(F903="","",IFERROR(INDEX(UnitBases,MATCH(F903,UnitNames,0)),"?"))</f>
        <v>0</v>
      </c>
      <c r="L903" s="17">
        <f>IF(D903="","",IFERROR(INDEX(Ingredients!$G$5:$G$304,MATCH(D903,Ingredients!$B$5:$B$304,0)),"Add to Ingredients"))</f>
        <v>0</v>
      </c>
      <c r="M903" s="25">
        <f>IF(D903="","",IFERROR(INDEX(Ingredients!$J$5:$J$304,MATCH(D903,Ingredients!$B$5:$B$304,0)),"Add to Ingredients"))</f>
        <v>0</v>
      </c>
      <c r="N903" s="25">
        <f>IF(OR(J903="",M903="",NOT(ISNUMBER(M903))),"",IF(K903&lt;&gt;L903,"",J903*M903))</f>
        <v>0</v>
      </c>
      <c r="O903" s="25">
        <f>IF(N903="","",IFERROR(N903/INDEX(Recipes!$G$5:$G$204,MATCH(B903,Recipes!$A$5:$A$204,0)),""))</f>
        <v>0</v>
      </c>
      <c r="P903" s="30">
        <f>IF(J903="","",IF(K903="each",J903,J903/100))</f>
        <v>0</v>
      </c>
      <c r="Q903" s="30">
        <f>IFERROR(IF(P903="","",P903*INDEX(Ingredients!$P$5:$P$304,MATCH(D903,Ingredients!$B$5:$B$304,0))),"")</f>
        <v>0</v>
      </c>
      <c r="R903" s="45">
        <f>IFERROR(IF(P903="","",P903*INDEX(Ingredients!$Q$5:$Q$304,MATCH(D903,Ingredients!$B$5:$B$304,0))),"")</f>
        <v>0</v>
      </c>
      <c r="S903" s="45">
        <f>IFERROR(IF(P903="","",P903*INDEX(Ingredients!$R$5:$R$304,MATCH(D903,Ingredients!$B$5:$B$304,0))),"")</f>
        <v>0</v>
      </c>
      <c r="T903" s="45">
        <f>IFERROR(IF(P903="","",P903*INDEX(Ingredients!$S$5:$S$304,MATCH(D903,Ingredients!$B$5:$B$304,0))),"")</f>
        <v>0</v>
      </c>
      <c r="U903" s="45">
        <f>IFERROR(IF(P903="","",P903*INDEX(Ingredients!$T$5:$T$304,MATCH(D903,Ingredients!$B$5:$B$304,0))),"")</f>
        <v>0</v>
      </c>
      <c r="V903" s="17">
        <f>IF(D903="","",IFERROR(INDEX(Ingredients!$W$5:$W$304,MATCH(D903,Ingredients!$B$5:$B$304,0)),"Add to Ingredients"))</f>
        <v>0</v>
      </c>
      <c r="W903" s="17">
        <f>IF(D903="","",IFERROR(INDEX(Ingredients!$C$5:$C$304,MATCH(D903,Ingredients!$B$5:$B$304,0)),"Add to Ingredients"))</f>
        <v>0</v>
      </c>
      <c r="X903" s="45">
        <f>IFERROR(INDEX(Recipes!$AT$5:$AT$204,MATCH(B903,Recipes!$A$5:$A$204,0)),0)</f>
        <v>0</v>
      </c>
      <c r="Y903" s="45">
        <f>IF(OR(J903="",X903=0),"",J903*X903)</f>
        <v>0</v>
      </c>
      <c r="Z903" s="17">
        <f>IF(D903="","",B903&amp;"#"&amp;COUNTIFS($B$5:B903,B903))</f>
        <v>0</v>
      </c>
      <c r="AA903" s="17">
        <f>IF(D903="","",B903&amp;"|"&amp;D903)</f>
        <v>0</v>
      </c>
      <c r="AB903" s="31">
        <f>IF(D903="","",IF(B903="","Add - which recipe?",IF(COUNTIFS(Ingredients!$B$5:$B$304,D903)=0,"Missing - not in the Ingredients tab",IF(E903="","Add - no quantity",IF(F903="","Add - no unit",IF(K903&lt;&gt;L903,"Check - recipe in "&amp;K903&amp;", priced in "&amp;L903,IF(COUNTIFS($AA$5:$AA$1204,AA903)&gt;1,"Duplicate - same ingredient twice","OK")))))))</f>
        <v>0</v>
      </c>
    </row>
    <row r="904" spans="1:28">
      <c r="A904" s="39">
        <f>IF(D904="","","RL-"&amp;TEXT(ROW()-4,"0000"))</f>
        <v>0</v>
      </c>
      <c r="C904" s="17">
        <f>IF(B904="","",IFERROR(INDEX(Recipes!$B$5:$B$204,MATCH(B904,Recipes!$A$5:$A$204,0)),"Not found"))</f>
        <v>0</v>
      </c>
      <c r="J904" s="45">
        <f>IF(E904="","",IFERROR(E904*INDEX(UnitFactors,MATCH(F904,UnitNames,0)),""))</f>
        <v>0</v>
      </c>
      <c r="K904" s="17">
        <f>IF(F904="","",IFERROR(INDEX(UnitBases,MATCH(F904,UnitNames,0)),"?"))</f>
        <v>0</v>
      </c>
      <c r="L904" s="17">
        <f>IF(D904="","",IFERROR(INDEX(Ingredients!$G$5:$G$304,MATCH(D904,Ingredients!$B$5:$B$304,0)),"Add to Ingredients"))</f>
        <v>0</v>
      </c>
      <c r="M904" s="25">
        <f>IF(D904="","",IFERROR(INDEX(Ingredients!$J$5:$J$304,MATCH(D904,Ingredients!$B$5:$B$304,0)),"Add to Ingredients"))</f>
        <v>0</v>
      </c>
      <c r="N904" s="25">
        <f>IF(OR(J904="",M904="",NOT(ISNUMBER(M904))),"",IF(K904&lt;&gt;L904,"",J904*M904))</f>
        <v>0</v>
      </c>
      <c r="O904" s="25">
        <f>IF(N904="","",IFERROR(N904/INDEX(Recipes!$G$5:$G$204,MATCH(B904,Recipes!$A$5:$A$204,0)),""))</f>
        <v>0</v>
      </c>
      <c r="P904" s="30">
        <f>IF(J904="","",IF(K904="each",J904,J904/100))</f>
        <v>0</v>
      </c>
      <c r="Q904" s="30">
        <f>IFERROR(IF(P904="","",P904*INDEX(Ingredients!$P$5:$P$304,MATCH(D904,Ingredients!$B$5:$B$304,0))),"")</f>
        <v>0</v>
      </c>
      <c r="R904" s="45">
        <f>IFERROR(IF(P904="","",P904*INDEX(Ingredients!$Q$5:$Q$304,MATCH(D904,Ingredients!$B$5:$B$304,0))),"")</f>
        <v>0</v>
      </c>
      <c r="S904" s="45">
        <f>IFERROR(IF(P904="","",P904*INDEX(Ingredients!$R$5:$R$304,MATCH(D904,Ingredients!$B$5:$B$304,0))),"")</f>
        <v>0</v>
      </c>
      <c r="T904" s="45">
        <f>IFERROR(IF(P904="","",P904*INDEX(Ingredients!$S$5:$S$304,MATCH(D904,Ingredients!$B$5:$B$304,0))),"")</f>
        <v>0</v>
      </c>
      <c r="U904" s="45">
        <f>IFERROR(IF(P904="","",P904*INDEX(Ingredients!$T$5:$T$304,MATCH(D904,Ingredients!$B$5:$B$304,0))),"")</f>
        <v>0</v>
      </c>
      <c r="V904" s="17">
        <f>IF(D904="","",IFERROR(INDEX(Ingredients!$W$5:$W$304,MATCH(D904,Ingredients!$B$5:$B$304,0)),"Add to Ingredients"))</f>
        <v>0</v>
      </c>
      <c r="W904" s="17">
        <f>IF(D904="","",IFERROR(INDEX(Ingredients!$C$5:$C$304,MATCH(D904,Ingredients!$B$5:$B$304,0)),"Add to Ingredients"))</f>
        <v>0</v>
      </c>
      <c r="X904" s="45">
        <f>IFERROR(INDEX(Recipes!$AT$5:$AT$204,MATCH(B904,Recipes!$A$5:$A$204,0)),0)</f>
        <v>0</v>
      </c>
      <c r="Y904" s="45">
        <f>IF(OR(J904="",X904=0),"",J904*X904)</f>
        <v>0</v>
      </c>
      <c r="Z904" s="17">
        <f>IF(D904="","",B904&amp;"#"&amp;COUNTIFS($B$5:B904,B904))</f>
        <v>0</v>
      </c>
      <c r="AA904" s="17">
        <f>IF(D904="","",B904&amp;"|"&amp;D904)</f>
        <v>0</v>
      </c>
      <c r="AB904" s="31">
        <f>IF(D904="","",IF(B904="","Add - which recipe?",IF(COUNTIFS(Ingredients!$B$5:$B$304,D904)=0,"Missing - not in the Ingredients tab",IF(E904="","Add - no quantity",IF(F904="","Add - no unit",IF(K904&lt;&gt;L904,"Check - recipe in "&amp;K904&amp;", priced in "&amp;L904,IF(COUNTIFS($AA$5:$AA$1204,AA904)&gt;1,"Duplicate - same ingredient twice","OK")))))))</f>
        <v>0</v>
      </c>
    </row>
    <row r="905" spans="1:28">
      <c r="A905" s="39">
        <f>IF(D905="","","RL-"&amp;TEXT(ROW()-4,"0000"))</f>
        <v>0</v>
      </c>
      <c r="C905" s="17">
        <f>IF(B905="","",IFERROR(INDEX(Recipes!$B$5:$B$204,MATCH(B905,Recipes!$A$5:$A$204,0)),"Not found"))</f>
        <v>0</v>
      </c>
      <c r="J905" s="45">
        <f>IF(E905="","",IFERROR(E905*INDEX(UnitFactors,MATCH(F905,UnitNames,0)),""))</f>
        <v>0</v>
      </c>
      <c r="K905" s="17">
        <f>IF(F905="","",IFERROR(INDEX(UnitBases,MATCH(F905,UnitNames,0)),"?"))</f>
        <v>0</v>
      </c>
      <c r="L905" s="17">
        <f>IF(D905="","",IFERROR(INDEX(Ingredients!$G$5:$G$304,MATCH(D905,Ingredients!$B$5:$B$304,0)),"Add to Ingredients"))</f>
        <v>0</v>
      </c>
      <c r="M905" s="25">
        <f>IF(D905="","",IFERROR(INDEX(Ingredients!$J$5:$J$304,MATCH(D905,Ingredients!$B$5:$B$304,0)),"Add to Ingredients"))</f>
        <v>0</v>
      </c>
      <c r="N905" s="25">
        <f>IF(OR(J905="",M905="",NOT(ISNUMBER(M905))),"",IF(K905&lt;&gt;L905,"",J905*M905))</f>
        <v>0</v>
      </c>
      <c r="O905" s="25">
        <f>IF(N905="","",IFERROR(N905/INDEX(Recipes!$G$5:$G$204,MATCH(B905,Recipes!$A$5:$A$204,0)),""))</f>
        <v>0</v>
      </c>
      <c r="P905" s="30">
        <f>IF(J905="","",IF(K905="each",J905,J905/100))</f>
        <v>0</v>
      </c>
      <c r="Q905" s="30">
        <f>IFERROR(IF(P905="","",P905*INDEX(Ingredients!$P$5:$P$304,MATCH(D905,Ingredients!$B$5:$B$304,0))),"")</f>
        <v>0</v>
      </c>
      <c r="R905" s="45">
        <f>IFERROR(IF(P905="","",P905*INDEX(Ingredients!$Q$5:$Q$304,MATCH(D905,Ingredients!$B$5:$B$304,0))),"")</f>
        <v>0</v>
      </c>
      <c r="S905" s="45">
        <f>IFERROR(IF(P905="","",P905*INDEX(Ingredients!$R$5:$R$304,MATCH(D905,Ingredients!$B$5:$B$304,0))),"")</f>
        <v>0</v>
      </c>
      <c r="T905" s="45">
        <f>IFERROR(IF(P905="","",P905*INDEX(Ingredients!$S$5:$S$304,MATCH(D905,Ingredients!$B$5:$B$304,0))),"")</f>
        <v>0</v>
      </c>
      <c r="U905" s="45">
        <f>IFERROR(IF(P905="","",P905*INDEX(Ingredients!$T$5:$T$304,MATCH(D905,Ingredients!$B$5:$B$304,0))),"")</f>
        <v>0</v>
      </c>
      <c r="V905" s="17">
        <f>IF(D905="","",IFERROR(INDEX(Ingredients!$W$5:$W$304,MATCH(D905,Ingredients!$B$5:$B$304,0)),"Add to Ingredients"))</f>
        <v>0</v>
      </c>
      <c r="W905" s="17">
        <f>IF(D905="","",IFERROR(INDEX(Ingredients!$C$5:$C$304,MATCH(D905,Ingredients!$B$5:$B$304,0)),"Add to Ingredients"))</f>
        <v>0</v>
      </c>
      <c r="X905" s="45">
        <f>IFERROR(INDEX(Recipes!$AT$5:$AT$204,MATCH(B905,Recipes!$A$5:$A$204,0)),0)</f>
        <v>0</v>
      </c>
      <c r="Y905" s="45">
        <f>IF(OR(J905="",X905=0),"",J905*X905)</f>
        <v>0</v>
      </c>
      <c r="Z905" s="17">
        <f>IF(D905="","",B905&amp;"#"&amp;COUNTIFS($B$5:B905,B905))</f>
        <v>0</v>
      </c>
      <c r="AA905" s="17">
        <f>IF(D905="","",B905&amp;"|"&amp;D905)</f>
        <v>0</v>
      </c>
      <c r="AB905" s="31">
        <f>IF(D905="","",IF(B905="","Add - which recipe?",IF(COUNTIFS(Ingredients!$B$5:$B$304,D905)=0,"Missing - not in the Ingredients tab",IF(E905="","Add - no quantity",IF(F905="","Add - no unit",IF(K905&lt;&gt;L905,"Check - recipe in "&amp;K905&amp;", priced in "&amp;L905,IF(COUNTIFS($AA$5:$AA$1204,AA905)&gt;1,"Duplicate - same ingredient twice","OK")))))))</f>
        <v>0</v>
      </c>
    </row>
    <row r="906" spans="1:28">
      <c r="A906" s="39">
        <f>IF(D906="","","RL-"&amp;TEXT(ROW()-4,"0000"))</f>
        <v>0</v>
      </c>
      <c r="C906" s="17">
        <f>IF(B906="","",IFERROR(INDEX(Recipes!$B$5:$B$204,MATCH(B906,Recipes!$A$5:$A$204,0)),"Not found"))</f>
        <v>0</v>
      </c>
      <c r="J906" s="45">
        <f>IF(E906="","",IFERROR(E906*INDEX(UnitFactors,MATCH(F906,UnitNames,0)),""))</f>
        <v>0</v>
      </c>
      <c r="K906" s="17">
        <f>IF(F906="","",IFERROR(INDEX(UnitBases,MATCH(F906,UnitNames,0)),"?"))</f>
        <v>0</v>
      </c>
      <c r="L906" s="17">
        <f>IF(D906="","",IFERROR(INDEX(Ingredients!$G$5:$G$304,MATCH(D906,Ingredients!$B$5:$B$304,0)),"Add to Ingredients"))</f>
        <v>0</v>
      </c>
      <c r="M906" s="25">
        <f>IF(D906="","",IFERROR(INDEX(Ingredients!$J$5:$J$304,MATCH(D906,Ingredients!$B$5:$B$304,0)),"Add to Ingredients"))</f>
        <v>0</v>
      </c>
      <c r="N906" s="25">
        <f>IF(OR(J906="",M906="",NOT(ISNUMBER(M906))),"",IF(K906&lt;&gt;L906,"",J906*M906))</f>
        <v>0</v>
      </c>
      <c r="O906" s="25">
        <f>IF(N906="","",IFERROR(N906/INDEX(Recipes!$G$5:$G$204,MATCH(B906,Recipes!$A$5:$A$204,0)),""))</f>
        <v>0</v>
      </c>
      <c r="P906" s="30">
        <f>IF(J906="","",IF(K906="each",J906,J906/100))</f>
        <v>0</v>
      </c>
      <c r="Q906" s="30">
        <f>IFERROR(IF(P906="","",P906*INDEX(Ingredients!$P$5:$P$304,MATCH(D906,Ingredients!$B$5:$B$304,0))),"")</f>
        <v>0</v>
      </c>
      <c r="R906" s="45">
        <f>IFERROR(IF(P906="","",P906*INDEX(Ingredients!$Q$5:$Q$304,MATCH(D906,Ingredients!$B$5:$B$304,0))),"")</f>
        <v>0</v>
      </c>
      <c r="S906" s="45">
        <f>IFERROR(IF(P906="","",P906*INDEX(Ingredients!$R$5:$R$304,MATCH(D906,Ingredients!$B$5:$B$304,0))),"")</f>
        <v>0</v>
      </c>
      <c r="T906" s="45">
        <f>IFERROR(IF(P906="","",P906*INDEX(Ingredients!$S$5:$S$304,MATCH(D906,Ingredients!$B$5:$B$304,0))),"")</f>
        <v>0</v>
      </c>
      <c r="U906" s="45">
        <f>IFERROR(IF(P906="","",P906*INDEX(Ingredients!$T$5:$T$304,MATCH(D906,Ingredients!$B$5:$B$304,0))),"")</f>
        <v>0</v>
      </c>
      <c r="V906" s="17">
        <f>IF(D906="","",IFERROR(INDEX(Ingredients!$W$5:$W$304,MATCH(D906,Ingredients!$B$5:$B$304,0)),"Add to Ingredients"))</f>
        <v>0</v>
      </c>
      <c r="W906" s="17">
        <f>IF(D906="","",IFERROR(INDEX(Ingredients!$C$5:$C$304,MATCH(D906,Ingredients!$B$5:$B$304,0)),"Add to Ingredients"))</f>
        <v>0</v>
      </c>
      <c r="X906" s="45">
        <f>IFERROR(INDEX(Recipes!$AT$5:$AT$204,MATCH(B906,Recipes!$A$5:$A$204,0)),0)</f>
        <v>0</v>
      </c>
      <c r="Y906" s="45">
        <f>IF(OR(J906="",X906=0),"",J906*X906)</f>
        <v>0</v>
      </c>
      <c r="Z906" s="17">
        <f>IF(D906="","",B906&amp;"#"&amp;COUNTIFS($B$5:B906,B906))</f>
        <v>0</v>
      </c>
      <c r="AA906" s="17">
        <f>IF(D906="","",B906&amp;"|"&amp;D906)</f>
        <v>0</v>
      </c>
      <c r="AB906" s="31">
        <f>IF(D906="","",IF(B906="","Add - which recipe?",IF(COUNTIFS(Ingredients!$B$5:$B$304,D906)=0,"Missing - not in the Ingredients tab",IF(E906="","Add - no quantity",IF(F906="","Add - no unit",IF(K906&lt;&gt;L906,"Check - recipe in "&amp;K906&amp;", priced in "&amp;L906,IF(COUNTIFS($AA$5:$AA$1204,AA906)&gt;1,"Duplicate - same ingredient twice","OK")))))))</f>
        <v>0</v>
      </c>
    </row>
    <row r="907" spans="1:28">
      <c r="A907" s="39">
        <f>IF(D907="","","RL-"&amp;TEXT(ROW()-4,"0000"))</f>
        <v>0</v>
      </c>
      <c r="C907" s="17">
        <f>IF(B907="","",IFERROR(INDEX(Recipes!$B$5:$B$204,MATCH(B907,Recipes!$A$5:$A$204,0)),"Not found"))</f>
        <v>0</v>
      </c>
      <c r="J907" s="45">
        <f>IF(E907="","",IFERROR(E907*INDEX(UnitFactors,MATCH(F907,UnitNames,0)),""))</f>
        <v>0</v>
      </c>
      <c r="K907" s="17">
        <f>IF(F907="","",IFERROR(INDEX(UnitBases,MATCH(F907,UnitNames,0)),"?"))</f>
        <v>0</v>
      </c>
      <c r="L907" s="17">
        <f>IF(D907="","",IFERROR(INDEX(Ingredients!$G$5:$G$304,MATCH(D907,Ingredients!$B$5:$B$304,0)),"Add to Ingredients"))</f>
        <v>0</v>
      </c>
      <c r="M907" s="25">
        <f>IF(D907="","",IFERROR(INDEX(Ingredients!$J$5:$J$304,MATCH(D907,Ingredients!$B$5:$B$304,0)),"Add to Ingredients"))</f>
        <v>0</v>
      </c>
      <c r="N907" s="25">
        <f>IF(OR(J907="",M907="",NOT(ISNUMBER(M907))),"",IF(K907&lt;&gt;L907,"",J907*M907))</f>
        <v>0</v>
      </c>
      <c r="O907" s="25">
        <f>IF(N907="","",IFERROR(N907/INDEX(Recipes!$G$5:$G$204,MATCH(B907,Recipes!$A$5:$A$204,0)),""))</f>
        <v>0</v>
      </c>
      <c r="P907" s="30">
        <f>IF(J907="","",IF(K907="each",J907,J907/100))</f>
        <v>0</v>
      </c>
      <c r="Q907" s="30">
        <f>IFERROR(IF(P907="","",P907*INDEX(Ingredients!$P$5:$P$304,MATCH(D907,Ingredients!$B$5:$B$304,0))),"")</f>
        <v>0</v>
      </c>
      <c r="R907" s="45">
        <f>IFERROR(IF(P907="","",P907*INDEX(Ingredients!$Q$5:$Q$304,MATCH(D907,Ingredients!$B$5:$B$304,0))),"")</f>
        <v>0</v>
      </c>
      <c r="S907" s="45">
        <f>IFERROR(IF(P907="","",P907*INDEX(Ingredients!$R$5:$R$304,MATCH(D907,Ingredients!$B$5:$B$304,0))),"")</f>
        <v>0</v>
      </c>
      <c r="T907" s="45">
        <f>IFERROR(IF(P907="","",P907*INDEX(Ingredients!$S$5:$S$304,MATCH(D907,Ingredients!$B$5:$B$304,0))),"")</f>
        <v>0</v>
      </c>
      <c r="U907" s="45">
        <f>IFERROR(IF(P907="","",P907*INDEX(Ingredients!$T$5:$T$304,MATCH(D907,Ingredients!$B$5:$B$304,0))),"")</f>
        <v>0</v>
      </c>
      <c r="V907" s="17">
        <f>IF(D907="","",IFERROR(INDEX(Ingredients!$W$5:$W$304,MATCH(D907,Ingredients!$B$5:$B$304,0)),"Add to Ingredients"))</f>
        <v>0</v>
      </c>
      <c r="W907" s="17">
        <f>IF(D907="","",IFERROR(INDEX(Ingredients!$C$5:$C$304,MATCH(D907,Ingredients!$B$5:$B$304,0)),"Add to Ingredients"))</f>
        <v>0</v>
      </c>
      <c r="X907" s="45">
        <f>IFERROR(INDEX(Recipes!$AT$5:$AT$204,MATCH(B907,Recipes!$A$5:$A$204,0)),0)</f>
        <v>0</v>
      </c>
      <c r="Y907" s="45">
        <f>IF(OR(J907="",X907=0),"",J907*X907)</f>
        <v>0</v>
      </c>
      <c r="Z907" s="17">
        <f>IF(D907="","",B907&amp;"#"&amp;COUNTIFS($B$5:B907,B907))</f>
        <v>0</v>
      </c>
      <c r="AA907" s="17">
        <f>IF(D907="","",B907&amp;"|"&amp;D907)</f>
        <v>0</v>
      </c>
      <c r="AB907" s="31">
        <f>IF(D907="","",IF(B907="","Add - which recipe?",IF(COUNTIFS(Ingredients!$B$5:$B$304,D907)=0,"Missing - not in the Ingredients tab",IF(E907="","Add - no quantity",IF(F907="","Add - no unit",IF(K907&lt;&gt;L907,"Check - recipe in "&amp;K907&amp;", priced in "&amp;L907,IF(COUNTIFS($AA$5:$AA$1204,AA907)&gt;1,"Duplicate - same ingredient twice","OK")))))))</f>
        <v>0</v>
      </c>
    </row>
    <row r="908" spans="1:28">
      <c r="A908" s="39">
        <f>IF(D908="","","RL-"&amp;TEXT(ROW()-4,"0000"))</f>
        <v>0</v>
      </c>
      <c r="C908" s="17">
        <f>IF(B908="","",IFERROR(INDEX(Recipes!$B$5:$B$204,MATCH(B908,Recipes!$A$5:$A$204,0)),"Not found"))</f>
        <v>0</v>
      </c>
      <c r="J908" s="45">
        <f>IF(E908="","",IFERROR(E908*INDEX(UnitFactors,MATCH(F908,UnitNames,0)),""))</f>
        <v>0</v>
      </c>
      <c r="K908" s="17">
        <f>IF(F908="","",IFERROR(INDEX(UnitBases,MATCH(F908,UnitNames,0)),"?"))</f>
        <v>0</v>
      </c>
      <c r="L908" s="17">
        <f>IF(D908="","",IFERROR(INDEX(Ingredients!$G$5:$G$304,MATCH(D908,Ingredients!$B$5:$B$304,0)),"Add to Ingredients"))</f>
        <v>0</v>
      </c>
      <c r="M908" s="25">
        <f>IF(D908="","",IFERROR(INDEX(Ingredients!$J$5:$J$304,MATCH(D908,Ingredients!$B$5:$B$304,0)),"Add to Ingredients"))</f>
        <v>0</v>
      </c>
      <c r="N908" s="25">
        <f>IF(OR(J908="",M908="",NOT(ISNUMBER(M908))),"",IF(K908&lt;&gt;L908,"",J908*M908))</f>
        <v>0</v>
      </c>
      <c r="O908" s="25">
        <f>IF(N908="","",IFERROR(N908/INDEX(Recipes!$G$5:$G$204,MATCH(B908,Recipes!$A$5:$A$204,0)),""))</f>
        <v>0</v>
      </c>
      <c r="P908" s="30">
        <f>IF(J908="","",IF(K908="each",J908,J908/100))</f>
        <v>0</v>
      </c>
      <c r="Q908" s="30">
        <f>IFERROR(IF(P908="","",P908*INDEX(Ingredients!$P$5:$P$304,MATCH(D908,Ingredients!$B$5:$B$304,0))),"")</f>
        <v>0</v>
      </c>
      <c r="R908" s="45">
        <f>IFERROR(IF(P908="","",P908*INDEX(Ingredients!$Q$5:$Q$304,MATCH(D908,Ingredients!$B$5:$B$304,0))),"")</f>
        <v>0</v>
      </c>
      <c r="S908" s="45">
        <f>IFERROR(IF(P908="","",P908*INDEX(Ingredients!$R$5:$R$304,MATCH(D908,Ingredients!$B$5:$B$304,0))),"")</f>
        <v>0</v>
      </c>
      <c r="T908" s="45">
        <f>IFERROR(IF(P908="","",P908*INDEX(Ingredients!$S$5:$S$304,MATCH(D908,Ingredients!$B$5:$B$304,0))),"")</f>
        <v>0</v>
      </c>
      <c r="U908" s="45">
        <f>IFERROR(IF(P908="","",P908*INDEX(Ingredients!$T$5:$T$304,MATCH(D908,Ingredients!$B$5:$B$304,0))),"")</f>
        <v>0</v>
      </c>
      <c r="V908" s="17">
        <f>IF(D908="","",IFERROR(INDEX(Ingredients!$W$5:$W$304,MATCH(D908,Ingredients!$B$5:$B$304,0)),"Add to Ingredients"))</f>
        <v>0</v>
      </c>
      <c r="W908" s="17">
        <f>IF(D908="","",IFERROR(INDEX(Ingredients!$C$5:$C$304,MATCH(D908,Ingredients!$B$5:$B$304,0)),"Add to Ingredients"))</f>
        <v>0</v>
      </c>
      <c r="X908" s="45">
        <f>IFERROR(INDEX(Recipes!$AT$5:$AT$204,MATCH(B908,Recipes!$A$5:$A$204,0)),0)</f>
        <v>0</v>
      </c>
      <c r="Y908" s="45">
        <f>IF(OR(J908="",X908=0),"",J908*X908)</f>
        <v>0</v>
      </c>
      <c r="Z908" s="17">
        <f>IF(D908="","",B908&amp;"#"&amp;COUNTIFS($B$5:B908,B908))</f>
        <v>0</v>
      </c>
      <c r="AA908" s="17">
        <f>IF(D908="","",B908&amp;"|"&amp;D908)</f>
        <v>0</v>
      </c>
      <c r="AB908" s="31">
        <f>IF(D908="","",IF(B908="","Add - which recipe?",IF(COUNTIFS(Ingredients!$B$5:$B$304,D908)=0,"Missing - not in the Ingredients tab",IF(E908="","Add - no quantity",IF(F908="","Add - no unit",IF(K908&lt;&gt;L908,"Check - recipe in "&amp;K908&amp;", priced in "&amp;L908,IF(COUNTIFS($AA$5:$AA$1204,AA908)&gt;1,"Duplicate - same ingredient twice","OK")))))))</f>
        <v>0</v>
      </c>
    </row>
    <row r="909" spans="1:28">
      <c r="A909" s="39">
        <f>IF(D909="","","RL-"&amp;TEXT(ROW()-4,"0000"))</f>
        <v>0</v>
      </c>
      <c r="C909" s="17">
        <f>IF(B909="","",IFERROR(INDEX(Recipes!$B$5:$B$204,MATCH(B909,Recipes!$A$5:$A$204,0)),"Not found"))</f>
        <v>0</v>
      </c>
      <c r="J909" s="45">
        <f>IF(E909="","",IFERROR(E909*INDEX(UnitFactors,MATCH(F909,UnitNames,0)),""))</f>
        <v>0</v>
      </c>
      <c r="K909" s="17">
        <f>IF(F909="","",IFERROR(INDEX(UnitBases,MATCH(F909,UnitNames,0)),"?"))</f>
        <v>0</v>
      </c>
      <c r="L909" s="17">
        <f>IF(D909="","",IFERROR(INDEX(Ingredients!$G$5:$G$304,MATCH(D909,Ingredients!$B$5:$B$304,0)),"Add to Ingredients"))</f>
        <v>0</v>
      </c>
      <c r="M909" s="25">
        <f>IF(D909="","",IFERROR(INDEX(Ingredients!$J$5:$J$304,MATCH(D909,Ingredients!$B$5:$B$304,0)),"Add to Ingredients"))</f>
        <v>0</v>
      </c>
      <c r="N909" s="25">
        <f>IF(OR(J909="",M909="",NOT(ISNUMBER(M909))),"",IF(K909&lt;&gt;L909,"",J909*M909))</f>
        <v>0</v>
      </c>
      <c r="O909" s="25">
        <f>IF(N909="","",IFERROR(N909/INDEX(Recipes!$G$5:$G$204,MATCH(B909,Recipes!$A$5:$A$204,0)),""))</f>
        <v>0</v>
      </c>
      <c r="P909" s="30">
        <f>IF(J909="","",IF(K909="each",J909,J909/100))</f>
        <v>0</v>
      </c>
      <c r="Q909" s="30">
        <f>IFERROR(IF(P909="","",P909*INDEX(Ingredients!$P$5:$P$304,MATCH(D909,Ingredients!$B$5:$B$304,0))),"")</f>
        <v>0</v>
      </c>
      <c r="R909" s="45">
        <f>IFERROR(IF(P909="","",P909*INDEX(Ingredients!$Q$5:$Q$304,MATCH(D909,Ingredients!$B$5:$B$304,0))),"")</f>
        <v>0</v>
      </c>
      <c r="S909" s="45">
        <f>IFERROR(IF(P909="","",P909*INDEX(Ingredients!$R$5:$R$304,MATCH(D909,Ingredients!$B$5:$B$304,0))),"")</f>
        <v>0</v>
      </c>
      <c r="T909" s="45">
        <f>IFERROR(IF(P909="","",P909*INDEX(Ingredients!$S$5:$S$304,MATCH(D909,Ingredients!$B$5:$B$304,0))),"")</f>
        <v>0</v>
      </c>
      <c r="U909" s="45">
        <f>IFERROR(IF(P909="","",P909*INDEX(Ingredients!$T$5:$T$304,MATCH(D909,Ingredients!$B$5:$B$304,0))),"")</f>
        <v>0</v>
      </c>
      <c r="V909" s="17">
        <f>IF(D909="","",IFERROR(INDEX(Ingredients!$W$5:$W$304,MATCH(D909,Ingredients!$B$5:$B$304,0)),"Add to Ingredients"))</f>
        <v>0</v>
      </c>
      <c r="W909" s="17">
        <f>IF(D909="","",IFERROR(INDEX(Ingredients!$C$5:$C$304,MATCH(D909,Ingredients!$B$5:$B$304,0)),"Add to Ingredients"))</f>
        <v>0</v>
      </c>
      <c r="X909" s="45">
        <f>IFERROR(INDEX(Recipes!$AT$5:$AT$204,MATCH(B909,Recipes!$A$5:$A$204,0)),0)</f>
        <v>0</v>
      </c>
      <c r="Y909" s="45">
        <f>IF(OR(J909="",X909=0),"",J909*X909)</f>
        <v>0</v>
      </c>
      <c r="Z909" s="17">
        <f>IF(D909="","",B909&amp;"#"&amp;COUNTIFS($B$5:B909,B909))</f>
        <v>0</v>
      </c>
      <c r="AA909" s="17">
        <f>IF(D909="","",B909&amp;"|"&amp;D909)</f>
        <v>0</v>
      </c>
      <c r="AB909" s="31">
        <f>IF(D909="","",IF(B909="","Add - which recipe?",IF(COUNTIFS(Ingredients!$B$5:$B$304,D909)=0,"Missing - not in the Ingredients tab",IF(E909="","Add - no quantity",IF(F909="","Add - no unit",IF(K909&lt;&gt;L909,"Check - recipe in "&amp;K909&amp;", priced in "&amp;L909,IF(COUNTIFS($AA$5:$AA$1204,AA909)&gt;1,"Duplicate - same ingredient twice","OK")))))))</f>
        <v>0</v>
      </c>
    </row>
    <row r="910" spans="1:28">
      <c r="A910" s="39">
        <f>IF(D910="","","RL-"&amp;TEXT(ROW()-4,"0000"))</f>
        <v>0</v>
      </c>
      <c r="C910" s="17">
        <f>IF(B910="","",IFERROR(INDEX(Recipes!$B$5:$B$204,MATCH(B910,Recipes!$A$5:$A$204,0)),"Not found"))</f>
        <v>0</v>
      </c>
      <c r="J910" s="45">
        <f>IF(E910="","",IFERROR(E910*INDEX(UnitFactors,MATCH(F910,UnitNames,0)),""))</f>
        <v>0</v>
      </c>
      <c r="K910" s="17">
        <f>IF(F910="","",IFERROR(INDEX(UnitBases,MATCH(F910,UnitNames,0)),"?"))</f>
        <v>0</v>
      </c>
      <c r="L910" s="17">
        <f>IF(D910="","",IFERROR(INDEX(Ingredients!$G$5:$G$304,MATCH(D910,Ingredients!$B$5:$B$304,0)),"Add to Ingredients"))</f>
        <v>0</v>
      </c>
      <c r="M910" s="25">
        <f>IF(D910="","",IFERROR(INDEX(Ingredients!$J$5:$J$304,MATCH(D910,Ingredients!$B$5:$B$304,0)),"Add to Ingredients"))</f>
        <v>0</v>
      </c>
      <c r="N910" s="25">
        <f>IF(OR(J910="",M910="",NOT(ISNUMBER(M910))),"",IF(K910&lt;&gt;L910,"",J910*M910))</f>
        <v>0</v>
      </c>
      <c r="O910" s="25">
        <f>IF(N910="","",IFERROR(N910/INDEX(Recipes!$G$5:$G$204,MATCH(B910,Recipes!$A$5:$A$204,0)),""))</f>
        <v>0</v>
      </c>
      <c r="P910" s="30">
        <f>IF(J910="","",IF(K910="each",J910,J910/100))</f>
        <v>0</v>
      </c>
      <c r="Q910" s="30">
        <f>IFERROR(IF(P910="","",P910*INDEX(Ingredients!$P$5:$P$304,MATCH(D910,Ingredients!$B$5:$B$304,0))),"")</f>
        <v>0</v>
      </c>
      <c r="R910" s="45">
        <f>IFERROR(IF(P910="","",P910*INDEX(Ingredients!$Q$5:$Q$304,MATCH(D910,Ingredients!$B$5:$B$304,0))),"")</f>
        <v>0</v>
      </c>
      <c r="S910" s="45">
        <f>IFERROR(IF(P910="","",P910*INDEX(Ingredients!$R$5:$R$304,MATCH(D910,Ingredients!$B$5:$B$304,0))),"")</f>
        <v>0</v>
      </c>
      <c r="T910" s="45">
        <f>IFERROR(IF(P910="","",P910*INDEX(Ingredients!$S$5:$S$304,MATCH(D910,Ingredients!$B$5:$B$304,0))),"")</f>
        <v>0</v>
      </c>
      <c r="U910" s="45">
        <f>IFERROR(IF(P910="","",P910*INDEX(Ingredients!$T$5:$T$304,MATCH(D910,Ingredients!$B$5:$B$304,0))),"")</f>
        <v>0</v>
      </c>
      <c r="V910" s="17">
        <f>IF(D910="","",IFERROR(INDEX(Ingredients!$W$5:$W$304,MATCH(D910,Ingredients!$B$5:$B$304,0)),"Add to Ingredients"))</f>
        <v>0</v>
      </c>
      <c r="W910" s="17">
        <f>IF(D910="","",IFERROR(INDEX(Ingredients!$C$5:$C$304,MATCH(D910,Ingredients!$B$5:$B$304,0)),"Add to Ingredients"))</f>
        <v>0</v>
      </c>
      <c r="X910" s="45">
        <f>IFERROR(INDEX(Recipes!$AT$5:$AT$204,MATCH(B910,Recipes!$A$5:$A$204,0)),0)</f>
        <v>0</v>
      </c>
      <c r="Y910" s="45">
        <f>IF(OR(J910="",X910=0),"",J910*X910)</f>
        <v>0</v>
      </c>
      <c r="Z910" s="17">
        <f>IF(D910="","",B910&amp;"#"&amp;COUNTIFS($B$5:B910,B910))</f>
        <v>0</v>
      </c>
      <c r="AA910" s="17">
        <f>IF(D910="","",B910&amp;"|"&amp;D910)</f>
        <v>0</v>
      </c>
      <c r="AB910" s="31">
        <f>IF(D910="","",IF(B910="","Add - which recipe?",IF(COUNTIFS(Ingredients!$B$5:$B$304,D910)=0,"Missing - not in the Ingredients tab",IF(E910="","Add - no quantity",IF(F910="","Add - no unit",IF(K910&lt;&gt;L910,"Check - recipe in "&amp;K910&amp;", priced in "&amp;L910,IF(COUNTIFS($AA$5:$AA$1204,AA910)&gt;1,"Duplicate - same ingredient twice","OK")))))))</f>
        <v>0</v>
      </c>
    </row>
    <row r="911" spans="1:28">
      <c r="A911" s="39">
        <f>IF(D911="","","RL-"&amp;TEXT(ROW()-4,"0000"))</f>
        <v>0</v>
      </c>
      <c r="C911" s="17">
        <f>IF(B911="","",IFERROR(INDEX(Recipes!$B$5:$B$204,MATCH(B911,Recipes!$A$5:$A$204,0)),"Not found"))</f>
        <v>0</v>
      </c>
      <c r="J911" s="45">
        <f>IF(E911="","",IFERROR(E911*INDEX(UnitFactors,MATCH(F911,UnitNames,0)),""))</f>
        <v>0</v>
      </c>
      <c r="K911" s="17">
        <f>IF(F911="","",IFERROR(INDEX(UnitBases,MATCH(F911,UnitNames,0)),"?"))</f>
        <v>0</v>
      </c>
      <c r="L911" s="17">
        <f>IF(D911="","",IFERROR(INDEX(Ingredients!$G$5:$G$304,MATCH(D911,Ingredients!$B$5:$B$304,0)),"Add to Ingredients"))</f>
        <v>0</v>
      </c>
      <c r="M911" s="25">
        <f>IF(D911="","",IFERROR(INDEX(Ingredients!$J$5:$J$304,MATCH(D911,Ingredients!$B$5:$B$304,0)),"Add to Ingredients"))</f>
        <v>0</v>
      </c>
      <c r="N911" s="25">
        <f>IF(OR(J911="",M911="",NOT(ISNUMBER(M911))),"",IF(K911&lt;&gt;L911,"",J911*M911))</f>
        <v>0</v>
      </c>
      <c r="O911" s="25">
        <f>IF(N911="","",IFERROR(N911/INDEX(Recipes!$G$5:$G$204,MATCH(B911,Recipes!$A$5:$A$204,0)),""))</f>
        <v>0</v>
      </c>
      <c r="P911" s="30">
        <f>IF(J911="","",IF(K911="each",J911,J911/100))</f>
        <v>0</v>
      </c>
      <c r="Q911" s="30">
        <f>IFERROR(IF(P911="","",P911*INDEX(Ingredients!$P$5:$P$304,MATCH(D911,Ingredients!$B$5:$B$304,0))),"")</f>
        <v>0</v>
      </c>
      <c r="R911" s="45">
        <f>IFERROR(IF(P911="","",P911*INDEX(Ingredients!$Q$5:$Q$304,MATCH(D911,Ingredients!$B$5:$B$304,0))),"")</f>
        <v>0</v>
      </c>
      <c r="S911" s="45">
        <f>IFERROR(IF(P911="","",P911*INDEX(Ingredients!$R$5:$R$304,MATCH(D911,Ingredients!$B$5:$B$304,0))),"")</f>
        <v>0</v>
      </c>
      <c r="T911" s="45">
        <f>IFERROR(IF(P911="","",P911*INDEX(Ingredients!$S$5:$S$304,MATCH(D911,Ingredients!$B$5:$B$304,0))),"")</f>
        <v>0</v>
      </c>
      <c r="U911" s="45">
        <f>IFERROR(IF(P911="","",P911*INDEX(Ingredients!$T$5:$T$304,MATCH(D911,Ingredients!$B$5:$B$304,0))),"")</f>
        <v>0</v>
      </c>
      <c r="V911" s="17">
        <f>IF(D911="","",IFERROR(INDEX(Ingredients!$W$5:$W$304,MATCH(D911,Ingredients!$B$5:$B$304,0)),"Add to Ingredients"))</f>
        <v>0</v>
      </c>
      <c r="W911" s="17">
        <f>IF(D911="","",IFERROR(INDEX(Ingredients!$C$5:$C$304,MATCH(D911,Ingredients!$B$5:$B$304,0)),"Add to Ingredients"))</f>
        <v>0</v>
      </c>
      <c r="X911" s="45">
        <f>IFERROR(INDEX(Recipes!$AT$5:$AT$204,MATCH(B911,Recipes!$A$5:$A$204,0)),0)</f>
        <v>0</v>
      </c>
      <c r="Y911" s="45">
        <f>IF(OR(J911="",X911=0),"",J911*X911)</f>
        <v>0</v>
      </c>
      <c r="Z911" s="17">
        <f>IF(D911="","",B911&amp;"#"&amp;COUNTIFS($B$5:B911,B911))</f>
        <v>0</v>
      </c>
      <c r="AA911" s="17">
        <f>IF(D911="","",B911&amp;"|"&amp;D911)</f>
        <v>0</v>
      </c>
      <c r="AB911" s="31">
        <f>IF(D911="","",IF(B911="","Add - which recipe?",IF(COUNTIFS(Ingredients!$B$5:$B$304,D911)=0,"Missing - not in the Ingredients tab",IF(E911="","Add - no quantity",IF(F911="","Add - no unit",IF(K911&lt;&gt;L911,"Check - recipe in "&amp;K911&amp;", priced in "&amp;L911,IF(COUNTIFS($AA$5:$AA$1204,AA911)&gt;1,"Duplicate - same ingredient twice","OK")))))))</f>
        <v>0</v>
      </c>
    </row>
    <row r="912" spans="1:28">
      <c r="A912" s="39">
        <f>IF(D912="","","RL-"&amp;TEXT(ROW()-4,"0000"))</f>
        <v>0</v>
      </c>
      <c r="C912" s="17">
        <f>IF(B912="","",IFERROR(INDEX(Recipes!$B$5:$B$204,MATCH(B912,Recipes!$A$5:$A$204,0)),"Not found"))</f>
        <v>0</v>
      </c>
      <c r="J912" s="45">
        <f>IF(E912="","",IFERROR(E912*INDEX(UnitFactors,MATCH(F912,UnitNames,0)),""))</f>
        <v>0</v>
      </c>
      <c r="K912" s="17">
        <f>IF(F912="","",IFERROR(INDEX(UnitBases,MATCH(F912,UnitNames,0)),"?"))</f>
        <v>0</v>
      </c>
      <c r="L912" s="17">
        <f>IF(D912="","",IFERROR(INDEX(Ingredients!$G$5:$G$304,MATCH(D912,Ingredients!$B$5:$B$304,0)),"Add to Ingredients"))</f>
        <v>0</v>
      </c>
      <c r="M912" s="25">
        <f>IF(D912="","",IFERROR(INDEX(Ingredients!$J$5:$J$304,MATCH(D912,Ingredients!$B$5:$B$304,0)),"Add to Ingredients"))</f>
        <v>0</v>
      </c>
      <c r="N912" s="25">
        <f>IF(OR(J912="",M912="",NOT(ISNUMBER(M912))),"",IF(K912&lt;&gt;L912,"",J912*M912))</f>
        <v>0</v>
      </c>
      <c r="O912" s="25">
        <f>IF(N912="","",IFERROR(N912/INDEX(Recipes!$G$5:$G$204,MATCH(B912,Recipes!$A$5:$A$204,0)),""))</f>
        <v>0</v>
      </c>
      <c r="P912" s="30">
        <f>IF(J912="","",IF(K912="each",J912,J912/100))</f>
        <v>0</v>
      </c>
      <c r="Q912" s="30">
        <f>IFERROR(IF(P912="","",P912*INDEX(Ingredients!$P$5:$P$304,MATCH(D912,Ingredients!$B$5:$B$304,0))),"")</f>
        <v>0</v>
      </c>
      <c r="R912" s="45">
        <f>IFERROR(IF(P912="","",P912*INDEX(Ingredients!$Q$5:$Q$304,MATCH(D912,Ingredients!$B$5:$B$304,0))),"")</f>
        <v>0</v>
      </c>
      <c r="S912" s="45">
        <f>IFERROR(IF(P912="","",P912*INDEX(Ingredients!$R$5:$R$304,MATCH(D912,Ingredients!$B$5:$B$304,0))),"")</f>
        <v>0</v>
      </c>
      <c r="T912" s="45">
        <f>IFERROR(IF(P912="","",P912*INDEX(Ingredients!$S$5:$S$304,MATCH(D912,Ingredients!$B$5:$B$304,0))),"")</f>
        <v>0</v>
      </c>
      <c r="U912" s="45">
        <f>IFERROR(IF(P912="","",P912*INDEX(Ingredients!$T$5:$T$304,MATCH(D912,Ingredients!$B$5:$B$304,0))),"")</f>
        <v>0</v>
      </c>
      <c r="V912" s="17">
        <f>IF(D912="","",IFERROR(INDEX(Ingredients!$W$5:$W$304,MATCH(D912,Ingredients!$B$5:$B$304,0)),"Add to Ingredients"))</f>
        <v>0</v>
      </c>
      <c r="W912" s="17">
        <f>IF(D912="","",IFERROR(INDEX(Ingredients!$C$5:$C$304,MATCH(D912,Ingredients!$B$5:$B$304,0)),"Add to Ingredients"))</f>
        <v>0</v>
      </c>
      <c r="X912" s="45">
        <f>IFERROR(INDEX(Recipes!$AT$5:$AT$204,MATCH(B912,Recipes!$A$5:$A$204,0)),0)</f>
        <v>0</v>
      </c>
      <c r="Y912" s="45">
        <f>IF(OR(J912="",X912=0),"",J912*X912)</f>
        <v>0</v>
      </c>
      <c r="Z912" s="17">
        <f>IF(D912="","",B912&amp;"#"&amp;COUNTIFS($B$5:B912,B912))</f>
        <v>0</v>
      </c>
      <c r="AA912" s="17">
        <f>IF(D912="","",B912&amp;"|"&amp;D912)</f>
        <v>0</v>
      </c>
      <c r="AB912" s="31">
        <f>IF(D912="","",IF(B912="","Add - which recipe?",IF(COUNTIFS(Ingredients!$B$5:$B$304,D912)=0,"Missing - not in the Ingredients tab",IF(E912="","Add - no quantity",IF(F912="","Add - no unit",IF(K912&lt;&gt;L912,"Check - recipe in "&amp;K912&amp;", priced in "&amp;L912,IF(COUNTIFS($AA$5:$AA$1204,AA912)&gt;1,"Duplicate - same ingredient twice","OK")))))))</f>
        <v>0</v>
      </c>
    </row>
    <row r="913" spans="1:28">
      <c r="A913" s="39">
        <f>IF(D913="","","RL-"&amp;TEXT(ROW()-4,"0000"))</f>
        <v>0</v>
      </c>
      <c r="C913" s="17">
        <f>IF(B913="","",IFERROR(INDEX(Recipes!$B$5:$B$204,MATCH(B913,Recipes!$A$5:$A$204,0)),"Not found"))</f>
        <v>0</v>
      </c>
      <c r="J913" s="45">
        <f>IF(E913="","",IFERROR(E913*INDEX(UnitFactors,MATCH(F913,UnitNames,0)),""))</f>
        <v>0</v>
      </c>
      <c r="K913" s="17">
        <f>IF(F913="","",IFERROR(INDEX(UnitBases,MATCH(F913,UnitNames,0)),"?"))</f>
        <v>0</v>
      </c>
      <c r="L913" s="17">
        <f>IF(D913="","",IFERROR(INDEX(Ingredients!$G$5:$G$304,MATCH(D913,Ingredients!$B$5:$B$304,0)),"Add to Ingredients"))</f>
        <v>0</v>
      </c>
      <c r="M913" s="25">
        <f>IF(D913="","",IFERROR(INDEX(Ingredients!$J$5:$J$304,MATCH(D913,Ingredients!$B$5:$B$304,0)),"Add to Ingredients"))</f>
        <v>0</v>
      </c>
      <c r="N913" s="25">
        <f>IF(OR(J913="",M913="",NOT(ISNUMBER(M913))),"",IF(K913&lt;&gt;L913,"",J913*M913))</f>
        <v>0</v>
      </c>
      <c r="O913" s="25">
        <f>IF(N913="","",IFERROR(N913/INDEX(Recipes!$G$5:$G$204,MATCH(B913,Recipes!$A$5:$A$204,0)),""))</f>
        <v>0</v>
      </c>
      <c r="P913" s="30">
        <f>IF(J913="","",IF(K913="each",J913,J913/100))</f>
        <v>0</v>
      </c>
      <c r="Q913" s="30">
        <f>IFERROR(IF(P913="","",P913*INDEX(Ingredients!$P$5:$P$304,MATCH(D913,Ingredients!$B$5:$B$304,0))),"")</f>
        <v>0</v>
      </c>
      <c r="R913" s="45">
        <f>IFERROR(IF(P913="","",P913*INDEX(Ingredients!$Q$5:$Q$304,MATCH(D913,Ingredients!$B$5:$B$304,0))),"")</f>
        <v>0</v>
      </c>
      <c r="S913" s="45">
        <f>IFERROR(IF(P913="","",P913*INDEX(Ingredients!$R$5:$R$304,MATCH(D913,Ingredients!$B$5:$B$304,0))),"")</f>
        <v>0</v>
      </c>
      <c r="T913" s="45">
        <f>IFERROR(IF(P913="","",P913*INDEX(Ingredients!$S$5:$S$304,MATCH(D913,Ingredients!$B$5:$B$304,0))),"")</f>
        <v>0</v>
      </c>
      <c r="U913" s="45">
        <f>IFERROR(IF(P913="","",P913*INDEX(Ingredients!$T$5:$T$304,MATCH(D913,Ingredients!$B$5:$B$304,0))),"")</f>
        <v>0</v>
      </c>
      <c r="V913" s="17">
        <f>IF(D913="","",IFERROR(INDEX(Ingredients!$W$5:$W$304,MATCH(D913,Ingredients!$B$5:$B$304,0)),"Add to Ingredients"))</f>
        <v>0</v>
      </c>
      <c r="W913" s="17">
        <f>IF(D913="","",IFERROR(INDEX(Ingredients!$C$5:$C$304,MATCH(D913,Ingredients!$B$5:$B$304,0)),"Add to Ingredients"))</f>
        <v>0</v>
      </c>
      <c r="X913" s="45">
        <f>IFERROR(INDEX(Recipes!$AT$5:$AT$204,MATCH(B913,Recipes!$A$5:$A$204,0)),0)</f>
        <v>0</v>
      </c>
      <c r="Y913" s="45">
        <f>IF(OR(J913="",X913=0),"",J913*X913)</f>
        <v>0</v>
      </c>
      <c r="Z913" s="17">
        <f>IF(D913="","",B913&amp;"#"&amp;COUNTIFS($B$5:B913,B913))</f>
        <v>0</v>
      </c>
      <c r="AA913" s="17">
        <f>IF(D913="","",B913&amp;"|"&amp;D913)</f>
        <v>0</v>
      </c>
      <c r="AB913" s="31">
        <f>IF(D913="","",IF(B913="","Add - which recipe?",IF(COUNTIFS(Ingredients!$B$5:$B$304,D913)=0,"Missing - not in the Ingredients tab",IF(E913="","Add - no quantity",IF(F913="","Add - no unit",IF(K913&lt;&gt;L913,"Check - recipe in "&amp;K913&amp;", priced in "&amp;L913,IF(COUNTIFS($AA$5:$AA$1204,AA913)&gt;1,"Duplicate - same ingredient twice","OK")))))))</f>
        <v>0</v>
      </c>
    </row>
    <row r="914" spans="1:28">
      <c r="A914" s="39">
        <f>IF(D914="","","RL-"&amp;TEXT(ROW()-4,"0000"))</f>
        <v>0</v>
      </c>
      <c r="C914" s="17">
        <f>IF(B914="","",IFERROR(INDEX(Recipes!$B$5:$B$204,MATCH(B914,Recipes!$A$5:$A$204,0)),"Not found"))</f>
        <v>0</v>
      </c>
      <c r="J914" s="45">
        <f>IF(E914="","",IFERROR(E914*INDEX(UnitFactors,MATCH(F914,UnitNames,0)),""))</f>
        <v>0</v>
      </c>
      <c r="K914" s="17">
        <f>IF(F914="","",IFERROR(INDEX(UnitBases,MATCH(F914,UnitNames,0)),"?"))</f>
        <v>0</v>
      </c>
      <c r="L914" s="17">
        <f>IF(D914="","",IFERROR(INDEX(Ingredients!$G$5:$G$304,MATCH(D914,Ingredients!$B$5:$B$304,0)),"Add to Ingredients"))</f>
        <v>0</v>
      </c>
      <c r="M914" s="25">
        <f>IF(D914="","",IFERROR(INDEX(Ingredients!$J$5:$J$304,MATCH(D914,Ingredients!$B$5:$B$304,0)),"Add to Ingredients"))</f>
        <v>0</v>
      </c>
      <c r="N914" s="25">
        <f>IF(OR(J914="",M914="",NOT(ISNUMBER(M914))),"",IF(K914&lt;&gt;L914,"",J914*M914))</f>
        <v>0</v>
      </c>
      <c r="O914" s="25">
        <f>IF(N914="","",IFERROR(N914/INDEX(Recipes!$G$5:$G$204,MATCH(B914,Recipes!$A$5:$A$204,0)),""))</f>
        <v>0</v>
      </c>
      <c r="P914" s="30">
        <f>IF(J914="","",IF(K914="each",J914,J914/100))</f>
        <v>0</v>
      </c>
      <c r="Q914" s="30">
        <f>IFERROR(IF(P914="","",P914*INDEX(Ingredients!$P$5:$P$304,MATCH(D914,Ingredients!$B$5:$B$304,0))),"")</f>
        <v>0</v>
      </c>
      <c r="R914" s="45">
        <f>IFERROR(IF(P914="","",P914*INDEX(Ingredients!$Q$5:$Q$304,MATCH(D914,Ingredients!$B$5:$B$304,0))),"")</f>
        <v>0</v>
      </c>
      <c r="S914" s="45">
        <f>IFERROR(IF(P914="","",P914*INDEX(Ingredients!$R$5:$R$304,MATCH(D914,Ingredients!$B$5:$B$304,0))),"")</f>
        <v>0</v>
      </c>
      <c r="T914" s="45">
        <f>IFERROR(IF(P914="","",P914*INDEX(Ingredients!$S$5:$S$304,MATCH(D914,Ingredients!$B$5:$B$304,0))),"")</f>
        <v>0</v>
      </c>
      <c r="U914" s="45">
        <f>IFERROR(IF(P914="","",P914*INDEX(Ingredients!$T$5:$T$304,MATCH(D914,Ingredients!$B$5:$B$304,0))),"")</f>
        <v>0</v>
      </c>
      <c r="V914" s="17">
        <f>IF(D914="","",IFERROR(INDEX(Ingredients!$W$5:$W$304,MATCH(D914,Ingredients!$B$5:$B$304,0)),"Add to Ingredients"))</f>
        <v>0</v>
      </c>
      <c r="W914" s="17">
        <f>IF(D914="","",IFERROR(INDEX(Ingredients!$C$5:$C$304,MATCH(D914,Ingredients!$B$5:$B$304,0)),"Add to Ingredients"))</f>
        <v>0</v>
      </c>
      <c r="X914" s="45">
        <f>IFERROR(INDEX(Recipes!$AT$5:$AT$204,MATCH(B914,Recipes!$A$5:$A$204,0)),0)</f>
        <v>0</v>
      </c>
      <c r="Y914" s="45">
        <f>IF(OR(J914="",X914=0),"",J914*X914)</f>
        <v>0</v>
      </c>
      <c r="Z914" s="17">
        <f>IF(D914="","",B914&amp;"#"&amp;COUNTIFS($B$5:B914,B914))</f>
        <v>0</v>
      </c>
      <c r="AA914" s="17">
        <f>IF(D914="","",B914&amp;"|"&amp;D914)</f>
        <v>0</v>
      </c>
      <c r="AB914" s="31">
        <f>IF(D914="","",IF(B914="","Add - which recipe?",IF(COUNTIFS(Ingredients!$B$5:$B$304,D914)=0,"Missing - not in the Ingredients tab",IF(E914="","Add - no quantity",IF(F914="","Add - no unit",IF(K914&lt;&gt;L914,"Check - recipe in "&amp;K914&amp;", priced in "&amp;L914,IF(COUNTIFS($AA$5:$AA$1204,AA914)&gt;1,"Duplicate - same ingredient twice","OK")))))))</f>
        <v>0</v>
      </c>
    </row>
    <row r="915" spans="1:28">
      <c r="A915" s="39">
        <f>IF(D915="","","RL-"&amp;TEXT(ROW()-4,"0000"))</f>
        <v>0</v>
      </c>
      <c r="C915" s="17">
        <f>IF(B915="","",IFERROR(INDEX(Recipes!$B$5:$B$204,MATCH(B915,Recipes!$A$5:$A$204,0)),"Not found"))</f>
        <v>0</v>
      </c>
      <c r="J915" s="45">
        <f>IF(E915="","",IFERROR(E915*INDEX(UnitFactors,MATCH(F915,UnitNames,0)),""))</f>
        <v>0</v>
      </c>
      <c r="K915" s="17">
        <f>IF(F915="","",IFERROR(INDEX(UnitBases,MATCH(F915,UnitNames,0)),"?"))</f>
        <v>0</v>
      </c>
      <c r="L915" s="17">
        <f>IF(D915="","",IFERROR(INDEX(Ingredients!$G$5:$G$304,MATCH(D915,Ingredients!$B$5:$B$304,0)),"Add to Ingredients"))</f>
        <v>0</v>
      </c>
      <c r="M915" s="25">
        <f>IF(D915="","",IFERROR(INDEX(Ingredients!$J$5:$J$304,MATCH(D915,Ingredients!$B$5:$B$304,0)),"Add to Ingredients"))</f>
        <v>0</v>
      </c>
      <c r="N915" s="25">
        <f>IF(OR(J915="",M915="",NOT(ISNUMBER(M915))),"",IF(K915&lt;&gt;L915,"",J915*M915))</f>
        <v>0</v>
      </c>
      <c r="O915" s="25">
        <f>IF(N915="","",IFERROR(N915/INDEX(Recipes!$G$5:$G$204,MATCH(B915,Recipes!$A$5:$A$204,0)),""))</f>
        <v>0</v>
      </c>
      <c r="P915" s="30">
        <f>IF(J915="","",IF(K915="each",J915,J915/100))</f>
        <v>0</v>
      </c>
      <c r="Q915" s="30">
        <f>IFERROR(IF(P915="","",P915*INDEX(Ingredients!$P$5:$P$304,MATCH(D915,Ingredients!$B$5:$B$304,0))),"")</f>
        <v>0</v>
      </c>
      <c r="R915" s="45">
        <f>IFERROR(IF(P915="","",P915*INDEX(Ingredients!$Q$5:$Q$304,MATCH(D915,Ingredients!$B$5:$B$304,0))),"")</f>
        <v>0</v>
      </c>
      <c r="S915" s="45">
        <f>IFERROR(IF(P915="","",P915*INDEX(Ingredients!$R$5:$R$304,MATCH(D915,Ingredients!$B$5:$B$304,0))),"")</f>
        <v>0</v>
      </c>
      <c r="T915" s="45">
        <f>IFERROR(IF(P915="","",P915*INDEX(Ingredients!$S$5:$S$304,MATCH(D915,Ingredients!$B$5:$B$304,0))),"")</f>
        <v>0</v>
      </c>
      <c r="U915" s="45">
        <f>IFERROR(IF(P915="","",P915*INDEX(Ingredients!$T$5:$T$304,MATCH(D915,Ingredients!$B$5:$B$304,0))),"")</f>
        <v>0</v>
      </c>
      <c r="V915" s="17">
        <f>IF(D915="","",IFERROR(INDEX(Ingredients!$W$5:$W$304,MATCH(D915,Ingredients!$B$5:$B$304,0)),"Add to Ingredients"))</f>
        <v>0</v>
      </c>
      <c r="W915" s="17">
        <f>IF(D915="","",IFERROR(INDEX(Ingredients!$C$5:$C$304,MATCH(D915,Ingredients!$B$5:$B$304,0)),"Add to Ingredients"))</f>
        <v>0</v>
      </c>
      <c r="X915" s="45">
        <f>IFERROR(INDEX(Recipes!$AT$5:$AT$204,MATCH(B915,Recipes!$A$5:$A$204,0)),0)</f>
        <v>0</v>
      </c>
      <c r="Y915" s="45">
        <f>IF(OR(J915="",X915=0),"",J915*X915)</f>
        <v>0</v>
      </c>
      <c r="Z915" s="17">
        <f>IF(D915="","",B915&amp;"#"&amp;COUNTIFS($B$5:B915,B915))</f>
        <v>0</v>
      </c>
      <c r="AA915" s="17">
        <f>IF(D915="","",B915&amp;"|"&amp;D915)</f>
        <v>0</v>
      </c>
      <c r="AB915" s="31">
        <f>IF(D915="","",IF(B915="","Add - which recipe?",IF(COUNTIFS(Ingredients!$B$5:$B$304,D915)=0,"Missing - not in the Ingredients tab",IF(E915="","Add - no quantity",IF(F915="","Add - no unit",IF(K915&lt;&gt;L915,"Check - recipe in "&amp;K915&amp;", priced in "&amp;L915,IF(COUNTIFS($AA$5:$AA$1204,AA915)&gt;1,"Duplicate - same ingredient twice","OK")))))))</f>
        <v>0</v>
      </c>
    </row>
    <row r="916" spans="1:28">
      <c r="A916" s="39">
        <f>IF(D916="","","RL-"&amp;TEXT(ROW()-4,"0000"))</f>
        <v>0</v>
      </c>
      <c r="C916" s="17">
        <f>IF(B916="","",IFERROR(INDEX(Recipes!$B$5:$B$204,MATCH(B916,Recipes!$A$5:$A$204,0)),"Not found"))</f>
        <v>0</v>
      </c>
      <c r="J916" s="45">
        <f>IF(E916="","",IFERROR(E916*INDEX(UnitFactors,MATCH(F916,UnitNames,0)),""))</f>
        <v>0</v>
      </c>
      <c r="K916" s="17">
        <f>IF(F916="","",IFERROR(INDEX(UnitBases,MATCH(F916,UnitNames,0)),"?"))</f>
        <v>0</v>
      </c>
      <c r="L916" s="17">
        <f>IF(D916="","",IFERROR(INDEX(Ingredients!$G$5:$G$304,MATCH(D916,Ingredients!$B$5:$B$304,0)),"Add to Ingredients"))</f>
        <v>0</v>
      </c>
      <c r="M916" s="25">
        <f>IF(D916="","",IFERROR(INDEX(Ingredients!$J$5:$J$304,MATCH(D916,Ingredients!$B$5:$B$304,0)),"Add to Ingredients"))</f>
        <v>0</v>
      </c>
      <c r="N916" s="25">
        <f>IF(OR(J916="",M916="",NOT(ISNUMBER(M916))),"",IF(K916&lt;&gt;L916,"",J916*M916))</f>
        <v>0</v>
      </c>
      <c r="O916" s="25">
        <f>IF(N916="","",IFERROR(N916/INDEX(Recipes!$G$5:$G$204,MATCH(B916,Recipes!$A$5:$A$204,0)),""))</f>
        <v>0</v>
      </c>
      <c r="P916" s="30">
        <f>IF(J916="","",IF(K916="each",J916,J916/100))</f>
        <v>0</v>
      </c>
      <c r="Q916" s="30">
        <f>IFERROR(IF(P916="","",P916*INDEX(Ingredients!$P$5:$P$304,MATCH(D916,Ingredients!$B$5:$B$304,0))),"")</f>
        <v>0</v>
      </c>
      <c r="R916" s="45">
        <f>IFERROR(IF(P916="","",P916*INDEX(Ingredients!$Q$5:$Q$304,MATCH(D916,Ingredients!$B$5:$B$304,0))),"")</f>
        <v>0</v>
      </c>
      <c r="S916" s="45">
        <f>IFERROR(IF(P916="","",P916*INDEX(Ingredients!$R$5:$R$304,MATCH(D916,Ingredients!$B$5:$B$304,0))),"")</f>
        <v>0</v>
      </c>
      <c r="T916" s="45">
        <f>IFERROR(IF(P916="","",P916*INDEX(Ingredients!$S$5:$S$304,MATCH(D916,Ingredients!$B$5:$B$304,0))),"")</f>
        <v>0</v>
      </c>
      <c r="U916" s="45">
        <f>IFERROR(IF(P916="","",P916*INDEX(Ingredients!$T$5:$T$304,MATCH(D916,Ingredients!$B$5:$B$304,0))),"")</f>
        <v>0</v>
      </c>
      <c r="V916" s="17">
        <f>IF(D916="","",IFERROR(INDEX(Ingredients!$W$5:$W$304,MATCH(D916,Ingredients!$B$5:$B$304,0)),"Add to Ingredients"))</f>
        <v>0</v>
      </c>
      <c r="W916" s="17">
        <f>IF(D916="","",IFERROR(INDEX(Ingredients!$C$5:$C$304,MATCH(D916,Ingredients!$B$5:$B$304,0)),"Add to Ingredients"))</f>
        <v>0</v>
      </c>
      <c r="X916" s="45">
        <f>IFERROR(INDEX(Recipes!$AT$5:$AT$204,MATCH(B916,Recipes!$A$5:$A$204,0)),0)</f>
        <v>0</v>
      </c>
      <c r="Y916" s="45">
        <f>IF(OR(J916="",X916=0),"",J916*X916)</f>
        <v>0</v>
      </c>
      <c r="Z916" s="17">
        <f>IF(D916="","",B916&amp;"#"&amp;COUNTIFS($B$5:B916,B916))</f>
        <v>0</v>
      </c>
      <c r="AA916" s="17">
        <f>IF(D916="","",B916&amp;"|"&amp;D916)</f>
        <v>0</v>
      </c>
      <c r="AB916" s="31">
        <f>IF(D916="","",IF(B916="","Add - which recipe?",IF(COUNTIFS(Ingredients!$B$5:$B$304,D916)=0,"Missing - not in the Ingredients tab",IF(E916="","Add - no quantity",IF(F916="","Add - no unit",IF(K916&lt;&gt;L916,"Check - recipe in "&amp;K916&amp;", priced in "&amp;L916,IF(COUNTIFS($AA$5:$AA$1204,AA916)&gt;1,"Duplicate - same ingredient twice","OK")))))))</f>
        <v>0</v>
      </c>
    </row>
    <row r="917" spans="1:28">
      <c r="A917" s="39">
        <f>IF(D917="","","RL-"&amp;TEXT(ROW()-4,"0000"))</f>
        <v>0</v>
      </c>
      <c r="C917" s="17">
        <f>IF(B917="","",IFERROR(INDEX(Recipes!$B$5:$B$204,MATCH(B917,Recipes!$A$5:$A$204,0)),"Not found"))</f>
        <v>0</v>
      </c>
      <c r="J917" s="45">
        <f>IF(E917="","",IFERROR(E917*INDEX(UnitFactors,MATCH(F917,UnitNames,0)),""))</f>
        <v>0</v>
      </c>
      <c r="K917" s="17">
        <f>IF(F917="","",IFERROR(INDEX(UnitBases,MATCH(F917,UnitNames,0)),"?"))</f>
        <v>0</v>
      </c>
      <c r="L917" s="17">
        <f>IF(D917="","",IFERROR(INDEX(Ingredients!$G$5:$G$304,MATCH(D917,Ingredients!$B$5:$B$304,0)),"Add to Ingredients"))</f>
        <v>0</v>
      </c>
      <c r="M917" s="25">
        <f>IF(D917="","",IFERROR(INDEX(Ingredients!$J$5:$J$304,MATCH(D917,Ingredients!$B$5:$B$304,0)),"Add to Ingredients"))</f>
        <v>0</v>
      </c>
      <c r="N917" s="25">
        <f>IF(OR(J917="",M917="",NOT(ISNUMBER(M917))),"",IF(K917&lt;&gt;L917,"",J917*M917))</f>
        <v>0</v>
      </c>
      <c r="O917" s="25">
        <f>IF(N917="","",IFERROR(N917/INDEX(Recipes!$G$5:$G$204,MATCH(B917,Recipes!$A$5:$A$204,0)),""))</f>
        <v>0</v>
      </c>
      <c r="P917" s="30">
        <f>IF(J917="","",IF(K917="each",J917,J917/100))</f>
        <v>0</v>
      </c>
      <c r="Q917" s="30">
        <f>IFERROR(IF(P917="","",P917*INDEX(Ingredients!$P$5:$P$304,MATCH(D917,Ingredients!$B$5:$B$304,0))),"")</f>
        <v>0</v>
      </c>
      <c r="R917" s="45">
        <f>IFERROR(IF(P917="","",P917*INDEX(Ingredients!$Q$5:$Q$304,MATCH(D917,Ingredients!$B$5:$B$304,0))),"")</f>
        <v>0</v>
      </c>
      <c r="S917" s="45">
        <f>IFERROR(IF(P917="","",P917*INDEX(Ingredients!$R$5:$R$304,MATCH(D917,Ingredients!$B$5:$B$304,0))),"")</f>
        <v>0</v>
      </c>
      <c r="T917" s="45">
        <f>IFERROR(IF(P917="","",P917*INDEX(Ingredients!$S$5:$S$304,MATCH(D917,Ingredients!$B$5:$B$304,0))),"")</f>
        <v>0</v>
      </c>
      <c r="U917" s="45">
        <f>IFERROR(IF(P917="","",P917*INDEX(Ingredients!$T$5:$T$304,MATCH(D917,Ingredients!$B$5:$B$304,0))),"")</f>
        <v>0</v>
      </c>
      <c r="V917" s="17">
        <f>IF(D917="","",IFERROR(INDEX(Ingredients!$W$5:$W$304,MATCH(D917,Ingredients!$B$5:$B$304,0)),"Add to Ingredients"))</f>
        <v>0</v>
      </c>
      <c r="W917" s="17">
        <f>IF(D917="","",IFERROR(INDEX(Ingredients!$C$5:$C$304,MATCH(D917,Ingredients!$B$5:$B$304,0)),"Add to Ingredients"))</f>
        <v>0</v>
      </c>
      <c r="X917" s="45">
        <f>IFERROR(INDEX(Recipes!$AT$5:$AT$204,MATCH(B917,Recipes!$A$5:$A$204,0)),0)</f>
        <v>0</v>
      </c>
      <c r="Y917" s="45">
        <f>IF(OR(J917="",X917=0),"",J917*X917)</f>
        <v>0</v>
      </c>
      <c r="Z917" s="17">
        <f>IF(D917="","",B917&amp;"#"&amp;COUNTIFS($B$5:B917,B917))</f>
        <v>0</v>
      </c>
      <c r="AA917" s="17">
        <f>IF(D917="","",B917&amp;"|"&amp;D917)</f>
        <v>0</v>
      </c>
      <c r="AB917" s="31">
        <f>IF(D917="","",IF(B917="","Add - which recipe?",IF(COUNTIFS(Ingredients!$B$5:$B$304,D917)=0,"Missing - not in the Ingredients tab",IF(E917="","Add - no quantity",IF(F917="","Add - no unit",IF(K917&lt;&gt;L917,"Check - recipe in "&amp;K917&amp;", priced in "&amp;L917,IF(COUNTIFS($AA$5:$AA$1204,AA917)&gt;1,"Duplicate - same ingredient twice","OK")))))))</f>
        <v>0</v>
      </c>
    </row>
    <row r="918" spans="1:28">
      <c r="A918" s="39">
        <f>IF(D918="","","RL-"&amp;TEXT(ROW()-4,"0000"))</f>
        <v>0</v>
      </c>
      <c r="C918" s="17">
        <f>IF(B918="","",IFERROR(INDEX(Recipes!$B$5:$B$204,MATCH(B918,Recipes!$A$5:$A$204,0)),"Not found"))</f>
        <v>0</v>
      </c>
      <c r="J918" s="45">
        <f>IF(E918="","",IFERROR(E918*INDEX(UnitFactors,MATCH(F918,UnitNames,0)),""))</f>
        <v>0</v>
      </c>
      <c r="K918" s="17">
        <f>IF(F918="","",IFERROR(INDEX(UnitBases,MATCH(F918,UnitNames,0)),"?"))</f>
        <v>0</v>
      </c>
      <c r="L918" s="17">
        <f>IF(D918="","",IFERROR(INDEX(Ingredients!$G$5:$G$304,MATCH(D918,Ingredients!$B$5:$B$304,0)),"Add to Ingredients"))</f>
        <v>0</v>
      </c>
      <c r="M918" s="25">
        <f>IF(D918="","",IFERROR(INDEX(Ingredients!$J$5:$J$304,MATCH(D918,Ingredients!$B$5:$B$304,0)),"Add to Ingredients"))</f>
        <v>0</v>
      </c>
      <c r="N918" s="25">
        <f>IF(OR(J918="",M918="",NOT(ISNUMBER(M918))),"",IF(K918&lt;&gt;L918,"",J918*M918))</f>
        <v>0</v>
      </c>
      <c r="O918" s="25">
        <f>IF(N918="","",IFERROR(N918/INDEX(Recipes!$G$5:$G$204,MATCH(B918,Recipes!$A$5:$A$204,0)),""))</f>
        <v>0</v>
      </c>
      <c r="P918" s="30">
        <f>IF(J918="","",IF(K918="each",J918,J918/100))</f>
        <v>0</v>
      </c>
      <c r="Q918" s="30">
        <f>IFERROR(IF(P918="","",P918*INDEX(Ingredients!$P$5:$P$304,MATCH(D918,Ingredients!$B$5:$B$304,0))),"")</f>
        <v>0</v>
      </c>
      <c r="R918" s="45">
        <f>IFERROR(IF(P918="","",P918*INDEX(Ingredients!$Q$5:$Q$304,MATCH(D918,Ingredients!$B$5:$B$304,0))),"")</f>
        <v>0</v>
      </c>
      <c r="S918" s="45">
        <f>IFERROR(IF(P918="","",P918*INDEX(Ingredients!$R$5:$R$304,MATCH(D918,Ingredients!$B$5:$B$304,0))),"")</f>
        <v>0</v>
      </c>
      <c r="T918" s="45">
        <f>IFERROR(IF(P918="","",P918*INDEX(Ingredients!$S$5:$S$304,MATCH(D918,Ingredients!$B$5:$B$304,0))),"")</f>
        <v>0</v>
      </c>
      <c r="U918" s="45">
        <f>IFERROR(IF(P918="","",P918*INDEX(Ingredients!$T$5:$T$304,MATCH(D918,Ingredients!$B$5:$B$304,0))),"")</f>
        <v>0</v>
      </c>
      <c r="V918" s="17">
        <f>IF(D918="","",IFERROR(INDEX(Ingredients!$W$5:$W$304,MATCH(D918,Ingredients!$B$5:$B$304,0)),"Add to Ingredients"))</f>
        <v>0</v>
      </c>
      <c r="W918" s="17">
        <f>IF(D918="","",IFERROR(INDEX(Ingredients!$C$5:$C$304,MATCH(D918,Ingredients!$B$5:$B$304,0)),"Add to Ingredients"))</f>
        <v>0</v>
      </c>
      <c r="X918" s="45">
        <f>IFERROR(INDEX(Recipes!$AT$5:$AT$204,MATCH(B918,Recipes!$A$5:$A$204,0)),0)</f>
        <v>0</v>
      </c>
      <c r="Y918" s="45">
        <f>IF(OR(J918="",X918=0),"",J918*X918)</f>
        <v>0</v>
      </c>
      <c r="Z918" s="17">
        <f>IF(D918="","",B918&amp;"#"&amp;COUNTIFS($B$5:B918,B918))</f>
        <v>0</v>
      </c>
      <c r="AA918" s="17">
        <f>IF(D918="","",B918&amp;"|"&amp;D918)</f>
        <v>0</v>
      </c>
      <c r="AB918" s="31">
        <f>IF(D918="","",IF(B918="","Add - which recipe?",IF(COUNTIFS(Ingredients!$B$5:$B$304,D918)=0,"Missing - not in the Ingredients tab",IF(E918="","Add - no quantity",IF(F918="","Add - no unit",IF(K918&lt;&gt;L918,"Check - recipe in "&amp;K918&amp;", priced in "&amp;L918,IF(COUNTIFS($AA$5:$AA$1204,AA918)&gt;1,"Duplicate - same ingredient twice","OK")))))))</f>
        <v>0</v>
      </c>
    </row>
    <row r="919" spans="1:28">
      <c r="A919" s="39">
        <f>IF(D919="","","RL-"&amp;TEXT(ROW()-4,"0000"))</f>
        <v>0</v>
      </c>
      <c r="C919" s="17">
        <f>IF(B919="","",IFERROR(INDEX(Recipes!$B$5:$B$204,MATCH(B919,Recipes!$A$5:$A$204,0)),"Not found"))</f>
        <v>0</v>
      </c>
      <c r="J919" s="45">
        <f>IF(E919="","",IFERROR(E919*INDEX(UnitFactors,MATCH(F919,UnitNames,0)),""))</f>
        <v>0</v>
      </c>
      <c r="K919" s="17">
        <f>IF(F919="","",IFERROR(INDEX(UnitBases,MATCH(F919,UnitNames,0)),"?"))</f>
        <v>0</v>
      </c>
      <c r="L919" s="17">
        <f>IF(D919="","",IFERROR(INDEX(Ingredients!$G$5:$G$304,MATCH(D919,Ingredients!$B$5:$B$304,0)),"Add to Ingredients"))</f>
        <v>0</v>
      </c>
      <c r="M919" s="25">
        <f>IF(D919="","",IFERROR(INDEX(Ingredients!$J$5:$J$304,MATCH(D919,Ingredients!$B$5:$B$304,0)),"Add to Ingredients"))</f>
        <v>0</v>
      </c>
      <c r="N919" s="25">
        <f>IF(OR(J919="",M919="",NOT(ISNUMBER(M919))),"",IF(K919&lt;&gt;L919,"",J919*M919))</f>
        <v>0</v>
      </c>
      <c r="O919" s="25">
        <f>IF(N919="","",IFERROR(N919/INDEX(Recipes!$G$5:$G$204,MATCH(B919,Recipes!$A$5:$A$204,0)),""))</f>
        <v>0</v>
      </c>
      <c r="P919" s="30">
        <f>IF(J919="","",IF(K919="each",J919,J919/100))</f>
        <v>0</v>
      </c>
      <c r="Q919" s="30">
        <f>IFERROR(IF(P919="","",P919*INDEX(Ingredients!$P$5:$P$304,MATCH(D919,Ingredients!$B$5:$B$304,0))),"")</f>
        <v>0</v>
      </c>
      <c r="R919" s="45">
        <f>IFERROR(IF(P919="","",P919*INDEX(Ingredients!$Q$5:$Q$304,MATCH(D919,Ingredients!$B$5:$B$304,0))),"")</f>
        <v>0</v>
      </c>
      <c r="S919" s="45">
        <f>IFERROR(IF(P919="","",P919*INDEX(Ingredients!$R$5:$R$304,MATCH(D919,Ingredients!$B$5:$B$304,0))),"")</f>
        <v>0</v>
      </c>
      <c r="T919" s="45">
        <f>IFERROR(IF(P919="","",P919*INDEX(Ingredients!$S$5:$S$304,MATCH(D919,Ingredients!$B$5:$B$304,0))),"")</f>
        <v>0</v>
      </c>
      <c r="U919" s="45">
        <f>IFERROR(IF(P919="","",P919*INDEX(Ingredients!$T$5:$T$304,MATCH(D919,Ingredients!$B$5:$B$304,0))),"")</f>
        <v>0</v>
      </c>
      <c r="V919" s="17">
        <f>IF(D919="","",IFERROR(INDEX(Ingredients!$W$5:$W$304,MATCH(D919,Ingredients!$B$5:$B$304,0)),"Add to Ingredients"))</f>
        <v>0</v>
      </c>
      <c r="W919" s="17">
        <f>IF(D919="","",IFERROR(INDEX(Ingredients!$C$5:$C$304,MATCH(D919,Ingredients!$B$5:$B$304,0)),"Add to Ingredients"))</f>
        <v>0</v>
      </c>
      <c r="X919" s="45">
        <f>IFERROR(INDEX(Recipes!$AT$5:$AT$204,MATCH(B919,Recipes!$A$5:$A$204,0)),0)</f>
        <v>0</v>
      </c>
      <c r="Y919" s="45">
        <f>IF(OR(J919="",X919=0),"",J919*X919)</f>
        <v>0</v>
      </c>
      <c r="Z919" s="17">
        <f>IF(D919="","",B919&amp;"#"&amp;COUNTIFS($B$5:B919,B919))</f>
        <v>0</v>
      </c>
      <c r="AA919" s="17">
        <f>IF(D919="","",B919&amp;"|"&amp;D919)</f>
        <v>0</v>
      </c>
      <c r="AB919" s="31">
        <f>IF(D919="","",IF(B919="","Add - which recipe?",IF(COUNTIFS(Ingredients!$B$5:$B$304,D919)=0,"Missing - not in the Ingredients tab",IF(E919="","Add - no quantity",IF(F919="","Add - no unit",IF(K919&lt;&gt;L919,"Check - recipe in "&amp;K919&amp;", priced in "&amp;L919,IF(COUNTIFS($AA$5:$AA$1204,AA919)&gt;1,"Duplicate - same ingredient twice","OK")))))))</f>
        <v>0</v>
      </c>
    </row>
    <row r="920" spans="1:28">
      <c r="A920" s="39">
        <f>IF(D920="","","RL-"&amp;TEXT(ROW()-4,"0000"))</f>
        <v>0</v>
      </c>
      <c r="C920" s="17">
        <f>IF(B920="","",IFERROR(INDEX(Recipes!$B$5:$B$204,MATCH(B920,Recipes!$A$5:$A$204,0)),"Not found"))</f>
        <v>0</v>
      </c>
      <c r="J920" s="45">
        <f>IF(E920="","",IFERROR(E920*INDEX(UnitFactors,MATCH(F920,UnitNames,0)),""))</f>
        <v>0</v>
      </c>
      <c r="K920" s="17">
        <f>IF(F920="","",IFERROR(INDEX(UnitBases,MATCH(F920,UnitNames,0)),"?"))</f>
        <v>0</v>
      </c>
      <c r="L920" s="17">
        <f>IF(D920="","",IFERROR(INDEX(Ingredients!$G$5:$G$304,MATCH(D920,Ingredients!$B$5:$B$304,0)),"Add to Ingredients"))</f>
        <v>0</v>
      </c>
      <c r="M920" s="25">
        <f>IF(D920="","",IFERROR(INDEX(Ingredients!$J$5:$J$304,MATCH(D920,Ingredients!$B$5:$B$304,0)),"Add to Ingredients"))</f>
        <v>0</v>
      </c>
      <c r="N920" s="25">
        <f>IF(OR(J920="",M920="",NOT(ISNUMBER(M920))),"",IF(K920&lt;&gt;L920,"",J920*M920))</f>
        <v>0</v>
      </c>
      <c r="O920" s="25">
        <f>IF(N920="","",IFERROR(N920/INDEX(Recipes!$G$5:$G$204,MATCH(B920,Recipes!$A$5:$A$204,0)),""))</f>
        <v>0</v>
      </c>
      <c r="P920" s="30">
        <f>IF(J920="","",IF(K920="each",J920,J920/100))</f>
        <v>0</v>
      </c>
      <c r="Q920" s="30">
        <f>IFERROR(IF(P920="","",P920*INDEX(Ingredients!$P$5:$P$304,MATCH(D920,Ingredients!$B$5:$B$304,0))),"")</f>
        <v>0</v>
      </c>
      <c r="R920" s="45">
        <f>IFERROR(IF(P920="","",P920*INDEX(Ingredients!$Q$5:$Q$304,MATCH(D920,Ingredients!$B$5:$B$304,0))),"")</f>
        <v>0</v>
      </c>
      <c r="S920" s="45">
        <f>IFERROR(IF(P920="","",P920*INDEX(Ingredients!$R$5:$R$304,MATCH(D920,Ingredients!$B$5:$B$304,0))),"")</f>
        <v>0</v>
      </c>
      <c r="T920" s="45">
        <f>IFERROR(IF(P920="","",P920*INDEX(Ingredients!$S$5:$S$304,MATCH(D920,Ingredients!$B$5:$B$304,0))),"")</f>
        <v>0</v>
      </c>
      <c r="U920" s="45">
        <f>IFERROR(IF(P920="","",P920*INDEX(Ingredients!$T$5:$T$304,MATCH(D920,Ingredients!$B$5:$B$304,0))),"")</f>
        <v>0</v>
      </c>
      <c r="V920" s="17">
        <f>IF(D920="","",IFERROR(INDEX(Ingredients!$W$5:$W$304,MATCH(D920,Ingredients!$B$5:$B$304,0)),"Add to Ingredients"))</f>
        <v>0</v>
      </c>
      <c r="W920" s="17">
        <f>IF(D920="","",IFERROR(INDEX(Ingredients!$C$5:$C$304,MATCH(D920,Ingredients!$B$5:$B$304,0)),"Add to Ingredients"))</f>
        <v>0</v>
      </c>
      <c r="X920" s="45">
        <f>IFERROR(INDEX(Recipes!$AT$5:$AT$204,MATCH(B920,Recipes!$A$5:$A$204,0)),0)</f>
        <v>0</v>
      </c>
      <c r="Y920" s="45">
        <f>IF(OR(J920="",X920=0),"",J920*X920)</f>
        <v>0</v>
      </c>
      <c r="Z920" s="17">
        <f>IF(D920="","",B920&amp;"#"&amp;COUNTIFS($B$5:B920,B920))</f>
        <v>0</v>
      </c>
      <c r="AA920" s="17">
        <f>IF(D920="","",B920&amp;"|"&amp;D920)</f>
        <v>0</v>
      </c>
      <c r="AB920" s="31">
        <f>IF(D920="","",IF(B920="","Add - which recipe?",IF(COUNTIFS(Ingredients!$B$5:$B$304,D920)=0,"Missing - not in the Ingredients tab",IF(E920="","Add - no quantity",IF(F920="","Add - no unit",IF(K920&lt;&gt;L920,"Check - recipe in "&amp;K920&amp;", priced in "&amp;L920,IF(COUNTIFS($AA$5:$AA$1204,AA920)&gt;1,"Duplicate - same ingredient twice","OK")))))))</f>
        <v>0</v>
      </c>
    </row>
    <row r="921" spans="1:28">
      <c r="A921" s="39">
        <f>IF(D921="","","RL-"&amp;TEXT(ROW()-4,"0000"))</f>
        <v>0</v>
      </c>
      <c r="C921" s="17">
        <f>IF(B921="","",IFERROR(INDEX(Recipes!$B$5:$B$204,MATCH(B921,Recipes!$A$5:$A$204,0)),"Not found"))</f>
        <v>0</v>
      </c>
      <c r="J921" s="45">
        <f>IF(E921="","",IFERROR(E921*INDEX(UnitFactors,MATCH(F921,UnitNames,0)),""))</f>
        <v>0</v>
      </c>
      <c r="K921" s="17">
        <f>IF(F921="","",IFERROR(INDEX(UnitBases,MATCH(F921,UnitNames,0)),"?"))</f>
        <v>0</v>
      </c>
      <c r="L921" s="17">
        <f>IF(D921="","",IFERROR(INDEX(Ingredients!$G$5:$G$304,MATCH(D921,Ingredients!$B$5:$B$304,0)),"Add to Ingredients"))</f>
        <v>0</v>
      </c>
      <c r="M921" s="25">
        <f>IF(D921="","",IFERROR(INDEX(Ingredients!$J$5:$J$304,MATCH(D921,Ingredients!$B$5:$B$304,0)),"Add to Ingredients"))</f>
        <v>0</v>
      </c>
      <c r="N921" s="25">
        <f>IF(OR(J921="",M921="",NOT(ISNUMBER(M921))),"",IF(K921&lt;&gt;L921,"",J921*M921))</f>
        <v>0</v>
      </c>
      <c r="O921" s="25">
        <f>IF(N921="","",IFERROR(N921/INDEX(Recipes!$G$5:$G$204,MATCH(B921,Recipes!$A$5:$A$204,0)),""))</f>
        <v>0</v>
      </c>
      <c r="P921" s="30">
        <f>IF(J921="","",IF(K921="each",J921,J921/100))</f>
        <v>0</v>
      </c>
      <c r="Q921" s="30">
        <f>IFERROR(IF(P921="","",P921*INDEX(Ingredients!$P$5:$P$304,MATCH(D921,Ingredients!$B$5:$B$304,0))),"")</f>
        <v>0</v>
      </c>
      <c r="R921" s="45">
        <f>IFERROR(IF(P921="","",P921*INDEX(Ingredients!$Q$5:$Q$304,MATCH(D921,Ingredients!$B$5:$B$304,0))),"")</f>
        <v>0</v>
      </c>
      <c r="S921" s="45">
        <f>IFERROR(IF(P921="","",P921*INDEX(Ingredients!$R$5:$R$304,MATCH(D921,Ingredients!$B$5:$B$304,0))),"")</f>
        <v>0</v>
      </c>
      <c r="T921" s="45">
        <f>IFERROR(IF(P921="","",P921*INDEX(Ingredients!$S$5:$S$304,MATCH(D921,Ingredients!$B$5:$B$304,0))),"")</f>
        <v>0</v>
      </c>
      <c r="U921" s="45">
        <f>IFERROR(IF(P921="","",P921*INDEX(Ingredients!$T$5:$T$304,MATCH(D921,Ingredients!$B$5:$B$304,0))),"")</f>
        <v>0</v>
      </c>
      <c r="V921" s="17">
        <f>IF(D921="","",IFERROR(INDEX(Ingredients!$W$5:$W$304,MATCH(D921,Ingredients!$B$5:$B$304,0)),"Add to Ingredients"))</f>
        <v>0</v>
      </c>
      <c r="W921" s="17">
        <f>IF(D921="","",IFERROR(INDEX(Ingredients!$C$5:$C$304,MATCH(D921,Ingredients!$B$5:$B$304,0)),"Add to Ingredients"))</f>
        <v>0</v>
      </c>
      <c r="X921" s="45">
        <f>IFERROR(INDEX(Recipes!$AT$5:$AT$204,MATCH(B921,Recipes!$A$5:$A$204,0)),0)</f>
        <v>0</v>
      </c>
      <c r="Y921" s="45">
        <f>IF(OR(J921="",X921=0),"",J921*X921)</f>
        <v>0</v>
      </c>
      <c r="Z921" s="17">
        <f>IF(D921="","",B921&amp;"#"&amp;COUNTIFS($B$5:B921,B921))</f>
        <v>0</v>
      </c>
      <c r="AA921" s="17">
        <f>IF(D921="","",B921&amp;"|"&amp;D921)</f>
        <v>0</v>
      </c>
      <c r="AB921" s="31">
        <f>IF(D921="","",IF(B921="","Add - which recipe?",IF(COUNTIFS(Ingredients!$B$5:$B$304,D921)=0,"Missing - not in the Ingredients tab",IF(E921="","Add - no quantity",IF(F921="","Add - no unit",IF(K921&lt;&gt;L921,"Check - recipe in "&amp;K921&amp;", priced in "&amp;L921,IF(COUNTIFS($AA$5:$AA$1204,AA921)&gt;1,"Duplicate - same ingredient twice","OK")))))))</f>
        <v>0</v>
      </c>
    </row>
    <row r="922" spans="1:28">
      <c r="A922" s="39">
        <f>IF(D922="","","RL-"&amp;TEXT(ROW()-4,"0000"))</f>
        <v>0</v>
      </c>
      <c r="C922" s="17">
        <f>IF(B922="","",IFERROR(INDEX(Recipes!$B$5:$B$204,MATCH(B922,Recipes!$A$5:$A$204,0)),"Not found"))</f>
        <v>0</v>
      </c>
      <c r="J922" s="45">
        <f>IF(E922="","",IFERROR(E922*INDEX(UnitFactors,MATCH(F922,UnitNames,0)),""))</f>
        <v>0</v>
      </c>
      <c r="K922" s="17">
        <f>IF(F922="","",IFERROR(INDEX(UnitBases,MATCH(F922,UnitNames,0)),"?"))</f>
        <v>0</v>
      </c>
      <c r="L922" s="17">
        <f>IF(D922="","",IFERROR(INDEX(Ingredients!$G$5:$G$304,MATCH(D922,Ingredients!$B$5:$B$304,0)),"Add to Ingredients"))</f>
        <v>0</v>
      </c>
      <c r="M922" s="25">
        <f>IF(D922="","",IFERROR(INDEX(Ingredients!$J$5:$J$304,MATCH(D922,Ingredients!$B$5:$B$304,0)),"Add to Ingredients"))</f>
        <v>0</v>
      </c>
      <c r="N922" s="25">
        <f>IF(OR(J922="",M922="",NOT(ISNUMBER(M922))),"",IF(K922&lt;&gt;L922,"",J922*M922))</f>
        <v>0</v>
      </c>
      <c r="O922" s="25">
        <f>IF(N922="","",IFERROR(N922/INDEX(Recipes!$G$5:$G$204,MATCH(B922,Recipes!$A$5:$A$204,0)),""))</f>
        <v>0</v>
      </c>
      <c r="P922" s="30">
        <f>IF(J922="","",IF(K922="each",J922,J922/100))</f>
        <v>0</v>
      </c>
      <c r="Q922" s="30">
        <f>IFERROR(IF(P922="","",P922*INDEX(Ingredients!$P$5:$P$304,MATCH(D922,Ingredients!$B$5:$B$304,0))),"")</f>
        <v>0</v>
      </c>
      <c r="R922" s="45">
        <f>IFERROR(IF(P922="","",P922*INDEX(Ingredients!$Q$5:$Q$304,MATCH(D922,Ingredients!$B$5:$B$304,0))),"")</f>
        <v>0</v>
      </c>
      <c r="S922" s="45">
        <f>IFERROR(IF(P922="","",P922*INDEX(Ingredients!$R$5:$R$304,MATCH(D922,Ingredients!$B$5:$B$304,0))),"")</f>
        <v>0</v>
      </c>
      <c r="T922" s="45">
        <f>IFERROR(IF(P922="","",P922*INDEX(Ingredients!$S$5:$S$304,MATCH(D922,Ingredients!$B$5:$B$304,0))),"")</f>
        <v>0</v>
      </c>
      <c r="U922" s="45">
        <f>IFERROR(IF(P922="","",P922*INDEX(Ingredients!$T$5:$T$304,MATCH(D922,Ingredients!$B$5:$B$304,0))),"")</f>
        <v>0</v>
      </c>
      <c r="V922" s="17">
        <f>IF(D922="","",IFERROR(INDEX(Ingredients!$W$5:$W$304,MATCH(D922,Ingredients!$B$5:$B$304,0)),"Add to Ingredients"))</f>
        <v>0</v>
      </c>
      <c r="W922" s="17">
        <f>IF(D922="","",IFERROR(INDEX(Ingredients!$C$5:$C$304,MATCH(D922,Ingredients!$B$5:$B$304,0)),"Add to Ingredients"))</f>
        <v>0</v>
      </c>
      <c r="X922" s="45">
        <f>IFERROR(INDEX(Recipes!$AT$5:$AT$204,MATCH(B922,Recipes!$A$5:$A$204,0)),0)</f>
        <v>0</v>
      </c>
      <c r="Y922" s="45">
        <f>IF(OR(J922="",X922=0),"",J922*X922)</f>
        <v>0</v>
      </c>
      <c r="Z922" s="17">
        <f>IF(D922="","",B922&amp;"#"&amp;COUNTIFS($B$5:B922,B922))</f>
        <v>0</v>
      </c>
      <c r="AA922" s="17">
        <f>IF(D922="","",B922&amp;"|"&amp;D922)</f>
        <v>0</v>
      </c>
      <c r="AB922" s="31">
        <f>IF(D922="","",IF(B922="","Add - which recipe?",IF(COUNTIFS(Ingredients!$B$5:$B$304,D922)=0,"Missing - not in the Ingredients tab",IF(E922="","Add - no quantity",IF(F922="","Add - no unit",IF(K922&lt;&gt;L922,"Check - recipe in "&amp;K922&amp;", priced in "&amp;L922,IF(COUNTIFS($AA$5:$AA$1204,AA922)&gt;1,"Duplicate - same ingredient twice","OK")))))))</f>
        <v>0</v>
      </c>
    </row>
    <row r="923" spans="1:28">
      <c r="A923" s="39">
        <f>IF(D923="","","RL-"&amp;TEXT(ROW()-4,"0000"))</f>
        <v>0</v>
      </c>
      <c r="C923" s="17">
        <f>IF(B923="","",IFERROR(INDEX(Recipes!$B$5:$B$204,MATCH(B923,Recipes!$A$5:$A$204,0)),"Not found"))</f>
        <v>0</v>
      </c>
      <c r="J923" s="45">
        <f>IF(E923="","",IFERROR(E923*INDEX(UnitFactors,MATCH(F923,UnitNames,0)),""))</f>
        <v>0</v>
      </c>
      <c r="K923" s="17">
        <f>IF(F923="","",IFERROR(INDEX(UnitBases,MATCH(F923,UnitNames,0)),"?"))</f>
        <v>0</v>
      </c>
      <c r="L923" s="17">
        <f>IF(D923="","",IFERROR(INDEX(Ingredients!$G$5:$G$304,MATCH(D923,Ingredients!$B$5:$B$304,0)),"Add to Ingredients"))</f>
        <v>0</v>
      </c>
      <c r="M923" s="25">
        <f>IF(D923="","",IFERROR(INDEX(Ingredients!$J$5:$J$304,MATCH(D923,Ingredients!$B$5:$B$304,0)),"Add to Ingredients"))</f>
        <v>0</v>
      </c>
      <c r="N923" s="25">
        <f>IF(OR(J923="",M923="",NOT(ISNUMBER(M923))),"",IF(K923&lt;&gt;L923,"",J923*M923))</f>
        <v>0</v>
      </c>
      <c r="O923" s="25">
        <f>IF(N923="","",IFERROR(N923/INDEX(Recipes!$G$5:$G$204,MATCH(B923,Recipes!$A$5:$A$204,0)),""))</f>
        <v>0</v>
      </c>
      <c r="P923" s="30">
        <f>IF(J923="","",IF(K923="each",J923,J923/100))</f>
        <v>0</v>
      </c>
      <c r="Q923" s="30">
        <f>IFERROR(IF(P923="","",P923*INDEX(Ingredients!$P$5:$P$304,MATCH(D923,Ingredients!$B$5:$B$304,0))),"")</f>
        <v>0</v>
      </c>
      <c r="R923" s="45">
        <f>IFERROR(IF(P923="","",P923*INDEX(Ingredients!$Q$5:$Q$304,MATCH(D923,Ingredients!$B$5:$B$304,0))),"")</f>
        <v>0</v>
      </c>
      <c r="S923" s="45">
        <f>IFERROR(IF(P923="","",P923*INDEX(Ingredients!$R$5:$R$304,MATCH(D923,Ingredients!$B$5:$B$304,0))),"")</f>
        <v>0</v>
      </c>
      <c r="T923" s="45">
        <f>IFERROR(IF(P923="","",P923*INDEX(Ingredients!$S$5:$S$304,MATCH(D923,Ingredients!$B$5:$B$304,0))),"")</f>
        <v>0</v>
      </c>
      <c r="U923" s="45">
        <f>IFERROR(IF(P923="","",P923*INDEX(Ingredients!$T$5:$T$304,MATCH(D923,Ingredients!$B$5:$B$304,0))),"")</f>
        <v>0</v>
      </c>
      <c r="V923" s="17">
        <f>IF(D923="","",IFERROR(INDEX(Ingredients!$W$5:$W$304,MATCH(D923,Ingredients!$B$5:$B$304,0)),"Add to Ingredients"))</f>
        <v>0</v>
      </c>
      <c r="W923" s="17">
        <f>IF(D923="","",IFERROR(INDEX(Ingredients!$C$5:$C$304,MATCH(D923,Ingredients!$B$5:$B$304,0)),"Add to Ingredients"))</f>
        <v>0</v>
      </c>
      <c r="X923" s="45">
        <f>IFERROR(INDEX(Recipes!$AT$5:$AT$204,MATCH(B923,Recipes!$A$5:$A$204,0)),0)</f>
        <v>0</v>
      </c>
      <c r="Y923" s="45">
        <f>IF(OR(J923="",X923=0),"",J923*X923)</f>
        <v>0</v>
      </c>
      <c r="Z923" s="17">
        <f>IF(D923="","",B923&amp;"#"&amp;COUNTIFS($B$5:B923,B923))</f>
        <v>0</v>
      </c>
      <c r="AA923" s="17">
        <f>IF(D923="","",B923&amp;"|"&amp;D923)</f>
        <v>0</v>
      </c>
      <c r="AB923" s="31">
        <f>IF(D923="","",IF(B923="","Add - which recipe?",IF(COUNTIFS(Ingredients!$B$5:$B$304,D923)=0,"Missing - not in the Ingredients tab",IF(E923="","Add - no quantity",IF(F923="","Add - no unit",IF(K923&lt;&gt;L923,"Check - recipe in "&amp;K923&amp;", priced in "&amp;L923,IF(COUNTIFS($AA$5:$AA$1204,AA923)&gt;1,"Duplicate - same ingredient twice","OK")))))))</f>
        <v>0</v>
      </c>
    </row>
    <row r="924" spans="1:28">
      <c r="A924" s="39">
        <f>IF(D924="","","RL-"&amp;TEXT(ROW()-4,"0000"))</f>
        <v>0</v>
      </c>
      <c r="C924" s="17">
        <f>IF(B924="","",IFERROR(INDEX(Recipes!$B$5:$B$204,MATCH(B924,Recipes!$A$5:$A$204,0)),"Not found"))</f>
        <v>0</v>
      </c>
      <c r="J924" s="45">
        <f>IF(E924="","",IFERROR(E924*INDEX(UnitFactors,MATCH(F924,UnitNames,0)),""))</f>
        <v>0</v>
      </c>
      <c r="K924" s="17">
        <f>IF(F924="","",IFERROR(INDEX(UnitBases,MATCH(F924,UnitNames,0)),"?"))</f>
        <v>0</v>
      </c>
      <c r="L924" s="17">
        <f>IF(D924="","",IFERROR(INDEX(Ingredients!$G$5:$G$304,MATCH(D924,Ingredients!$B$5:$B$304,0)),"Add to Ingredients"))</f>
        <v>0</v>
      </c>
      <c r="M924" s="25">
        <f>IF(D924="","",IFERROR(INDEX(Ingredients!$J$5:$J$304,MATCH(D924,Ingredients!$B$5:$B$304,0)),"Add to Ingredients"))</f>
        <v>0</v>
      </c>
      <c r="N924" s="25">
        <f>IF(OR(J924="",M924="",NOT(ISNUMBER(M924))),"",IF(K924&lt;&gt;L924,"",J924*M924))</f>
        <v>0</v>
      </c>
      <c r="O924" s="25">
        <f>IF(N924="","",IFERROR(N924/INDEX(Recipes!$G$5:$G$204,MATCH(B924,Recipes!$A$5:$A$204,0)),""))</f>
        <v>0</v>
      </c>
      <c r="P924" s="30">
        <f>IF(J924="","",IF(K924="each",J924,J924/100))</f>
        <v>0</v>
      </c>
      <c r="Q924" s="30">
        <f>IFERROR(IF(P924="","",P924*INDEX(Ingredients!$P$5:$P$304,MATCH(D924,Ingredients!$B$5:$B$304,0))),"")</f>
        <v>0</v>
      </c>
      <c r="R924" s="45">
        <f>IFERROR(IF(P924="","",P924*INDEX(Ingredients!$Q$5:$Q$304,MATCH(D924,Ingredients!$B$5:$B$304,0))),"")</f>
        <v>0</v>
      </c>
      <c r="S924" s="45">
        <f>IFERROR(IF(P924="","",P924*INDEX(Ingredients!$R$5:$R$304,MATCH(D924,Ingredients!$B$5:$B$304,0))),"")</f>
        <v>0</v>
      </c>
      <c r="T924" s="45">
        <f>IFERROR(IF(P924="","",P924*INDEX(Ingredients!$S$5:$S$304,MATCH(D924,Ingredients!$B$5:$B$304,0))),"")</f>
        <v>0</v>
      </c>
      <c r="U924" s="45">
        <f>IFERROR(IF(P924="","",P924*INDEX(Ingredients!$T$5:$T$304,MATCH(D924,Ingredients!$B$5:$B$304,0))),"")</f>
        <v>0</v>
      </c>
      <c r="V924" s="17">
        <f>IF(D924="","",IFERROR(INDEX(Ingredients!$W$5:$W$304,MATCH(D924,Ingredients!$B$5:$B$304,0)),"Add to Ingredients"))</f>
        <v>0</v>
      </c>
      <c r="W924" s="17">
        <f>IF(D924="","",IFERROR(INDEX(Ingredients!$C$5:$C$304,MATCH(D924,Ingredients!$B$5:$B$304,0)),"Add to Ingredients"))</f>
        <v>0</v>
      </c>
      <c r="X924" s="45">
        <f>IFERROR(INDEX(Recipes!$AT$5:$AT$204,MATCH(B924,Recipes!$A$5:$A$204,0)),0)</f>
        <v>0</v>
      </c>
      <c r="Y924" s="45">
        <f>IF(OR(J924="",X924=0),"",J924*X924)</f>
        <v>0</v>
      </c>
      <c r="Z924" s="17">
        <f>IF(D924="","",B924&amp;"#"&amp;COUNTIFS($B$5:B924,B924))</f>
        <v>0</v>
      </c>
      <c r="AA924" s="17">
        <f>IF(D924="","",B924&amp;"|"&amp;D924)</f>
        <v>0</v>
      </c>
      <c r="AB924" s="31">
        <f>IF(D924="","",IF(B924="","Add - which recipe?",IF(COUNTIFS(Ingredients!$B$5:$B$304,D924)=0,"Missing - not in the Ingredients tab",IF(E924="","Add - no quantity",IF(F924="","Add - no unit",IF(K924&lt;&gt;L924,"Check - recipe in "&amp;K924&amp;", priced in "&amp;L924,IF(COUNTIFS($AA$5:$AA$1204,AA924)&gt;1,"Duplicate - same ingredient twice","OK")))))))</f>
        <v>0</v>
      </c>
    </row>
    <row r="925" spans="1:28">
      <c r="A925" s="39">
        <f>IF(D925="","","RL-"&amp;TEXT(ROW()-4,"0000"))</f>
        <v>0</v>
      </c>
      <c r="C925" s="17">
        <f>IF(B925="","",IFERROR(INDEX(Recipes!$B$5:$B$204,MATCH(B925,Recipes!$A$5:$A$204,0)),"Not found"))</f>
        <v>0</v>
      </c>
      <c r="J925" s="45">
        <f>IF(E925="","",IFERROR(E925*INDEX(UnitFactors,MATCH(F925,UnitNames,0)),""))</f>
        <v>0</v>
      </c>
      <c r="K925" s="17">
        <f>IF(F925="","",IFERROR(INDEX(UnitBases,MATCH(F925,UnitNames,0)),"?"))</f>
        <v>0</v>
      </c>
      <c r="L925" s="17">
        <f>IF(D925="","",IFERROR(INDEX(Ingredients!$G$5:$G$304,MATCH(D925,Ingredients!$B$5:$B$304,0)),"Add to Ingredients"))</f>
        <v>0</v>
      </c>
      <c r="M925" s="25">
        <f>IF(D925="","",IFERROR(INDEX(Ingredients!$J$5:$J$304,MATCH(D925,Ingredients!$B$5:$B$304,0)),"Add to Ingredients"))</f>
        <v>0</v>
      </c>
      <c r="N925" s="25">
        <f>IF(OR(J925="",M925="",NOT(ISNUMBER(M925))),"",IF(K925&lt;&gt;L925,"",J925*M925))</f>
        <v>0</v>
      </c>
      <c r="O925" s="25">
        <f>IF(N925="","",IFERROR(N925/INDEX(Recipes!$G$5:$G$204,MATCH(B925,Recipes!$A$5:$A$204,0)),""))</f>
        <v>0</v>
      </c>
      <c r="P925" s="30">
        <f>IF(J925="","",IF(K925="each",J925,J925/100))</f>
        <v>0</v>
      </c>
      <c r="Q925" s="30">
        <f>IFERROR(IF(P925="","",P925*INDEX(Ingredients!$P$5:$P$304,MATCH(D925,Ingredients!$B$5:$B$304,0))),"")</f>
        <v>0</v>
      </c>
      <c r="R925" s="45">
        <f>IFERROR(IF(P925="","",P925*INDEX(Ingredients!$Q$5:$Q$304,MATCH(D925,Ingredients!$B$5:$B$304,0))),"")</f>
        <v>0</v>
      </c>
      <c r="S925" s="45">
        <f>IFERROR(IF(P925="","",P925*INDEX(Ingredients!$R$5:$R$304,MATCH(D925,Ingredients!$B$5:$B$304,0))),"")</f>
        <v>0</v>
      </c>
      <c r="T925" s="45">
        <f>IFERROR(IF(P925="","",P925*INDEX(Ingredients!$S$5:$S$304,MATCH(D925,Ingredients!$B$5:$B$304,0))),"")</f>
        <v>0</v>
      </c>
      <c r="U925" s="45">
        <f>IFERROR(IF(P925="","",P925*INDEX(Ingredients!$T$5:$T$304,MATCH(D925,Ingredients!$B$5:$B$304,0))),"")</f>
        <v>0</v>
      </c>
      <c r="V925" s="17">
        <f>IF(D925="","",IFERROR(INDEX(Ingredients!$W$5:$W$304,MATCH(D925,Ingredients!$B$5:$B$304,0)),"Add to Ingredients"))</f>
        <v>0</v>
      </c>
      <c r="W925" s="17">
        <f>IF(D925="","",IFERROR(INDEX(Ingredients!$C$5:$C$304,MATCH(D925,Ingredients!$B$5:$B$304,0)),"Add to Ingredients"))</f>
        <v>0</v>
      </c>
      <c r="X925" s="45">
        <f>IFERROR(INDEX(Recipes!$AT$5:$AT$204,MATCH(B925,Recipes!$A$5:$A$204,0)),0)</f>
        <v>0</v>
      </c>
      <c r="Y925" s="45">
        <f>IF(OR(J925="",X925=0),"",J925*X925)</f>
        <v>0</v>
      </c>
      <c r="Z925" s="17">
        <f>IF(D925="","",B925&amp;"#"&amp;COUNTIFS($B$5:B925,B925))</f>
        <v>0</v>
      </c>
      <c r="AA925" s="17">
        <f>IF(D925="","",B925&amp;"|"&amp;D925)</f>
        <v>0</v>
      </c>
      <c r="AB925" s="31">
        <f>IF(D925="","",IF(B925="","Add - which recipe?",IF(COUNTIFS(Ingredients!$B$5:$B$304,D925)=0,"Missing - not in the Ingredients tab",IF(E925="","Add - no quantity",IF(F925="","Add - no unit",IF(K925&lt;&gt;L925,"Check - recipe in "&amp;K925&amp;", priced in "&amp;L925,IF(COUNTIFS($AA$5:$AA$1204,AA925)&gt;1,"Duplicate - same ingredient twice","OK")))))))</f>
        <v>0</v>
      </c>
    </row>
    <row r="926" spans="1:28">
      <c r="A926" s="39">
        <f>IF(D926="","","RL-"&amp;TEXT(ROW()-4,"0000"))</f>
        <v>0</v>
      </c>
      <c r="C926" s="17">
        <f>IF(B926="","",IFERROR(INDEX(Recipes!$B$5:$B$204,MATCH(B926,Recipes!$A$5:$A$204,0)),"Not found"))</f>
        <v>0</v>
      </c>
      <c r="J926" s="45">
        <f>IF(E926="","",IFERROR(E926*INDEX(UnitFactors,MATCH(F926,UnitNames,0)),""))</f>
        <v>0</v>
      </c>
      <c r="K926" s="17">
        <f>IF(F926="","",IFERROR(INDEX(UnitBases,MATCH(F926,UnitNames,0)),"?"))</f>
        <v>0</v>
      </c>
      <c r="L926" s="17">
        <f>IF(D926="","",IFERROR(INDEX(Ingredients!$G$5:$G$304,MATCH(D926,Ingredients!$B$5:$B$304,0)),"Add to Ingredients"))</f>
        <v>0</v>
      </c>
      <c r="M926" s="25">
        <f>IF(D926="","",IFERROR(INDEX(Ingredients!$J$5:$J$304,MATCH(D926,Ingredients!$B$5:$B$304,0)),"Add to Ingredients"))</f>
        <v>0</v>
      </c>
      <c r="N926" s="25">
        <f>IF(OR(J926="",M926="",NOT(ISNUMBER(M926))),"",IF(K926&lt;&gt;L926,"",J926*M926))</f>
        <v>0</v>
      </c>
      <c r="O926" s="25">
        <f>IF(N926="","",IFERROR(N926/INDEX(Recipes!$G$5:$G$204,MATCH(B926,Recipes!$A$5:$A$204,0)),""))</f>
        <v>0</v>
      </c>
      <c r="P926" s="30">
        <f>IF(J926="","",IF(K926="each",J926,J926/100))</f>
        <v>0</v>
      </c>
      <c r="Q926" s="30">
        <f>IFERROR(IF(P926="","",P926*INDEX(Ingredients!$P$5:$P$304,MATCH(D926,Ingredients!$B$5:$B$304,0))),"")</f>
        <v>0</v>
      </c>
      <c r="R926" s="45">
        <f>IFERROR(IF(P926="","",P926*INDEX(Ingredients!$Q$5:$Q$304,MATCH(D926,Ingredients!$B$5:$B$304,0))),"")</f>
        <v>0</v>
      </c>
      <c r="S926" s="45">
        <f>IFERROR(IF(P926="","",P926*INDEX(Ingredients!$R$5:$R$304,MATCH(D926,Ingredients!$B$5:$B$304,0))),"")</f>
        <v>0</v>
      </c>
      <c r="T926" s="45">
        <f>IFERROR(IF(P926="","",P926*INDEX(Ingredients!$S$5:$S$304,MATCH(D926,Ingredients!$B$5:$B$304,0))),"")</f>
        <v>0</v>
      </c>
      <c r="U926" s="45">
        <f>IFERROR(IF(P926="","",P926*INDEX(Ingredients!$T$5:$T$304,MATCH(D926,Ingredients!$B$5:$B$304,0))),"")</f>
        <v>0</v>
      </c>
      <c r="V926" s="17">
        <f>IF(D926="","",IFERROR(INDEX(Ingredients!$W$5:$W$304,MATCH(D926,Ingredients!$B$5:$B$304,0)),"Add to Ingredients"))</f>
        <v>0</v>
      </c>
      <c r="W926" s="17">
        <f>IF(D926="","",IFERROR(INDEX(Ingredients!$C$5:$C$304,MATCH(D926,Ingredients!$B$5:$B$304,0)),"Add to Ingredients"))</f>
        <v>0</v>
      </c>
      <c r="X926" s="45">
        <f>IFERROR(INDEX(Recipes!$AT$5:$AT$204,MATCH(B926,Recipes!$A$5:$A$204,0)),0)</f>
        <v>0</v>
      </c>
      <c r="Y926" s="45">
        <f>IF(OR(J926="",X926=0),"",J926*X926)</f>
        <v>0</v>
      </c>
      <c r="Z926" s="17">
        <f>IF(D926="","",B926&amp;"#"&amp;COUNTIFS($B$5:B926,B926))</f>
        <v>0</v>
      </c>
      <c r="AA926" s="17">
        <f>IF(D926="","",B926&amp;"|"&amp;D926)</f>
        <v>0</v>
      </c>
      <c r="AB926" s="31">
        <f>IF(D926="","",IF(B926="","Add - which recipe?",IF(COUNTIFS(Ingredients!$B$5:$B$304,D926)=0,"Missing - not in the Ingredients tab",IF(E926="","Add - no quantity",IF(F926="","Add - no unit",IF(K926&lt;&gt;L926,"Check - recipe in "&amp;K926&amp;", priced in "&amp;L926,IF(COUNTIFS($AA$5:$AA$1204,AA926)&gt;1,"Duplicate - same ingredient twice","OK")))))))</f>
        <v>0</v>
      </c>
    </row>
    <row r="927" spans="1:28">
      <c r="A927" s="39">
        <f>IF(D927="","","RL-"&amp;TEXT(ROW()-4,"0000"))</f>
        <v>0</v>
      </c>
      <c r="C927" s="17">
        <f>IF(B927="","",IFERROR(INDEX(Recipes!$B$5:$B$204,MATCH(B927,Recipes!$A$5:$A$204,0)),"Not found"))</f>
        <v>0</v>
      </c>
      <c r="J927" s="45">
        <f>IF(E927="","",IFERROR(E927*INDEX(UnitFactors,MATCH(F927,UnitNames,0)),""))</f>
        <v>0</v>
      </c>
      <c r="K927" s="17">
        <f>IF(F927="","",IFERROR(INDEX(UnitBases,MATCH(F927,UnitNames,0)),"?"))</f>
        <v>0</v>
      </c>
      <c r="L927" s="17">
        <f>IF(D927="","",IFERROR(INDEX(Ingredients!$G$5:$G$304,MATCH(D927,Ingredients!$B$5:$B$304,0)),"Add to Ingredients"))</f>
        <v>0</v>
      </c>
      <c r="M927" s="25">
        <f>IF(D927="","",IFERROR(INDEX(Ingredients!$J$5:$J$304,MATCH(D927,Ingredients!$B$5:$B$304,0)),"Add to Ingredients"))</f>
        <v>0</v>
      </c>
      <c r="N927" s="25">
        <f>IF(OR(J927="",M927="",NOT(ISNUMBER(M927))),"",IF(K927&lt;&gt;L927,"",J927*M927))</f>
        <v>0</v>
      </c>
      <c r="O927" s="25">
        <f>IF(N927="","",IFERROR(N927/INDEX(Recipes!$G$5:$G$204,MATCH(B927,Recipes!$A$5:$A$204,0)),""))</f>
        <v>0</v>
      </c>
      <c r="P927" s="30">
        <f>IF(J927="","",IF(K927="each",J927,J927/100))</f>
        <v>0</v>
      </c>
      <c r="Q927" s="30">
        <f>IFERROR(IF(P927="","",P927*INDEX(Ingredients!$P$5:$P$304,MATCH(D927,Ingredients!$B$5:$B$304,0))),"")</f>
        <v>0</v>
      </c>
      <c r="R927" s="45">
        <f>IFERROR(IF(P927="","",P927*INDEX(Ingredients!$Q$5:$Q$304,MATCH(D927,Ingredients!$B$5:$B$304,0))),"")</f>
        <v>0</v>
      </c>
      <c r="S927" s="45">
        <f>IFERROR(IF(P927="","",P927*INDEX(Ingredients!$R$5:$R$304,MATCH(D927,Ingredients!$B$5:$B$304,0))),"")</f>
        <v>0</v>
      </c>
      <c r="T927" s="45">
        <f>IFERROR(IF(P927="","",P927*INDEX(Ingredients!$S$5:$S$304,MATCH(D927,Ingredients!$B$5:$B$304,0))),"")</f>
        <v>0</v>
      </c>
      <c r="U927" s="45">
        <f>IFERROR(IF(P927="","",P927*INDEX(Ingredients!$T$5:$T$304,MATCH(D927,Ingredients!$B$5:$B$304,0))),"")</f>
        <v>0</v>
      </c>
      <c r="V927" s="17">
        <f>IF(D927="","",IFERROR(INDEX(Ingredients!$W$5:$W$304,MATCH(D927,Ingredients!$B$5:$B$304,0)),"Add to Ingredients"))</f>
        <v>0</v>
      </c>
      <c r="W927" s="17">
        <f>IF(D927="","",IFERROR(INDEX(Ingredients!$C$5:$C$304,MATCH(D927,Ingredients!$B$5:$B$304,0)),"Add to Ingredients"))</f>
        <v>0</v>
      </c>
      <c r="X927" s="45">
        <f>IFERROR(INDEX(Recipes!$AT$5:$AT$204,MATCH(B927,Recipes!$A$5:$A$204,0)),0)</f>
        <v>0</v>
      </c>
      <c r="Y927" s="45">
        <f>IF(OR(J927="",X927=0),"",J927*X927)</f>
        <v>0</v>
      </c>
      <c r="Z927" s="17">
        <f>IF(D927="","",B927&amp;"#"&amp;COUNTIFS($B$5:B927,B927))</f>
        <v>0</v>
      </c>
      <c r="AA927" s="17">
        <f>IF(D927="","",B927&amp;"|"&amp;D927)</f>
        <v>0</v>
      </c>
      <c r="AB927" s="31">
        <f>IF(D927="","",IF(B927="","Add - which recipe?",IF(COUNTIFS(Ingredients!$B$5:$B$304,D927)=0,"Missing - not in the Ingredients tab",IF(E927="","Add - no quantity",IF(F927="","Add - no unit",IF(K927&lt;&gt;L927,"Check - recipe in "&amp;K927&amp;", priced in "&amp;L927,IF(COUNTIFS($AA$5:$AA$1204,AA927)&gt;1,"Duplicate - same ingredient twice","OK")))))))</f>
        <v>0</v>
      </c>
    </row>
    <row r="928" spans="1:28">
      <c r="A928" s="39">
        <f>IF(D928="","","RL-"&amp;TEXT(ROW()-4,"0000"))</f>
        <v>0</v>
      </c>
      <c r="C928" s="17">
        <f>IF(B928="","",IFERROR(INDEX(Recipes!$B$5:$B$204,MATCH(B928,Recipes!$A$5:$A$204,0)),"Not found"))</f>
        <v>0</v>
      </c>
      <c r="J928" s="45">
        <f>IF(E928="","",IFERROR(E928*INDEX(UnitFactors,MATCH(F928,UnitNames,0)),""))</f>
        <v>0</v>
      </c>
      <c r="K928" s="17">
        <f>IF(F928="","",IFERROR(INDEX(UnitBases,MATCH(F928,UnitNames,0)),"?"))</f>
        <v>0</v>
      </c>
      <c r="L928" s="17">
        <f>IF(D928="","",IFERROR(INDEX(Ingredients!$G$5:$G$304,MATCH(D928,Ingredients!$B$5:$B$304,0)),"Add to Ingredients"))</f>
        <v>0</v>
      </c>
      <c r="M928" s="25">
        <f>IF(D928="","",IFERROR(INDEX(Ingredients!$J$5:$J$304,MATCH(D928,Ingredients!$B$5:$B$304,0)),"Add to Ingredients"))</f>
        <v>0</v>
      </c>
      <c r="N928" s="25">
        <f>IF(OR(J928="",M928="",NOT(ISNUMBER(M928))),"",IF(K928&lt;&gt;L928,"",J928*M928))</f>
        <v>0</v>
      </c>
      <c r="O928" s="25">
        <f>IF(N928="","",IFERROR(N928/INDEX(Recipes!$G$5:$G$204,MATCH(B928,Recipes!$A$5:$A$204,0)),""))</f>
        <v>0</v>
      </c>
      <c r="P928" s="30">
        <f>IF(J928="","",IF(K928="each",J928,J928/100))</f>
        <v>0</v>
      </c>
      <c r="Q928" s="30">
        <f>IFERROR(IF(P928="","",P928*INDEX(Ingredients!$P$5:$P$304,MATCH(D928,Ingredients!$B$5:$B$304,0))),"")</f>
        <v>0</v>
      </c>
      <c r="R928" s="45">
        <f>IFERROR(IF(P928="","",P928*INDEX(Ingredients!$Q$5:$Q$304,MATCH(D928,Ingredients!$B$5:$B$304,0))),"")</f>
        <v>0</v>
      </c>
      <c r="S928" s="45">
        <f>IFERROR(IF(P928="","",P928*INDEX(Ingredients!$R$5:$R$304,MATCH(D928,Ingredients!$B$5:$B$304,0))),"")</f>
        <v>0</v>
      </c>
      <c r="T928" s="45">
        <f>IFERROR(IF(P928="","",P928*INDEX(Ingredients!$S$5:$S$304,MATCH(D928,Ingredients!$B$5:$B$304,0))),"")</f>
        <v>0</v>
      </c>
      <c r="U928" s="45">
        <f>IFERROR(IF(P928="","",P928*INDEX(Ingredients!$T$5:$T$304,MATCH(D928,Ingredients!$B$5:$B$304,0))),"")</f>
        <v>0</v>
      </c>
      <c r="V928" s="17">
        <f>IF(D928="","",IFERROR(INDEX(Ingredients!$W$5:$W$304,MATCH(D928,Ingredients!$B$5:$B$304,0)),"Add to Ingredients"))</f>
        <v>0</v>
      </c>
      <c r="W928" s="17">
        <f>IF(D928="","",IFERROR(INDEX(Ingredients!$C$5:$C$304,MATCH(D928,Ingredients!$B$5:$B$304,0)),"Add to Ingredients"))</f>
        <v>0</v>
      </c>
      <c r="X928" s="45">
        <f>IFERROR(INDEX(Recipes!$AT$5:$AT$204,MATCH(B928,Recipes!$A$5:$A$204,0)),0)</f>
        <v>0</v>
      </c>
      <c r="Y928" s="45">
        <f>IF(OR(J928="",X928=0),"",J928*X928)</f>
        <v>0</v>
      </c>
      <c r="Z928" s="17">
        <f>IF(D928="","",B928&amp;"#"&amp;COUNTIFS($B$5:B928,B928))</f>
        <v>0</v>
      </c>
      <c r="AA928" s="17">
        <f>IF(D928="","",B928&amp;"|"&amp;D928)</f>
        <v>0</v>
      </c>
      <c r="AB928" s="31">
        <f>IF(D928="","",IF(B928="","Add - which recipe?",IF(COUNTIFS(Ingredients!$B$5:$B$304,D928)=0,"Missing - not in the Ingredients tab",IF(E928="","Add - no quantity",IF(F928="","Add - no unit",IF(K928&lt;&gt;L928,"Check - recipe in "&amp;K928&amp;", priced in "&amp;L928,IF(COUNTIFS($AA$5:$AA$1204,AA928)&gt;1,"Duplicate - same ingredient twice","OK")))))))</f>
        <v>0</v>
      </c>
    </row>
    <row r="929" spans="1:28">
      <c r="A929" s="39">
        <f>IF(D929="","","RL-"&amp;TEXT(ROW()-4,"0000"))</f>
        <v>0</v>
      </c>
      <c r="C929" s="17">
        <f>IF(B929="","",IFERROR(INDEX(Recipes!$B$5:$B$204,MATCH(B929,Recipes!$A$5:$A$204,0)),"Not found"))</f>
        <v>0</v>
      </c>
      <c r="J929" s="45">
        <f>IF(E929="","",IFERROR(E929*INDEX(UnitFactors,MATCH(F929,UnitNames,0)),""))</f>
        <v>0</v>
      </c>
      <c r="K929" s="17">
        <f>IF(F929="","",IFERROR(INDEX(UnitBases,MATCH(F929,UnitNames,0)),"?"))</f>
        <v>0</v>
      </c>
      <c r="L929" s="17">
        <f>IF(D929="","",IFERROR(INDEX(Ingredients!$G$5:$G$304,MATCH(D929,Ingredients!$B$5:$B$304,0)),"Add to Ingredients"))</f>
        <v>0</v>
      </c>
      <c r="M929" s="25">
        <f>IF(D929="","",IFERROR(INDEX(Ingredients!$J$5:$J$304,MATCH(D929,Ingredients!$B$5:$B$304,0)),"Add to Ingredients"))</f>
        <v>0</v>
      </c>
      <c r="N929" s="25">
        <f>IF(OR(J929="",M929="",NOT(ISNUMBER(M929))),"",IF(K929&lt;&gt;L929,"",J929*M929))</f>
        <v>0</v>
      </c>
      <c r="O929" s="25">
        <f>IF(N929="","",IFERROR(N929/INDEX(Recipes!$G$5:$G$204,MATCH(B929,Recipes!$A$5:$A$204,0)),""))</f>
        <v>0</v>
      </c>
      <c r="P929" s="30">
        <f>IF(J929="","",IF(K929="each",J929,J929/100))</f>
        <v>0</v>
      </c>
      <c r="Q929" s="30">
        <f>IFERROR(IF(P929="","",P929*INDEX(Ingredients!$P$5:$P$304,MATCH(D929,Ingredients!$B$5:$B$304,0))),"")</f>
        <v>0</v>
      </c>
      <c r="R929" s="45">
        <f>IFERROR(IF(P929="","",P929*INDEX(Ingredients!$Q$5:$Q$304,MATCH(D929,Ingredients!$B$5:$B$304,0))),"")</f>
        <v>0</v>
      </c>
      <c r="S929" s="45">
        <f>IFERROR(IF(P929="","",P929*INDEX(Ingredients!$R$5:$R$304,MATCH(D929,Ingredients!$B$5:$B$304,0))),"")</f>
        <v>0</v>
      </c>
      <c r="T929" s="45">
        <f>IFERROR(IF(P929="","",P929*INDEX(Ingredients!$S$5:$S$304,MATCH(D929,Ingredients!$B$5:$B$304,0))),"")</f>
        <v>0</v>
      </c>
      <c r="U929" s="45">
        <f>IFERROR(IF(P929="","",P929*INDEX(Ingredients!$T$5:$T$304,MATCH(D929,Ingredients!$B$5:$B$304,0))),"")</f>
        <v>0</v>
      </c>
      <c r="V929" s="17">
        <f>IF(D929="","",IFERROR(INDEX(Ingredients!$W$5:$W$304,MATCH(D929,Ingredients!$B$5:$B$304,0)),"Add to Ingredients"))</f>
        <v>0</v>
      </c>
      <c r="W929" s="17">
        <f>IF(D929="","",IFERROR(INDEX(Ingredients!$C$5:$C$304,MATCH(D929,Ingredients!$B$5:$B$304,0)),"Add to Ingredients"))</f>
        <v>0</v>
      </c>
      <c r="X929" s="45">
        <f>IFERROR(INDEX(Recipes!$AT$5:$AT$204,MATCH(B929,Recipes!$A$5:$A$204,0)),0)</f>
        <v>0</v>
      </c>
      <c r="Y929" s="45">
        <f>IF(OR(J929="",X929=0),"",J929*X929)</f>
        <v>0</v>
      </c>
      <c r="Z929" s="17">
        <f>IF(D929="","",B929&amp;"#"&amp;COUNTIFS($B$5:B929,B929))</f>
        <v>0</v>
      </c>
      <c r="AA929" s="17">
        <f>IF(D929="","",B929&amp;"|"&amp;D929)</f>
        <v>0</v>
      </c>
      <c r="AB929" s="31">
        <f>IF(D929="","",IF(B929="","Add - which recipe?",IF(COUNTIFS(Ingredients!$B$5:$B$304,D929)=0,"Missing - not in the Ingredients tab",IF(E929="","Add - no quantity",IF(F929="","Add - no unit",IF(K929&lt;&gt;L929,"Check - recipe in "&amp;K929&amp;", priced in "&amp;L929,IF(COUNTIFS($AA$5:$AA$1204,AA929)&gt;1,"Duplicate - same ingredient twice","OK")))))))</f>
        <v>0</v>
      </c>
    </row>
    <row r="930" spans="1:28">
      <c r="A930" s="39">
        <f>IF(D930="","","RL-"&amp;TEXT(ROW()-4,"0000"))</f>
        <v>0</v>
      </c>
      <c r="C930" s="17">
        <f>IF(B930="","",IFERROR(INDEX(Recipes!$B$5:$B$204,MATCH(B930,Recipes!$A$5:$A$204,0)),"Not found"))</f>
        <v>0</v>
      </c>
      <c r="J930" s="45">
        <f>IF(E930="","",IFERROR(E930*INDEX(UnitFactors,MATCH(F930,UnitNames,0)),""))</f>
        <v>0</v>
      </c>
      <c r="K930" s="17">
        <f>IF(F930="","",IFERROR(INDEX(UnitBases,MATCH(F930,UnitNames,0)),"?"))</f>
        <v>0</v>
      </c>
      <c r="L930" s="17">
        <f>IF(D930="","",IFERROR(INDEX(Ingredients!$G$5:$G$304,MATCH(D930,Ingredients!$B$5:$B$304,0)),"Add to Ingredients"))</f>
        <v>0</v>
      </c>
      <c r="M930" s="25">
        <f>IF(D930="","",IFERROR(INDEX(Ingredients!$J$5:$J$304,MATCH(D930,Ingredients!$B$5:$B$304,0)),"Add to Ingredients"))</f>
        <v>0</v>
      </c>
      <c r="N930" s="25">
        <f>IF(OR(J930="",M930="",NOT(ISNUMBER(M930))),"",IF(K930&lt;&gt;L930,"",J930*M930))</f>
        <v>0</v>
      </c>
      <c r="O930" s="25">
        <f>IF(N930="","",IFERROR(N930/INDEX(Recipes!$G$5:$G$204,MATCH(B930,Recipes!$A$5:$A$204,0)),""))</f>
        <v>0</v>
      </c>
      <c r="P930" s="30">
        <f>IF(J930="","",IF(K930="each",J930,J930/100))</f>
        <v>0</v>
      </c>
      <c r="Q930" s="30">
        <f>IFERROR(IF(P930="","",P930*INDEX(Ingredients!$P$5:$P$304,MATCH(D930,Ingredients!$B$5:$B$304,0))),"")</f>
        <v>0</v>
      </c>
      <c r="R930" s="45">
        <f>IFERROR(IF(P930="","",P930*INDEX(Ingredients!$Q$5:$Q$304,MATCH(D930,Ingredients!$B$5:$B$304,0))),"")</f>
        <v>0</v>
      </c>
      <c r="S930" s="45">
        <f>IFERROR(IF(P930="","",P930*INDEX(Ingredients!$R$5:$R$304,MATCH(D930,Ingredients!$B$5:$B$304,0))),"")</f>
        <v>0</v>
      </c>
      <c r="T930" s="45">
        <f>IFERROR(IF(P930="","",P930*INDEX(Ingredients!$S$5:$S$304,MATCH(D930,Ingredients!$B$5:$B$304,0))),"")</f>
        <v>0</v>
      </c>
      <c r="U930" s="45">
        <f>IFERROR(IF(P930="","",P930*INDEX(Ingredients!$T$5:$T$304,MATCH(D930,Ingredients!$B$5:$B$304,0))),"")</f>
        <v>0</v>
      </c>
      <c r="V930" s="17">
        <f>IF(D930="","",IFERROR(INDEX(Ingredients!$W$5:$W$304,MATCH(D930,Ingredients!$B$5:$B$304,0)),"Add to Ingredients"))</f>
        <v>0</v>
      </c>
      <c r="W930" s="17">
        <f>IF(D930="","",IFERROR(INDEX(Ingredients!$C$5:$C$304,MATCH(D930,Ingredients!$B$5:$B$304,0)),"Add to Ingredients"))</f>
        <v>0</v>
      </c>
      <c r="X930" s="45">
        <f>IFERROR(INDEX(Recipes!$AT$5:$AT$204,MATCH(B930,Recipes!$A$5:$A$204,0)),0)</f>
        <v>0</v>
      </c>
      <c r="Y930" s="45">
        <f>IF(OR(J930="",X930=0),"",J930*X930)</f>
        <v>0</v>
      </c>
      <c r="Z930" s="17">
        <f>IF(D930="","",B930&amp;"#"&amp;COUNTIFS($B$5:B930,B930))</f>
        <v>0</v>
      </c>
      <c r="AA930" s="17">
        <f>IF(D930="","",B930&amp;"|"&amp;D930)</f>
        <v>0</v>
      </c>
      <c r="AB930" s="31">
        <f>IF(D930="","",IF(B930="","Add - which recipe?",IF(COUNTIFS(Ingredients!$B$5:$B$304,D930)=0,"Missing - not in the Ingredients tab",IF(E930="","Add - no quantity",IF(F930="","Add - no unit",IF(K930&lt;&gt;L930,"Check - recipe in "&amp;K930&amp;", priced in "&amp;L930,IF(COUNTIFS($AA$5:$AA$1204,AA930)&gt;1,"Duplicate - same ingredient twice","OK")))))))</f>
        <v>0</v>
      </c>
    </row>
    <row r="931" spans="1:28">
      <c r="A931" s="39">
        <f>IF(D931="","","RL-"&amp;TEXT(ROW()-4,"0000"))</f>
        <v>0</v>
      </c>
      <c r="C931" s="17">
        <f>IF(B931="","",IFERROR(INDEX(Recipes!$B$5:$B$204,MATCH(B931,Recipes!$A$5:$A$204,0)),"Not found"))</f>
        <v>0</v>
      </c>
      <c r="J931" s="45">
        <f>IF(E931="","",IFERROR(E931*INDEX(UnitFactors,MATCH(F931,UnitNames,0)),""))</f>
        <v>0</v>
      </c>
      <c r="K931" s="17">
        <f>IF(F931="","",IFERROR(INDEX(UnitBases,MATCH(F931,UnitNames,0)),"?"))</f>
        <v>0</v>
      </c>
      <c r="L931" s="17">
        <f>IF(D931="","",IFERROR(INDEX(Ingredients!$G$5:$G$304,MATCH(D931,Ingredients!$B$5:$B$304,0)),"Add to Ingredients"))</f>
        <v>0</v>
      </c>
      <c r="M931" s="25">
        <f>IF(D931="","",IFERROR(INDEX(Ingredients!$J$5:$J$304,MATCH(D931,Ingredients!$B$5:$B$304,0)),"Add to Ingredients"))</f>
        <v>0</v>
      </c>
      <c r="N931" s="25">
        <f>IF(OR(J931="",M931="",NOT(ISNUMBER(M931))),"",IF(K931&lt;&gt;L931,"",J931*M931))</f>
        <v>0</v>
      </c>
      <c r="O931" s="25">
        <f>IF(N931="","",IFERROR(N931/INDEX(Recipes!$G$5:$G$204,MATCH(B931,Recipes!$A$5:$A$204,0)),""))</f>
        <v>0</v>
      </c>
      <c r="P931" s="30">
        <f>IF(J931="","",IF(K931="each",J931,J931/100))</f>
        <v>0</v>
      </c>
      <c r="Q931" s="30">
        <f>IFERROR(IF(P931="","",P931*INDEX(Ingredients!$P$5:$P$304,MATCH(D931,Ingredients!$B$5:$B$304,0))),"")</f>
        <v>0</v>
      </c>
      <c r="R931" s="45">
        <f>IFERROR(IF(P931="","",P931*INDEX(Ingredients!$Q$5:$Q$304,MATCH(D931,Ingredients!$B$5:$B$304,0))),"")</f>
        <v>0</v>
      </c>
      <c r="S931" s="45">
        <f>IFERROR(IF(P931="","",P931*INDEX(Ingredients!$R$5:$R$304,MATCH(D931,Ingredients!$B$5:$B$304,0))),"")</f>
        <v>0</v>
      </c>
      <c r="T931" s="45">
        <f>IFERROR(IF(P931="","",P931*INDEX(Ingredients!$S$5:$S$304,MATCH(D931,Ingredients!$B$5:$B$304,0))),"")</f>
        <v>0</v>
      </c>
      <c r="U931" s="45">
        <f>IFERROR(IF(P931="","",P931*INDEX(Ingredients!$T$5:$T$304,MATCH(D931,Ingredients!$B$5:$B$304,0))),"")</f>
        <v>0</v>
      </c>
      <c r="V931" s="17">
        <f>IF(D931="","",IFERROR(INDEX(Ingredients!$W$5:$W$304,MATCH(D931,Ingredients!$B$5:$B$304,0)),"Add to Ingredients"))</f>
        <v>0</v>
      </c>
      <c r="W931" s="17">
        <f>IF(D931="","",IFERROR(INDEX(Ingredients!$C$5:$C$304,MATCH(D931,Ingredients!$B$5:$B$304,0)),"Add to Ingredients"))</f>
        <v>0</v>
      </c>
      <c r="X931" s="45">
        <f>IFERROR(INDEX(Recipes!$AT$5:$AT$204,MATCH(B931,Recipes!$A$5:$A$204,0)),0)</f>
        <v>0</v>
      </c>
      <c r="Y931" s="45">
        <f>IF(OR(J931="",X931=0),"",J931*X931)</f>
        <v>0</v>
      </c>
      <c r="Z931" s="17">
        <f>IF(D931="","",B931&amp;"#"&amp;COUNTIFS($B$5:B931,B931))</f>
        <v>0</v>
      </c>
      <c r="AA931" s="17">
        <f>IF(D931="","",B931&amp;"|"&amp;D931)</f>
        <v>0</v>
      </c>
      <c r="AB931" s="31">
        <f>IF(D931="","",IF(B931="","Add - which recipe?",IF(COUNTIFS(Ingredients!$B$5:$B$304,D931)=0,"Missing - not in the Ingredients tab",IF(E931="","Add - no quantity",IF(F931="","Add - no unit",IF(K931&lt;&gt;L931,"Check - recipe in "&amp;K931&amp;", priced in "&amp;L931,IF(COUNTIFS($AA$5:$AA$1204,AA931)&gt;1,"Duplicate - same ingredient twice","OK")))))))</f>
        <v>0</v>
      </c>
    </row>
    <row r="932" spans="1:28">
      <c r="A932" s="39">
        <f>IF(D932="","","RL-"&amp;TEXT(ROW()-4,"0000"))</f>
        <v>0</v>
      </c>
      <c r="C932" s="17">
        <f>IF(B932="","",IFERROR(INDEX(Recipes!$B$5:$B$204,MATCH(B932,Recipes!$A$5:$A$204,0)),"Not found"))</f>
        <v>0</v>
      </c>
      <c r="J932" s="45">
        <f>IF(E932="","",IFERROR(E932*INDEX(UnitFactors,MATCH(F932,UnitNames,0)),""))</f>
        <v>0</v>
      </c>
      <c r="K932" s="17">
        <f>IF(F932="","",IFERROR(INDEX(UnitBases,MATCH(F932,UnitNames,0)),"?"))</f>
        <v>0</v>
      </c>
      <c r="L932" s="17">
        <f>IF(D932="","",IFERROR(INDEX(Ingredients!$G$5:$G$304,MATCH(D932,Ingredients!$B$5:$B$304,0)),"Add to Ingredients"))</f>
        <v>0</v>
      </c>
      <c r="M932" s="25">
        <f>IF(D932="","",IFERROR(INDEX(Ingredients!$J$5:$J$304,MATCH(D932,Ingredients!$B$5:$B$304,0)),"Add to Ingredients"))</f>
        <v>0</v>
      </c>
      <c r="N932" s="25">
        <f>IF(OR(J932="",M932="",NOT(ISNUMBER(M932))),"",IF(K932&lt;&gt;L932,"",J932*M932))</f>
        <v>0</v>
      </c>
      <c r="O932" s="25">
        <f>IF(N932="","",IFERROR(N932/INDEX(Recipes!$G$5:$G$204,MATCH(B932,Recipes!$A$5:$A$204,0)),""))</f>
        <v>0</v>
      </c>
      <c r="P932" s="30">
        <f>IF(J932="","",IF(K932="each",J932,J932/100))</f>
        <v>0</v>
      </c>
      <c r="Q932" s="30">
        <f>IFERROR(IF(P932="","",P932*INDEX(Ingredients!$P$5:$P$304,MATCH(D932,Ingredients!$B$5:$B$304,0))),"")</f>
        <v>0</v>
      </c>
      <c r="R932" s="45">
        <f>IFERROR(IF(P932="","",P932*INDEX(Ingredients!$Q$5:$Q$304,MATCH(D932,Ingredients!$B$5:$B$304,0))),"")</f>
        <v>0</v>
      </c>
      <c r="S932" s="45">
        <f>IFERROR(IF(P932="","",P932*INDEX(Ingredients!$R$5:$R$304,MATCH(D932,Ingredients!$B$5:$B$304,0))),"")</f>
        <v>0</v>
      </c>
      <c r="T932" s="45">
        <f>IFERROR(IF(P932="","",P932*INDEX(Ingredients!$S$5:$S$304,MATCH(D932,Ingredients!$B$5:$B$304,0))),"")</f>
        <v>0</v>
      </c>
      <c r="U932" s="45">
        <f>IFERROR(IF(P932="","",P932*INDEX(Ingredients!$T$5:$T$304,MATCH(D932,Ingredients!$B$5:$B$304,0))),"")</f>
        <v>0</v>
      </c>
      <c r="V932" s="17">
        <f>IF(D932="","",IFERROR(INDEX(Ingredients!$W$5:$W$304,MATCH(D932,Ingredients!$B$5:$B$304,0)),"Add to Ingredients"))</f>
        <v>0</v>
      </c>
      <c r="W932" s="17">
        <f>IF(D932="","",IFERROR(INDEX(Ingredients!$C$5:$C$304,MATCH(D932,Ingredients!$B$5:$B$304,0)),"Add to Ingredients"))</f>
        <v>0</v>
      </c>
      <c r="X932" s="45">
        <f>IFERROR(INDEX(Recipes!$AT$5:$AT$204,MATCH(B932,Recipes!$A$5:$A$204,0)),0)</f>
        <v>0</v>
      </c>
      <c r="Y932" s="45">
        <f>IF(OR(J932="",X932=0),"",J932*X932)</f>
        <v>0</v>
      </c>
      <c r="Z932" s="17">
        <f>IF(D932="","",B932&amp;"#"&amp;COUNTIFS($B$5:B932,B932))</f>
        <v>0</v>
      </c>
      <c r="AA932" s="17">
        <f>IF(D932="","",B932&amp;"|"&amp;D932)</f>
        <v>0</v>
      </c>
      <c r="AB932" s="31">
        <f>IF(D932="","",IF(B932="","Add - which recipe?",IF(COUNTIFS(Ingredients!$B$5:$B$304,D932)=0,"Missing - not in the Ingredients tab",IF(E932="","Add - no quantity",IF(F932="","Add - no unit",IF(K932&lt;&gt;L932,"Check - recipe in "&amp;K932&amp;", priced in "&amp;L932,IF(COUNTIFS($AA$5:$AA$1204,AA932)&gt;1,"Duplicate - same ingredient twice","OK")))))))</f>
        <v>0</v>
      </c>
    </row>
    <row r="933" spans="1:28">
      <c r="A933" s="39">
        <f>IF(D933="","","RL-"&amp;TEXT(ROW()-4,"0000"))</f>
        <v>0</v>
      </c>
      <c r="C933" s="17">
        <f>IF(B933="","",IFERROR(INDEX(Recipes!$B$5:$B$204,MATCH(B933,Recipes!$A$5:$A$204,0)),"Not found"))</f>
        <v>0</v>
      </c>
      <c r="J933" s="45">
        <f>IF(E933="","",IFERROR(E933*INDEX(UnitFactors,MATCH(F933,UnitNames,0)),""))</f>
        <v>0</v>
      </c>
      <c r="K933" s="17">
        <f>IF(F933="","",IFERROR(INDEX(UnitBases,MATCH(F933,UnitNames,0)),"?"))</f>
        <v>0</v>
      </c>
      <c r="L933" s="17">
        <f>IF(D933="","",IFERROR(INDEX(Ingredients!$G$5:$G$304,MATCH(D933,Ingredients!$B$5:$B$304,0)),"Add to Ingredients"))</f>
        <v>0</v>
      </c>
      <c r="M933" s="25">
        <f>IF(D933="","",IFERROR(INDEX(Ingredients!$J$5:$J$304,MATCH(D933,Ingredients!$B$5:$B$304,0)),"Add to Ingredients"))</f>
        <v>0</v>
      </c>
      <c r="N933" s="25">
        <f>IF(OR(J933="",M933="",NOT(ISNUMBER(M933))),"",IF(K933&lt;&gt;L933,"",J933*M933))</f>
        <v>0</v>
      </c>
      <c r="O933" s="25">
        <f>IF(N933="","",IFERROR(N933/INDEX(Recipes!$G$5:$G$204,MATCH(B933,Recipes!$A$5:$A$204,0)),""))</f>
        <v>0</v>
      </c>
      <c r="P933" s="30">
        <f>IF(J933="","",IF(K933="each",J933,J933/100))</f>
        <v>0</v>
      </c>
      <c r="Q933" s="30">
        <f>IFERROR(IF(P933="","",P933*INDEX(Ingredients!$P$5:$P$304,MATCH(D933,Ingredients!$B$5:$B$304,0))),"")</f>
        <v>0</v>
      </c>
      <c r="R933" s="45">
        <f>IFERROR(IF(P933="","",P933*INDEX(Ingredients!$Q$5:$Q$304,MATCH(D933,Ingredients!$B$5:$B$304,0))),"")</f>
        <v>0</v>
      </c>
      <c r="S933" s="45">
        <f>IFERROR(IF(P933="","",P933*INDEX(Ingredients!$R$5:$R$304,MATCH(D933,Ingredients!$B$5:$B$304,0))),"")</f>
        <v>0</v>
      </c>
      <c r="T933" s="45">
        <f>IFERROR(IF(P933="","",P933*INDEX(Ingredients!$S$5:$S$304,MATCH(D933,Ingredients!$B$5:$B$304,0))),"")</f>
        <v>0</v>
      </c>
      <c r="U933" s="45">
        <f>IFERROR(IF(P933="","",P933*INDEX(Ingredients!$T$5:$T$304,MATCH(D933,Ingredients!$B$5:$B$304,0))),"")</f>
        <v>0</v>
      </c>
      <c r="V933" s="17">
        <f>IF(D933="","",IFERROR(INDEX(Ingredients!$W$5:$W$304,MATCH(D933,Ingredients!$B$5:$B$304,0)),"Add to Ingredients"))</f>
        <v>0</v>
      </c>
      <c r="W933" s="17">
        <f>IF(D933="","",IFERROR(INDEX(Ingredients!$C$5:$C$304,MATCH(D933,Ingredients!$B$5:$B$304,0)),"Add to Ingredients"))</f>
        <v>0</v>
      </c>
      <c r="X933" s="45">
        <f>IFERROR(INDEX(Recipes!$AT$5:$AT$204,MATCH(B933,Recipes!$A$5:$A$204,0)),0)</f>
        <v>0</v>
      </c>
      <c r="Y933" s="45">
        <f>IF(OR(J933="",X933=0),"",J933*X933)</f>
        <v>0</v>
      </c>
      <c r="Z933" s="17">
        <f>IF(D933="","",B933&amp;"#"&amp;COUNTIFS($B$5:B933,B933))</f>
        <v>0</v>
      </c>
      <c r="AA933" s="17">
        <f>IF(D933="","",B933&amp;"|"&amp;D933)</f>
        <v>0</v>
      </c>
      <c r="AB933" s="31">
        <f>IF(D933="","",IF(B933="","Add - which recipe?",IF(COUNTIFS(Ingredients!$B$5:$B$304,D933)=0,"Missing - not in the Ingredients tab",IF(E933="","Add - no quantity",IF(F933="","Add - no unit",IF(K933&lt;&gt;L933,"Check - recipe in "&amp;K933&amp;", priced in "&amp;L933,IF(COUNTIFS($AA$5:$AA$1204,AA933)&gt;1,"Duplicate - same ingredient twice","OK")))))))</f>
        <v>0</v>
      </c>
    </row>
    <row r="934" spans="1:28">
      <c r="A934" s="39">
        <f>IF(D934="","","RL-"&amp;TEXT(ROW()-4,"0000"))</f>
        <v>0</v>
      </c>
      <c r="C934" s="17">
        <f>IF(B934="","",IFERROR(INDEX(Recipes!$B$5:$B$204,MATCH(B934,Recipes!$A$5:$A$204,0)),"Not found"))</f>
        <v>0</v>
      </c>
      <c r="J934" s="45">
        <f>IF(E934="","",IFERROR(E934*INDEX(UnitFactors,MATCH(F934,UnitNames,0)),""))</f>
        <v>0</v>
      </c>
      <c r="K934" s="17">
        <f>IF(F934="","",IFERROR(INDEX(UnitBases,MATCH(F934,UnitNames,0)),"?"))</f>
        <v>0</v>
      </c>
      <c r="L934" s="17">
        <f>IF(D934="","",IFERROR(INDEX(Ingredients!$G$5:$G$304,MATCH(D934,Ingredients!$B$5:$B$304,0)),"Add to Ingredients"))</f>
        <v>0</v>
      </c>
      <c r="M934" s="25">
        <f>IF(D934="","",IFERROR(INDEX(Ingredients!$J$5:$J$304,MATCH(D934,Ingredients!$B$5:$B$304,0)),"Add to Ingredients"))</f>
        <v>0</v>
      </c>
      <c r="N934" s="25">
        <f>IF(OR(J934="",M934="",NOT(ISNUMBER(M934))),"",IF(K934&lt;&gt;L934,"",J934*M934))</f>
        <v>0</v>
      </c>
      <c r="O934" s="25">
        <f>IF(N934="","",IFERROR(N934/INDEX(Recipes!$G$5:$G$204,MATCH(B934,Recipes!$A$5:$A$204,0)),""))</f>
        <v>0</v>
      </c>
      <c r="P934" s="30">
        <f>IF(J934="","",IF(K934="each",J934,J934/100))</f>
        <v>0</v>
      </c>
      <c r="Q934" s="30">
        <f>IFERROR(IF(P934="","",P934*INDEX(Ingredients!$P$5:$P$304,MATCH(D934,Ingredients!$B$5:$B$304,0))),"")</f>
        <v>0</v>
      </c>
      <c r="R934" s="45">
        <f>IFERROR(IF(P934="","",P934*INDEX(Ingredients!$Q$5:$Q$304,MATCH(D934,Ingredients!$B$5:$B$304,0))),"")</f>
        <v>0</v>
      </c>
      <c r="S934" s="45">
        <f>IFERROR(IF(P934="","",P934*INDEX(Ingredients!$R$5:$R$304,MATCH(D934,Ingredients!$B$5:$B$304,0))),"")</f>
        <v>0</v>
      </c>
      <c r="T934" s="45">
        <f>IFERROR(IF(P934="","",P934*INDEX(Ingredients!$S$5:$S$304,MATCH(D934,Ingredients!$B$5:$B$304,0))),"")</f>
        <v>0</v>
      </c>
      <c r="U934" s="45">
        <f>IFERROR(IF(P934="","",P934*INDEX(Ingredients!$T$5:$T$304,MATCH(D934,Ingredients!$B$5:$B$304,0))),"")</f>
        <v>0</v>
      </c>
      <c r="V934" s="17">
        <f>IF(D934="","",IFERROR(INDEX(Ingredients!$W$5:$W$304,MATCH(D934,Ingredients!$B$5:$B$304,0)),"Add to Ingredients"))</f>
        <v>0</v>
      </c>
      <c r="W934" s="17">
        <f>IF(D934="","",IFERROR(INDEX(Ingredients!$C$5:$C$304,MATCH(D934,Ingredients!$B$5:$B$304,0)),"Add to Ingredients"))</f>
        <v>0</v>
      </c>
      <c r="X934" s="45">
        <f>IFERROR(INDEX(Recipes!$AT$5:$AT$204,MATCH(B934,Recipes!$A$5:$A$204,0)),0)</f>
        <v>0</v>
      </c>
      <c r="Y934" s="45">
        <f>IF(OR(J934="",X934=0),"",J934*X934)</f>
        <v>0</v>
      </c>
      <c r="Z934" s="17">
        <f>IF(D934="","",B934&amp;"#"&amp;COUNTIFS($B$5:B934,B934))</f>
        <v>0</v>
      </c>
      <c r="AA934" s="17">
        <f>IF(D934="","",B934&amp;"|"&amp;D934)</f>
        <v>0</v>
      </c>
      <c r="AB934" s="31">
        <f>IF(D934="","",IF(B934="","Add - which recipe?",IF(COUNTIFS(Ingredients!$B$5:$B$304,D934)=0,"Missing - not in the Ingredients tab",IF(E934="","Add - no quantity",IF(F934="","Add - no unit",IF(K934&lt;&gt;L934,"Check - recipe in "&amp;K934&amp;", priced in "&amp;L934,IF(COUNTIFS($AA$5:$AA$1204,AA934)&gt;1,"Duplicate - same ingredient twice","OK")))))))</f>
        <v>0</v>
      </c>
    </row>
    <row r="935" spans="1:28">
      <c r="A935" s="39">
        <f>IF(D935="","","RL-"&amp;TEXT(ROW()-4,"0000"))</f>
        <v>0</v>
      </c>
      <c r="C935" s="17">
        <f>IF(B935="","",IFERROR(INDEX(Recipes!$B$5:$B$204,MATCH(B935,Recipes!$A$5:$A$204,0)),"Not found"))</f>
        <v>0</v>
      </c>
      <c r="J935" s="45">
        <f>IF(E935="","",IFERROR(E935*INDEX(UnitFactors,MATCH(F935,UnitNames,0)),""))</f>
        <v>0</v>
      </c>
      <c r="K935" s="17">
        <f>IF(F935="","",IFERROR(INDEX(UnitBases,MATCH(F935,UnitNames,0)),"?"))</f>
        <v>0</v>
      </c>
      <c r="L935" s="17">
        <f>IF(D935="","",IFERROR(INDEX(Ingredients!$G$5:$G$304,MATCH(D935,Ingredients!$B$5:$B$304,0)),"Add to Ingredients"))</f>
        <v>0</v>
      </c>
      <c r="M935" s="25">
        <f>IF(D935="","",IFERROR(INDEX(Ingredients!$J$5:$J$304,MATCH(D935,Ingredients!$B$5:$B$304,0)),"Add to Ingredients"))</f>
        <v>0</v>
      </c>
      <c r="N935" s="25">
        <f>IF(OR(J935="",M935="",NOT(ISNUMBER(M935))),"",IF(K935&lt;&gt;L935,"",J935*M935))</f>
        <v>0</v>
      </c>
      <c r="O935" s="25">
        <f>IF(N935="","",IFERROR(N935/INDEX(Recipes!$G$5:$G$204,MATCH(B935,Recipes!$A$5:$A$204,0)),""))</f>
        <v>0</v>
      </c>
      <c r="P935" s="30">
        <f>IF(J935="","",IF(K935="each",J935,J935/100))</f>
        <v>0</v>
      </c>
      <c r="Q935" s="30">
        <f>IFERROR(IF(P935="","",P935*INDEX(Ingredients!$P$5:$P$304,MATCH(D935,Ingredients!$B$5:$B$304,0))),"")</f>
        <v>0</v>
      </c>
      <c r="R935" s="45">
        <f>IFERROR(IF(P935="","",P935*INDEX(Ingredients!$Q$5:$Q$304,MATCH(D935,Ingredients!$B$5:$B$304,0))),"")</f>
        <v>0</v>
      </c>
      <c r="S935" s="45">
        <f>IFERROR(IF(P935="","",P935*INDEX(Ingredients!$R$5:$R$304,MATCH(D935,Ingredients!$B$5:$B$304,0))),"")</f>
        <v>0</v>
      </c>
      <c r="T935" s="45">
        <f>IFERROR(IF(P935="","",P935*INDEX(Ingredients!$S$5:$S$304,MATCH(D935,Ingredients!$B$5:$B$304,0))),"")</f>
        <v>0</v>
      </c>
      <c r="U935" s="45">
        <f>IFERROR(IF(P935="","",P935*INDEX(Ingredients!$T$5:$T$304,MATCH(D935,Ingredients!$B$5:$B$304,0))),"")</f>
        <v>0</v>
      </c>
      <c r="V935" s="17">
        <f>IF(D935="","",IFERROR(INDEX(Ingredients!$W$5:$W$304,MATCH(D935,Ingredients!$B$5:$B$304,0)),"Add to Ingredients"))</f>
        <v>0</v>
      </c>
      <c r="W935" s="17">
        <f>IF(D935="","",IFERROR(INDEX(Ingredients!$C$5:$C$304,MATCH(D935,Ingredients!$B$5:$B$304,0)),"Add to Ingredients"))</f>
        <v>0</v>
      </c>
      <c r="X935" s="45">
        <f>IFERROR(INDEX(Recipes!$AT$5:$AT$204,MATCH(B935,Recipes!$A$5:$A$204,0)),0)</f>
        <v>0</v>
      </c>
      <c r="Y935" s="45">
        <f>IF(OR(J935="",X935=0),"",J935*X935)</f>
        <v>0</v>
      </c>
      <c r="Z935" s="17">
        <f>IF(D935="","",B935&amp;"#"&amp;COUNTIFS($B$5:B935,B935))</f>
        <v>0</v>
      </c>
      <c r="AA935" s="17">
        <f>IF(D935="","",B935&amp;"|"&amp;D935)</f>
        <v>0</v>
      </c>
      <c r="AB935" s="31">
        <f>IF(D935="","",IF(B935="","Add - which recipe?",IF(COUNTIFS(Ingredients!$B$5:$B$304,D935)=0,"Missing - not in the Ingredients tab",IF(E935="","Add - no quantity",IF(F935="","Add - no unit",IF(K935&lt;&gt;L935,"Check - recipe in "&amp;K935&amp;", priced in "&amp;L935,IF(COUNTIFS($AA$5:$AA$1204,AA935)&gt;1,"Duplicate - same ingredient twice","OK")))))))</f>
        <v>0</v>
      </c>
    </row>
    <row r="936" spans="1:28">
      <c r="A936" s="39">
        <f>IF(D936="","","RL-"&amp;TEXT(ROW()-4,"0000"))</f>
        <v>0</v>
      </c>
      <c r="C936" s="17">
        <f>IF(B936="","",IFERROR(INDEX(Recipes!$B$5:$B$204,MATCH(B936,Recipes!$A$5:$A$204,0)),"Not found"))</f>
        <v>0</v>
      </c>
      <c r="J936" s="45">
        <f>IF(E936="","",IFERROR(E936*INDEX(UnitFactors,MATCH(F936,UnitNames,0)),""))</f>
        <v>0</v>
      </c>
      <c r="K936" s="17">
        <f>IF(F936="","",IFERROR(INDEX(UnitBases,MATCH(F936,UnitNames,0)),"?"))</f>
        <v>0</v>
      </c>
      <c r="L936" s="17">
        <f>IF(D936="","",IFERROR(INDEX(Ingredients!$G$5:$G$304,MATCH(D936,Ingredients!$B$5:$B$304,0)),"Add to Ingredients"))</f>
        <v>0</v>
      </c>
      <c r="M936" s="25">
        <f>IF(D936="","",IFERROR(INDEX(Ingredients!$J$5:$J$304,MATCH(D936,Ingredients!$B$5:$B$304,0)),"Add to Ingredients"))</f>
        <v>0</v>
      </c>
      <c r="N936" s="25">
        <f>IF(OR(J936="",M936="",NOT(ISNUMBER(M936))),"",IF(K936&lt;&gt;L936,"",J936*M936))</f>
        <v>0</v>
      </c>
      <c r="O936" s="25">
        <f>IF(N936="","",IFERROR(N936/INDEX(Recipes!$G$5:$G$204,MATCH(B936,Recipes!$A$5:$A$204,0)),""))</f>
        <v>0</v>
      </c>
      <c r="P936" s="30">
        <f>IF(J936="","",IF(K936="each",J936,J936/100))</f>
        <v>0</v>
      </c>
      <c r="Q936" s="30">
        <f>IFERROR(IF(P936="","",P936*INDEX(Ingredients!$P$5:$P$304,MATCH(D936,Ingredients!$B$5:$B$304,0))),"")</f>
        <v>0</v>
      </c>
      <c r="R936" s="45">
        <f>IFERROR(IF(P936="","",P936*INDEX(Ingredients!$Q$5:$Q$304,MATCH(D936,Ingredients!$B$5:$B$304,0))),"")</f>
        <v>0</v>
      </c>
      <c r="S936" s="45">
        <f>IFERROR(IF(P936="","",P936*INDEX(Ingredients!$R$5:$R$304,MATCH(D936,Ingredients!$B$5:$B$304,0))),"")</f>
        <v>0</v>
      </c>
      <c r="T936" s="45">
        <f>IFERROR(IF(P936="","",P936*INDEX(Ingredients!$S$5:$S$304,MATCH(D936,Ingredients!$B$5:$B$304,0))),"")</f>
        <v>0</v>
      </c>
      <c r="U936" s="45">
        <f>IFERROR(IF(P936="","",P936*INDEX(Ingredients!$T$5:$T$304,MATCH(D936,Ingredients!$B$5:$B$304,0))),"")</f>
        <v>0</v>
      </c>
      <c r="V936" s="17">
        <f>IF(D936="","",IFERROR(INDEX(Ingredients!$W$5:$W$304,MATCH(D936,Ingredients!$B$5:$B$304,0)),"Add to Ingredients"))</f>
        <v>0</v>
      </c>
      <c r="W936" s="17">
        <f>IF(D936="","",IFERROR(INDEX(Ingredients!$C$5:$C$304,MATCH(D936,Ingredients!$B$5:$B$304,0)),"Add to Ingredients"))</f>
        <v>0</v>
      </c>
      <c r="X936" s="45">
        <f>IFERROR(INDEX(Recipes!$AT$5:$AT$204,MATCH(B936,Recipes!$A$5:$A$204,0)),0)</f>
        <v>0</v>
      </c>
      <c r="Y936" s="45">
        <f>IF(OR(J936="",X936=0),"",J936*X936)</f>
        <v>0</v>
      </c>
      <c r="Z936" s="17">
        <f>IF(D936="","",B936&amp;"#"&amp;COUNTIFS($B$5:B936,B936))</f>
        <v>0</v>
      </c>
      <c r="AA936" s="17">
        <f>IF(D936="","",B936&amp;"|"&amp;D936)</f>
        <v>0</v>
      </c>
      <c r="AB936" s="31">
        <f>IF(D936="","",IF(B936="","Add - which recipe?",IF(COUNTIFS(Ingredients!$B$5:$B$304,D936)=0,"Missing - not in the Ingredients tab",IF(E936="","Add - no quantity",IF(F936="","Add - no unit",IF(K936&lt;&gt;L936,"Check - recipe in "&amp;K936&amp;", priced in "&amp;L936,IF(COUNTIFS($AA$5:$AA$1204,AA936)&gt;1,"Duplicate - same ingredient twice","OK")))))))</f>
        <v>0</v>
      </c>
    </row>
    <row r="937" spans="1:28">
      <c r="A937" s="39">
        <f>IF(D937="","","RL-"&amp;TEXT(ROW()-4,"0000"))</f>
        <v>0</v>
      </c>
      <c r="C937" s="17">
        <f>IF(B937="","",IFERROR(INDEX(Recipes!$B$5:$B$204,MATCH(B937,Recipes!$A$5:$A$204,0)),"Not found"))</f>
        <v>0</v>
      </c>
      <c r="J937" s="45">
        <f>IF(E937="","",IFERROR(E937*INDEX(UnitFactors,MATCH(F937,UnitNames,0)),""))</f>
        <v>0</v>
      </c>
      <c r="K937" s="17">
        <f>IF(F937="","",IFERROR(INDEX(UnitBases,MATCH(F937,UnitNames,0)),"?"))</f>
        <v>0</v>
      </c>
      <c r="L937" s="17">
        <f>IF(D937="","",IFERROR(INDEX(Ingredients!$G$5:$G$304,MATCH(D937,Ingredients!$B$5:$B$304,0)),"Add to Ingredients"))</f>
        <v>0</v>
      </c>
      <c r="M937" s="25">
        <f>IF(D937="","",IFERROR(INDEX(Ingredients!$J$5:$J$304,MATCH(D937,Ingredients!$B$5:$B$304,0)),"Add to Ingredients"))</f>
        <v>0</v>
      </c>
      <c r="N937" s="25">
        <f>IF(OR(J937="",M937="",NOT(ISNUMBER(M937))),"",IF(K937&lt;&gt;L937,"",J937*M937))</f>
        <v>0</v>
      </c>
      <c r="O937" s="25">
        <f>IF(N937="","",IFERROR(N937/INDEX(Recipes!$G$5:$G$204,MATCH(B937,Recipes!$A$5:$A$204,0)),""))</f>
        <v>0</v>
      </c>
      <c r="P937" s="30">
        <f>IF(J937="","",IF(K937="each",J937,J937/100))</f>
        <v>0</v>
      </c>
      <c r="Q937" s="30">
        <f>IFERROR(IF(P937="","",P937*INDEX(Ingredients!$P$5:$P$304,MATCH(D937,Ingredients!$B$5:$B$304,0))),"")</f>
        <v>0</v>
      </c>
      <c r="R937" s="45">
        <f>IFERROR(IF(P937="","",P937*INDEX(Ingredients!$Q$5:$Q$304,MATCH(D937,Ingredients!$B$5:$B$304,0))),"")</f>
        <v>0</v>
      </c>
      <c r="S937" s="45">
        <f>IFERROR(IF(P937="","",P937*INDEX(Ingredients!$R$5:$R$304,MATCH(D937,Ingredients!$B$5:$B$304,0))),"")</f>
        <v>0</v>
      </c>
      <c r="T937" s="45">
        <f>IFERROR(IF(P937="","",P937*INDEX(Ingredients!$S$5:$S$304,MATCH(D937,Ingredients!$B$5:$B$304,0))),"")</f>
        <v>0</v>
      </c>
      <c r="U937" s="45">
        <f>IFERROR(IF(P937="","",P937*INDEX(Ingredients!$T$5:$T$304,MATCH(D937,Ingredients!$B$5:$B$304,0))),"")</f>
        <v>0</v>
      </c>
      <c r="V937" s="17">
        <f>IF(D937="","",IFERROR(INDEX(Ingredients!$W$5:$W$304,MATCH(D937,Ingredients!$B$5:$B$304,0)),"Add to Ingredients"))</f>
        <v>0</v>
      </c>
      <c r="W937" s="17">
        <f>IF(D937="","",IFERROR(INDEX(Ingredients!$C$5:$C$304,MATCH(D937,Ingredients!$B$5:$B$304,0)),"Add to Ingredients"))</f>
        <v>0</v>
      </c>
      <c r="X937" s="45">
        <f>IFERROR(INDEX(Recipes!$AT$5:$AT$204,MATCH(B937,Recipes!$A$5:$A$204,0)),0)</f>
        <v>0</v>
      </c>
      <c r="Y937" s="45">
        <f>IF(OR(J937="",X937=0),"",J937*X937)</f>
        <v>0</v>
      </c>
      <c r="Z937" s="17">
        <f>IF(D937="","",B937&amp;"#"&amp;COUNTIFS($B$5:B937,B937))</f>
        <v>0</v>
      </c>
      <c r="AA937" s="17">
        <f>IF(D937="","",B937&amp;"|"&amp;D937)</f>
        <v>0</v>
      </c>
      <c r="AB937" s="31">
        <f>IF(D937="","",IF(B937="","Add - which recipe?",IF(COUNTIFS(Ingredients!$B$5:$B$304,D937)=0,"Missing - not in the Ingredients tab",IF(E937="","Add - no quantity",IF(F937="","Add - no unit",IF(K937&lt;&gt;L937,"Check - recipe in "&amp;K937&amp;", priced in "&amp;L937,IF(COUNTIFS($AA$5:$AA$1204,AA937)&gt;1,"Duplicate - same ingredient twice","OK")))))))</f>
        <v>0</v>
      </c>
    </row>
    <row r="938" spans="1:28">
      <c r="A938" s="39">
        <f>IF(D938="","","RL-"&amp;TEXT(ROW()-4,"0000"))</f>
        <v>0</v>
      </c>
      <c r="C938" s="17">
        <f>IF(B938="","",IFERROR(INDEX(Recipes!$B$5:$B$204,MATCH(B938,Recipes!$A$5:$A$204,0)),"Not found"))</f>
        <v>0</v>
      </c>
      <c r="J938" s="45">
        <f>IF(E938="","",IFERROR(E938*INDEX(UnitFactors,MATCH(F938,UnitNames,0)),""))</f>
        <v>0</v>
      </c>
      <c r="K938" s="17">
        <f>IF(F938="","",IFERROR(INDEX(UnitBases,MATCH(F938,UnitNames,0)),"?"))</f>
        <v>0</v>
      </c>
      <c r="L938" s="17">
        <f>IF(D938="","",IFERROR(INDEX(Ingredients!$G$5:$G$304,MATCH(D938,Ingredients!$B$5:$B$304,0)),"Add to Ingredients"))</f>
        <v>0</v>
      </c>
      <c r="M938" s="25">
        <f>IF(D938="","",IFERROR(INDEX(Ingredients!$J$5:$J$304,MATCH(D938,Ingredients!$B$5:$B$304,0)),"Add to Ingredients"))</f>
        <v>0</v>
      </c>
      <c r="N938" s="25">
        <f>IF(OR(J938="",M938="",NOT(ISNUMBER(M938))),"",IF(K938&lt;&gt;L938,"",J938*M938))</f>
        <v>0</v>
      </c>
      <c r="O938" s="25">
        <f>IF(N938="","",IFERROR(N938/INDEX(Recipes!$G$5:$G$204,MATCH(B938,Recipes!$A$5:$A$204,0)),""))</f>
        <v>0</v>
      </c>
      <c r="P938" s="30">
        <f>IF(J938="","",IF(K938="each",J938,J938/100))</f>
        <v>0</v>
      </c>
      <c r="Q938" s="30">
        <f>IFERROR(IF(P938="","",P938*INDEX(Ingredients!$P$5:$P$304,MATCH(D938,Ingredients!$B$5:$B$304,0))),"")</f>
        <v>0</v>
      </c>
      <c r="R938" s="45">
        <f>IFERROR(IF(P938="","",P938*INDEX(Ingredients!$Q$5:$Q$304,MATCH(D938,Ingredients!$B$5:$B$304,0))),"")</f>
        <v>0</v>
      </c>
      <c r="S938" s="45">
        <f>IFERROR(IF(P938="","",P938*INDEX(Ingredients!$R$5:$R$304,MATCH(D938,Ingredients!$B$5:$B$304,0))),"")</f>
        <v>0</v>
      </c>
      <c r="T938" s="45">
        <f>IFERROR(IF(P938="","",P938*INDEX(Ingredients!$S$5:$S$304,MATCH(D938,Ingredients!$B$5:$B$304,0))),"")</f>
        <v>0</v>
      </c>
      <c r="U938" s="45">
        <f>IFERROR(IF(P938="","",P938*INDEX(Ingredients!$T$5:$T$304,MATCH(D938,Ingredients!$B$5:$B$304,0))),"")</f>
        <v>0</v>
      </c>
      <c r="V938" s="17">
        <f>IF(D938="","",IFERROR(INDEX(Ingredients!$W$5:$W$304,MATCH(D938,Ingredients!$B$5:$B$304,0)),"Add to Ingredients"))</f>
        <v>0</v>
      </c>
      <c r="W938" s="17">
        <f>IF(D938="","",IFERROR(INDEX(Ingredients!$C$5:$C$304,MATCH(D938,Ingredients!$B$5:$B$304,0)),"Add to Ingredients"))</f>
        <v>0</v>
      </c>
      <c r="X938" s="45">
        <f>IFERROR(INDEX(Recipes!$AT$5:$AT$204,MATCH(B938,Recipes!$A$5:$A$204,0)),0)</f>
        <v>0</v>
      </c>
      <c r="Y938" s="45">
        <f>IF(OR(J938="",X938=0),"",J938*X938)</f>
        <v>0</v>
      </c>
      <c r="Z938" s="17">
        <f>IF(D938="","",B938&amp;"#"&amp;COUNTIFS($B$5:B938,B938))</f>
        <v>0</v>
      </c>
      <c r="AA938" s="17">
        <f>IF(D938="","",B938&amp;"|"&amp;D938)</f>
        <v>0</v>
      </c>
      <c r="AB938" s="31">
        <f>IF(D938="","",IF(B938="","Add - which recipe?",IF(COUNTIFS(Ingredients!$B$5:$B$304,D938)=0,"Missing - not in the Ingredients tab",IF(E938="","Add - no quantity",IF(F938="","Add - no unit",IF(K938&lt;&gt;L938,"Check - recipe in "&amp;K938&amp;", priced in "&amp;L938,IF(COUNTIFS($AA$5:$AA$1204,AA938)&gt;1,"Duplicate - same ingredient twice","OK")))))))</f>
        <v>0</v>
      </c>
    </row>
    <row r="939" spans="1:28">
      <c r="A939" s="39">
        <f>IF(D939="","","RL-"&amp;TEXT(ROW()-4,"0000"))</f>
        <v>0</v>
      </c>
      <c r="C939" s="17">
        <f>IF(B939="","",IFERROR(INDEX(Recipes!$B$5:$B$204,MATCH(B939,Recipes!$A$5:$A$204,0)),"Not found"))</f>
        <v>0</v>
      </c>
      <c r="J939" s="45">
        <f>IF(E939="","",IFERROR(E939*INDEX(UnitFactors,MATCH(F939,UnitNames,0)),""))</f>
        <v>0</v>
      </c>
      <c r="K939" s="17">
        <f>IF(F939="","",IFERROR(INDEX(UnitBases,MATCH(F939,UnitNames,0)),"?"))</f>
        <v>0</v>
      </c>
      <c r="L939" s="17">
        <f>IF(D939="","",IFERROR(INDEX(Ingredients!$G$5:$G$304,MATCH(D939,Ingredients!$B$5:$B$304,0)),"Add to Ingredients"))</f>
        <v>0</v>
      </c>
      <c r="M939" s="25">
        <f>IF(D939="","",IFERROR(INDEX(Ingredients!$J$5:$J$304,MATCH(D939,Ingredients!$B$5:$B$304,0)),"Add to Ingredients"))</f>
        <v>0</v>
      </c>
      <c r="N939" s="25">
        <f>IF(OR(J939="",M939="",NOT(ISNUMBER(M939))),"",IF(K939&lt;&gt;L939,"",J939*M939))</f>
        <v>0</v>
      </c>
      <c r="O939" s="25">
        <f>IF(N939="","",IFERROR(N939/INDEX(Recipes!$G$5:$G$204,MATCH(B939,Recipes!$A$5:$A$204,0)),""))</f>
        <v>0</v>
      </c>
      <c r="P939" s="30">
        <f>IF(J939="","",IF(K939="each",J939,J939/100))</f>
        <v>0</v>
      </c>
      <c r="Q939" s="30">
        <f>IFERROR(IF(P939="","",P939*INDEX(Ingredients!$P$5:$P$304,MATCH(D939,Ingredients!$B$5:$B$304,0))),"")</f>
        <v>0</v>
      </c>
      <c r="R939" s="45">
        <f>IFERROR(IF(P939="","",P939*INDEX(Ingredients!$Q$5:$Q$304,MATCH(D939,Ingredients!$B$5:$B$304,0))),"")</f>
        <v>0</v>
      </c>
      <c r="S939" s="45">
        <f>IFERROR(IF(P939="","",P939*INDEX(Ingredients!$R$5:$R$304,MATCH(D939,Ingredients!$B$5:$B$304,0))),"")</f>
        <v>0</v>
      </c>
      <c r="T939" s="45">
        <f>IFERROR(IF(P939="","",P939*INDEX(Ingredients!$S$5:$S$304,MATCH(D939,Ingredients!$B$5:$B$304,0))),"")</f>
        <v>0</v>
      </c>
      <c r="U939" s="45">
        <f>IFERROR(IF(P939="","",P939*INDEX(Ingredients!$T$5:$T$304,MATCH(D939,Ingredients!$B$5:$B$304,0))),"")</f>
        <v>0</v>
      </c>
      <c r="V939" s="17">
        <f>IF(D939="","",IFERROR(INDEX(Ingredients!$W$5:$W$304,MATCH(D939,Ingredients!$B$5:$B$304,0)),"Add to Ingredients"))</f>
        <v>0</v>
      </c>
      <c r="W939" s="17">
        <f>IF(D939="","",IFERROR(INDEX(Ingredients!$C$5:$C$304,MATCH(D939,Ingredients!$B$5:$B$304,0)),"Add to Ingredients"))</f>
        <v>0</v>
      </c>
      <c r="X939" s="45">
        <f>IFERROR(INDEX(Recipes!$AT$5:$AT$204,MATCH(B939,Recipes!$A$5:$A$204,0)),0)</f>
        <v>0</v>
      </c>
      <c r="Y939" s="45">
        <f>IF(OR(J939="",X939=0),"",J939*X939)</f>
        <v>0</v>
      </c>
      <c r="Z939" s="17">
        <f>IF(D939="","",B939&amp;"#"&amp;COUNTIFS($B$5:B939,B939))</f>
        <v>0</v>
      </c>
      <c r="AA939" s="17">
        <f>IF(D939="","",B939&amp;"|"&amp;D939)</f>
        <v>0</v>
      </c>
      <c r="AB939" s="31">
        <f>IF(D939="","",IF(B939="","Add - which recipe?",IF(COUNTIFS(Ingredients!$B$5:$B$304,D939)=0,"Missing - not in the Ingredients tab",IF(E939="","Add - no quantity",IF(F939="","Add - no unit",IF(K939&lt;&gt;L939,"Check - recipe in "&amp;K939&amp;", priced in "&amp;L939,IF(COUNTIFS($AA$5:$AA$1204,AA939)&gt;1,"Duplicate - same ingredient twice","OK")))))))</f>
        <v>0</v>
      </c>
    </row>
    <row r="940" spans="1:28">
      <c r="A940" s="39">
        <f>IF(D940="","","RL-"&amp;TEXT(ROW()-4,"0000"))</f>
        <v>0</v>
      </c>
      <c r="C940" s="17">
        <f>IF(B940="","",IFERROR(INDEX(Recipes!$B$5:$B$204,MATCH(B940,Recipes!$A$5:$A$204,0)),"Not found"))</f>
        <v>0</v>
      </c>
      <c r="J940" s="45">
        <f>IF(E940="","",IFERROR(E940*INDEX(UnitFactors,MATCH(F940,UnitNames,0)),""))</f>
        <v>0</v>
      </c>
      <c r="K940" s="17">
        <f>IF(F940="","",IFERROR(INDEX(UnitBases,MATCH(F940,UnitNames,0)),"?"))</f>
        <v>0</v>
      </c>
      <c r="L940" s="17">
        <f>IF(D940="","",IFERROR(INDEX(Ingredients!$G$5:$G$304,MATCH(D940,Ingredients!$B$5:$B$304,0)),"Add to Ingredients"))</f>
        <v>0</v>
      </c>
      <c r="M940" s="25">
        <f>IF(D940="","",IFERROR(INDEX(Ingredients!$J$5:$J$304,MATCH(D940,Ingredients!$B$5:$B$304,0)),"Add to Ingredients"))</f>
        <v>0</v>
      </c>
      <c r="N940" s="25">
        <f>IF(OR(J940="",M940="",NOT(ISNUMBER(M940))),"",IF(K940&lt;&gt;L940,"",J940*M940))</f>
        <v>0</v>
      </c>
      <c r="O940" s="25">
        <f>IF(N940="","",IFERROR(N940/INDEX(Recipes!$G$5:$G$204,MATCH(B940,Recipes!$A$5:$A$204,0)),""))</f>
        <v>0</v>
      </c>
      <c r="P940" s="30">
        <f>IF(J940="","",IF(K940="each",J940,J940/100))</f>
        <v>0</v>
      </c>
      <c r="Q940" s="30">
        <f>IFERROR(IF(P940="","",P940*INDEX(Ingredients!$P$5:$P$304,MATCH(D940,Ingredients!$B$5:$B$304,0))),"")</f>
        <v>0</v>
      </c>
      <c r="R940" s="45">
        <f>IFERROR(IF(P940="","",P940*INDEX(Ingredients!$Q$5:$Q$304,MATCH(D940,Ingredients!$B$5:$B$304,0))),"")</f>
        <v>0</v>
      </c>
      <c r="S940" s="45">
        <f>IFERROR(IF(P940="","",P940*INDEX(Ingredients!$R$5:$R$304,MATCH(D940,Ingredients!$B$5:$B$304,0))),"")</f>
        <v>0</v>
      </c>
      <c r="T940" s="45">
        <f>IFERROR(IF(P940="","",P940*INDEX(Ingredients!$S$5:$S$304,MATCH(D940,Ingredients!$B$5:$B$304,0))),"")</f>
        <v>0</v>
      </c>
      <c r="U940" s="45">
        <f>IFERROR(IF(P940="","",P940*INDEX(Ingredients!$T$5:$T$304,MATCH(D940,Ingredients!$B$5:$B$304,0))),"")</f>
        <v>0</v>
      </c>
      <c r="V940" s="17">
        <f>IF(D940="","",IFERROR(INDEX(Ingredients!$W$5:$W$304,MATCH(D940,Ingredients!$B$5:$B$304,0)),"Add to Ingredients"))</f>
        <v>0</v>
      </c>
      <c r="W940" s="17">
        <f>IF(D940="","",IFERROR(INDEX(Ingredients!$C$5:$C$304,MATCH(D940,Ingredients!$B$5:$B$304,0)),"Add to Ingredients"))</f>
        <v>0</v>
      </c>
      <c r="X940" s="45">
        <f>IFERROR(INDEX(Recipes!$AT$5:$AT$204,MATCH(B940,Recipes!$A$5:$A$204,0)),0)</f>
        <v>0</v>
      </c>
      <c r="Y940" s="45">
        <f>IF(OR(J940="",X940=0),"",J940*X940)</f>
        <v>0</v>
      </c>
      <c r="Z940" s="17">
        <f>IF(D940="","",B940&amp;"#"&amp;COUNTIFS($B$5:B940,B940))</f>
        <v>0</v>
      </c>
      <c r="AA940" s="17">
        <f>IF(D940="","",B940&amp;"|"&amp;D940)</f>
        <v>0</v>
      </c>
      <c r="AB940" s="31">
        <f>IF(D940="","",IF(B940="","Add - which recipe?",IF(COUNTIFS(Ingredients!$B$5:$B$304,D940)=0,"Missing - not in the Ingredients tab",IF(E940="","Add - no quantity",IF(F940="","Add - no unit",IF(K940&lt;&gt;L940,"Check - recipe in "&amp;K940&amp;", priced in "&amp;L940,IF(COUNTIFS($AA$5:$AA$1204,AA940)&gt;1,"Duplicate - same ingredient twice","OK")))))))</f>
        <v>0</v>
      </c>
    </row>
    <row r="941" spans="1:28">
      <c r="A941" s="39">
        <f>IF(D941="","","RL-"&amp;TEXT(ROW()-4,"0000"))</f>
        <v>0</v>
      </c>
      <c r="C941" s="17">
        <f>IF(B941="","",IFERROR(INDEX(Recipes!$B$5:$B$204,MATCH(B941,Recipes!$A$5:$A$204,0)),"Not found"))</f>
        <v>0</v>
      </c>
      <c r="J941" s="45">
        <f>IF(E941="","",IFERROR(E941*INDEX(UnitFactors,MATCH(F941,UnitNames,0)),""))</f>
        <v>0</v>
      </c>
      <c r="K941" s="17">
        <f>IF(F941="","",IFERROR(INDEX(UnitBases,MATCH(F941,UnitNames,0)),"?"))</f>
        <v>0</v>
      </c>
      <c r="L941" s="17">
        <f>IF(D941="","",IFERROR(INDEX(Ingredients!$G$5:$G$304,MATCH(D941,Ingredients!$B$5:$B$304,0)),"Add to Ingredients"))</f>
        <v>0</v>
      </c>
      <c r="M941" s="25">
        <f>IF(D941="","",IFERROR(INDEX(Ingredients!$J$5:$J$304,MATCH(D941,Ingredients!$B$5:$B$304,0)),"Add to Ingredients"))</f>
        <v>0</v>
      </c>
      <c r="N941" s="25">
        <f>IF(OR(J941="",M941="",NOT(ISNUMBER(M941))),"",IF(K941&lt;&gt;L941,"",J941*M941))</f>
        <v>0</v>
      </c>
      <c r="O941" s="25">
        <f>IF(N941="","",IFERROR(N941/INDEX(Recipes!$G$5:$G$204,MATCH(B941,Recipes!$A$5:$A$204,0)),""))</f>
        <v>0</v>
      </c>
      <c r="P941" s="30">
        <f>IF(J941="","",IF(K941="each",J941,J941/100))</f>
        <v>0</v>
      </c>
      <c r="Q941" s="30">
        <f>IFERROR(IF(P941="","",P941*INDEX(Ingredients!$P$5:$P$304,MATCH(D941,Ingredients!$B$5:$B$304,0))),"")</f>
        <v>0</v>
      </c>
      <c r="R941" s="45">
        <f>IFERROR(IF(P941="","",P941*INDEX(Ingredients!$Q$5:$Q$304,MATCH(D941,Ingredients!$B$5:$B$304,0))),"")</f>
        <v>0</v>
      </c>
      <c r="S941" s="45">
        <f>IFERROR(IF(P941="","",P941*INDEX(Ingredients!$R$5:$R$304,MATCH(D941,Ingredients!$B$5:$B$304,0))),"")</f>
        <v>0</v>
      </c>
      <c r="T941" s="45">
        <f>IFERROR(IF(P941="","",P941*INDEX(Ingredients!$S$5:$S$304,MATCH(D941,Ingredients!$B$5:$B$304,0))),"")</f>
        <v>0</v>
      </c>
      <c r="U941" s="45">
        <f>IFERROR(IF(P941="","",P941*INDEX(Ingredients!$T$5:$T$304,MATCH(D941,Ingredients!$B$5:$B$304,0))),"")</f>
        <v>0</v>
      </c>
      <c r="V941" s="17">
        <f>IF(D941="","",IFERROR(INDEX(Ingredients!$W$5:$W$304,MATCH(D941,Ingredients!$B$5:$B$304,0)),"Add to Ingredients"))</f>
        <v>0</v>
      </c>
      <c r="W941" s="17">
        <f>IF(D941="","",IFERROR(INDEX(Ingredients!$C$5:$C$304,MATCH(D941,Ingredients!$B$5:$B$304,0)),"Add to Ingredients"))</f>
        <v>0</v>
      </c>
      <c r="X941" s="45">
        <f>IFERROR(INDEX(Recipes!$AT$5:$AT$204,MATCH(B941,Recipes!$A$5:$A$204,0)),0)</f>
        <v>0</v>
      </c>
      <c r="Y941" s="45">
        <f>IF(OR(J941="",X941=0),"",J941*X941)</f>
        <v>0</v>
      </c>
      <c r="Z941" s="17">
        <f>IF(D941="","",B941&amp;"#"&amp;COUNTIFS($B$5:B941,B941))</f>
        <v>0</v>
      </c>
      <c r="AA941" s="17">
        <f>IF(D941="","",B941&amp;"|"&amp;D941)</f>
        <v>0</v>
      </c>
      <c r="AB941" s="31">
        <f>IF(D941="","",IF(B941="","Add - which recipe?",IF(COUNTIFS(Ingredients!$B$5:$B$304,D941)=0,"Missing - not in the Ingredients tab",IF(E941="","Add - no quantity",IF(F941="","Add - no unit",IF(K941&lt;&gt;L941,"Check - recipe in "&amp;K941&amp;", priced in "&amp;L941,IF(COUNTIFS($AA$5:$AA$1204,AA941)&gt;1,"Duplicate - same ingredient twice","OK")))))))</f>
        <v>0</v>
      </c>
    </row>
    <row r="942" spans="1:28">
      <c r="A942" s="39">
        <f>IF(D942="","","RL-"&amp;TEXT(ROW()-4,"0000"))</f>
        <v>0</v>
      </c>
      <c r="C942" s="17">
        <f>IF(B942="","",IFERROR(INDEX(Recipes!$B$5:$B$204,MATCH(B942,Recipes!$A$5:$A$204,0)),"Not found"))</f>
        <v>0</v>
      </c>
      <c r="J942" s="45">
        <f>IF(E942="","",IFERROR(E942*INDEX(UnitFactors,MATCH(F942,UnitNames,0)),""))</f>
        <v>0</v>
      </c>
      <c r="K942" s="17">
        <f>IF(F942="","",IFERROR(INDEX(UnitBases,MATCH(F942,UnitNames,0)),"?"))</f>
        <v>0</v>
      </c>
      <c r="L942" s="17">
        <f>IF(D942="","",IFERROR(INDEX(Ingredients!$G$5:$G$304,MATCH(D942,Ingredients!$B$5:$B$304,0)),"Add to Ingredients"))</f>
        <v>0</v>
      </c>
      <c r="M942" s="25">
        <f>IF(D942="","",IFERROR(INDEX(Ingredients!$J$5:$J$304,MATCH(D942,Ingredients!$B$5:$B$304,0)),"Add to Ingredients"))</f>
        <v>0</v>
      </c>
      <c r="N942" s="25">
        <f>IF(OR(J942="",M942="",NOT(ISNUMBER(M942))),"",IF(K942&lt;&gt;L942,"",J942*M942))</f>
        <v>0</v>
      </c>
      <c r="O942" s="25">
        <f>IF(N942="","",IFERROR(N942/INDEX(Recipes!$G$5:$G$204,MATCH(B942,Recipes!$A$5:$A$204,0)),""))</f>
        <v>0</v>
      </c>
      <c r="P942" s="30">
        <f>IF(J942="","",IF(K942="each",J942,J942/100))</f>
        <v>0</v>
      </c>
      <c r="Q942" s="30">
        <f>IFERROR(IF(P942="","",P942*INDEX(Ingredients!$P$5:$P$304,MATCH(D942,Ingredients!$B$5:$B$304,0))),"")</f>
        <v>0</v>
      </c>
      <c r="R942" s="45">
        <f>IFERROR(IF(P942="","",P942*INDEX(Ingredients!$Q$5:$Q$304,MATCH(D942,Ingredients!$B$5:$B$304,0))),"")</f>
        <v>0</v>
      </c>
      <c r="S942" s="45">
        <f>IFERROR(IF(P942="","",P942*INDEX(Ingredients!$R$5:$R$304,MATCH(D942,Ingredients!$B$5:$B$304,0))),"")</f>
        <v>0</v>
      </c>
      <c r="T942" s="45">
        <f>IFERROR(IF(P942="","",P942*INDEX(Ingredients!$S$5:$S$304,MATCH(D942,Ingredients!$B$5:$B$304,0))),"")</f>
        <v>0</v>
      </c>
      <c r="U942" s="45">
        <f>IFERROR(IF(P942="","",P942*INDEX(Ingredients!$T$5:$T$304,MATCH(D942,Ingredients!$B$5:$B$304,0))),"")</f>
        <v>0</v>
      </c>
      <c r="V942" s="17">
        <f>IF(D942="","",IFERROR(INDEX(Ingredients!$W$5:$W$304,MATCH(D942,Ingredients!$B$5:$B$304,0)),"Add to Ingredients"))</f>
        <v>0</v>
      </c>
      <c r="W942" s="17">
        <f>IF(D942="","",IFERROR(INDEX(Ingredients!$C$5:$C$304,MATCH(D942,Ingredients!$B$5:$B$304,0)),"Add to Ingredients"))</f>
        <v>0</v>
      </c>
      <c r="X942" s="45">
        <f>IFERROR(INDEX(Recipes!$AT$5:$AT$204,MATCH(B942,Recipes!$A$5:$A$204,0)),0)</f>
        <v>0</v>
      </c>
      <c r="Y942" s="45">
        <f>IF(OR(J942="",X942=0),"",J942*X942)</f>
        <v>0</v>
      </c>
      <c r="Z942" s="17">
        <f>IF(D942="","",B942&amp;"#"&amp;COUNTIFS($B$5:B942,B942))</f>
        <v>0</v>
      </c>
      <c r="AA942" s="17">
        <f>IF(D942="","",B942&amp;"|"&amp;D942)</f>
        <v>0</v>
      </c>
      <c r="AB942" s="31">
        <f>IF(D942="","",IF(B942="","Add - which recipe?",IF(COUNTIFS(Ingredients!$B$5:$B$304,D942)=0,"Missing - not in the Ingredients tab",IF(E942="","Add - no quantity",IF(F942="","Add - no unit",IF(K942&lt;&gt;L942,"Check - recipe in "&amp;K942&amp;", priced in "&amp;L942,IF(COUNTIFS($AA$5:$AA$1204,AA942)&gt;1,"Duplicate - same ingredient twice","OK")))))))</f>
        <v>0</v>
      </c>
    </row>
    <row r="943" spans="1:28">
      <c r="A943" s="39">
        <f>IF(D943="","","RL-"&amp;TEXT(ROW()-4,"0000"))</f>
        <v>0</v>
      </c>
      <c r="C943" s="17">
        <f>IF(B943="","",IFERROR(INDEX(Recipes!$B$5:$B$204,MATCH(B943,Recipes!$A$5:$A$204,0)),"Not found"))</f>
        <v>0</v>
      </c>
      <c r="J943" s="45">
        <f>IF(E943="","",IFERROR(E943*INDEX(UnitFactors,MATCH(F943,UnitNames,0)),""))</f>
        <v>0</v>
      </c>
      <c r="K943" s="17">
        <f>IF(F943="","",IFERROR(INDEX(UnitBases,MATCH(F943,UnitNames,0)),"?"))</f>
        <v>0</v>
      </c>
      <c r="L943" s="17">
        <f>IF(D943="","",IFERROR(INDEX(Ingredients!$G$5:$G$304,MATCH(D943,Ingredients!$B$5:$B$304,0)),"Add to Ingredients"))</f>
        <v>0</v>
      </c>
      <c r="M943" s="25">
        <f>IF(D943="","",IFERROR(INDEX(Ingredients!$J$5:$J$304,MATCH(D943,Ingredients!$B$5:$B$304,0)),"Add to Ingredients"))</f>
        <v>0</v>
      </c>
      <c r="N943" s="25">
        <f>IF(OR(J943="",M943="",NOT(ISNUMBER(M943))),"",IF(K943&lt;&gt;L943,"",J943*M943))</f>
        <v>0</v>
      </c>
      <c r="O943" s="25">
        <f>IF(N943="","",IFERROR(N943/INDEX(Recipes!$G$5:$G$204,MATCH(B943,Recipes!$A$5:$A$204,0)),""))</f>
        <v>0</v>
      </c>
      <c r="P943" s="30">
        <f>IF(J943="","",IF(K943="each",J943,J943/100))</f>
        <v>0</v>
      </c>
      <c r="Q943" s="30">
        <f>IFERROR(IF(P943="","",P943*INDEX(Ingredients!$P$5:$P$304,MATCH(D943,Ingredients!$B$5:$B$304,0))),"")</f>
        <v>0</v>
      </c>
      <c r="R943" s="45">
        <f>IFERROR(IF(P943="","",P943*INDEX(Ingredients!$Q$5:$Q$304,MATCH(D943,Ingredients!$B$5:$B$304,0))),"")</f>
        <v>0</v>
      </c>
      <c r="S943" s="45">
        <f>IFERROR(IF(P943="","",P943*INDEX(Ingredients!$R$5:$R$304,MATCH(D943,Ingredients!$B$5:$B$304,0))),"")</f>
        <v>0</v>
      </c>
      <c r="T943" s="45">
        <f>IFERROR(IF(P943="","",P943*INDEX(Ingredients!$S$5:$S$304,MATCH(D943,Ingredients!$B$5:$B$304,0))),"")</f>
        <v>0</v>
      </c>
      <c r="U943" s="45">
        <f>IFERROR(IF(P943="","",P943*INDEX(Ingredients!$T$5:$T$304,MATCH(D943,Ingredients!$B$5:$B$304,0))),"")</f>
        <v>0</v>
      </c>
      <c r="V943" s="17">
        <f>IF(D943="","",IFERROR(INDEX(Ingredients!$W$5:$W$304,MATCH(D943,Ingredients!$B$5:$B$304,0)),"Add to Ingredients"))</f>
        <v>0</v>
      </c>
      <c r="W943" s="17">
        <f>IF(D943="","",IFERROR(INDEX(Ingredients!$C$5:$C$304,MATCH(D943,Ingredients!$B$5:$B$304,0)),"Add to Ingredients"))</f>
        <v>0</v>
      </c>
      <c r="X943" s="45">
        <f>IFERROR(INDEX(Recipes!$AT$5:$AT$204,MATCH(B943,Recipes!$A$5:$A$204,0)),0)</f>
        <v>0</v>
      </c>
      <c r="Y943" s="45">
        <f>IF(OR(J943="",X943=0),"",J943*X943)</f>
        <v>0</v>
      </c>
      <c r="Z943" s="17">
        <f>IF(D943="","",B943&amp;"#"&amp;COUNTIFS($B$5:B943,B943))</f>
        <v>0</v>
      </c>
      <c r="AA943" s="17">
        <f>IF(D943="","",B943&amp;"|"&amp;D943)</f>
        <v>0</v>
      </c>
      <c r="AB943" s="31">
        <f>IF(D943="","",IF(B943="","Add - which recipe?",IF(COUNTIFS(Ingredients!$B$5:$B$304,D943)=0,"Missing - not in the Ingredients tab",IF(E943="","Add - no quantity",IF(F943="","Add - no unit",IF(K943&lt;&gt;L943,"Check - recipe in "&amp;K943&amp;", priced in "&amp;L943,IF(COUNTIFS($AA$5:$AA$1204,AA943)&gt;1,"Duplicate - same ingredient twice","OK")))))))</f>
        <v>0</v>
      </c>
    </row>
    <row r="944" spans="1:28">
      <c r="A944" s="39">
        <f>IF(D944="","","RL-"&amp;TEXT(ROW()-4,"0000"))</f>
        <v>0</v>
      </c>
      <c r="C944" s="17">
        <f>IF(B944="","",IFERROR(INDEX(Recipes!$B$5:$B$204,MATCH(B944,Recipes!$A$5:$A$204,0)),"Not found"))</f>
        <v>0</v>
      </c>
      <c r="J944" s="45">
        <f>IF(E944="","",IFERROR(E944*INDEX(UnitFactors,MATCH(F944,UnitNames,0)),""))</f>
        <v>0</v>
      </c>
      <c r="K944" s="17">
        <f>IF(F944="","",IFERROR(INDEX(UnitBases,MATCH(F944,UnitNames,0)),"?"))</f>
        <v>0</v>
      </c>
      <c r="L944" s="17">
        <f>IF(D944="","",IFERROR(INDEX(Ingredients!$G$5:$G$304,MATCH(D944,Ingredients!$B$5:$B$304,0)),"Add to Ingredients"))</f>
        <v>0</v>
      </c>
      <c r="M944" s="25">
        <f>IF(D944="","",IFERROR(INDEX(Ingredients!$J$5:$J$304,MATCH(D944,Ingredients!$B$5:$B$304,0)),"Add to Ingredients"))</f>
        <v>0</v>
      </c>
      <c r="N944" s="25">
        <f>IF(OR(J944="",M944="",NOT(ISNUMBER(M944))),"",IF(K944&lt;&gt;L944,"",J944*M944))</f>
        <v>0</v>
      </c>
      <c r="O944" s="25">
        <f>IF(N944="","",IFERROR(N944/INDEX(Recipes!$G$5:$G$204,MATCH(B944,Recipes!$A$5:$A$204,0)),""))</f>
        <v>0</v>
      </c>
      <c r="P944" s="30">
        <f>IF(J944="","",IF(K944="each",J944,J944/100))</f>
        <v>0</v>
      </c>
      <c r="Q944" s="30">
        <f>IFERROR(IF(P944="","",P944*INDEX(Ingredients!$P$5:$P$304,MATCH(D944,Ingredients!$B$5:$B$304,0))),"")</f>
        <v>0</v>
      </c>
      <c r="R944" s="45">
        <f>IFERROR(IF(P944="","",P944*INDEX(Ingredients!$Q$5:$Q$304,MATCH(D944,Ingredients!$B$5:$B$304,0))),"")</f>
        <v>0</v>
      </c>
      <c r="S944" s="45">
        <f>IFERROR(IF(P944="","",P944*INDEX(Ingredients!$R$5:$R$304,MATCH(D944,Ingredients!$B$5:$B$304,0))),"")</f>
        <v>0</v>
      </c>
      <c r="T944" s="45">
        <f>IFERROR(IF(P944="","",P944*INDEX(Ingredients!$S$5:$S$304,MATCH(D944,Ingredients!$B$5:$B$304,0))),"")</f>
        <v>0</v>
      </c>
      <c r="U944" s="45">
        <f>IFERROR(IF(P944="","",P944*INDEX(Ingredients!$T$5:$T$304,MATCH(D944,Ingredients!$B$5:$B$304,0))),"")</f>
        <v>0</v>
      </c>
      <c r="V944" s="17">
        <f>IF(D944="","",IFERROR(INDEX(Ingredients!$W$5:$W$304,MATCH(D944,Ingredients!$B$5:$B$304,0)),"Add to Ingredients"))</f>
        <v>0</v>
      </c>
      <c r="W944" s="17">
        <f>IF(D944="","",IFERROR(INDEX(Ingredients!$C$5:$C$304,MATCH(D944,Ingredients!$B$5:$B$304,0)),"Add to Ingredients"))</f>
        <v>0</v>
      </c>
      <c r="X944" s="45">
        <f>IFERROR(INDEX(Recipes!$AT$5:$AT$204,MATCH(B944,Recipes!$A$5:$A$204,0)),0)</f>
        <v>0</v>
      </c>
      <c r="Y944" s="45">
        <f>IF(OR(J944="",X944=0),"",J944*X944)</f>
        <v>0</v>
      </c>
      <c r="Z944" s="17">
        <f>IF(D944="","",B944&amp;"#"&amp;COUNTIFS($B$5:B944,B944))</f>
        <v>0</v>
      </c>
      <c r="AA944" s="17">
        <f>IF(D944="","",B944&amp;"|"&amp;D944)</f>
        <v>0</v>
      </c>
      <c r="AB944" s="31">
        <f>IF(D944="","",IF(B944="","Add - which recipe?",IF(COUNTIFS(Ingredients!$B$5:$B$304,D944)=0,"Missing - not in the Ingredients tab",IF(E944="","Add - no quantity",IF(F944="","Add - no unit",IF(K944&lt;&gt;L944,"Check - recipe in "&amp;K944&amp;", priced in "&amp;L944,IF(COUNTIFS($AA$5:$AA$1204,AA944)&gt;1,"Duplicate - same ingredient twice","OK")))))))</f>
        <v>0</v>
      </c>
    </row>
    <row r="945" spans="1:28">
      <c r="A945" s="39">
        <f>IF(D945="","","RL-"&amp;TEXT(ROW()-4,"0000"))</f>
        <v>0</v>
      </c>
      <c r="C945" s="17">
        <f>IF(B945="","",IFERROR(INDEX(Recipes!$B$5:$B$204,MATCH(B945,Recipes!$A$5:$A$204,0)),"Not found"))</f>
        <v>0</v>
      </c>
      <c r="J945" s="45">
        <f>IF(E945="","",IFERROR(E945*INDEX(UnitFactors,MATCH(F945,UnitNames,0)),""))</f>
        <v>0</v>
      </c>
      <c r="K945" s="17">
        <f>IF(F945="","",IFERROR(INDEX(UnitBases,MATCH(F945,UnitNames,0)),"?"))</f>
        <v>0</v>
      </c>
      <c r="L945" s="17">
        <f>IF(D945="","",IFERROR(INDEX(Ingredients!$G$5:$G$304,MATCH(D945,Ingredients!$B$5:$B$304,0)),"Add to Ingredients"))</f>
        <v>0</v>
      </c>
      <c r="M945" s="25">
        <f>IF(D945="","",IFERROR(INDEX(Ingredients!$J$5:$J$304,MATCH(D945,Ingredients!$B$5:$B$304,0)),"Add to Ingredients"))</f>
        <v>0</v>
      </c>
      <c r="N945" s="25">
        <f>IF(OR(J945="",M945="",NOT(ISNUMBER(M945))),"",IF(K945&lt;&gt;L945,"",J945*M945))</f>
        <v>0</v>
      </c>
      <c r="O945" s="25">
        <f>IF(N945="","",IFERROR(N945/INDEX(Recipes!$G$5:$G$204,MATCH(B945,Recipes!$A$5:$A$204,0)),""))</f>
        <v>0</v>
      </c>
      <c r="P945" s="30">
        <f>IF(J945="","",IF(K945="each",J945,J945/100))</f>
        <v>0</v>
      </c>
      <c r="Q945" s="30">
        <f>IFERROR(IF(P945="","",P945*INDEX(Ingredients!$P$5:$P$304,MATCH(D945,Ingredients!$B$5:$B$304,0))),"")</f>
        <v>0</v>
      </c>
      <c r="R945" s="45">
        <f>IFERROR(IF(P945="","",P945*INDEX(Ingredients!$Q$5:$Q$304,MATCH(D945,Ingredients!$B$5:$B$304,0))),"")</f>
        <v>0</v>
      </c>
      <c r="S945" s="45">
        <f>IFERROR(IF(P945="","",P945*INDEX(Ingredients!$R$5:$R$304,MATCH(D945,Ingredients!$B$5:$B$304,0))),"")</f>
        <v>0</v>
      </c>
      <c r="T945" s="45">
        <f>IFERROR(IF(P945="","",P945*INDEX(Ingredients!$S$5:$S$304,MATCH(D945,Ingredients!$B$5:$B$304,0))),"")</f>
        <v>0</v>
      </c>
      <c r="U945" s="45">
        <f>IFERROR(IF(P945="","",P945*INDEX(Ingredients!$T$5:$T$304,MATCH(D945,Ingredients!$B$5:$B$304,0))),"")</f>
        <v>0</v>
      </c>
      <c r="V945" s="17">
        <f>IF(D945="","",IFERROR(INDEX(Ingredients!$W$5:$W$304,MATCH(D945,Ingredients!$B$5:$B$304,0)),"Add to Ingredients"))</f>
        <v>0</v>
      </c>
      <c r="W945" s="17">
        <f>IF(D945="","",IFERROR(INDEX(Ingredients!$C$5:$C$304,MATCH(D945,Ingredients!$B$5:$B$304,0)),"Add to Ingredients"))</f>
        <v>0</v>
      </c>
      <c r="X945" s="45">
        <f>IFERROR(INDEX(Recipes!$AT$5:$AT$204,MATCH(B945,Recipes!$A$5:$A$204,0)),0)</f>
        <v>0</v>
      </c>
      <c r="Y945" s="45">
        <f>IF(OR(J945="",X945=0),"",J945*X945)</f>
        <v>0</v>
      </c>
      <c r="Z945" s="17">
        <f>IF(D945="","",B945&amp;"#"&amp;COUNTIFS($B$5:B945,B945))</f>
        <v>0</v>
      </c>
      <c r="AA945" s="17">
        <f>IF(D945="","",B945&amp;"|"&amp;D945)</f>
        <v>0</v>
      </c>
      <c r="AB945" s="31">
        <f>IF(D945="","",IF(B945="","Add - which recipe?",IF(COUNTIFS(Ingredients!$B$5:$B$304,D945)=0,"Missing - not in the Ingredients tab",IF(E945="","Add - no quantity",IF(F945="","Add - no unit",IF(K945&lt;&gt;L945,"Check - recipe in "&amp;K945&amp;", priced in "&amp;L945,IF(COUNTIFS($AA$5:$AA$1204,AA945)&gt;1,"Duplicate - same ingredient twice","OK")))))))</f>
        <v>0</v>
      </c>
    </row>
    <row r="946" spans="1:28">
      <c r="A946" s="39">
        <f>IF(D946="","","RL-"&amp;TEXT(ROW()-4,"0000"))</f>
        <v>0</v>
      </c>
      <c r="C946" s="17">
        <f>IF(B946="","",IFERROR(INDEX(Recipes!$B$5:$B$204,MATCH(B946,Recipes!$A$5:$A$204,0)),"Not found"))</f>
        <v>0</v>
      </c>
      <c r="J946" s="45">
        <f>IF(E946="","",IFERROR(E946*INDEX(UnitFactors,MATCH(F946,UnitNames,0)),""))</f>
        <v>0</v>
      </c>
      <c r="K946" s="17">
        <f>IF(F946="","",IFERROR(INDEX(UnitBases,MATCH(F946,UnitNames,0)),"?"))</f>
        <v>0</v>
      </c>
      <c r="L946" s="17">
        <f>IF(D946="","",IFERROR(INDEX(Ingredients!$G$5:$G$304,MATCH(D946,Ingredients!$B$5:$B$304,0)),"Add to Ingredients"))</f>
        <v>0</v>
      </c>
      <c r="M946" s="25">
        <f>IF(D946="","",IFERROR(INDEX(Ingredients!$J$5:$J$304,MATCH(D946,Ingredients!$B$5:$B$304,0)),"Add to Ingredients"))</f>
        <v>0</v>
      </c>
      <c r="N946" s="25">
        <f>IF(OR(J946="",M946="",NOT(ISNUMBER(M946))),"",IF(K946&lt;&gt;L946,"",J946*M946))</f>
        <v>0</v>
      </c>
      <c r="O946" s="25">
        <f>IF(N946="","",IFERROR(N946/INDEX(Recipes!$G$5:$G$204,MATCH(B946,Recipes!$A$5:$A$204,0)),""))</f>
        <v>0</v>
      </c>
      <c r="P946" s="30">
        <f>IF(J946="","",IF(K946="each",J946,J946/100))</f>
        <v>0</v>
      </c>
      <c r="Q946" s="30">
        <f>IFERROR(IF(P946="","",P946*INDEX(Ingredients!$P$5:$P$304,MATCH(D946,Ingredients!$B$5:$B$304,0))),"")</f>
        <v>0</v>
      </c>
      <c r="R946" s="45">
        <f>IFERROR(IF(P946="","",P946*INDEX(Ingredients!$Q$5:$Q$304,MATCH(D946,Ingredients!$B$5:$B$304,0))),"")</f>
        <v>0</v>
      </c>
      <c r="S946" s="45">
        <f>IFERROR(IF(P946="","",P946*INDEX(Ingredients!$R$5:$R$304,MATCH(D946,Ingredients!$B$5:$B$304,0))),"")</f>
        <v>0</v>
      </c>
      <c r="T946" s="45">
        <f>IFERROR(IF(P946="","",P946*INDEX(Ingredients!$S$5:$S$304,MATCH(D946,Ingredients!$B$5:$B$304,0))),"")</f>
        <v>0</v>
      </c>
      <c r="U946" s="45">
        <f>IFERROR(IF(P946="","",P946*INDEX(Ingredients!$T$5:$T$304,MATCH(D946,Ingredients!$B$5:$B$304,0))),"")</f>
        <v>0</v>
      </c>
      <c r="V946" s="17">
        <f>IF(D946="","",IFERROR(INDEX(Ingredients!$W$5:$W$304,MATCH(D946,Ingredients!$B$5:$B$304,0)),"Add to Ingredients"))</f>
        <v>0</v>
      </c>
      <c r="W946" s="17">
        <f>IF(D946="","",IFERROR(INDEX(Ingredients!$C$5:$C$304,MATCH(D946,Ingredients!$B$5:$B$304,0)),"Add to Ingredients"))</f>
        <v>0</v>
      </c>
      <c r="X946" s="45">
        <f>IFERROR(INDEX(Recipes!$AT$5:$AT$204,MATCH(B946,Recipes!$A$5:$A$204,0)),0)</f>
        <v>0</v>
      </c>
      <c r="Y946" s="45">
        <f>IF(OR(J946="",X946=0),"",J946*X946)</f>
        <v>0</v>
      </c>
      <c r="Z946" s="17">
        <f>IF(D946="","",B946&amp;"#"&amp;COUNTIFS($B$5:B946,B946))</f>
        <v>0</v>
      </c>
      <c r="AA946" s="17">
        <f>IF(D946="","",B946&amp;"|"&amp;D946)</f>
        <v>0</v>
      </c>
      <c r="AB946" s="31">
        <f>IF(D946="","",IF(B946="","Add - which recipe?",IF(COUNTIFS(Ingredients!$B$5:$B$304,D946)=0,"Missing - not in the Ingredients tab",IF(E946="","Add - no quantity",IF(F946="","Add - no unit",IF(K946&lt;&gt;L946,"Check - recipe in "&amp;K946&amp;", priced in "&amp;L946,IF(COUNTIFS($AA$5:$AA$1204,AA946)&gt;1,"Duplicate - same ingredient twice","OK")))))))</f>
        <v>0</v>
      </c>
    </row>
    <row r="947" spans="1:28">
      <c r="A947" s="39">
        <f>IF(D947="","","RL-"&amp;TEXT(ROW()-4,"0000"))</f>
        <v>0</v>
      </c>
      <c r="C947" s="17">
        <f>IF(B947="","",IFERROR(INDEX(Recipes!$B$5:$B$204,MATCH(B947,Recipes!$A$5:$A$204,0)),"Not found"))</f>
        <v>0</v>
      </c>
      <c r="J947" s="45">
        <f>IF(E947="","",IFERROR(E947*INDEX(UnitFactors,MATCH(F947,UnitNames,0)),""))</f>
        <v>0</v>
      </c>
      <c r="K947" s="17">
        <f>IF(F947="","",IFERROR(INDEX(UnitBases,MATCH(F947,UnitNames,0)),"?"))</f>
        <v>0</v>
      </c>
      <c r="L947" s="17">
        <f>IF(D947="","",IFERROR(INDEX(Ingredients!$G$5:$G$304,MATCH(D947,Ingredients!$B$5:$B$304,0)),"Add to Ingredients"))</f>
        <v>0</v>
      </c>
      <c r="M947" s="25">
        <f>IF(D947="","",IFERROR(INDEX(Ingredients!$J$5:$J$304,MATCH(D947,Ingredients!$B$5:$B$304,0)),"Add to Ingredients"))</f>
        <v>0</v>
      </c>
      <c r="N947" s="25">
        <f>IF(OR(J947="",M947="",NOT(ISNUMBER(M947))),"",IF(K947&lt;&gt;L947,"",J947*M947))</f>
        <v>0</v>
      </c>
      <c r="O947" s="25">
        <f>IF(N947="","",IFERROR(N947/INDEX(Recipes!$G$5:$G$204,MATCH(B947,Recipes!$A$5:$A$204,0)),""))</f>
        <v>0</v>
      </c>
      <c r="P947" s="30">
        <f>IF(J947="","",IF(K947="each",J947,J947/100))</f>
        <v>0</v>
      </c>
      <c r="Q947" s="30">
        <f>IFERROR(IF(P947="","",P947*INDEX(Ingredients!$P$5:$P$304,MATCH(D947,Ingredients!$B$5:$B$304,0))),"")</f>
        <v>0</v>
      </c>
      <c r="R947" s="45">
        <f>IFERROR(IF(P947="","",P947*INDEX(Ingredients!$Q$5:$Q$304,MATCH(D947,Ingredients!$B$5:$B$304,0))),"")</f>
        <v>0</v>
      </c>
      <c r="S947" s="45">
        <f>IFERROR(IF(P947="","",P947*INDEX(Ingredients!$R$5:$R$304,MATCH(D947,Ingredients!$B$5:$B$304,0))),"")</f>
        <v>0</v>
      </c>
      <c r="T947" s="45">
        <f>IFERROR(IF(P947="","",P947*INDEX(Ingredients!$S$5:$S$304,MATCH(D947,Ingredients!$B$5:$B$304,0))),"")</f>
        <v>0</v>
      </c>
      <c r="U947" s="45">
        <f>IFERROR(IF(P947="","",P947*INDEX(Ingredients!$T$5:$T$304,MATCH(D947,Ingredients!$B$5:$B$304,0))),"")</f>
        <v>0</v>
      </c>
      <c r="V947" s="17">
        <f>IF(D947="","",IFERROR(INDEX(Ingredients!$W$5:$W$304,MATCH(D947,Ingredients!$B$5:$B$304,0)),"Add to Ingredients"))</f>
        <v>0</v>
      </c>
      <c r="W947" s="17">
        <f>IF(D947="","",IFERROR(INDEX(Ingredients!$C$5:$C$304,MATCH(D947,Ingredients!$B$5:$B$304,0)),"Add to Ingredients"))</f>
        <v>0</v>
      </c>
      <c r="X947" s="45">
        <f>IFERROR(INDEX(Recipes!$AT$5:$AT$204,MATCH(B947,Recipes!$A$5:$A$204,0)),0)</f>
        <v>0</v>
      </c>
      <c r="Y947" s="45">
        <f>IF(OR(J947="",X947=0),"",J947*X947)</f>
        <v>0</v>
      </c>
      <c r="Z947" s="17">
        <f>IF(D947="","",B947&amp;"#"&amp;COUNTIFS($B$5:B947,B947))</f>
        <v>0</v>
      </c>
      <c r="AA947" s="17">
        <f>IF(D947="","",B947&amp;"|"&amp;D947)</f>
        <v>0</v>
      </c>
      <c r="AB947" s="31">
        <f>IF(D947="","",IF(B947="","Add - which recipe?",IF(COUNTIFS(Ingredients!$B$5:$B$304,D947)=0,"Missing - not in the Ingredients tab",IF(E947="","Add - no quantity",IF(F947="","Add - no unit",IF(K947&lt;&gt;L947,"Check - recipe in "&amp;K947&amp;", priced in "&amp;L947,IF(COUNTIFS($AA$5:$AA$1204,AA947)&gt;1,"Duplicate - same ingredient twice","OK")))))))</f>
        <v>0</v>
      </c>
    </row>
    <row r="948" spans="1:28">
      <c r="A948" s="39">
        <f>IF(D948="","","RL-"&amp;TEXT(ROW()-4,"0000"))</f>
        <v>0</v>
      </c>
      <c r="C948" s="17">
        <f>IF(B948="","",IFERROR(INDEX(Recipes!$B$5:$B$204,MATCH(B948,Recipes!$A$5:$A$204,0)),"Not found"))</f>
        <v>0</v>
      </c>
      <c r="J948" s="45">
        <f>IF(E948="","",IFERROR(E948*INDEX(UnitFactors,MATCH(F948,UnitNames,0)),""))</f>
        <v>0</v>
      </c>
      <c r="K948" s="17">
        <f>IF(F948="","",IFERROR(INDEX(UnitBases,MATCH(F948,UnitNames,0)),"?"))</f>
        <v>0</v>
      </c>
      <c r="L948" s="17">
        <f>IF(D948="","",IFERROR(INDEX(Ingredients!$G$5:$G$304,MATCH(D948,Ingredients!$B$5:$B$304,0)),"Add to Ingredients"))</f>
        <v>0</v>
      </c>
      <c r="M948" s="25">
        <f>IF(D948="","",IFERROR(INDEX(Ingredients!$J$5:$J$304,MATCH(D948,Ingredients!$B$5:$B$304,0)),"Add to Ingredients"))</f>
        <v>0</v>
      </c>
      <c r="N948" s="25">
        <f>IF(OR(J948="",M948="",NOT(ISNUMBER(M948))),"",IF(K948&lt;&gt;L948,"",J948*M948))</f>
        <v>0</v>
      </c>
      <c r="O948" s="25">
        <f>IF(N948="","",IFERROR(N948/INDEX(Recipes!$G$5:$G$204,MATCH(B948,Recipes!$A$5:$A$204,0)),""))</f>
        <v>0</v>
      </c>
      <c r="P948" s="30">
        <f>IF(J948="","",IF(K948="each",J948,J948/100))</f>
        <v>0</v>
      </c>
      <c r="Q948" s="30">
        <f>IFERROR(IF(P948="","",P948*INDEX(Ingredients!$P$5:$P$304,MATCH(D948,Ingredients!$B$5:$B$304,0))),"")</f>
        <v>0</v>
      </c>
      <c r="R948" s="45">
        <f>IFERROR(IF(P948="","",P948*INDEX(Ingredients!$Q$5:$Q$304,MATCH(D948,Ingredients!$B$5:$B$304,0))),"")</f>
        <v>0</v>
      </c>
      <c r="S948" s="45">
        <f>IFERROR(IF(P948="","",P948*INDEX(Ingredients!$R$5:$R$304,MATCH(D948,Ingredients!$B$5:$B$304,0))),"")</f>
        <v>0</v>
      </c>
      <c r="T948" s="45">
        <f>IFERROR(IF(P948="","",P948*INDEX(Ingredients!$S$5:$S$304,MATCH(D948,Ingredients!$B$5:$B$304,0))),"")</f>
        <v>0</v>
      </c>
      <c r="U948" s="45">
        <f>IFERROR(IF(P948="","",P948*INDEX(Ingredients!$T$5:$T$304,MATCH(D948,Ingredients!$B$5:$B$304,0))),"")</f>
        <v>0</v>
      </c>
      <c r="V948" s="17">
        <f>IF(D948="","",IFERROR(INDEX(Ingredients!$W$5:$W$304,MATCH(D948,Ingredients!$B$5:$B$304,0)),"Add to Ingredients"))</f>
        <v>0</v>
      </c>
      <c r="W948" s="17">
        <f>IF(D948="","",IFERROR(INDEX(Ingredients!$C$5:$C$304,MATCH(D948,Ingredients!$B$5:$B$304,0)),"Add to Ingredients"))</f>
        <v>0</v>
      </c>
      <c r="X948" s="45">
        <f>IFERROR(INDEX(Recipes!$AT$5:$AT$204,MATCH(B948,Recipes!$A$5:$A$204,0)),0)</f>
        <v>0</v>
      </c>
      <c r="Y948" s="45">
        <f>IF(OR(J948="",X948=0),"",J948*X948)</f>
        <v>0</v>
      </c>
      <c r="Z948" s="17">
        <f>IF(D948="","",B948&amp;"#"&amp;COUNTIFS($B$5:B948,B948))</f>
        <v>0</v>
      </c>
      <c r="AA948" s="17">
        <f>IF(D948="","",B948&amp;"|"&amp;D948)</f>
        <v>0</v>
      </c>
      <c r="AB948" s="31">
        <f>IF(D948="","",IF(B948="","Add - which recipe?",IF(COUNTIFS(Ingredients!$B$5:$B$304,D948)=0,"Missing - not in the Ingredients tab",IF(E948="","Add - no quantity",IF(F948="","Add - no unit",IF(K948&lt;&gt;L948,"Check - recipe in "&amp;K948&amp;", priced in "&amp;L948,IF(COUNTIFS($AA$5:$AA$1204,AA948)&gt;1,"Duplicate - same ingredient twice","OK")))))))</f>
        <v>0</v>
      </c>
    </row>
    <row r="949" spans="1:28">
      <c r="A949" s="39">
        <f>IF(D949="","","RL-"&amp;TEXT(ROW()-4,"0000"))</f>
        <v>0</v>
      </c>
      <c r="C949" s="17">
        <f>IF(B949="","",IFERROR(INDEX(Recipes!$B$5:$B$204,MATCH(B949,Recipes!$A$5:$A$204,0)),"Not found"))</f>
        <v>0</v>
      </c>
      <c r="J949" s="45">
        <f>IF(E949="","",IFERROR(E949*INDEX(UnitFactors,MATCH(F949,UnitNames,0)),""))</f>
        <v>0</v>
      </c>
      <c r="K949" s="17">
        <f>IF(F949="","",IFERROR(INDEX(UnitBases,MATCH(F949,UnitNames,0)),"?"))</f>
        <v>0</v>
      </c>
      <c r="L949" s="17">
        <f>IF(D949="","",IFERROR(INDEX(Ingredients!$G$5:$G$304,MATCH(D949,Ingredients!$B$5:$B$304,0)),"Add to Ingredients"))</f>
        <v>0</v>
      </c>
      <c r="M949" s="25">
        <f>IF(D949="","",IFERROR(INDEX(Ingredients!$J$5:$J$304,MATCH(D949,Ingredients!$B$5:$B$304,0)),"Add to Ingredients"))</f>
        <v>0</v>
      </c>
      <c r="N949" s="25">
        <f>IF(OR(J949="",M949="",NOT(ISNUMBER(M949))),"",IF(K949&lt;&gt;L949,"",J949*M949))</f>
        <v>0</v>
      </c>
      <c r="O949" s="25">
        <f>IF(N949="","",IFERROR(N949/INDEX(Recipes!$G$5:$G$204,MATCH(B949,Recipes!$A$5:$A$204,0)),""))</f>
        <v>0</v>
      </c>
      <c r="P949" s="30">
        <f>IF(J949="","",IF(K949="each",J949,J949/100))</f>
        <v>0</v>
      </c>
      <c r="Q949" s="30">
        <f>IFERROR(IF(P949="","",P949*INDEX(Ingredients!$P$5:$P$304,MATCH(D949,Ingredients!$B$5:$B$304,0))),"")</f>
        <v>0</v>
      </c>
      <c r="R949" s="45">
        <f>IFERROR(IF(P949="","",P949*INDEX(Ingredients!$Q$5:$Q$304,MATCH(D949,Ingredients!$B$5:$B$304,0))),"")</f>
        <v>0</v>
      </c>
      <c r="S949" s="45">
        <f>IFERROR(IF(P949="","",P949*INDEX(Ingredients!$R$5:$R$304,MATCH(D949,Ingredients!$B$5:$B$304,0))),"")</f>
        <v>0</v>
      </c>
      <c r="T949" s="45">
        <f>IFERROR(IF(P949="","",P949*INDEX(Ingredients!$S$5:$S$304,MATCH(D949,Ingredients!$B$5:$B$304,0))),"")</f>
        <v>0</v>
      </c>
      <c r="U949" s="45">
        <f>IFERROR(IF(P949="","",P949*INDEX(Ingredients!$T$5:$T$304,MATCH(D949,Ingredients!$B$5:$B$304,0))),"")</f>
        <v>0</v>
      </c>
      <c r="V949" s="17">
        <f>IF(D949="","",IFERROR(INDEX(Ingredients!$W$5:$W$304,MATCH(D949,Ingredients!$B$5:$B$304,0)),"Add to Ingredients"))</f>
        <v>0</v>
      </c>
      <c r="W949" s="17">
        <f>IF(D949="","",IFERROR(INDEX(Ingredients!$C$5:$C$304,MATCH(D949,Ingredients!$B$5:$B$304,0)),"Add to Ingredients"))</f>
        <v>0</v>
      </c>
      <c r="X949" s="45">
        <f>IFERROR(INDEX(Recipes!$AT$5:$AT$204,MATCH(B949,Recipes!$A$5:$A$204,0)),0)</f>
        <v>0</v>
      </c>
      <c r="Y949" s="45">
        <f>IF(OR(J949="",X949=0),"",J949*X949)</f>
        <v>0</v>
      </c>
      <c r="Z949" s="17">
        <f>IF(D949="","",B949&amp;"#"&amp;COUNTIFS($B$5:B949,B949))</f>
        <v>0</v>
      </c>
      <c r="AA949" s="17">
        <f>IF(D949="","",B949&amp;"|"&amp;D949)</f>
        <v>0</v>
      </c>
      <c r="AB949" s="31">
        <f>IF(D949="","",IF(B949="","Add - which recipe?",IF(COUNTIFS(Ingredients!$B$5:$B$304,D949)=0,"Missing - not in the Ingredients tab",IF(E949="","Add - no quantity",IF(F949="","Add - no unit",IF(K949&lt;&gt;L949,"Check - recipe in "&amp;K949&amp;", priced in "&amp;L949,IF(COUNTIFS($AA$5:$AA$1204,AA949)&gt;1,"Duplicate - same ingredient twice","OK")))))))</f>
        <v>0</v>
      </c>
    </row>
    <row r="950" spans="1:28">
      <c r="A950" s="39">
        <f>IF(D950="","","RL-"&amp;TEXT(ROW()-4,"0000"))</f>
        <v>0</v>
      </c>
      <c r="C950" s="17">
        <f>IF(B950="","",IFERROR(INDEX(Recipes!$B$5:$B$204,MATCH(B950,Recipes!$A$5:$A$204,0)),"Not found"))</f>
        <v>0</v>
      </c>
      <c r="J950" s="45">
        <f>IF(E950="","",IFERROR(E950*INDEX(UnitFactors,MATCH(F950,UnitNames,0)),""))</f>
        <v>0</v>
      </c>
      <c r="K950" s="17">
        <f>IF(F950="","",IFERROR(INDEX(UnitBases,MATCH(F950,UnitNames,0)),"?"))</f>
        <v>0</v>
      </c>
      <c r="L950" s="17">
        <f>IF(D950="","",IFERROR(INDEX(Ingredients!$G$5:$G$304,MATCH(D950,Ingredients!$B$5:$B$304,0)),"Add to Ingredients"))</f>
        <v>0</v>
      </c>
      <c r="M950" s="25">
        <f>IF(D950="","",IFERROR(INDEX(Ingredients!$J$5:$J$304,MATCH(D950,Ingredients!$B$5:$B$304,0)),"Add to Ingredients"))</f>
        <v>0</v>
      </c>
      <c r="N950" s="25">
        <f>IF(OR(J950="",M950="",NOT(ISNUMBER(M950))),"",IF(K950&lt;&gt;L950,"",J950*M950))</f>
        <v>0</v>
      </c>
      <c r="O950" s="25">
        <f>IF(N950="","",IFERROR(N950/INDEX(Recipes!$G$5:$G$204,MATCH(B950,Recipes!$A$5:$A$204,0)),""))</f>
        <v>0</v>
      </c>
      <c r="P950" s="30">
        <f>IF(J950="","",IF(K950="each",J950,J950/100))</f>
        <v>0</v>
      </c>
      <c r="Q950" s="30">
        <f>IFERROR(IF(P950="","",P950*INDEX(Ingredients!$P$5:$P$304,MATCH(D950,Ingredients!$B$5:$B$304,0))),"")</f>
        <v>0</v>
      </c>
      <c r="R950" s="45">
        <f>IFERROR(IF(P950="","",P950*INDEX(Ingredients!$Q$5:$Q$304,MATCH(D950,Ingredients!$B$5:$B$304,0))),"")</f>
        <v>0</v>
      </c>
      <c r="S950" s="45">
        <f>IFERROR(IF(P950="","",P950*INDEX(Ingredients!$R$5:$R$304,MATCH(D950,Ingredients!$B$5:$B$304,0))),"")</f>
        <v>0</v>
      </c>
      <c r="T950" s="45">
        <f>IFERROR(IF(P950="","",P950*INDEX(Ingredients!$S$5:$S$304,MATCH(D950,Ingredients!$B$5:$B$304,0))),"")</f>
        <v>0</v>
      </c>
      <c r="U950" s="45">
        <f>IFERROR(IF(P950="","",P950*INDEX(Ingredients!$T$5:$T$304,MATCH(D950,Ingredients!$B$5:$B$304,0))),"")</f>
        <v>0</v>
      </c>
      <c r="V950" s="17">
        <f>IF(D950="","",IFERROR(INDEX(Ingredients!$W$5:$W$304,MATCH(D950,Ingredients!$B$5:$B$304,0)),"Add to Ingredients"))</f>
        <v>0</v>
      </c>
      <c r="W950" s="17">
        <f>IF(D950="","",IFERROR(INDEX(Ingredients!$C$5:$C$304,MATCH(D950,Ingredients!$B$5:$B$304,0)),"Add to Ingredients"))</f>
        <v>0</v>
      </c>
      <c r="X950" s="45">
        <f>IFERROR(INDEX(Recipes!$AT$5:$AT$204,MATCH(B950,Recipes!$A$5:$A$204,0)),0)</f>
        <v>0</v>
      </c>
      <c r="Y950" s="45">
        <f>IF(OR(J950="",X950=0),"",J950*X950)</f>
        <v>0</v>
      </c>
      <c r="Z950" s="17">
        <f>IF(D950="","",B950&amp;"#"&amp;COUNTIFS($B$5:B950,B950))</f>
        <v>0</v>
      </c>
      <c r="AA950" s="17">
        <f>IF(D950="","",B950&amp;"|"&amp;D950)</f>
        <v>0</v>
      </c>
      <c r="AB950" s="31">
        <f>IF(D950="","",IF(B950="","Add - which recipe?",IF(COUNTIFS(Ingredients!$B$5:$B$304,D950)=0,"Missing - not in the Ingredients tab",IF(E950="","Add - no quantity",IF(F950="","Add - no unit",IF(K950&lt;&gt;L950,"Check - recipe in "&amp;K950&amp;", priced in "&amp;L950,IF(COUNTIFS($AA$5:$AA$1204,AA950)&gt;1,"Duplicate - same ingredient twice","OK")))))))</f>
        <v>0</v>
      </c>
    </row>
    <row r="951" spans="1:28">
      <c r="A951" s="39">
        <f>IF(D951="","","RL-"&amp;TEXT(ROW()-4,"0000"))</f>
        <v>0</v>
      </c>
      <c r="C951" s="17">
        <f>IF(B951="","",IFERROR(INDEX(Recipes!$B$5:$B$204,MATCH(B951,Recipes!$A$5:$A$204,0)),"Not found"))</f>
        <v>0</v>
      </c>
      <c r="J951" s="45">
        <f>IF(E951="","",IFERROR(E951*INDEX(UnitFactors,MATCH(F951,UnitNames,0)),""))</f>
        <v>0</v>
      </c>
      <c r="K951" s="17">
        <f>IF(F951="","",IFERROR(INDEX(UnitBases,MATCH(F951,UnitNames,0)),"?"))</f>
        <v>0</v>
      </c>
      <c r="L951" s="17">
        <f>IF(D951="","",IFERROR(INDEX(Ingredients!$G$5:$G$304,MATCH(D951,Ingredients!$B$5:$B$304,0)),"Add to Ingredients"))</f>
        <v>0</v>
      </c>
      <c r="M951" s="25">
        <f>IF(D951="","",IFERROR(INDEX(Ingredients!$J$5:$J$304,MATCH(D951,Ingredients!$B$5:$B$304,0)),"Add to Ingredients"))</f>
        <v>0</v>
      </c>
      <c r="N951" s="25">
        <f>IF(OR(J951="",M951="",NOT(ISNUMBER(M951))),"",IF(K951&lt;&gt;L951,"",J951*M951))</f>
        <v>0</v>
      </c>
      <c r="O951" s="25">
        <f>IF(N951="","",IFERROR(N951/INDEX(Recipes!$G$5:$G$204,MATCH(B951,Recipes!$A$5:$A$204,0)),""))</f>
        <v>0</v>
      </c>
      <c r="P951" s="30">
        <f>IF(J951="","",IF(K951="each",J951,J951/100))</f>
        <v>0</v>
      </c>
      <c r="Q951" s="30">
        <f>IFERROR(IF(P951="","",P951*INDEX(Ingredients!$P$5:$P$304,MATCH(D951,Ingredients!$B$5:$B$304,0))),"")</f>
        <v>0</v>
      </c>
      <c r="R951" s="45">
        <f>IFERROR(IF(P951="","",P951*INDEX(Ingredients!$Q$5:$Q$304,MATCH(D951,Ingredients!$B$5:$B$304,0))),"")</f>
        <v>0</v>
      </c>
      <c r="S951" s="45">
        <f>IFERROR(IF(P951="","",P951*INDEX(Ingredients!$R$5:$R$304,MATCH(D951,Ingredients!$B$5:$B$304,0))),"")</f>
        <v>0</v>
      </c>
      <c r="T951" s="45">
        <f>IFERROR(IF(P951="","",P951*INDEX(Ingredients!$S$5:$S$304,MATCH(D951,Ingredients!$B$5:$B$304,0))),"")</f>
        <v>0</v>
      </c>
      <c r="U951" s="45">
        <f>IFERROR(IF(P951="","",P951*INDEX(Ingredients!$T$5:$T$304,MATCH(D951,Ingredients!$B$5:$B$304,0))),"")</f>
        <v>0</v>
      </c>
      <c r="V951" s="17">
        <f>IF(D951="","",IFERROR(INDEX(Ingredients!$W$5:$W$304,MATCH(D951,Ingredients!$B$5:$B$304,0)),"Add to Ingredients"))</f>
        <v>0</v>
      </c>
      <c r="W951" s="17">
        <f>IF(D951="","",IFERROR(INDEX(Ingredients!$C$5:$C$304,MATCH(D951,Ingredients!$B$5:$B$304,0)),"Add to Ingredients"))</f>
        <v>0</v>
      </c>
      <c r="X951" s="45">
        <f>IFERROR(INDEX(Recipes!$AT$5:$AT$204,MATCH(B951,Recipes!$A$5:$A$204,0)),0)</f>
        <v>0</v>
      </c>
      <c r="Y951" s="45">
        <f>IF(OR(J951="",X951=0),"",J951*X951)</f>
        <v>0</v>
      </c>
      <c r="Z951" s="17">
        <f>IF(D951="","",B951&amp;"#"&amp;COUNTIFS($B$5:B951,B951))</f>
        <v>0</v>
      </c>
      <c r="AA951" s="17">
        <f>IF(D951="","",B951&amp;"|"&amp;D951)</f>
        <v>0</v>
      </c>
      <c r="AB951" s="31">
        <f>IF(D951="","",IF(B951="","Add - which recipe?",IF(COUNTIFS(Ingredients!$B$5:$B$304,D951)=0,"Missing - not in the Ingredients tab",IF(E951="","Add - no quantity",IF(F951="","Add - no unit",IF(K951&lt;&gt;L951,"Check - recipe in "&amp;K951&amp;", priced in "&amp;L951,IF(COUNTIFS($AA$5:$AA$1204,AA951)&gt;1,"Duplicate - same ingredient twice","OK")))))))</f>
        <v>0</v>
      </c>
    </row>
    <row r="952" spans="1:28">
      <c r="A952" s="39">
        <f>IF(D952="","","RL-"&amp;TEXT(ROW()-4,"0000"))</f>
        <v>0</v>
      </c>
      <c r="C952" s="17">
        <f>IF(B952="","",IFERROR(INDEX(Recipes!$B$5:$B$204,MATCH(B952,Recipes!$A$5:$A$204,0)),"Not found"))</f>
        <v>0</v>
      </c>
      <c r="J952" s="45">
        <f>IF(E952="","",IFERROR(E952*INDEX(UnitFactors,MATCH(F952,UnitNames,0)),""))</f>
        <v>0</v>
      </c>
      <c r="K952" s="17">
        <f>IF(F952="","",IFERROR(INDEX(UnitBases,MATCH(F952,UnitNames,0)),"?"))</f>
        <v>0</v>
      </c>
      <c r="L952" s="17">
        <f>IF(D952="","",IFERROR(INDEX(Ingredients!$G$5:$G$304,MATCH(D952,Ingredients!$B$5:$B$304,0)),"Add to Ingredients"))</f>
        <v>0</v>
      </c>
      <c r="M952" s="25">
        <f>IF(D952="","",IFERROR(INDEX(Ingredients!$J$5:$J$304,MATCH(D952,Ingredients!$B$5:$B$304,0)),"Add to Ingredients"))</f>
        <v>0</v>
      </c>
      <c r="N952" s="25">
        <f>IF(OR(J952="",M952="",NOT(ISNUMBER(M952))),"",IF(K952&lt;&gt;L952,"",J952*M952))</f>
        <v>0</v>
      </c>
      <c r="O952" s="25">
        <f>IF(N952="","",IFERROR(N952/INDEX(Recipes!$G$5:$G$204,MATCH(B952,Recipes!$A$5:$A$204,0)),""))</f>
        <v>0</v>
      </c>
      <c r="P952" s="30">
        <f>IF(J952="","",IF(K952="each",J952,J952/100))</f>
        <v>0</v>
      </c>
      <c r="Q952" s="30">
        <f>IFERROR(IF(P952="","",P952*INDEX(Ingredients!$P$5:$P$304,MATCH(D952,Ingredients!$B$5:$B$304,0))),"")</f>
        <v>0</v>
      </c>
      <c r="R952" s="45">
        <f>IFERROR(IF(P952="","",P952*INDEX(Ingredients!$Q$5:$Q$304,MATCH(D952,Ingredients!$B$5:$B$304,0))),"")</f>
        <v>0</v>
      </c>
      <c r="S952" s="45">
        <f>IFERROR(IF(P952="","",P952*INDEX(Ingredients!$R$5:$R$304,MATCH(D952,Ingredients!$B$5:$B$304,0))),"")</f>
        <v>0</v>
      </c>
      <c r="T952" s="45">
        <f>IFERROR(IF(P952="","",P952*INDEX(Ingredients!$S$5:$S$304,MATCH(D952,Ingredients!$B$5:$B$304,0))),"")</f>
        <v>0</v>
      </c>
      <c r="U952" s="45">
        <f>IFERROR(IF(P952="","",P952*INDEX(Ingredients!$T$5:$T$304,MATCH(D952,Ingredients!$B$5:$B$304,0))),"")</f>
        <v>0</v>
      </c>
      <c r="V952" s="17">
        <f>IF(D952="","",IFERROR(INDEX(Ingredients!$W$5:$W$304,MATCH(D952,Ingredients!$B$5:$B$304,0)),"Add to Ingredients"))</f>
        <v>0</v>
      </c>
      <c r="W952" s="17">
        <f>IF(D952="","",IFERROR(INDEX(Ingredients!$C$5:$C$304,MATCH(D952,Ingredients!$B$5:$B$304,0)),"Add to Ingredients"))</f>
        <v>0</v>
      </c>
      <c r="X952" s="45">
        <f>IFERROR(INDEX(Recipes!$AT$5:$AT$204,MATCH(B952,Recipes!$A$5:$A$204,0)),0)</f>
        <v>0</v>
      </c>
      <c r="Y952" s="45">
        <f>IF(OR(J952="",X952=0),"",J952*X952)</f>
        <v>0</v>
      </c>
      <c r="Z952" s="17">
        <f>IF(D952="","",B952&amp;"#"&amp;COUNTIFS($B$5:B952,B952))</f>
        <v>0</v>
      </c>
      <c r="AA952" s="17">
        <f>IF(D952="","",B952&amp;"|"&amp;D952)</f>
        <v>0</v>
      </c>
      <c r="AB952" s="31">
        <f>IF(D952="","",IF(B952="","Add - which recipe?",IF(COUNTIFS(Ingredients!$B$5:$B$304,D952)=0,"Missing - not in the Ingredients tab",IF(E952="","Add - no quantity",IF(F952="","Add - no unit",IF(K952&lt;&gt;L952,"Check - recipe in "&amp;K952&amp;", priced in "&amp;L952,IF(COUNTIFS($AA$5:$AA$1204,AA952)&gt;1,"Duplicate - same ingredient twice","OK")))))))</f>
        <v>0</v>
      </c>
    </row>
    <row r="953" spans="1:28">
      <c r="A953" s="39">
        <f>IF(D953="","","RL-"&amp;TEXT(ROW()-4,"0000"))</f>
        <v>0</v>
      </c>
      <c r="C953" s="17">
        <f>IF(B953="","",IFERROR(INDEX(Recipes!$B$5:$B$204,MATCH(B953,Recipes!$A$5:$A$204,0)),"Not found"))</f>
        <v>0</v>
      </c>
      <c r="J953" s="45">
        <f>IF(E953="","",IFERROR(E953*INDEX(UnitFactors,MATCH(F953,UnitNames,0)),""))</f>
        <v>0</v>
      </c>
      <c r="K953" s="17">
        <f>IF(F953="","",IFERROR(INDEX(UnitBases,MATCH(F953,UnitNames,0)),"?"))</f>
        <v>0</v>
      </c>
      <c r="L953" s="17">
        <f>IF(D953="","",IFERROR(INDEX(Ingredients!$G$5:$G$304,MATCH(D953,Ingredients!$B$5:$B$304,0)),"Add to Ingredients"))</f>
        <v>0</v>
      </c>
      <c r="M953" s="25">
        <f>IF(D953="","",IFERROR(INDEX(Ingredients!$J$5:$J$304,MATCH(D953,Ingredients!$B$5:$B$304,0)),"Add to Ingredients"))</f>
        <v>0</v>
      </c>
      <c r="N953" s="25">
        <f>IF(OR(J953="",M953="",NOT(ISNUMBER(M953))),"",IF(K953&lt;&gt;L953,"",J953*M953))</f>
        <v>0</v>
      </c>
      <c r="O953" s="25">
        <f>IF(N953="","",IFERROR(N953/INDEX(Recipes!$G$5:$G$204,MATCH(B953,Recipes!$A$5:$A$204,0)),""))</f>
        <v>0</v>
      </c>
      <c r="P953" s="30">
        <f>IF(J953="","",IF(K953="each",J953,J953/100))</f>
        <v>0</v>
      </c>
      <c r="Q953" s="30">
        <f>IFERROR(IF(P953="","",P953*INDEX(Ingredients!$P$5:$P$304,MATCH(D953,Ingredients!$B$5:$B$304,0))),"")</f>
        <v>0</v>
      </c>
      <c r="R953" s="45">
        <f>IFERROR(IF(P953="","",P953*INDEX(Ingredients!$Q$5:$Q$304,MATCH(D953,Ingredients!$B$5:$B$304,0))),"")</f>
        <v>0</v>
      </c>
      <c r="S953" s="45">
        <f>IFERROR(IF(P953="","",P953*INDEX(Ingredients!$R$5:$R$304,MATCH(D953,Ingredients!$B$5:$B$304,0))),"")</f>
        <v>0</v>
      </c>
      <c r="T953" s="45">
        <f>IFERROR(IF(P953="","",P953*INDEX(Ingredients!$S$5:$S$304,MATCH(D953,Ingredients!$B$5:$B$304,0))),"")</f>
        <v>0</v>
      </c>
      <c r="U953" s="45">
        <f>IFERROR(IF(P953="","",P953*INDEX(Ingredients!$T$5:$T$304,MATCH(D953,Ingredients!$B$5:$B$304,0))),"")</f>
        <v>0</v>
      </c>
      <c r="V953" s="17">
        <f>IF(D953="","",IFERROR(INDEX(Ingredients!$W$5:$W$304,MATCH(D953,Ingredients!$B$5:$B$304,0)),"Add to Ingredients"))</f>
        <v>0</v>
      </c>
      <c r="W953" s="17">
        <f>IF(D953="","",IFERROR(INDEX(Ingredients!$C$5:$C$304,MATCH(D953,Ingredients!$B$5:$B$304,0)),"Add to Ingredients"))</f>
        <v>0</v>
      </c>
      <c r="X953" s="45">
        <f>IFERROR(INDEX(Recipes!$AT$5:$AT$204,MATCH(B953,Recipes!$A$5:$A$204,0)),0)</f>
        <v>0</v>
      </c>
      <c r="Y953" s="45">
        <f>IF(OR(J953="",X953=0),"",J953*X953)</f>
        <v>0</v>
      </c>
      <c r="Z953" s="17">
        <f>IF(D953="","",B953&amp;"#"&amp;COUNTIFS($B$5:B953,B953))</f>
        <v>0</v>
      </c>
      <c r="AA953" s="17">
        <f>IF(D953="","",B953&amp;"|"&amp;D953)</f>
        <v>0</v>
      </c>
      <c r="AB953" s="31">
        <f>IF(D953="","",IF(B953="","Add - which recipe?",IF(COUNTIFS(Ingredients!$B$5:$B$304,D953)=0,"Missing - not in the Ingredients tab",IF(E953="","Add - no quantity",IF(F953="","Add - no unit",IF(K953&lt;&gt;L953,"Check - recipe in "&amp;K953&amp;", priced in "&amp;L953,IF(COUNTIFS($AA$5:$AA$1204,AA953)&gt;1,"Duplicate - same ingredient twice","OK")))))))</f>
        <v>0</v>
      </c>
    </row>
    <row r="954" spans="1:28">
      <c r="A954" s="39">
        <f>IF(D954="","","RL-"&amp;TEXT(ROW()-4,"0000"))</f>
        <v>0</v>
      </c>
      <c r="C954" s="17">
        <f>IF(B954="","",IFERROR(INDEX(Recipes!$B$5:$B$204,MATCH(B954,Recipes!$A$5:$A$204,0)),"Not found"))</f>
        <v>0</v>
      </c>
      <c r="J954" s="45">
        <f>IF(E954="","",IFERROR(E954*INDEX(UnitFactors,MATCH(F954,UnitNames,0)),""))</f>
        <v>0</v>
      </c>
      <c r="K954" s="17">
        <f>IF(F954="","",IFERROR(INDEX(UnitBases,MATCH(F954,UnitNames,0)),"?"))</f>
        <v>0</v>
      </c>
      <c r="L954" s="17">
        <f>IF(D954="","",IFERROR(INDEX(Ingredients!$G$5:$G$304,MATCH(D954,Ingredients!$B$5:$B$304,0)),"Add to Ingredients"))</f>
        <v>0</v>
      </c>
      <c r="M954" s="25">
        <f>IF(D954="","",IFERROR(INDEX(Ingredients!$J$5:$J$304,MATCH(D954,Ingredients!$B$5:$B$304,0)),"Add to Ingredients"))</f>
        <v>0</v>
      </c>
      <c r="N954" s="25">
        <f>IF(OR(J954="",M954="",NOT(ISNUMBER(M954))),"",IF(K954&lt;&gt;L954,"",J954*M954))</f>
        <v>0</v>
      </c>
      <c r="O954" s="25">
        <f>IF(N954="","",IFERROR(N954/INDEX(Recipes!$G$5:$G$204,MATCH(B954,Recipes!$A$5:$A$204,0)),""))</f>
        <v>0</v>
      </c>
      <c r="P954" s="30">
        <f>IF(J954="","",IF(K954="each",J954,J954/100))</f>
        <v>0</v>
      </c>
      <c r="Q954" s="30">
        <f>IFERROR(IF(P954="","",P954*INDEX(Ingredients!$P$5:$P$304,MATCH(D954,Ingredients!$B$5:$B$304,0))),"")</f>
        <v>0</v>
      </c>
      <c r="R954" s="45">
        <f>IFERROR(IF(P954="","",P954*INDEX(Ingredients!$Q$5:$Q$304,MATCH(D954,Ingredients!$B$5:$B$304,0))),"")</f>
        <v>0</v>
      </c>
      <c r="S954" s="45">
        <f>IFERROR(IF(P954="","",P954*INDEX(Ingredients!$R$5:$R$304,MATCH(D954,Ingredients!$B$5:$B$304,0))),"")</f>
        <v>0</v>
      </c>
      <c r="T954" s="45">
        <f>IFERROR(IF(P954="","",P954*INDEX(Ingredients!$S$5:$S$304,MATCH(D954,Ingredients!$B$5:$B$304,0))),"")</f>
        <v>0</v>
      </c>
      <c r="U954" s="45">
        <f>IFERROR(IF(P954="","",P954*INDEX(Ingredients!$T$5:$T$304,MATCH(D954,Ingredients!$B$5:$B$304,0))),"")</f>
        <v>0</v>
      </c>
      <c r="V954" s="17">
        <f>IF(D954="","",IFERROR(INDEX(Ingredients!$W$5:$W$304,MATCH(D954,Ingredients!$B$5:$B$304,0)),"Add to Ingredients"))</f>
        <v>0</v>
      </c>
      <c r="W954" s="17">
        <f>IF(D954="","",IFERROR(INDEX(Ingredients!$C$5:$C$304,MATCH(D954,Ingredients!$B$5:$B$304,0)),"Add to Ingredients"))</f>
        <v>0</v>
      </c>
      <c r="X954" s="45">
        <f>IFERROR(INDEX(Recipes!$AT$5:$AT$204,MATCH(B954,Recipes!$A$5:$A$204,0)),0)</f>
        <v>0</v>
      </c>
      <c r="Y954" s="45">
        <f>IF(OR(J954="",X954=0),"",J954*X954)</f>
        <v>0</v>
      </c>
      <c r="Z954" s="17">
        <f>IF(D954="","",B954&amp;"#"&amp;COUNTIFS($B$5:B954,B954))</f>
        <v>0</v>
      </c>
      <c r="AA954" s="17">
        <f>IF(D954="","",B954&amp;"|"&amp;D954)</f>
        <v>0</v>
      </c>
      <c r="AB954" s="31">
        <f>IF(D954="","",IF(B954="","Add - which recipe?",IF(COUNTIFS(Ingredients!$B$5:$B$304,D954)=0,"Missing - not in the Ingredients tab",IF(E954="","Add - no quantity",IF(F954="","Add - no unit",IF(K954&lt;&gt;L954,"Check - recipe in "&amp;K954&amp;", priced in "&amp;L954,IF(COUNTIFS($AA$5:$AA$1204,AA954)&gt;1,"Duplicate - same ingredient twice","OK")))))))</f>
        <v>0</v>
      </c>
    </row>
    <row r="955" spans="1:28">
      <c r="A955" s="39">
        <f>IF(D955="","","RL-"&amp;TEXT(ROW()-4,"0000"))</f>
        <v>0</v>
      </c>
      <c r="C955" s="17">
        <f>IF(B955="","",IFERROR(INDEX(Recipes!$B$5:$B$204,MATCH(B955,Recipes!$A$5:$A$204,0)),"Not found"))</f>
        <v>0</v>
      </c>
      <c r="J955" s="45">
        <f>IF(E955="","",IFERROR(E955*INDEX(UnitFactors,MATCH(F955,UnitNames,0)),""))</f>
        <v>0</v>
      </c>
      <c r="K955" s="17">
        <f>IF(F955="","",IFERROR(INDEX(UnitBases,MATCH(F955,UnitNames,0)),"?"))</f>
        <v>0</v>
      </c>
      <c r="L955" s="17">
        <f>IF(D955="","",IFERROR(INDEX(Ingredients!$G$5:$G$304,MATCH(D955,Ingredients!$B$5:$B$304,0)),"Add to Ingredients"))</f>
        <v>0</v>
      </c>
      <c r="M955" s="25">
        <f>IF(D955="","",IFERROR(INDEX(Ingredients!$J$5:$J$304,MATCH(D955,Ingredients!$B$5:$B$304,0)),"Add to Ingredients"))</f>
        <v>0</v>
      </c>
      <c r="N955" s="25">
        <f>IF(OR(J955="",M955="",NOT(ISNUMBER(M955))),"",IF(K955&lt;&gt;L955,"",J955*M955))</f>
        <v>0</v>
      </c>
      <c r="O955" s="25">
        <f>IF(N955="","",IFERROR(N955/INDEX(Recipes!$G$5:$G$204,MATCH(B955,Recipes!$A$5:$A$204,0)),""))</f>
        <v>0</v>
      </c>
      <c r="P955" s="30">
        <f>IF(J955="","",IF(K955="each",J955,J955/100))</f>
        <v>0</v>
      </c>
      <c r="Q955" s="30">
        <f>IFERROR(IF(P955="","",P955*INDEX(Ingredients!$P$5:$P$304,MATCH(D955,Ingredients!$B$5:$B$304,0))),"")</f>
        <v>0</v>
      </c>
      <c r="R955" s="45">
        <f>IFERROR(IF(P955="","",P955*INDEX(Ingredients!$Q$5:$Q$304,MATCH(D955,Ingredients!$B$5:$B$304,0))),"")</f>
        <v>0</v>
      </c>
      <c r="S955" s="45">
        <f>IFERROR(IF(P955="","",P955*INDEX(Ingredients!$R$5:$R$304,MATCH(D955,Ingredients!$B$5:$B$304,0))),"")</f>
        <v>0</v>
      </c>
      <c r="T955" s="45">
        <f>IFERROR(IF(P955="","",P955*INDEX(Ingredients!$S$5:$S$304,MATCH(D955,Ingredients!$B$5:$B$304,0))),"")</f>
        <v>0</v>
      </c>
      <c r="U955" s="45">
        <f>IFERROR(IF(P955="","",P955*INDEX(Ingredients!$T$5:$T$304,MATCH(D955,Ingredients!$B$5:$B$304,0))),"")</f>
        <v>0</v>
      </c>
      <c r="V955" s="17">
        <f>IF(D955="","",IFERROR(INDEX(Ingredients!$W$5:$W$304,MATCH(D955,Ingredients!$B$5:$B$304,0)),"Add to Ingredients"))</f>
        <v>0</v>
      </c>
      <c r="W955" s="17">
        <f>IF(D955="","",IFERROR(INDEX(Ingredients!$C$5:$C$304,MATCH(D955,Ingredients!$B$5:$B$304,0)),"Add to Ingredients"))</f>
        <v>0</v>
      </c>
      <c r="X955" s="45">
        <f>IFERROR(INDEX(Recipes!$AT$5:$AT$204,MATCH(B955,Recipes!$A$5:$A$204,0)),0)</f>
        <v>0</v>
      </c>
      <c r="Y955" s="45">
        <f>IF(OR(J955="",X955=0),"",J955*X955)</f>
        <v>0</v>
      </c>
      <c r="Z955" s="17">
        <f>IF(D955="","",B955&amp;"#"&amp;COUNTIFS($B$5:B955,B955))</f>
        <v>0</v>
      </c>
      <c r="AA955" s="17">
        <f>IF(D955="","",B955&amp;"|"&amp;D955)</f>
        <v>0</v>
      </c>
      <c r="AB955" s="31">
        <f>IF(D955="","",IF(B955="","Add - which recipe?",IF(COUNTIFS(Ingredients!$B$5:$B$304,D955)=0,"Missing - not in the Ingredients tab",IF(E955="","Add - no quantity",IF(F955="","Add - no unit",IF(K955&lt;&gt;L955,"Check - recipe in "&amp;K955&amp;", priced in "&amp;L955,IF(COUNTIFS($AA$5:$AA$1204,AA955)&gt;1,"Duplicate - same ingredient twice","OK")))))))</f>
        <v>0</v>
      </c>
    </row>
    <row r="956" spans="1:28">
      <c r="A956" s="39">
        <f>IF(D956="","","RL-"&amp;TEXT(ROW()-4,"0000"))</f>
        <v>0</v>
      </c>
      <c r="C956" s="17">
        <f>IF(B956="","",IFERROR(INDEX(Recipes!$B$5:$B$204,MATCH(B956,Recipes!$A$5:$A$204,0)),"Not found"))</f>
        <v>0</v>
      </c>
      <c r="J956" s="45">
        <f>IF(E956="","",IFERROR(E956*INDEX(UnitFactors,MATCH(F956,UnitNames,0)),""))</f>
        <v>0</v>
      </c>
      <c r="K956" s="17">
        <f>IF(F956="","",IFERROR(INDEX(UnitBases,MATCH(F956,UnitNames,0)),"?"))</f>
        <v>0</v>
      </c>
      <c r="L956" s="17">
        <f>IF(D956="","",IFERROR(INDEX(Ingredients!$G$5:$G$304,MATCH(D956,Ingredients!$B$5:$B$304,0)),"Add to Ingredients"))</f>
        <v>0</v>
      </c>
      <c r="M956" s="25">
        <f>IF(D956="","",IFERROR(INDEX(Ingredients!$J$5:$J$304,MATCH(D956,Ingredients!$B$5:$B$304,0)),"Add to Ingredients"))</f>
        <v>0</v>
      </c>
      <c r="N956" s="25">
        <f>IF(OR(J956="",M956="",NOT(ISNUMBER(M956))),"",IF(K956&lt;&gt;L956,"",J956*M956))</f>
        <v>0</v>
      </c>
      <c r="O956" s="25">
        <f>IF(N956="","",IFERROR(N956/INDEX(Recipes!$G$5:$G$204,MATCH(B956,Recipes!$A$5:$A$204,0)),""))</f>
        <v>0</v>
      </c>
      <c r="P956" s="30">
        <f>IF(J956="","",IF(K956="each",J956,J956/100))</f>
        <v>0</v>
      </c>
      <c r="Q956" s="30">
        <f>IFERROR(IF(P956="","",P956*INDEX(Ingredients!$P$5:$P$304,MATCH(D956,Ingredients!$B$5:$B$304,0))),"")</f>
        <v>0</v>
      </c>
      <c r="R956" s="45">
        <f>IFERROR(IF(P956="","",P956*INDEX(Ingredients!$Q$5:$Q$304,MATCH(D956,Ingredients!$B$5:$B$304,0))),"")</f>
        <v>0</v>
      </c>
      <c r="S956" s="45">
        <f>IFERROR(IF(P956="","",P956*INDEX(Ingredients!$R$5:$R$304,MATCH(D956,Ingredients!$B$5:$B$304,0))),"")</f>
        <v>0</v>
      </c>
      <c r="T956" s="45">
        <f>IFERROR(IF(P956="","",P956*INDEX(Ingredients!$S$5:$S$304,MATCH(D956,Ingredients!$B$5:$B$304,0))),"")</f>
        <v>0</v>
      </c>
      <c r="U956" s="45">
        <f>IFERROR(IF(P956="","",P956*INDEX(Ingredients!$T$5:$T$304,MATCH(D956,Ingredients!$B$5:$B$304,0))),"")</f>
        <v>0</v>
      </c>
      <c r="V956" s="17">
        <f>IF(D956="","",IFERROR(INDEX(Ingredients!$W$5:$W$304,MATCH(D956,Ingredients!$B$5:$B$304,0)),"Add to Ingredients"))</f>
        <v>0</v>
      </c>
      <c r="W956" s="17">
        <f>IF(D956="","",IFERROR(INDEX(Ingredients!$C$5:$C$304,MATCH(D956,Ingredients!$B$5:$B$304,0)),"Add to Ingredients"))</f>
        <v>0</v>
      </c>
      <c r="X956" s="45">
        <f>IFERROR(INDEX(Recipes!$AT$5:$AT$204,MATCH(B956,Recipes!$A$5:$A$204,0)),0)</f>
        <v>0</v>
      </c>
      <c r="Y956" s="45">
        <f>IF(OR(J956="",X956=0),"",J956*X956)</f>
        <v>0</v>
      </c>
      <c r="Z956" s="17">
        <f>IF(D956="","",B956&amp;"#"&amp;COUNTIFS($B$5:B956,B956))</f>
        <v>0</v>
      </c>
      <c r="AA956" s="17">
        <f>IF(D956="","",B956&amp;"|"&amp;D956)</f>
        <v>0</v>
      </c>
      <c r="AB956" s="31">
        <f>IF(D956="","",IF(B956="","Add - which recipe?",IF(COUNTIFS(Ingredients!$B$5:$B$304,D956)=0,"Missing - not in the Ingredients tab",IF(E956="","Add - no quantity",IF(F956="","Add - no unit",IF(K956&lt;&gt;L956,"Check - recipe in "&amp;K956&amp;", priced in "&amp;L956,IF(COUNTIFS($AA$5:$AA$1204,AA956)&gt;1,"Duplicate - same ingredient twice","OK")))))))</f>
        <v>0</v>
      </c>
    </row>
    <row r="957" spans="1:28">
      <c r="A957" s="39">
        <f>IF(D957="","","RL-"&amp;TEXT(ROW()-4,"0000"))</f>
        <v>0</v>
      </c>
      <c r="C957" s="17">
        <f>IF(B957="","",IFERROR(INDEX(Recipes!$B$5:$B$204,MATCH(B957,Recipes!$A$5:$A$204,0)),"Not found"))</f>
        <v>0</v>
      </c>
      <c r="J957" s="45">
        <f>IF(E957="","",IFERROR(E957*INDEX(UnitFactors,MATCH(F957,UnitNames,0)),""))</f>
        <v>0</v>
      </c>
      <c r="K957" s="17">
        <f>IF(F957="","",IFERROR(INDEX(UnitBases,MATCH(F957,UnitNames,0)),"?"))</f>
        <v>0</v>
      </c>
      <c r="L957" s="17">
        <f>IF(D957="","",IFERROR(INDEX(Ingredients!$G$5:$G$304,MATCH(D957,Ingredients!$B$5:$B$304,0)),"Add to Ingredients"))</f>
        <v>0</v>
      </c>
      <c r="M957" s="25">
        <f>IF(D957="","",IFERROR(INDEX(Ingredients!$J$5:$J$304,MATCH(D957,Ingredients!$B$5:$B$304,0)),"Add to Ingredients"))</f>
        <v>0</v>
      </c>
      <c r="N957" s="25">
        <f>IF(OR(J957="",M957="",NOT(ISNUMBER(M957))),"",IF(K957&lt;&gt;L957,"",J957*M957))</f>
        <v>0</v>
      </c>
      <c r="O957" s="25">
        <f>IF(N957="","",IFERROR(N957/INDEX(Recipes!$G$5:$G$204,MATCH(B957,Recipes!$A$5:$A$204,0)),""))</f>
        <v>0</v>
      </c>
      <c r="P957" s="30">
        <f>IF(J957="","",IF(K957="each",J957,J957/100))</f>
        <v>0</v>
      </c>
      <c r="Q957" s="30">
        <f>IFERROR(IF(P957="","",P957*INDEX(Ingredients!$P$5:$P$304,MATCH(D957,Ingredients!$B$5:$B$304,0))),"")</f>
        <v>0</v>
      </c>
      <c r="R957" s="45">
        <f>IFERROR(IF(P957="","",P957*INDEX(Ingredients!$Q$5:$Q$304,MATCH(D957,Ingredients!$B$5:$B$304,0))),"")</f>
        <v>0</v>
      </c>
      <c r="S957" s="45">
        <f>IFERROR(IF(P957="","",P957*INDEX(Ingredients!$R$5:$R$304,MATCH(D957,Ingredients!$B$5:$B$304,0))),"")</f>
        <v>0</v>
      </c>
      <c r="T957" s="45">
        <f>IFERROR(IF(P957="","",P957*INDEX(Ingredients!$S$5:$S$304,MATCH(D957,Ingredients!$B$5:$B$304,0))),"")</f>
        <v>0</v>
      </c>
      <c r="U957" s="45">
        <f>IFERROR(IF(P957="","",P957*INDEX(Ingredients!$T$5:$T$304,MATCH(D957,Ingredients!$B$5:$B$304,0))),"")</f>
        <v>0</v>
      </c>
      <c r="V957" s="17">
        <f>IF(D957="","",IFERROR(INDEX(Ingredients!$W$5:$W$304,MATCH(D957,Ingredients!$B$5:$B$304,0)),"Add to Ingredients"))</f>
        <v>0</v>
      </c>
      <c r="W957" s="17">
        <f>IF(D957="","",IFERROR(INDEX(Ingredients!$C$5:$C$304,MATCH(D957,Ingredients!$B$5:$B$304,0)),"Add to Ingredients"))</f>
        <v>0</v>
      </c>
      <c r="X957" s="45">
        <f>IFERROR(INDEX(Recipes!$AT$5:$AT$204,MATCH(B957,Recipes!$A$5:$A$204,0)),0)</f>
        <v>0</v>
      </c>
      <c r="Y957" s="45">
        <f>IF(OR(J957="",X957=0),"",J957*X957)</f>
        <v>0</v>
      </c>
      <c r="Z957" s="17">
        <f>IF(D957="","",B957&amp;"#"&amp;COUNTIFS($B$5:B957,B957))</f>
        <v>0</v>
      </c>
      <c r="AA957" s="17">
        <f>IF(D957="","",B957&amp;"|"&amp;D957)</f>
        <v>0</v>
      </c>
      <c r="AB957" s="31">
        <f>IF(D957="","",IF(B957="","Add - which recipe?",IF(COUNTIFS(Ingredients!$B$5:$B$304,D957)=0,"Missing - not in the Ingredients tab",IF(E957="","Add - no quantity",IF(F957="","Add - no unit",IF(K957&lt;&gt;L957,"Check - recipe in "&amp;K957&amp;", priced in "&amp;L957,IF(COUNTIFS($AA$5:$AA$1204,AA957)&gt;1,"Duplicate - same ingredient twice","OK")))))))</f>
        <v>0</v>
      </c>
    </row>
    <row r="958" spans="1:28">
      <c r="A958" s="39">
        <f>IF(D958="","","RL-"&amp;TEXT(ROW()-4,"0000"))</f>
        <v>0</v>
      </c>
      <c r="C958" s="17">
        <f>IF(B958="","",IFERROR(INDEX(Recipes!$B$5:$B$204,MATCH(B958,Recipes!$A$5:$A$204,0)),"Not found"))</f>
        <v>0</v>
      </c>
      <c r="J958" s="45">
        <f>IF(E958="","",IFERROR(E958*INDEX(UnitFactors,MATCH(F958,UnitNames,0)),""))</f>
        <v>0</v>
      </c>
      <c r="K958" s="17">
        <f>IF(F958="","",IFERROR(INDEX(UnitBases,MATCH(F958,UnitNames,0)),"?"))</f>
        <v>0</v>
      </c>
      <c r="L958" s="17">
        <f>IF(D958="","",IFERROR(INDEX(Ingredients!$G$5:$G$304,MATCH(D958,Ingredients!$B$5:$B$304,0)),"Add to Ingredients"))</f>
        <v>0</v>
      </c>
      <c r="M958" s="25">
        <f>IF(D958="","",IFERROR(INDEX(Ingredients!$J$5:$J$304,MATCH(D958,Ingredients!$B$5:$B$304,0)),"Add to Ingredients"))</f>
        <v>0</v>
      </c>
      <c r="N958" s="25">
        <f>IF(OR(J958="",M958="",NOT(ISNUMBER(M958))),"",IF(K958&lt;&gt;L958,"",J958*M958))</f>
        <v>0</v>
      </c>
      <c r="O958" s="25">
        <f>IF(N958="","",IFERROR(N958/INDEX(Recipes!$G$5:$G$204,MATCH(B958,Recipes!$A$5:$A$204,0)),""))</f>
        <v>0</v>
      </c>
      <c r="P958" s="30">
        <f>IF(J958="","",IF(K958="each",J958,J958/100))</f>
        <v>0</v>
      </c>
      <c r="Q958" s="30">
        <f>IFERROR(IF(P958="","",P958*INDEX(Ingredients!$P$5:$P$304,MATCH(D958,Ingredients!$B$5:$B$304,0))),"")</f>
        <v>0</v>
      </c>
      <c r="R958" s="45">
        <f>IFERROR(IF(P958="","",P958*INDEX(Ingredients!$Q$5:$Q$304,MATCH(D958,Ingredients!$B$5:$B$304,0))),"")</f>
        <v>0</v>
      </c>
      <c r="S958" s="45">
        <f>IFERROR(IF(P958="","",P958*INDEX(Ingredients!$R$5:$R$304,MATCH(D958,Ingredients!$B$5:$B$304,0))),"")</f>
        <v>0</v>
      </c>
      <c r="T958" s="45">
        <f>IFERROR(IF(P958="","",P958*INDEX(Ingredients!$S$5:$S$304,MATCH(D958,Ingredients!$B$5:$B$304,0))),"")</f>
        <v>0</v>
      </c>
      <c r="U958" s="45">
        <f>IFERROR(IF(P958="","",P958*INDEX(Ingredients!$T$5:$T$304,MATCH(D958,Ingredients!$B$5:$B$304,0))),"")</f>
        <v>0</v>
      </c>
      <c r="V958" s="17">
        <f>IF(D958="","",IFERROR(INDEX(Ingredients!$W$5:$W$304,MATCH(D958,Ingredients!$B$5:$B$304,0)),"Add to Ingredients"))</f>
        <v>0</v>
      </c>
      <c r="W958" s="17">
        <f>IF(D958="","",IFERROR(INDEX(Ingredients!$C$5:$C$304,MATCH(D958,Ingredients!$B$5:$B$304,0)),"Add to Ingredients"))</f>
        <v>0</v>
      </c>
      <c r="X958" s="45">
        <f>IFERROR(INDEX(Recipes!$AT$5:$AT$204,MATCH(B958,Recipes!$A$5:$A$204,0)),0)</f>
        <v>0</v>
      </c>
      <c r="Y958" s="45">
        <f>IF(OR(J958="",X958=0),"",J958*X958)</f>
        <v>0</v>
      </c>
      <c r="Z958" s="17">
        <f>IF(D958="","",B958&amp;"#"&amp;COUNTIFS($B$5:B958,B958))</f>
        <v>0</v>
      </c>
      <c r="AA958" s="17">
        <f>IF(D958="","",B958&amp;"|"&amp;D958)</f>
        <v>0</v>
      </c>
      <c r="AB958" s="31">
        <f>IF(D958="","",IF(B958="","Add - which recipe?",IF(COUNTIFS(Ingredients!$B$5:$B$304,D958)=0,"Missing - not in the Ingredients tab",IF(E958="","Add - no quantity",IF(F958="","Add - no unit",IF(K958&lt;&gt;L958,"Check - recipe in "&amp;K958&amp;", priced in "&amp;L958,IF(COUNTIFS($AA$5:$AA$1204,AA958)&gt;1,"Duplicate - same ingredient twice","OK")))))))</f>
        <v>0</v>
      </c>
    </row>
    <row r="959" spans="1:28">
      <c r="A959" s="39">
        <f>IF(D959="","","RL-"&amp;TEXT(ROW()-4,"0000"))</f>
        <v>0</v>
      </c>
      <c r="C959" s="17">
        <f>IF(B959="","",IFERROR(INDEX(Recipes!$B$5:$B$204,MATCH(B959,Recipes!$A$5:$A$204,0)),"Not found"))</f>
        <v>0</v>
      </c>
      <c r="J959" s="45">
        <f>IF(E959="","",IFERROR(E959*INDEX(UnitFactors,MATCH(F959,UnitNames,0)),""))</f>
        <v>0</v>
      </c>
      <c r="K959" s="17">
        <f>IF(F959="","",IFERROR(INDEX(UnitBases,MATCH(F959,UnitNames,0)),"?"))</f>
        <v>0</v>
      </c>
      <c r="L959" s="17">
        <f>IF(D959="","",IFERROR(INDEX(Ingredients!$G$5:$G$304,MATCH(D959,Ingredients!$B$5:$B$304,0)),"Add to Ingredients"))</f>
        <v>0</v>
      </c>
      <c r="M959" s="25">
        <f>IF(D959="","",IFERROR(INDEX(Ingredients!$J$5:$J$304,MATCH(D959,Ingredients!$B$5:$B$304,0)),"Add to Ingredients"))</f>
        <v>0</v>
      </c>
      <c r="N959" s="25">
        <f>IF(OR(J959="",M959="",NOT(ISNUMBER(M959))),"",IF(K959&lt;&gt;L959,"",J959*M959))</f>
        <v>0</v>
      </c>
      <c r="O959" s="25">
        <f>IF(N959="","",IFERROR(N959/INDEX(Recipes!$G$5:$G$204,MATCH(B959,Recipes!$A$5:$A$204,0)),""))</f>
        <v>0</v>
      </c>
      <c r="P959" s="30">
        <f>IF(J959="","",IF(K959="each",J959,J959/100))</f>
        <v>0</v>
      </c>
      <c r="Q959" s="30">
        <f>IFERROR(IF(P959="","",P959*INDEX(Ingredients!$P$5:$P$304,MATCH(D959,Ingredients!$B$5:$B$304,0))),"")</f>
        <v>0</v>
      </c>
      <c r="R959" s="45">
        <f>IFERROR(IF(P959="","",P959*INDEX(Ingredients!$Q$5:$Q$304,MATCH(D959,Ingredients!$B$5:$B$304,0))),"")</f>
        <v>0</v>
      </c>
      <c r="S959" s="45">
        <f>IFERROR(IF(P959="","",P959*INDEX(Ingredients!$R$5:$R$304,MATCH(D959,Ingredients!$B$5:$B$304,0))),"")</f>
        <v>0</v>
      </c>
      <c r="T959" s="45">
        <f>IFERROR(IF(P959="","",P959*INDEX(Ingredients!$S$5:$S$304,MATCH(D959,Ingredients!$B$5:$B$304,0))),"")</f>
        <v>0</v>
      </c>
      <c r="U959" s="45">
        <f>IFERROR(IF(P959="","",P959*INDEX(Ingredients!$T$5:$T$304,MATCH(D959,Ingredients!$B$5:$B$304,0))),"")</f>
        <v>0</v>
      </c>
      <c r="V959" s="17">
        <f>IF(D959="","",IFERROR(INDEX(Ingredients!$W$5:$W$304,MATCH(D959,Ingredients!$B$5:$B$304,0)),"Add to Ingredients"))</f>
        <v>0</v>
      </c>
      <c r="W959" s="17">
        <f>IF(D959="","",IFERROR(INDEX(Ingredients!$C$5:$C$304,MATCH(D959,Ingredients!$B$5:$B$304,0)),"Add to Ingredients"))</f>
        <v>0</v>
      </c>
      <c r="X959" s="45">
        <f>IFERROR(INDEX(Recipes!$AT$5:$AT$204,MATCH(B959,Recipes!$A$5:$A$204,0)),0)</f>
        <v>0</v>
      </c>
      <c r="Y959" s="45">
        <f>IF(OR(J959="",X959=0),"",J959*X959)</f>
        <v>0</v>
      </c>
      <c r="Z959" s="17">
        <f>IF(D959="","",B959&amp;"#"&amp;COUNTIFS($B$5:B959,B959))</f>
        <v>0</v>
      </c>
      <c r="AA959" s="17">
        <f>IF(D959="","",B959&amp;"|"&amp;D959)</f>
        <v>0</v>
      </c>
      <c r="AB959" s="31">
        <f>IF(D959="","",IF(B959="","Add - which recipe?",IF(COUNTIFS(Ingredients!$B$5:$B$304,D959)=0,"Missing - not in the Ingredients tab",IF(E959="","Add - no quantity",IF(F959="","Add - no unit",IF(K959&lt;&gt;L959,"Check - recipe in "&amp;K959&amp;", priced in "&amp;L959,IF(COUNTIFS($AA$5:$AA$1204,AA959)&gt;1,"Duplicate - same ingredient twice","OK")))))))</f>
        <v>0</v>
      </c>
    </row>
    <row r="960" spans="1:28">
      <c r="A960" s="39">
        <f>IF(D960="","","RL-"&amp;TEXT(ROW()-4,"0000"))</f>
        <v>0</v>
      </c>
      <c r="C960" s="17">
        <f>IF(B960="","",IFERROR(INDEX(Recipes!$B$5:$B$204,MATCH(B960,Recipes!$A$5:$A$204,0)),"Not found"))</f>
        <v>0</v>
      </c>
      <c r="J960" s="45">
        <f>IF(E960="","",IFERROR(E960*INDEX(UnitFactors,MATCH(F960,UnitNames,0)),""))</f>
        <v>0</v>
      </c>
      <c r="K960" s="17">
        <f>IF(F960="","",IFERROR(INDEX(UnitBases,MATCH(F960,UnitNames,0)),"?"))</f>
        <v>0</v>
      </c>
      <c r="L960" s="17">
        <f>IF(D960="","",IFERROR(INDEX(Ingredients!$G$5:$G$304,MATCH(D960,Ingredients!$B$5:$B$304,0)),"Add to Ingredients"))</f>
        <v>0</v>
      </c>
      <c r="M960" s="25">
        <f>IF(D960="","",IFERROR(INDEX(Ingredients!$J$5:$J$304,MATCH(D960,Ingredients!$B$5:$B$304,0)),"Add to Ingredients"))</f>
        <v>0</v>
      </c>
      <c r="N960" s="25">
        <f>IF(OR(J960="",M960="",NOT(ISNUMBER(M960))),"",IF(K960&lt;&gt;L960,"",J960*M960))</f>
        <v>0</v>
      </c>
      <c r="O960" s="25">
        <f>IF(N960="","",IFERROR(N960/INDEX(Recipes!$G$5:$G$204,MATCH(B960,Recipes!$A$5:$A$204,0)),""))</f>
        <v>0</v>
      </c>
      <c r="P960" s="30">
        <f>IF(J960="","",IF(K960="each",J960,J960/100))</f>
        <v>0</v>
      </c>
      <c r="Q960" s="30">
        <f>IFERROR(IF(P960="","",P960*INDEX(Ingredients!$P$5:$P$304,MATCH(D960,Ingredients!$B$5:$B$304,0))),"")</f>
        <v>0</v>
      </c>
      <c r="R960" s="45">
        <f>IFERROR(IF(P960="","",P960*INDEX(Ingredients!$Q$5:$Q$304,MATCH(D960,Ingredients!$B$5:$B$304,0))),"")</f>
        <v>0</v>
      </c>
      <c r="S960" s="45">
        <f>IFERROR(IF(P960="","",P960*INDEX(Ingredients!$R$5:$R$304,MATCH(D960,Ingredients!$B$5:$B$304,0))),"")</f>
        <v>0</v>
      </c>
      <c r="T960" s="45">
        <f>IFERROR(IF(P960="","",P960*INDEX(Ingredients!$S$5:$S$304,MATCH(D960,Ingredients!$B$5:$B$304,0))),"")</f>
        <v>0</v>
      </c>
      <c r="U960" s="45">
        <f>IFERROR(IF(P960="","",P960*INDEX(Ingredients!$T$5:$T$304,MATCH(D960,Ingredients!$B$5:$B$304,0))),"")</f>
        <v>0</v>
      </c>
      <c r="V960" s="17">
        <f>IF(D960="","",IFERROR(INDEX(Ingredients!$W$5:$W$304,MATCH(D960,Ingredients!$B$5:$B$304,0)),"Add to Ingredients"))</f>
        <v>0</v>
      </c>
      <c r="W960" s="17">
        <f>IF(D960="","",IFERROR(INDEX(Ingredients!$C$5:$C$304,MATCH(D960,Ingredients!$B$5:$B$304,0)),"Add to Ingredients"))</f>
        <v>0</v>
      </c>
      <c r="X960" s="45">
        <f>IFERROR(INDEX(Recipes!$AT$5:$AT$204,MATCH(B960,Recipes!$A$5:$A$204,0)),0)</f>
        <v>0</v>
      </c>
      <c r="Y960" s="45">
        <f>IF(OR(J960="",X960=0),"",J960*X960)</f>
        <v>0</v>
      </c>
      <c r="Z960" s="17">
        <f>IF(D960="","",B960&amp;"#"&amp;COUNTIFS($B$5:B960,B960))</f>
        <v>0</v>
      </c>
      <c r="AA960" s="17">
        <f>IF(D960="","",B960&amp;"|"&amp;D960)</f>
        <v>0</v>
      </c>
      <c r="AB960" s="31">
        <f>IF(D960="","",IF(B960="","Add - which recipe?",IF(COUNTIFS(Ingredients!$B$5:$B$304,D960)=0,"Missing - not in the Ingredients tab",IF(E960="","Add - no quantity",IF(F960="","Add - no unit",IF(K960&lt;&gt;L960,"Check - recipe in "&amp;K960&amp;", priced in "&amp;L960,IF(COUNTIFS($AA$5:$AA$1204,AA960)&gt;1,"Duplicate - same ingredient twice","OK")))))))</f>
        <v>0</v>
      </c>
    </row>
    <row r="961" spans="1:28">
      <c r="A961" s="39">
        <f>IF(D961="","","RL-"&amp;TEXT(ROW()-4,"0000"))</f>
        <v>0</v>
      </c>
      <c r="C961" s="17">
        <f>IF(B961="","",IFERROR(INDEX(Recipes!$B$5:$B$204,MATCH(B961,Recipes!$A$5:$A$204,0)),"Not found"))</f>
        <v>0</v>
      </c>
      <c r="J961" s="45">
        <f>IF(E961="","",IFERROR(E961*INDEX(UnitFactors,MATCH(F961,UnitNames,0)),""))</f>
        <v>0</v>
      </c>
      <c r="K961" s="17">
        <f>IF(F961="","",IFERROR(INDEX(UnitBases,MATCH(F961,UnitNames,0)),"?"))</f>
        <v>0</v>
      </c>
      <c r="L961" s="17">
        <f>IF(D961="","",IFERROR(INDEX(Ingredients!$G$5:$G$304,MATCH(D961,Ingredients!$B$5:$B$304,0)),"Add to Ingredients"))</f>
        <v>0</v>
      </c>
      <c r="M961" s="25">
        <f>IF(D961="","",IFERROR(INDEX(Ingredients!$J$5:$J$304,MATCH(D961,Ingredients!$B$5:$B$304,0)),"Add to Ingredients"))</f>
        <v>0</v>
      </c>
      <c r="N961" s="25">
        <f>IF(OR(J961="",M961="",NOT(ISNUMBER(M961))),"",IF(K961&lt;&gt;L961,"",J961*M961))</f>
        <v>0</v>
      </c>
      <c r="O961" s="25">
        <f>IF(N961="","",IFERROR(N961/INDEX(Recipes!$G$5:$G$204,MATCH(B961,Recipes!$A$5:$A$204,0)),""))</f>
        <v>0</v>
      </c>
      <c r="P961" s="30">
        <f>IF(J961="","",IF(K961="each",J961,J961/100))</f>
        <v>0</v>
      </c>
      <c r="Q961" s="30">
        <f>IFERROR(IF(P961="","",P961*INDEX(Ingredients!$P$5:$P$304,MATCH(D961,Ingredients!$B$5:$B$304,0))),"")</f>
        <v>0</v>
      </c>
      <c r="R961" s="45">
        <f>IFERROR(IF(P961="","",P961*INDEX(Ingredients!$Q$5:$Q$304,MATCH(D961,Ingredients!$B$5:$B$304,0))),"")</f>
        <v>0</v>
      </c>
      <c r="S961" s="45">
        <f>IFERROR(IF(P961="","",P961*INDEX(Ingredients!$R$5:$R$304,MATCH(D961,Ingredients!$B$5:$B$304,0))),"")</f>
        <v>0</v>
      </c>
      <c r="T961" s="45">
        <f>IFERROR(IF(P961="","",P961*INDEX(Ingredients!$S$5:$S$304,MATCH(D961,Ingredients!$B$5:$B$304,0))),"")</f>
        <v>0</v>
      </c>
      <c r="U961" s="45">
        <f>IFERROR(IF(P961="","",P961*INDEX(Ingredients!$T$5:$T$304,MATCH(D961,Ingredients!$B$5:$B$304,0))),"")</f>
        <v>0</v>
      </c>
      <c r="V961" s="17">
        <f>IF(D961="","",IFERROR(INDEX(Ingredients!$W$5:$W$304,MATCH(D961,Ingredients!$B$5:$B$304,0)),"Add to Ingredients"))</f>
        <v>0</v>
      </c>
      <c r="W961" s="17">
        <f>IF(D961="","",IFERROR(INDEX(Ingredients!$C$5:$C$304,MATCH(D961,Ingredients!$B$5:$B$304,0)),"Add to Ingredients"))</f>
        <v>0</v>
      </c>
      <c r="X961" s="45">
        <f>IFERROR(INDEX(Recipes!$AT$5:$AT$204,MATCH(B961,Recipes!$A$5:$A$204,0)),0)</f>
        <v>0</v>
      </c>
      <c r="Y961" s="45">
        <f>IF(OR(J961="",X961=0),"",J961*X961)</f>
        <v>0</v>
      </c>
      <c r="Z961" s="17">
        <f>IF(D961="","",B961&amp;"#"&amp;COUNTIFS($B$5:B961,B961))</f>
        <v>0</v>
      </c>
      <c r="AA961" s="17">
        <f>IF(D961="","",B961&amp;"|"&amp;D961)</f>
        <v>0</v>
      </c>
      <c r="AB961" s="31">
        <f>IF(D961="","",IF(B961="","Add - which recipe?",IF(COUNTIFS(Ingredients!$B$5:$B$304,D961)=0,"Missing - not in the Ingredients tab",IF(E961="","Add - no quantity",IF(F961="","Add - no unit",IF(K961&lt;&gt;L961,"Check - recipe in "&amp;K961&amp;", priced in "&amp;L961,IF(COUNTIFS($AA$5:$AA$1204,AA961)&gt;1,"Duplicate - same ingredient twice","OK")))))))</f>
        <v>0</v>
      </c>
    </row>
    <row r="962" spans="1:28">
      <c r="A962" s="39">
        <f>IF(D962="","","RL-"&amp;TEXT(ROW()-4,"0000"))</f>
        <v>0</v>
      </c>
      <c r="C962" s="17">
        <f>IF(B962="","",IFERROR(INDEX(Recipes!$B$5:$B$204,MATCH(B962,Recipes!$A$5:$A$204,0)),"Not found"))</f>
        <v>0</v>
      </c>
      <c r="J962" s="45">
        <f>IF(E962="","",IFERROR(E962*INDEX(UnitFactors,MATCH(F962,UnitNames,0)),""))</f>
        <v>0</v>
      </c>
      <c r="K962" s="17">
        <f>IF(F962="","",IFERROR(INDEX(UnitBases,MATCH(F962,UnitNames,0)),"?"))</f>
        <v>0</v>
      </c>
      <c r="L962" s="17">
        <f>IF(D962="","",IFERROR(INDEX(Ingredients!$G$5:$G$304,MATCH(D962,Ingredients!$B$5:$B$304,0)),"Add to Ingredients"))</f>
        <v>0</v>
      </c>
      <c r="M962" s="25">
        <f>IF(D962="","",IFERROR(INDEX(Ingredients!$J$5:$J$304,MATCH(D962,Ingredients!$B$5:$B$304,0)),"Add to Ingredients"))</f>
        <v>0</v>
      </c>
      <c r="N962" s="25">
        <f>IF(OR(J962="",M962="",NOT(ISNUMBER(M962))),"",IF(K962&lt;&gt;L962,"",J962*M962))</f>
        <v>0</v>
      </c>
      <c r="O962" s="25">
        <f>IF(N962="","",IFERROR(N962/INDEX(Recipes!$G$5:$G$204,MATCH(B962,Recipes!$A$5:$A$204,0)),""))</f>
        <v>0</v>
      </c>
      <c r="P962" s="30">
        <f>IF(J962="","",IF(K962="each",J962,J962/100))</f>
        <v>0</v>
      </c>
      <c r="Q962" s="30">
        <f>IFERROR(IF(P962="","",P962*INDEX(Ingredients!$P$5:$P$304,MATCH(D962,Ingredients!$B$5:$B$304,0))),"")</f>
        <v>0</v>
      </c>
      <c r="R962" s="45">
        <f>IFERROR(IF(P962="","",P962*INDEX(Ingredients!$Q$5:$Q$304,MATCH(D962,Ingredients!$B$5:$B$304,0))),"")</f>
        <v>0</v>
      </c>
      <c r="S962" s="45">
        <f>IFERROR(IF(P962="","",P962*INDEX(Ingredients!$R$5:$R$304,MATCH(D962,Ingredients!$B$5:$B$304,0))),"")</f>
        <v>0</v>
      </c>
      <c r="T962" s="45">
        <f>IFERROR(IF(P962="","",P962*INDEX(Ingredients!$S$5:$S$304,MATCH(D962,Ingredients!$B$5:$B$304,0))),"")</f>
        <v>0</v>
      </c>
      <c r="U962" s="45">
        <f>IFERROR(IF(P962="","",P962*INDEX(Ingredients!$T$5:$T$304,MATCH(D962,Ingredients!$B$5:$B$304,0))),"")</f>
        <v>0</v>
      </c>
      <c r="V962" s="17">
        <f>IF(D962="","",IFERROR(INDEX(Ingredients!$W$5:$W$304,MATCH(D962,Ingredients!$B$5:$B$304,0)),"Add to Ingredients"))</f>
        <v>0</v>
      </c>
      <c r="W962" s="17">
        <f>IF(D962="","",IFERROR(INDEX(Ingredients!$C$5:$C$304,MATCH(D962,Ingredients!$B$5:$B$304,0)),"Add to Ingredients"))</f>
        <v>0</v>
      </c>
      <c r="X962" s="45">
        <f>IFERROR(INDEX(Recipes!$AT$5:$AT$204,MATCH(B962,Recipes!$A$5:$A$204,0)),0)</f>
        <v>0</v>
      </c>
      <c r="Y962" s="45">
        <f>IF(OR(J962="",X962=0),"",J962*X962)</f>
        <v>0</v>
      </c>
      <c r="Z962" s="17">
        <f>IF(D962="","",B962&amp;"#"&amp;COUNTIFS($B$5:B962,B962))</f>
        <v>0</v>
      </c>
      <c r="AA962" s="17">
        <f>IF(D962="","",B962&amp;"|"&amp;D962)</f>
        <v>0</v>
      </c>
      <c r="AB962" s="31">
        <f>IF(D962="","",IF(B962="","Add - which recipe?",IF(COUNTIFS(Ingredients!$B$5:$B$304,D962)=0,"Missing - not in the Ingredients tab",IF(E962="","Add - no quantity",IF(F962="","Add - no unit",IF(K962&lt;&gt;L962,"Check - recipe in "&amp;K962&amp;", priced in "&amp;L962,IF(COUNTIFS($AA$5:$AA$1204,AA962)&gt;1,"Duplicate - same ingredient twice","OK")))))))</f>
        <v>0</v>
      </c>
    </row>
    <row r="963" spans="1:28">
      <c r="A963" s="39">
        <f>IF(D963="","","RL-"&amp;TEXT(ROW()-4,"0000"))</f>
        <v>0</v>
      </c>
      <c r="C963" s="17">
        <f>IF(B963="","",IFERROR(INDEX(Recipes!$B$5:$B$204,MATCH(B963,Recipes!$A$5:$A$204,0)),"Not found"))</f>
        <v>0</v>
      </c>
      <c r="J963" s="45">
        <f>IF(E963="","",IFERROR(E963*INDEX(UnitFactors,MATCH(F963,UnitNames,0)),""))</f>
        <v>0</v>
      </c>
      <c r="K963" s="17">
        <f>IF(F963="","",IFERROR(INDEX(UnitBases,MATCH(F963,UnitNames,0)),"?"))</f>
        <v>0</v>
      </c>
      <c r="L963" s="17">
        <f>IF(D963="","",IFERROR(INDEX(Ingredients!$G$5:$G$304,MATCH(D963,Ingredients!$B$5:$B$304,0)),"Add to Ingredients"))</f>
        <v>0</v>
      </c>
      <c r="M963" s="25">
        <f>IF(D963="","",IFERROR(INDEX(Ingredients!$J$5:$J$304,MATCH(D963,Ingredients!$B$5:$B$304,0)),"Add to Ingredients"))</f>
        <v>0</v>
      </c>
      <c r="N963" s="25">
        <f>IF(OR(J963="",M963="",NOT(ISNUMBER(M963))),"",IF(K963&lt;&gt;L963,"",J963*M963))</f>
        <v>0</v>
      </c>
      <c r="O963" s="25">
        <f>IF(N963="","",IFERROR(N963/INDEX(Recipes!$G$5:$G$204,MATCH(B963,Recipes!$A$5:$A$204,0)),""))</f>
        <v>0</v>
      </c>
      <c r="P963" s="30">
        <f>IF(J963="","",IF(K963="each",J963,J963/100))</f>
        <v>0</v>
      </c>
      <c r="Q963" s="30">
        <f>IFERROR(IF(P963="","",P963*INDEX(Ingredients!$P$5:$P$304,MATCH(D963,Ingredients!$B$5:$B$304,0))),"")</f>
        <v>0</v>
      </c>
      <c r="R963" s="45">
        <f>IFERROR(IF(P963="","",P963*INDEX(Ingredients!$Q$5:$Q$304,MATCH(D963,Ingredients!$B$5:$B$304,0))),"")</f>
        <v>0</v>
      </c>
      <c r="S963" s="45">
        <f>IFERROR(IF(P963="","",P963*INDEX(Ingredients!$R$5:$R$304,MATCH(D963,Ingredients!$B$5:$B$304,0))),"")</f>
        <v>0</v>
      </c>
      <c r="T963" s="45">
        <f>IFERROR(IF(P963="","",P963*INDEX(Ingredients!$S$5:$S$304,MATCH(D963,Ingredients!$B$5:$B$304,0))),"")</f>
        <v>0</v>
      </c>
      <c r="U963" s="45">
        <f>IFERROR(IF(P963="","",P963*INDEX(Ingredients!$T$5:$T$304,MATCH(D963,Ingredients!$B$5:$B$304,0))),"")</f>
        <v>0</v>
      </c>
      <c r="V963" s="17">
        <f>IF(D963="","",IFERROR(INDEX(Ingredients!$W$5:$W$304,MATCH(D963,Ingredients!$B$5:$B$304,0)),"Add to Ingredients"))</f>
        <v>0</v>
      </c>
      <c r="W963" s="17">
        <f>IF(D963="","",IFERROR(INDEX(Ingredients!$C$5:$C$304,MATCH(D963,Ingredients!$B$5:$B$304,0)),"Add to Ingredients"))</f>
        <v>0</v>
      </c>
      <c r="X963" s="45">
        <f>IFERROR(INDEX(Recipes!$AT$5:$AT$204,MATCH(B963,Recipes!$A$5:$A$204,0)),0)</f>
        <v>0</v>
      </c>
      <c r="Y963" s="45">
        <f>IF(OR(J963="",X963=0),"",J963*X963)</f>
        <v>0</v>
      </c>
      <c r="Z963" s="17">
        <f>IF(D963="","",B963&amp;"#"&amp;COUNTIFS($B$5:B963,B963))</f>
        <v>0</v>
      </c>
      <c r="AA963" s="17">
        <f>IF(D963="","",B963&amp;"|"&amp;D963)</f>
        <v>0</v>
      </c>
      <c r="AB963" s="31">
        <f>IF(D963="","",IF(B963="","Add - which recipe?",IF(COUNTIFS(Ingredients!$B$5:$B$304,D963)=0,"Missing - not in the Ingredients tab",IF(E963="","Add - no quantity",IF(F963="","Add - no unit",IF(K963&lt;&gt;L963,"Check - recipe in "&amp;K963&amp;", priced in "&amp;L963,IF(COUNTIFS($AA$5:$AA$1204,AA963)&gt;1,"Duplicate - same ingredient twice","OK")))))))</f>
        <v>0</v>
      </c>
    </row>
    <row r="964" spans="1:28">
      <c r="A964" s="39">
        <f>IF(D964="","","RL-"&amp;TEXT(ROW()-4,"0000"))</f>
        <v>0</v>
      </c>
      <c r="C964" s="17">
        <f>IF(B964="","",IFERROR(INDEX(Recipes!$B$5:$B$204,MATCH(B964,Recipes!$A$5:$A$204,0)),"Not found"))</f>
        <v>0</v>
      </c>
      <c r="J964" s="45">
        <f>IF(E964="","",IFERROR(E964*INDEX(UnitFactors,MATCH(F964,UnitNames,0)),""))</f>
        <v>0</v>
      </c>
      <c r="K964" s="17">
        <f>IF(F964="","",IFERROR(INDEX(UnitBases,MATCH(F964,UnitNames,0)),"?"))</f>
        <v>0</v>
      </c>
      <c r="L964" s="17">
        <f>IF(D964="","",IFERROR(INDEX(Ingredients!$G$5:$G$304,MATCH(D964,Ingredients!$B$5:$B$304,0)),"Add to Ingredients"))</f>
        <v>0</v>
      </c>
      <c r="M964" s="25">
        <f>IF(D964="","",IFERROR(INDEX(Ingredients!$J$5:$J$304,MATCH(D964,Ingredients!$B$5:$B$304,0)),"Add to Ingredients"))</f>
        <v>0</v>
      </c>
      <c r="N964" s="25">
        <f>IF(OR(J964="",M964="",NOT(ISNUMBER(M964))),"",IF(K964&lt;&gt;L964,"",J964*M964))</f>
        <v>0</v>
      </c>
      <c r="O964" s="25">
        <f>IF(N964="","",IFERROR(N964/INDEX(Recipes!$G$5:$G$204,MATCH(B964,Recipes!$A$5:$A$204,0)),""))</f>
        <v>0</v>
      </c>
      <c r="P964" s="30">
        <f>IF(J964="","",IF(K964="each",J964,J964/100))</f>
        <v>0</v>
      </c>
      <c r="Q964" s="30">
        <f>IFERROR(IF(P964="","",P964*INDEX(Ingredients!$P$5:$P$304,MATCH(D964,Ingredients!$B$5:$B$304,0))),"")</f>
        <v>0</v>
      </c>
      <c r="R964" s="45">
        <f>IFERROR(IF(P964="","",P964*INDEX(Ingredients!$Q$5:$Q$304,MATCH(D964,Ingredients!$B$5:$B$304,0))),"")</f>
        <v>0</v>
      </c>
      <c r="S964" s="45">
        <f>IFERROR(IF(P964="","",P964*INDEX(Ingredients!$R$5:$R$304,MATCH(D964,Ingredients!$B$5:$B$304,0))),"")</f>
        <v>0</v>
      </c>
      <c r="T964" s="45">
        <f>IFERROR(IF(P964="","",P964*INDEX(Ingredients!$S$5:$S$304,MATCH(D964,Ingredients!$B$5:$B$304,0))),"")</f>
        <v>0</v>
      </c>
      <c r="U964" s="45">
        <f>IFERROR(IF(P964="","",P964*INDEX(Ingredients!$T$5:$T$304,MATCH(D964,Ingredients!$B$5:$B$304,0))),"")</f>
        <v>0</v>
      </c>
      <c r="V964" s="17">
        <f>IF(D964="","",IFERROR(INDEX(Ingredients!$W$5:$W$304,MATCH(D964,Ingredients!$B$5:$B$304,0)),"Add to Ingredients"))</f>
        <v>0</v>
      </c>
      <c r="W964" s="17">
        <f>IF(D964="","",IFERROR(INDEX(Ingredients!$C$5:$C$304,MATCH(D964,Ingredients!$B$5:$B$304,0)),"Add to Ingredients"))</f>
        <v>0</v>
      </c>
      <c r="X964" s="45">
        <f>IFERROR(INDEX(Recipes!$AT$5:$AT$204,MATCH(B964,Recipes!$A$5:$A$204,0)),0)</f>
        <v>0</v>
      </c>
      <c r="Y964" s="45">
        <f>IF(OR(J964="",X964=0),"",J964*X964)</f>
        <v>0</v>
      </c>
      <c r="Z964" s="17">
        <f>IF(D964="","",B964&amp;"#"&amp;COUNTIFS($B$5:B964,B964))</f>
        <v>0</v>
      </c>
      <c r="AA964" s="17">
        <f>IF(D964="","",B964&amp;"|"&amp;D964)</f>
        <v>0</v>
      </c>
      <c r="AB964" s="31">
        <f>IF(D964="","",IF(B964="","Add - which recipe?",IF(COUNTIFS(Ingredients!$B$5:$B$304,D964)=0,"Missing - not in the Ingredients tab",IF(E964="","Add - no quantity",IF(F964="","Add - no unit",IF(K964&lt;&gt;L964,"Check - recipe in "&amp;K964&amp;", priced in "&amp;L964,IF(COUNTIFS($AA$5:$AA$1204,AA964)&gt;1,"Duplicate - same ingredient twice","OK")))))))</f>
        <v>0</v>
      </c>
    </row>
    <row r="965" spans="1:28">
      <c r="A965" s="39">
        <f>IF(D965="","","RL-"&amp;TEXT(ROW()-4,"0000"))</f>
        <v>0</v>
      </c>
      <c r="C965" s="17">
        <f>IF(B965="","",IFERROR(INDEX(Recipes!$B$5:$B$204,MATCH(B965,Recipes!$A$5:$A$204,0)),"Not found"))</f>
        <v>0</v>
      </c>
      <c r="J965" s="45">
        <f>IF(E965="","",IFERROR(E965*INDEX(UnitFactors,MATCH(F965,UnitNames,0)),""))</f>
        <v>0</v>
      </c>
      <c r="K965" s="17">
        <f>IF(F965="","",IFERROR(INDEX(UnitBases,MATCH(F965,UnitNames,0)),"?"))</f>
        <v>0</v>
      </c>
      <c r="L965" s="17">
        <f>IF(D965="","",IFERROR(INDEX(Ingredients!$G$5:$G$304,MATCH(D965,Ingredients!$B$5:$B$304,0)),"Add to Ingredients"))</f>
        <v>0</v>
      </c>
      <c r="M965" s="25">
        <f>IF(D965="","",IFERROR(INDEX(Ingredients!$J$5:$J$304,MATCH(D965,Ingredients!$B$5:$B$304,0)),"Add to Ingredients"))</f>
        <v>0</v>
      </c>
      <c r="N965" s="25">
        <f>IF(OR(J965="",M965="",NOT(ISNUMBER(M965))),"",IF(K965&lt;&gt;L965,"",J965*M965))</f>
        <v>0</v>
      </c>
      <c r="O965" s="25">
        <f>IF(N965="","",IFERROR(N965/INDEX(Recipes!$G$5:$G$204,MATCH(B965,Recipes!$A$5:$A$204,0)),""))</f>
        <v>0</v>
      </c>
      <c r="P965" s="30">
        <f>IF(J965="","",IF(K965="each",J965,J965/100))</f>
        <v>0</v>
      </c>
      <c r="Q965" s="30">
        <f>IFERROR(IF(P965="","",P965*INDEX(Ingredients!$P$5:$P$304,MATCH(D965,Ingredients!$B$5:$B$304,0))),"")</f>
        <v>0</v>
      </c>
      <c r="R965" s="45">
        <f>IFERROR(IF(P965="","",P965*INDEX(Ingredients!$Q$5:$Q$304,MATCH(D965,Ingredients!$B$5:$B$304,0))),"")</f>
        <v>0</v>
      </c>
      <c r="S965" s="45">
        <f>IFERROR(IF(P965="","",P965*INDEX(Ingredients!$R$5:$R$304,MATCH(D965,Ingredients!$B$5:$B$304,0))),"")</f>
        <v>0</v>
      </c>
      <c r="T965" s="45">
        <f>IFERROR(IF(P965="","",P965*INDEX(Ingredients!$S$5:$S$304,MATCH(D965,Ingredients!$B$5:$B$304,0))),"")</f>
        <v>0</v>
      </c>
      <c r="U965" s="45">
        <f>IFERROR(IF(P965="","",P965*INDEX(Ingredients!$T$5:$T$304,MATCH(D965,Ingredients!$B$5:$B$304,0))),"")</f>
        <v>0</v>
      </c>
      <c r="V965" s="17">
        <f>IF(D965="","",IFERROR(INDEX(Ingredients!$W$5:$W$304,MATCH(D965,Ingredients!$B$5:$B$304,0)),"Add to Ingredients"))</f>
        <v>0</v>
      </c>
      <c r="W965" s="17">
        <f>IF(D965="","",IFERROR(INDEX(Ingredients!$C$5:$C$304,MATCH(D965,Ingredients!$B$5:$B$304,0)),"Add to Ingredients"))</f>
        <v>0</v>
      </c>
      <c r="X965" s="45">
        <f>IFERROR(INDEX(Recipes!$AT$5:$AT$204,MATCH(B965,Recipes!$A$5:$A$204,0)),0)</f>
        <v>0</v>
      </c>
      <c r="Y965" s="45">
        <f>IF(OR(J965="",X965=0),"",J965*X965)</f>
        <v>0</v>
      </c>
      <c r="Z965" s="17">
        <f>IF(D965="","",B965&amp;"#"&amp;COUNTIFS($B$5:B965,B965))</f>
        <v>0</v>
      </c>
      <c r="AA965" s="17">
        <f>IF(D965="","",B965&amp;"|"&amp;D965)</f>
        <v>0</v>
      </c>
      <c r="AB965" s="31">
        <f>IF(D965="","",IF(B965="","Add - which recipe?",IF(COUNTIFS(Ingredients!$B$5:$B$304,D965)=0,"Missing - not in the Ingredients tab",IF(E965="","Add - no quantity",IF(F965="","Add - no unit",IF(K965&lt;&gt;L965,"Check - recipe in "&amp;K965&amp;", priced in "&amp;L965,IF(COUNTIFS($AA$5:$AA$1204,AA965)&gt;1,"Duplicate - same ingredient twice","OK")))))))</f>
        <v>0</v>
      </c>
    </row>
    <row r="966" spans="1:28">
      <c r="A966" s="39">
        <f>IF(D966="","","RL-"&amp;TEXT(ROW()-4,"0000"))</f>
        <v>0</v>
      </c>
      <c r="C966" s="17">
        <f>IF(B966="","",IFERROR(INDEX(Recipes!$B$5:$B$204,MATCH(B966,Recipes!$A$5:$A$204,0)),"Not found"))</f>
        <v>0</v>
      </c>
      <c r="J966" s="45">
        <f>IF(E966="","",IFERROR(E966*INDEX(UnitFactors,MATCH(F966,UnitNames,0)),""))</f>
        <v>0</v>
      </c>
      <c r="K966" s="17">
        <f>IF(F966="","",IFERROR(INDEX(UnitBases,MATCH(F966,UnitNames,0)),"?"))</f>
        <v>0</v>
      </c>
      <c r="L966" s="17">
        <f>IF(D966="","",IFERROR(INDEX(Ingredients!$G$5:$G$304,MATCH(D966,Ingredients!$B$5:$B$304,0)),"Add to Ingredients"))</f>
        <v>0</v>
      </c>
      <c r="M966" s="25">
        <f>IF(D966="","",IFERROR(INDEX(Ingredients!$J$5:$J$304,MATCH(D966,Ingredients!$B$5:$B$304,0)),"Add to Ingredients"))</f>
        <v>0</v>
      </c>
      <c r="N966" s="25">
        <f>IF(OR(J966="",M966="",NOT(ISNUMBER(M966))),"",IF(K966&lt;&gt;L966,"",J966*M966))</f>
        <v>0</v>
      </c>
      <c r="O966" s="25">
        <f>IF(N966="","",IFERROR(N966/INDEX(Recipes!$G$5:$G$204,MATCH(B966,Recipes!$A$5:$A$204,0)),""))</f>
        <v>0</v>
      </c>
      <c r="P966" s="30">
        <f>IF(J966="","",IF(K966="each",J966,J966/100))</f>
        <v>0</v>
      </c>
      <c r="Q966" s="30">
        <f>IFERROR(IF(P966="","",P966*INDEX(Ingredients!$P$5:$P$304,MATCH(D966,Ingredients!$B$5:$B$304,0))),"")</f>
        <v>0</v>
      </c>
      <c r="R966" s="45">
        <f>IFERROR(IF(P966="","",P966*INDEX(Ingredients!$Q$5:$Q$304,MATCH(D966,Ingredients!$B$5:$B$304,0))),"")</f>
        <v>0</v>
      </c>
      <c r="S966" s="45">
        <f>IFERROR(IF(P966="","",P966*INDEX(Ingredients!$R$5:$R$304,MATCH(D966,Ingredients!$B$5:$B$304,0))),"")</f>
        <v>0</v>
      </c>
      <c r="T966" s="45">
        <f>IFERROR(IF(P966="","",P966*INDEX(Ingredients!$S$5:$S$304,MATCH(D966,Ingredients!$B$5:$B$304,0))),"")</f>
        <v>0</v>
      </c>
      <c r="U966" s="45">
        <f>IFERROR(IF(P966="","",P966*INDEX(Ingredients!$T$5:$T$304,MATCH(D966,Ingredients!$B$5:$B$304,0))),"")</f>
        <v>0</v>
      </c>
      <c r="V966" s="17">
        <f>IF(D966="","",IFERROR(INDEX(Ingredients!$W$5:$W$304,MATCH(D966,Ingredients!$B$5:$B$304,0)),"Add to Ingredients"))</f>
        <v>0</v>
      </c>
      <c r="W966" s="17">
        <f>IF(D966="","",IFERROR(INDEX(Ingredients!$C$5:$C$304,MATCH(D966,Ingredients!$B$5:$B$304,0)),"Add to Ingredients"))</f>
        <v>0</v>
      </c>
      <c r="X966" s="45">
        <f>IFERROR(INDEX(Recipes!$AT$5:$AT$204,MATCH(B966,Recipes!$A$5:$A$204,0)),0)</f>
        <v>0</v>
      </c>
      <c r="Y966" s="45">
        <f>IF(OR(J966="",X966=0),"",J966*X966)</f>
        <v>0</v>
      </c>
      <c r="Z966" s="17">
        <f>IF(D966="","",B966&amp;"#"&amp;COUNTIFS($B$5:B966,B966))</f>
        <v>0</v>
      </c>
      <c r="AA966" s="17">
        <f>IF(D966="","",B966&amp;"|"&amp;D966)</f>
        <v>0</v>
      </c>
      <c r="AB966" s="31">
        <f>IF(D966="","",IF(B966="","Add - which recipe?",IF(COUNTIFS(Ingredients!$B$5:$B$304,D966)=0,"Missing - not in the Ingredients tab",IF(E966="","Add - no quantity",IF(F966="","Add - no unit",IF(K966&lt;&gt;L966,"Check - recipe in "&amp;K966&amp;", priced in "&amp;L966,IF(COUNTIFS($AA$5:$AA$1204,AA966)&gt;1,"Duplicate - same ingredient twice","OK")))))))</f>
        <v>0</v>
      </c>
    </row>
    <row r="967" spans="1:28">
      <c r="A967" s="39">
        <f>IF(D967="","","RL-"&amp;TEXT(ROW()-4,"0000"))</f>
        <v>0</v>
      </c>
      <c r="C967" s="17">
        <f>IF(B967="","",IFERROR(INDEX(Recipes!$B$5:$B$204,MATCH(B967,Recipes!$A$5:$A$204,0)),"Not found"))</f>
        <v>0</v>
      </c>
      <c r="J967" s="45">
        <f>IF(E967="","",IFERROR(E967*INDEX(UnitFactors,MATCH(F967,UnitNames,0)),""))</f>
        <v>0</v>
      </c>
      <c r="K967" s="17">
        <f>IF(F967="","",IFERROR(INDEX(UnitBases,MATCH(F967,UnitNames,0)),"?"))</f>
        <v>0</v>
      </c>
      <c r="L967" s="17">
        <f>IF(D967="","",IFERROR(INDEX(Ingredients!$G$5:$G$304,MATCH(D967,Ingredients!$B$5:$B$304,0)),"Add to Ingredients"))</f>
        <v>0</v>
      </c>
      <c r="M967" s="25">
        <f>IF(D967="","",IFERROR(INDEX(Ingredients!$J$5:$J$304,MATCH(D967,Ingredients!$B$5:$B$304,0)),"Add to Ingredients"))</f>
        <v>0</v>
      </c>
      <c r="N967" s="25">
        <f>IF(OR(J967="",M967="",NOT(ISNUMBER(M967))),"",IF(K967&lt;&gt;L967,"",J967*M967))</f>
        <v>0</v>
      </c>
      <c r="O967" s="25">
        <f>IF(N967="","",IFERROR(N967/INDEX(Recipes!$G$5:$G$204,MATCH(B967,Recipes!$A$5:$A$204,0)),""))</f>
        <v>0</v>
      </c>
      <c r="P967" s="30">
        <f>IF(J967="","",IF(K967="each",J967,J967/100))</f>
        <v>0</v>
      </c>
      <c r="Q967" s="30">
        <f>IFERROR(IF(P967="","",P967*INDEX(Ingredients!$P$5:$P$304,MATCH(D967,Ingredients!$B$5:$B$304,0))),"")</f>
        <v>0</v>
      </c>
      <c r="R967" s="45">
        <f>IFERROR(IF(P967="","",P967*INDEX(Ingredients!$Q$5:$Q$304,MATCH(D967,Ingredients!$B$5:$B$304,0))),"")</f>
        <v>0</v>
      </c>
      <c r="S967" s="45">
        <f>IFERROR(IF(P967="","",P967*INDEX(Ingredients!$R$5:$R$304,MATCH(D967,Ingredients!$B$5:$B$304,0))),"")</f>
        <v>0</v>
      </c>
      <c r="T967" s="45">
        <f>IFERROR(IF(P967="","",P967*INDEX(Ingredients!$S$5:$S$304,MATCH(D967,Ingredients!$B$5:$B$304,0))),"")</f>
        <v>0</v>
      </c>
      <c r="U967" s="45">
        <f>IFERROR(IF(P967="","",P967*INDEX(Ingredients!$T$5:$T$304,MATCH(D967,Ingredients!$B$5:$B$304,0))),"")</f>
        <v>0</v>
      </c>
      <c r="V967" s="17">
        <f>IF(D967="","",IFERROR(INDEX(Ingredients!$W$5:$W$304,MATCH(D967,Ingredients!$B$5:$B$304,0)),"Add to Ingredients"))</f>
        <v>0</v>
      </c>
      <c r="W967" s="17">
        <f>IF(D967="","",IFERROR(INDEX(Ingredients!$C$5:$C$304,MATCH(D967,Ingredients!$B$5:$B$304,0)),"Add to Ingredients"))</f>
        <v>0</v>
      </c>
      <c r="X967" s="45">
        <f>IFERROR(INDEX(Recipes!$AT$5:$AT$204,MATCH(B967,Recipes!$A$5:$A$204,0)),0)</f>
        <v>0</v>
      </c>
      <c r="Y967" s="45">
        <f>IF(OR(J967="",X967=0),"",J967*X967)</f>
        <v>0</v>
      </c>
      <c r="Z967" s="17">
        <f>IF(D967="","",B967&amp;"#"&amp;COUNTIFS($B$5:B967,B967))</f>
        <v>0</v>
      </c>
      <c r="AA967" s="17">
        <f>IF(D967="","",B967&amp;"|"&amp;D967)</f>
        <v>0</v>
      </c>
      <c r="AB967" s="31">
        <f>IF(D967="","",IF(B967="","Add - which recipe?",IF(COUNTIFS(Ingredients!$B$5:$B$304,D967)=0,"Missing - not in the Ingredients tab",IF(E967="","Add - no quantity",IF(F967="","Add - no unit",IF(K967&lt;&gt;L967,"Check - recipe in "&amp;K967&amp;", priced in "&amp;L967,IF(COUNTIFS($AA$5:$AA$1204,AA967)&gt;1,"Duplicate - same ingredient twice","OK")))))))</f>
        <v>0</v>
      </c>
    </row>
    <row r="968" spans="1:28">
      <c r="A968" s="39">
        <f>IF(D968="","","RL-"&amp;TEXT(ROW()-4,"0000"))</f>
        <v>0</v>
      </c>
      <c r="C968" s="17">
        <f>IF(B968="","",IFERROR(INDEX(Recipes!$B$5:$B$204,MATCH(B968,Recipes!$A$5:$A$204,0)),"Not found"))</f>
        <v>0</v>
      </c>
      <c r="J968" s="45">
        <f>IF(E968="","",IFERROR(E968*INDEX(UnitFactors,MATCH(F968,UnitNames,0)),""))</f>
        <v>0</v>
      </c>
      <c r="K968" s="17">
        <f>IF(F968="","",IFERROR(INDEX(UnitBases,MATCH(F968,UnitNames,0)),"?"))</f>
        <v>0</v>
      </c>
      <c r="L968" s="17">
        <f>IF(D968="","",IFERROR(INDEX(Ingredients!$G$5:$G$304,MATCH(D968,Ingredients!$B$5:$B$304,0)),"Add to Ingredients"))</f>
        <v>0</v>
      </c>
      <c r="M968" s="25">
        <f>IF(D968="","",IFERROR(INDEX(Ingredients!$J$5:$J$304,MATCH(D968,Ingredients!$B$5:$B$304,0)),"Add to Ingredients"))</f>
        <v>0</v>
      </c>
      <c r="N968" s="25">
        <f>IF(OR(J968="",M968="",NOT(ISNUMBER(M968))),"",IF(K968&lt;&gt;L968,"",J968*M968))</f>
        <v>0</v>
      </c>
      <c r="O968" s="25">
        <f>IF(N968="","",IFERROR(N968/INDEX(Recipes!$G$5:$G$204,MATCH(B968,Recipes!$A$5:$A$204,0)),""))</f>
        <v>0</v>
      </c>
      <c r="P968" s="30">
        <f>IF(J968="","",IF(K968="each",J968,J968/100))</f>
        <v>0</v>
      </c>
      <c r="Q968" s="30">
        <f>IFERROR(IF(P968="","",P968*INDEX(Ingredients!$P$5:$P$304,MATCH(D968,Ingredients!$B$5:$B$304,0))),"")</f>
        <v>0</v>
      </c>
      <c r="R968" s="45">
        <f>IFERROR(IF(P968="","",P968*INDEX(Ingredients!$Q$5:$Q$304,MATCH(D968,Ingredients!$B$5:$B$304,0))),"")</f>
        <v>0</v>
      </c>
      <c r="S968" s="45">
        <f>IFERROR(IF(P968="","",P968*INDEX(Ingredients!$R$5:$R$304,MATCH(D968,Ingredients!$B$5:$B$304,0))),"")</f>
        <v>0</v>
      </c>
      <c r="T968" s="45">
        <f>IFERROR(IF(P968="","",P968*INDEX(Ingredients!$S$5:$S$304,MATCH(D968,Ingredients!$B$5:$B$304,0))),"")</f>
        <v>0</v>
      </c>
      <c r="U968" s="45">
        <f>IFERROR(IF(P968="","",P968*INDEX(Ingredients!$T$5:$T$304,MATCH(D968,Ingredients!$B$5:$B$304,0))),"")</f>
        <v>0</v>
      </c>
      <c r="V968" s="17">
        <f>IF(D968="","",IFERROR(INDEX(Ingredients!$W$5:$W$304,MATCH(D968,Ingredients!$B$5:$B$304,0)),"Add to Ingredients"))</f>
        <v>0</v>
      </c>
      <c r="W968" s="17">
        <f>IF(D968="","",IFERROR(INDEX(Ingredients!$C$5:$C$304,MATCH(D968,Ingredients!$B$5:$B$304,0)),"Add to Ingredients"))</f>
        <v>0</v>
      </c>
      <c r="X968" s="45">
        <f>IFERROR(INDEX(Recipes!$AT$5:$AT$204,MATCH(B968,Recipes!$A$5:$A$204,0)),0)</f>
        <v>0</v>
      </c>
      <c r="Y968" s="45">
        <f>IF(OR(J968="",X968=0),"",J968*X968)</f>
        <v>0</v>
      </c>
      <c r="Z968" s="17">
        <f>IF(D968="","",B968&amp;"#"&amp;COUNTIFS($B$5:B968,B968))</f>
        <v>0</v>
      </c>
      <c r="AA968" s="17">
        <f>IF(D968="","",B968&amp;"|"&amp;D968)</f>
        <v>0</v>
      </c>
      <c r="AB968" s="31">
        <f>IF(D968="","",IF(B968="","Add - which recipe?",IF(COUNTIFS(Ingredients!$B$5:$B$304,D968)=0,"Missing - not in the Ingredients tab",IF(E968="","Add - no quantity",IF(F968="","Add - no unit",IF(K968&lt;&gt;L968,"Check - recipe in "&amp;K968&amp;", priced in "&amp;L968,IF(COUNTIFS($AA$5:$AA$1204,AA968)&gt;1,"Duplicate - same ingredient twice","OK")))))))</f>
        <v>0</v>
      </c>
    </row>
    <row r="969" spans="1:28">
      <c r="A969" s="39">
        <f>IF(D969="","","RL-"&amp;TEXT(ROW()-4,"0000"))</f>
        <v>0</v>
      </c>
      <c r="C969" s="17">
        <f>IF(B969="","",IFERROR(INDEX(Recipes!$B$5:$B$204,MATCH(B969,Recipes!$A$5:$A$204,0)),"Not found"))</f>
        <v>0</v>
      </c>
      <c r="J969" s="45">
        <f>IF(E969="","",IFERROR(E969*INDEX(UnitFactors,MATCH(F969,UnitNames,0)),""))</f>
        <v>0</v>
      </c>
      <c r="K969" s="17">
        <f>IF(F969="","",IFERROR(INDEX(UnitBases,MATCH(F969,UnitNames,0)),"?"))</f>
        <v>0</v>
      </c>
      <c r="L969" s="17">
        <f>IF(D969="","",IFERROR(INDEX(Ingredients!$G$5:$G$304,MATCH(D969,Ingredients!$B$5:$B$304,0)),"Add to Ingredients"))</f>
        <v>0</v>
      </c>
      <c r="M969" s="25">
        <f>IF(D969="","",IFERROR(INDEX(Ingredients!$J$5:$J$304,MATCH(D969,Ingredients!$B$5:$B$304,0)),"Add to Ingredients"))</f>
        <v>0</v>
      </c>
      <c r="N969" s="25">
        <f>IF(OR(J969="",M969="",NOT(ISNUMBER(M969))),"",IF(K969&lt;&gt;L969,"",J969*M969))</f>
        <v>0</v>
      </c>
      <c r="O969" s="25">
        <f>IF(N969="","",IFERROR(N969/INDEX(Recipes!$G$5:$G$204,MATCH(B969,Recipes!$A$5:$A$204,0)),""))</f>
        <v>0</v>
      </c>
      <c r="P969" s="30">
        <f>IF(J969="","",IF(K969="each",J969,J969/100))</f>
        <v>0</v>
      </c>
      <c r="Q969" s="30">
        <f>IFERROR(IF(P969="","",P969*INDEX(Ingredients!$P$5:$P$304,MATCH(D969,Ingredients!$B$5:$B$304,0))),"")</f>
        <v>0</v>
      </c>
      <c r="R969" s="45">
        <f>IFERROR(IF(P969="","",P969*INDEX(Ingredients!$Q$5:$Q$304,MATCH(D969,Ingredients!$B$5:$B$304,0))),"")</f>
        <v>0</v>
      </c>
      <c r="S969" s="45">
        <f>IFERROR(IF(P969="","",P969*INDEX(Ingredients!$R$5:$R$304,MATCH(D969,Ingredients!$B$5:$B$304,0))),"")</f>
        <v>0</v>
      </c>
      <c r="T969" s="45">
        <f>IFERROR(IF(P969="","",P969*INDEX(Ingredients!$S$5:$S$304,MATCH(D969,Ingredients!$B$5:$B$304,0))),"")</f>
        <v>0</v>
      </c>
      <c r="U969" s="45">
        <f>IFERROR(IF(P969="","",P969*INDEX(Ingredients!$T$5:$T$304,MATCH(D969,Ingredients!$B$5:$B$304,0))),"")</f>
        <v>0</v>
      </c>
      <c r="V969" s="17">
        <f>IF(D969="","",IFERROR(INDEX(Ingredients!$W$5:$W$304,MATCH(D969,Ingredients!$B$5:$B$304,0)),"Add to Ingredients"))</f>
        <v>0</v>
      </c>
      <c r="W969" s="17">
        <f>IF(D969="","",IFERROR(INDEX(Ingredients!$C$5:$C$304,MATCH(D969,Ingredients!$B$5:$B$304,0)),"Add to Ingredients"))</f>
        <v>0</v>
      </c>
      <c r="X969" s="45">
        <f>IFERROR(INDEX(Recipes!$AT$5:$AT$204,MATCH(B969,Recipes!$A$5:$A$204,0)),0)</f>
        <v>0</v>
      </c>
      <c r="Y969" s="45">
        <f>IF(OR(J969="",X969=0),"",J969*X969)</f>
        <v>0</v>
      </c>
      <c r="Z969" s="17">
        <f>IF(D969="","",B969&amp;"#"&amp;COUNTIFS($B$5:B969,B969))</f>
        <v>0</v>
      </c>
      <c r="AA969" s="17">
        <f>IF(D969="","",B969&amp;"|"&amp;D969)</f>
        <v>0</v>
      </c>
      <c r="AB969" s="31">
        <f>IF(D969="","",IF(B969="","Add - which recipe?",IF(COUNTIFS(Ingredients!$B$5:$B$304,D969)=0,"Missing - not in the Ingredients tab",IF(E969="","Add - no quantity",IF(F969="","Add - no unit",IF(K969&lt;&gt;L969,"Check - recipe in "&amp;K969&amp;", priced in "&amp;L969,IF(COUNTIFS($AA$5:$AA$1204,AA969)&gt;1,"Duplicate - same ingredient twice","OK")))))))</f>
        <v>0</v>
      </c>
    </row>
    <row r="970" spans="1:28">
      <c r="A970" s="39">
        <f>IF(D970="","","RL-"&amp;TEXT(ROW()-4,"0000"))</f>
        <v>0</v>
      </c>
      <c r="C970" s="17">
        <f>IF(B970="","",IFERROR(INDEX(Recipes!$B$5:$B$204,MATCH(B970,Recipes!$A$5:$A$204,0)),"Not found"))</f>
        <v>0</v>
      </c>
      <c r="J970" s="45">
        <f>IF(E970="","",IFERROR(E970*INDEX(UnitFactors,MATCH(F970,UnitNames,0)),""))</f>
        <v>0</v>
      </c>
      <c r="K970" s="17">
        <f>IF(F970="","",IFERROR(INDEX(UnitBases,MATCH(F970,UnitNames,0)),"?"))</f>
        <v>0</v>
      </c>
      <c r="L970" s="17">
        <f>IF(D970="","",IFERROR(INDEX(Ingredients!$G$5:$G$304,MATCH(D970,Ingredients!$B$5:$B$304,0)),"Add to Ingredients"))</f>
        <v>0</v>
      </c>
      <c r="M970" s="25">
        <f>IF(D970="","",IFERROR(INDEX(Ingredients!$J$5:$J$304,MATCH(D970,Ingredients!$B$5:$B$304,0)),"Add to Ingredients"))</f>
        <v>0</v>
      </c>
      <c r="N970" s="25">
        <f>IF(OR(J970="",M970="",NOT(ISNUMBER(M970))),"",IF(K970&lt;&gt;L970,"",J970*M970))</f>
        <v>0</v>
      </c>
      <c r="O970" s="25">
        <f>IF(N970="","",IFERROR(N970/INDEX(Recipes!$G$5:$G$204,MATCH(B970,Recipes!$A$5:$A$204,0)),""))</f>
        <v>0</v>
      </c>
      <c r="P970" s="30">
        <f>IF(J970="","",IF(K970="each",J970,J970/100))</f>
        <v>0</v>
      </c>
      <c r="Q970" s="30">
        <f>IFERROR(IF(P970="","",P970*INDEX(Ingredients!$P$5:$P$304,MATCH(D970,Ingredients!$B$5:$B$304,0))),"")</f>
        <v>0</v>
      </c>
      <c r="R970" s="45">
        <f>IFERROR(IF(P970="","",P970*INDEX(Ingredients!$Q$5:$Q$304,MATCH(D970,Ingredients!$B$5:$B$304,0))),"")</f>
        <v>0</v>
      </c>
      <c r="S970" s="45">
        <f>IFERROR(IF(P970="","",P970*INDEX(Ingredients!$R$5:$R$304,MATCH(D970,Ingredients!$B$5:$B$304,0))),"")</f>
        <v>0</v>
      </c>
      <c r="T970" s="45">
        <f>IFERROR(IF(P970="","",P970*INDEX(Ingredients!$S$5:$S$304,MATCH(D970,Ingredients!$B$5:$B$304,0))),"")</f>
        <v>0</v>
      </c>
      <c r="U970" s="45">
        <f>IFERROR(IF(P970="","",P970*INDEX(Ingredients!$T$5:$T$304,MATCH(D970,Ingredients!$B$5:$B$304,0))),"")</f>
        <v>0</v>
      </c>
      <c r="V970" s="17">
        <f>IF(D970="","",IFERROR(INDEX(Ingredients!$W$5:$W$304,MATCH(D970,Ingredients!$B$5:$B$304,0)),"Add to Ingredients"))</f>
        <v>0</v>
      </c>
      <c r="W970" s="17">
        <f>IF(D970="","",IFERROR(INDEX(Ingredients!$C$5:$C$304,MATCH(D970,Ingredients!$B$5:$B$304,0)),"Add to Ingredients"))</f>
        <v>0</v>
      </c>
      <c r="X970" s="45">
        <f>IFERROR(INDEX(Recipes!$AT$5:$AT$204,MATCH(B970,Recipes!$A$5:$A$204,0)),0)</f>
        <v>0</v>
      </c>
      <c r="Y970" s="45">
        <f>IF(OR(J970="",X970=0),"",J970*X970)</f>
        <v>0</v>
      </c>
      <c r="Z970" s="17">
        <f>IF(D970="","",B970&amp;"#"&amp;COUNTIFS($B$5:B970,B970))</f>
        <v>0</v>
      </c>
      <c r="AA970" s="17">
        <f>IF(D970="","",B970&amp;"|"&amp;D970)</f>
        <v>0</v>
      </c>
      <c r="AB970" s="31">
        <f>IF(D970="","",IF(B970="","Add - which recipe?",IF(COUNTIFS(Ingredients!$B$5:$B$304,D970)=0,"Missing - not in the Ingredients tab",IF(E970="","Add - no quantity",IF(F970="","Add - no unit",IF(K970&lt;&gt;L970,"Check - recipe in "&amp;K970&amp;", priced in "&amp;L970,IF(COUNTIFS($AA$5:$AA$1204,AA970)&gt;1,"Duplicate - same ingredient twice","OK")))))))</f>
        <v>0</v>
      </c>
    </row>
    <row r="971" spans="1:28">
      <c r="A971" s="39">
        <f>IF(D971="","","RL-"&amp;TEXT(ROW()-4,"0000"))</f>
        <v>0</v>
      </c>
      <c r="C971" s="17">
        <f>IF(B971="","",IFERROR(INDEX(Recipes!$B$5:$B$204,MATCH(B971,Recipes!$A$5:$A$204,0)),"Not found"))</f>
        <v>0</v>
      </c>
      <c r="J971" s="45">
        <f>IF(E971="","",IFERROR(E971*INDEX(UnitFactors,MATCH(F971,UnitNames,0)),""))</f>
        <v>0</v>
      </c>
      <c r="K971" s="17">
        <f>IF(F971="","",IFERROR(INDEX(UnitBases,MATCH(F971,UnitNames,0)),"?"))</f>
        <v>0</v>
      </c>
      <c r="L971" s="17">
        <f>IF(D971="","",IFERROR(INDEX(Ingredients!$G$5:$G$304,MATCH(D971,Ingredients!$B$5:$B$304,0)),"Add to Ingredients"))</f>
        <v>0</v>
      </c>
      <c r="M971" s="25">
        <f>IF(D971="","",IFERROR(INDEX(Ingredients!$J$5:$J$304,MATCH(D971,Ingredients!$B$5:$B$304,0)),"Add to Ingredients"))</f>
        <v>0</v>
      </c>
      <c r="N971" s="25">
        <f>IF(OR(J971="",M971="",NOT(ISNUMBER(M971))),"",IF(K971&lt;&gt;L971,"",J971*M971))</f>
        <v>0</v>
      </c>
      <c r="O971" s="25">
        <f>IF(N971="","",IFERROR(N971/INDEX(Recipes!$G$5:$G$204,MATCH(B971,Recipes!$A$5:$A$204,0)),""))</f>
        <v>0</v>
      </c>
      <c r="P971" s="30">
        <f>IF(J971="","",IF(K971="each",J971,J971/100))</f>
        <v>0</v>
      </c>
      <c r="Q971" s="30">
        <f>IFERROR(IF(P971="","",P971*INDEX(Ingredients!$P$5:$P$304,MATCH(D971,Ingredients!$B$5:$B$304,0))),"")</f>
        <v>0</v>
      </c>
      <c r="R971" s="45">
        <f>IFERROR(IF(P971="","",P971*INDEX(Ingredients!$Q$5:$Q$304,MATCH(D971,Ingredients!$B$5:$B$304,0))),"")</f>
        <v>0</v>
      </c>
      <c r="S971" s="45">
        <f>IFERROR(IF(P971="","",P971*INDEX(Ingredients!$R$5:$R$304,MATCH(D971,Ingredients!$B$5:$B$304,0))),"")</f>
        <v>0</v>
      </c>
      <c r="T971" s="45">
        <f>IFERROR(IF(P971="","",P971*INDEX(Ingredients!$S$5:$S$304,MATCH(D971,Ingredients!$B$5:$B$304,0))),"")</f>
        <v>0</v>
      </c>
      <c r="U971" s="45">
        <f>IFERROR(IF(P971="","",P971*INDEX(Ingredients!$T$5:$T$304,MATCH(D971,Ingredients!$B$5:$B$304,0))),"")</f>
        <v>0</v>
      </c>
      <c r="V971" s="17">
        <f>IF(D971="","",IFERROR(INDEX(Ingredients!$W$5:$W$304,MATCH(D971,Ingredients!$B$5:$B$304,0)),"Add to Ingredients"))</f>
        <v>0</v>
      </c>
      <c r="W971" s="17">
        <f>IF(D971="","",IFERROR(INDEX(Ingredients!$C$5:$C$304,MATCH(D971,Ingredients!$B$5:$B$304,0)),"Add to Ingredients"))</f>
        <v>0</v>
      </c>
      <c r="X971" s="45">
        <f>IFERROR(INDEX(Recipes!$AT$5:$AT$204,MATCH(B971,Recipes!$A$5:$A$204,0)),0)</f>
        <v>0</v>
      </c>
      <c r="Y971" s="45">
        <f>IF(OR(J971="",X971=0),"",J971*X971)</f>
        <v>0</v>
      </c>
      <c r="Z971" s="17">
        <f>IF(D971="","",B971&amp;"#"&amp;COUNTIFS($B$5:B971,B971))</f>
        <v>0</v>
      </c>
      <c r="AA971" s="17">
        <f>IF(D971="","",B971&amp;"|"&amp;D971)</f>
        <v>0</v>
      </c>
      <c r="AB971" s="31">
        <f>IF(D971="","",IF(B971="","Add - which recipe?",IF(COUNTIFS(Ingredients!$B$5:$B$304,D971)=0,"Missing - not in the Ingredients tab",IF(E971="","Add - no quantity",IF(F971="","Add - no unit",IF(K971&lt;&gt;L971,"Check - recipe in "&amp;K971&amp;", priced in "&amp;L971,IF(COUNTIFS($AA$5:$AA$1204,AA971)&gt;1,"Duplicate - same ingredient twice","OK")))))))</f>
        <v>0</v>
      </c>
    </row>
    <row r="972" spans="1:28">
      <c r="A972" s="39">
        <f>IF(D972="","","RL-"&amp;TEXT(ROW()-4,"0000"))</f>
        <v>0</v>
      </c>
      <c r="C972" s="17">
        <f>IF(B972="","",IFERROR(INDEX(Recipes!$B$5:$B$204,MATCH(B972,Recipes!$A$5:$A$204,0)),"Not found"))</f>
        <v>0</v>
      </c>
      <c r="J972" s="45">
        <f>IF(E972="","",IFERROR(E972*INDEX(UnitFactors,MATCH(F972,UnitNames,0)),""))</f>
        <v>0</v>
      </c>
      <c r="K972" s="17">
        <f>IF(F972="","",IFERROR(INDEX(UnitBases,MATCH(F972,UnitNames,0)),"?"))</f>
        <v>0</v>
      </c>
      <c r="L972" s="17">
        <f>IF(D972="","",IFERROR(INDEX(Ingredients!$G$5:$G$304,MATCH(D972,Ingredients!$B$5:$B$304,0)),"Add to Ingredients"))</f>
        <v>0</v>
      </c>
      <c r="M972" s="25">
        <f>IF(D972="","",IFERROR(INDEX(Ingredients!$J$5:$J$304,MATCH(D972,Ingredients!$B$5:$B$304,0)),"Add to Ingredients"))</f>
        <v>0</v>
      </c>
      <c r="N972" s="25">
        <f>IF(OR(J972="",M972="",NOT(ISNUMBER(M972))),"",IF(K972&lt;&gt;L972,"",J972*M972))</f>
        <v>0</v>
      </c>
      <c r="O972" s="25">
        <f>IF(N972="","",IFERROR(N972/INDEX(Recipes!$G$5:$G$204,MATCH(B972,Recipes!$A$5:$A$204,0)),""))</f>
        <v>0</v>
      </c>
      <c r="P972" s="30">
        <f>IF(J972="","",IF(K972="each",J972,J972/100))</f>
        <v>0</v>
      </c>
      <c r="Q972" s="30">
        <f>IFERROR(IF(P972="","",P972*INDEX(Ingredients!$P$5:$P$304,MATCH(D972,Ingredients!$B$5:$B$304,0))),"")</f>
        <v>0</v>
      </c>
      <c r="R972" s="45">
        <f>IFERROR(IF(P972="","",P972*INDEX(Ingredients!$Q$5:$Q$304,MATCH(D972,Ingredients!$B$5:$B$304,0))),"")</f>
        <v>0</v>
      </c>
      <c r="S972" s="45">
        <f>IFERROR(IF(P972="","",P972*INDEX(Ingredients!$R$5:$R$304,MATCH(D972,Ingredients!$B$5:$B$304,0))),"")</f>
        <v>0</v>
      </c>
      <c r="T972" s="45">
        <f>IFERROR(IF(P972="","",P972*INDEX(Ingredients!$S$5:$S$304,MATCH(D972,Ingredients!$B$5:$B$304,0))),"")</f>
        <v>0</v>
      </c>
      <c r="U972" s="45">
        <f>IFERROR(IF(P972="","",P972*INDEX(Ingredients!$T$5:$T$304,MATCH(D972,Ingredients!$B$5:$B$304,0))),"")</f>
        <v>0</v>
      </c>
      <c r="V972" s="17">
        <f>IF(D972="","",IFERROR(INDEX(Ingredients!$W$5:$W$304,MATCH(D972,Ingredients!$B$5:$B$304,0)),"Add to Ingredients"))</f>
        <v>0</v>
      </c>
      <c r="W972" s="17">
        <f>IF(D972="","",IFERROR(INDEX(Ingredients!$C$5:$C$304,MATCH(D972,Ingredients!$B$5:$B$304,0)),"Add to Ingredients"))</f>
        <v>0</v>
      </c>
      <c r="X972" s="45">
        <f>IFERROR(INDEX(Recipes!$AT$5:$AT$204,MATCH(B972,Recipes!$A$5:$A$204,0)),0)</f>
        <v>0</v>
      </c>
      <c r="Y972" s="45">
        <f>IF(OR(J972="",X972=0),"",J972*X972)</f>
        <v>0</v>
      </c>
      <c r="Z972" s="17">
        <f>IF(D972="","",B972&amp;"#"&amp;COUNTIFS($B$5:B972,B972))</f>
        <v>0</v>
      </c>
      <c r="AA972" s="17">
        <f>IF(D972="","",B972&amp;"|"&amp;D972)</f>
        <v>0</v>
      </c>
      <c r="AB972" s="31">
        <f>IF(D972="","",IF(B972="","Add - which recipe?",IF(COUNTIFS(Ingredients!$B$5:$B$304,D972)=0,"Missing - not in the Ingredients tab",IF(E972="","Add - no quantity",IF(F972="","Add - no unit",IF(K972&lt;&gt;L972,"Check - recipe in "&amp;K972&amp;", priced in "&amp;L972,IF(COUNTIFS($AA$5:$AA$1204,AA972)&gt;1,"Duplicate - same ingredient twice","OK")))))))</f>
        <v>0</v>
      </c>
    </row>
    <row r="973" spans="1:28">
      <c r="A973" s="39">
        <f>IF(D973="","","RL-"&amp;TEXT(ROW()-4,"0000"))</f>
        <v>0</v>
      </c>
      <c r="C973" s="17">
        <f>IF(B973="","",IFERROR(INDEX(Recipes!$B$5:$B$204,MATCH(B973,Recipes!$A$5:$A$204,0)),"Not found"))</f>
        <v>0</v>
      </c>
      <c r="J973" s="45">
        <f>IF(E973="","",IFERROR(E973*INDEX(UnitFactors,MATCH(F973,UnitNames,0)),""))</f>
        <v>0</v>
      </c>
      <c r="K973" s="17">
        <f>IF(F973="","",IFERROR(INDEX(UnitBases,MATCH(F973,UnitNames,0)),"?"))</f>
        <v>0</v>
      </c>
      <c r="L973" s="17">
        <f>IF(D973="","",IFERROR(INDEX(Ingredients!$G$5:$G$304,MATCH(D973,Ingredients!$B$5:$B$304,0)),"Add to Ingredients"))</f>
        <v>0</v>
      </c>
      <c r="M973" s="25">
        <f>IF(D973="","",IFERROR(INDEX(Ingredients!$J$5:$J$304,MATCH(D973,Ingredients!$B$5:$B$304,0)),"Add to Ingredients"))</f>
        <v>0</v>
      </c>
      <c r="N973" s="25">
        <f>IF(OR(J973="",M973="",NOT(ISNUMBER(M973))),"",IF(K973&lt;&gt;L973,"",J973*M973))</f>
        <v>0</v>
      </c>
      <c r="O973" s="25">
        <f>IF(N973="","",IFERROR(N973/INDEX(Recipes!$G$5:$G$204,MATCH(B973,Recipes!$A$5:$A$204,0)),""))</f>
        <v>0</v>
      </c>
      <c r="P973" s="30">
        <f>IF(J973="","",IF(K973="each",J973,J973/100))</f>
        <v>0</v>
      </c>
      <c r="Q973" s="30">
        <f>IFERROR(IF(P973="","",P973*INDEX(Ingredients!$P$5:$P$304,MATCH(D973,Ingredients!$B$5:$B$304,0))),"")</f>
        <v>0</v>
      </c>
      <c r="R973" s="45">
        <f>IFERROR(IF(P973="","",P973*INDEX(Ingredients!$Q$5:$Q$304,MATCH(D973,Ingredients!$B$5:$B$304,0))),"")</f>
        <v>0</v>
      </c>
      <c r="S973" s="45">
        <f>IFERROR(IF(P973="","",P973*INDEX(Ingredients!$R$5:$R$304,MATCH(D973,Ingredients!$B$5:$B$304,0))),"")</f>
        <v>0</v>
      </c>
      <c r="T973" s="45">
        <f>IFERROR(IF(P973="","",P973*INDEX(Ingredients!$S$5:$S$304,MATCH(D973,Ingredients!$B$5:$B$304,0))),"")</f>
        <v>0</v>
      </c>
      <c r="U973" s="45">
        <f>IFERROR(IF(P973="","",P973*INDEX(Ingredients!$T$5:$T$304,MATCH(D973,Ingredients!$B$5:$B$304,0))),"")</f>
        <v>0</v>
      </c>
      <c r="V973" s="17">
        <f>IF(D973="","",IFERROR(INDEX(Ingredients!$W$5:$W$304,MATCH(D973,Ingredients!$B$5:$B$304,0)),"Add to Ingredients"))</f>
        <v>0</v>
      </c>
      <c r="W973" s="17">
        <f>IF(D973="","",IFERROR(INDEX(Ingredients!$C$5:$C$304,MATCH(D973,Ingredients!$B$5:$B$304,0)),"Add to Ingredients"))</f>
        <v>0</v>
      </c>
      <c r="X973" s="45">
        <f>IFERROR(INDEX(Recipes!$AT$5:$AT$204,MATCH(B973,Recipes!$A$5:$A$204,0)),0)</f>
        <v>0</v>
      </c>
      <c r="Y973" s="45">
        <f>IF(OR(J973="",X973=0),"",J973*X973)</f>
        <v>0</v>
      </c>
      <c r="Z973" s="17">
        <f>IF(D973="","",B973&amp;"#"&amp;COUNTIFS($B$5:B973,B973))</f>
        <v>0</v>
      </c>
      <c r="AA973" s="17">
        <f>IF(D973="","",B973&amp;"|"&amp;D973)</f>
        <v>0</v>
      </c>
      <c r="AB973" s="31">
        <f>IF(D973="","",IF(B973="","Add - which recipe?",IF(COUNTIFS(Ingredients!$B$5:$B$304,D973)=0,"Missing - not in the Ingredients tab",IF(E973="","Add - no quantity",IF(F973="","Add - no unit",IF(K973&lt;&gt;L973,"Check - recipe in "&amp;K973&amp;", priced in "&amp;L973,IF(COUNTIFS($AA$5:$AA$1204,AA973)&gt;1,"Duplicate - same ingredient twice","OK")))))))</f>
        <v>0</v>
      </c>
    </row>
    <row r="974" spans="1:28">
      <c r="A974" s="39">
        <f>IF(D974="","","RL-"&amp;TEXT(ROW()-4,"0000"))</f>
        <v>0</v>
      </c>
      <c r="C974" s="17">
        <f>IF(B974="","",IFERROR(INDEX(Recipes!$B$5:$B$204,MATCH(B974,Recipes!$A$5:$A$204,0)),"Not found"))</f>
        <v>0</v>
      </c>
      <c r="J974" s="45">
        <f>IF(E974="","",IFERROR(E974*INDEX(UnitFactors,MATCH(F974,UnitNames,0)),""))</f>
        <v>0</v>
      </c>
      <c r="K974" s="17">
        <f>IF(F974="","",IFERROR(INDEX(UnitBases,MATCH(F974,UnitNames,0)),"?"))</f>
        <v>0</v>
      </c>
      <c r="L974" s="17">
        <f>IF(D974="","",IFERROR(INDEX(Ingredients!$G$5:$G$304,MATCH(D974,Ingredients!$B$5:$B$304,0)),"Add to Ingredients"))</f>
        <v>0</v>
      </c>
      <c r="M974" s="25">
        <f>IF(D974="","",IFERROR(INDEX(Ingredients!$J$5:$J$304,MATCH(D974,Ingredients!$B$5:$B$304,0)),"Add to Ingredients"))</f>
        <v>0</v>
      </c>
      <c r="N974" s="25">
        <f>IF(OR(J974="",M974="",NOT(ISNUMBER(M974))),"",IF(K974&lt;&gt;L974,"",J974*M974))</f>
        <v>0</v>
      </c>
      <c r="O974" s="25">
        <f>IF(N974="","",IFERROR(N974/INDEX(Recipes!$G$5:$G$204,MATCH(B974,Recipes!$A$5:$A$204,0)),""))</f>
        <v>0</v>
      </c>
      <c r="P974" s="30">
        <f>IF(J974="","",IF(K974="each",J974,J974/100))</f>
        <v>0</v>
      </c>
      <c r="Q974" s="30">
        <f>IFERROR(IF(P974="","",P974*INDEX(Ingredients!$P$5:$P$304,MATCH(D974,Ingredients!$B$5:$B$304,0))),"")</f>
        <v>0</v>
      </c>
      <c r="R974" s="45">
        <f>IFERROR(IF(P974="","",P974*INDEX(Ingredients!$Q$5:$Q$304,MATCH(D974,Ingredients!$B$5:$B$304,0))),"")</f>
        <v>0</v>
      </c>
      <c r="S974" s="45">
        <f>IFERROR(IF(P974="","",P974*INDEX(Ingredients!$R$5:$R$304,MATCH(D974,Ingredients!$B$5:$B$304,0))),"")</f>
        <v>0</v>
      </c>
      <c r="T974" s="45">
        <f>IFERROR(IF(P974="","",P974*INDEX(Ingredients!$S$5:$S$304,MATCH(D974,Ingredients!$B$5:$B$304,0))),"")</f>
        <v>0</v>
      </c>
      <c r="U974" s="45">
        <f>IFERROR(IF(P974="","",P974*INDEX(Ingredients!$T$5:$T$304,MATCH(D974,Ingredients!$B$5:$B$304,0))),"")</f>
        <v>0</v>
      </c>
      <c r="V974" s="17">
        <f>IF(D974="","",IFERROR(INDEX(Ingredients!$W$5:$W$304,MATCH(D974,Ingredients!$B$5:$B$304,0)),"Add to Ingredients"))</f>
        <v>0</v>
      </c>
      <c r="W974" s="17">
        <f>IF(D974="","",IFERROR(INDEX(Ingredients!$C$5:$C$304,MATCH(D974,Ingredients!$B$5:$B$304,0)),"Add to Ingredients"))</f>
        <v>0</v>
      </c>
      <c r="X974" s="45">
        <f>IFERROR(INDEX(Recipes!$AT$5:$AT$204,MATCH(B974,Recipes!$A$5:$A$204,0)),0)</f>
        <v>0</v>
      </c>
      <c r="Y974" s="45">
        <f>IF(OR(J974="",X974=0),"",J974*X974)</f>
        <v>0</v>
      </c>
      <c r="Z974" s="17">
        <f>IF(D974="","",B974&amp;"#"&amp;COUNTIFS($B$5:B974,B974))</f>
        <v>0</v>
      </c>
      <c r="AA974" s="17">
        <f>IF(D974="","",B974&amp;"|"&amp;D974)</f>
        <v>0</v>
      </c>
      <c r="AB974" s="31">
        <f>IF(D974="","",IF(B974="","Add - which recipe?",IF(COUNTIFS(Ingredients!$B$5:$B$304,D974)=0,"Missing - not in the Ingredients tab",IF(E974="","Add - no quantity",IF(F974="","Add - no unit",IF(K974&lt;&gt;L974,"Check - recipe in "&amp;K974&amp;", priced in "&amp;L974,IF(COUNTIFS($AA$5:$AA$1204,AA974)&gt;1,"Duplicate - same ingredient twice","OK")))))))</f>
        <v>0</v>
      </c>
    </row>
    <row r="975" spans="1:28">
      <c r="A975" s="39">
        <f>IF(D975="","","RL-"&amp;TEXT(ROW()-4,"0000"))</f>
        <v>0</v>
      </c>
      <c r="C975" s="17">
        <f>IF(B975="","",IFERROR(INDEX(Recipes!$B$5:$B$204,MATCH(B975,Recipes!$A$5:$A$204,0)),"Not found"))</f>
        <v>0</v>
      </c>
      <c r="J975" s="45">
        <f>IF(E975="","",IFERROR(E975*INDEX(UnitFactors,MATCH(F975,UnitNames,0)),""))</f>
        <v>0</v>
      </c>
      <c r="K975" s="17">
        <f>IF(F975="","",IFERROR(INDEX(UnitBases,MATCH(F975,UnitNames,0)),"?"))</f>
        <v>0</v>
      </c>
      <c r="L975" s="17">
        <f>IF(D975="","",IFERROR(INDEX(Ingredients!$G$5:$G$304,MATCH(D975,Ingredients!$B$5:$B$304,0)),"Add to Ingredients"))</f>
        <v>0</v>
      </c>
      <c r="M975" s="25">
        <f>IF(D975="","",IFERROR(INDEX(Ingredients!$J$5:$J$304,MATCH(D975,Ingredients!$B$5:$B$304,0)),"Add to Ingredients"))</f>
        <v>0</v>
      </c>
      <c r="N975" s="25">
        <f>IF(OR(J975="",M975="",NOT(ISNUMBER(M975))),"",IF(K975&lt;&gt;L975,"",J975*M975))</f>
        <v>0</v>
      </c>
      <c r="O975" s="25">
        <f>IF(N975="","",IFERROR(N975/INDEX(Recipes!$G$5:$G$204,MATCH(B975,Recipes!$A$5:$A$204,0)),""))</f>
        <v>0</v>
      </c>
      <c r="P975" s="30">
        <f>IF(J975="","",IF(K975="each",J975,J975/100))</f>
        <v>0</v>
      </c>
      <c r="Q975" s="30">
        <f>IFERROR(IF(P975="","",P975*INDEX(Ingredients!$P$5:$P$304,MATCH(D975,Ingredients!$B$5:$B$304,0))),"")</f>
        <v>0</v>
      </c>
      <c r="R975" s="45">
        <f>IFERROR(IF(P975="","",P975*INDEX(Ingredients!$Q$5:$Q$304,MATCH(D975,Ingredients!$B$5:$B$304,0))),"")</f>
        <v>0</v>
      </c>
      <c r="S975" s="45">
        <f>IFERROR(IF(P975="","",P975*INDEX(Ingredients!$R$5:$R$304,MATCH(D975,Ingredients!$B$5:$B$304,0))),"")</f>
        <v>0</v>
      </c>
      <c r="T975" s="45">
        <f>IFERROR(IF(P975="","",P975*INDEX(Ingredients!$S$5:$S$304,MATCH(D975,Ingredients!$B$5:$B$304,0))),"")</f>
        <v>0</v>
      </c>
      <c r="U975" s="45">
        <f>IFERROR(IF(P975="","",P975*INDEX(Ingredients!$T$5:$T$304,MATCH(D975,Ingredients!$B$5:$B$304,0))),"")</f>
        <v>0</v>
      </c>
      <c r="V975" s="17">
        <f>IF(D975="","",IFERROR(INDEX(Ingredients!$W$5:$W$304,MATCH(D975,Ingredients!$B$5:$B$304,0)),"Add to Ingredients"))</f>
        <v>0</v>
      </c>
      <c r="W975" s="17">
        <f>IF(D975="","",IFERROR(INDEX(Ingredients!$C$5:$C$304,MATCH(D975,Ingredients!$B$5:$B$304,0)),"Add to Ingredients"))</f>
        <v>0</v>
      </c>
      <c r="X975" s="45">
        <f>IFERROR(INDEX(Recipes!$AT$5:$AT$204,MATCH(B975,Recipes!$A$5:$A$204,0)),0)</f>
        <v>0</v>
      </c>
      <c r="Y975" s="45">
        <f>IF(OR(J975="",X975=0),"",J975*X975)</f>
        <v>0</v>
      </c>
      <c r="Z975" s="17">
        <f>IF(D975="","",B975&amp;"#"&amp;COUNTIFS($B$5:B975,B975))</f>
        <v>0</v>
      </c>
      <c r="AA975" s="17">
        <f>IF(D975="","",B975&amp;"|"&amp;D975)</f>
        <v>0</v>
      </c>
      <c r="AB975" s="31">
        <f>IF(D975="","",IF(B975="","Add - which recipe?",IF(COUNTIFS(Ingredients!$B$5:$B$304,D975)=0,"Missing - not in the Ingredients tab",IF(E975="","Add - no quantity",IF(F975="","Add - no unit",IF(K975&lt;&gt;L975,"Check - recipe in "&amp;K975&amp;", priced in "&amp;L975,IF(COUNTIFS($AA$5:$AA$1204,AA975)&gt;1,"Duplicate - same ingredient twice","OK")))))))</f>
        <v>0</v>
      </c>
    </row>
    <row r="976" spans="1:28">
      <c r="A976" s="39">
        <f>IF(D976="","","RL-"&amp;TEXT(ROW()-4,"0000"))</f>
        <v>0</v>
      </c>
      <c r="C976" s="17">
        <f>IF(B976="","",IFERROR(INDEX(Recipes!$B$5:$B$204,MATCH(B976,Recipes!$A$5:$A$204,0)),"Not found"))</f>
        <v>0</v>
      </c>
      <c r="J976" s="45">
        <f>IF(E976="","",IFERROR(E976*INDEX(UnitFactors,MATCH(F976,UnitNames,0)),""))</f>
        <v>0</v>
      </c>
      <c r="K976" s="17">
        <f>IF(F976="","",IFERROR(INDEX(UnitBases,MATCH(F976,UnitNames,0)),"?"))</f>
        <v>0</v>
      </c>
      <c r="L976" s="17">
        <f>IF(D976="","",IFERROR(INDEX(Ingredients!$G$5:$G$304,MATCH(D976,Ingredients!$B$5:$B$304,0)),"Add to Ingredients"))</f>
        <v>0</v>
      </c>
      <c r="M976" s="25">
        <f>IF(D976="","",IFERROR(INDEX(Ingredients!$J$5:$J$304,MATCH(D976,Ingredients!$B$5:$B$304,0)),"Add to Ingredients"))</f>
        <v>0</v>
      </c>
      <c r="N976" s="25">
        <f>IF(OR(J976="",M976="",NOT(ISNUMBER(M976))),"",IF(K976&lt;&gt;L976,"",J976*M976))</f>
        <v>0</v>
      </c>
      <c r="O976" s="25">
        <f>IF(N976="","",IFERROR(N976/INDEX(Recipes!$G$5:$G$204,MATCH(B976,Recipes!$A$5:$A$204,0)),""))</f>
        <v>0</v>
      </c>
      <c r="P976" s="30">
        <f>IF(J976="","",IF(K976="each",J976,J976/100))</f>
        <v>0</v>
      </c>
      <c r="Q976" s="30">
        <f>IFERROR(IF(P976="","",P976*INDEX(Ingredients!$P$5:$P$304,MATCH(D976,Ingredients!$B$5:$B$304,0))),"")</f>
        <v>0</v>
      </c>
      <c r="R976" s="45">
        <f>IFERROR(IF(P976="","",P976*INDEX(Ingredients!$Q$5:$Q$304,MATCH(D976,Ingredients!$B$5:$B$304,0))),"")</f>
        <v>0</v>
      </c>
      <c r="S976" s="45">
        <f>IFERROR(IF(P976="","",P976*INDEX(Ingredients!$R$5:$R$304,MATCH(D976,Ingredients!$B$5:$B$304,0))),"")</f>
        <v>0</v>
      </c>
      <c r="T976" s="45">
        <f>IFERROR(IF(P976="","",P976*INDEX(Ingredients!$S$5:$S$304,MATCH(D976,Ingredients!$B$5:$B$304,0))),"")</f>
        <v>0</v>
      </c>
      <c r="U976" s="45">
        <f>IFERROR(IF(P976="","",P976*INDEX(Ingredients!$T$5:$T$304,MATCH(D976,Ingredients!$B$5:$B$304,0))),"")</f>
        <v>0</v>
      </c>
      <c r="V976" s="17">
        <f>IF(D976="","",IFERROR(INDEX(Ingredients!$W$5:$W$304,MATCH(D976,Ingredients!$B$5:$B$304,0)),"Add to Ingredients"))</f>
        <v>0</v>
      </c>
      <c r="W976" s="17">
        <f>IF(D976="","",IFERROR(INDEX(Ingredients!$C$5:$C$304,MATCH(D976,Ingredients!$B$5:$B$304,0)),"Add to Ingredients"))</f>
        <v>0</v>
      </c>
      <c r="X976" s="45">
        <f>IFERROR(INDEX(Recipes!$AT$5:$AT$204,MATCH(B976,Recipes!$A$5:$A$204,0)),0)</f>
        <v>0</v>
      </c>
      <c r="Y976" s="45">
        <f>IF(OR(J976="",X976=0),"",J976*X976)</f>
        <v>0</v>
      </c>
      <c r="Z976" s="17">
        <f>IF(D976="","",B976&amp;"#"&amp;COUNTIFS($B$5:B976,B976))</f>
        <v>0</v>
      </c>
      <c r="AA976" s="17">
        <f>IF(D976="","",B976&amp;"|"&amp;D976)</f>
        <v>0</v>
      </c>
      <c r="AB976" s="31">
        <f>IF(D976="","",IF(B976="","Add - which recipe?",IF(COUNTIFS(Ingredients!$B$5:$B$304,D976)=0,"Missing - not in the Ingredients tab",IF(E976="","Add - no quantity",IF(F976="","Add - no unit",IF(K976&lt;&gt;L976,"Check - recipe in "&amp;K976&amp;", priced in "&amp;L976,IF(COUNTIFS($AA$5:$AA$1204,AA976)&gt;1,"Duplicate - same ingredient twice","OK")))))))</f>
        <v>0</v>
      </c>
    </row>
    <row r="977" spans="1:28">
      <c r="A977" s="39">
        <f>IF(D977="","","RL-"&amp;TEXT(ROW()-4,"0000"))</f>
        <v>0</v>
      </c>
      <c r="C977" s="17">
        <f>IF(B977="","",IFERROR(INDEX(Recipes!$B$5:$B$204,MATCH(B977,Recipes!$A$5:$A$204,0)),"Not found"))</f>
        <v>0</v>
      </c>
      <c r="J977" s="45">
        <f>IF(E977="","",IFERROR(E977*INDEX(UnitFactors,MATCH(F977,UnitNames,0)),""))</f>
        <v>0</v>
      </c>
      <c r="K977" s="17">
        <f>IF(F977="","",IFERROR(INDEX(UnitBases,MATCH(F977,UnitNames,0)),"?"))</f>
        <v>0</v>
      </c>
      <c r="L977" s="17">
        <f>IF(D977="","",IFERROR(INDEX(Ingredients!$G$5:$G$304,MATCH(D977,Ingredients!$B$5:$B$304,0)),"Add to Ingredients"))</f>
        <v>0</v>
      </c>
      <c r="M977" s="25">
        <f>IF(D977="","",IFERROR(INDEX(Ingredients!$J$5:$J$304,MATCH(D977,Ingredients!$B$5:$B$304,0)),"Add to Ingredients"))</f>
        <v>0</v>
      </c>
      <c r="N977" s="25">
        <f>IF(OR(J977="",M977="",NOT(ISNUMBER(M977))),"",IF(K977&lt;&gt;L977,"",J977*M977))</f>
        <v>0</v>
      </c>
      <c r="O977" s="25">
        <f>IF(N977="","",IFERROR(N977/INDEX(Recipes!$G$5:$G$204,MATCH(B977,Recipes!$A$5:$A$204,0)),""))</f>
        <v>0</v>
      </c>
      <c r="P977" s="30">
        <f>IF(J977="","",IF(K977="each",J977,J977/100))</f>
        <v>0</v>
      </c>
      <c r="Q977" s="30">
        <f>IFERROR(IF(P977="","",P977*INDEX(Ingredients!$P$5:$P$304,MATCH(D977,Ingredients!$B$5:$B$304,0))),"")</f>
        <v>0</v>
      </c>
      <c r="R977" s="45">
        <f>IFERROR(IF(P977="","",P977*INDEX(Ingredients!$Q$5:$Q$304,MATCH(D977,Ingredients!$B$5:$B$304,0))),"")</f>
        <v>0</v>
      </c>
      <c r="S977" s="45">
        <f>IFERROR(IF(P977="","",P977*INDEX(Ingredients!$R$5:$R$304,MATCH(D977,Ingredients!$B$5:$B$304,0))),"")</f>
        <v>0</v>
      </c>
      <c r="T977" s="45">
        <f>IFERROR(IF(P977="","",P977*INDEX(Ingredients!$S$5:$S$304,MATCH(D977,Ingredients!$B$5:$B$304,0))),"")</f>
        <v>0</v>
      </c>
      <c r="U977" s="45">
        <f>IFERROR(IF(P977="","",P977*INDEX(Ingredients!$T$5:$T$304,MATCH(D977,Ingredients!$B$5:$B$304,0))),"")</f>
        <v>0</v>
      </c>
      <c r="V977" s="17">
        <f>IF(D977="","",IFERROR(INDEX(Ingredients!$W$5:$W$304,MATCH(D977,Ingredients!$B$5:$B$304,0)),"Add to Ingredients"))</f>
        <v>0</v>
      </c>
      <c r="W977" s="17">
        <f>IF(D977="","",IFERROR(INDEX(Ingredients!$C$5:$C$304,MATCH(D977,Ingredients!$B$5:$B$304,0)),"Add to Ingredients"))</f>
        <v>0</v>
      </c>
      <c r="X977" s="45">
        <f>IFERROR(INDEX(Recipes!$AT$5:$AT$204,MATCH(B977,Recipes!$A$5:$A$204,0)),0)</f>
        <v>0</v>
      </c>
      <c r="Y977" s="45">
        <f>IF(OR(J977="",X977=0),"",J977*X977)</f>
        <v>0</v>
      </c>
      <c r="Z977" s="17">
        <f>IF(D977="","",B977&amp;"#"&amp;COUNTIFS($B$5:B977,B977))</f>
        <v>0</v>
      </c>
      <c r="AA977" s="17">
        <f>IF(D977="","",B977&amp;"|"&amp;D977)</f>
        <v>0</v>
      </c>
      <c r="AB977" s="31">
        <f>IF(D977="","",IF(B977="","Add - which recipe?",IF(COUNTIFS(Ingredients!$B$5:$B$304,D977)=0,"Missing - not in the Ingredients tab",IF(E977="","Add - no quantity",IF(F977="","Add - no unit",IF(K977&lt;&gt;L977,"Check - recipe in "&amp;K977&amp;", priced in "&amp;L977,IF(COUNTIFS($AA$5:$AA$1204,AA977)&gt;1,"Duplicate - same ingredient twice","OK")))))))</f>
        <v>0</v>
      </c>
    </row>
    <row r="978" spans="1:28">
      <c r="A978" s="39">
        <f>IF(D978="","","RL-"&amp;TEXT(ROW()-4,"0000"))</f>
        <v>0</v>
      </c>
      <c r="C978" s="17">
        <f>IF(B978="","",IFERROR(INDEX(Recipes!$B$5:$B$204,MATCH(B978,Recipes!$A$5:$A$204,0)),"Not found"))</f>
        <v>0</v>
      </c>
      <c r="J978" s="45">
        <f>IF(E978="","",IFERROR(E978*INDEX(UnitFactors,MATCH(F978,UnitNames,0)),""))</f>
        <v>0</v>
      </c>
      <c r="K978" s="17">
        <f>IF(F978="","",IFERROR(INDEX(UnitBases,MATCH(F978,UnitNames,0)),"?"))</f>
        <v>0</v>
      </c>
      <c r="L978" s="17">
        <f>IF(D978="","",IFERROR(INDEX(Ingredients!$G$5:$G$304,MATCH(D978,Ingredients!$B$5:$B$304,0)),"Add to Ingredients"))</f>
        <v>0</v>
      </c>
      <c r="M978" s="25">
        <f>IF(D978="","",IFERROR(INDEX(Ingredients!$J$5:$J$304,MATCH(D978,Ingredients!$B$5:$B$304,0)),"Add to Ingredients"))</f>
        <v>0</v>
      </c>
      <c r="N978" s="25">
        <f>IF(OR(J978="",M978="",NOT(ISNUMBER(M978))),"",IF(K978&lt;&gt;L978,"",J978*M978))</f>
        <v>0</v>
      </c>
      <c r="O978" s="25">
        <f>IF(N978="","",IFERROR(N978/INDEX(Recipes!$G$5:$G$204,MATCH(B978,Recipes!$A$5:$A$204,0)),""))</f>
        <v>0</v>
      </c>
      <c r="P978" s="30">
        <f>IF(J978="","",IF(K978="each",J978,J978/100))</f>
        <v>0</v>
      </c>
      <c r="Q978" s="30">
        <f>IFERROR(IF(P978="","",P978*INDEX(Ingredients!$P$5:$P$304,MATCH(D978,Ingredients!$B$5:$B$304,0))),"")</f>
        <v>0</v>
      </c>
      <c r="R978" s="45">
        <f>IFERROR(IF(P978="","",P978*INDEX(Ingredients!$Q$5:$Q$304,MATCH(D978,Ingredients!$B$5:$B$304,0))),"")</f>
        <v>0</v>
      </c>
      <c r="S978" s="45">
        <f>IFERROR(IF(P978="","",P978*INDEX(Ingredients!$R$5:$R$304,MATCH(D978,Ingredients!$B$5:$B$304,0))),"")</f>
        <v>0</v>
      </c>
      <c r="T978" s="45">
        <f>IFERROR(IF(P978="","",P978*INDEX(Ingredients!$S$5:$S$304,MATCH(D978,Ingredients!$B$5:$B$304,0))),"")</f>
        <v>0</v>
      </c>
      <c r="U978" s="45">
        <f>IFERROR(IF(P978="","",P978*INDEX(Ingredients!$T$5:$T$304,MATCH(D978,Ingredients!$B$5:$B$304,0))),"")</f>
        <v>0</v>
      </c>
      <c r="V978" s="17">
        <f>IF(D978="","",IFERROR(INDEX(Ingredients!$W$5:$W$304,MATCH(D978,Ingredients!$B$5:$B$304,0)),"Add to Ingredients"))</f>
        <v>0</v>
      </c>
      <c r="W978" s="17">
        <f>IF(D978="","",IFERROR(INDEX(Ingredients!$C$5:$C$304,MATCH(D978,Ingredients!$B$5:$B$304,0)),"Add to Ingredients"))</f>
        <v>0</v>
      </c>
      <c r="X978" s="45">
        <f>IFERROR(INDEX(Recipes!$AT$5:$AT$204,MATCH(B978,Recipes!$A$5:$A$204,0)),0)</f>
        <v>0</v>
      </c>
      <c r="Y978" s="45">
        <f>IF(OR(J978="",X978=0),"",J978*X978)</f>
        <v>0</v>
      </c>
      <c r="Z978" s="17">
        <f>IF(D978="","",B978&amp;"#"&amp;COUNTIFS($B$5:B978,B978))</f>
        <v>0</v>
      </c>
      <c r="AA978" s="17">
        <f>IF(D978="","",B978&amp;"|"&amp;D978)</f>
        <v>0</v>
      </c>
      <c r="AB978" s="31">
        <f>IF(D978="","",IF(B978="","Add - which recipe?",IF(COUNTIFS(Ingredients!$B$5:$B$304,D978)=0,"Missing - not in the Ingredients tab",IF(E978="","Add - no quantity",IF(F978="","Add - no unit",IF(K978&lt;&gt;L978,"Check - recipe in "&amp;K978&amp;", priced in "&amp;L978,IF(COUNTIFS($AA$5:$AA$1204,AA978)&gt;1,"Duplicate - same ingredient twice","OK")))))))</f>
        <v>0</v>
      </c>
    </row>
    <row r="979" spans="1:28">
      <c r="A979" s="39">
        <f>IF(D979="","","RL-"&amp;TEXT(ROW()-4,"0000"))</f>
        <v>0</v>
      </c>
      <c r="C979" s="17">
        <f>IF(B979="","",IFERROR(INDEX(Recipes!$B$5:$B$204,MATCH(B979,Recipes!$A$5:$A$204,0)),"Not found"))</f>
        <v>0</v>
      </c>
      <c r="J979" s="45">
        <f>IF(E979="","",IFERROR(E979*INDEX(UnitFactors,MATCH(F979,UnitNames,0)),""))</f>
        <v>0</v>
      </c>
      <c r="K979" s="17">
        <f>IF(F979="","",IFERROR(INDEX(UnitBases,MATCH(F979,UnitNames,0)),"?"))</f>
        <v>0</v>
      </c>
      <c r="L979" s="17">
        <f>IF(D979="","",IFERROR(INDEX(Ingredients!$G$5:$G$304,MATCH(D979,Ingredients!$B$5:$B$304,0)),"Add to Ingredients"))</f>
        <v>0</v>
      </c>
      <c r="M979" s="25">
        <f>IF(D979="","",IFERROR(INDEX(Ingredients!$J$5:$J$304,MATCH(D979,Ingredients!$B$5:$B$304,0)),"Add to Ingredients"))</f>
        <v>0</v>
      </c>
      <c r="N979" s="25">
        <f>IF(OR(J979="",M979="",NOT(ISNUMBER(M979))),"",IF(K979&lt;&gt;L979,"",J979*M979))</f>
        <v>0</v>
      </c>
      <c r="O979" s="25">
        <f>IF(N979="","",IFERROR(N979/INDEX(Recipes!$G$5:$G$204,MATCH(B979,Recipes!$A$5:$A$204,0)),""))</f>
        <v>0</v>
      </c>
      <c r="P979" s="30">
        <f>IF(J979="","",IF(K979="each",J979,J979/100))</f>
        <v>0</v>
      </c>
      <c r="Q979" s="30">
        <f>IFERROR(IF(P979="","",P979*INDEX(Ingredients!$P$5:$P$304,MATCH(D979,Ingredients!$B$5:$B$304,0))),"")</f>
        <v>0</v>
      </c>
      <c r="R979" s="45">
        <f>IFERROR(IF(P979="","",P979*INDEX(Ingredients!$Q$5:$Q$304,MATCH(D979,Ingredients!$B$5:$B$304,0))),"")</f>
        <v>0</v>
      </c>
      <c r="S979" s="45">
        <f>IFERROR(IF(P979="","",P979*INDEX(Ingredients!$R$5:$R$304,MATCH(D979,Ingredients!$B$5:$B$304,0))),"")</f>
        <v>0</v>
      </c>
      <c r="T979" s="45">
        <f>IFERROR(IF(P979="","",P979*INDEX(Ingredients!$S$5:$S$304,MATCH(D979,Ingredients!$B$5:$B$304,0))),"")</f>
        <v>0</v>
      </c>
      <c r="U979" s="45">
        <f>IFERROR(IF(P979="","",P979*INDEX(Ingredients!$T$5:$T$304,MATCH(D979,Ingredients!$B$5:$B$304,0))),"")</f>
        <v>0</v>
      </c>
      <c r="V979" s="17">
        <f>IF(D979="","",IFERROR(INDEX(Ingredients!$W$5:$W$304,MATCH(D979,Ingredients!$B$5:$B$304,0)),"Add to Ingredients"))</f>
        <v>0</v>
      </c>
      <c r="W979" s="17">
        <f>IF(D979="","",IFERROR(INDEX(Ingredients!$C$5:$C$304,MATCH(D979,Ingredients!$B$5:$B$304,0)),"Add to Ingredients"))</f>
        <v>0</v>
      </c>
      <c r="X979" s="45">
        <f>IFERROR(INDEX(Recipes!$AT$5:$AT$204,MATCH(B979,Recipes!$A$5:$A$204,0)),0)</f>
        <v>0</v>
      </c>
      <c r="Y979" s="45">
        <f>IF(OR(J979="",X979=0),"",J979*X979)</f>
        <v>0</v>
      </c>
      <c r="Z979" s="17">
        <f>IF(D979="","",B979&amp;"#"&amp;COUNTIFS($B$5:B979,B979))</f>
        <v>0</v>
      </c>
      <c r="AA979" s="17">
        <f>IF(D979="","",B979&amp;"|"&amp;D979)</f>
        <v>0</v>
      </c>
      <c r="AB979" s="31">
        <f>IF(D979="","",IF(B979="","Add - which recipe?",IF(COUNTIFS(Ingredients!$B$5:$B$304,D979)=0,"Missing - not in the Ingredients tab",IF(E979="","Add - no quantity",IF(F979="","Add - no unit",IF(K979&lt;&gt;L979,"Check - recipe in "&amp;K979&amp;", priced in "&amp;L979,IF(COUNTIFS($AA$5:$AA$1204,AA979)&gt;1,"Duplicate - same ingredient twice","OK")))))))</f>
        <v>0</v>
      </c>
    </row>
    <row r="980" spans="1:28">
      <c r="A980" s="39">
        <f>IF(D980="","","RL-"&amp;TEXT(ROW()-4,"0000"))</f>
        <v>0</v>
      </c>
      <c r="C980" s="17">
        <f>IF(B980="","",IFERROR(INDEX(Recipes!$B$5:$B$204,MATCH(B980,Recipes!$A$5:$A$204,0)),"Not found"))</f>
        <v>0</v>
      </c>
      <c r="J980" s="45">
        <f>IF(E980="","",IFERROR(E980*INDEX(UnitFactors,MATCH(F980,UnitNames,0)),""))</f>
        <v>0</v>
      </c>
      <c r="K980" s="17">
        <f>IF(F980="","",IFERROR(INDEX(UnitBases,MATCH(F980,UnitNames,0)),"?"))</f>
        <v>0</v>
      </c>
      <c r="L980" s="17">
        <f>IF(D980="","",IFERROR(INDEX(Ingredients!$G$5:$G$304,MATCH(D980,Ingredients!$B$5:$B$304,0)),"Add to Ingredients"))</f>
        <v>0</v>
      </c>
      <c r="M980" s="25">
        <f>IF(D980="","",IFERROR(INDEX(Ingredients!$J$5:$J$304,MATCH(D980,Ingredients!$B$5:$B$304,0)),"Add to Ingredients"))</f>
        <v>0</v>
      </c>
      <c r="N980" s="25">
        <f>IF(OR(J980="",M980="",NOT(ISNUMBER(M980))),"",IF(K980&lt;&gt;L980,"",J980*M980))</f>
        <v>0</v>
      </c>
      <c r="O980" s="25">
        <f>IF(N980="","",IFERROR(N980/INDEX(Recipes!$G$5:$G$204,MATCH(B980,Recipes!$A$5:$A$204,0)),""))</f>
        <v>0</v>
      </c>
      <c r="P980" s="30">
        <f>IF(J980="","",IF(K980="each",J980,J980/100))</f>
        <v>0</v>
      </c>
      <c r="Q980" s="30">
        <f>IFERROR(IF(P980="","",P980*INDEX(Ingredients!$P$5:$P$304,MATCH(D980,Ingredients!$B$5:$B$304,0))),"")</f>
        <v>0</v>
      </c>
      <c r="R980" s="45">
        <f>IFERROR(IF(P980="","",P980*INDEX(Ingredients!$Q$5:$Q$304,MATCH(D980,Ingredients!$B$5:$B$304,0))),"")</f>
        <v>0</v>
      </c>
      <c r="S980" s="45">
        <f>IFERROR(IF(P980="","",P980*INDEX(Ingredients!$R$5:$R$304,MATCH(D980,Ingredients!$B$5:$B$304,0))),"")</f>
        <v>0</v>
      </c>
      <c r="T980" s="45">
        <f>IFERROR(IF(P980="","",P980*INDEX(Ingredients!$S$5:$S$304,MATCH(D980,Ingredients!$B$5:$B$304,0))),"")</f>
        <v>0</v>
      </c>
      <c r="U980" s="45">
        <f>IFERROR(IF(P980="","",P980*INDEX(Ingredients!$T$5:$T$304,MATCH(D980,Ingredients!$B$5:$B$304,0))),"")</f>
        <v>0</v>
      </c>
      <c r="V980" s="17">
        <f>IF(D980="","",IFERROR(INDEX(Ingredients!$W$5:$W$304,MATCH(D980,Ingredients!$B$5:$B$304,0)),"Add to Ingredients"))</f>
        <v>0</v>
      </c>
      <c r="W980" s="17">
        <f>IF(D980="","",IFERROR(INDEX(Ingredients!$C$5:$C$304,MATCH(D980,Ingredients!$B$5:$B$304,0)),"Add to Ingredients"))</f>
        <v>0</v>
      </c>
      <c r="X980" s="45">
        <f>IFERROR(INDEX(Recipes!$AT$5:$AT$204,MATCH(B980,Recipes!$A$5:$A$204,0)),0)</f>
        <v>0</v>
      </c>
      <c r="Y980" s="45">
        <f>IF(OR(J980="",X980=0),"",J980*X980)</f>
        <v>0</v>
      </c>
      <c r="Z980" s="17">
        <f>IF(D980="","",B980&amp;"#"&amp;COUNTIFS($B$5:B980,B980))</f>
        <v>0</v>
      </c>
      <c r="AA980" s="17">
        <f>IF(D980="","",B980&amp;"|"&amp;D980)</f>
        <v>0</v>
      </c>
      <c r="AB980" s="31">
        <f>IF(D980="","",IF(B980="","Add - which recipe?",IF(COUNTIFS(Ingredients!$B$5:$B$304,D980)=0,"Missing - not in the Ingredients tab",IF(E980="","Add - no quantity",IF(F980="","Add - no unit",IF(K980&lt;&gt;L980,"Check - recipe in "&amp;K980&amp;", priced in "&amp;L980,IF(COUNTIFS($AA$5:$AA$1204,AA980)&gt;1,"Duplicate - same ingredient twice","OK")))))))</f>
        <v>0</v>
      </c>
    </row>
    <row r="981" spans="1:28">
      <c r="A981" s="39">
        <f>IF(D981="","","RL-"&amp;TEXT(ROW()-4,"0000"))</f>
        <v>0</v>
      </c>
      <c r="C981" s="17">
        <f>IF(B981="","",IFERROR(INDEX(Recipes!$B$5:$B$204,MATCH(B981,Recipes!$A$5:$A$204,0)),"Not found"))</f>
        <v>0</v>
      </c>
      <c r="J981" s="45">
        <f>IF(E981="","",IFERROR(E981*INDEX(UnitFactors,MATCH(F981,UnitNames,0)),""))</f>
        <v>0</v>
      </c>
      <c r="K981" s="17">
        <f>IF(F981="","",IFERROR(INDEX(UnitBases,MATCH(F981,UnitNames,0)),"?"))</f>
        <v>0</v>
      </c>
      <c r="L981" s="17">
        <f>IF(D981="","",IFERROR(INDEX(Ingredients!$G$5:$G$304,MATCH(D981,Ingredients!$B$5:$B$304,0)),"Add to Ingredients"))</f>
        <v>0</v>
      </c>
      <c r="M981" s="25">
        <f>IF(D981="","",IFERROR(INDEX(Ingredients!$J$5:$J$304,MATCH(D981,Ingredients!$B$5:$B$304,0)),"Add to Ingredients"))</f>
        <v>0</v>
      </c>
      <c r="N981" s="25">
        <f>IF(OR(J981="",M981="",NOT(ISNUMBER(M981))),"",IF(K981&lt;&gt;L981,"",J981*M981))</f>
        <v>0</v>
      </c>
      <c r="O981" s="25">
        <f>IF(N981="","",IFERROR(N981/INDEX(Recipes!$G$5:$G$204,MATCH(B981,Recipes!$A$5:$A$204,0)),""))</f>
        <v>0</v>
      </c>
      <c r="P981" s="30">
        <f>IF(J981="","",IF(K981="each",J981,J981/100))</f>
        <v>0</v>
      </c>
      <c r="Q981" s="30">
        <f>IFERROR(IF(P981="","",P981*INDEX(Ingredients!$P$5:$P$304,MATCH(D981,Ingredients!$B$5:$B$304,0))),"")</f>
        <v>0</v>
      </c>
      <c r="R981" s="45">
        <f>IFERROR(IF(P981="","",P981*INDEX(Ingredients!$Q$5:$Q$304,MATCH(D981,Ingredients!$B$5:$B$304,0))),"")</f>
        <v>0</v>
      </c>
      <c r="S981" s="45">
        <f>IFERROR(IF(P981="","",P981*INDEX(Ingredients!$R$5:$R$304,MATCH(D981,Ingredients!$B$5:$B$304,0))),"")</f>
        <v>0</v>
      </c>
      <c r="T981" s="45">
        <f>IFERROR(IF(P981="","",P981*INDEX(Ingredients!$S$5:$S$304,MATCH(D981,Ingredients!$B$5:$B$304,0))),"")</f>
        <v>0</v>
      </c>
      <c r="U981" s="45">
        <f>IFERROR(IF(P981="","",P981*INDEX(Ingredients!$T$5:$T$304,MATCH(D981,Ingredients!$B$5:$B$304,0))),"")</f>
        <v>0</v>
      </c>
      <c r="V981" s="17">
        <f>IF(D981="","",IFERROR(INDEX(Ingredients!$W$5:$W$304,MATCH(D981,Ingredients!$B$5:$B$304,0)),"Add to Ingredients"))</f>
        <v>0</v>
      </c>
      <c r="W981" s="17">
        <f>IF(D981="","",IFERROR(INDEX(Ingredients!$C$5:$C$304,MATCH(D981,Ingredients!$B$5:$B$304,0)),"Add to Ingredients"))</f>
        <v>0</v>
      </c>
      <c r="X981" s="45">
        <f>IFERROR(INDEX(Recipes!$AT$5:$AT$204,MATCH(B981,Recipes!$A$5:$A$204,0)),0)</f>
        <v>0</v>
      </c>
      <c r="Y981" s="45">
        <f>IF(OR(J981="",X981=0),"",J981*X981)</f>
        <v>0</v>
      </c>
      <c r="Z981" s="17">
        <f>IF(D981="","",B981&amp;"#"&amp;COUNTIFS($B$5:B981,B981))</f>
        <v>0</v>
      </c>
      <c r="AA981" s="17">
        <f>IF(D981="","",B981&amp;"|"&amp;D981)</f>
        <v>0</v>
      </c>
      <c r="AB981" s="31">
        <f>IF(D981="","",IF(B981="","Add - which recipe?",IF(COUNTIFS(Ingredients!$B$5:$B$304,D981)=0,"Missing - not in the Ingredients tab",IF(E981="","Add - no quantity",IF(F981="","Add - no unit",IF(K981&lt;&gt;L981,"Check - recipe in "&amp;K981&amp;", priced in "&amp;L981,IF(COUNTIFS($AA$5:$AA$1204,AA981)&gt;1,"Duplicate - same ingredient twice","OK")))))))</f>
        <v>0</v>
      </c>
    </row>
    <row r="982" spans="1:28">
      <c r="A982" s="39">
        <f>IF(D982="","","RL-"&amp;TEXT(ROW()-4,"0000"))</f>
        <v>0</v>
      </c>
      <c r="C982" s="17">
        <f>IF(B982="","",IFERROR(INDEX(Recipes!$B$5:$B$204,MATCH(B982,Recipes!$A$5:$A$204,0)),"Not found"))</f>
        <v>0</v>
      </c>
      <c r="J982" s="45">
        <f>IF(E982="","",IFERROR(E982*INDEX(UnitFactors,MATCH(F982,UnitNames,0)),""))</f>
        <v>0</v>
      </c>
      <c r="K982" s="17">
        <f>IF(F982="","",IFERROR(INDEX(UnitBases,MATCH(F982,UnitNames,0)),"?"))</f>
        <v>0</v>
      </c>
      <c r="L982" s="17">
        <f>IF(D982="","",IFERROR(INDEX(Ingredients!$G$5:$G$304,MATCH(D982,Ingredients!$B$5:$B$304,0)),"Add to Ingredients"))</f>
        <v>0</v>
      </c>
      <c r="M982" s="25">
        <f>IF(D982="","",IFERROR(INDEX(Ingredients!$J$5:$J$304,MATCH(D982,Ingredients!$B$5:$B$304,0)),"Add to Ingredients"))</f>
        <v>0</v>
      </c>
      <c r="N982" s="25">
        <f>IF(OR(J982="",M982="",NOT(ISNUMBER(M982))),"",IF(K982&lt;&gt;L982,"",J982*M982))</f>
        <v>0</v>
      </c>
      <c r="O982" s="25">
        <f>IF(N982="","",IFERROR(N982/INDEX(Recipes!$G$5:$G$204,MATCH(B982,Recipes!$A$5:$A$204,0)),""))</f>
        <v>0</v>
      </c>
      <c r="P982" s="30">
        <f>IF(J982="","",IF(K982="each",J982,J982/100))</f>
        <v>0</v>
      </c>
      <c r="Q982" s="30">
        <f>IFERROR(IF(P982="","",P982*INDEX(Ingredients!$P$5:$P$304,MATCH(D982,Ingredients!$B$5:$B$304,0))),"")</f>
        <v>0</v>
      </c>
      <c r="R982" s="45">
        <f>IFERROR(IF(P982="","",P982*INDEX(Ingredients!$Q$5:$Q$304,MATCH(D982,Ingredients!$B$5:$B$304,0))),"")</f>
        <v>0</v>
      </c>
      <c r="S982" s="45">
        <f>IFERROR(IF(P982="","",P982*INDEX(Ingredients!$R$5:$R$304,MATCH(D982,Ingredients!$B$5:$B$304,0))),"")</f>
        <v>0</v>
      </c>
      <c r="T982" s="45">
        <f>IFERROR(IF(P982="","",P982*INDEX(Ingredients!$S$5:$S$304,MATCH(D982,Ingredients!$B$5:$B$304,0))),"")</f>
        <v>0</v>
      </c>
      <c r="U982" s="45">
        <f>IFERROR(IF(P982="","",P982*INDEX(Ingredients!$T$5:$T$304,MATCH(D982,Ingredients!$B$5:$B$304,0))),"")</f>
        <v>0</v>
      </c>
      <c r="V982" s="17">
        <f>IF(D982="","",IFERROR(INDEX(Ingredients!$W$5:$W$304,MATCH(D982,Ingredients!$B$5:$B$304,0)),"Add to Ingredients"))</f>
        <v>0</v>
      </c>
      <c r="W982" s="17">
        <f>IF(D982="","",IFERROR(INDEX(Ingredients!$C$5:$C$304,MATCH(D982,Ingredients!$B$5:$B$304,0)),"Add to Ingredients"))</f>
        <v>0</v>
      </c>
      <c r="X982" s="45">
        <f>IFERROR(INDEX(Recipes!$AT$5:$AT$204,MATCH(B982,Recipes!$A$5:$A$204,0)),0)</f>
        <v>0</v>
      </c>
      <c r="Y982" s="45">
        <f>IF(OR(J982="",X982=0),"",J982*X982)</f>
        <v>0</v>
      </c>
      <c r="Z982" s="17">
        <f>IF(D982="","",B982&amp;"#"&amp;COUNTIFS($B$5:B982,B982))</f>
        <v>0</v>
      </c>
      <c r="AA982" s="17">
        <f>IF(D982="","",B982&amp;"|"&amp;D982)</f>
        <v>0</v>
      </c>
      <c r="AB982" s="31">
        <f>IF(D982="","",IF(B982="","Add - which recipe?",IF(COUNTIFS(Ingredients!$B$5:$B$304,D982)=0,"Missing - not in the Ingredients tab",IF(E982="","Add - no quantity",IF(F982="","Add - no unit",IF(K982&lt;&gt;L982,"Check - recipe in "&amp;K982&amp;", priced in "&amp;L982,IF(COUNTIFS($AA$5:$AA$1204,AA982)&gt;1,"Duplicate - same ingredient twice","OK")))))))</f>
        <v>0</v>
      </c>
    </row>
    <row r="983" spans="1:28">
      <c r="A983" s="39">
        <f>IF(D983="","","RL-"&amp;TEXT(ROW()-4,"0000"))</f>
        <v>0</v>
      </c>
      <c r="C983" s="17">
        <f>IF(B983="","",IFERROR(INDEX(Recipes!$B$5:$B$204,MATCH(B983,Recipes!$A$5:$A$204,0)),"Not found"))</f>
        <v>0</v>
      </c>
      <c r="J983" s="45">
        <f>IF(E983="","",IFERROR(E983*INDEX(UnitFactors,MATCH(F983,UnitNames,0)),""))</f>
        <v>0</v>
      </c>
      <c r="K983" s="17">
        <f>IF(F983="","",IFERROR(INDEX(UnitBases,MATCH(F983,UnitNames,0)),"?"))</f>
        <v>0</v>
      </c>
      <c r="L983" s="17">
        <f>IF(D983="","",IFERROR(INDEX(Ingredients!$G$5:$G$304,MATCH(D983,Ingredients!$B$5:$B$304,0)),"Add to Ingredients"))</f>
        <v>0</v>
      </c>
      <c r="M983" s="25">
        <f>IF(D983="","",IFERROR(INDEX(Ingredients!$J$5:$J$304,MATCH(D983,Ingredients!$B$5:$B$304,0)),"Add to Ingredients"))</f>
        <v>0</v>
      </c>
      <c r="N983" s="25">
        <f>IF(OR(J983="",M983="",NOT(ISNUMBER(M983))),"",IF(K983&lt;&gt;L983,"",J983*M983))</f>
        <v>0</v>
      </c>
      <c r="O983" s="25">
        <f>IF(N983="","",IFERROR(N983/INDEX(Recipes!$G$5:$G$204,MATCH(B983,Recipes!$A$5:$A$204,0)),""))</f>
        <v>0</v>
      </c>
      <c r="P983" s="30">
        <f>IF(J983="","",IF(K983="each",J983,J983/100))</f>
        <v>0</v>
      </c>
      <c r="Q983" s="30">
        <f>IFERROR(IF(P983="","",P983*INDEX(Ingredients!$P$5:$P$304,MATCH(D983,Ingredients!$B$5:$B$304,0))),"")</f>
        <v>0</v>
      </c>
      <c r="R983" s="45">
        <f>IFERROR(IF(P983="","",P983*INDEX(Ingredients!$Q$5:$Q$304,MATCH(D983,Ingredients!$B$5:$B$304,0))),"")</f>
        <v>0</v>
      </c>
      <c r="S983" s="45">
        <f>IFERROR(IF(P983="","",P983*INDEX(Ingredients!$R$5:$R$304,MATCH(D983,Ingredients!$B$5:$B$304,0))),"")</f>
        <v>0</v>
      </c>
      <c r="T983" s="45">
        <f>IFERROR(IF(P983="","",P983*INDEX(Ingredients!$S$5:$S$304,MATCH(D983,Ingredients!$B$5:$B$304,0))),"")</f>
        <v>0</v>
      </c>
      <c r="U983" s="45">
        <f>IFERROR(IF(P983="","",P983*INDEX(Ingredients!$T$5:$T$304,MATCH(D983,Ingredients!$B$5:$B$304,0))),"")</f>
        <v>0</v>
      </c>
      <c r="V983" s="17">
        <f>IF(D983="","",IFERROR(INDEX(Ingredients!$W$5:$W$304,MATCH(D983,Ingredients!$B$5:$B$304,0)),"Add to Ingredients"))</f>
        <v>0</v>
      </c>
      <c r="W983" s="17">
        <f>IF(D983="","",IFERROR(INDEX(Ingredients!$C$5:$C$304,MATCH(D983,Ingredients!$B$5:$B$304,0)),"Add to Ingredients"))</f>
        <v>0</v>
      </c>
      <c r="X983" s="45">
        <f>IFERROR(INDEX(Recipes!$AT$5:$AT$204,MATCH(B983,Recipes!$A$5:$A$204,0)),0)</f>
        <v>0</v>
      </c>
      <c r="Y983" s="45">
        <f>IF(OR(J983="",X983=0),"",J983*X983)</f>
        <v>0</v>
      </c>
      <c r="Z983" s="17">
        <f>IF(D983="","",B983&amp;"#"&amp;COUNTIFS($B$5:B983,B983))</f>
        <v>0</v>
      </c>
      <c r="AA983" s="17">
        <f>IF(D983="","",B983&amp;"|"&amp;D983)</f>
        <v>0</v>
      </c>
      <c r="AB983" s="31">
        <f>IF(D983="","",IF(B983="","Add - which recipe?",IF(COUNTIFS(Ingredients!$B$5:$B$304,D983)=0,"Missing - not in the Ingredients tab",IF(E983="","Add - no quantity",IF(F983="","Add - no unit",IF(K983&lt;&gt;L983,"Check - recipe in "&amp;K983&amp;", priced in "&amp;L983,IF(COUNTIFS($AA$5:$AA$1204,AA983)&gt;1,"Duplicate - same ingredient twice","OK")))))))</f>
        <v>0</v>
      </c>
    </row>
    <row r="984" spans="1:28">
      <c r="A984" s="39">
        <f>IF(D984="","","RL-"&amp;TEXT(ROW()-4,"0000"))</f>
        <v>0</v>
      </c>
      <c r="C984" s="17">
        <f>IF(B984="","",IFERROR(INDEX(Recipes!$B$5:$B$204,MATCH(B984,Recipes!$A$5:$A$204,0)),"Not found"))</f>
        <v>0</v>
      </c>
      <c r="J984" s="45">
        <f>IF(E984="","",IFERROR(E984*INDEX(UnitFactors,MATCH(F984,UnitNames,0)),""))</f>
        <v>0</v>
      </c>
      <c r="K984" s="17">
        <f>IF(F984="","",IFERROR(INDEX(UnitBases,MATCH(F984,UnitNames,0)),"?"))</f>
        <v>0</v>
      </c>
      <c r="L984" s="17">
        <f>IF(D984="","",IFERROR(INDEX(Ingredients!$G$5:$G$304,MATCH(D984,Ingredients!$B$5:$B$304,0)),"Add to Ingredients"))</f>
        <v>0</v>
      </c>
      <c r="M984" s="25">
        <f>IF(D984="","",IFERROR(INDEX(Ingredients!$J$5:$J$304,MATCH(D984,Ingredients!$B$5:$B$304,0)),"Add to Ingredients"))</f>
        <v>0</v>
      </c>
      <c r="N984" s="25">
        <f>IF(OR(J984="",M984="",NOT(ISNUMBER(M984))),"",IF(K984&lt;&gt;L984,"",J984*M984))</f>
        <v>0</v>
      </c>
      <c r="O984" s="25">
        <f>IF(N984="","",IFERROR(N984/INDEX(Recipes!$G$5:$G$204,MATCH(B984,Recipes!$A$5:$A$204,0)),""))</f>
        <v>0</v>
      </c>
      <c r="P984" s="30">
        <f>IF(J984="","",IF(K984="each",J984,J984/100))</f>
        <v>0</v>
      </c>
      <c r="Q984" s="30">
        <f>IFERROR(IF(P984="","",P984*INDEX(Ingredients!$P$5:$P$304,MATCH(D984,Ingredients!$B$5:$B$304,0))),"")</f>
        <v>0</v>
      </c>
      <c r="R984" s="45">
        <f>IFERROR(IF(P984="","",P984*INDEX(Ingredients!$Q$5:$Q$304,MATCH(D984,Ingredients!$B$5:$B$304,0))),"")</f>
        <v>0</v>
      </c>
      <c r="S984" s="45">
        <f>IFERROR(IF(P984="","",P984*INDEX(Ingredients!$R$5:$R$304,MATCH(D984,Ingredients!$B$5:$B$304,0))),"")</f>
        <v>0</v>
      </c>
      <c r="T984" s="45">
        <f>IFERROR(IF(P984="","",P984*INDEX(Ingredients!$S$5:$S$304,MATCH(D984,Ingredients!$B$5:$B$304,0))),"")</f>
        <v>0</v>
      </c>
      <c r="U984" s="45">
        <f>IFERROR(IF(P984="","",P984*INDEX(Ingredients!$T$5:$T$304,MATCH(D984,Ingredients!$B$5:$B$304,0))),"")</f>
        <v>0</v>
      </c>
      <c r="V984" s="17">
        <f>IF(D984="","",IFERROR(INDEX(Ingredients!$W$5:$W$304,MATCH(D984,Ingredients!$B$5:$B$304,0)),"Add to Ingredients"))</f>
        <v>0</v>
      </c>
      <c r="W984" s="17">
        <f>IF(D984="","",IFERROR(INDEX(Ingredients!$C$5:$C$304,MATCH(D984,Ingredients!$B$5:$B$304,0)),"Add to Ingredients"))</f>
        <v>0</v>
      </c>
      <c r="X984" s="45">
        <f>IFERROR(INDEX(Recipes!$AT$5:$AT$204,MATCH(B984,Recipes!$A$5:$A$204,0)),0)</f>
        <v>0</v>
      </c>
      <c r="Y984" s="45">
        <f>IF(OR(J984="",X984=0),"",J984*X984)</f>
        <v>0</v>
      </c>
      <c r="Z984" s="17">
        <f>IF(D984="","",B984&amp;"#"&amp;COUNTIFS($B$5:B984,B984))</f>
        <v>0</v>
      </c>
      <c r="AA984" s="17">
        <f>IF(D984="","",B984&amp;"|"&amp;D984)</f>
        <v>0</v>
      </c>
      <c r="AB984" s="31">
        <f>IF(D984="","",IF(B984="","Add - which recipe?",IF(COUNTIFS(Ingredients!$B$5:$B$304,D984)=0,"Missing - not in the Ingredients tab",IF(E984="","Add - no quantity",IF(F984="","Add - no unit",IF(K984&lt;&gt;L984,"Check - recipe in "&amp;K984&amp;", priced in "&amp;L984,IF(COUNTIFS($AA$5:$AA$1204,AA984)&gt;1,"Duplicate - same ingredient twice","OK")))))))</f>
        <v>0</v>
      </c>
    </row>
    <row r="985" spans="1:28">
      <c r="A985" s="39">
        <f>IF(D985="","","RL-"&amp;TEXT(ROW()-4,"0000"))</f>
        <v>0</v>
      </c>
      <c r="C985" s="17">
        <f>IF(B985="","",IFERROR(INDEX(Recipes!$B$5:$B$204,MATCH(B985,Recipes!$A$5:$A$204,0)),"Not found"))</f>
        <v>0</v>
      </c>
      <c r="J985" s="45">
        <f>IF(E985="","",IFERROR(E985*INDEX(UnitFactors,MATCH(F985,UnitNames,0)),""))</f>
        <v>0</v>
      </c>
      <c r="K985" s="17">
        <f>IF(F985="","",IFERROR(INDEX(UnitBases,MATCH(F985,UnitNames,0)),"?"))</f>
        <v>0</v>
      </c>
      <c r="L985" s="17">
        <f>IF(D985="","",IFERROR(INDEX(Ingredients!$G$5:$G$304,MATCH(D985,Ingredients!$B$5:$B$304,0)),"Add to Ingredients"))</f>
        <v>0</v>
      </c>
      <c r="M985" s="25">
        <f>IF(D985="","",IFERROR(INDEX(Ingredients!$J$5:$J$304,MATCH(D985,Ingredients!$B$5:$B$304,0)),"Add to Ingredients"))</f>
        <v>0</v>
      </c>
      <c r="N985" s="25">
        <f>IF(OR(J985="",M985="",NOT(ISNUMBER(M985))),"",IF(K985&lt;&gt;L985,"",J985*M985))</f>
        <v>0</v>
      </c>
      <c r="O985" s="25">
        <f>IF(N985="","",IFERROR(N985/INDEX(Recipes!$G$5:$G$204,MATCH(B985,Recipes!$A$5:$A$204,0)),""))</f>
        <v>0</v>
      </c>
      <c r="P985" s="30">
        <f>IF(J985="","",IF(K985="each",J985,J985/100))</f>
        <v>0</v>
      </c>
      <c r="Q985" s="30">
        <f>IFERROR(IF(P985="","",P985*INDEX(Ingredients!$P$5:$P$304,MATCH(D985,Ingredients!$B$5:$B$304,0))),"")</f>
        <v>0</v>
      </c>
      <c r="R985" s="45">
        <f>IFERROR(IF(P985="","",P985*INDEX(Ingredients!$Q$5:$Q$304,MATCH(D985,Ingredients!$B$5:$B$304,0))),"")</f>
        <v>0</v>
      </c>
      <c r="S985" s="45">
        <f>IFERROR(IF(P985="","",P985*INDEX(Ingredients!$R$5:$R$304,MATCH(D985,Ingredients!$B$5:$B$304,0))),"")</f>
        <v>0</v>
      </c>
      <c r="T985" s="45">
        <f>IFERROR(IF(P985="","",P985*INDEX(Ingredients!$S$5:$S$304,MATCH(D985,Ingredients!$B$5:$B$304,0))),"")</f>
        <v>0</v>
      </c>
      <c r="U985" s="45">
        <f>IFERROR(IF(P985="","",P985*INDEX(Ingredients!$T$5:$T$304,MATCH(D985,Ingredients!$B$5:$B$304,0))),"")</f>
        <v>0</v>
      </c>
      <c r="V985" s="17">
        <f>IF(D985="","",IFERROR(INDEX(Ingredients!$W$5:$W$304,MATCH(D985,Ingredients!$B$5:$B$304,0)),"Add to Ingredients"))</f>
        <v>0</v>
      </c>
      <c r="W985" s="17">
        <f>IF(D985="","",IFERROR(INDEX(Ingredients!$C$5:$C$304,MATCH(D985,Ingredients!$B$5:$B$304,0)),"Add to Ingredients"))</f>
        <v>0</v>
      </c>
      <c r="X985" s="45">
        <f>IFERROR(INDEX(Recipes!$AT$5:$AT$204,MATCH(B985,Recipes!$A$5:$A$204,0)),0)</f>
        <v>0</v>
      </c>
      <c r="Y985" s="45">
        <f>IF(OR(J985="",X985=0),"",J985*X985)</f>
        <v>0</v>
      </c>
      <c r="Z985" s="17">
        <f>IF(D985="","",B985&amp;"#"&amp;COUNTIFS($B$5:B985,B985))</f>
        <v>0</v>
      </c>
      <c r="AA985" s="17">
        <f>IF(D985="","",B985&amp;"|"&amp;D985)</f>
        <v>0</v>
      </c>
      <c r="AB985" s="31">
        <f>IF(D985="","",IF(B985="","Add - which recipe?",IF(COUNTIFS(Ingredients!$B$5:$B$304,D985)=0,"Missing - not in the Ingredients tab",IF(E985="","Add - no quantity",IF(F985="","Add - no unit",IF(K985&lt;&gt;L985,"Check - recipe in "&amp;K985&amp;", priced in "&amp;L985,IF(COUNTIFS($AA$5:$AA$1204,AA985)&gt;1,"Duplicate - same ingredient twice","OK")))))))</f>
        <v>0</v>
      </c>
    </row>
    <row r="986" spans="1:28">
      <c r="A986" s="39">
        <f>IF(D986="","","RL-"&amp;TEXT(ROW()-4,"0000"))</f>
        <v>0</v>
      </c>
      <c r="C986" s="17">
        <f>IF(B986="","",IFERROR(INDEX(Recipes!$B$5:$B$204,MATCH(B986,Recipes!$A$5:$A$204,0)),"Not found"))</f>
        <v>0</v>
      </c>
      <c r="J986" s="45">
        <f>IF(E986="","",IFERROR(E986*INDEX(UnitFactors,MATCH(F986,UnitNames,0)),""))</f>
        <v>0</v>
      </c>
      <c r="K986" s="17">
        <f>IF(F986="","",IFERROR(INDEX(UnitBases,MATCH(F986,UnitNames,0)),"?"))</f>
        <v>0</v>
      </c>
      <c r="L986" s="17">
        <f>IF(D986="","",IFERROR(INDEX(Ingredients!$G$5:$G$304,MATCH(D986,Ingredients!$B$5:$B$304,0)),"Add to Ingredients"))</f>
        <v>0</v>
      </c>
      <c r="M986" s="25">
        <f>IF(D986="","",IFERROR(INDEX(Ingredients!$J$5:$J$304,MATCH(D986,Ingredients!$B$5:$B$304,0)),"Add to Ingredients"))</f>
        <v>0</v>
      </c>
      <c r="N986" s="25">
        <f>IF(OR(J986="",M986="",NOT(ISNUMBER(M986))),"",IF(K986&lt;&gt;L986,"",J986*M986))</f>
        <v>0</v>
      </c>
      <c r="O986" s="25">
        <f>IF(N986="","",IFERROR(N986/INDEX(Recipes!$G$5:$G$204,MATCH(B986,Recipes!$A$5:$A$204,0)),""))</f>
        <v>0</v>
      </c>
      <c r="P986" s="30">
        <f>IF(J986="","",IF(K986="each",J986,J986/100))</f>
        <v>0</v>
      </c>
      <c r="Q986" s="30">
        <f>IFERROR(IF(P986="","",P986*INDEX(Ingredients!$P$5:$P$304,MATCH(D986,Ingredients!$B$5:$B$304,0))),"")</f>
        <v>0</v>
      </c>
      <c r="R986" s="45">
        <f>IFERROR(IF(P986="","",P986*INDEX(Ingredients!$Q$5:$Q$304,MATCH(D986,Ingredients!$B$5:$B$304,0))),"")</f>
        <v>0</v>
      </c>
      <c r="S986" s="45">
        <f>IFERROR(IF(P986="","",P986*INDEX(Ingredients!$R$5:$R$304,MATCH(D986,Ingredients!$B$5:$B$304,0))),"")</f>
        <v>0</v>
      </c>
      <c r="T986" s="45">
        <f>IFERROR(IF(P986="","",P986*INDEX(Ingredients!$S$5:$S$304,MATCH(D986,Ingredients!$B$5:$B$304,0))),"")</f>
        <v>0</v>
      </c>
      <c r="U986" s="45">
        <f>IFERROR(IF(P986="","",P986*INDEX(Ingredients!$T$5:$T$304,MATCH(D986,Ingredients!$B$5:$B$304,0))),"")</f>
        <v>0</v>
      </c>
      <c r="V986" s="17">
        <f>IF(D986="","",IFERROR(INDEX(Ingredients!$W$5:$W$304,MATCH(D986,Ingredients!$B$5:$B$304,0)),"Add to Ingredients"))</f>
        <v>0</v>
      </c>
      <c r="W986" s="17">
        <f>IF(D986="","",IFERROR(INDEX(Ingredients!$C$5:$C$304,MATCH(D986,Ingredients!$B$5:$B$304,0)),"Add to Ingredients"))</f>
        <v>0</v>
      </c>
      <c r="X986" s="45">
        <f>IFERROR(INDEX(Recipes!$AT$5:$AT$204,MATCH(B986,Recipes!$A$5:$A$204,0)),0)</f>
        <v>0</v>
      </c>
      <c r="Y986" s="45">
        <f>IF(OR(J986="",X986=0),"",J986*X986)</f>
        <v>0</v>
      </c>
      <c r="Z986" s="17">
        <f>IF(D986="","",B986&amp;"#"&amp;COUNTIFS($B$5:B986,B986))</f>
        <v>0</v>
      </c>
      <c r="AA986" s="17">
        <f>IF(D986="","",B986&amp;"|"&amp;D986)</f>
        <v>0</v>
      </c>
      <c r="AB986" s="31">
        <f>IF(D986="","",IF(B986="","Add - which recipe?",IF(COUNTIFS(Ingredients!$B$5:$B$304,D986)=0,"Missing - not in the Ingredients tab",IF(E986="","Add - no quantity",IF(F986="","Add - no unit",IF(K986&lt;&gt;L986,"Check - recipe in "&amp;K986&amp;", priced in "&amp;L986,IF(COUNTIFS($AA$5:$AA$1204,AA986)&gt;1,"Duplicate - same ingredient twice","OK")))))))</f>
        <v>0</v>
      </c>
    </row>
    <row r="987" spans="1:28">
      <c r="A987" s="39">
        <f>IF(D987="","","RL-"&amp;TEXT(ROW()-4,"0000"))</f>
        <v>0</v>
      </c>
      <c r="C987" s="17">
        <f>IF(B987="","",IFERROR(INDEX(Recipes!$B$5:$B$204,MATCH(B987,Recipes!$A$5:$A$204,0)),"Not found"))</f>
        <v>0</v>
      </c>
      <c r="J987" s="45">
        <f>IF(E987="","",IFERROR(E987*INDEX(UnitFactors,MATCH(F987,UnitNames,0)),""))</f>
        <v>0</v>
      </c>
      <c r="K987" s="17">
        <f>IF(F987="","",IFERROR(INDEX(UnitBases,MATCH(F987,UnitNames,0)),"?"))</f>
        <v>0</v>
      </c>
      <c r="L987" s="17">
        <f>IF(D987="","",IFERROR(INDEX(Ingredients!$G$5:$G$304,MATCH(D987,Ingredients!$B$5:$B$304,0)),"Add to Ingredients"))</f>
        <v>0</v>
      </c>
      <c r="M987" s="25">
        <f>IF(D987="","",IFERROR(INDEX(Ingredients!$J$5:$J$304,MATCH(D987,Ingredients!$B$5:$B$304,0)),"Add to Ingredients"))</f>
        <v>0</v>
      </c>
      <c r="N987" s="25">
        <f>IF(OR(J987="",M987="",NOT(ISNUMBER(M987))),"",IF(K987&lt;&gt;L987,"",J987*M987))</f>
        <v>0</v>
      </c>
      <c r="O987" s="25">
        <f>IF(N987="","",IFERROR(N987/INDEX(Recipes!$G$5:$G$204,MATCH(B987,Recipes!$A$5:$A$204,0)),""))</f>
        <v>0</v>
      </c>
      <c r="P987" s="30">
        <f>IF(J987="","",IF(K987="each",J987,J987/100))</f>
        <v>0</v>
      </c>
      <c r="Q987" s="30">
        <f>IFERROR(IF(P987="","",P987*INDEX(Ingredients!$P$5:$P$304,MATCH(D987,Ingredients!$B$5:$B$304,0))),"")</f>
        <v>0</v>
      </c>
      <c r="R987" s="45">
        <f>IFERROR(IF(P987="","",P987*INDEX(Ingredients!$Q$5:$Q$304,MATCH(D987,Ingredients!$B$5:$B$304,0))),"")</f>
        <v>0</v>
      </c>
      <c r="S987" s="45">
        <f>IFERROR(IF(P987="","",P987*INDEX(Ingredients!$R$5:$R$304,MATCH(D987,Ingredients!$B$5:$B$304,0))),"")</f>
        <v>0</v>
      </c>
      <c r="T987" s="45">
        <f>IFERROR(IF(P987="","",P987*INDEX(Ingredients!$S$5:$S$304,MATCH(D987,Ingredients!$B$5:$B$304,0))),"")</f>
        <v>0</v>
      </c>
      <c r="U987" s="45">
        <f>IFERROR(IF(P987="","",P987*INDEX(Ingredients!$T$5:$T$304,MATCH(D987,Ingredients!$B$5:$B$304,0))),"")</f>
        <v>0</v>
      </c>
      <c r="V987" s="17">
        <f>IF(D987="","",IFERROR(INDEX(Ingredients!$W$5:$W$304,MATCH(D987,Ingredients!$B$5:$B$304,0)),"Add to Ingredients"))</f>
        <v>0</v>
      </c>
      <c r="W987" s="17">
        <f>IF(D987="","",IFERROR(INDEX(Ingredients!$C$5:$C$304,MATCH(D987,Ingredients!$B$5:$B$304,0)),"Add to Ingredients"))</f>
        <v>0</v>
      </c>
      <c r="X987" s="45">
        <f>IFERROR(INDEX(Recipes!$AT$5:$AT$204,MATCH(B987,Recipes!$A$5:$A$204,0)),0)</f>
        <v>0</v>
      </c>
      <c r="Y987" s="45">
        <f>IF(OR(J987="",X987=0),"",J987*X987)</f>
        <v>0</v>
      </c>
      <c r="Z987" s="17">
        <f>IF(D987="","",B987&amp;"#"&amp;COUNTIFS($B$5:B987,B987))</f>
        <v>0</v>
      </c>
      <c r="AA987" s="17">
        <f>IF(D987="","",B987&amp;"|"&amp;D987)</f>
        <v>0</v>
      </c>
      <c r="AB987" s="31">
        <f>IF(D987="","",IF(B987="","Add - which recipe?",IF(COUNTIFS(Ingredients!$B$5:$B$304,D987)=0,"Missing - not in the Ingredients tab",IF(E987="","Add - no quantity",IF(F987="","Add - no unit",IF(K987&lt;&gt;L987,"Check - recipe in "&amp;K987&amp;", priced in "&amp;L987,IF(COUNTIFS($AA$5:$AA$1204,AA987)&gt;1,"Duplicate - same ingredient twice","OK")))))))</f>
        <v>0</v>
      </c>
    </row>
    <row r="988" spans="1:28">
      <c r="A988" s="39">
        <f>IF(D988="","","RL-"&amp;TEXT(ROW()-4,"0000"))</f>
        <v>0</v>
      </c>
      <c r="C988" s="17">
        <f>IF(B988="","",IFERROR(INDEX(Recipes!$B$5:$B$204,MATCH(B988,Recipes!$A$5:$A$204,0)),"Not found"))</f>
        <v>0</v>
      </c>
      <c r="J988" s="45">
        <f>IF(E988="","",IFERROR(E988*INDEX(UnitFactors,MATCH(F988,UnitNames,0)),""))</f>
        <v>0</v>
      </c>
      <c r="K988" s="17">
        <f>IF(F988="","",IFERROR(INDEX(UnitBases,MATCH(F988,UnitNames,0)),"?"))</f>
        <v>0</v>
      </c>
      <c r="L988" s="17">
        <f>IF(D988="","",IFERROR(INDEX(Ingredients!$G$5:$G$304,MATCH(D988,Ingredients!$B$5:$B$304,0)),"Add to Ingredients"))</f>
        <v>0</v>
      </c>
      <c r="M988" s="25">
        <f>IF(D988="","",IFERROR(INDEX(Ingredients!$J$5:$J$304,MATCH(D988,Ingredients!$B$5:$B$304,0)),"Add to Ingredients"))</f>
        <v>0</v>
      </c>
      <c r="N988" s="25">
        <f>IF(OR(J988="",M988="",NOT(ISNUMBER(M988))),"",IF(K988&lt;&gt;L988,"",J988*M988))</f>
        <v>0</v>
      </c>
      <c r="O988" s="25">
        <f>IF(N988="","",IFERROR(N988/INDEX(Recipes!$G$5:$G$204,MATCH(B988,Recipes!$A$5:$A$204,0)),""))</f>
        <v>0</v>
      </c>
      <c r="P988" s="30">
        <f>IF(J988="","",IF(K988="each",J988,J988/100))</f>
        <v>0</v>
      </c>
      <c r="Q988" s="30">
        <f>IFERROR(IF(P988="","",P988*INDEX(Ingredients!$P$5:$P$304,MATCH(D988,Ingredients!$B$5:$B$304,0))),"")</f>
        <v>0</v>
      </c>
      <c r="R988" s="45">
        <f>IFERROR(IF(P988="","",P988*INDEX(Ingredients!$Q$5:$Q$304,MATCH(D988,Ingredients!$B$5:$B$304,0))),"")</f>
        <v>0</v>
      </c>
      <c r="S988" s="45">
        <f>IFERROR(IF(P988="","",P988*INDEX(Ingredients!$R$5:$R$304,MATCH(D988,Ingredients!$B$5:$B$304,0))),"")</f>
        <v>0</v>
      </c>
      <c r="T988" s="45">
        <f>IFERROR(IF(P988="","",P988*INDEX(Ingredients!$S$5:$S$304,MATCH(D988,Ingredients!$B$5:$B$304,0))),"")</f>
        <v>0</v>
      </c>
      <c r="U988" s="45">
        <f>IFERROR(IF(P988="","",P988*INDEX(Ingredients!$T$5:$T$304,MATCH(D988,Ingredients!$B$5:$B$304,0))),"")</f>
        <v>0</v>
      </c>
      <c r="V988" s="17">
        <f>IF(D988="","",IFERROR(INDEX(Ingredients!$W$5:$W$304,MATCH(D988,Ingredients!$B$5:$B$304,0)),"Add to Ingredients"))</f>
        <v>0</v>
      </c>
      <c r="W988" s="17">
        <f>IF(D988="","",IFERROR(INDEX(Ingredients!$C$5:$C$304,MATCH(D988,Ingredients!$B$5:$B$304,0)),"Add to Ingredients"))</f>
        <v>0</v>
      </c>
      <c r="X988" s="45">
        <f>IFERROR(INDEX(Recipes!$AT$5:$AT$204,MATCH(B988,Recipes!$A$5:$A$204,0)),0)</f>
        <v>0</v>
      </c>
      <c r="Y988" s="45">
        <f>IF(OR(J988="",X988=0),"",J988*X988)</f>
        <v>0</v>
      </c>
      <c r="Z988" s="17">
        <f>IF(D988="","",B988&amp;"#"&amp;COUNTIFS($B$5:B988,B988))</f>
        <v>0</v>
      </c>
      <c r="AA988" s="17">
        <f>IF(D988="","",B988&amp;"|"&amp;D988)</f>
        <v>0</v>
      </c>
      <c r="AB988" s="31">
        <f>IF(D988="","",IF(B988="","Add - which recipe?",IF(COUNTIFS(Ingredients!$B$5:$B$304,D988)=0,"Missing - not in the Ingredients tab",IF(E988="","Add - no quantity",IF(F988="","Add - no unit",IF(K988&lt;&gt;L988,"Check - recipe in "&amp;K988&amp;", priced in "&amp;L988,IF(COUNTIFS($AA$5:$AA$1204,AA988)&gt;1,"Duplicate - same ingredient twice","OK")))))))</f>
        <v>0</v>
      </c>
    </row>
    <row r="989" spans="1:28">
      <c r="A989" s="39">
        <f>IF(D989="","","RL-"&amp;TEXT(ROW()-4,"0000"))</f>
        <v>0</v>
      </c>
      <c r="C989" s="17">
        <f>IF(B989="","",IFERROR(INDEX(Recipes!$B$5:$B$204,MATCH(B989,Recipes!$A$5:$A$204,0)),"Not found"))</f>
        <v>0</v>
      </c>
      <c r="J989" s="45">
        <f>IF(E989="","",IFERROR(E989*INDEX(UnitFactors,MATCH(F989,UnitNames,0)),""))</f>
        <v>0</v>
      </c>
      <c r="K989" s="17">
        <f>IF(F989="","",IFERROR(INDEX(UnitBases,MATCH(F989,UnitNames,0)),"?"))</f>
        <v>0</v>
      </c>
      <c r="L989" s="17">
        <f>IF(D989="","",IFERROR(INDEX(Ingredients!$G$5:$G$304,MATCH(D989,Ingredients!$B$5:$B$304,0)),"Add to Ingredients"))</f>
        <v>0</v>
      </c>
      <c r="M989" s="25">
        <f>IF(D989="","",IFERROR(INDEX(Ingredients!$J$5:$J$304,MATCH(D989,Ingredients!$B$5:$B$304,0)),"Add to Ingredients"))</f>
        <v>0</v>
      </c>
      <c r="N989" s="25">
        <f>IF(OR(J989="",M989="",NOT(ISNUMBER(M989))),"",IF(K989&lt;&gt;L989,"",J989*M989))</f>
        <v>0</v>
      </c>
      <c r="O989" s="25">
        <f>IF(N989="","",IFERROR(N989/INDEX(Recipes!$G$5:$G$204,MATCH(B989,Recipes!$A$5:$A$204,0)),""))</f>
        <v>0</v>
      </c>
      <c r="P989" s="30">
        <f>IF(J989="","",IF(K989="each",J989,J989/100))</f>
        <v>0</v>
      </c>
      <c r="Q989" s="30">
        <f>IFERROR(IF(P989="","",P989*INDEX(Ingredients!$P$5:$P$304,MATCH(D989,Ingredients!$B$5:$B$304,0))),"")</f>
        <v>0</v>
      </c>
      <c r="R989" s="45">
        <f>IFERROR(IF(P989="","",P989*INDEX(Ingredients!$Q$5:$Q$304,MATCH(D989,Ingredients!$B$5:$B$304,0))),"")</f>
        <v>0</v>
      </c>
      <c r="S989" s="45">
        <f>IFERROR(IF(P989="","",P989*INDEX(Ingredients!$R$5:$R$304,MATCH(D989,Ingredients!$B$5:$B$304,0))),"")</f>
        <v>0</v>
      </c>
      <c r="T989" s="45">
        <f>IFERROR(IF(P989="","",P989*INDEX(Ingredients!$S$5:$S$304,MATCH(D989,Ingredients!$B$5:$B$304,0))),"")</f>
        <v>0</v>
      </c>
      <c r="U989" s="45">
        <f>IFERROR(IF(P989="","",P989*INDEX(Ingredients!$T$5:$T$304,MATCH(D989,Ingredients!$B$5:$B$304,0))),"")</f>
        <v>0</v>
      </c>
      <c r="V989" s="17">
        <f>IF(D989="","",IFERROR(INDEX(Ingredients!$W$5:$W$304,MATCH(D989,Ingredients!$B$5:$B$304,0)),"Add to Ingredients"))</f>
        <v>0</v>
      </c>
      <c r="W989" s="17">
        <f>IF(D989="","",IFERROR(INDEX(Ingredients!$C$5:$C$304,MATCH(D989,Ingredients!$B$5:$B$304,0)),"Add to Ingredients"))</f>
        <v>0</v>
      </c>
      <c r="X989" s="45">
        <f>IFERROR(INDEX(Recipes!$AT$5:$AT$204,MATCH(B989,Recipes!$A$5:$A$204,0)),0)</f>
        <v>0</v>
      </c>
      <c r="Y989" s="45">
        <f>IF(OR(J989="",X989=0),"",J989*X989)</f>
        <v>0</v>
      </c>
      <c r="Z989" s="17">
        <f>IF(D989="","",B989&amp;"#"&amp;COUNTIFS($B$5:B989,B989))</f>
        <v>0</v>
      </c>
      <c r="AA989" s="17">
        <f>IF(D989="","",B989&amp;"|"&amp;D989)</f>
        <v>0</v>
      </c>
      <c r="AB989" s="31">
        <f>IF(D989="","",IF(B989="","Add - which recipe?",IF(COUNTIFS(Ingredients!$B$5:$B$304,D989)=0,"Missing - not in the Ingredients tab",IF(E989="","Add - no quantity",IF(F989="","Add - no unit",IF(K989&lt;&gt;L989,"Check - recipe in "&amp;K989&amp;", priced in "&amp;L989,IF(COUNTIFS($AA$5:$AA$1204,AA989)&gt;1,"Duplicate - same ingredient twice","OK")))))))</f>
        <v>0</v>
      </c>
    </row>
    <row r="990" spans="1:28">
      <c r="A990" s="39">
        <f>IF(D990="","","RL-"&amp;TEXT(ROW()-4,"0000"))</f>
        <v>0</v>
      </c>
      <c r="C990" s="17">
        <f>IF(B990="","",IFERROR(INDEX(Recipes!$B$5:$B$204,MATCH(B990,Recipes!$A$5:$A$204,0)),"Not found"))</f>
        <v>0</v>
      </c>
      <c r="J990" s="45">
        <f>IF(E990="","",IFERROR(E990*INDEX(UnitFactors,MATCH(F990,UnitNames,0)),""))</f>
        <v>0</v>
      </c>
      <c r="K990" s="17">
        <f>IF(F990="","",IFERROR(INDEX(UnitBases,MATCH(F990,UnitNames,0)),"?"))</f>
        <v>0</v>
      </c>
      <c r="L990" s="17">
        <f>IF(D990="","",IFERROR(INDEX(Ingredients!$G$5:$G$304,MATCH(D990,Ingredients!$B$5:$B$304,0)),"Add to Ingredients"))</f>
        <v>0</v>
      </c>
      <c r="M990" s="25">
        <f>IF(D990="","",IFERROR(INDEX(Ingredients!$J$5:$J$304,MATCH(D990,Ingredients!$B$5:$B$304,0)),"Add to Ingredients"))</f>
        <v>0</v>
      </c>
      <c r="N990" s="25">
        <f>IF(OR(J990="",M990="",NOT(ISNUMBER(M990))),"",IF(K990&lt;&gt;L990,"",J990*M990))</f>
        <v>0</v>
      </c>
      <c r="O990" s="25">
        <f>IF(N990="","",IFERROR(N990/INDEX(Recipes!$G$5:$G$204,MATCH(B990,Recipes!$A$5:$A$204,0)),""))</f>
        <v>0</v>
      </c>
      <c r="P990" s="30">
        <f>IF(J990="","",IF(K990="each",J990,J990/100))</f>
        <v>0</v>
      </c>
      <c r="Q990" s="30">
        <f>IFERROR(IF(P990="","",P990*INDEX(Ingredients!$P$5:$P$304,MATCH(D990,Ingredients!$B$5:$B$304,0))),"")</f>
        <v>0</v>
      </c>
      <c r="R990" s="45">
        <f>IFERROR(IF(P990="","",P990*INDEX(Ingredients!$Q$5:$Q$304,MATCH(D990,Ingredients!$B$5:$B$304,0))),"")</f>
        <v>0</v>
      </c>
      <c r="S990" s="45">
        <f>IFERROR(IF(P990="","",P990*INDEX(Ingredients!$R$5:$R$304,MATCH(D990,Ingredients!$B$5:$B$304,0))),"")</f>
        <v>0</v>
      </c>
      <c r="T990" s="45">
        <f>IFERROR(IF(P990="","",P990*INDEX(Ingredients!$S$5:$S$304,MATCH(D990,Ingredients!$B$5:$B$304,0))),"")</f>
        <v>0</v>
      </c>
      <c r="U990" s="45">
        <f>IFERROR(IF(P990="","",P990*INDEX(Ingredients!$T$5:$T$304,MATCH(D990,Ingredients!$B$5:$B$304,0))),"")</f>
        <v>0</v>
      </c>
      <c r="V990" s="17">
        <f>IF(D990="","",IFERROR(INDEX(Ingredients!$W$5:$W$304,MATCH(D990,Ingredients!$B$5:$B$304,0)),"Add to Ingredients"))</f>
        <v>0</v>
      </c>
      <c r="W990" s="17">
        <f>IF(D990="","",IFERROR(INDEX(Ingredients!$C$5:$C$304,MATCH(D990,Ingredients!$B$5:$B$304,0)),"Add to Ingredients"))</f>
        <v>0</v>
      </c>
      <c r="X990" s="45">
        <f>IFERROR(INDEX(Recipes!$AT$5:$AT$204,MATCH(B990,Recipes!$A$5:$A$204,0)),0)</f>
        <v>0</v>
      </c>
      <c r="Y990" s="45">
        <f>IF(OR(J990="",X990=0),"",J990*X990)</f>
        <v>0</v>
      </c>
      <c r="Z990" s="17">
        <f>IF(D990="","",B990&amp;"#"&amp;COUNTIFS($B$5:B990,B990))</f>
        <v>0</v>
      </c>
      <c r="AA990" s="17">
        <f>IF(D990="","",B990&amp;"|"&amp;D990)</f>
        <v>0</v>
      </c>
      <c r="AB990" s="31">
        <f>IF(D990="","",IF(B990="","Add - which recipe?",IF(COUNTIFS(Ingredients!$B$5:$B$304,D990)=0,"Missing - not in the Ingredients tab",IF(E990="","Add - no quantity",IF(F990="","Add - no unit",IF(K990&lt;&gt;L990,"Check - recipe in "&amp;K990&amp;", priced in "&amp;L990,IF(COUNTIFS($AA$5:$AA$1204,AA990)&gt;1,"Duplicate - same ingredient twice","OK")))))))</f>
        <v>0</v>
      </c>
    </row>
    <row r="991" spans="1:28">
      <c r="A991" s="39">
        <f>IF(D991="","","RL-"&amp;TEXT(ROW()-4,"0000"))</f>
        <v>0</v>
      </c>
      <c r="C991" s="17">
        <f>IF(B991="","",IFERROR(INDEX(Recipes!$B$5:$B$204,MATCH(B991,Recipes!$A$5:$A$204,0)),"Not found"))</f>
        <v>0</v>
      </c>
      <c r="J991" s="45">
        <f>IF(E991="","",IFERROR(E991*INDEX(UnitFactors,MATCH(F991,UnitNames,0)),""))</f>
        <v>0</v>
      </c>
      <c r="K991" s="17">
        <f>IF(F991="","",IFERROR(INDEX(UnitBases,MATCH(F991,UnitNames,0)),"?"))</f>
        <v>0</v>
      </c>
      <c r="L991" s="17">
        <f>IF(D991="","",IFERROR(INDEX(Ingredients!$G$5:$G$304,MATCH(D991,Ingredients!$B$5:$B$304,0)),"Add to Ingredients"))</f>
        <v>0</v>
      </c>
      <c r="M991" s="25">
        <f>IF(D991="","",IFERROR(INDEX(Ingredients!$J$5:$J$304,MATCH(D991,Ingredients!$B$5:$B$304,0)),"Add to Ingredients"))</f>
        <v>0</v>
      </c>
      <c r="N991" s="25">
        <f>IF(OR(J991="",M991="",NOT(ISNUMBER(M991))),"",IF(K991&lt;&gt;L991,"",J991*M991))</f>
        <v>0</v>
      </c>
      <c r="O991" s="25">
        <f>IF(N991="","",IFERROR(N991/INDEX(Recipes!$G$5:$G$204,MATCH(B991,Recipes!$A$5:$A$204,0)),""))</f>
        <v>0</v>
      </c>
      <c r="P991" s="30">
        <f>IF(J991="","",IF(K991="each",J991,J991/100))</f>
        <v>0</v>
      </c>
      <c r="Q991" s="30">
        <f>IFERROR(IF(P991="","",P991*INDEX(Ingredients!$P$5:$P$304,MATCH(D991,Ingredients!$B$5:$B$304,0))),"")</f>
        <v>0</v>
      </c>
      <c r="R991" s="45">
        <f>IFERROR(IF(P991="","",P991*INDEX(Ingredients!$Q$5:$Q$304,MATCH(D991,Ingredients!$B$5:$B$304,0))),"")</f>
        <v>0</v>
      </c>
      <c r="S991" s="45">
        <f>IFERROR(IF(P991="","",P991*INDEX(Ingredients!$R$5:$R$304,MATCH(D991,Ingredients!$B$5:$B$304,0))),"")</f>
        <v>0</v>
      </c>
      <c r="T991" s="45">
        <f>IFERROR(IF(P991="","",P991*INDEX(Ingredients!$S$5:$S$304,MATCH(D991,Ingredients!$B$5:$B$304,0))),"")</f>
        <v>0</v>
      </c>
      <c r="U991" s="45">
        <f>IFERROR(IF(P991="","",P991*INDEX(Ingredients!$T$5:$T$304,MATCH(D991,Ingredients!$B$5:$B$304,0))),"")</f>
        <v>0</v>
      </c>
      <c r="V991" s="17">
        <f>IF(D991="","",IFERROR(INDEX(Ingredients!$W$5:$W$304,MATCH(D991,Ingredients!$B$5:$B$304,0)),"Add to Ingredients"))</f>
        <v>0</v>
      </c>
      <c r="W991" s="17">
        <f>IF(D991="","",IFERROR(INDEX(Ingredients!$C$5:$C$304,MATCH(D991,Ingredients!$B$5:$B$304,0)),"Add to Ingredients"))</f>
        <v>0</v>
      </c>
      <c r="X991" s="45">
        <f>IFERROR(INDEX(Recipes!$AT$5:$AT$204,MATCH(B991,Recipes!$A$5:$A$204,0)),0)</f>
        <v>0</v>
      </c>
      <c r="Y991" s="45">
        <f>IF(OR(J991="",X991=0),"",J991*X991)</f>
        <v>0</v>
      </c>
      <c r="Z991" s="17">
        <f>IF(D991="","",B991&amp;"#"&amp;COUNTIFS($B$5:B991,B991))</f>
        <v>0</v>
      </c>
      <c r="AA991" s="17">
        <f>IF(D991="","",B991&amp;"|"&amp;D991)</f>
        <v>0</v>
      </c>
      <c r="AB991" s="31">
        <f>IF(D991="","",IF(B991="","Add - which recipe?",IF(COUNTIFS(Ingredients!$B$5:$B$304,D991)=0,"Missing - not in the Ingredients tab",IF(E991="","Add - no quantity",IF(F991="","Add - no unit",IF(K991&lt;&gt;L991,"Check - recipe in "&amp;K991&amp;", priced in "&amp;L991,IF(COUNTIFS($AA$5:$AA$1204,AA991)&gt;1,"Duplicate - same ingredient twice","OK")))))))</f>
        <v>0</v>
      </c>
    </row>
    <row r="992" spans="1:28">
      <c r="A992" s="39">
        <f>IF(D992="","","RL-"&amp;TEXT(ROW()-4,"0000"))</f>
        <v>0</v>
      </c>
      <c r="C992" s="17">
        <f>IF(B992="","",IFERROR(INDEX(Recipes!$B$5:$B$204,MATCH(B992,Recipes!$A$5:$A$204,0)),"Not found"))</f>
        <v>0</v>
      </c>
      <c r="J992" s="45">
        <f>IF(E992="","",IFERROR(E992*INDEX(UnitFactors,MATCH(F992,UnitNames,0)),""))</f>
        <v>0</v>
      </c>
      <c r="K992" s="17">
        <f>IF(F992="","",IFERROR(INDEX(UnitBases,MATCH(F992,UnitNames,0)),"?"))</f>
        <v>0</v>
      </c>
      <c r="L992" s="17">
        <f>IF(D992="","",IFERROR(INDEX(Ingredients!$G$5:$G$304,MATCH(D992,Ingredients!$B$5:$B$304,0)),"Add to Ingredients"))</f>
        <v>0</v>
      </c>
      <c r="M992" s="25">
        <f>IF(D992="","",IFERROR(INDEX(Ingredients!$J$5:$J$304,MATCH(D992,Ingredients!$B$5:$B$304,0)),"Add to Ingredients"))</f>
        <v>0</v>
      </c>
      <c r="N992" s="25">
        <f>IF(OR(J992="",M992="",NOT(ISNUMBER(M992))),"",IF(K992&lt;&gt;L992,"",J992*M992))</f>
        <v>0</v>
      </c>
      <c r="O992" s="25">
        <f>IF(N992="","",IFERROR(N992/INDEX(Recipes!$G$5:$G$204,MATCH(B992,Recipes!$A$5:$A$204,0)),""))</f>
        <v>0</v>
      </c>
      <c r="P992" s="30">
        <f>IF(J992="","",IF(K992="each",J992,J992/100))</f>
        <v>0</v>
      </c>
      <c r="Q992" s="30">
        <f>IFERROR(IF(P992="","",P992*INDEX(Ingredients!$P$5:$P$304,MATCH(D992,Ingredients!$B$5:$B$304,0))),"")</f>
        <v>0</v>
      </c>
      <c r="R992" s="45">
        <f>IFERROR(IF(P992="","",P992*INDEX(Ingredients!$Q$5:$Q$304,MATCH(D992,Ingredients!$B$5:$B$304,0))),"")</f>
        <v>0</v>
      </c>
      <c r="S992" s="45">
        <f>IFERROR(IF(P992="","",P992*INDEX(Ingredients!$R$5:$R$304,MATCH(D992,Ingredients!$B$5:$B$304,0))),"")</f>
        <v>0</v>
      </c>
      <c r="T992" s="45">
        <f>IFERROR(IF(P992="","",P992*INDEX(Ingredients!$S$5:$S$304,MATCH(D992,Ingredients!$B$5:$B$304,0))),"")</f>
        <v>0</v>
      </c>
      <c r="U992" s="45">
        <f>IFERROR(IF(P992="","",P992*INDEX(Ingredients!$T$5:$T$304,MATCH(D992,Ingredients!$B$5:$B$304,0))),"")</f>
        <v>0</v>
      </c>
      <c r="V992" s="17">
        <f>IF(D992="","",IFERROR(INDEX(Ingredients!$W$5:$W$304,MATCH(D992,Ingredients!$B$5:$B$304,0)),"Add to Ingredients"))</f>
        <v>0</v>
      </c>
      <c r="W992" s="17">
        <f>IF(D992="","",IFERROR(INDEX(Ingredients!$C$5:$C$304,MATCH(D992,Ingredients!$B$5:$B$304,0)),"Add to Ingredients"))</f>
        <v>0</v>
      </c>
      <c r="X992" s="45">
        <f>IFERROR(INDEX(Recipes!$AT$5:$AT$204,MATCH(B992,Recipes!$A$5:$A$204,0)),0)</f>
        <v>0</v>
      </c>
      <c r="Y992" s="45">
        <f>IF(OR(J992="",X992=0),"",J992*X992)</f>
        <v>0</v>
      </c>
      <c r="Z992" s="17">
        <f>IF(D992="","",B992&amp;"#"&amp;COUNTIFS($B$5:B992,B992))</f>
        <v>0</v>
      </c>
      <c r="AA992" s="17">
        <f>IF(D992="","",B992&amp;"|"&amp;D992)</f>
        <v>0</v>
      </c>
      <c r="AB992" s="31">
        <f>IF(D992="","",IF(B992="","Add - which recipe?",IF(COUNTIFS(Ingredients!$B$5:$B$304,D992)=0,"Missing - not in the Ingredients tab",IF(E992="","Add - no quantity",IF(F992="","Add - no unit",IF(K992&lt;&gt;L992,"Check - recipe in "&amp;K992&amp;", priced in "&amp;L992,IF(COUNTIFS($AA$5:$AA$1204,AA992)&gt;1,"Duplicate - same ingredient twice","OK")))))))</f>
        <v>0</v>
      </c>
    </row>
    <row r="993" spans="1:28">
      <c r="A993" s="39">
        <f>IF(D993="","","RL-"&amp;TEXT(ROW()-4,"0000"))</f>
        <v>0</v>
      </c>
      <c r="C993" s="17">
        <f>IF(B993="","",IFERROR(INDEX(Recipes!$B$5:$B$204,MATCH(B993,Recipes!$A$5:$A$204,0)),"Not found"))</f>
        <v>0</v>
      </c>
      <c r="J993" s="45">
        <f>IF(E993="","",IFERROR(E993*INDEX(UnitFactors,MATCH(F993,UnitNames,0)),""))</f>
        <v>0</v>
      </c>
      <c r="K993" s="17">
        <f>IF(F993="","",IFERROR(INDEX(UnitBases,MATCH(F993,UnitNames,0)),"?"))</f>
        <v>0</v>
      </c>
      <c r="L993" s="17">
        <f>IF(D993="","",IFERROR(INDEX(Ingredients!$G$5:$G$304,MATCH(D993,Ingredients!$B$5:$B$304,0)),"Add to Ingredients"))</f>
        <v>0</v>
      </c>
      <c r="M993" s="25">
        <f>IF(D993="","",IFERROR(INDEX(Ingredients!$J$5:$J$304,MATCH(D993,Ingredients!$B$5:$B$304,0)),"Add to Ingredients"))</f>
        <v>0</v>
      </c>
      <c r="N993" s="25">
        <f>IF(OR(J993="",M993="",NOT(ISNUMBER(M993))),"",IF(K993&lt;&gt;L993,"",J993*M993))</f>
        <v>0</v>
      </c>
      <c r="O993" s="25">
        <f>IF(N993="","",IFERROR(N993/INDEX(Recipes!$G$5:$G$204,MATCH(B993,Recipes!$A$5:$A$204,0)),""))</f>
        <v>0</v>
      </c>
      <c r="P993" s="30">
        <f>IF(J993="","",IF(K993="each",J993,J993/100))</f>
        <v>0</v>
      </c>
      <c r="Q993" s="30">
        <f>IFERROR(IF(P993="","",P993*INDEX(Ingredients!$P$5:$P$304,MATCH(D993,Ingredients!$B$5:$B$304,0))),"")</f>
        <v>0</v>
      </c>
      <c r="R993" s="45">
        <f>IFERROR(IF(P993="","",P993*INDEX(Ingredients!$Q$5:$Q$304,MATCH(D993,Ingredients!$B$5:$B$304,0))),"")</f>
        <v>0</v>
      </c>
      <c r="S993" s="45">
        <f>IFERROR(IF(P993="","",P993*INDEX(Ingredients!$R$5:$R$304,MATCH(D993,Ingredients!$B$5:$B$304,0))),"")</f>
        <v>0</v>
      </c>
      <c r="T993" s="45">
        <f>IFERROR(IF(P993="","",P993*INDEX(Ingredients!$S$5:$S$304,MATCH(D993,Ingredients!$B$5:$B$304,0))),"")</f>
        <v>0</v>
      </c>
      <c r="U993" s="45">
        <f>IFERROR(IF(P993="","",P993*INDEX(Ingredients!$T$5:$T$304,MATCH(D993,Ingredients!$B$5:$B$304,0))),"")</f>
        <v>0</v>
      </c>
      <c r="V993" s="17">
        <f>IF(D993="","",IFERROR(INDEX(Ingredients!$W$5:$W$304,MATCH(D993,Ingredients!$B$5:$B$304,0)),"Add to Ingredients"))</f>
        <v>0</v>
      </c>
      <c r="W993" s="17">
        <f>IF(D993="","",IFERROR(INDEX(Ingredients!$C$5:$C$304,MATCH(D993,Ingredients!$B$5:$B$304,0)),"Add to Ingredients"))</f>
        <v>0</v>
      </c>
      <c r="X993" s="45">
        <f>IFERROR(INDEX(Recipes!$AT$5:$AT$204,MATCH(B993,Recipes!$A$5:$A$204,0)),0)</f>
        <v>0</v>
      </c>
      <c r="Y993" s="45">
        <f>IF(OR(J993="",X993=0),"",J993*X993)</f>
        <v>0</v>
      </c>
      <c r="Z993" s="17">
        <f>IF(D993="","",B993&amp;"#"&amp;COUNTIFS($B$5:B993,B993))</f>
        <v>0</v>
      </c>
      <c r="AA993" s="17">
        <f>IF(D993="","",B993&amp;"|"&amp;D993)</f>
        <v>0</v>
      </c>
      <c r="AB993" s="31">
        <f>IF(D993="","",IF(B993="","Add - which recipe?",IF(COUNTIFS(Ingredients!$B$5:$B$304,D993)=0,"Missing - not in the Ingredients tab",IF(E993="","Add - no quantity",IF(F993="","Add - no unit",IF(K993&lt;&gt;L993,"Check - recipe in "&amp;K993&amp;", priced in "&amp;L993,IF(COUNTIFS($AA$5:$AA$1204,AA993)&gt;1,"Duplicate - same ingredient twice","OK")))))))</f>
        <v>0</v>
      </c>
    </row>
    <row r="994" spans="1:28">
      <c r="A994" s="39">
        <f>IF(D994="","","RL-"&amp;TEXT(ROW()-4,"0000"))</f>
        <v>0</v>
      </c>
      <c r="C994" s="17">
        <f>IF(B994="","",IFERROR(INDEX(Recipes!$B$5:$B$204,MATCH(B994,Recipes!$A$5:$A$204,0)),"Not found"))</f>
        <v>0</v>
      </c>
      <c r="J994" s="45">
        <f>IF(E994="","",IFERROR(E994*INDEX(UnitFactors,MATCH(F994,UnitNames,0)),""))</f>
        <v>0</v>
      </c>
      <c r="K994" s="17">
        <f>IF(F994="","",IFERROR(INDEX(UnitBases,MATCH(F994,UnitNames,0)),"?"))</f>
        <v>0</v>
      </c>
      <c r="L994" s="17">
        <f>IF(D994="","",IFERROR(INDEX(Ingredients!$G$5:$G$304,MATCH(D994,Ingredients!$B$5:$B$304,0)),"Add to Ingredients"))</f>
        <v>0</v>
      </c>
      <c r="M994" s="25">
        <f>IF(D994="","",IFERROR(INDEX(Ingredients!$J$5:$J$304,MATCH(D994,Ingredients!$B$5:$B$304,0)),"Add to Ingredients"))</f>
        <v>0</v>
      </c>
      <c r="N994" s="25">
        <f>IF(OR(J994="",M994="",NOT(ISNUMBER(M994))),"",IF(K994&lt;&gt;L994,"",J994*M994))</f>
        <v>0</v>
      </c>
      <c r="O994" s="25">
        <f>IF(N994="","",IFERROR(N994/INDEX(Recipes!$G$5:$G$204,MATCH(B994,Recipes!$A$5:$A$204,0)),""))</f>
        <v>0</v>
      </c>
      <c r="P994" s="30">
        <f>IF(J994="","",IF(K994="each",J994,J994/100))</f>
        <v>0</v>
      </c>
      <c r="Q994" s="30">
        <f>IFERROR(IF(P994="","",P994*INDEX(Ingredients!$P$5:$P$304,MATCH(D994,Ingredients!$B$5:$B$304,0))),"")</f>
        <v>0</v>
      </c>
      <c r="R994" s="45">
        <f>IFERROR(IF(P994="","",P994*INDEX(Ingredients!$Q$5:$Q$304,MATCH(D994,Ingredients!$B$5:$B$304,0))),"")</f>
        <v>0</v>
      </c>
      <c r="S994" s="45">
        <f>IFERROR(IF(P994="","",P994*INDEX(Ingredients!$R$5:$R$304,MATCH(D994,Ingredients!$B$5:$B$304,0))),"")</f>
        <v>0</v>
      </c>
      <c r="T994" s="45">
        <f>IFERROR(IF(P994="","",P994*INDEX(Ingredients!$S$5:$S$304,MATCH(D994,Ingredients!$B$5:$B$304,0))),"")</f>
        <v>0</v>
      </c>
      <c r="U994" s="45">
        <f>IFERROR(IF(P994="","",P994*INDEX(Ingredients!$T$5:$T$304,MATCH(D994,Ingredients!$B$5:$B$304,0))),"")</f>
        <v>0</v>
      </c>
      <c r="V994" s="17">
        <f>IF(D994="","",IFERROR(INDEX(Ingredients!$W$5:$W$304,MATCH(D994,Ingredients!$B$5:$B$304,0)),"Add to Ingredients"))</f>
        <v>0</v>
      </c>
      <c r="W994" s="17">
        <f>IF(D994="","",IFERROR(INDEX(Ingredients!$C$5:$C$304,MATCH(D994,Ingredients!$B$5:$B$304,0)),"Add to Ingredients"))</f>
        <v>0</v>
      </c>
      <c r="X994" s="45">
        <f>IFERROR(INDEX(Recipes!$AT$5:$AT$204,MATCH(B994,Recipes!$A$5:$A$204,0)),0)</f>
        <v>0</v>
      </c>
      <c r="Y994" s="45">
        <f>IF(OR(J994="",X994=0),"",J994*X994)</f>
        <v>0</v>
      </c>
      <c r="Z994" s="17">
        <f>IF(D994="","",B994&amp;"#"&amp;COUNTIFS($B$5:B994,B994))</f>
        <v>0</v>
      </c>
      <c r="AA994" s="17">
        <f>IF(D994="","",B994&amp;"|"&amp;D994)</f>
        <v>0</v>
      </c>
      <c r="AB994" s="31">
        <f>IF(D994="","",IF(B994="","Add - which recipe?",IF(COUNTIFS(Ingredients!$B$5:$B$304,D994)=0,"Missing - not in the Ingredients tab",IF(E994="","Add - no quantity",IF(F994="","Add - no unit",IF(K994&lt;&gt;L994,"Check - recipe in "&amp;K994&amp;", priced in "&amp;L994,IF(COUNTIFS($AA$5:$AA$1204,AA994)&gt;1,"Duplicate - same ingredient twice","OK")))))))</f>
        <v>0</v>
      </c>
    </row>
    <row r="995" spans="1:28">
      <c r="A995" s="39">
        <f>IF(D995="","","RL-"&amp;TEXT(ROW()-4,"0000"))</f>
        <v>0</v>
      </c>
      <c r="C995" s="17">
        <f>IF(B995="","",IFERROR(INDEX(Recipes!$B$5:$B$204,MATCH(B995,Recipes!$A$5:$A$204,0)),"Not found"))</f>
        <v>0</v>
      </c>
      <c r="J995" s="45">
        <f>IF(E995="","",IFERROR(E995*INDEX(UnitFactors,MATCH(F995,UnitNames,0)),""))</f>
        <v>0</v>
      </c>
      <c r="K995" s="17">
        <f>IF(F995="","",IFERROR(INDEX(UnitBases,MATCH(F995,UnitNames,0)),"?"))</f>
        <v>0</v>
      </c>
      <c r="L995" s="17">
        <f>IF(D995="","",IFERROR(INDEX(Ingredients!$G$5:$G$304,MATCH(D995,Ingredients!$B$5:$B$304,0)),"Add to Ingredients"))</f>
        <v>0</v>
      </c>
      <c r="M995" s="25">
        <f>IF(D995="","",IFERROR(INDEX(Ingredients!$J$5:$J$304,MATCH(D995,Ingredients!$B$5:$B$304,0)),"Add to Ingredients"))</f>
        <v>0</v>
      </c>
      <c r="N995" s="25">
        <f>IF(OR(J995="",M995="",NOT(ISNUMBER(M995))),"",IF(K995&lt;&gt;L995,"",J995*M995))</f>
        <v>0</v>
      </c>
      <c r="O995" s="25">
        <f>IF(N995="","",IFERROR(N995/INDEX(Recipes!$G$5:$G$204,MATCH(B995,Recipes!$A$5:$A$204,0)),""))</f>
        <v>0</v>
      </c>
      <c r="P995" s="30">
        <f>IF(J995="","",IF(K995="each",J995,J995/100))</f>
        <v>0</v>
      </c>
      <c r="Q995" s="30">
        <f>IFERROR(IF(P995="","",P995*INDEX(Ingredients!$P$5:$P$304,MATCH(D995,Ingredients!$B$5:$B$304,0))),"")</f>
        <v>0</v>
      </c>
      <c r="R995" s="45">
        <f>IFERROR(IF(P995="","",P995*INDEX(Ingredients!$Q$5:$Q$304,MATCH(D995,Ingredients!$B$5:$B$304,0))),"")</f>
        <v>0</v>
      </c>
      <c r="S995" s="45">
        <f>IFERROR(IF(P995="","",P995*INDEX(Ingredients!$R$5:$R$304,MATCH(D995,Ingredients!$B$5:$B$304,0))),"")</f>
        <v>0</v>
      </c>
      <c r="T995" s="45">
        <f>IFERROR(IF(P995="","",P995*INDEX(Ingredients!$S$5:$S$304,MATCH(D995,Ingredients!$B$5:$B$304,0))),"")</f>
        <v>0</v>
      </c>
      <c r="U995" s="45">
        <f>IFERROR(IF(P995="","",P995*INDEX(Ingredients!$T$5:$T$304,MATCH(D995,Ingredients!$B$5:$B$304,0))),"")</f>
        <v>0</v>
      </c>
      <c r="V995" s="17">
        <f>IF(D995="","",IFERROR(INDEX(Ingredients!$W$5:$W$304,MATCH(D995,Ingredients!$B$5:$B$304,0)),"Add to Ingredients"))</f>
        <v>0</v>
      </c>
      <c r="W995" s="17">
        <f>IF(D995="","",IFERROR(INDEX(Ingredients!$C$5:$C$304,MATCH(D995,Ingredients!$B$5:$B$304,0)),"Add to Ingredients"))</f>
        <v>0</v>
      </c>
      <c r="X995" s="45">
        <f>IFERROR(INDEX(Recipes!$AT$5:$AT$204,MATCH(B995,Recipes!$A$5:$A$204,0)),0)</f>
        <v>0</v>
      </c>
      <c r="Y995" s="45">
        <f>IF(OR(J995="",X995=0),"",J995*X995)</f>
        <v>0</v>
      </c>
      <c r="Z995" s="17">
        <f>IF(D995="","",B995&amp;"#"&amp;COUNTIFS($B$5:B995,B995))</f>
        <v>0</v>
      </c>
      <c r="AA995" s="17">
        <f>IF(D995="","",B995&amp;"|"&amp;D995)</f>
        <v>0</v>
      </c>
      <c r="AB995" s="31">
        <f>IF(D995="","",IF(B995="","Add - which recipe?",IF(COUNTIFS(Ingredients!$B$5:$B$304,D995)=0,"Missing - not in the Ingredients tab",IF(E995="","Add - no quantity",IF(F995="","Add - no unit",IF(K995&lt;&gt;L995,"Check - recipe in "&amp;K995&amp;", priced in "&amp;L995,IF(COUNTIFS($AA$5:$AA$1204,AA995)&gt;1,"Duplicate - same ingredient twice","OK")))))))</f>
        <v>0</v>
      </c>
    </row>
    <row r="996" spans="1:28">
      <c r="A996" s="39">
        <f>IF(D996="","","RL-"&amp;TEXT(ROW()-4,"0000"))</f>
        <v>0</v>
      </c>
      <c r="C996" s="17">
        <f>IF(B996="","",IFERROR(INDEX(Recipes!$B$5:$B$204,MATCH(B996,Recipes!$A$5:$A$204,0)),"Not found"))</f>
        <v>0</v>
      </c>
      <c r="J996" s="45">
        <f>IF(E996="","",IFERROR(E996*INDEX(UnitFactors,MATCH(F996,UnitNames,0)),""))</f>
        <v>0</v>
      </c>
      <c r="K996" s="17">
        <f>IF(F996="","",IFERROR(INDEX(UnitBases,MATCH(F996,UnitNames,0)),"?"))</f>
        <v>0</v>
      </c>
      <c r="L996" s="17">
        <f>IF(D996="","",IFERROR(INDEX(Ingredients!$G$5:$G$304,MATCH(D996,Ingredients!$B$5:$B$304,0)),"Add to Ingredients"))</f>
        <v>0</v>
      </c>
      <c r="M996" s="25">
        <f>IF(D996="","",IFERROR(INDEX(Ingredients!$J$5:$J$304,MATCH(D996,Ingredients!$B$5:$B$304,0)),"Add to Ingredients"))</f>
        <v>0</v>
      </c>
      <c r="N996" s="25">
        <f>IF(OR(J996="",M996="",NOT(ISNUMBER(M996))),"",IF(K996&lt;&gt;L996,"",J996*M996))</f>
        <v>0</v>
      </c>
      <c r="O996" s="25">
        <f>IF(N996="","",IFERROR(N996/INDEX(Recipes!$G$5:$G$204,MATCH(B996,Recipes!$A$5:$A$204,0)),""))</f>
        <v>0</v>
      </c>
      <c r="P996" s="30">
        <f>IF(J996="","",IF(K996="each",J996,J996/100))</f>
        <v>0</v>
      </c>
      <c r="Q996" s="30">
        <f>IFERROR(IF(P996="","",P996*INDEX(Ingredients!$P$5:$P$304,MATCH(D996,Ingredients!$B$5:$B$304,0))),"")</f>
        <v>0</v>
      </c>
      <c r="R996" s="45">
        <f>IFERROR(IF(P996="","",P996*INDEX(Ingredients!$Q$5:$Q$304,MATCH(D996,Ingredients!$B$5:$B$304,0))),"")</f>
        <v>0</v>
      </c>
      <c r="S996" s="45">
        <f>IFERROR(IF(P996="","",P996*INDEX(Ingredients!$R$5:$R$304,MATCH(D996,Ingredients!$B$5:$B$304,0))),"")</f>
        <v>0</v>
      </c>
      <c r="T996" s="45">
        <f>IFERROR(IF(P996="","",P996*INDEX(Ingredients!$S$5:$S$304,MATCH(D996,Ingredients!$B$5:$B$304,0))),"")</f>
        <v>0</v>
      </c>
      <c r="U996" s="45">
        <f>IFERROR(IF(P996="","",P996*INDEX(Ingredients!$T$5:$T$304,MATCH(D996,Ingredients!$B$5:$B$304,0))),"")</f>
        <v>0</v>
      </c>
      <c r="V996" s="17">
        <f>IF(D996="","",IFERROR(INDEX(Ingredients!$W$5:$W$304,MATCH(D996,Ingredients!$B$5:$B$304,0)),"Add to Ingredients"))</f>
        <v>0</v>
      </c>
      <c r="W996" s="17">
        <f>IF(D996="","",IFERROR(INDEX(Ingredients!$C$5:$C$304,MATCH(D996,Ingredients!$B$5:$B$304,0)),"Add to Ingredients"))</f>
        <v>0</v>
      </c>
      <c r="X996" s="45">
        <f>IFERROR(INDEX(Recipes!$AT$5:$AT$204,MATCH(B996,Recipes!$A$5:$A$204,0)),0)</f>
        <v>0</v>
      </c>
      <c r="Y996" s="45">
        <f>IF(OR(J996="",X996=0),"",J996*X996)</f>
        <v>0</v>
      </c>
      <c r="Z996" s="17">
        <f>IF(D996="","",B996&amp;"#"&amp;COUNTIFS($B$5:B996,B996))</f>
        <v>0</v>
      </c>
      <c r="AA996" s="17">
        <f>IF(D996="","",B996&amp;"|"&amp;D996)</f>
        <v>0</v>
      </c>
      <c r="AB996" s="31">
        <f>IF(D996="","",IF(B996="","Add - which recipe?",IF(COUNTIFS(Ingredients!$B$5:$B$304,D996)=0,"Missing - not in the Ingredients tab",IF(E996="","Add - no quantity",IF(F996="","Add - no unit",IF(K996&lt;&gt;L996,"Check - recipe in "&amp;K996&amp;", priced in "&amp;L996,IF(COUNTIFS($AA$5:$AA$1204,AA996)&gt;1,"Duplicate - same ingredient twice","OK")))))))</f>
        <v>0</v>
      </c>
    </row>
    <row r="997" spans="1:28">
      <c r="A997" s="39">
        <f>IF(D997="","","RL-"&amp;TEXT(ROW()-4,"0000"))</f>
        <v>0</v>
      </c>
      <c r="C997" s="17">
        <f>IF(B997="","",IFERROR(INDEX(Recipes!$B$5:$B$204,MATCH(B997,Recipes!$A$5:$A$204,0)),"Not found"))</f>
        <v>0</v>
      </c>
      <c r="J997" s="45">
        <f>IF(E997="","",IFERROR(E997*INDEX(UnitFactors,MATCH(F997,UnitNames,0)),""))</f>
        <v>0</v>
      </c>
      <c r="K997" s="17">
        <f>IF(F997="","",IFERROR(INDEX(UnitBases,MATCH(F997,UnitNames,0)),"?"))</f>
        <v>0</v>
      </c>
      <c r="L997" s="17">
        <f>IF(D997="","",IFERROR(INDEX(Ingredients!$G$5:$G$304,MATCH(D997,Ingredients!$B$5:$B$304,0)),"Add to Ingredients"))</f>
        <v>0</v>
      </c>
      <c r="M997" s="25">
        <f>IF(D997="","",IFERROR(INDEX(Ingredients!$J$5:$J$304,MATCH(D997,Ingredients!$B$5:$B$304,0)),"Add to Ingredients"))</f>
        <v>0</v>
      </c>
      <c r="N997" s="25">
        <f>IF(OR(J997="",M997="",NOT(ISNUMBER(M997))),"",IF(K997&lt;&gt;L997,"",J997*M997))</f>
        <v>0</v>
      </c>
      <c r="O997" s="25">
        <f>IF(N997="","",IFERROR(N997/INDEX(Recipes!$G$5:$G$204,MATCH(B997,Recipes!$A$5:$A$204,0)),""))</f>
        <v>0</v>
      </c>
      <c r="P997" s="30">
        <f>IF(J997="","",IF(K997="each",J997,J997/100))</f>
        <v>0</v>
      </c>
      <c r="Q997" s="30">
        <f>IFERROR(IF(P997="","",P997*INDEX(Ingredients!$P$5:$P$304,MATCH(D997,Ingredients!$B$5:$B$304,0))),"")</f>
        <v>0</v>
      </c>
      <c r="R997" s="45">
        <f>IFERROR(IF(P997="","",P997*INDEX(Ingredients!$Q$5:$Q$304,MATCH(D997,Ingredients!$B$5:$B$304,0))),"")</f>
        <v>0</v>
      </c>
      <c r="S997" s="45">
        <f>IFERROR(IF(P997="","",P997*INDEX(Ingredients!$R$5:$R$304,MATCH(D997,Ingredients!$B$5:$B$304,0))),"")</f>
        <v>0</v>
      </c>
      <c r="T997" s="45">
        <f>IFERROR(IF(P997="","",P997*INDEX(Ingredients!$S$5:$S$304,MATCH(D997,Ingredients!$B$5:$B$304,0))),"")</f>
        <v>0</v>
      </c>
      <c r="U997" s="45">
        <f>IFERROR(IF(P997="","",P997*INDEX(Ingredients!$T$5:$T$304,MATCH(D997,Ingredients!$B$5:$B$304,0))),"")</f>
        <v>0</v>
      </c>
      <c r="V997" s="17">
        <f>IF(D997="","",IFERROR(INDEX(Ingredients!$W$5:$W$304,MATCH(D997,Ingredients!$B$5:$B$304,0)),"Add to Ingredients"))</f>
        <v>0</v>
      </c>
      <c r="W997" s="17">
        <f>IF(D997="","",IFERROR(INDEX(Ingredients!$C$5:$C$304,MATCH(D997,Ingredients!$B$5:$B$304,0)),"Add to Ingredients"))</f>
        <v>0</v>
      </c>
      <c r="X997" s="45">
        <f>IFERROR(INDEX(Recipes!$AT$5:$AT$204,MATCH(B997,Recipes!$A$5:$A$204,0)),0)</f>
        <v>0</v>
      </c>
      <c r="Y997" s="45">
        <f>IF(OR(J997="",X997=0),"",J997*X997)</f>
        <v>0</v>
      </c>
      <c r="Z997" s="17">
        <f>IF(D997="","",B997&amp;"#"&amp;COUNTIFS($B$5:B997,B997))</f>
        <v>0</v>
      </c>
      <c r="AA997" s="17">
        <f>IF(D997="","",B997&amp;"|"&amp;D997)</f>
        <v>0</v>
      </c>
      <c r="AB997" s="31">
        <f>IF(D997="","",IF(B997="","Add - which recipe?",IF(COUNTIFS(Ingredients!$B$5:$B$304,D997)=0,"Missing - not in the Ingredients tab",IF(E997="","Add - no quantity",IF(F997="","Add - no unit",IF(K997&lt;&gt;L997,"Check - recipe in "&amp;K997&amp;", priced in "&amp;L997,IF(COUNTIFS($AA$5:$AA$1204,AA997)&gt;1,"Duplicate - same ingredient twice","OK")))))))</f>
        <v>0</v>
      </c>
    </row>
    <row r="998" spans="1:28">
      <c r="A998" s="39">
        <f>IF(D998="","","RL-"&amp;TEXT(ROW()-4,"0000"))</f>
        <v>0</v>
      </c>
      <c r="C998" s="17">
        <f>IF(B998="","",IFERROR(INDEX(Recipes!$B$5:$B$204,MATCH(B998,Recipes!$A$5:$A$204,0)),"Not found"))</f>
        <v>0</v>
      </c>
      <c r="J998" s="45">
        <f>IF(E998="","",IFERROR(E998*INDEX(UnitFactors,MATCH(F998,UnitNames,0)),""))</f>
        <v>0</v>
      </c>
      <c r="K998" s="17">
        <f>IF(F998="","",IFERROR(INDEX(UnitBases,MATCH(F998,UnitNames,0)),"?"))</f>
        <v>0</v>
      </c>
      <c r="L998" s="17">
        <f>IF(D998="","",IFERROR(INDEX(Ingredients!$G$5:$G$304,MATCH(D998,Ingredients!$B$5:$B$304,0)),"Add to Ingredients"))</f>
        <v>0</v>
      </c>
      <c r="M998" s="25">
        <f>IF(D998="","",IFERROR(INDEX(Ingredients!$J$5:$J$304,MATCH(D998,Ingredients!$B$5:$B$304,0)),"Add to Ingredients"))</f>
        <v>0</v>
      </c>
      <c r="N998" s="25">
        <f>IF(OR(J998="",M998="",NOT(ISNUMBER(M998))),"",IF(K998&lt;&gt;L998,"",J998*M998))</f>
        <v>0</v>
      </c>
      <c r="O998" s="25">
        <f>IF(N998="","",IFERROR(N998/INDEX(Recipes!$G$5:$G$204,MATCH(B998,Recipes!$A$5:$A$204,0)),""))</f>
        <v>0</v>
      </c>
      <c r="P998" s="30">
        <f>IF(J998="","",IF(K998="each",J998,J998/100))</f>
        <v>0</v>
      </c>
      <c r="Q998" s="30">
        <f>IFERROR(IF(P998="","",P998*INDEX(Ingredients!$P$5:$P$304,MATCH(D998,Ingredients!$B$5:$B$304,0))),"")</f>
        <v>0</v>
      </c>
      <c r="R998" s="45">
        <f>IFERROR(IF(P998="","",P998*INDEX(Ingredients!$Q$5:$Q$304,MATCH(D998,Ingredients!$B$5:$B$304,0))),"")</f>
        <v>0</v>
      </c>
      <c r="S998" s="45">
        <f>IFERROR(IF(P998="","",P998*INDEX(Ingredients!$R$5:$R$304,MATCH(D998,Ingredients!$B$5:$B$304,0))),"")</f>
        <v>0</v>
      </c>
      <c r="T998" s="45">
        <f>IFERROR(IF(P998="","",P998*INDEX(Ingredients!$S$5:$S$304,MATCH(D998,Ingredients!$B$5:$B$304,0))),"")</f>
        <v>0</v>
      </c>
      <c r="U998" s="45">
        <f>IFERROR(IF(P998="","",P998*INDEX(Ingredients!$T$5:$T$304,MATCH(D998,Ingredients!$B$5:$B$304,0))),"")</f>
        <v>0</v>
      </c>
      <c r="V998" s="17">
        <f>IF(D998="","",IFERROR(INDEX(Ingredients!$W$5:$W$304,MATCH(D998,Ingredients!$B$5:$B$304,0)),"Add to Ingredients"))</f>
        <v>0</v>
      </c>
      <c r="W998" s="17">
        <f>IF(D998="","",IFERROR(INDEX(Ingredients!$C$5:$C$304,MATCH(D998,Ingredients!$B$5:$B$304,0)),"Add to Ingredients"))</f>
        <v>0</v>
      </c>
      <c r="X998" s="45">
        <f>IFERROR(INDEX(Recipes!$AT$5:$AT$204,MATCH(B998,Recipes!$A$5:$A$204,0)),0)</f>
        <v>0</v>
      </c>
      <c r="Y998" s="45">
        <f>IF(OR(J998="",X998=0),"",J998*X998)</f>
        <v>0</v>
      </c>
      <c r="Z998" s="17">
        <f>IF(D998="","",B998&amp;"#"&amp;COUNTIFS($B$5:B998,B998))</f>
        <v>0</v>
      </c>
      <c r="AA998" s="17">
        <f>IF(D998="","",B998&amp;"|"&amp;D998)</f>
        <v>0</v>
      </c>
      <c r="AB998" s="31">
        <f>IF(D998="","",IF(B998="","Add - which recipe?",IF(COUNTIFS(Ingredients!$B$5:$B$304,D998)=0,"Missing - not in the Ingredients tab",IF(E998="","Add - no quantity",IF(F998="","Add - no unit",IF(K998&lt;&gt;L998,"Check - recipe in "&amp;K998&amp;", priced in "&amp;L998,IF(COUNTIFS($AA$5:$AA$1204,AA998)&gt;1,"Duplicate - same ingredient twice","OK")))))))</f>
        <v>0</v>
      </c>
    </row>
    <row r="999" spans="1:28">
      <c r="A999" s="39">
        <f>IF(D999="","","RL-"&amp;TEXT(ROW()-4,"0000"))</f>
        <v>0</v>
      </c>
      <c r="C999" s="17">
        <f>IF(B999="","",IFERROR(INDEX(Recipes!$B$5:$B$204,MATCH(B999,Recipes!$A$5:$A$204,0)),"Not found"))</f>
        <v>0</v>
      </c>
      <c r="J999" s="45">
        <f>IF(E999="","",IFERROR(E999*INDEX(UnitFactors,MATCH(F999,UnitNames,0)),""))</f>
        <v>0</v>
      </c>
      <c r="K999" s="17">
        <f>IF(F999="","",IFERROR(INDEX(UnitBases,MATCH(F999,UnitNames,0)),"?"))</f>
        <v>0</v>
      </c>
      <c r="L999" s="17">
        <f>IF(D999="","",IFERROR(INDEX(Ingredients!$G$5:$G$304,MATCH(D999,Ingredients!$B$5:$B$304,0)),"Add to Ingredients"))</f>
        <v>0</v>
      </c>
      <c r="M999" s="25">
        <f>IF(D999="","",IFERROR(INDEX(Ingredients!$J$5:$J$304,MATCH(D999,Ingredients!$B$5:$B$304,0)),"Add to Ingredients"))</f>
        <v>0</v>
      </c>
      <c r="N999" s="25">
        <f>IF(OR(J999="",M999="",NOT(ISNUMBER(M999))),"",IF(K999&lt;&gt;L999,"",J999*M999))</f>
        <v>0</v>
      </c>
      <c r="O999" s="25">
        <f>IF(N999="","",IFERROR(N999/INDEX(Recipes!$G$5:$G$204,MATCH(B999,Recipes!$A$5:$A$204,0)),""))</f>
        <v>0</v>
      </c>
      <c r="P999" s="30">
        <f>IF(J999="","",IF(K999="each",J999,J999/100))</f>
        <v>0</v>
      </c>
      <c r="Q999" s="30">
        <f>IFERROR(IF(P999="","",P999*INDEX(Ingredients!$P$5:$P$304,MATCH(D999,Ingredients!$B$5:$B$304,0))),"")</f>
        <v>0</v>
      </c>
      <c r="R999" s="45">
        <f>IFERROR(IF(P999="","",P999*INDEX(Ingredients!$Q$5:$Q$304,MATCH(D999,Ingredients!$B$5:$B$304,0))),"")</f>
        <v>0</v>
      </c>
      <c r="S999" s="45">
        <f>IFERROR(IF(P999="","",P999*INDEX(Ingredients!$R$5:$R$304,MATCH(D999,Ingredients!$B$5:$B$304,0))),"")</f>
        <v>0</v>
      </c>
      <c r="T999" s="45">
        <f>IFERROR(IF(P999="","",P999*INDEX(Ingredients!$S$5:$S$304,MATCH(D999,Ingredients!$B$5:$B$304,0))),"")</f>
        <v>0</v>
      </c>
      <c r="U999" s="45">
        <f>IFERROR(IF(P999="","",P999*INDEX(Ingredients!$T$5:$T$304,MATCH(D999,Ingredients!$B$5:$B$304,0))),"")</f>
        <v>0</v>
      </c>
      <c r="V999" s="17">
        <f>IF(D999="","",IFERROR(INDEX(Ingredients!$W$5:$W$304,MATCH(D999,Ingredients!$B$5:$B$304,0)),"Add to Ingredients"))</f>
        <v>0</v>
      </c>
      <c r="W999" s="17">
        <f>IF(D999="","",IFERROR(INDEX(Ingredients!$C$5:$C$304,MATCH(D999,Ingredients!$B$5:$B$304,0)),"Add to Ingredients"))</f>
        <v>0</v>
      </c>
      <c r="X999" s="45">
        <f>IFERROR(INDEX(Recipes!$AT$5:$AT$204,MATCH(B999,Recipes!$A$5:$A$204,0)),0)</f>
        <v>0</v>
      </c>
      <c r="Y999" s="45">
        <f>IF(OR(J999="",X999=0),"",J999*X999)</f>
        <v>0</v>
      </c>
      <c r="Z999" s="17">
        <f>IF(D999="","",B999&amp;"#"&amp;COUNTIFS($B$5:B999,B999))</f>
        <v>0</v>
      </c>
      <c r="AA999" s="17">
        <f>IF(D999="","",B999&amp;"|"&amp;D999)</f>
        <v>0</v>
      </c>
      <c r="AB999" s="31">
        <f>IF(D999="","",IF(B999="","Add - which recipe?",IF(COUNTIFS(Ingredients!$B$5:$B$304,D999)=0,"Missing - not in the Ingredients tab",IF(E999="","Add - no quantity",IF(F999="","Add - no unit",IF(K999&lt;&gt;L999,"Check - recipe in "&amp;K999&amp;", priced in "&amp;L999,IF(COUNTIFS($AA$5:$AA$1204,AA999)&gt;1,"Duplicate - same ingredient twice","OK")))))))</f>
        <v>0</v>
      </c>
    </row>
    <row r="1000" spans="1:28">
      <c r="A1000" s="39">
        <f>IF(D1000="","","RL-"&amp;TEXT(ROW()-4,"0000"))</f>
        <v>0</v>
      </c>
      <c r="C1000" s="17">
        <f>IF(B1000="","",IFERROR(INDEX(Recipes!$B$5:$B$204,MATCH(B1000,Recipes!$A$5:$A$204,0)),"Not found"))</f>
        <v>0</v>
      </c>
      <c r="J1000" s="45">
        <f>IF(E1000="","",IFERROR(E1000*INDEX(UnitFactors,MATCH(F1000,UnitNames,0)),""))</f>
        <v>0</v>
      </c>
      <c r="K1000" s="17">
        <f>IF(F1000="","",IFERROR(INDEX(UnitBases,MATCH(F1000,UnitNames,0)),"?"))</f>
        <v>0</v>
      </c>
      <c r="L1000" s="17">
        <f>IF(D1000="","",IFERROR(INDEX(Ingredients!$G$5:$G$304,MATCH(D1000,Ingredients!$B$5:$B$304,0)),"Add to Ingredients"))</f>
        <v>0</v>
      </c>
      <c r="M1000" s="25">
        <f>IF(D1000="","",IFERROR(INDEX(Ingredients!$J$5:$J$304,MATCH(D1000,Ingredients!$B$5:$B$304,0)),"Add to Ingredients"))</f>
        <v>0</v>
      </c>
      <c r="N1000" s="25">
        <f>IF(OR(J1000="",M1000="",NOT(ISNUMBER(M1000))),"",IF(K1000&lt;&gt;L1000,"",J1000*M1000))</f>
        <v>0</v>
      </c>
      <c r="O1000" s="25">
        <f>IF(N1000="","",IFERROR(N1000/INDEX(Recipes!$G$5:$G$204,MATCH(B1000,Recipes!$A$5:$A$204,0)),""))</f>
        <v>0</v>
      </c>
      <c r="P1000" s="30">
        <f>IF(J1000="","",IF(K1000="each",J1000,J1000/100))</f>
        <v>0</v>
      </c>
      <c r="Q1000" s="30">
        <f>IFERROR(IF(P1000="","",P1000*INDEX(Ingredients!$P$5:$P$304,MATCH(D1000,Ingredients!$B$5:$B$304,0))),"")</f>
        <v>0</v>
      </c>
      <c r="R1000" s="45">
        <f>IFERROR(IF(P1000="","",P1000*INDEX(Ingredients!$Q$5:$Q$304,MATCH(D1000,Ingredients!$B$5:$B$304,0))),"")</f>
        <v>0</v>
      </c>
      <c r="S1000" s="45">
        <f>IFERROR(IF(P1000="","",P1000*INDEX(Ingredients!$R$5:$R$304,MATCH(D1000,Ingredients!$B$5:$B$304,0))),"")</f>
        <v>0</v>
      </c>
      <c r="T1000" s="45">
        <f>IFERROR(IF(P1000="","",P1000*INDEX(Ingredients!$S$5:$S$304,MATCH(D1000,Ingredients!$B$5:$B$304,0))),"")</f>
        <v>0</v>
      </c>
      <c r="U1000" s="45">
        <f>IFERROR(IF(P1000="","",P1000*INDEX(Ingredients!$T$5:$T$304,MATCH(D1000,Ingredients!$B$5:$B$304,0))),"")</f>
        <v>0</v>
      </c>
      <c r="V1000" s="17">
        <f>IF(D1000="","",IFERROR(INDEX(Ingredients!$W$5:$W$304,MATCH(D1000,Ingredients!$B$5:$B$304,0)),"Add to Ingredients"))</f>
        <v>0</v>
      </c>
      <c r="W1000" s="17">
        <f>IF(D1000="","",IFERROR(INDEX(Ingredients!$C$5:$C$304,MATCH(D1000,Ingredients!$B$5:$B$304,0)),"Add to Ingredients"))</f>
        <v>0</v>
      </c>
      <c r="X1000" s="45">
        <f>IFERROR(INDEX(Recipes!$AT$5:$AT$204,MATCH(B1000,Recipes!$A$5:$A$204,0)),0)</f>
        <v>0</v>
      </c>
      <c r="Y1000" s="45">
        <f>IF(OR(J1000="",X1000=0),"",J1000*X1000)</f>
        <v>0</v>
      </c>
      <c r="Z1000" s="17">
        <f>IF(D1000="","",B1000&amp;"#"&amp;COUNTIFS($B$5:B1000,B1000))</f>
        <v>0</v>
      </c>
      <c r="AA1000" s="17">
        <f>IF(D1000="","",B1000&amp;"|"&amp;D1000)</f>
        <v>0</v>
      </c>
      <c r="AB1000" s="31">
        <f>IF(D1000="","",IF(B1000="","Add - which recipe?",IF(COUNTIFS(Ingredients!$B$5:$B$304,D1000)=0,"Missing - not in the Ingredients tab",IF(E1000="","Add - no quantity",IF(F1000="","Add - no unit",IF(K1000&lt;&gt;L1000,"Check - recipe in "&amp;K1000&amp;", priced in "&amp;L1000,IF(COUNTIFS($AA$5:$AA$1204,AA1000)&gt;1,"Duplicate - same ingredient twice","OK")))))))</f>
        <v>0</v>
      </c>
    </row>
    <row r="1001" spans="1:28">
      <c r="A1001" s="39">
        <f>IF(D1001="","","RL-"&amp;TEXT(ROW()-4,"0000"))</f>
        <v>0</v>
      </c>
      <c r="C1001" s="17">
        <f>IF(B1001="","",IFERROR(INDEX(Recipes!$B$5:$B$204,MATCH(B1001,Recipes!$A$5:$A$204,0)),"Not found"))</f>
        <v>0</v>
      </c>
      <c r="J1001" s="45">
        <f>IF(E1001="","",IFERROR(E1001*INDEX(UnitFactors,MATCH(F1001,UnitNames,0)),""))</f>
        <v>0</v>
      </c>
      <c r="K1001" s="17">
        <f>IF(F1001="","",IFERROR(INDEX(UnitBases,MATCH(F1001,UnitNames,0)),"?"))</f>
        <v>0</v>
      </c>
      <c r="L1001" s="17">
        <f>IF(D1001="","",IFERROR(INDEX(Ingredients!$G$5:$G$304,MATCH(D1001,Ingredients!$B$5:$B$304,0)),"Add to Ingredients"))</f>
        <v>0</v>
      </c>
      <c r="M1001" s="25">
        <f>IF(D1001="","",IFERROR(INDEX(Ingredients!$J$5:$J$304,MATCH(D1001,Ingredients!$B$5:$B$304,0)),"Add to Ingredients"))</f>
        <v>0</v>
      </c>
      <c r="N1001" s="25">
        <f>IF(OR(J1001="",M1001="",NOT(ISNUMBER(M1001))),"",IF(K1001&lt;&gt;L1001,"",J1001*M1001))</f>
        <v>0</v>
      </c>
      <c r="O1001" s="25">
        <f>IF(N1001="","",IFERROR(N1001/INDEX(Recipes!$G$5:$G$204,MATCH(B1001,Recipes!$A$5:$A$204,0)),""))</f>
        <v>0</v>
      </c>
      <c r="P1001" s="30">
        <f>IF(J1001="","",IF(K1001="each",J1001,J1001/100))</f>
        <v>0</v>
      </c>
      <c r="Q1001" s="30">
        <f>IFERROR(IF(P1001="","",P1001*INDEX(Ingredients!$P$5:$P$304,MATCH(D1001,Ingredients!$B$5:$B$304,0))),"")</f>
        <v>0</v>
      </c>
      <c r="R1001" s="45">
        <f>IFERROR(IF(P1001="","",P1001*INDEX(Ingredients!$Q$5:$Q$304,MATCH(D1001,Ingredients!$B$5:$B$304,0))),"")</f>
        <v>0</v>
      </c>
      <c r="S1001" s="45">
        <f>IFERROR(IF(P1001="","",P1001*INDEX(Ingredients!$R$5:$R$304,MATCH(D1001,Ingredients!$B$5:$B$304,0))),"")</f>
        <v>0</v>
      </c>
      <c r="T1001" s="45">
        <f>IFERROR(IF(P1001="","",P1001*INDEX(Ingredients!$S$5:$S$304,MATCH(D1001,Ingredients!$B$5:$B$304,0))),"")</f>
        <v>0</v>
      </c>
      <c r="U1001" s="45">
        <f>IFERROR(IF(P1001="","",P1001*INDEX(Ingredients!$T$5:$T$304,MATCH(D1001,Ingredients!$B$5:$B$304,0))),"")</f>
        <v>0</v>
      </c>
      <c r="V1001" s="17">
        <f>IF(D1001="","",IFERROR(INDEX(Ingredients!$W$5:$W$304,MATCH(D1001,Ingredients!$B$5:$B$304,0)),"Add to Ingredients"))</f>
        <v>0</v>
      </c>
      <c r="W1001" s="17">
        <f>IF(D1001="","",IFERROR(INDEX(Ingredients!$C$5:$C$304,MATCH(D1001,Ingredients!$B$5:$B$304,0)),"Add to Ingredients"))</f>
        <v>0</v>
      </c>
      <c r="X1001" s="45">
        <f>IFERROR(INDEX(Recipes!$AT$5:$AT$204,MATCH(B1001,Recipes!$A$5:$A$204,0)),0)</f>
        <v>0</v>
      </c>
      <c r="Y1001" s="45">
        <f>IF(OR(J1001="",X1001=0),"",J1001*X1001)</f>
        <v>0</v>
      </c>
      <c r="Z1001" s="17">
        <f>IF(D1001="","",B1001&amp;"#"&amp;COUNTIFS($B$5:B1001,B1001))</f>
        <v>0</v>
      </c>
      <c r="AA1001" s="17">
        <f>IF(D1001="","",B1001&amp;"|"&amp;D1001)</f>
        <v>0</v>
      </c>
      <c r="AB1001" s="31">
        <f>IF(D1001="","",IF(B1001="","Add - which recipe?",IF(COUNTIFS(Ingredients!$B$5:$B$304,D1001)=0,"Missing - not in the Ingredients tab",IF(E1001="","Add - no quantity",IF(F1001="","Add - no unit",IF(K1001&lt;&gt;L1001,"Check - recipe in "&amp;K1001&amp;", priced in "&amp;L1001,IF(COUNTIFS($AA$5:$AA$1204,AA1001)&gt;1,"Duplicate - same ingredient twice","OK")))))))</f>
        <v>0</v>
      </c>
    </row>
    <row r="1002" spans="1:28">
      <c r="A1002" s="39">
        <f>IF(D1002="","","RL-"&amp;TEXT(ROW()-4,"0000"))</f>
        <v>0</v>
      </c>
      <c r="C1002" s="17">
        <f>IF(B1002="","",IFERROR(INDEX(Recipes!$B$5:$B$204,MATCH(B1002,Recipes!$A$5:$A$204,0)),"Not found"))</f>
        <v>0</v>
      </c>
      <c r="J1002" s="45">
        <f>IF(E1002="","",IFERROR(E1002*INDEX(UnitFactors,MATCH(F1002,UnitNames,0)),""))</f>
        <v>0</v>
      </c>
      <c r="K1002" s="17">
        <f>IF(F1002="","",IFERROR(INDEX(UnitBases,MATCH(F1002,UnitNames,0)),"?"))</f>
        <v>0</v>
      </c>
      <c r="L1002" s="17">
        <f>IF(D1002="","",IFERROR(INDEX(Ingredients!$G$5:$G$304,MATCH(D1002,Ingredients!$B$5:$B$304,0)),"Add to Ingredients"))</f>
        <v>0</v>
      </c>
      <c r="M1002" s="25">
        <f>IF(D1002="","",IFERROR(INDEX(Ingredients!$J$5:$J$304,MATCH(D1002,Ingredients!$B$5:$B$304,0)),"Add to Ingredients"))</f>
        <v>0</v>
      </c>
      <c r="N1002" s="25">
        <f>IF(OR(J1002="",M1002="",NOT(ISNUMBER(M1002))),"",IF(K1002&lt;&gt;L1002,"",J1002*M1002))</f>
        <v>0</v>
      </c>
      <c r="O1002" s="25">
        <f>IF(N1002="","",IFERROR(N1002/INDEX(Recipes!$G$5:$G$204,MATCH(B1002,Recipes!$A$5:$A$204,0)),""))</f>
        <v>0</v>
      </c>
      <c r="P1002" s="30">
        <f>IF(J1002="","",IF(K1002="each",J1002,J1002/100))</f>
        <v>0</v>
      </c>
      <c r="Q1002" s="30">
        <f>IFERROR(IF(P1002="","",P1002*INDEX(Ingredients!$P$5:$P$304,MATCH(D1002,Ingredients!$B$5:$B$304,0))),"")</f>
        <v>0</v>
      </c>
      <c r="R1002" s="45">
        <f>IFERROR(IF(P1002="","",P1002*INDEX(Ingredients!$Q$5:$Q$304,MATCH(D1002,Ingredients!$B$5:$B$304,0))),"")</f>
        <v>0</v>
      </c>
      <c r="S1002" s="45">
        <f>IFERROR(IF(P1002="","",P1002*INDEX(Ingredients!$R$5:$R$304,MATCH(D1002,Ingredients!$B$5:$B$304,0))),"")</f>
        <v>0</v>
      </c>
      <c r="T1002" s="45">
        <f>IFERROR(IF(P1002="","",P1002*INDEX(Ingredients!$S$5:$S$304,MATCH(D1002,Ingredients!$B$5:$B$304,0))),"")</f>
        <v>0</v>
      </c>
      <c r="U1002" s="45">
        <f>IFERROR(IF(P1002="","",P1002*INDEX(Ingredients!$T$5:$T$304,MATCH(D1002,Ingredients!$B$5:$B$304,0))),"")</f>
        <v>0</v>
      </c>
      <c r="V1002" s="17">
        <f>IF(D1002="","",IFERROR(INDEX(Ingredients!$W$5:$W$304,MATCH(D1002,Ingredients!$B$5:$B$304,0)),"Add to Ingredients"))</f>
        <v>0</v>
      </c>
      <c r="W1002" s="17">
        <f>IF(D1002="","",IFERROR(INDEX(Ingredients!$C$5:$C$304,MATCH(D1002,Ingredients!$B$5:$B$304,0)),"Add to Ingredients"))</f>
        <v>0</v>
      </c>
      <c r="X1002" s="45">
        <f>IFERROR(INDEX(Recipes!$AT$5:$AT$204,MATCH(B1002,Recipes!$A$5:$A$204,0)),0)</f>
        <v>0</v>
      </c>
      <c r="Y1002" s="45">
        <f>IF(OR(J1002="",X1002=0),"",J1002*X1002)</f>
        <v>0</v>
      </c>
      <c r="Z1002" s="17">
        <f>IF(D1002="","",B1002&amp;"#"&amp;COUNTIFS($B$5:B1002,B1002))</f>
        <v>0</v>
      </c>
      <c r="AA1002" s="17">
        <f>IF(D1002="","",B1002&amp;"|"&amp;D1002)</f>
        <v>0</v>
      </c>
      <c r="AB1002" s="31">
        <f>IF(D1002="","",IF(B1002="","Add - which recipe?",IF(COUNTIFS(Ingredients!$B$5:$B$304,D1002)=0,"Missing - not in the Ingredients tab",IF(E1002="","Add - no quantity",IF(F1002="","Add - no unit",IF(K1002&lt;&gt;L1002,"Check - recipe in "&amp;K1002&amp;", priced in "&amp;L1002,IF(COUNTIFS($AA$5:$AA$1204,AA1002)&gt;1,"Duplicate - same ingredient twice","OK")))))))</f>
        <v>0</v>
      </c>
    </row>
    <row r="1003" spans="1:28">
      <c r="A1003" s="39">
        <f>IF(D1003="","","RL-"&amp;TEXT(ROW()-4,"0000"))</f>
        <v>0</v>
      </c>
      <c r="C1003" s="17">
        <f>IF(B1003="","",IFERROR(INDEX(Recipes!$B$5:$B$204,MATCH(B1003,Recipes!$A$5:$A$204,0)),"Not found"))</f>
        <v>0</v>
      </c>
      <c r="J1003" s="45">
        <f>IF(E1003="","",IFERROR(E1003*INDEX(UnitFactors,MATCH(F1003,UnitNames,0)),""))</f>
        <v>0</v>
      </c>
      <c r="K1003" s="17">
        <f>IF(F1003="","",IFERROR(INDEX(UnitBases,MATCH(F1003,UnitNames,0)),"?"))</f>
        <v>0</v>
      </c>
      <c r="L1003" s="17">
        <f>IF(D1003="","",IFERROR(INDEX(Ingredients!$G$5:$G$304,MATCH(D1003,Ingredients!$B$5:$B$304,0)),"Add to Ingredients"))</f>
        <v>0</v>
      </c>
      <c r="M1003" s="25">
        <f>IF(D1003="","",IFERROR(INDEX(Ingredients!$J$5:$J$304,MATCH(D1003,Ingredients!$B$5:$B$304,0)),"Add to Ingredients"))</f>
        <v>0</v>
      </c>
      <c r="N1003" s="25">
        <f>IF(OR(J1003="",M1003="",NOT(ISNUMBER(M1003))),"",IF(K1003&lt;&gt;L1003,"",J1003*M1003))</f>
        <v>0</v>
      </c>
      <c r="O1003" s="25">
        <f>IF(N1003="","",IFERROR(N1003/INDEX(Recipes!$G$5:$G$204,MATCH(B1003,Recipes!$A$5:$A$204,0)),""))</f>
        <v>0</v>
      </c>
      <c r="P1003" s="30">
        <f>IF(J1003="","",IF(K1003="each",J1003,J1003/100))</f>
        <v>0</v>
      </c>
      <c r="Q1003" s="30">
        <f>IFERROR(IF(P1003="","",P1003*INDEX(Ingredients!$P$5:$P$304,MATCH(D1003,Ingredients!$B$5:$B$304,0))),"")</f>
        <v>0</v>
      </c>
      <c r="R1003" s="45">
        <f>IFERROR(IF(P1003="","",P1003*INDEX(Ingredients!$Q$5:$Q$304,MATCH(D1003,Ingredients!$B$5:$B$304,0))),"")</f>
        <v>0</v>
      </c>
      <c r="S1003" s="45">
        <f>IFERROR(IF(P1003="","",P1003*INDEX(Ingredients!$R$5:$R$304,MATCH(D1003,Ingredients!$B$5:$B$304,0))),"")</f>
        <v>0</v>
      </c>
      <c r="T1003" s="45">
        <f>IFERROR(IF(P1003="","",P1003*INDEX(Ingredients!$S$5:$S$304,MATCH(D1003,Ingredients!$B$5:$B$304,0))),"")</f>
        <v>0</v>
      </c>
      <c r="U1003" s="45">
        <f>IFERROR(IF(P1003="","",P1003*INDEX(Ingredients!$T$5:$T$304,MATCH(D1003,Ingredients!$B$5:$B$304,0))),"")</f>
        <v>0</v>
      </c>
      <c r="V1003" s="17">
        <f>IF(D1003="","",IFERROR(INDEX(Ingredients!$W$5:$W$304,MATCH(D1003,Ingredients!$B$5:$B$304,0)),"Add to Ingredients"))</f>
        <v>0</v>
      </c>
      <c r="W1003" s="17">
        <f>IF(D1003="","",IFERROR(INDEX(Ingredients!$C$5:$C$304,MATCH(D1003,Ingredients!$B$5:$B$304,0)),"Add to Ingredients"))</f>
        <v>0</v>
      </c>
      <c r="X1003" s="45">
        <f>IFERROR(INDEX(Recipes!$AT$5:$AT$204,MATCH(B1003,Recipes!$A$5:$A$204,0)),0)</f>
        <v>0</v>
      </c>
      <c r="Y1003" s="45">
        <f>IF(OR(J1003="",X1003=0),"",J1003*X1003)</f>
        <v>0</v>
      </c>
      <c r="Z1003" s="17">
        <f>IF(D1003="","",B1003&amp;"#"&amp;COUNTIFS($B$5:B1003,B1003))</f>
        <v>0</v>
      </c>
      <c r="AA1003" s="17">
        <f>IF(D1003="","",B1003&amp;"|"&amp;D1003)</f>
        <v>0</v>
      </c>
      <c r="AB1003" s="31">
        <f>IF(D1003="","",IF(B1003="","Add - which recipe?",IF(COUNTIFS(Ingredients!$B$5:$B$304,D1003)=0,"Missing - not in the Ingredients tab",IF(E1003="","Add - no quantity",IF(F1003="","Add - no unit",IF(K1003&lt;&gt;L1003,"Check - recipe in "&amp;K1003&amp;", priced in "&amp;L1003,IF(COUNTIFS($AA$5:$AA$1204,AA1003)&gt;1,"Duplicate - same ingredient twice","OK")))))))</f>
        <v>0</v>
      </c>
    </row>
    <row r="1004" spans="1:28">
      <c r="A1004" s="39">
        <f>IF(D1004="","","RL-"&amp;TEXT(ROW()-4,"0000"))</f>
        <v>0</v>
      </c>
      <c r="C1004" s="17">
        <f>IF(B1004="","",IFERROR(INDEX(Recipes!$B$5:$B$204,MATCH(B1004,Recipes!$A$5:$A$204,0)),"Not found"))</f>
        <v>0</v>
      </c>
      <c r="J1004" s="45">
        <f>IF(E1004="","",IFERROR(E1004*INDEX(UnitFactors,MATCH(F1004,UnitNames,0)),""))</f>
        <v>0</v>
      </c>
      <c r="K1004" s="17">
        <f>IF(F1004="","",IFERROR(INDEX(UnitBases,MATCH(F1004,UnitNames,0)),"?"))</f>
        <v>0</v>
      </c>
      <c r="L1004" s="17">
        <f>IF(D1004="","",IFERROR(INDEX(Ingredients!$G$5:$G$304,MATCH(D1004,Ingredients!$B$5:$B$304,0)),"Add to Ingredients"))</f>
        <v>0</v>
      </c>
      <c r="M1004" s="25">
        <f>IF(D1004="","",IFERROR(INDEX(Ingredients!$J$5:$J$304,MATCH(D1004,Ingredients!$B$5:$B$304,0)),"Add to Ingredients"))</f>
        <v>0</v>
      </c>
      <c r="N1004" s="25">
        <f>IF(OR(J1004="",M1004="",NOT(ISNUMBER(M1004))),"",IF(K1004&lt;&gt;L1004,"",J1004*M1004))</f>
        <v>0</v>
      </c>
      <c r="O1004" s="25">
        <f>IF(N1004="","",IFERROR(N1004/INDEX(Recipes!$G$5:$G$204,MATCH(B1004,Recipes!$A$5:$A$204,0)),""))</f>
        <v>0</v>
      </c>
      <c r="P1004" s="30">
        <f>IF(J1004="","",IF(K1004="each",J1004,J1004/100))</f>
        <v>0</v>
      </c>
      <c r="Q1004" s="30">
        <f>IFERROR(IF(P1004="","",P1004*INDEX(Ingredients!$P$5:$P$304,MATCH(D1004,Ingredients!$B$5:$B$304,0))),"")</f>
        <v>0</v>
      </c>
      <c r="R1004" s="45">
        <f>IFERROR(IF(P1004="","",P1004*INDEX(Ingredients!$Q$5:$Q$304,MATCH(D1004,Ingredients!$B$5:$B$304,0))),"")</f>
        <v>0</v>
      </c>
      <c r="S1004" s="45">
        <f>IFERROR(IF(P1004="","",P1004*INDEX(Ingredients!$R$5:$R$304,MATCH(D1004,Ingredients!$B$5:$B$304,0))),"")</f>
        <v>0</v>
      </c>
      <c r="T1004" s="45">
        <f>IFERROR(IF(P1004="","",P1004*INDEX(Ingredients!$S$5:$S$304,MATCH(D1004,Ingredients!$B$5:$B$304,0))),"")</f>
        <v>0</v>
      </c>
      <c r="U1004" s="45">
        <f>IFERROR(IF(P1004="","",P1004*INDEX(Ingredients!$T$5:$T$304,MATCH(D1004,Ingredients!$B$5:$B$304,0))),"")</f>
        <v>0</v>
      </c>
      <c r="V1004" s="17">
        <f>IF(D1004="","",IFERROR(INDEX(Ingredients!$W$5:$W$304,MATCH(D1004,Ingredients!$B$5:$B$304,0)),"Add to Ingredients"))</f>
        <v>0</v>
      </c>
      <c r="W1004" s="17">
        <f>IF(D1004="","",IFERROR(INDEX(Ingredients!$C$5:$C$304,MATCH(D1004,Ingredients!$B$5:$B$304,0)),"Add to Ingredients"))</f>
        <v>0</v>
      </c>
      <c r="X1004" s="45">
        <f>IFERROR(INDEX(Recipes!$AT$5:$AT$204,MATCH(B1004,Recipes!$A$5:$A$204,0)),0)</f>
        <v>0</v>
      </c>
      <c r="Y1004" s="45">
        <f>IF(OR(J1004="",X1004=0),"",J1004*X1004)</f>
        <v>0</v>
      </c>
      <c r="Z1004" s="17">
        <f>IF(D1004="","",B1004&amp;"#"&amp;COUNTIFS($B$5:B1004,B1004))</f>
        <v>0</v>
      </c>
      <c r="AA1004" s="17">
        <f>IF(D1004="","",B1004&amp;"|"&amp;D1004)</f>
        <v>0</v>
      </c>
      <c r="AB1004" s="31">
        <f>IF(D1004="","",IF(B1004="","Add - which recipe?",IF(COUNTIFS(Ingredients!$B$5:$B$304,D1004)=0,"Missing - not in the Ingredients tab",IF(E1004="","Add - no quantity",IF(F1004="","Add - no unit",IF(K1004&lt;&gt;L1004,"Check - recipe in "&amp;K1004&amp;", priced in "&amp;L1004,IF(COUNTIFS($AA$5:$AA$1204,AA1004)&gt;1,"Duplicate - same ingredient twice","OK")))))))</f>
        <v>0</v>
      </c>
    </row>
    <row r="1005" spans="1:28">
      <c r="A1005" s="39">
        <f>IF(D1005="","","RL-"&amp;TEXT(ROW()-4,"0000"))</f>
        <v>0</v>
      </c>
      <c r="C1005" s="17">
        <f>IF(B1005="","",IFERROR(INDEX(Recipes!$B$5:$B$204,MATCH(B1005,Recipes!$A$5:$A$204,0)),"Not found"))</f>
        <v>0</v>
      </c>
      <c r="J1005" s="45">
        <f>IF(E1005="","",IFERROR(E1005*INDEX(UnitFactors,MATCH(F1005,UnitNames,0)),""))</f>
        <v>0</v>
      </c>
      <c r="K1005" s="17">
        <f>IF(F1005="","",IFERROR(INDEX(UnitBases,MATCH(F1005,UnitNames,0)),"?"))</f>
        <v>0</v>
      </c>
      <c r="L1005" s="17">
        <f>IF(D1005="","",IFERROR(INDEX(Ingredients!$G$5:$G$304,MATCH(D1005,Ingredients!$B$5:$B$304,0)),"Add to Ingredients"))</f>
        <v>0</v>
      </c>
      <c r="M1005" s="25">
        <f>IF(D1005="","",IFERROR(INDEX(Ingredients!$J$5:$J$304,MATCH(D1005,Ingredients!$B$5:$B$304,0)),"Add to Ingredients"))</f>
        <v>0</v>
      </c>
      <c r="N1005" s="25">
        <f>IF(OR(J1005="",M1005="",NOT(ISNUMBER(M1005))),"",IF(K1005&lt;&gt;L1005,"",J1005*M1005))</f>
        <v>0</v>
      </c>
      <c r="O1005" s="25">
        <f>IF(N1005="","",IFERROR(N1005/INDEX(Recipes!$G$5:$G$204,MATCH(B1005,Recipes!$A$5:$A$204,0)),""))</f>
        <v>0</v>
      </c>
      <c r="P1005" s="30">
        <f>IF(J1005="","",IF(K1005="each",J1005,J1005/100))</f>
        <v>0</v>
      </c>
      <c r="Q1005" s="30">
        <f>IFERROR(IF(P1005="","",P1005*INDEX(Ingredients!$P$5:$P$304,MATCH(D1005,Ingredients!$B$5:$B$304,0))),"")</f>
        <v>0</v>
      </c>
      <c r="R1005" s="45">
        <f>IFERROR(IF(P1005="","",P1005*INDEX(Ingredients!$Q$5:$Q$304,MATCH(D1005,Ingredients!$B$5:$B$304,0))),"")</f>
        <v>0</v>
      </c>
      <c r="S1005" s="45">
        <f>IFERROR(IF(P1005="","",P1005*INDEX(Ingredients!$R$5:$R$304,MATCH(D1005,Ingredients!$B$5:$B$304,0))),"")</f>
        <v>0</v>
      </c>
      <c r="T1005" s="45">
        <f>IFERROR(IF(P1005="","",P1005*INDEX(Ingredients!$S$5:$S$304,MATCH(D1005,Ingredients!$B$5:$B$304,0))),"")</f>
        <v>0</v>
      </c>
      <c r="U1005" s="45">
        <f>IFERROR(IF(P1005="","",P1005*INDEX(Ingredients!$T$5:$T$304,MATCH(D1005,Ingredients!$B$5:$B$304,0))),"")</f>
        <v>0</v>
      </c>
      <c r="V1005" s="17">
        <f>IF(D1005="","",IFERROR(INDEX(Ingredients!$W$5:$W$304,MATCH(D1005,Ingredients!$B$5:$B$304,0)),"Add to Ingredients"))</f>
        <v>0</v>
      </c>
      <c r="W1005" s="17">
        <f>IF(D1005="","",IFERROR(INDEX(Ingredients!$C$5:$C$304,MATCH(D1005,Ingredients!$B$5:$B$304,0)),"Add to Ingredients"))</f>
        <v>0</v>
      </c>
      <c r="X1005" s="45">
        <f>IFERROR(INDEX(Recipes!$AT$5:$AT$204,MATCH(B1005,Recipes!$A$5:$A$204,0)),0)</f>
        <v>0</v>
      </c>
      <c r="Y1005" s="45">
        <f>IF(OR(J1005="",X1005=0),"",J1005*X1005)</f>
        <v>0</v>
      </c>
      <c r="Z1005" s="17">
        <f>IF(D1005="","",B1005&amp;"#"&amp;COUNTIFS($B$5:B1005,B1005))</f>
        <v>0</v>
      </c>
      <c r="AA1005" s="17">
        <f>IF(D1005="","",B1005&amp;"|"&amp;D1005)</f>
        <v>0</v>
      </c>
      <c r="AB1005" s="31">
        <f>IF(D1005="","",IF(B1005="","Add - which recipe?",IF(COUNTIFS(Ingredients!$B$5:$B$304,D1005)=0,"Missing - not in the Ingredients tab",IF(E1005="","Add - no quantity",IF(F1005="","Add - no unit",IF(K1005&lt;&gt;L1005,"Check - recipe in "&amp;K1005&amp;", priced in "&amp;L1005,IF(COUNTIFS($AA$5:$AA$1204,AA1005)&gt;1,"Duplicate - same ingredient twice","OK")))))))</f>
        <v>0</v>
      </c>
    </row>
    <row r="1006" spans="1:28">
      <c r="A1006" s="39">
        <f>IF(D1006="","","RL-"&amp;TEXT(ROW()-4,"0000"))</f>
        <v>0</v>
      </c>
      <c r="C1006" s="17">
        <f>IF(B1006="","",IFERROR(INDEX(Recipes!$B$5:$B$204,MATCH(B1006,Recipes!$A$5:$A$204,0)),"Not found"))</f>
        <v>0</v>
      </c>
      <c r="J1006" s="45">
        <f>IF(E1006="","",IFERROR(E1006*INDEX(UnitFactors,MATCH(F1006,UnitNames,0)),""))</f>
        <v>0</v>
      </c>
      <c r="K1006" s="17">
        <f>IF(F1006="","",IFERROR(INDEX(UnitBases,MATCH(F1006,UnitNames,0)),"?"))</f>
        <v>0</v>
      </c>
      <c r="L1006" s="17">
        <f>IF(D1006="","",IFERROR(INDEX(Ingredients!$G$5:$G$304,MATCH(D1006,Ingredients!$B$5:$B$304,0)),"Add to Ingredients"))</f>
        <v>0</v>
      </c>
      <c r="M1006" s="25">
        <f>IF(D1006="","",IFERROR(INDEX(Ingredients!$J$5:$J$304,MATCH(D1006,Ingredients!$B$5:$B$304,0)),"Add to Ingredients"))</f>
        <v>0</v>
      </c>
      <c r="N1006" s="25">
        <f>IF(OR(J1006="",M1006="",NOT(ISNUMBER(M1006))),"",IF(K1006&lt;&gt;L1006,"",J1006*M1006))</f>
        <v>0</v>
      </c>
      <c r="O1006" s="25">
        <f>IF(N1006="","",IFERROR(N1006/INDEX(Recipes!$G$5:$G$204,MATCH(B1006,Recipes!$A$5:$A$204,0)),""))</f>
        <v>0</v>
      </c>
      <c r="P1006" s="30">
        <f>IF(J1006="","",IF(K1006="each",J1006,J1006/100))</f>
        <v>0</v>
      </c>
      <c r="Q1006" s="30">
        <f>IFERROR(IF(P1006="","",P1006*INDEX(Ingredients!$P$5:$P$304,MATCH(D1006,Ingredients!$B$5:$B$304,0))),"")</f>
        <v>0</v>
      </c>
      <c r="R1006" s="45">
        <f>IFERROR(IF(P1006="","",P1006*INDEX(Ingredients!$Q$5:$Q$304,MATCH(D1006,Ingredients!$B$5:$B$304,0))),"")</f>
        <v>0</v>
      </c>
      <c r="S1006" s="45">
        <f>IFERROR(IF(P1006="","",P1006*INDEX(Ingredients!$R$5:$R$304,MATCH(D1006,Ingredients!$B$5:$B$304,0))),"")</f>
        <v>0</v>
      </c>
      <c r="T1006" s="45">
        <f>IFERROR(IF(P1006="","",P1006*INDEX(Ingredients!$S$5:$S$304,MATCH(D1006,Ingredients!$B$5:$B$304,0))),"")</f>
        <v>0</v>
      </c>
      <c r="U1006" s="45">
        <f>IFERROR(IF(P1006="","",P1006*INDEX(Ingredients!$T$5:$T$304,MATCH(D1006,Ingredients!$B$5:$B$304,0))),"")</f>
        <v>0</v>
      </c>
      <c r="V1006" s="17">
        <f>IF(D1006="","",IFERROR(INDEX(Ingredients!$W$5:$W$304,MATCH(D1006,Ingredients!$B$5:$B$304,0)),"Add to Ingredients"))</f>
        <v>0</v>
      </c>
      <c r="W1006" s="17">
        <f>IF(D1006="","",IFERROR(INDEX(Ingredients!$C$5:$C$304,MATCH(D1006,Ingredients!$B$5:$B$304,0)),"Add to Ingredients"))</f>
        <v>0</v>
      </c>
      <c r="X1006" s="45">
        <f>IFERROR(INDEX(Recipes!$AT$5:$AT$204,MATCH(B1006,Recipes!$A$5:$A$204,0)),0)</f>
        <v>0</v>
      </c>
      <c r="Y1006" s="45">
        <f>IF(OR(J1006="",X1006=0),"",J1006*X1006)</f>
        <v>0</v>
      </c>
      <c r="Z1006" s="17">
        <f>IF(D1006="","",B1006&amp;"#"&amp;COUNTIFS($B$5:B1006,B1006))</f>
        <v>0</v>
      </c>
      <c r="AA1006" s="17">
        <f>IF(D1006="","",B1006&amp;"|"&amp;D1006)</f>
        <v>0</v>
      </c>
      <c r="AB1006" s="31">
        <f>IF(D1006="","",IF(B1006="","Add - which recipe?",IF(COUNTIFS(Ingredients!$B$5:$B$304,D1006)=0,"Missing - not in the Ingredients tab",IF(E1006="","Add - no quantity",IF(F1006="","Add - no unit",IF(K1006&lt;&gt;L1006,"Check - recipe in "&amp;K1006&amp;", priced in "&amp;L1006,IF(COUNTIFS($AA$5:$AA$1204,AA1006)&gt;1,"Duplicate - same ingredient twice","OK")))))))</f>
        <v>0</v>
      </c>
    </row>
    <row r="1007" spans="1:28">
      <c r="A1007" s="39">
        <f>IF(D1007="","","RL-"&amp;TEXT(ROW()-4,"0000"))</f>
        <v>0</v>
      </c>
      <c r="C1007" s="17">
        <f>IF(B1007="","",IFERROR(INDEX(Recipes!$B$5:$B$204,MATCH(B1007,Recipes!$A$5:$A$204,0)),"Not found"))</f>
        <v>0</v>
      </c>
      <c r="J1007" s="45">
        <f>IF(E1007="","",IFERROR(E1007*INDEX(UnitFactors,MATCH(F1007,UnitNames,0)),""))</f>
        <v>0</v>
      </c>
      <c r="K1007" s="17">
        <f>IF(F1007="","",IFERROR(INDEX(UnitBases,MATCH(F1007,UnitNames,0)),"?"))</f>
        <v>0</v>
      </c>
      <c r="L1007" s="17">
        <f>IF(D1007="","",IFERROR(INDEX(Ingredients!$G$5:$G$304,MATCH(D1007,Ingredients!$B$5:$B$304,0)),"Add to Ingredients"))</f>
        <v>0</v>
      </c>
      <c r="M1007" s="25">
        <f>IF(D1007="","",IFERROR(INDEX(Ingredients!$J$5:$J$304,MATCH(D1007,Ingredients!$B$5:$B$304,0)),"Add to Ingredients"))</f>
        <v>0</v>
      </c>
      <c r="N1007" s="25">
        <f>IF(OR(J1007="",M1007="",NOT(ISNUMBER(M1007))),"",IF(K1007&lt;&gt;L1007,"",J1007*M1007))</f>
        <v>0</v>
      </c>
      <c r="O1007" s="25">
        <f>IF(N1007="","",IFERROR(N1007/INDEX(Recipes!$G$5:$G$204,MATCH(B1007,Recipes!$A$5:$A$204,0)),""))</f>
        <v>0</v>
      </c>
      <c r="P1007" s="30">
        <f>IF(J1007="","",IF(K1007="each",J1007,J1007/100))</f>
        <v>0</v>
      </c>
      <c r="Q1007" s="30">
        <f>IFERROR(IF(P1007="","",P1007*INDEX(Ingredients!$P$5:$P$304,MATCH(D1007,Ingredients!$B$5:$B$304,0))),"")</f>
        <v>0</v>
      </c>
      <c r="R1007" s="45">
        <f>IFERROR(IF(P1007="","",P1007*INDEX(Ingredients!$Q$5:$Q$304,MATCH(D1007,Ingredients!$B$5:$B$304,0))),"")</f>
        <v>0</v>
      </c>
      <c r="S1007" s="45">
        <f>IFERROR(IF(P1007="","",P1007*INDEX(Ingredients!$R$5:$R$304,MATCH(D1007,Ingredients!$B$5:$B$304,0))),"")</f>
        <v>0</v>
      </c>
      <c r="T1007" s="45">
        <f>IFERROR(IF(P1007="","",P1007*INDEX(Ingredients!$S$5:$S$304,MATCH(D1007,Ingredients!$B$5:$B$304,0))),"")</f>
        <v>0</v>
      </c>
      <c r="U1007" s="45">
        <f>IFERROR(IF(P1007="","",P1007*INDEX(Ingredients!$T$5:$T$304,MATCH(D1007,Ingredients!$B$5:$B$304,0))),"")</f>
        <v>0</v>
      </c>
      <c r="V1007" s="17">
        <f>IF(D1007="","",IFERROR(INDEX(Ingredients!$W$5:$W$304,MATCH(D1007,Ingredients!$B$5:$B$304,0)),"Add to Ingredients"))</f>
        <v>0</v>
      </c>
      <c r="W1007" s="17">
        <f>IF(D1007="","",IFERROR(INDEX(Ingredients!$C$5:$C$304,MATCH(D1007,Ingredients!$B$5:$B$304,0)),"Add to Ingredients"))</f>
        <v>0</v>
      </c>
      <c r="X1007" s="45">
        <f>IFERROR(INDEX(Recipes!$AT$5:$AT$204,MATCH(B1007,Recipes!$A$5:$A$204,0)),0)</f>
        <v>0</v>
      </c>
      <c r="Y1007" s="45">
        <f>IF(OR(J1007="",X1007=0),"",J1007*X1007)</f>
        <v>0</v>
      </c>
      <c r="Z1007" s="17">
        <f>IF(D1007="","",B1007&amp;"#"&amp;COUNTIFS($B$5:B1007,B1007))</f>
        <v>0</v>
      </c>
      <c r="AA1007" s="17">
        <f>IF(D1007="","",B1007&amp;"|"&amp;D1007)</f>
        <v>0</v>
      </c>
      <c r="AB1007" s="31">
        <f>IF(D1007="","",IF(B1007="","Add - which recipe?",IF(COUNTIFS(Ingredients!$B$5:$B$304,D1007)=0,"Missing - not in the Ingredients tab",IF(E1007="","Add - no quantity",IF(F1007="","Add - no unit",IF(K1007&lt;&gt;L1007,"Check - recipe in "&amp;K1007&amp;", priced in "&amp;L1007,IF(COUNTIFS($AA$5:$AA$1204,AA1007)&gt;1,"Duplicate - same ingredient twice","OK")))))))</f>
        <v>0</v>
      </c>
    </row>
    <row r="1008" spans="1:28">
      <c r="A1008" s="39">
        <f>IF(D1008="","","RL-"&amp;TEXT(ROW()-4,"0000"))</f>
        <v>0</v>
      </c>
      <c r="C1008" s="17">
        <f>IF(B1008="","",IFERROR(INDEX(Recipes!$B$5:$B$204,MATCH(B1008,Recipes!$A$5:$A$204,0)),"Not found"))</f>
        <v>0</v>
      </c>
      <c r="J1008" s="45">
        <f>IF(E1008="","",IFERROR(E1008*INDEX(UnitFactors,MATCH(F1008,UnitNames,0)),""))</f>
        <v>0</v>
      </c>
      <c r="K1008" s="17">
        <f>IF(F1008="","",IFERROR(INDEX(UnitBases,MATCH(F1008,UnitNames,0)),"?"))</f>
        <v>0</v>
      </c>
      <c r="L1008" s="17">
        <f>IF(D1008="","",IFERROR(INDEX(Ingredients!$G$5:$G$304,MATCH(D1008,Ingredients!$B$5:$B$304,0)),"Add to Ingredients"))</f>
        <v>0</v>
      </c>
      <c r="M1008" s="25">
        <f>IF(D1008="","",IFERROR(INDEX(Ingredients!$J$5:$J$304,MATCH(D1008,Ingredients!$B$5:$B$304,0)),"Add to Ingredients"))</f>
        <v>0</v>
      </c>
      <c r="N1008" s="25">
        <f>IF(OR(J1008="",M1008="",NOT(ISNUMBER(M1008))),"",IF(K1008&lt;&gt;L1008,"",J1008*M1008))</f>
        <v>0</v>
      </c>
      <c r="O1008" s="25">
        <f>IF(N1008="","",IFERROR(N1008/INDEX(Recipes!$G$5:$G$204,MATCH(B1008,Recipes!$A$5:$A$204,0)),""))</f>
        <v>0</v>
      </c>
      <c r="P1008" s="30">
        <f>IF(J1008="","",IF(K1008="each",J1008,J1008/100))</f>
        <v>0</v>
      </c>
      <c r="Q1008" s="30">
        <f>IFERROR(IF(P1008="","",P1008*INDEX(Ingredients!$P$5:$P$304,MATCH(D1008,Ingredients!$B$5:$B$304,0))),"")</f>
        <v>0</v>
      </c>
      <c r="R1008" s="45">
        <f>IFERROR(IF(P1008="","",P1008*INDEX(Ingredients!$Q$5:$Q$304,MATCH(D1008,Ingredients!$B$5:$B$304,0))),"")</f>
        <v>0</v>
      </c>
      <c r="S1008" s="45">
        <f>IFERROR(IF(P1008="","",P1008*INDEX(Ingredients!$R$5:$R$304,MATCH(D1008,Ingredients!$B$5:$B$304,0))),"")</f>
        <v>0</v>
      </c>
      <c r="T1008" s="45">
        <f>IFERROR(IF(P1008="","",P1008*INDEX(Ingredients!$S$5:$S$304,MATCH(D1008,Ingredients!$B$5:$B$304,0))),"")</f>
        <v>0</v>
      </c>
      <c r="U1008" s="45">
        <f>IFERROR(IF(P1008="","",P1008*INDEX(Ingredients!$T$5:$T$304,MATCH(D1008,Ingredients!$B$5:$B$304,0))),"")</f>
        <v>0</v>
      </c>
      <c r="V1008" s="17">
        <f>IF(D1008="","",IFERROR(INDEX(Ingredients!$W$5:$W$304,MATCH(D1008,Ingredients!$B$5:$B$304,0)),"Add to Ingredients"))</f>
        <v>0</v>
      </c>
      <c r="W1008" s="17">
        <f>IF(D1008="","",IFERROR(INDEX(Ingredients!$C$5:$C$304,MATCH(D1008,Ingredients!$B$5:$B$304,0)),"Add to Ingredients"))</f>
        <v>0</v>
      </c>
      <c r="X1008" s="45">
        <f>IFERROR(INDEX(Recipes!$AT$5:$AT$204,MATCH(B1008,Recipes!$A$5:$A$204,0)),0)</f>
        <v>0</v>
      </c>
      <c r="Y1008" s="45">
        <f>IF(OR(J1008="",X1008=0),"",J1008*X1008)</f>
        <v>0</v>
      </c>
      <c r="Z1008" s="17">
        <f>IF(D1008="","",B1008&amp;"#"&amp;COUNTIFS($B$5:B1008,B1008))</f>
        <v>0</v>
      </c>
      <c r="AA1008" s="17">
        <f>IF(D1008="","",B1008&amp;"|"&amp;D1008)</f>
        <v>0</v>
      </c>
      <c r="AB1008" s="31">
        <f>IF(D1008="","",IF(B1008="","Add - which recipe?",IF(COUNTIFS(Ingredients!$B$5:$B$304,D1008)=0,"Missing - not in the Ingredients tab",IF(E1008="","Add - no quantity",IF(F1008="","Add - no unit",IF(K1008&lt;&gt;L1008,"Check - recipe in "&amp;K1008&amp;", priced in "&amp;L1008,IF(COUNTIFS($AA$5:$AA$1204,AA1008)&gt;1,"Duplicate - same ingredient twice","OK")))))))</f>
        <v>0</v>
      </c>
    </row>
    <row r="1009" spans="1:28">
      <c r="A1009" s="39">
        <f>IF(D1009="","","RL-"&amp;TEXT(ROW()-4,"0000"))</f>
        <v>0</v>
      </c>
      <c r="C1009" s="17">
        <f>IF(B1009="","",IFERROR(INDEX(Recipes!$B$5:$B$204,MATCH(B1009,Recipes!$A$5:$A$204,0)),"Not found"))</f>
        <v>0</v>
      </c>
      <c r="J1009" s="45">
        <f>IF(E1009="","",IFERROR(E1009*INDEX(UnitFactors,MATCH(F1009,UnitNames,0)),""))</f>
        <v>0</v>
      </c>
      <c r="K1009" s="17">
        <f>IF(F1009="","",IFERROR(INDEX(UnitBases,MATCH(F1009,UnitNames,0)),"?"))</f>
        <v>0</v>
      </c>
      <c r="L1009" s="17">
        <f>IF(D1009="","",IFERROR(INDEX(Ingredients!$G$5:$G$304,MATCH(D1009,Ingredients!$B$5:$B$304,0)),"Add to Ingredients"))</f>
        <v>0</v>
      </c>
      <c r="M1009" s="25">
        <f>IF(D1009="","",IFERROR(INDEX(Ingredients!$J$5:$J$304,MATCH(D1009,Ingredients!$B$5:$B$304,0)),"Add to Ingredients"))</f>
        <v>0</v>
      </c>
      <c r="N1009" s="25">
        <f>IF(OR(J1009="",M1009="",NOT(ISNUMBER(M1009))),"",IF(K1009&lt;&gt;L1009,"",J1009*M1009))</f>
        <v>0</v>
      </c>
      <c r="O1009" s="25">
        <f>IF(N1009="","",IFERROR(N1009/INDEX(Recipes!$G$5:$G$204,MATCH(B1009,Recipes!$A$5:$A$204,0)),""))</f>
        <v>0</v>
      </c>
      <c r="P1009" s="30">
        <f>IF(J1009="","",IF(K1009="each",J1009,J1009/100))</f>
        <v>0</v>
      </c>
      <c r="Q1009" s="30">
        <f>IFERROR(IF(P1009="","",P1009*INDEX(Ingredients!$P$5:$P$304,MATCH(D1009,Ingredients!$B$5:$B$304,0))),"")</f>
        <v>0</v>
      </c>
      <c r="R1009" s="45">
        <f>IFERROR(IF(P1009="","",P1009*INDEX(Ingredients!$Q$5:$Q$304,MATCH(D1009,Ingredients!$B$5:$B$304,0))),"")</f>
        <v>0</v>
      </c>
      <c r="S1009" s="45">
        <f>IFERROR(IF(P1009="","",P1009*INDEX(Ingredients!$R$5:$R$304,MATCH(D1009,Ingredients!$B$5:$B$304,0))),"")</f>
        <v>0</v>
      </c>
      <c r="T1009" s="45">
        <f>IFERROR(IF(P1009="","",P1009*INDEX(Ingredients!$S$5:$S$304,MATCH(D1009,Ingredients!$B$5:$B$304,0))),"")</f>
        <v>0</v>
      </c>
      <c r="U1009" s="45">
        <f>IFERROR(IF(P1009="","",P1009*INDEX(Ingredients!$T$5:$T$304,MATCH(D1009,Ingredients!$B$5:$B$304,0))),"")</f>
        <v>0</v>
      </c>
      <c r="V1009" s="17">
        <f>IF(D1009="","",IFERROR(INDEX(Ingredients!$W$5:$W$304,MATCH(D1009,Ingredients!$B$5:$B$304,0)),"Add to Ingredients"))</f>
        <v>0</v>
      </c>
      <c r="W1009" s="17">
        <f>IF(D1009="","",IFERROR(INDEX(Ingredients!$C$5:$C$304,MATCH(D1009,Ingredients!$B$5:$B$304,0)),"Add to Ingredients"))</f>
        <v>0</v>
      </c>
      <c r="X1009" s="45">
        <f>IFERROR(INDEX(Recipes!$AT$5:$AT$204,MATCH(B1009,Recipes!$A$5:$A$204,0)),0)</f>
        <v>0</v>
      </c>
      <c r="Y1009" s="45">
        <f>IF(OR(J1009="",X1009=0),"",J1009*X1009)</f>
        <v>0</v>
      </c>
      <c r="Z1009" s="17">
        <f>IF(D1009="","",B1009&amp;"#"&amp;COUNTIFS($B$5:B1009,B1009))</f>
        <v>0</v>
      </c>
      <c r="AA1009" s="17">
        <f>IF(D1009="","",B1009&amp;"|"&amp;D1009)</f>
        <v>0</v>
      </c>
      <c r="AB1009" s="31">
        <f>IF(D1009="","",IF(B1009="","Add - which recipe?",IF(COUNTIFS(Ingredients!$B$5:$B$304,D1009)=0,"Missing - not in the Ingredients tab",IF(E1009="","Add - no quantity",IF(F1009="","Add - no unit",IF(K1009&lt;&gt;L1009,"Check - recipe in "&amp;K1009&amp;", priced in "&amp;L1009,IF(COUNTIFS($AA$5:$AA$1204,AA1009)&gt;1,"Duplicate - same ingredient twice","OK")))))))</f>
        <v>0</v>
      </c>
    </row>
    <row r="1010" spans="1:28">
      <c r="A1010" s="39">
        <f>IF(D1010="","","RL-"&amp;TEXT(ROW()-4,"0000"))</f>
        <v>0</v>
      </c>
      <c r="C1010" s="17">
        <f>IF(B1010="","",IFERROR(INDEX(Recipes!$B$5:$B$204,MATCH(B1010,Recipes!$A$5:$A$204,0)),"Not found"))</f>
        <v>0</v>
      </c>
      <c r="J1010" s="45">
        <f>IF(E1010="","",IFERROR(E1010*INDEX(UnitFactors,MATCH(F1010,UnitNames,0)),""))</f>
        <v>0</v>
      </c>
      <c r="K1010" s="17">
        <f>IF(F1010="","",IFERROR(INDEX(UnitBases,MATCH(F1010,UnitNames,0)),"?"))</f>
        <v>0</v>
      </c>
      <c r="L1010" s="17">
        <f>IF(D1010="","",IFERROR(INDEX(Ingredients!$G$5:$G$304,MATCH(D1010,Ingredients!$B$5:$B$304,0)),"Add to Ingredients"))</f>
        <v>0</v>
      </c>
      <c r="M1010" s="25">
        <f>IF(D1010="","",IFERROR(INDEX(Ingredients!$J$5:$J$304,MATCH(D1010,Ingredients!$B$5:$B$304,0)),"Add to Ingredients"))</f>
        <v>0</v>
      </c>
      <c r="N1010" s="25">
        <f>IF(OR(J1010="",M1010="",NOT(ISNUMBER(M1010))),"",IF(K1010&lt;&gt;L1010,"",J1010*M1010))</f>
        <v>0</v>
      </c>
      <c r="O1010" s="25">
        <f>IF(N1010="","",IFERROR(N1010/INDEX(Recipes!$G$5:$G$204,MATCH(B1010,Recipes!$A$5:$A$204,0)),""))</f>
        <v>0</v>
      </c>
      <c r="P1010" s="30">
        <f>IF(J1010="","",IF(K1010="each",J1010,J1010/100))</f>
        <v>0</v>
      </c>
      <c r="Q1010" s="30">
        <f>IFERROR(IF(P1010="","",P1010*INDEX(Ingredients!$P$5:$P$304,MATCH(D1010,Ingredients!$B$5:$B$304,0))),"")</f>
        <v>0</v>
      </c>
      <c r="R1010" s="45">
        <f>IFERROR(IF(P1010="","",P1010*INDEX(Ingredients!$Q$5:$Q$304,MATCH(D1010,Ingredients!$B$5:$B$304,0))),"")</f>
        <v>0</v>
      </c>
      <c r="S1010" s="45">
        <f>IFERROR(IF(P1010="","",P1010*INDEX(Ingredients!$R$5:$R$304,MATCH(D1010,Ingredients!$B$5:$B$304,0))),"")</f>
        <v>0</v>
      </c>
      <c r="T1010" s="45">
        <f>IFERROR(IF(P1010="","",P1010*INDEX(Ingredients!$S$5:$S$304,MATCH(D1010,Ingredients!$B$5:$B$304,0))),"")</f>
        <v>0</v>
      </c>
      <c r="U1010" s="45">
        <f>IFERROR(IF(P1010="","",P1010*INDEX(Ingredients!$T$5:$T$304,MATCH(D1010,Ingredients!$B$5:$B$304,0))),"")</f>
        <v>0</v>
      </c>
      <c r="V1010" s="17">
        <f>IF(D1010="","",IFERROR(INDEX(Ingredients!$W$5:$W$304,MATCH(D1010,Ingredients!$B$5:$B$304,0)),"Add to Ingredients"))</f>
        <v>0</v>
      </c>
      <c r="W1010" s="17">
        <f>IF(D1010="","",IFERROR(INDEX(Ingredients!$C$5:$C$304,MATCH(D1010,Ingredients!$B$5:$B$304,0)),"Add to Ingredients"))</f>
        <v>0</v>
      </c>
      <c r="X1010" s="45">
        <f>IFERROR(INDEX(Recipes!$AT$5:$AT$204,MATCH(B1010,Recipes!$A$5:$A$204,0)),0)</f>
        <v>0</v>
      </c>
      <c r="Y1010" s="45">
        <f>IF(OR(J1010="",X1010=0),"",J1010*X1010)</f>
        <v>0</v>
      </c>
      <c r="Z1010" s="17">
        <f>IF(D1010="","",B1010&amp;"#"&amp;COUNTIFS($B$5:B1010,B1010))</f>
        <v>0</v>
      </c>
      <c r="AA1010" s="17">
        <f>IF(D1010="","",B1010&amp;"|"&amp;D1010)</f>
        <v>0</v>
      </c>
      <c r="AB1010" s="31">
        <f>IF(D1010="","",IF(B1010="","Add - which recipe?",IF(COUNTIFS(Ingredients!$B$5:$B$304,D1010)=0,"Missing - not in the Ingredients tab",IF(E1010="","Add - no quantity",IF(F1010="","Add - no unit",IF(K1010&lt;&gt;L1010,"Check - recipe in "&amp;K1010&amp;", priced in "&amp;L1010,IF(COUNTIFS($AA$5:$AA$1204,AA1010)&gt;1,"Duplicate - same ingredient twice","OK")))))))</f>
        <v>0</v>
      </c>
    </row>
    <row r="1011" spans="1:28">
      <c r="A1011" s="39">
        <f>IF(D1011="","","RL-"&amp;TEXT(ROW()-4,"0000"))</f>
        <v>0</v>
      </c>
      <c r="C1011" s="17">
        <f>IF(B1011="","",IFERROR(INDEX(Recipes!$B$5:$B$204,MATCH(B1011,Recipes!$A$5:$A$204,0)),"Not found"))</f>
        <v>0</v>
      </c>
      <c r="J1011" s="45">
        <f>IF(E1011="","",IFERROR(E1011*INDEX(UnitFactors,MATCH(F1011,UnitNames,0)),""))</f>
        <v>0</v>
      </c>
      <c r="K1011" s="17">
        <f>IF(F1011="","",IFERROR(INDEX(UnitBases,MATCH(F1011,UnitNames,0)),"?"))</f>
        <v>0</v>
      </c>
      <c r="L1011" s="17">
        <f>IF(D1011="","",IFERROR(INDEX(Ingredients!$G$5:$G$304,MATCH(D1011,Ingredients!$B$5:$B$304,0)),"Add to Ingredients"))</f>
        <v>0</v>
      </c>
      <c r="M1011" s="25">
        <f>IF(D1011="","",IFERROR(INDEX(Ingredients!$J$5:$J$304,MATCH(D1011,Ingredients!$B$5:$B$304,0)),"Add to Ingredients"))</f>
        <v>0</v>
      </c>
      <c r="N1011" s="25">
        <f>IF(OR(J1011="",M1011="",NOT(ISNUMBER(M1011))),"",IF(K1011&lt;&gt;L1011,"",J1011*M1011))</f>
        <v>0</v>
      </c>
      <c r="O1011" s="25">
        <f>IF(N1011="","",IFERROR(N1011/INDEX(Recipes!$G$5:$G$204,MATCH(B1011,Recipes!$A$5:$A$204,0)),""))</f>
        <v>0</v>
      </c>
      <c r="P1011" s="30">
        <f>IF(J1011="","",IF(K1011="each",J1011,J1011/100))</f>
        <v>0</v>
      </c>
      <c r="Q1011" s="30">
        <f>IFERROR(IF(P1011="","",P1011*INDEX(Ingredients!$P$5:$P$304,MATCH(D1011,Ingredients!$B$5:$B$304,0))),"")</f>
        <v>0</v>
      </c>
      <c r="R1011" s="45">
        <f>IFERROR(IF(P1011="","",P1011*INDEX(Ingredients!$Q$5:$Q$304,MATCH(D1011,Ingredients!$B$5:$B$304,0))),"")</f>
        <v>0</v>
      </c>
      <c r="S1011" s="45">
        <f>IFERROR(IF(P1011="","",P1011*INDEX(Ingredients!$R$5:$R$304,MATCH(D1011,Ingredients!$B$5:$B$304,0))),"")</f>
        <v>0</v>
      </c>
      <c r="T1011" s="45">
        <f>IFERROR(IF(P1011="","",P1011*INDEX(Ingredients!$S$5:$S$304,MATCH(D1011,Ingredients!$B$5:$B$304,0))),"")</f>
        <v>0</v>
      </c>
      <c r="U1011" s="45">
        <f>IFERROR(IF(P1011="","",P1011*INDEX(Ingredients!$T$5:$T$304,MATCH(D1011,Ingredients!$B$5:$B$304,0))),"")</f>
        <v>0</v>
      </c>
      <c r="V1011" s="17">
        <f>IF(D1011="","",IFERROR(INDEX(Ingredients!$W$5:$W$304,MATCH(D1011,Ingredients!$B$5:$B$304,0)),"Add to Ingredients"))</f>
        <v>0</v>
      </c>
      <c r="W1011" s="17">
        <f>IF(D1011="","",IFERROR(INDEX(Ingredients!$C$5:$C$304,MATCH(D1011,Ingredients!$B$5:$B$304,0)),"Add to Ingredients"))</f>
        <v>0</v>
      </c>
      <c r="X1011" s="45">
        <f>IFERROR(INDEX(Recipes!$AT$5:$AT$204,MATCH(B1011,Recipes!$A$5:$A$204,0)),0)</f>
        <v>0</v>
      </c>
      <c r="Y1011" s="45">
        <f>IF(OR(J1011="",X1011=0),"",J1011*X1011)</f>
        <v>0</v>
      </c>
      <c r="Z1011" s="17">
        <f>IF(D1011="","",B1011&amp;"#"&amp;COUNTIFS($B$5:B1011,B1011))</f>
        <v>0</v>
      </c>
      <c r="AA1011" s="17">
        <f>IF(D1011="","",B1011&amp;"|"&amp;D1011)</f>
        <v>0</v>
      </c>
      <c r="AB1011" s="31">
        <f>IF(D1011="","",IF(B1011="","Add - which recipe?",IF(COUNTIFS(Ingredients!$B$5:$B$304,D1011)=0,"Missing - not in the Ingredients tab",IF(E1011="","Add - no quantity",IF(F1011="","Add - no unit",IF(K1011&lt;&gt;L1011,"Check - recipe in "&amp;K1011&amp;", priced in "&amp;L1011,IF(COUNTIFS($AA$5:$AA$1204,AA1011)&gt;1,"Duplicate - same ingredient twice","OK")))))))</f>
        <v>0</v>
      </c>
    </row>
    <row r="1012" spans="1:28">
      <c r="A1012" s="39">
        <f>IF(D1012="","","RL-"&amp;TEXT(ROW()-4,"0000"))</f>
        <v>0</v>
      </c>
      <c r="C1012" s="17">
        <f>IF(B1012="","",IFERROR(INDEX(Recipes!$B$5:$B$204,MATCH(B1012,Recipes!$A$5:$A$204,0)),"Not found"))</f>
        <v>0</v>
      </c>
      <c r="J1012" s="45">
        <f>IF(E1012="","",IFERROR(E1012*INDEX(UnitFactors,MATCH(F1012,UnitNames,0)),""))</f>
        <v>0</v>
      </c>
      <c r="K1012" s="17">
        <f>IF(F1012="","",IFERROR(INDEX(UnitBases,MATCH(F1012,UnitNames,0)),"?"))</f>
        <v>0</v>
      </c>
      <c r="L1012" s="17">
        <f>IF(D1012="","",IFERROR(INDEX(Ingredients!$G$5:$G$304,MATCH(D1012,Ingredients!$B$5:$B$304,0)),"Add to Ingredients"))</f>
        <v>0</v>
      </c>
      <c r="M1012" s="25">
        <f>IF(D1012="","",IFERROR(INDEX(Ingredients!$J$5:$J$304,MATCH(D1012,Ingredients!$B$5:$B$304,0)),"Add to Ingredients"))</f>
        <v>0</v>
      </c>
      <c r="N1012" s="25">
        <f>IF(OR(J1012="",M1012="",NOT(ISNUMBER(M1012))),"",IF(K1012&lt;&gt;L1012,"",J1012*M1012))</f>
        <v>0</v>
      </c>
      <c r="O1012" s="25">
        <f>IF(N1012="","",IFERROR(N1012/INDEX(Recipes!$G$5:$G$204,MATCH(B1012,Recipes!$A$5:$A$204,0)),""))</f>
        <v>0</v>
      </c>
      <c r="P1012" s="30">
        <f>IF(J1012="","",IF(K1012="each",J1012,J1012/100))</f>
        <v>0</v>
      </c>
      <c r="Q1012" s="30">
        <f>IFERROR(IF(P1012="","",P1012*INDEX(Ingredients!$P$5:$P$304,MATCH(D1012,Ingredients!$B$5:$B$304,0))),"")</f>
        <v>0</v>
      </c>
      <c r="R1012" s="45">
        <f>IFERROR(IF(P1012="","",P1012*INDEX(Ingredients!$Q$5:$Q$304,MATCH(D1012,Ingredients!$B$5:$B$304,0))),"")</f>
        <v>0</v>
      </c>
      <c r="S1012" s="45">
        <f>IFERROR(IF(P1012="","",P1012*INDEX(Ingredients!$R$5:$R$304,MATCH(D1012,Ingredients!$B$5:$B$304,0))),"")</f>
        <v>0</v>
      </c>
      <c r="T1012" s="45">
        <f>IFERROR(IF(P1012="","",P1012*INDEX(Ingredients!$S$5:$S$304,MATCH(D1012,Ingredients!$B$5:$B$304,0))),"")</f>
        <v>0</v>
      </c>
      <c r="U1012" s="45">
        <f>IFERROR(IF(P1012="","",P1012*INDEX(Ingredients!$T$5:$T$304,MATCH(D1012,Ingredients!$B$5:$B$304,0))),"")</f>
        <v>0</v>
      </c>
      <c r="V1012" s="17">
        <f>IF(D1012="","",IFERROR(INDEX(Ingredients!$W$5:$W$304,MATCH(D1012,Ingredients!$B$5:$B$304,0)),"Add to Ingredients"))</f>
        <v>0</v>
      </c>
      <c r="W1012" s="17">
        <f>IF(D1012="","",IFERROR(INDEX(Ingredients!$C$5:$C$304,MATCH(D1012,Ingredients!$B$5:$B$304,0)),"Add to Ingredients"))</f>
        <v>0</v>
      </c>
      <c r="X1012" s="45">
        <f>IFERROR(INDEX(Recipes!$AT$5:$AT$204,MATCH(B1012,Recipes!$A$5:$A$204,0)),0)</f>
        <v>0</v>
      </c>
      <c r="Y1012" s="45">
        <f>IF(OR(J1012="",X1012=0),"",J1012*X1012)</f>
        <v>0</v>
      </c>
      <c r="Z1012" s="17">
        <f>IF(D1012="","",B1012&amp;"#"&amp;COUNTIFS($B$5:B1012,B1012))</f>
        <v>0</v>
      </c>
      <c r="AA1012" s="17">
        <f>IF(D1012="","",B1012&amp;"|"&amp;D1012)</f>
        <v>0</v>
      </c>
      <c r="AB1012" s="31">
        <f>IF(D1012="","",IF(B1012="","Add - which recipe?",IF(COUNTIFS(Ingredients!$B$5:$B$304,D1012)=0,"Missing - not in the Ingredients tab",IF(E1012="","Add - no quantity",IF(F1012="","Add - no unit",IF(K1012&lt;&gt;L1012,"Check - recipe in "&amp;K1012&amp;", priced in "&amp;L1012,IF(COUNTIFS($AA$5:$AA$1204,AA1012)&gt;1,"Duplicate - same ingredient twice","OK")))))))</f>
        <v>0</v>
      </c>
    </row>
    <row r="1013" spans="1:28">
      <c r="A1013" s="39">
        <f>IF(D1013="","","RL-"&amp;TEXT(ROW()-4,"0000"))</f>
        <v>0</v>
      </c>
      <c r="C1013" s="17">
        <f>IF(B1013="","",IFERROR(INDEX(Recipes!$B$5:$B$204,MATCH(B1013,Recipes!$A$5:$A$204,0)),"Not found"))</f>
        <v>0</v>
      </c>
      <c r="J1013" s="45">
        <f>IF(E1013="","",IFERROR(E1013*INDEX(UnitFactors,MATCH(F1013,UnitNames,0)),""))</f>
        <v>0</v>
      </c>
      <c r="K1013" s="17">
        <f>IF(F1013="","",IFERROR(INDEX(UnitBases,MATCH(F1013,UnitNames,0)),"?"))</f>
        <v>0</v>
      </c>
      <c r="L1013" s="17">
        <f>IF(D1013="","",IFERROR(INDEX(Ingredients!$G$5:$G$304,MATCH(D1013,Ingredients!$B$5:$B$304,0)),"Add to Ingredients"))</f>
        <v>0</v>
      </c>
      <c r="M1013" s="25">
        <f>IF(D1013="","",IFERROR(INDEX(Ingredients!$J$5:$J$304,MATCH(D1013,Ingredients!$B$5:$B$304,0)),"Add to Ingredients"))</f>
        <v>0</v>
      </c>
      <c r="N1013" s="25">
        <f>IF(OR(J1013="",M1013="",NOT(ISNUMBER(M1013))),"",IF(K1013&lt;&gt;L1013,"",J1013*M1013))</f>
        <v>0</v>
      </c>
      <c r="O1013" s="25">
        <f>IF(N1013="","",IFERROR(N1013/INDEX(Recipes!$G$5:$G$204,MATCH(B1013,Recipes!$A$5:$A$204,0)),""))</f>
        <v>0</v>
      </c>
      <c r="P1013" s="30">
        <f>IF(J1013="","",IF(K1013="each",J1013,J1013/100))</f>
        <v>0</v>
      </c>
      <c r="Q1013" s="30">
        <f>IFERROR(IF(P1013="","",P1013*INDEX(Ingredients!$P$5:$P$304,MATCH(D1013,Ingredients!$B$5:$B$304,0))),"")</f>
        <v>0</v>
      </c>
      <c r="R1013" s="45">
        <f>IFERROR(IF(P1013="","",P1013*INDEX(Ingredients!$Q$5:$Q$304,MATCH(D1013,Ingredients!$B$5:$B$304,0))),"")</f>
        <v>0</v>
      </c>
      <c r="S1013" s="45">
        <f>IFERROR(IF(P1013="","",P1013*INDEX(Ingredients!$R$5:$R$304,MATCH(D1013,Ingredients!$B$5:$B$304,0))),"")</f>
        <v>0</v>
      </c>
      <c r="T1013" s="45">
        <f>IFERROR(IF(P1013="","",P1013*INDEX(Ingredients!$S$5:$S$304,MATCH(D1013,Ingredients!$B$5:$B$304,0))),"")</f>
        <v>0</v>
      </c>
      <c r="U1013" s="45">
        <f>IFERROR(IF(P1013="","",P1013*INDEX(Ingredients!$T$5:$T$304,MATCH(D1013,Ingredients!$B$5:$B$304,0))),"")</f>
        <v>0</v>
      </c>
      <c r="V1013" s="17">
        <f>IF(D1013="","",IFERROR(INDEX(Ingredients!$W$5:$W$304,MATCH(D1013,Ingredients!$B$5:$B$304,0)),"Add to Ingredients"))</f>
        <v>0</v>
      </c>
      <c r="W1013" s="17">
        <f>IF(D1013="","",IFERROR(INDEX(Ingredients!$C$5:$C$304,MATCH(D1013,Ingredients!$B$5:$B$304,0)),"Add to Ingredients"))</f>
        <v>0</v>
      </c>
      <c r="X1013" s="45">
        <f>IFERROR(INDEX(Recipes!$AT$5:$AT$204,MATCH(B1013,Recipes!$A$5:$A$204,0)),0)</f>
        <v>0</v>
      </c>
      <c r="Y1013" s="45">
        <f>IF(OR(J1013="",X1013=0),"",J1013*X1013)</f>
        <v>0</v>
      </c>
      <c r="Z1013" s="17">
        <f>IF(D1013="","",B1013&amp;"#"&amp;COUNTIFS($B$5:B1013,B1013))</f>
        <v>0</v>
      </c>
      <c r="AA1013" s="17">
        <f>IF(D1013="","",B1013&amp;"|"&amp;D1013)</f>
        <v>0</v>
      </c>
      <c r="AB1013" s="31">
        <f>IF(D1013="","",IF(B1013="","Add - which recipe?",IF(COUNTIFS(Ingredients!$B$5:$B$304,D1013)=0,"Missing - not in the Ingredients tab",IF(E1013="","Add - no quantity",IF(F1013="","Add - no unit",IF(K1013&lt;&gt;L1013,"Check - recipe in "&amp;K1013&amp;", priced in "&amp;L1013,IF(COUNTIFS($AA$5:$AA$1204,AA1013)&gt;1,"Duplicate - same ingredient twice","OK")))))))</f>
        <v>0</v>
      </c>
    </row>
    <row r="1014" spans="1:28">
      <c r="A1014" s="39">
        <f>IF(D1014="","","RL-"&amp;TEXT(ROW()-4,"0000"))</f>
        <v>0</v>
      </c>
      <c r="C1014" s="17">
        <f>IF(B1014="","",IFERROR(INDEX(Recipes!$B$5:$B$204,MATCH(B1014,Recipes!$A$5:$A$204,0)),"Not found"))</f>
        <v>0</v>
      </c>
      <c r="J1014" s="45">
        <f>IF(E1014="","",IFERROR(E1014*INDEX(UnitFactors,MATCH(F1014,UnitNames,0)),""))</f>
        <v>0</v>
      </c>
      <c r="K1014" s="17">
        <f>IF(F1014="","",IFERROR(INDEX(UnitBases,MATCH(F1014,UnitNames,0)),"?"))</f>
        <v>0</v>
      </c>
      <c r="L1014" s="17">
        <f>IF(D1014="","",IFERROR(INDEX(Ingredients!$G$5:$G$304,MATCH(D1014,Ingredients!$B$5:$B$304,0)),"Add to Ingredients"))</f>
        <v>0</v>
      </c>
      <c r="M1014" s="25">
        <f>IF(D1014="","",IFERROR(INDEX(Ingredients!$J$5:$J$304,MATCH(D1014,Ingredients!$B$5:$B$304,0)),"Add to Ingredients"))</f>
        <v>0</v>
      </c>
      <c r="N1014" s="25">
        <f>IF(OR(J1014="",M1014="",NOT(ISNUMBER(M1014))),"",IF(K1014&lt;&gt;L1014,"",J1014*M1014))</f>
        <v>0</v>
      </c>
      <c r="O1014" s="25">
        <f>IF(N1014="","",IFERROR(N1014/INDEX(Recipes!$G$5:$G$204,MATCH(B1014,Recipes!$A$5:$A$204,0)),""))</f>
        <v>0</v>
      </c>
      <c r="P1014" s="30">
        <f>IF(J1014="","",IF(K1014="each",J1014,J1014/100))</f>
        <v>0</v>
      </c>
      <c r="Q1014" s="30">
        <f>IFERROR(IF(P1014="","",P1014*INDEX(Ingredients!$P$5:$P$304,MATCH(D1014,Ingredients!$B$5:$B$304,0))),"")</f>
        <v>0</v>
      </c>
      <c r="R1014" s="45">
        <f>IFERROR(IF(P1014="","",P1014*INDEX(Ingredients!$Q$5:$Q$304,MATCH(D1014,Ingredients!$B$5:$B$304,0))),"")</f>
        <v>0</v>
      </c>
      <c r="S1014" s="45">
        <f>IFERROR(IF(P1014="","",P1014*INDEX(Ingredients!$R$5:$R$304,MATCH(D1014,Ingredients!$B$5:$B$304,0))),"")</f>
        <v>0</v>
      </c>
      <c r="T1014" s="45">
        <f>IFERROR(IF(P1014="","",P1014*INDEX(Ingredients!$S$5:$S$304,MATCH(D1014,Ingredients!$B$5:$B$304,0))),"")</f>
        <v>0</v>
      </c>
      <c r="U1014" s="45">
        <f>IFERROR(IF(P1014="","",P1014*INDEX(Ingredients!$T$5:$T$304,MATCH(D1014,Ingredients!$B$5:$B$304,0))),"")</f>
        <v>0</v>
      </c>
      <c r="V1014" s="17">
        <f>IF(D1014="","",IFERROR(INDEX(Ingredients!$W$5:$W$304,MATCH(D1014,Ingredients!$B$5:$B$304,0)),"Add to Ingredients"))</f>
        <v>0</v>
      </c>
      <c r="W1014" s="17">
        <f>IF(D1014="","",IFERROR(INDEX(Ingredients!$C$5:$C$304,MATCH(D1014,Ingredients!$B$5:$B$304,0)),"Add to Ingredients"))</f>
        <v>0</v>
      </c>
      <c r="X1014" s="45">
        <f>IFERROR(INDEX(Recipes!$AT$5:$AT$204,MATCH(B1014,Recipes!$A$5:$A$204,0)),0)</f>
        <v>0</v>
      </c>
      <c r="Y1014" s="45">
        <f>IF(OR(J1014="",X1014=0),"",J1014*X1014)</f>
        <v>0</v>
      </c>
      <c r="Z1014" s="17">
        <f>IF(D1014="","",B1014&amp;"#"&amp;COUNTIFS($B$5:B1014,B1014))</f>
        <v>0</v>
      </c>
      <c r="AA1014" s="17">
        <f>IF(D1014="","",B1014&amp;"|"&amp;D1014)</f>
        <v>0</v>
      </c>
      <c r="AB1014" s="31">
        <f>IF(D1014="","",IF(B1014="","Add - which recipe?",IF(COUNTIFS(Ingredients!$B$5:$B$304,D1014)=0,"Missing - not in the Ingredients tab",IF(E1014="","Add - no quantity",IF(F1014="","Add - no unit",IF(K1014&lt;&gt;L1014,"Check - recipe in "&amp;K1014&amp;", priced in "&amp;L1014,IF(COUNTIFS($AA$5:$AA$1204,AA1014)&gt;1,"Duplicate - same ingredient twice","OK")))))))</f>
        <v>0</v>
      </c>
    </row>
    <row r="1015" spans="1:28">
      <c r="A1015" s="39">
        <f>IF(D1015="","","RL-"&amp;TEXT(ROW()-4,"0000"))</f>
        <v>0</v>
      </c>
      <c r="C1015" s="17">
        <f>IF(B1015="","",IFERROR(INDEX(Recipes!$B$5:$B$204,MATCH(B1015,Recipes!$A$5:$A$204,0)),"Not found"))</f>
        <v>0</v>
      </c>
      <c r="J1015" s="45">
        <f>IF(E1015="","",IFERROR(E1015*INDEX(UnitFactors,MATCH(F1015,UnitNames,0)),""))</f>
        <v>0</v>
      </c>
      <c r="K1015" s="17">
        <f>IF(F1015="","",IFERROR(INDEX(UnitBases,MATCH(F1015,UnitNames,0)),"?"))</f>
        <v>0</v>
      </c>
      <c r="L1015" s="17">
        <f>IF(D1015="","",IFERROR(INDEX(Ingredients!$G$5:$G$304,MATCH(D1015,Ingredients!$B$5:$B$304,0)),"Add to Ingredients"))</f>
        <v>0</v>
      </c>
      <c r="M1015" s="25">
        <f>IF(D1015="","",IFERROR(INDEX(Ingredients!$J$5:$J$304,MATCH(D1015,Ingredients!$B$5:$B$304,0)),"Add to Ingredients"))</f>
        <v>0</v>
      </c>
      <c r="N1015" s="25">
        <f>IF(OR(J1015="",M1015="",NOT(ISNUMBER(M1015))),"",IF(K1015&lt;&gt;L1015,"",J1015*M1015))</f>
        <v>0</v>
      </c>
      <c r="O1015" s="25">
        <f>IF(N1015="","",IFERROR(N1015/INDEX(Recipes!$G$5:$G$204,MATCH(B1015,Recipes!$A$5:$A$204,0)),""))</f>
        <v>0</v>
      </c>
      <c r="P1015" s="30">
        <f>IF(J1015="","",IF(K1015="each",J1015,J1015/100))</f>
        <v>0</v>
      </c>
      <c r="Q1015" s="30">
        <f>IFERROR(IF(P1015="","",P1015*INDEX(Ingredients!$P$5:$P$304,MATCH(D1015,Ingredients!$B$5:$B$304,0))),"")</f>
        <v>0</v>
      </c>
      <c r="R1015" s="45">
        <f>IFERROR(IF(P1015="","",P1015*INDEX(Ingredients!$Q$5:$Q$304,MATCH(D1015,Ingredients!$B$5:$B$304,0))),"")</f>
        <v>0</v>
      </c>
      <c r="S1015" s="45">
        <f>IFERROR(IF(P1015="","",P1015*INDEX(Ingredients!$R$5:$R$304,MATCH(D1015,Ingredients!$B$5:$B$304,0))),"")</f>
        <v>0</v>
      </c>
      <c r="T1015" s="45">
        <f>IFERROR(IF(P1015="","",P1015*INDEX(Ingredients!$S$5:$S$304,MATCH(D1015,Ingredients!$B$5:$B$304,0))),"")</f>
        <v>0</v>
      </c>
      <c r="U1015" s="45">
        <f>IFERROR(IF(P1015="","",P1015*INDEX(Ingredients!$T$5:$T$304,MATCH(D1015,Ingredients!$B$5:$B$304,0))),"")</f>
        <v>0</v>
      </c>
      <c r="V1015" s="17">
        <f>IF(D1015="","",IFERROR(INDEX(Ingredients!$W$5:$W$304,MATCH(D1015,Ingredients!$B$5:$B$304,0)),"Add to Ingredients"))</f>
        <v>0</v>
      </c>
      <c r="W1015" s="17">
        <f>IF(D1015="","",IFERROR(INDEX(Ingredients!$C$5:$C$304,MATCH(D1015,Ingredients!$B$5:$B$304,0)),"Add to Ingredients"))</f>
        <v>0</v>
      </c>
      <c r="X1015" s="45">
        <f>IFERROR(INDEX(Recipes!$AT$5:$AT$204,MATCH(B1015,Recipes!$A$5:$A$204,0)),0)</f>
        <v>0</v>
      </c>
      <c r="Y1015" s="45">
        <f>IF(OR(J1015="",X1015=0),"",J1015*X1015)</f>
        <v>0</v>
      </c>
      <c r="Z1015" s="17">
        <f>IF(D1015="","",B1015&amp;"#"&amp;COUNTIFS($B$5:B1015,B1015))</f>
        <v>0</v>
      </c>
      <c r="AA1015" s="17">
        <f>IF(D1015="","",B1015&amp;"|"&amp;D1015)</f>
        <v>0</v>
      </c>
      <c r="AB1015" s="31">
        <f>IF(D1015="","",IF(B1015="","Add - which recipe?",IF(COUNTIFS(Ingredients!$B$5:$B$304,D1015)=0,"Missing - not in the Ingredients tab",IF(E1015="","Add - no quantity",IF(F1015="","Add - no unit",IF(K1015&lt;&gt;L1015,"Check - recipe in "&amp;K1015&amp;", priced in "&amp;L1015,IF(COUNTIFS($AA$5:$AA$1204,AA1015)&gt;1,"Duplicate - same ingredient twice","OK")))))))</f>
        <v>0</v>
      </c>
    </row>
    <row r="1016" spans="1:28">
      <c r="A1016" s="39">
        <f>IF(D1016="","","RL-"&amp;TEXT(ROW()-4,"0000"))</f>
        <v>0</v>
      </c>
      <c r="C1016" s="17">
        <f>IF(B1016="","",IFERROR(INDEX(Recipes!$B$5:$B$204,MATCH(B1016,Recipes!$A$5:$A$204,0)),"Not found"))</f>
        <v>0</v>
      </c>
      <c r="J1016" s="45">
        <f>IF(E1016="","",IFERROR(E1016*INDEX(UnitFactors,MATCH(F1016,UnitNames,0)),""))</f>
        <v>0</v>
      </c>
      <c r="K1016" s="17">
        <f>IF(F1016="","",IFERROR(INDEX(UnitBases,MATCH(F1016,UnitNames,0)),"?"))</f>
        <v>0</v>
      </c>
      <c r="L1016" s="17">
        <f>IF(D1016="","",IFERROR(INDEX(Ingredients!$G$5:$G$304,MATCH(D1016,Ingredients!$B$5:$B$304,0)),"Add to Ingredients"))</f>
        <v>0</v>
      </c>
      <c r="M1016" s="25">
        <f>IF(D1016="","",IFERROR(INDEX(Ingredients!$J$5:$J$304,MATCH(D1016,Ingredients!$B$5:$B$304,0)),"Add to Ingredients"))</f>
        <v>0</v>
      </c>
      <c r="N1016" s="25">
        <f>IF(OR(J1016="",M1016="",NOT(ISNUMBER(M1016))),"",IF(K1016&lt;&gt;L1016,"",J1016*M1016))</f>
        <v>0</v>
      </c>
      <c r="O1016" s="25">
        <f>IF(N1016="","",IFERROR(N1016/INDEX(Recipes!$G$5:$G$204,MATCH(B1016,Recipes!$A$5:$A$204,0)),""))</f>
        <v>0</v>
      </c>
      <c r="P1016" s="30">
        <f>IF(J1016="","",IF(K1016="each",J1016,J1016/100))</f>
        <v>0</v>
      </c>
      <c r="Q1016" s="30">
        <f>IFERROR(IF(P1016="","",P1016*INDEX(Ingredients!$P$5:$P$304,MATCH(D1016,Ingredients!$B$5:$B$304,0))),"")</f>
        <v>0</v>
      </c>
      <c r="R1016" s="45">
        <f>IFERROR(IF(P1016="","",P1016*INDEX(Ingredients!$Q$5:$Q$304,MATCH(D1016,Ingredients!$B$5:$B$304,0))),"")</f>
        <v>0</v>
      </c>
      <c r="S1016" s="45">
        <f>IFERROR(IF(P1016="","",P1016*INDEX(Ingredients!$R$5:$R$304,MATCH(D1016,Ingredients!$B$5:$B$304,0))),"")</f>
        <v>0</v>
      </c>
      <c r="T1016" s="45">
        <f>IFERROR(IF(P1016="","",P1016*INDEX(Ingredients!$S$5:$S$304,MATCH(D1016,Ingredients!$B$5:$B$304,0))),"")</f>
        <v>0</v>
      </c>
      <c r="U1016" s="45">
        <f>IFERROR(IF(P1016="","",P1016*INDEX(Ingredients!$T$5:$T$304,MATCH(D1016,Ingredients!$B$5:$B$304,0))),"")</f>
        <v>0</v>
      </c>
      <c r="V1016" s="17">
        <f>IF(D1016="","",IFERROR(INDEX(Ingredients!$W$5:$W$304,MATCH(D1016,Ingredients!$B$5:$B$304,0)),"Add to Ingredients"))</f>
        <v>0</v>
      </c>
      <c r="W1016" s="17">
        <f>IF(D1016="","",IFERROR(INDEX(Ingredients!$C$5:$C$304,MATCH(D1016,Ingredients!$B$5:$B$304,0)),"Add to Ingredients"))</f>
        <v>0</v>
      </c>
      <c r="X1016" s="45">
        <f>IFERROR(INDEX(Recipes!$AT$5:$AT$204,MATCH(B1016,Recipes!$A$5:$A$204,0)),0)</f>
        <v>0</v>
      </c>
      <c r="Y1016" s="45">
        <f>IF(OR(J1016="",X1016=0),"",J1016*X1016)</f>
        <v>0</v>
      </c>
      <c r="Z1016" s="17">
        <f>IF(D1016="","",B1016&amp;"#"&amp;COUNTIFS($B$5:B1016,B1016))</f>
        <v>0</v>
      </c>
      <c r="AA1016" s="17">
        <f>IF(D1016="","",B1016&amp;"|"&amp;D1016)</f>
        <v>0</v>
      </c>
      <c r="AB1016" s="31">
        <f>IF(D1016="","",IF(B1016="","Add - which recipe?",IF(COUNTIFS(Ingredients!$B$5:$B$304,D1016)=0,"Missing - not in the Ingredients tab",IF(E1016="","Add - no quantity",IF(F1016="","Add - no unit",IF(K1016&lt;&gt;L1016,"Check - recipe in "&amp;K1016&amp;", priced in "&amp;L1016,IF(COUNTIFS($AA$5:$AA$1204,AA1016)&gt;1,"Duplicate - same ingredient twice","OK")))))))</f>
        <v>0</v>
      </c>
    </row>
    <row r="1017" spans="1:28">
      <c r="A1017" s="39">
        <f>IF(D1017="","","RL-"&amp;TEXT(ROW()-4,"0000"))</f>
        <v>0</v>
      </c>
      <c r="C1017" s="17">
        <f>IF(B1017="","",IFERROR(INDEX(Recipes!$B$5:$B$204,MATCH(B1017,Recipes!$A$5:$A$204,0)),"Not found"))</f>
        <v>0</v>
      </c>
      <c r="J1017" s="45">
        <f>IF(E1017="","",IFERROR(E1017*INDEX(UnitFactors,MATCH(F1017,UnitNames,0)),""))</f>
        <v>0</v>
      </c>
      <c r="K1017" s="17">
        <f>IF(F1017="","",IFERROR(INDEX(UnitBases,MATCH(F1017,UnitNames,0)),"?"))</f>
        <v>0</v>
      </c>
      <c r="L1017" s="17">
        <f>IF(D1017="","",IFERROR(INDEX(Ingredients!$G$5:$G$304,MATCH(D1017,Ingredients!$B$5:$B$304,0)),"Add to Ingredients"))</f>
        <v>0</v>
      </c>
      <c r="M1017" s="25">
        <f>IF(D1017="","",IFERROR(INDEX(Ingredients!$J$5:$J$304,MATCH(D1017,Ingredients!$B$5:$B$304,0)),"Add to Ingredients"))</f>
        <v>0</v>
      </c>
      <c r="N1017" s="25">
        <f>IF(OR(J1017="",M1017="",NOT(ISNUMBER(M1017))),"",IF(K1017&lt;&gt;L1017,"",J1017*M1017))</f>
        <v>0</v>
      </c>
      <c r="O1017" s="25">
        <f>IF(N1017="","",IFERROR(N1017/INDEX(Recipes!$G$5:$G$204,MATCH(B1017,Recipes!$A$5:$A$204,0)),""))</f>
        <v>0</v>
      </c>
      <c r="P1017" s="30">
        <f>IF(J1017="","",IF(K1017="each",J1017,J1017/100))</f>
        <v>0</v>
      </c>
      <c r="Q1017" s="30">
        <f>IFERROR(IF(P1017="","",P1017*INDEX(Ingredients!$P$5:$P$304,MATCH(D1017,Ingredients!$B$5:$B$304,0))),"")</f>
        <v>0</v>
      </c>
      <c r="R1017" s="45">
        <f>IFERROR(IF(P1017="","",P1017*INDEX(Ingredients!$Q$5:$Q$304,MATCH(D1017,Ingredients!$B$5:$B$304,0))),"")</f>
        <v>0</v>
      </c>
      <c r="S1017" s="45">
        <f>IFERROR(IF(P1017="","",P1017*INDEX(Ingredients!$R$5:$R$304,MATCH(D1017,Ingredients!$B$5:$B$304,0))),"")</f>
        <v>0</v>
      </c>
      <c r="T1017" s="45">
        <f>IFERROR(IF(P1017="","",P1017*INDEX(Ingredients!$S$5:$S$304,MATCH(D1017,Ingredients!$B$5:$B$304,0))),"")</f>
        <v>0</v>
      </c>
      <c r="U1017" s="45">
        <f>IFERROR(IF(P1017="","",P1017*INDEX(Ingredients!$T$5:$T$304,MATCH(D1017,Ingredients!$B$5:$B$304,0))),"")</f>
        <v>0</v>
      </c>
      <c r="V1017" s="17">
        <f>IF(D1017="","",IFERROR(INDEX(Ingredients!$W$5:$W$304,MATCH(D1017,Ingredients!$B$5:$B$304,0)),"Add to Ingredients"))</f>
        <v>0</v>
      </c>
      <c r="W1017" s="17">
        <f>IF(D1017="","",IFERROR(INDEX(Ingredients!$C$5:$C$304,MATCH(D1017,Ingredients!$B$5:$B$304,0)),"Add to Ingredients"))</f>
        <v>0</v>
      </c>
      <c r="X1017" s="45">
        <f>IFERROR(INDEX(Recipes!$AT$5:$AT$204,MATCH(B1017,Recipes!$A$5:$A$204,0)),0)</f>
        <v>0</v>
      </c>
      <c r="Y1017" s="45">
        <f>IF(OR(J1017="",X1017=0),"",J1017*X1017)</f>
        <v>0</v>
      </c>
      <c r="Z1017" s="17">
        <f>IF(D1017="","",B1017&amp;"#"&amp;COUNTIFS($B$5:B1017,B1017))</f>
        <v>0</v>
      </c>
      <c r="AA1017" s="17">
        <f>IF(D1017="","",B1017&amp;"|"&amp;D1017)</f>
        <v>0</v>
      </c>
      <c r="AB1017" s="31">
        <f>IF(D1017="","",IF(B1017="","Add - which recipe?",IF(COUNTIFS(Ingredients!$B$5:$B$304,D1017)=0,"Missing - not in the Ingredients tab",IF(E1017="","Add - no quantity",IF(F1017="","Add - no unit",IF(K1017&lt;&gt;L1017,"Check - recipe in "&amp;K1017&amp;", priced in "&amp;L1017,IF(COUNTIFS($AA$5:$AA$1204,AA1017)&gt;1,"Duplicate - same ingredient twice","OK")))))))</f>
        <v>0</v>
      </c>
    </row>
    <row r="1018" spans="1:28">
      <c r="A1018" s="39">
        <f>IF(D1018="","","RL-"&amp;TEXT(ROW()-4,"0000"))</f>
        <v>0</v>
      </c>
      <c r="C1018" s="17">
        <f>IF(B1018="","",IFERROR(INDEX(Recipes!$B$5:$B$204,MATCH(B1018,Recipes!$A$5:$A$204,0)),"Not found"))</f>
        <v>0</v>
      </c>
      <c r="J1018" s="45">
        <f>IF(E1018="","",IFERROR(E1018*INDEX(UnitFactors,MATCH(F1018,UnitNames,0)),""))</f>
        <v>0</v>
      </c>
      <c r="K1018" s="17">
        <f>IF(F1018="","",IFERROR(INDEX(UnitBases,MATCH(F1018,UnitNames,0)),"?"))</f>
        <v>0</v>
      </c>
      <c r="L1018" s="17">
        <f>IF(D1018="","",IFERROR(INDEX(Ingredients!$G$5:$G$304,MATCH(D1018,Ingredients!$B$5:$B$304,0)),"Add to Ingredients"))</f>
        <v>0</v>
      </c>
      <c r="M1018" s="25">
        <f>IF(D1018="","",IFERROR(INDEX(Ingredients!$J$5:$J$304,MATCH(D1018,Ingredients!$B$5:$B$304,0)),"Add to Ingredients"))</f>
        <v>0</v>
      </c>
      <c r="N1018" s="25">
        <f>IF(OR(J1018="",M1018="",NOT(ISNUMBER(M1018))),"",IF(K1018&lt;&gt;L1018,"",J1018*M1018))</f>
        <v>0</v>
      </c>
      <c r="O1018" s="25">
        <f>IF(N1018="","",IFERROR(N1018/INDEX(Recipes!$G$5:$G$204,MATCH(B1018,Recipes!$A$5:$A$204,0)),""))</f>
        <v>0</v>
      </c>
      <c r="P1018" s="30">
        <f>IF(J1018="","",IF(K1018="each",J1018,J1018/100))</f>
        <v>0</v>
      </c>
      <c r="Q1018" s="30">
        <f>IFERROR(IF(P1018="","",P1018*INDEX(Ingredients!$P$5:$P$304,MATCH(D1018,Ingredients!$B$5:$B$304,0))),"")</f>
        <v>0</v>
      </c>
      <c r="R1018" s="45">
        <f>IFERROR(IF(P1018="","",P1018*INDEX(Ingredients!$Q$5:$Q$304,MATCH(D1018,Ingredients!$B$5:$B$304,0))),"")</f>
        <v>0</v>
      </c>
      <c r="S1018" s="45">
        <f>IFERROR(IF(P1018="","",P1018*INDEX(Ingredients!$R$5:$R$304,MATCH(D1018,Ingredients!$B$5:$B$304,0))),"")</f>
        <v>0</v>
      </c>
      <c r="T1018" s="45">
        <f>IFERROR(IF(P1018="","",P1018*INDEX(Ingredients!$S$5:$S$304,MATCH(D1018,Ingredients!$B$5:$B$304,0))),"")</f>
        <v>0</v>
      </c>
      <c r="U1018" s="45">
        <f>IFERROR(IF(P1018="","",P1018*INDEX(Ingredients!$T$5:$T$304,MATCH(D1018,Ingredients!$B$5:$B$304,0))),"")</f>
        <v>0</v>
      </c>
      <c r="V1018" s="17">
        <f>IF(D1018="","",IFERROR(INDEX(Ingredients!$W$5:$W$304,MATCH(D1018,Ingredients!$B$5:$B$304,0)),"Add to Ingredients"))</f>
        <v>0</v>
      </c>
      <c r="W1018" s="17">
        <f>IF(D1018="","",IFERROR(INDEX(Ingredients!$C$5:$C$304,MATCH(D1018,Ingredients!$B$5:$B$304,0)),"Add to Ingredients"))</f>
        <v>0</v>
      </c>
      <c r="X1018" s="45">
        <f>IFERROR(INDEX(Recipes!$AT$5:$AT$204,MATCH(B1018,Recipes!$A$5:$A$204,0)),0)</f>
        <v>0</v>
      </c>
      <c r="Y1018" s="45">
        <f>IF(OR(J1018="",X1018=0),"",J1018*X1018)</f>
        <v>0</v>
      </c>
      <c r="Z1018" s="17">
        <f>IF(D1018="","",B1018&amp;"#"&amp;COUNTIFS($B$5:B1018,B1018))</f>
        <v>0</v>
      </c>
      <c r="AA1018" s="17">
        <f>IF(D1018="","",B1018&amp;"|"&amp;D1018)</f>
        <v>0</v>
      </c>
      <c r="AB1018" s="31">
        <f>IF(D1018="","",IF(B1018="","Add - which recipe?",IF(COUNTIFS(Ingredients!$B$5:$B$304,D1018)=0,"Missing - not in the Ingredients tab",IF(E1018="","Add - no quantity",IF(F1018="","Add - no unit",IF(K1018&lt;&gt;L1018,"Check - recipe in "&amp;K1018&amp;", priced in "&amp;L1018,IF(COUNTIFS($AA$5:$AA$1204,AA1018)&gt;1,"Duplicate - same ingredient twice","OK")))))))</f>
        <v>0</v>
      </c>
    </row>
    <row r="1019" spans="1:28">
      <c r="A1019" s="39">
        <f>IF(D1019="","","RL-"&amp;TEXT(ROW()-4,"0000"))</f>
        <v>0</v>
      </c>
      <c r="C1019" s="17">
        <f>IF(B1019="","",IFERROR(INDEX(Recipes!$B$5:$B$204,MATCH(B1019,Recipes!$A$5:$A$204,0)),"Not found"))</f>
        <v>0</v>
      </c>
      <c r="J1019" s="45">
        <f>IF(E1019="","",IFERROR(E1019*INDEX(UnitFactors,MATCH(F1019,UnitNames,0)),""))</f>
        <v>0</v>
      </c>
      <c r="K1019" s="17">
        <f>IF(F1019="","",IFERROR(INDEX(UnitBases,MATCH(F1019,UnitNames,0)),"?"))</f>
        <v>0</v>
      </c>
      <c r="L1019" s="17">
        <f>IF(D1019="","",IFERROR(INDEX(Ingredients!$G$5:$G$304,MATCH(D1019,Ingredients!$B$5:$B$304,0)),"Add to Ingredients"))</f>
        <v>0</v>
      </c>
      <c r="M1019" s="25">
        <f>IF(D1019="","",IFERROR(INDEX(Ingredients!$J$5:$J$304,MATCH(D1019,Ingredients!$B$5:$B$304,0)),"Add to Ingredients"))</f>
        <v>0</v>
      </c>
      <c r="N1019" s="25">
        <f>IF(OR(J1019="",M1019="",NOT(ISNUMBER(M1019))),"",IF(K1019&lt;&gt;L1019,"",J1019*M1019))</f>
        <v>0</v>
      </c>
      <c r="O1019" s="25">
        <f>IF(N1019="","",IFERROR(N1019/INDEX(Recipes!$G$5:$G$204,MATCH(B1019,Recipes!$A$5:$A$204,0)),""))</f>
        <v>0</v>
      </c>
      <c r="P1019" s="30">
        <f>IF(J1019="","",IF(K1019="each",J1019,J1019/100))</f>
        <v>0</v>
      </c>
      <c r="Q1019" s="30">
        <f>IFERROR(IF(P1019="","",P1019*INDEX(Ingredients!$P$5:$P$304,MATCH(D1019,Ingredients!$B$5:$B$304,0))),"")</f>
        <v>0</v>
      </c>
      <c r="R1019" s="45">
        <f>IFERROR(IF(P1019="","",P1019*INDEX(Ingredients!$Q$5:$Q$304,MATCH(D1019,Ingredients!$B$5:$B$304,0))),"")</f>
        <v>0</v>
      </c>
      <c r="S1019" s="45">
        <f>IFERROR(IF(P1019="","",P1019*INDEX(Ingredients!$R$5:$R$304,MATCH(D1019,Ingredients!$B$5:$B$304,0))),"")</f>
        <v>0</v>
      </c>
      <c r="T1019" s="45">
        <f>IFERROR(IF(P1019="","",P1019*INDEX(Ingredients!$S$5:$S$304,MATCH(D1019,Ingredients!$B$5:$B$304,0))),"")</f>
        <v>0</v>
      </c>
      <c r="U1019" s="45">
        <f>IFERROR(IF(P1019="","",P1019*INDEX(Ingredients!$T$5:$T$304,MATCH(D1019,Ingredients!$B$5:$B$304,0))),"")</f>
        <v>0</v>
      </c>
      <c r="V1019" s="17">
        <f>IF(D1019="","",IFERROR(INDEX(Ingredients!$W$5:$W$304,MATCH(D1019,Ingredients!$B$5:$B$304,0)),"Add to Ingredients"))</f>
        <v>0</v>
      </c>
      <c r="W1019" s="17">
        <f>IF(D1019="","",IFERROR(INDEX(Ingredients!$C$5:$C$304,MATCH(D1019,Ingredients!$B$5:$B$304,0)),"Add to Ingredients"))</f>
        <v>0</v>
      </c>
      <c r="X1019" s="45">
        <f>IFERROR(INDEX(Recipes!$AT$5:$AT$204,MATCH(B1019,Recipes!$A$5:$A$204,0)),0)</f>
        <v>0</v>
      </c>
      <c r="Y1019" s="45">
        <f>IF(OR(J1019="",X1019=0),"",J1019*X1019)</f>
        <v>0</v>
      </c>
      <c r="Z1019" s="17">
        <f>IF(D1019="","",B1019&amp;"#"&amp;COUNTIFS($B$5:B1019,B1019))</f>
        <v>0</v>
      </c>
      <c r="AA1019" s="17">
        <f>IF(D1019="","",B1019&amp;"|"&amp;D1019)</f>
        <v>0</v>
      </c>
      <c r="AB1019" s="31">
        <f>IF(D1019="","",IF(B1019="","Add - which recipe?",IF(COUNTIFS(Ingredients!$B$5:$B$304,D1019)=0,"Missing - not in the Ingredients tab",IF(E1019="","Add - no quantity",IF(F1019="","Add - no unit",IF(K1019&lt;&gt;L1019,"Check - recipe in "&amp;K1019&amp;", priced in "&amp;L1019,IF(COUNTIFS($AA$5:$AA$1204,AA1019)&gt;1,"Duplicate - same ingredient twice","OK")))))))</f>
        <v>0</v>
      </c>
    </row>
    <row r="1020" spans="1:28">
      <c r="A1020" s="39">
        <f>IF(D1020="","","RL-"&amp;TEXT(ROW()-4,"0000"))</f>
        <v>0</v>
      </c>
      <c r="C1020" s="17">
        <f>IF(B1020="","",IFERROR(INDEX(Recipes!$B$5:$B$204,MATCH(B1020,Recipes!$A$5:$A$204,0)),"Not found"))</f>
        <v>0</v>
      </c>
      <c r="J1020" s="45">
        <f>IF(E1020="","",IFERROR(E1020*INDEX(UnitFactors,MATCH(F1020,UnitNames,0)),""))</f>
        <v>0</v>
      </c>
      <c r="K1020" s="17">
        <f>IF(F1020="","",IFERROR(INDEX(UnitBases,MATCH(F1020,UnitNames,0)),"?"))</f>
        <v>0</v>
      </c>
      <c r="L1020" s="17">
        <f>IF(D1020="","",IFERROR(INDEX(Ingredients!$G$5:$G$304,MATCH(D1020,Ingredients!$B$5:$B$304,0)),"Add to Ingredients"))</f>
        <v>0</v>
      </c>
      <c r="M1020" s="25">
        <f>IF(D1020="","",IFERROR(INDEX(Ingredients!$J$5:$J$304,MATCH(D1020,Ingredients!$B$5:$B$304,0)),"Add to Ingredients"))</f>
        <v>0</v>
      </c>
      <c r="N1020" s="25">
        <f>IF(OR(J1020="",M1020="",NOT(ISNUMBER(M1020))),"",IF(K1020&lt;&gt;L1020,"",J1020*M1020))</f>
        <v>0</v>
      </c>
      <c r="O1020" s="25">
        <f>IF(N1020="","",IFERROR(N1020/INDEX(Recipes!$G$5:$G$204,MATCH(B1020,Recipes!$A$5:$A$204,0)),""))</f>
        <v>0</v>
      </c>
      <c r="P1020" s="30">
        <f>IF(J1020="","",IF(K1020="each",J1020,J1020/100))</f>
        <v>0</v>
      </c>
      <c r="Q1020" s="30">
        <f>IFERROR(IF(P1020="","",P1020*INDEX(Ingredients!$P$5:$P$304,MATCH(D1020,Ingredients!$B$5:$B$304,0))),"")</f>
        <v>0</v>
      </c>
      <c r="R1020" s="45">
        <f>IFERROR(IF(P1020="","",P1020*INDEX(Ingredients!$Q$5:$Q$304,MATCH(D1020,Ingredients!$B$5:$B$304,0))),"")</f>
        <v>0</v>
      </c>
      <c r="S1020" s="45">
        <f>IFERROR(IF(P1020="","",P1020*INDEX(Ingredients!$R$5:$R$304,MATCH(D1020,Ingredients!$B$5:$B$304,0))),"")</f>
        <v>0</v>
      </c>
      <c r="T1020" s="45">
        <f>IFERROR(IF(P1020="","",P1020*INDEX(Ingredients!$S$5:$S$304,MATCH(D1020,Ingredients!$B$5:$B$304,0))),"")</f>
        <v>0</v>
      </c>
      <c r="U1020" s="45">
        <f>IFERROR(IF(P1020="","",P1020*INDEX(Ingredients!$T$5:$T$304,MATCH(D1020,Ingredients!$B$5:$B$304,0))),"")</f>
        <v>0</v>
      </c>
      <c r="V1020" s="17">
        <f>IF(D1020="","",IFERROR(INDEX(Ingredients!$W$5:$W$304,MATCH(D1020,Ingredients!$B$5:$B$304,0)),"Add to Ingredients"))</f>
        <v>0</v>
      </c>
      <c r="W1020" s="17">
        <f>IF(D1020="","",IFERROR(INDEX(Ingredients!$C$5:$C$304,MATCH(D1020,Ingredients!$B$5:$B$304,0)),"Add to Ingredients"))</f>
        <v>0</v>
      </c>
      <c r="X1020" s="45">
        <f>IFERROR(INDEX(Recipes!$AT$5:$AT$204,MATCH(B1020,Recipes!$A$5:$A$204,0)),0)</f>
        <v>0</v>
      </c>
      <c r="Y1020" s="45">
        <f>IF(OR(J1020="",X1020=0),"",J1020*X1020)</f>
        <v>0</v>
      </c>
      <c r="Z1020" s="17">
        <f>IF(D1020="","",B1020&amp;"#"&amp;COUNTIFS($B$5:B1020,B1020))</f>
        <v>0</v>
      </c>
      <c r="AA1020" s="17">
        <f>IF(D1020="","",B1020&amp;"|"&amp;D1020)</f>
        <v>0</v>
      </c>
      <c r="AB1020" s="31">
        <f>IF(D1020="","",IF(B1020="","Add - which recipe?",IF(COUNTIFS(Ingredients!$B$5:$B$304,D1020)=0,"Missing - not in the Ingredients tab",IF(E1020="","Add - no quantity",IF(F1020="","Add - no unit",IF(K1020&lt;&gt;L1020,"Check - recipe in "&amp;K1020&amp;", priced in "&amp;L1020,IF(COUNTIFS($AA$5:$AA$1204,AA1020)&gt;1,"Duplicate - same ingredient twice","OK")))))))</f>
        <v>0</v>
      </c>
    </row>
    <row r="1021" spans="1:28">
      <c r="A1021" s="39">
        <f>IF(D1021="","","RL-"&amp;TEXT(ROW()-4,"0000"))</f>
        <v>0</v>
      </c>
      <c r="C1021" s="17">
        <f>IF(B1021="","",IFERROR(INDEX(Recipes!$B$5:$B$204,MATCH(B1021,Recipes!$A$5:$A$204,0)),"Not found"))</f>
        <v>0</v>
      </c>
      <c r="J1021" s="45">
        <f>IF(E1021="","",IFERROR(E1021*INDEX(UnitFactors,MATCH(F1021,UnitNames,0)),""))</f>
        <v>0</v>
      </c>
      <c r="K1021" s="17">
        <f>IF(F1021="","",IFERROR(INDEX(UnitBases,MATCH(F1021,UnitNames,0)),"?"))</f>
        <v>0</v>
      </c>
      <c r="L1021" s="17">
        <f>IF(D1021="","",IFERROR(INDEX(Ingredients!$G$5:$G$304,MATCH(D1021,Ingredients!$B$5:$B$304,0)),"Add to Ingredients"))</f>
        <v>0</v>
      </c>
      <c r="M1021" s="25">
        <f>IF(D1021="","",IFERROR(INDEX(Ingredients!$J$5:$J$304,MATCH(D1021,Ingredients!$B$5:$B$304,0)),"Add to Ingredients"))</f>
        <v>0</v>
      </c>
      <c r="N1021" s="25">
        <f>IF(OR(J1021="",M1021="",NOT(ISNUMBER(M1021))),"",IF(K1021&lt;&gt;L1021,"",J1021*M1021))</f>
        <v>0</v>
      </c>
      <c r="O1021" s="25">
        <f>IF(N1021="","",IFERROR(N1021/INDEX(Recipes!$G$5:$G$204,MATCH(B1021,Recipes!$A$5:$A$204,0)),""))</f>
        <v>0</v>
      </c>
      <c r="P1021" s="30">
        <f>IF(J1021="","",IF(K1021="each",J1021,J1021/100))</f>
        <v>0</v>
      </c>
      <c r="Q1021" s="30">
        <f>IFERROR(IF(P1021="","",P1021*INDEX(Ingredients!$P$5:$P$304,MATCH(D1021,Ingredients!$B$5:$B$304,0))),"")</f>
        <v>0</v>
      </c>
      <c r="R1021" s="45">
        <f>IFERROR(IF(P1021="","",P1021*INDEX(Ingredients!$Q$5:$Q$304,MATCH(D1021,Ingredients!$B$5:$B$304,0))),"")</f>
        <v>0</v>
      </c>
      <c r="S1021" s="45">
        <f>IFERROR(IF(P1021="","",P1021*INDEX(Ingredients!$R$5:$R$304,MATCH(D1021,Ingredients!$B$5:$B$304,0))),"")</f>
        <v>0</v>
      </c>
      <c r="T1021" s="45">
        <f>IFERROR(IF(P1021="","",P1021*INDEX(Ingredients!$S$5:$S$304,MATCH(D1021,Ingredients!$B$5:$B$304,0))),"")</f>
        <v>0</v>
      </c>
      <c r="U1021" s="45">
        <f>IFERROR(IF(P1021="","",P1021*INDEX(Ingredients!$T$5:$T$304,MATCH(D1021,Ingredients!$B$5:$B$304,0))),"")</f>
        <v>0</v>
      </c>
      <c r="V1021" s="17">
        <f>IF(D1021="","",IFERROR(INDEX(Ingredients!$W$5:$W$304,MATCH(D1021,Ingredients!$B$5:$B$304,0)),"Add to Ingredients"))</f>
        <v>0</v>
      </c>
      <c r="W1021" s="17">
        <f>IF(D1021="","",IFERROR(INDEX(Ingredients!$C$5:$C$304,MATCH(D1021,Ingredients!$B$5:$B$304,0)),"Add to Ingredients"))</f>
        <v>0</v>
      </c>
      <c r="X1021" s="45">
        <f>IFERROR(INDEX(Recipes!$AT$5:$AT$204,MATCH(B1021,Recipes!$A$5:$A$204,0)),0)</f>
        <v>0</v>
      </c>
      <c r="Y1021" s="45">
        <f>IF(OR(J1021="",X1021=0),"",J1021*X1021)</f>
        <v>0</v>
      </c>
      <c r="Z1021" s="17">
        <f>IF(D1021="","",B1021&amp;"#"&amp;COUNTIFS($B$5:B1021,B1021))</f>
        <v>0</v>
      </c>
      <c r="AA1021" s="17">
        <f>IF(D1021="","",B1021&amp;"|"&amp;D1021)</f>
        <v>0</v>
      </c>
      <c r="AB1021" s="31">
        <f>IF(D1021="","",IF(B1021="","Add - which recipe?",IF(COUNTIFS(Ingredients!$B$5:$B$304,D1021)=0,"Missing - not in the Ingredients tab",IF(E1021="","Add - no quantity",IF(F1021="","Add - no unit",IF(K1021&lt;&gt;L1021,"Check - recipe in "&amp;K1021&amp;", priced in "&amp;L1021,IF(COUNTIFS($AA$5:$AA$1204,AA1021)&gt;1,"Duplicate - same ingredient twice","OK")))))))</f>
        <v>0</v>
      </c>
    </row>
    <row r="1022" spans="1:28">
      <c r="A1022" s="39">
        <f>IF(D1022="","","RL-"&amp;TEXT(ROW()-4,"0000"))</f>
        <v>0</v>
      </c>
      <c r="C1022" s="17">
        <f>IF(B1022="","",IFERROR(INDEX(Recipes!$B$5:$B$204,MATCH(B1022,Recipes!$A$5:$A$204,0)),"Not found"))</f>
        <v>0</v>
      </c>
      <c r="J1022" s="45">
        <f>IF(E1022="","",IFERROR(E1022*INDEX(UnitFactors,MATCH(F1022,UnitNames,0)),""))</f>
        <v>0</v>
      </c>
      <c r="K1022" s="17">
        <f>IF(F1022="","",IFERROR(INDEX(UnitBases,MATCH(F1022,UnitNames,0)),"?"))</f>
        <v>0</v>
      </c>
      <c r="L1022" s="17">
        <f>IF(D1022="","",IFERROR(INDEX(Ingredients!$G$5:$G$304,MATCH(D1022,Ingredients!$B$5:$B$304,0)),"Add to Ingredients"))</f>
        <v>0</v>
      </c>
      <c r="M1022" s="25">
        <f>IF(D1022="","",IFERROR(INDEX(Ingredients!$J$5:$J$304,MATCH(D1022,Ingredients!$B$5:$B$304,0)),"Add to Ingredients"))</f>
        <v>0</v>
      </c>
      <c r="N1022" s="25">
        <f>IF(OR(J1022="",M1022="",NOT(ISNUMBER(M1022))),"",IF(K1022&lt;&gt;L1022,"",J1022*M1022))</f>
        <v>0</v>
      </c>
      <c r="O1022" s="25">
        <f>IF(N1022="","",IFERROR(N1022/INDEX(Recipes!$G$5:$G$204,MATCH(B1022,Recipes!$A$5:$A$204,0)),""))</f>
        <v>0</v>
      </c>
      <c r="P1022" s="30">
        <f>IF(J1022="","",IF(K1022="each",J1022,J1022/100))</f>
        <v>0</v>
      </c>
      <c r="Q1022" s="30">
        <f>IFERROR(IF(P1022="","",P1022*INDEX(Ingredients!$P$5:$P$304,MATCH(D1022,Ingredients!$B$5:$B$304,0))),"")</f>
        <v>0</v>
      </c>
      <c r="R1022" s="45">
        <f>IFERROR(IF(P1022="","",P1022*INDEX(Ingredients!$Q$5:$Q$304,MATCH(D1022,Ingredients!$B$5:$B$304,0))),"")</f>
        <v>0</v>
      </c>
      <c r="S1022" s="45">
        <f>IFERROR(IF(P1022="","",P1022*INDEX(Ingredients!$R$5:$R$304,MATCH(D1022,Ingredients!$B$5:$B$304,0))),"")</f>
        <v>0</v>
      </c>
      <c r="T1022" s="45">
        <f>IFERROR(IF(P1022="","",P1022*INDEX(Ingredients!$S$5:$S$304,MATCH(D1022,Ingredients!$B$5:$B$304,0))),"")</f>
        <v>0</v>
      </c>
      <c r="U1022" s="45">
        <f>IFERROR(IF(P1022="","",P1022*INDEX(Ingredients!$T$5:$T$304,MATCH(D1022,Ingredients!$B$5:$B$304,0))),"")</f>
        <v>0</v>
      </c>
      <c r="V1022" s="17">
        <f>IF(D1022="","",IFERROR(INDEX(Ingredients!$W$5:$W$304,MATCH(D1022,Ingredients!$B$5:$B$304,0)),"Add to Ingredients"))</f>
        <v>0</v>
      </c>
      <c r="W1022" s="17">
        <f>IF(D1022="","",IFERROR(INDEX(Ingredients!$C$5:$C$304,MATCH(D1022,Ingredients!$B$5:$B$304,0)),"Add to Ingredients"))</f>
        <v>0</v>
      </c>
      <c r="X1022" s="45">
        <f>IFERROR(INDEX(Recipes!$AT$5:$AT$204,MATCH(B1022,Recipes!$A$5:$A$204,0)),0)</f>
        <v>0</v>
      </c>
      <c r="Y1022" s="45">
        <f>IF(OR(J1022="",X1022=0),"",J1022*X1022)</f>
        <v>0</v>
      </c>
      <c r="Z1022" s="17">
        <f>IF(D1022="","",B1022&amp;"#"&amp;COUNTIFS($B$5:B1022,B1022))</f>
        <v>0</v>
      </c>
      <c r="AA1022" s="17">
        <f>IF(D1022="","",B1022&amp;"|"&amp;D1022)</f>
        <v>0</v>
      </c>
      <c r="AB1022" s="31">
        <f>IF(D1022="","",IF(B1022="","Add - which recipe?",IF(COUNTIFS(Ingredients!$B$5:$B$304,D1022)=0,"Missing - not in the Ingredients tab",IF(E1022="","Add - no quantity",IF(F1022="","Add - no unit",IF(K1022&lt;&gt;L1022,"Check - recipe in "&amp;K1022&amp;", priced in "&amp;L1022,IF(COUNTIFS($AA$5:$AA$1204,AA1022)&gt;1,"Duplicate - same ingredient twice","OK")))))))</f>
        <v>0</v>
      </c>
    </row>
    <row r="1023" spans="1:28">
      <c r="A1023" s="39">
        <f>IF(D1023="","","RL-"&amp;TEXT(ROW()-4,"0000"))</f>
        <v>0</v>
      </c>
      <c r="C1023" s="17">
        <f>IF(B1023="","",IFERROR(INDEX(Recipes!$B$5:$B$204,MATCH(B1023,Recipes!$A$5:$A$204,0)),"Not found"))</f>
        <v>0</v>
      </c>
      <c r="J1023" s="45">
        <f>IF(E1023="","",IFERROR(E1023*INDEX(UnitFactors,MATCH(F1023,UnitNames,0)),""))</f>
        <v>0</v>
      </c>
      <c r="K1023" s="17">
        <f>IF(F1023="","",IFERROR(INDEX(UnitBases,MATCH(F1023,UnitNames,0)),"?"))</f>
        <v>0</v>
      </c>
      <c r="L1023" s="17">
        <f>IF(D1023="","",IFERROR(INDEX(Ingredients!$G$5:$G$304,MATCH(D1023,Ingredients!$B$5:$B$304,0)),"Add to Ingredients"))</f>
        <v>0</v>
      </c>
      <c r="M1023" s="25">
        <f>IF(D1023="","",IFERROR(INDEX(Ingredients!$J$5:$J$304,MATCH(D1023,Ingredients!$B$5:$B$304,0)),"Add to Ingredients"))</f>
        <v>0</v>
      </c>
      <c r="N1023" s="25">
        <f>IF(OR(J1023="",M1023="",NOT(ISNUMBER(M1023))),"",IF(K1023&lt;&gt;L1023,"",J1023*M1023))</f>
        <v>0</v>
      </c>
      <c r="O1023" s="25">
        <f>IF(N1023="","",IFERROR(N1023/INDEX(Recipes!$G$5:$G$204,MATCH(B1023,Recipes!$A$5:$A$204,0)),""))</f>
        <v>0</v>
      </c>
      <c r="P1023" s="30">
        <f>IF(J1023="","",IF(K1023="each",J1023,J1023/100))</f>
        <v>0</v>
      </c>
      <c r="Q1023" s="30">
        <f>IFERROR(IF(P1023="","",P1023*INDEX(Ingredients!$P$5:$P$304,MATCH(D1023,Ingredients!$B$5:$B$304,0))),"")</f>
        <v>0</v>
      </c>
      <c r="R1023" s="45">
        <f>IFERROR(IF(P1023="","",P1023*INDEX(Ingredients!$Q$5:$Q$304,MATCH(D1023,Ingredients!$B$5:$B$304,0))),"")</f>
        <v>0</v>
      </c>
      <c r="S1023" s="45">
        <f>IFERROR(IF(P1023="","",P1023*INDEX(Ingredients!$R$5:$R$304,MATCH(D1023,Ingredients!$B$5:$B$304,0))),"")</f>
        <v>0</v>
      </c>
      <c r="T1023" s="45">
        <f>IFERROR(IF(P1023="","",P1023*INDEX(Ingredients!$S$5:$S$304,MATCH(D1023,Ingredients!$B$5:$B$304,0))),"")</f>
        <v>0</v>
      </c>
      <c r="U1023" s="45">
        <f>IFERROR(IF(P1023="","",P1023*INDEX(Ingredients!$T$5:$T$304,MATCH(D1023,Ingredients!$B$5:$B$304,0))),"")</f>
        <v>0</v>
      </c>
      <c r="V1023" s="17">
        <f>IF(D1023="","",IFERROR(INDEX(Ingredients!$W$5:$W$304,MATCH(D1023,Ingredients!$B$5:$B$304,0)),"Add to Ingredients"))</f>
        <v>0</v>
      </c>
      <c r="W1023" s="17">
        <f>IF(D1023="","",IFERROR(INDEX(Ingredients!$C$5:$C$304,MATCH(D1023,Ingredients!$B$5:$B$304,0)),"Add to Ingredients"))</f>
        <v>0</v>
      </c>
      <c r="X1023" s="45">
        <f>IFERROR(INDEX(Recipes!$AT$5:$AT$204,MATCH(B1023,Recipes!$A$5:$A$204,0)),0)</f>
        <v>0</v>
      </c>
      <c r="Y1023" s="45">
        <f>IF(OR(J1023="",X1023=0),"",J1023*X1023)</f>
        <v>0</v>
      </c>
      <c r="Z1023" s="17">
        <f>IF(D1023="","",B1023&amp;"#"&amp;COUNTIFS($B$5:B1023,B1023))</f>
        <v>0</v>
      </c>
      <c r="AA1023" s="17">
        <f>IF(D1023="","",B1023&amp;"|"&amp;D1023)</f>
        <v>0</v>
      </c>
      <c r="AB1023" s="31">
        <f>IF(D1023="","",IF(B1023="","Add - which recipe?",IF(COUNTIFS(Ingredients!$B$5:$B$304,D1023)=0,"Missing - not in the Ingredients tab",IF(E1023="","Add - no quantity",IF(F1023="","Add - no unit",IF(K1023&lt;&gt;L1023,"Check - recipe in "&amp;K1023&amp;", priced in "&amp;L1023,IF(COUNTIFS($AA$5:$AA$1204,AA1023)&gt;1,"Duplicate - same ingredient twice","OK")))))))</f>
        <v>0</v>
      </c>
    </row>
    <row r="1024" spans="1:28">
      <c r="A1024" s="39">
        <f>IF(D1024="","","RL-"&amp;TEXT(ROW()-4,"0000"))</f>
        <v>0</v>
      </c>
      <c r="C1024" s="17">
        <f>IF(B1024="","",IFERROR(INDEX(Recipes!$B$5:$B$204,MATCH(B1024,Recipes!$A$5:$A$204,0)),"Not found"))</f>
        <v>0</v>
      </c>
      <c r="J1024" s="45">
        <f>IF(E1024="","",IFERROR(E1024*INDEX(UnitFactors,MATCH(F1024,UnitNames,0)),""))</f>
        <v>0</v>
      </c>
      <c r="K1024" s="17">
        <f>IF(F1024="","",IFERROR(INDEX(UnitBases,MATCH(F1024,UnitNames,0)),"?"))</f>
        <v>0</v>
      </c>
      <c r="L1024" s="17">
        <f>IF(D1024="","",IFERROR(INDEX(Ingredients!$G$5:$G$304,MATCH(D1024,Ingredients!$B$5:$B$304,0)),"Add to Ingredients"))</f>
        <v>0</v>
      </c>
      <c r="M1024" s="25">
        <f>IF(D1024="","",IFERROR(INDEX(Ingredients!$J$5:$J$304,MATCH(D1024,Ingredients!$B$5:$B$304,0)),"Add to Ingredients"))</f>
        <v>0</v>
      </c>
      <c r="N1024" s="25">
        <f>IF(OR(J1024="",M1024="",NOT(ISNUMBER(M1024))),"",IF(K1024&lt;&gt;L1024,"",J1024*M1024))</f>
        <v>0</v>
      </c>
      <c r="O1024" s="25">
        <f>IF(N1024="","",IFERROR(N1024/INDEX(Recipes!$G$5:$G$204,MATCH(B1024,Recipes!$A$5:$A$204,0)),""))</f>
        <v>0</v>
      </c>
      <c r="P1024" s="30">
        <f>IF(J1024="","",IF(K1024="each",J1024,J1024/100))</f>
        <v>0</v>
      </c>
      <c r="Q1024" s="30">
        <f>IFERROR(IF(P1024="","",P1024*INDEX(Ingredients!$P$5:$P$304,MATCH(D1024,Ingredients!$B$5:$B$304,0))),"")</f>
        <v>0</v>
      </c>
      <c r="R1024" s="45">
        <f>IFERROR(IF(P1024="","",P1024*INDEX(Ingredients!$Q$5:$Q$304,MATCH(D1024,Ingredients!$B$5:$B$304,0))),"")</f>
        <v>0</v>
      </c>
      <c r="S1024" s="45">
        <f>IFERROR(IF(P1024="","",P1024*INDEX(Ingredients!$R$5:$R$304,MATCH(D1024,Ingredients!$B$5:$B$304,0))),"")</f>
        <v>0</v>
      </c>
      <c r="T1024" s="45">
        <f>IFERROR(IF(P1024="","",P1024*INDEX(Ingredients!$S$5:$S$304,MATCH(D1024,Ingredients!$B$5:$B$304,0))),"")</f>
        <v>0</v>
      </c>
      <c r="U1024" s="45">
        <f>IFERROR(IF(P1024="","",P1024*INDEX(Ingredients!$T$5:$T$304,MATCH(D1024,Ingredients!$B$5:$B$304,0))),"")</f>
        <v>0</v>
      </c>
      <c r="V1024" s="17">
        <f>IF(D1024="","",IFERROR(INDEX(Ingredients!$W$5:$W$304,MATCH(D1024,Ingredients!$B$5:$B$304,0)),"Add to Ingredients"))</f>
        <v>0</v>
      </c>
      <c r="W1024" s="17">
        <f>IF(D1024="","",IFERROR(INDEX(Ingredients!$C$5:$C$304,MATCH(D1024,Ingredients!$B$5:$B$304,0)),"Add to Ingredients"))</f>
        <v>0</v>
      </c>
      <c r="X1024" s="45">
        <f>IFERROR(INDEX(Recipes!$AT$5:$AT$204,MATCH(B1024,Recipes!$A$5:$A$204,0)),0)</f>
        <v>0</v>
      </c>
      <c r="Y1024" s="45">
        <f>IF(OR(J1024="",X1024=0),"",J1024*X1024)</f>
        <v>0</v>
      </c>
      <c r="Z1024" s="17">
        <f>IF(D1024="","",B1024&amp;"#"&amp;COUNTIFS($B$5:B1024,B1024))</f>
        <v>0</v>
      </c>
      <c r="AA1024" s="17">
        <f>IF(D1024="","",B1024&amp;"|"&amp;D1024)</f>
        <v>0</v>
      </c>
      <c r="AB1024" s="31">
        <f>IF(D1024="","",IF(B1024="","Add - which recipe?",IF(COUNTIFS(Ingredients!$B$5:$B$304,D1024)=0,"Missing - not in the Ingredients tab",IF(E1024="","Add - no quantity",IF(F1024="","Add - no unit",IF(K1024&lt;&gt;L1024,"Check - recipe in "&amp;K1024&amp;", priced in "&amp;L1024,IF(COUNTIFS($AA$5:$AA$1204,AA1024)&gt;1,"Duplicate - same ingredient twice","OK")))))))</f>
        <v>0</v>
      </c>
    </row>
    <row r="1025" spans="1:28">
      <c r="A1025" s="39">
        <f>IF(D1025="","","RL-"&amp;TEXT(ROW()-4,"0000"))</f>
        <v>0</v>
      </c>
      <c r="C1025" s="17">
        <f>IF(B1025="","",IFERROR(INDEX(Recipes!$B$5:$B$204,MATCH(B1025,Recipes!$A$5:$A$204,0)),"Not found"))</f>
        <v>0</v>
      </c>
      <c r="J1025" s="45">
        <f>IF(E1025="","",IFERROR(E1025*INDEX(UnitFactors,MATCH(F1025,UnitNames,0)),""))</f>
        <v>0</v>
      </c>
      <c r="K1025" s="17">
        <f>IF(F1025="","",IFERROR(INDEX(UnitBases,MATCH(F1025,UnitNames,0)),"?"))</f>
        <v>0</v>
      </c>
      <c r="L1025" s="17">
        <f>IF(D1025="","",IFERROR(INDEX(Ingredients!$G$5:$G$304,MATCH(D1025,Ingredients!$B$5:$B$304,0)),"Add to Ingredients"))</f>
        <v>0</v>
      </c>
      <c r="M1025" s="25">
        <f>IF(D1025="","",IFERROR(INDEX(Ingredients!$J$5:$J$304,MATCH(D1025,Ingredients!$B$5:$B$304,0)),"Add to Ingredients"))</f>
        <v>0</v>
      </c>
      <c r="N1025" s="25">
        <f>IF(OR(J1025="",M1025="",NOT(ISNUMBER(M1025))),"",IF(K1025&lt;&gt;L1025,"",J1025*M1025))</f>
        <v>0</v>
      </c>
      <c r="O1025" s="25">
        <f>IF(N1025="","",IFERROR(N1025/INDEX(Recipes!$G$5:$G$204,MATCH(B1025,Recipes!$A$5:$A$204,0)),""))</f>
        <v>0</v>
      </c>
      <c r="P1025" s="30">
        <f>IF(J1025="","",IF(K1025="each",J1025,J1025/100))</f>
        <v>0</v>
      </c>
      <c r="Q1025" s="30">
        <f>IFERROR(IF(P1025="","",P1025*INDEX(Ingredients!$P$5:$P$304,MATCH(D1025,Ingredients!$B$5:$B$304,0))),"")</f>
        <v>0</v>
      </c>
      <c r="R1025" s="45">
        <f>IFERROR(IF(P1025="","",P1025*INDEX(Ingredients!$Q$5:$Q$304,MATCH(D1025,Ingredients!$B$5:$B$304,0))),"")</f>
        <v>0</v>
      </c>
      <c r="S1025" s="45">
        <f>IFERROR(IF(P1025="","",P1025*INDEX(Ingredients!$R$5:$R$304,MATCH(D1025,Ingredients!$B$5:$B$304,0))),"")</f>
        <v>0</v>
      </c>
      <c r="T1025" s="45">
        <f>IFERROR(IF(P1025="","",P1025*INDEX(Ingredients!$S$5:$S$304,MATCH(D1025,Ingredients!$B$5:$B$304,0))),"")</f>
        <v>0</v>
      </c>
      <c r="U1025" s="45">
        <f>IFERROR(IF(P1025="","",P1025*INDEX(Ingredients!$T$5:$T$304,MATCH(D1025,Ingredients!$B$5:$B$304,0))),"")</f>
        <v>0</v>
      </c>
      <c r="V1025" s="17">
        <f>IF(D1025="","",IFERROR(INDEX(Ingredients!$W$5:$W$304,MATCH(D1025,Ingredients!$B$5:$B$304,0)),"Add to Ingredients"))</f>
        <v>0</v>
      </c>
      <c r="W1025" s="17">
        <f>IF(D1025="","",IFERROR(INDEX(Ingredients!$C$5:$C$304,MATCH(D1025,Ingredients!$B$5:$B$304,0)),"Add to Ingredients"))</f>
        <v>0</v>
      </c>
      <c r="X1025" s="45">
        <f>IFERROR(INDEX(Recipes!$AT$5:$AT$204,MATCH(B1025,Recipes!$A$5:$A$204,0)),0)</f>
        <v>0</v>
      </c>
      <c r="Y1025" s="45">
        <f>IF(OR(J1025="",X1025=0),"",J1025*X1025)</f>
        <v>0</v>
      </c>
      <c r="Z1025" s="17">
        <f>IF(D1025="","",B1025&amp;"#"&amp;COUNTIFS($B$5:B1025,B1025))</f>
        <v>0</v>
      </c>
      <c r="AA1025" s="17">
        <f>IF(D1025="","",B1025&amp;"|"&amp;D1025)</f>
        <v>0</v>
      </c>
      <c r="AB1025" s="31">
        <f>IF(D1025="","",IF(B1025="","Add - which recipe?",IF(COUNTIFS(Ingredients!$B$5:$B$304,D1025)=0,"Missing - not in the Ingredients tab",IF(E1025="","Add - no quantity",IF(F1025="","Add - no unit",IF(K1025&lt;&gt;L1025,"Check - recipe in "&amp;K1025&amp;", priced in "&amp;L1025,IF(COUNTIFS($AA$5:$AA$1204,AA1025)&gt;1,"Duplicate - same ingredient twice","OK")))))))</f>
        <v>0</v>
      </c>
    </row>
    <row r="1026" spans="1:28">
      <c r="A1026" s="39">
        <f>IF(D1026="","","RL-"&amp;TEXT(ROW()-4,"0000"))</f>
        <v>0</v>
      </c>
      <c r="C1026" s="17">
        <f>IF(B1026="","",IFERROR(INDEX(Recipes!$B$5:$B$204,MATCH(B1026,Recipes!$A$5:$A$204,0)),"Not found"))</f>
        <v>0</v>
      </c>
      <c r="J1026" s="45">
        <f>IF(E1026="","",IFERROR(E1026*INDEX(UnitFactors,MATCH(F1026,UnitNames,0)),""))</f>
        <v>0</v>
      </c>
      <c r="K1026" s="17">
        <f>IF(F1026="","",IFERROR(INDEX(UnitBases,MATCH(F1026,UnitNames,0)),"?"))</f>
        <v>0</v>
      </c>
      <c r="L1026" s="17">
        <f>IF(D1026="","",IFERROR(INDEX(Ingredients!$G$5:$G$304,MATCH(D1026,Ingredients!$B$5:$B$304,0)),"Add to Ingredients"))</f>
        <v>0</v>
      </c>
      <c r="M1026" s="25">
        <f>IF(D1026="","",IFERROR(INDEX(Ingredients!$J$5:$J$304,MATCH(D1026,Ingredients!$B$5:$B$304,0)),"Add to Ingredients"))</f>
        <v>0</v>
      </c>
      <c r="N1026" s="25">
        <f>IF(OR(J1026="",M1026="",NOT(ISNUMBER(M1026))),"",IF(K1026&lt;&gt;L1026,"",J1026*M1026))</f>
        <v>0</v>
      </c>
      <c r="O1026" s="25">
        <f>IF(N1026="","",IFERROR(N1026/INDEX(Recipes!$G$5:$G$204,MATCH(B1026,Recipes!$A$5:$A$204,0)),""))</f>
        <v>0</v>
      </c>
      <c r="P1026" s="30">
        <f>IF(J1026="","",IF(K1026="each",J1026,J1026/100))</f>
        <v>0</v>
      </c>
      <c r="Q1026" s="30">
        <f>IFERROR(IF(P1026="","",P1026*INDEX(Ingredients!$P$5:$P$304,MATCH(D1026,Ingredients!$B$5:$B$304,0))),"")</f>
        <v>0</v>
      </c>
      <c r="R1026" s="45">
        <f>IFERROR(IF(P1026="","",P1026*INDEX(Ingredients!$Q$5:$Q$304,MATCH(D1026,Ingredients!$B$5:$B$304,0))),"")</f>
        <v>0</v>
      </c>
      <c r="S1026" s="45">
        <f>IFERROR(IF(P1026="","",P1026*INDEX(Ingredients!$R$5:$R$304,MATCH(D1026,Ingredients!$B$5:$B$304,0))),"")</f>
        <v>0</v>
      </c>
      <c r="T1026" s="45">
        <f>IFERROR(IF(P1026="","",P1026*INDEX(Ingredients!$S$5:$S$304,MATCH(D1026,Ingredients!$B$5:$B$304,0))),"")</f>
        <v>0</v>
      </c>
      <c r="U1026" s="45">
        <f>IFERROR(IF(P1026="","",P1026*INDEX(Ingredients!$T$5:$T$304,MATCH(D1026,Ingredients!$B$5:$B$304,0))),"")</f>
        <v>0</v>
      </c>
      <c r="V1026" s="17">
        <f>IF(D1026="","",IFERROR(INDEX(Ingredients!$W$5:$W$304,MATCH(D1026,Ingredients!$B$5:$B$304,0)),"Add to Ingredients"))</f>
        <v>0</v>
      </c>
      <c r="W1026" s="17">
        <f>IF(D1026="","",IFERROR(INDEX(Ingredients!$C$5:$C$304,MATCH(D1026,Ingredients!$B$5:$B$304,0)),"Add to Ingredients"))</f>
        <v>0</v>
      </c>
      <c r="X1026" s="45">
        <f>IFERROR(INDEX(Recipes!$AT$5:$AT$204,MATCH(B1026,Recipes!$A$5:$A$204,0)),0)</f>
        <v>0</v>
      </c>
      <c r="Y1026" s="45">
        <f>IF(OR(J1026="",X1026=0),"",J1026*X1026)</f>
        <v>0</v>
      </c>
      <c r="Z1026" s="17">
        <f>IF(D1026="","",B1026&amp;"#"&amp;COUNTIFS($B$5:B1026,B1026))</f>
        <v>0</v>
      </c>
      <c r="AA1026" s="17">
        <f>IF(D1026="","",B1026&amp;"|"&amp;D1026)</f>
        <v>0</v>
      </c>
      <c r="AB1026" s="31">
        <f>IF(D1026="","",IF(B1026="","Add - which recipe?",IF(COUNTIFS(Ingredients!$B$5:$B$304,D1026)=0,"Missing - not in the Ingredients tab",IF(E1026="","Add - no quantity",IF(F1026="","Add - no unit",IF(K1026&lt;&gt;L1026,"Check - recipe in "&amp;K1026&amp;", priced in "&amp;L1026,IF(COUNTIFS($AA$5:$AA$1204,AA1026)&gt;1,"Duplicate - same ingredient twice","OK")))))))</f>
        <v>0</v>
      </c>
    </row>
    <row r="1027" spans="1:28">
      <c r="A1027" s="39">
        <f>IF(D1027="","","RL-"&amp;TEXT(ROW()-4,"0000"))</f>
        <v>0</v>
      </c>
      <c r="C1027" s="17">
        <f>IF(B1027="","",IFERROR(INDEX(Recipes!$B$5:$B$204,MATCH(B1027,Recipes!$A$5:$A$204,0)),"Not found"))</f>
        <v>0</v>
      </c>
      <c r="J1027" s="45">
        <f>IF(E1027="","",IFERROR(E1027*INDEX(UnitFactors,MATCH(F1027,UnitNames,0)),""))</f>
        <v>0</v>
      </c>
      <c r="K1027" s="17">
        <f>IF(F1027="","",IFERROR(INDEX(UnitBases,MATCH(F1027,UnitNames,0)),"?"))</f>
        <v>0</v>
      </c>
      <c r="L1027" s="17">
        <f>IF(D1027="","",IFERROR(INDEX(Ingredients!$G$5:$G$304,MATCH(D1027,Ingredients!$B$5:$B$304,0)),"Add to Ingredients"))</f>
        <v>0</v>
      </c>
      <c r="M1027" s="25">
        <f>IF(D1027="","",IFERROR(INDEX(Ingredients!$J$5:$J$304,MATCH(D1027,Ingredients!$B$5:$B$304,0)),"Add to Ingredients"))</f>
        <v>0</v>
      </c>
      <c r="N1027" s="25">
        <f>IF(OR(J1027="",M1027="",NOT(ISNUMBER(M1027))),"",IF(K1027&lt;&gt;L1027,"",J1027*M1027))</f>
        <v>0</v>
      </c>
      <c r="O1027" s="25">
        <f>IF(N1027="","",IFERROR(N1027/INDEX(Recipes!$G$5:$G$204,MATCH(B1027,Recipes!$A$5:$A$204,0)),""))</f>
        <v>0</v>
      </c>
      <c r="P1027" s="30">
        <f>IF(J1027="","",IF(K1027="each",J1027,J1027/100))</f>
        <v>0</v>
      </c>
      <c r="Q1027" s="30">
        <f>IFERROR(IF(P1027="","",P1027*INDEX(Ingredients!$P$5:$P$304,MATCH(D1027,Ingredients!$B$5:$B$304,0))),"")</f>
        <v>0</v>
      </c>
      <c r="R1027" s="45">
        <f>IFERROR(IF(P1027="","",P1027*INDEX(Ingredients!$Q$5:$Q$304,MATCH(D1027,Ingredients!$B$5:$B$304,0))),"")</f>
        <v>0</v>
      </c>
      <c r="S1027" s="45">
        <f>IFERROR(IF(P1027="","",P1027*INDEX(Ingredients!$R$5:$R$304,MATCH(D1027,Ingredients!$B$5:$B$304,0))),"")</f>
        <v>0</v>
      </c>
      <c r="T1027" s="45">
        <f>IFERROR(IF(P1027="","",P1027*INDEX(Ingredients!$S$5:$S$304,MATCH(D1027,Ingredients!$B$5:$B$304,0))),"")</f>
        <v>0</v>
      </c>
      <c r="U1027" s="45">
        <f>IFERROR(IF(P1027="","",P1027*INDEX(Ingredients!$T$5:$T$304,MATCH(D1027,Ingredients!$B$5:$B$304,0))),"")</f>
        <v>0</v>
      </c>
      <c r="V1027" s="17">
        <f>IF(D1027="","",IFERROR(INDEX(Ingredients!$W$5:$W$304,MATCH(D1027,Ingredients!$B$5:$B$304,0)),"Add to Ingredients"))</f>
        <v>0</v>
      </c>
      <c r="W1027" s="17">
        <f>IF(D1027="","",IFERROR(INDEX(Ingredients!$C$5:$C$304,MATCH(D1027,Ingredients!$B$5:$B$304,0)),"Add to Ingredients"))</f>
        <v>0</v>
      </c>
      <c r="X1027" s="45">
        <f>IFERROR(INDEX(Recipes!$AT$5:$AT$204,MATCH(B1027,Recipes!$A$5:$A$204,0)),0)</f>
        <v>0</v>
      </c>
      <c r="Y1027" s="45">
        <f>IF(OR(J1027="",X1027=0),"",J1027*X1027)</f>
        <v>0</v>
      </c>
      <c r="Z1027" s="17">
        <f>IF(D1027="","",B1027&amp;"#"&amp;COUNTIFS($B$5:B1027,B1027))</f>
        <v>0</v>
      </c>
      <c r="AA1027" s="17">
        <f>IF(D1027="","",B1027&amp;"|"&amp;D1027)</f>
        <v>0</v>
      </c>
      <c r="AB1027" s="31">
        <f>IF(D1027="","",IF(B1027="","Add - which recipe?",IF(COUNTIFS(Ingredients!$B$5:$B$304,D1027)=0,"Missing - not in the Ingredients tab",IF(E1027="","Add - no quantity",IF(F1027="","Add - no unit",IF(K1027&lt;&gt;L1027,"Check - recipe in "&amp;K1027&amp;", priced in "&amp;L1027,IF(COUNTIFS($AA$5:$AA$1204,AA1027)&gt;1,"Duplicate - same ingredient twice","OK")))))))</f>
        <v>0</v>
      </c>
    </row>
    <row r="1028" spans="1:28">
      <c r="A1028" s="39">
        <f>IF(D1028="","","RL-"&amp;TEXT(ROW()-4,"0000"))</f>
        <v>0</v>
      </c>
      <c r="C1028" s="17">
        <f>IF(B1028="","",IFERROR(INDEX(Recipes!$B$5:$B$204,MATCH(B1028,Recipes!$A$5:$A$204,0)),"Not found"))</f>
        <v>0</v>
      </c>
      <c r="J1028" s="45">
        <f>IF(E1028="","",IFERROR(E1028*INDEX(UnitFactors,MATCH(F1028,UnitNames,0)),""))</f>
        <v>0</v>
      </c>
      <c r="K1028" s="17">
        <f>IF(F1028="","",IFERROR(INDEX(UnitBases,MATCH(F1028,UnitNames,0)),"?"))</f>
        <v>0</v>
      </c>
      <c r="L1028" s="17">
        <f>IF(D1028="","",IFERROR(INDEX(Ingredients!$G$5:$G$304,MATCH(D1028,Ingredients!$B$5:$B$304,0)),"Add to Ingredients"))</f>
        <v>0</v>
      </c>
      <c r="M1028" s="25">
        <f>IF(D1028="","",IFERROR(INDEX(Ingredients!$J$5:$J$304,MATCH(D1028,Ingredients!$B$5:$B$304,0)),"Add to Ingredients"))</f>
        <v>0</v>
      </c>
      <c r="N1028" s="25">
        <f>IF(OR(J1028="",M1028="",NOT(ISNUMBER(M1028))),"",IF(K1028&lt;&gt;L1028,"",J1028*M1028))</f>
        <v>0</v>
      </c>
      <c r="O1028" s="25">
        <f>IF(N1028="","",IFERROR(N1028/INDEX(Recipes!$G$5:$G$204,MATCH(B1028,Recipes!$A$5:$A$204,0)),""))</f>
        <v>0</v>
      </c>
      <c r="P1028" s="30">
        <f>IF(J1028="","",IF(K1028="each",J1028,J1028/100))</f>
        <v>0</v>
      </c>
      <c r="Q1028" s="30">
        <f>IFERROR(IF(P1028="","",P1028*INDEX(Ingredients!$P$5:$P$304,MATCH(D1028,Ingredients!$B$5:$B$304,0))),"")</f>
        <v>0</v>
      </c>
      <c r="R1028" s="45">
        <f>IFERROR(IF(P1028="","",P1028*INDEX(Ingredients!$Q$5:$Q$304,MATCH(D1028,Ingredients!$B$5:$B$304,0))),"")</f>
        <v>0</v>
      </c>
      <c r="S1028" s="45">
        <f>IFERROR(IF(P1028="","",P1028*INDEX(Ingredients!$R$5:$R$304,MATCH(D1028,Ingredients!$B$5:$B$304,0))),"")</f>
        <v>0</v>
      </c>
      <c r="T1028" s="45">
        <f>IFERROR(IF(P1028="","",P1028*INDEX(Ingredients!$S$5:$S$304,MATCH(D1028,Ingredients!$B$5:$B$304,0))),"")</f>
        <v>0</v>
      </c>
      <c r="U1028" s="45">
        <f>IFERROR(IF(P1028="","",P1028*INDEX(Ingredients!$T$5:$T$304,MATCH(D1028,Ingredients!$B$5:$B$304,0))),"")</f>
        <v>0</v>
      </c>
      <c r="V1028" s="17">
        <f>IF(D1028="","",IFERROR(INDEX(Ingredients!$W$5:$W$304,MATCH(D1028,Ingredients!$B$5:$B$304,0)),"Add to Ingredients"))</f>
        <v>0</v>
      </c>
      <c r="W1028" s="17">
        <f>IF(D1028="","",IFERROR(INDEX(Ingredients!$C$5:$C$304,MATCH(D1028,Ingredients!$B$5:$B$304,0)),"Add to Ingredients"))</f>
        <v>0</v>
      </c>
      <c r="X1028" s="45">
        <f>IFERROR(INDEX(Recipes!$AT$5:$AT$204,MATCH(B1028,Recipes!$A$5:$A$204,0)),0)</f>
        <v>0</v>
      </c>
      <c r="Y1028" s="45">
        <f>IF(OR(J1028="",X1028=0),"",J1028*X1028)</f>
        <v>0</v>
      </c>
      <c r="Z1028" s="17">
        <f>IF(D1028="","",B1028&amp;"#"&amp;COUNTIFS($B$5:B1028,B1028))</f>
        <v>0</v>
      </c>
      <c r="AA1028" s="17">
        <f>IF(D1028="","",B1028&amp;"|"&amp;D1028)</f>
        <v>0</v>
      </c>
      <c r="AB1028" s="31">
        <f>IF(D1028="","",IF(B1028="","Add - which recipe?",IF(COUNTIFS(Ingredients!$B$5:$B$304,D1028)=0,"Missing - not in the Ingredients tab",IF(E1028="","Add - no quantity",IF(F1028="","Add - no unit",IF(K1028&lt;&gt;L1028,"Check - recipe in "&amp;K1028&amp;", priced in "&amp;L1028,IF(COUNTIFS($AA$5:$AA$1204,AA1028)&gt;1,"Duplicate - same ingredient twice","OK")))))))</f>
        <v>0</v>
      </c>
    </row>
    <row r="1029" spans="1:28">
      <c r="A1029" s="39">
        <f>IF(D1029="","","RL-"&amp;TEXT(ROW()-4,"0000"))</f>
        <v>0</v>
      </c>
      <c r="C1029" s="17">
        <f>IF(B1029="","",IFERROR(INDEX(Recipes!$B$5:$B$204,MATCH(B1029,Recipes!$A$5:$A$204,0)),"Not found"))</f>
        <v>0</v>
      </c>
      <c r="J1029" s="45">
        <f>IF(E1029="","",IFERROR(E1029*INDEX(UnitFactors,MATCH(F1029,UnitNames,0)),""))</f>
        <v>0</v>
      </c>
      <c r="K1029" s="17">
        <f>IF(F1029="","",IFERROR(INDEX(UnitBases,MATCH(F1029,UnitNames,0)),"?"))</f>
        <v>0</v>
      </c>
      <c r="L1029" s="17">
        <f>IF(D1029="","",IFERROR(INDEX(Ingredients!$G$5:$G$304,MATCH(D1029,Ingredients!$B$5:$B$304,0)),"Add to Ingredients"))</f>
        <v>0</v>
      </c>
      <c r="M1029" s="25">
        <f>IF(D1029="","",IFERROR(INDEX(Ingredients!$J$5:$J$304,MATCH(D1029,Ingredients!$B$5:$B$304,0)),"Add to Ingredients"))</f>
        <v>0</v>
      </c>
      <c r="N1029" s="25">
        <f>IF(OR(J1029="",M1029="",NOT(ISNUMBER(M1029))),"",IF(K1029&lt;&gt;L1029,"",J1029*M1029))</f>
        <v>0</v>
      </c>
      <c r="O1029" s="25">
        <f>IF(N1029="","",IFERROR(N1029/INDEX(Recipes!$G$5:$G$204,MATCH(B1029,Recipes!$A$5:$A$204,0)),""))</f>
        <v>0</v>
      </c>
      <c r="P1029" s="30">
        <f>IF(J1029="","",IF(K1029="each",J1029,J1029/100))</f>
        <v>0</v>
      </c>
      <c r="Q1029" s="30">
        <f>IFERROR(IF(P1029="","",P1029*INDEX(Ingredients!$P$5:$P$304,MATCH(D1029,Ingredients!$B$5:$B$304,0))),"")</f>
        <v>0</v>
      </c>
      <c r="R1029" s="45">
        <f>IFERROR(IF(P1029="","",P1029*INDEX(Ingredients!$Q$5:$Q$304,MATCH(D1029,Ingredients!$B$5:$B$304,0))),"")</f>
        <v>0</v>
      </c>
      <c r="S1029" s="45">
        <f>IFERROR(IF(P1029="","",P1029*INDEX(Ingredients!$R$5:$R$304,MATCH(D1029,Ingredients!$B$5:$B$304,0))),"")</f>
        <v>0</v>
      </c>
      <c r="T1029" s="45">
        <f>IFERROR(IF(P1029="","",P1029*INDEX(Ingredients!$S$5:$S$304,MATCH(D1029,Ingredients!$B$5:$B$304,0))),"")</f>
        <v>0</v>
      </c>
      <c r="U1029" s="45">
        <f>IFERROR(IF(P1029="","",P1029*INDEX(Ingredients!$T$5:$T$304,MATCH(D1029,Ingredients!$B$5:$B$304,0))),"")</f>
        <v>0</v>
      </c>
      <c r="V1029" s="17">
        <f>IF(D1029="","",IFERROR(INDEX(Ingredients!$W$5:$W$304,MATCH(D1029,Ingredients!$B$5:$B$304,0)),"Add to Ingredients"))</f>
        <v>0</v>
      </c>
      <c r="W1029" s="17">
        <f>IF(D1029="","",IFERROR(INDEX(Ingredients!$C$5:$C$304,MATCH(D1029,Ingredients!$B$5:$B$304,0)),"Add to Ingredients"))</f>
        <v>0</v>
      </c>
      <c r="X1029" s="45">
        <f>IFERROR(INDEX(Recipes!$AT$5:$AT$204,MATCH(B1029,Recipes!$A$5:$A$204,0)),0)</f>
        <v>0</v>
      </c>
      <c r="Y1029" s="45">
        <f>IF(OR(J1029="",X1029=0),"",J1029*X1029)</f>
        <v>0</v>
      </c>
      <c r="Z1029" s="17">
        <f>IF(D1029="","",B1029&amp;"#"&amp;COUNTIFS($B$5:B1029,B1029))</f>
        <v>0</v>
      </c>
      <c r="AA1029" s="17">
        <f>IF(D1029="","",B1029&amp;"|"&amp;D1029)</f>
        <v>0</v>
      </c>
      <c r="AB1029" s="31">
        <f>IF(D1029="","",IF(B1029="","Add - which recipe?",IF(COUNTIFS(Ingredients!$B$5:$B$304,D1029)=0,"Missing - not in the Ingredients tab",IF(E1029="","Add - no quantity",IF(F1029="","Add - no unit",IF(K1029&lt;&gt;L1029,"Check - recipe in "&amp;K1029&amp;", priced in "&amp;L1029,IF(COUNTIFS($AA$5:$AA$1204,AA1029)&gt;1,"Duplicate - same ingredient twice","OK")))))))</f>
        <v>0</v>
      </c>
    </row>
    <row r="1030" spans="1:28">
      <c r="A1030" s="39">
        <f>IF(D1030="","","RL-"&amp;TEXT(ROW()-4,"0000"))</f>
        <v>0</v>
      </c>
      <c r="C1030" s="17">
        <f>IF(B1030="","",IFERROR(INDEX(Recipes!$B$5:$B$204,MATCH(B1030,Recipes!$A$5:$A$204,0)),"Not found"))</f>
        <v>0</v>
      </c>
      <c r="J1030" s="45">
        <f>IF(E1030="","",IFERROR(E1030*INDEX(UnitFactors,MATCH(F1030,UnitNames,0)),""))</f>
        <v>0</v>
      </c>
      <c r="K1030" s="17">
        <f>IF(F1030="","",IFERROR(INDEX(UnitBases,MATCH(F1030,UnitNames,0)),"?"))</f>
        <v>0</v>
      </c>
      <c r="L1030" s="17">
        <f>IF(D1030="","",IFERROR(INDEX(Ingredients!$G$5:$G$304,MATCH(D1030,Ingredients!$B$5:$B$304,0)),"Add to Ingredients"))</f>
        <v>0</v>
      </c>
      <c r="M1030" s="25">
        <f>IF(D1030="","",IFERROR(INDEX(Ingredients!$J$5:$J$304,MATCH(D1030,Ingredients!$B$5:$B$304,0)),"Add to Ingredients"))</f>
        <v>0</v>
      </c>
      <c r="N1030" s="25">
        <f>IF(OR(J1030="",M1030="",NOT(ISNUMBER(M1030))),"",IF(K1030&lt;&gt;L1030,"",J1030*M1030))</f>
        <v>0</v>
      </c>
      <c r="O1030" s="25">
        <f>IF(N1030="","",IFERROR(N1030/INDEX(Recipes!$G$5:$G$204,MATCH(B1030,Recipes!$A$5:$A$204,0)),""))</f>
        <v>0</v>
      </c>
      <c r="P1030" s="30">
        <f>IF(J1030="","",IF(K1030="each",J1030,J1030/100))</f>
        <v>0</v>
      </c>
      <c r="Q1030" s="30">
        <f>IFERROR(IF(P1030="","",P1030*INDEX(Ingredients!$P$5:$P$304,MATCH(D1030,Ingredients!$B$5:$B$304,0))),"")</f>
        <v>0</v>
      </c>
      <c r="R1030" s="45">
        <f>IFERROR(IF(P1030="","",P1030*INDEX(Ingredients!$Q$5:$Q$304,MATCH(D1030,Ingredients!$B$5:$B$304,0))),"")</f>
        <v>0</v>
      </c>
      <c r="S1030" s="45">
        <f>IFERROR(IF(P1030="","",P1030*INDEX(Ingredients!$R$5:$R$304,MATCH(D1030,Ingredients!$B$5:$B$304,0))),"")</f>
        <v>0</v>
      </c>
      <c r="T1030" s="45">
        <f>IFERROR(IF(P1030="","",P1030*INDEX(Ingredients!$S$5:$S$304,MATCH(D1030,Ingredients!$B$5:$B$304,0))),"")</f>
        <v>0</v>
      </c>
      <c r="U1030" s="45">
        <f>IFERROR(IF(P1030="","",P1030*INDEX(Ingredients!$T$5:$T$304,MATCH(D1030,Ingredients!$B$5:$B$304,0))),"")</f>
        <v>0</v>
      </c>
      <c r="V1030" s="17">
        <f>IF(D1030="","",IFERROR(INDEX(Ingredients!$W$5:$W$304,MATCH(D1030,Ingredients!$B$5:$B$304,0)),"Add to Ingredients"))</f>
        <v>0</v>
      </c>
      <c r="W1030" s="17">
        <f>IF(D1030="","",IFERROR(INDEX(Ingredients!$C$5:$C$304,MATCH(D1030,Ingredients!$B$5:$B$304,0)),"Add to Ingredients"))</f>
        <v>0</v>
      </c>
      <c r="X1030" s="45">
        <f>IFERROR(INDEX(Recipes!$AT$5:$AT$204,MATCH(B1030,Recipes!$A$5:$A$204,0)),0)</f>
        <v>0</v>
      </c>
      <c r="Y1030" s="45">
        <f>IF(OR(J1030="",X1030=0),"",J1030*X1030)</f>
        <v>0</v>
      </c>
      <c r="Z1030" s="17">
        <f>IF(D1030="","",B1030&amp;"#"&amp;COUNTIFS($B$5:B1030,B1030))</f>
        <v>0</v>
      </c>
      <c r="AA1030" s="17">
        <f>IF(D1030="","",B1030&amp;"|"&amp;D1030)</f>
        <v>0</v>
      </c>
      <c r="AB1030" s="31">
        <f>IF(D1030="","",IF(B1030="","Add - which recipe?",IF(COUNTIFS(Ingredients!$B$5:$B$304,D1030)=0,"Missing - not in the Ingredients tab",IF(E1030="","Add - no quantity",IF(F1030="","Add - no unit",IF(K1030&lt;&gt;L1030,"Check - recipe in "&amp;K1030&amp;", priced in "&amp;L1030,IF(COUNTIFS($AA$5:$AA$1204,AA1030)&gt;1,"Duplicate - same ingredient twice","OK")))))))</f>
        <v>0</v>
      </c>
    </row>
    <row r="1031" spans="1:28">
      <c r="A1031" s="39">
        <f>IF(D1031="","","RL-"&amp;TEXT(ROW()-4,"0000"))</f>
        <v>0</v>
      </c>
      <c r="C1031" s="17">
        <f>IF(B1031="","",IFERROR(INDEX(Recipes!$B$5:$B$204,MATCH(B1031,Recipes!$A$5:$A$204,0)),"Not found"))</f>
        <v>0</v>
      </c>
      <c r="J1031" s="45">
        <f>IF(E1031="","",IFERROR(E1031*INDEX(UnitFactors,MATCH(F1031,UnitNames,0)),""))</f>
        <v>0</v>
      </c>
      <c r="K1031" s="17">
        <f>IF(F1031="","",IFERROR(INDEX(UnitBases,MATCH(F1031,UnitNames,0)),"?"))</f>
        <v>0</v>
      </c>
      <c r="L1031" s="17">
        <f>IF(D1031="","",IFERROR(INDEX(Ingredients!$G$5:$G$304,MATCH(D1031,Ingredients!$B$5:$B$304,0)),"Add to Ingredients"))</f>
        <v>0</v>
      </c>
      <c r="M1031" s="25">
        <f>IF(D1031="","",IFERROR(INDEX(Ingredients!$J$5:$J$304,MATCH(D1031,Ingredients!$B$5:$B$304,0)),"Add to Ingredients"))</f>
        <v>0</v>
      </c>
      <c r="N1031" s="25">
        <f>IF(OR(J1031="",M1031="",NOT(ISNUMBER(M1031))),"",IF(K1031&lt;&gt;L1031,"",J1031*M1031))</f>
        <v>0</v>
      </c>
      <c r="O1031" s="25">
        <f>IF(N1031="","",IFERROR(N1031/INDEX(Recipes!$G$5:$G$204,MATCH(B1031,Recipes!$A$5:$A$204,0)),""))</f>
        <v>0</v>
      </c>
      <c r="P1031" s="30">
        <f>IF(J1031="","",IF(K1031="each",J1031,J1031/100))</f>
        <v>0</v>
      </c>
      <c r="Q1031" s="30">
        <f>IFERROR(IF(P1031="","",P1031*INDEX(Ingredients!$P$5:$P$304,MATCH(D1031,Ingredients!$B$5:$B$304,0))),"")</f>
        <v>0</v>
      </c>
      <c r="R1031" s="45">
        <f>IFERROR(IF(P1031="","",P1031*INDEX(Ingredients!$Q$5:$Q$304,MATCH(D1031,Ingredients!$B$5:$B$304,0))),"")</f>
        <v>0</v>
      </c>
      <c r="S1031" s="45">
        <f>IFERROR(IF(P1031="","",P1031*INDEX(Ingredients!$R$5:$R$304,MATCH(D1031,Ingredients!$B$5:$B$304,0))),"")</f>
        <v>0</v>
      </c>
      <c r="T1031" s="45">
        <f>IFERROR(IF(P1031="","",P1031*INDEX(Ingredients!$S$5:$S$304,MATCH(D1031,Ingredients!$B$5:$B$304,0))),"")</f>
        <v>0</v>
      </c>
      <c r="U1031" s="45">
        <f>IFERROR(IF(P1031="","",P1031*INDEX(Ingredients!$T$5:$T$304,MATCH(D1031,Ingredients!$B$5:$B$304,0))),"")</f>
        <v>0</v>
      </c>
      <c r="V1031" s="17">
        <f>IF(D1031="","",IFERROR(INDEX(Ingredients!$W$5:$W$304,MATCH(D1031,Ingredients!$B$5:$B$304,0)),"Add to Ingredients"))</f>
        <v>0</v>
      </c>
      <c r="W1031" s="17">
        <f>IF(D1031="","",IFERROR(INDEX(Ingredients!$C$5:$C$304,MATCH(D1031,Ingredients!$B$5:$B$304,0)),"Add to Ingredients"))</f>
        <v>0</v>
      </c>
      <c r="X1031" s="45">
        <f>IFERROR(INDEX(Recipes!$AT$5:$AT$204,MATCH(B1031,Recipes!$A$5:$A$204,0)),0)</f>
        <v>0</v>
      </c>
      <c r="Y1031" s="45">
        <f>IF(OR(J1031="",X1031=0),"",J1031*X1031)</f>
        <v>0</v>
      </c>
      <c r="Z1031" s="17">
        <f>IF(D1031="","",B1031&amp;"#"&amp;COUNTIFS($B$5:B1031,B1031))</f>
        <v>0</v>
      </c>
      <c r="AA1031" s="17">
        <f>IF(D1031="","",B1031&amp;"|"&amp;D1031)</f>
        <v>0</v>
      </c>
      <c r="AB1031" s="31">
        <f>IF(D1031="","",IF(B1031="","Add - which recipe?",IF(COUNTIFS(Ingredients!$B$5:$B$304,D1031)=0,"Missing - not in the Ingredients tab",IF(E1031="","Add - no quantity",IF(F1031="","Add - no unit",IF(K1031&lt;&gt;L1031,"Check - recipe in "&amp;K1031&amp;", priced in "&amp;L1031,IF(COUNTIFS($AA$5:$AA$1204,AA1031)&gt;1,"Duplicate - same ingredient twice","OK")))))))</f>
        <v>0</v>
      </c>
    </row>
    <row r="1032" spans="1:28">
      <c r="A1032" s="39">
        <f>IF(D1032="","","RL-"&amp;TEXT(ROW()-4,"0000"))</f>
        <v>0</v>
      </c>
      <c r="C1032" s="17">
        <f>IF(B1032="","",IFERROR(INDEX(Recipes!$B$5:$B$204,MATCH(B1032,Recipes!$A$5:$A$204,0)),"Not found"))</f>
        <v>0</v>
      </c>
      <c r="J1032" s="45">
        <f>IF(E1032="","",IFERROR(E1032*INDEX(UnitFactors,MATCH(F1032,UnitNames,0)),""))</f>
        <v>0</v>
      </c>
      <c r="K1032" s="17">
        <f>IF(F1032="","",IFERROR(INDEX(UnitBases,MATCH(F1032,UnitNames,0)),"?"))</f>
        <v>0</v>
      </c>
      <c r="L1032" s="17">
        <f>IF(D1032="","",IFERROR(INDEX(Ingredients!$G$5:$G$304,MATCH(D1032,Ingredients!$B$5:$B$304,0)),"Add to Ingredients"))</f>
        <v>0</v>
      </c>
      <c r="M1032" s="25">
        <f>IF(D1032="","",IFERROR(INDEX(Ingredients!$J$5:$J$304,MATCH(D1032,Ingredients!$B$5:$B$304,0)),"Add to Ingredients"))</f>
        <v>0</v>
      </c>
      <c r="N1032" s="25">
        <f>IF(OR(J1032="",M1032="",NOT(ISNUMBER(M1032))),"",IF(K1032&lt;&gt;L1032,"",J1032*M1032))</f>
        <v>0</v>
      </c>
      <c r="O1032" s="25">
        <f>IF(N1032="","",IFERROR(N1032/INDEX(Recipes!$G$5:$G$204,MATCH(B1032,Recipes!$A$5:$A$204,0)),""))</f>
        <v>0</v>
      </c>
      <c r="P1032" s="30">
        <f>IF(J1032="","",IF(K1032="each",J1032,J1032/100))</f>
        <v>0</v>
      </c>
      <c r="Q1032" s="30">
        <f>IFERROR(IF(P1032="","",P1032*INDEX(Ingredients!$P$5:$P$304,MATCH(D1032,Ingredients!$B$5:$B$304,0))),"")</f>
        <v>0</v>
      </c>
      <c r="R1032" s="45">
        <f>IFERROR(IF(P1032="","",P1032*INDEX(Ingredients!$Q$5:$Q$304,MATCH(D1032,Ingredients!$B$5:$B$304,0))),"")</f>
        <v>0</v>
      </c>
      <c r="S1032" s="45">
        <f>IFERROR(IF(P1032="","",P1032*INDEX(Ingredients!$R$5:$R$304,MATCH(D1032,Ingredients!$B$5:$B$304,0))),"")</f>
        <v>0</v>
      </c>
      <c r="T1032" s="45">
        <f>IFERROR(IF(P1032="","",P1032*INDEX(Ingredients!$S$5:$S$304,MATCH(D1032,Ingredients!$B$5:$B$304,0))),"")</f>
        <v>0</v>
      </c>
      <c r="U1032" s="45">
        <f>IFERROR(IF(P1032="","",P1032*INDEX(Ingredients!$T$5:$T$304,MATCH(D1032,Ingredients!$B$5:$B$304,0))),"")</f>
        <v>0</v>
      </c>
      <c r="V1032" s="17">
        <f>IF(D1032="","",IFERROR(INDEX(Ingredients!$W$5:$W$304,MATCH(D1032,Ingredients!$B$5:$B$304,0)),"Add to Ingredients"))</f>
        <v>0</v>
      </c>
      <c r="W1032" s="17">
        <f>IF(D1032="","",IFERROR(INDEX(Ingredients!$C$5:$C$304,MATCH(D1032,Ingredients!$B$5:$B$304,0)),"Add to Ingredients"))</f>
        <v>0</v>
      </c>
      <c r="X1032" s="45">
        <f>IFERROR(INDEX(Recipes!$AT$5:$AT$204,MATCH(B1032,Recipes!$A$5:$A$204,0)),0)</f>
        <v>0</v>
      </c>
      <c r="Y1032" s="45">
        <f>IF(OR(J1032="",X1032=0),"",J1032*X1032)</f>
        <v>0</v>
      </c>
      <c r="Z1032" s="17">
        <f>IF(D1032="","",B1032&amp;"#"&amp;COUNTIFS($B$5:B1032,B1032))</f>
        <v>0</v>
      </c>
      <c r="AA1032" s="17">
        <f>IF(D1032="","",B1032&amp;"|"&amp;D1032)</f>
        <v>0</v>
      </c>
      <c r="AB1032" s="31">
        <f>IF(D1032="","",IF(B1032="","Add - which recipe?",IF(COUNTIFS(Ingredients!$B$5:$B$304,D1032)=0,"Missing - not in the Ingredients tab",IF(E1032="","Add - no quantity",IF(F1032="","Add - no unit",IF(K1032&lt;&gt;L1032,"Check - recipe in "&amp;K1032&amp;", priced in "&amp;L1032,IF(COUNTIFS($AA$5:$AA$1204,AA1032)&gt;1,"Duplicate - same ingredient twice","OK")))))))</f>
        <v>0</v>
      </c>
    </row>
    <row r="1033" spans="1:28">
      <c r="A1033" s="39">
        <f>IF(D1033="","","RL-"&amp;TEXT(ROW()-4,"0000"))</f>
        <v>0</v>
      </c>
      <c r="C1033" s="17">
        <f>IF(B1033="","",IFERROR(INDEX(Recipes!$B$5:$B$204,MATCH(B1033,Recipes!$A$5:$A$204,0)),"Not found"))</f>
        <v>0</v>
      </c>
      <c r="J1033" s="45">
        <f>IF(E1033="","",IFERROR(E1033*INDEX(UnitFactors,MATCH(F1033,UnitNames,0)),""))</f>
        <v>0</v>
      </c>
      <c r="K1033" s="17">
        <f>IF(F1033="","",IFERROR(INDEX(UnitBases,MATCH(F1033,UnitNames,0)),"?"))</f>
        <v>0</v>
      </c>
      <c r="L1033" s="17">
        <f>IF(D1033="","",IFERROR(INDEX(Ingredients!$G$5:$G$304,MATCH(D1033,Ingredients!$B$5:$B$304,0)),"Add to Ingredients"))</f>
        <v>0</v>
      </c>
      <c r="M1033" s="25">
        <f>IF(D1033="","",IFERROR(INDEX(Ingredients!$J$5:$J$304,MATCH(D1033,Ingredients!$B$5:$B$304,0)),"Add to Ingredients"))</f>
        <v>0</v>
      </c>
      <c r="N1033" s="25">
        <f>IF(OR(J1033="",M1033="",NOT(ISNUMBER(M1033))),"",IF(K1033&lt;&gt;L1033,"",J1033*M1033))</f>
        <v>0</v>
      </c>
      <c r="O1033" s="25">
        <f>IF(N1033="","",IFERROR(N1033/INDEX(Recipes!$G$5:$G$204,MATCH(B1033,Recipes!$A$5:$A$204,0)),""))</f>
        <v>0</v>
      </c>
      <c r="P1033" s="30">
        <f>IF(J1033="","",IF(K1033="each",J1033,J1033/100))</f>
        <v>0</v>
      </c>
      <c r="Q1033" s="30">
        <f>IFERROR(IF(P1033="","",P1033*INDEX(Ingredients!$P$5:$P$304,MATCH(D1033,Ingredients!$B$5:$B$304,0))),"")</f>
        <v>0</v>
      </c>
      <c r="R1033" s="45">
        <f>IFERROR(IF(P1033="","",P1033*INDEX(Ingredients!$Q$5:$Q$304,MATCH(D1033,Ingredients!$B$5:$B$304,0))),"")</f>
        <v>0</v>
      </c>
      <c r="S1033" s="45">
        <f>IFERROR(IF(P1033="","",P1033*INDEX(Ingredients!$R$5:$R$304,MATCH(D1033,Ingredients!$B$5:$B$304,0))),"")</f>
        <v>0</v>
      </c>
      <c r="T1033" s="45">
        <f>IFERROR(IF(P1033="","",P1033*INDEX(Ingredients!$S$5:$S$304,MATCH(D1033,Ingredients!$B$5:$B$304,0))),"")</f>
        <v>0</v>
      </c>
      <c r="U1033" s="45">
        <f>IFERROR(IF(P1033="","",P1033*INDEX(Ingredients!$T$5:$T$304,MATCH(D1033,Ingredients!$B$5:$B$304,0))),"")</f>
        <v>0</v>
      </c>
      <c r="V1033" s="17">
        <f>IF(D1033="","",IFERROR(INDEX(Ingredients!$W$5:$W$304,MATCH(D1033,Ingredients!$B$5:$B$304,0)),"Add to Ingredients"))</f>
        <v>0</v>
      </c>
      <c r="W1033" s="17">
        <f>IF(D1033="","",IFERROR(INDEX(Ingredients!$C$5:$C$304,MATCH(D1033,Ingredients!$B$5:$B$304,0)),"Add to Ingredients"))</f>
        <v>0</v>
      </c>
      <c r="X1033" s="45">
        <f>IFERROR(INDEX(Recipes!$AT$5:$AT$204,MATCH(B1033,Recipes!$A$5:$A$204,0)),0)</f>
        <v>0</v>
      </c>
      <c r="Y1033" s="45">
        <f>IF(OR(J1033="",X1033=0),"",J1033*X1033)</f>
        <v>0</v>
      </c>
      <c r="Z1033" s="17">
        <f>IF(D1033="","",B1033&amp;"#"&amp;COUNTIFS($B$5:B1033,B1033))</f>
        <v>0</v>
      </c>
      <c r="AA1033" s="17">
        <f>IF(D1033="","",B1033&amp;"|"&amp;D1033)</f>
        <v>0</v>
      </c>
      <c r="AB1033" s="31">
        <f>IF(D1033="","",IF(B1033="","Add - which recipe?",IF(COUNTIFS(Ingredients!$B$5:$B$304,D1033)=0,"Missing - not in the Ingredients tab",IF(E1033="","Add - no quantity",IF(F1033="","Add - no unit",IF(K1033&lt;&gt;L1033,"Check - recipe in "&amp;K1033&amp;", priced in "&amp;L1033,IF(COUNTIFS($AA$5:$AA$1204,AA1033)&gt;1,"Duplicate - same ingredient twice","OK")))))))</f>
        <v>0</v>
      </c>
    </row>
    <row r="1034" spans="1:28">
      <c r="A1034" s="39">
        <f>IF(D1034="","","RL-"&amp;TEXT(ROW()-4,"0000"))</f>
        <v>0</v>
      </c>
      <c r="C1034" s="17">
        <f>IF(B1034="","",IFERROR(INDEX(Recipes!$B$5:$B$204,MATCH(B1034,Recipes!$A$5:$A$204,0)),"Not found"))</f>
        <v>0</v>
      </c>
      <c r="J1034" s="45">
        <f>IF(E1034="","",IFERROR(E1034*INDEX(UnitFactors,MATCH(F1034,UnitNames,0)),""))</f>
        <v>0</v>
      </c>
      <c r="K1034" s="17">
        <f>IF(F1034="","",IFERROR(INDEX(UnitBases,MATCH(F1034,UnitNames,0)),"?"))</f>
        <v>0</v>
      </c>
      <c r="L1034" s="17">
        <f>IF(D1034="","",IFERROR(INDEX(Ingredients!$G$5:$G$304,MATCH(D1034,Ingredients!$B$5:$B$304,0)),"Add to Ingredients"))</f>
        <v>0</v>
      </c>
      <c r="M1034" s="25">
        <f>IF(D1034="","",IFERROR(INDEX(Ingredients!$J$5:$J$304,MATCH(D1034,Ingredients!$B$5:$B$304,0)),"Add to Ingredients"))</f>
        <v>0</v>
      </c>
      <c r="N1034" s="25">
        <f>IF(OR(J1034="",M1034="",NOT(ISNUMBER(M1034))),"",IF(K1034&lt;&gt;L1034,"",J1034*M1034))</f>
        <v>0</v>
      </c>
      <c r="O1034" s="25">
        <f>IF(N1034="","",IFERROR(N1034/INDEX(Recipes!$G$5:$G$204,MATCH(B1034,Recipes!$A$5:$A$204,0)),""))</f>
        <v>0</v>
      </c>
      <c r="P1034" s="30">
        <f>IF(J1034="","",IF(K1034="each",J1034,J1034/100))</f>
        <v>0</v>
      </c>
      <c r="Q1034" s="30">
        <f>IFERROR(IF(P1034="","",P1034*INDEX(Ingredients!$P$5:$P$304,MATCH(D1034,Ingredients!$B$5:$B$304,0))),"")</f>
        <v>0</v>
      </c>
      <c r="R1034" s="45">
        <f>IFERROR(IF(P1034="","",P1034*INDEX(Ingredients!$Q$5:$Q$304,MATCH(D1034,Ingredients!$B$5:$B$304,0))),"")</f>
        <v>0</v>
      </c>
      <c r="S1034" s="45">
        <f>IFERROR(IF(P1034="","",P1034*INDEX(Ingredients!$R$5:$R$304,MATCH(D1034,Ingredients!$B$5:$B$304,0))),"")</f>
        <v>0</v>
      </c>
      <c r="T1034" s="45">
        <f>IFERROR(IF(P1034="","",P1034*INDEX(Ingredients!$S$5:$S$304,MATCH(D1034,Ingredients!$B$5:$B$304,0))),"")</f>
        <v>0</v>
      </c>
      <c r="U1034" s="45">
        <f>IFERROR(IF(P1034="","",P1034*INDEX(Ingredients!$T$5:$T$304,MATCH(D1034,Ingredients!$B$5:$B$304,0))),"")</f>
        <v>0</v>
      </c>
      <c r="V1034" s="17">
        <f>IF(D1034="","",IFERROR(INDEX(Ingredients!$W$5:$W$304,MATCH(D1034,Ingredients!$B$5:$B$304,0)),"Add to Ingredients"))</f>
        <v>0</v>
      </c>
      <c r="W1034" s="17">
        <f>IF(D1034="","",IFERROR(INDEX(Ingredients!$C$5:$C$304,MATCH(D1034,Ingredients!$B$5:$B$304,0)),"Add to Ingredients"))</f>
        <v>0</v>
      </c>
      <c r="X1034" s="45">
        <f>IFERROR(INDEX(Recipes!$AT$5:$AT$204,MATCH(B1034,Recipes!$A$5:$A$204,0)),0)</f>
        <v>0</v>
      </c>
      <c r="Y1034" s="45">
        <f>IF(OR(J1034="",X1034=0),"",J1034*X1034)</f>
        <v>0</v>
      </c>
      <c r="Z1034" s="17">
        <f>IF(D1034="","",B1034&amp;"#"&amp;COUNTIFS($B$5:B1034,B1034))</f>
        <v>0</v>
      </c>
      <c r="AA1034" s="17">
        <f>IF(D1034="","",B1034&amp;"|"&amp;D1034)</f>
        <v>0</v>
      </c>
      <c r="AB1034" s="31">
        <f>IF(D1034="","",IF(B1034="","Add - which recipe?",IF(COUNTIFS(Ingredients!$B$5:$B$304,D1034)=0,"Missing - not in the Ingredients tab",IF(E1034="","Add - no quantity",IF(F1034="","Add - no unit",IF(K1034&lt;&gt;L1034,"Check - recipe in "&amp;K1034&amp;", priced in "&amp;L1034,IF(COUNTIFS($AA$5:$AA$1204,AA1034)&gt;1,"Duplicate - same ingredient twice","OK")))))))</f>
        <v>0</v>
      </c>
    </row>
    <row r="1035" spans="1:28">
      <c r="A1035" s="39">
        <f>IF(D1035="","","RL-"&amp;TEXT(ROW()-4,"0000"))</f>
        <v>0</v>
      </c>
      <c r="C1035" s="17">
        <f>IF(B1035="","",IFERROR(INDEX(Recipes!$B$5:$B$204,MATCH(B1035,Recipes!$A$5:$A$204,0)),"Not found"))</f>
        <v>0</v>
      </c>
      <c r="J1035" s="45">
        <f>IF(E1035="","",IFERROR(E1035*INDEX(UnitFactors,MATCH(F1035,UnitNames,0)),""))</f>
        <v>0</v>
      </c>
      <c r="K1035" s="17">
        <f>IF(F1035="","",IFERROR(INDEX(UnitBases,MATCH(F1035,UnitNames,0)),"?"))</f>
        <v>0</v>
      </c>
      <c r="L1035" s="17">
        <f>IF(D1035="","",IFERROR(INDEX(Ingredients!$G$5:$G$304,MATCH(D1035,Ingredients!$B$5:$B$304,0)),"Add to Ingredients"))</f>
        <v>0</v>
      </c>
      <c r="M1035" s="25">
        <f>IF(D1035="","",IFERROR(INDEX(Ingredients!$J$5:$J$304,MATCH(D1035,Ingredients!$B$5:$B$304,0)),"Add to Ingredients"))</f>
        <v>0</v>
      </c>
      <c r="N1035" s="25">
        <f>IF(OR(J1035="",M1035="",NOT(ISNUMBER(M1035))),"",IF(K1035&lt;&gt;L1035,"",J1035*M1035))</f>
        <v>0</v>
      </c>
      <c r="O1035" s="25">
        <f>IF(N1035="","",IFERROR(N1035/INDEX(Recipes!$G$5:$G$204,MATCH(B1035,Recipes!$A$5:$A$204,0)),""))</f>
        <v>0</v>
      </c>
      <c r="P1035" s="30">
        <f>IF(J1035="","",IF(K1035="each",J1035,J1035/100))</f>
        <v>0</v>
      </c>
      <c r="Q1035" s="30">
        <f>IFERROR(IF(P1035="","",P1035*INDEX(Ingredients!$P$5:$P$304,MATCH(D1035,Ingredients!$B$5:$B$304,0))),"")</f>
        <v>0</v>
      </c>
      <c r="R1035" s="45">
        <f>IFERROR(IF(P1035="","",P1035*INDEX(Ingredients!$Q$5:$Q$304,MATCH(D1035,Ingredients!$B$5:$B$304,0))),"")</f>
        <v>0</v>
      </c>
      <c r="S1035" s="45">
        <f>IFERROR(IF(P1035="","",P1035*INDEX(Ingredients!$R$5:$R$304,MATCH(D1035,Ingredients!$B$5:$B$304,0))),"")</f>
        <v>0</v>
      </c>
      <c r="T1035" s="45">
        <f>IFERROR(IF(P1035="","",P1035*INDEX(Ingredients!$S$5:$S$304,MATCH(D1035,Ingredients!$B$5:$B$304,0))),"")</f>
        <v>0</v>
      </c>
      <c r="U1035" s="45">
        <f>IFERROR(IF(P1035="","",P1035*INDEX(Ingredients!$T$5:$T$304,MATCH(D1035,Ingredients!$B$5:$B$304,0))),"")</f>
        <v>0</v>
      </c>
      <c r="V1035" s="17">
        <f>IF(D1035="","",IFERROR(INDEX(Ingredients!$W$5:$W$304,MATCH(D1035,Ingredients!$B$5:$B$304,0)),"Add to Ingredients"))</f>
        <v>0</v>
      </c>
      <c r="W1035" s="17">
        <f>IF(D1035="","",IFERROR(INDEX(Ingredients!$C$5:$C$304,MATCH(D1035,Ingredients!$B$5:$B$304,0)),"Add to Ingredients"))</f>
        <v>0</v>
      </c>
      <c r="X1035" s="45">
        <f>IFERROR(INDEX(Recipes!$AT$5:$AT$204,MATCH(B1035,Recipes!$A$5:$A$204,0)),0)</f>
        <v>0</v>
      </c>
      <c r="Y1035" s="45">
        <f>IF(OR(J1035="",X1035=0),"",J1035*X1035)</f>
        <v>0</v>
      </c>
      <c r="Z1035" s="17">
        <f>IF(D1035="","",B1035&amp;"#"&amp;COUNTIFS($B$5:B1035,B1035))</f>
        <v>0</v>
      </c>
      <c r="AA1035" s="17">
        <f>IF(D1035="","",B1035&amp;"|"&amp;D1035)</f>
        <v>0</v>
      </c>
      <c r="AB1035" s="31">
        <f>IF(D1035="","",IF(B1035="","Add - which recipe?",IF(COUNTIFS(Ingredients!$B$5:$B$304,D1035)=0,"Missing - not in the Ingredients tab",IF(E1035="","Add - no quantity",IF(F1035="","Add - no unit",IF(K1035&lt;&gt;L1035,"Check - recipe in "&amp;K1035&amp;", priced in "&amp;L1035,IF(COUNTIFS($AA$5:$AA$1204,AA1035)&gt;1,"Duplicate - same ingredient twice","OK")))))))</f>
        <v>0</v>
      </c>
    </row>
    <row r="1036" spans="1:28">
      <c r="A1036" s="39">
        <f>IF(D1036="","","RL-"&amp;TEXT(ROW()-4,"0000"))</f>
        <v>0</v>
      </c>
      <c r="C1036" s="17">
        <f>IF(B1036="","",IFERROR(INDEX(Recipes!$B$5:$B$204,MATCH(B1036,Recipes!$A$5:$A$204,0)),"Not found"))</f>
        <v>0</v>
      </c>
      <c r="J1036" s="45">
        <f>IF(E1036="","",IFERROR(E1036*INDEX(UnitFactors,MATCH(F1036,UnitNames,0)),""))</f>
        <v>0</v>
      </c>
      <c r="K1036" s="17">
        <f>IF(F1036="","",IFERROR(INDEX(UnitBases,MATCH(F1036,UnitNames,0)),"?"))</f>
        <v>0</v>
      </c>
      <c r="L1036" s="17">
        <f>IF(D1036="","",IFERROR(INDEX(Ingredients!$G$5:$G$304,MATCH(D1036,Ingredients!$B$5:$B$304,0)),"Add to Ingredients"))</f>
        <v>0</v>
      </c>
      <c r="M1036" s="25">
        <f>IF(D1036="","",IFERROR(INDEX(Ingredients!$J$5:$J$304,MATCH(D1036,Ingredients!$B$5:$B$304,0)),"Add to Ingredients"))</f>
        <v>0</v>
      </c>
      <c r="N1036" s="25">
        <f>IF(OR(J1036="",M1036="",NOT(ISNUMBER(M1036))),"",IF(K1036&lt;&gt;L1036,"",J1036*M1036))</f>
        <v>0</v>
      </c>
      <c r="O1036" s="25">
        <f>IF(N1036="","",IFERROR(N1036/INDEX(Recipes!$G$5:$G$204,MATCH(B1036,Recipes!$A$5:$A$204,0)),""))</f>
        <v>0</v>
      </c>
      <c r="P1036" s="30">
        <f>IF(J1036="","",IF(K1036="each",J1036,J1036/100))</f>
        <v>0</v>
      </c>
      <c r="Q1036" s="30">
        <f>IFERROR(IF(P1036="","",P1036*INDEX(Ingredients!$P$5:$P$304,MATCH(D1036,Ingredients!$B$5:$B$304,0))),"")</f>
        <v>0</v>
      </c>
      <c r="R1036" s="45">
        <f>IFERROR(IF(P1036="","",P1036*INDEX(Ingredients!$Q$5:$Q$304,MATCH(D1036,Ingredients!$B$5:$B$304,0))),"")</f>
        <v>0</v>
      </c>
      <c r="S1036" s="45">
        <f>IFERROR(IF(P1036="","",P1036*INDEX(Ingredients!$R$5:$R$304,MATCH(D1036,Ingredients!$B$5:$B$304,0))),"")</f>
        <v>0</v>
      </c>
      <c r="T1036" s="45">
        <f>IFERROR(IF(P1036="","",P1036*INDEX(Ingredients!$S$5:$S$304,MATCH(D1036,Ingredients!$B$5:$B$304,0))),"")</f>
        <v>0</v>
      </c>
      <c r="U1036" s="45">
        <f>IFERROR(IF(P1036="","",P1036*INDEX(Ingredients!$T$5:$T$304,MATCH(D1036,Ingredients!$B$5:$B$304,0))),"")</f>
        <v>0</v>
      </c>
      <c r="V1036" s="17">
        <f>IF(D1036="","",IFERROR(INDEX(Ingredients!$W$5:$W$304,MATCH(D1036,Ingredients!$B$5:$B$304,0)),"Add to Ingredients"))</f>
        <v>0</v>
      </c>
      <c r="W1036" s="17">
        <f>IF(D1036="","",IFERROR(INDEX(Ingredients!$C$5:$C$304,MATCH(D1036,Ingredients!$B$5:$B$304,0)),"Add to Ingredients"))</f>
        <v>0</v>
      </c>
      <c r="X1036" s="45">
        <f>IFERROR(INDEX(Recipes!$AT$5:$AT$204,MATCH(B1036,Recipes!$A$5:$A$204,0)),0)</f>
        <v>0</v>
      </c>
      <c r="Y1036" s="45">
        <f>IF(OR(J1036="",X1036=0),"",J1036*X1036)</f>
        <v>0</v>
      </c>
      <c r="Z1036" s="17">
        <f>IF(D1036="","",B1036&amp;"#"&amp;COUNTIFS($B$5:B1036,B1036))</f>
        <v>0</v>
      </c>
      <c r="AA1036" s="17">
        <f>IF(D1036="","",B1036&amp;"|"&amp;D1036)</f>
        <v>0</v>
      </c>
      <c r="AB1036" s="31">
        <f>IF(D1036="","",IF(B1036="","Add - which recipe?",IF(COUNTIFS(Ingredients!$B$5:$B$304,D1036)=0,"Missing - not in the Ingredients tab",IF(E1036="","Add - no quantity",IF(F1036="","Add - no unit",IF(K1036&lt;&gt;L1036,"Check - recipe in "&amp;K1036&amp;", priced in "&amp;L1036,IF(COUNTIFS($AA$5:$AA$1204,AA1036)&gt;1,"Duplicate - same ingredient twice","OK")))))))</f>
        <v>0</v>
      </c>
    </row>
    <row r="1037" spans="1:28">
      <c r="A1037" s="39">
        <f>IF(D1037="","","RL-"&amp;TEXT(ROW()-4,"0000"))</f>
        <v>0</v>
      </c>
      <c r="C1037" s="17">
        <f>IF(B1037="","",IFERROR(INDEX(Recipes!$B$5:$B$204,MATCH(B1037,Recipes!$A$5:$A$204,0)),"Not found"))</f>
        <v>0</v>
      </c>
      <c r="J1037" s="45">
        <f>IF(E1037="","",IFERROR(E1037*INDEX(UnitFactors,MATCH(F1037,UnitNames,0)),""))</f>
        <v>0</v>
      </c>
      <c r="K1037" s="17">
        <f>IF(F1037="","",IFERROR(INDEX(UnitBases,MATCH(F1037,UnitNames,0)),"?"))</f>
        <v>0</v>
      </c>
      <c r="L1037" s="17">
        <f>IF(D1037="","",IFERROR(INDEX(Ingredients!$G$5:$G$304,MATCH(D1037,Ingredients!$B$5:$B$304,0)),"Add to Ingredients"))</f>
        <v>0</v>
      </c>
      <c r="M1037" s="25">
        <f>IF(D1037="","",IFERROR(INDEX(Ingredients!$J$5:$J$304,MATCH(D1037,Ingredients!$B$5:$B$304,0)),"Add to Ingredients"))</f>
        <v>0</v>
      </c>
      <c r="N1037" s="25">
        <f>IF(OR(J1037="",M1037="",NOT(ISNUMBER(M1037))),"",IF(K1037&lt;&gt;L1037,"",J1037*M1037))</f>
        <v>0</v>
      </c>
      <c r="O1037" s="25">
        <f>IF(N1037="","",IFERROR(N1037/INDEX(Recipes!$G$5:$G$204,MATCH(B1037,Recipes!$A$5:$A$204,0)),""))</f>
        <v>0</v>
      </c>
      <c r="P1037" s="30">
        <f>IF(J1037="","",IF(K1037="each",J1037,J1037/100))</f>
        <v>0</v>
      </c>
      <c r="Q1037" s="30">
        <f>IFERROR(IF(P1037="","",P1037*INDEX(Ingredients!$P$5:$P$304,MATCH(D1037,Ingredients!$B$5:$B$304,0))),"")</f>
        <v>0</v>
      </c>
      <c r="R1037" s="45">
        <f>IFERROR(IF(P1037="","",P1037*INDEX(Ingredients!$Q$5:$Q$304,MATCH(D1037,Ingredients!$B$5:$B$304,0))),"")</f>
        <v>0</v>
      </c>
      <c r="S1037" s="45">
        <f>IFERROR(IF(P1037="","",P1037*INDEX(Ingredients!$R$5:$R$304,MATCH(D1037,Ingredients!$B$5:$B$304,0))),"")</f>
        <v>0</v>
      </c>
      <c r="T1037" s="45">
        <f>IFERROR(IF(P1037="","",P1037*INDEX(Ingredients!$S$5:$S$304,MATCH(D1037,Ingredients!$B$5:$B$304,0))),"")</f>
        <v>0</v>
      </c>
      <c r="U1037" s="45">
        <f>IFERROR(IF(P1037="","",P1037*INDEX(Ingredients!$T$5:$T$304,MATCH(D1037,Ingredients!$B$5:$B$304,0))),"")</f>
        <v>0</v>
      </c>
      <c r="V1037" s="17">
        <f>IF(D1037="","",IFERROR(INDEX(Ingredients!$W$5:$W$304,MATCH(D1037,Ingredients!$B$5:$B$304,0)),"Add to Ingredients"))</f>
        <v>0</v>
      </c>
      <c r="W1037" s="17">
        <f>IF(D1037="","",IFERROR(INDEX(Ingredients!$C$5:$C$304,MATCH(D1037,Ingredients!$B$5:$B$304,0)),"Add to Ingredients"))</f>
        <v>0</v>
      </c>
      <c r="X1037" s="45">
        <f>IFERROR(INDEX(Recipes!$AT$5:$AT$204,MATCH(B1037,Recipes!$A$5:$A$204,0)),0)</f>
        <v>0</v>
      </c>
      <c r="Y1037" s="45">
        <f>IF(OR(J1037="",X1037=0),"",J1037*X1037)</f>
        <v>0</v>
      </c>
      <c r="Z1037" s="17">
        <f>IF(D1037="","",B1037&amp;"#"&amp;COUNTIFS($B$5:B1037,B1037))</f>
        <v>0</v>
      </c>
      <c r="AA1037" s="17">
        <f>IF(D1037="","",B1037&amp;"|"&amp;D1037)</f>
        <v>0</v>
      </c>
      <c r="AB1037" s="31">
        <f>IF(D1037="","",IF(B1037="","Add - which recipe?",IF(COUNTIFS(Ingredients!$B$5:$B$304,D1037)=0,"Missing - not in the Ingredients tab",IF(E1037="","Add - no quantity",IF(F1037="","Add - no unit",IF(K1037&lt;&gt;L1037,"Check - recipe in "&amp;K1037&amp;", priced in "&amp;L1037,IF(COUNTIFS($AA$5:$AA$1204,AA1037)&gt;1,"Duplicate - same ingredient twice","OK")))))))</f>
        <v>0</v>
      </c>
    </row>
    <row r="1038" spans="1:28">
      <c r="A1038" s="39">
        <f>IF(D1038="","","RL-"&amp;TEXT(ROW()-4,"0000"))</f>
        <v>0</v>
      </c>
      <c r="C1038" s="17">
        <f>IF(B1038="","",IFERROR(INDEX(Recipes!$B$5:$B$204,MATCH(B1038,Recipes!$A$5:$A$204,0)),"Not found"))</f>
        <v>0</v>
      </c>
      <c r="J1038" s="45">
        <f>IF(E1038="","",IFERROR(E1038*INDEX(UnitFactors,MATCH(F1038,UnitNames,0)),""))</f>
        <v>0</v>
      </c>
      <c r="K1038" s="17">
        <f>IF(F1038="","",IFERROR(INDEX(UnitBases,MATCH(F1038,UnitNames,0)),"?"))</f>
        <v>0</v>
      </c>
      <c r="L1038" s="17">
        <f>IF(D1038="","",IFERROR(INDEX(Ingredients!$G$5:$G$304,MATCH(D1038,Ingredients!$B$5:$B$304,0)),"Add to Ingredients"))</f>
        <v>0</v>
      </c>
      <c r="M1038" s="25">
        <f>IF(D1038="","",IFERROR(INDEX(Ingredients!$J$5:$J$304,MATCH(D1038,Ingredients!$B$5:$B$304,0)),"Add to Ingredients"))</f>
        <v>0</v>
      </c>
      <c r="N1038" s="25">
        <f>IF(OR(J1038="",M1038="",NOT(ISNUMBER(M1038))),"",IF(K1038&lt;&gt;L1038,"",J1038*M1038))</f>
        <v>0</v>
      </c>
      <c r="O1038" s="25">
        <f>IF(N1038="","",IFERROR(N1038/INDEX(Recipes!$G$5:$G$204,MATCH(B1038,Recipes!$A$5:$A$204,0)),""))</f>
        <v>0</v>
      </c>
      <c r="P1038" s="30">
        <f>IF(J1038="","",IF(K1038="each",J1038,J1038/100))</f>
        <v>0</v>
      </c>
      <c r="Q1038" s="30">
        <f>IFERROR(IF(P1038="","",P1038*INDEX(Ingredients!$P$5:$P$304,MATCH(D1038,Ingredients!$B$5:$B$304,0))),"")</f>
        <v>0</v>
      </c>
      <c r="R1038" s="45">
        <f>IFERROR(IF(P1038="","",P1038*INDEX(Ingredients!$Q$5:$Q$304,MATCH(D1038,Ingredients!$B$5:$B$304,0))),"")</f>
        <v>0</v>
      </c>
      <c r="S1038" s="45">
        <f>IFERROR(IF(P1038="","",P1038*INDEX(Ingredients!$R$5:$R$304,MATCH(D1038,Ingredients!$B$5:$B$304,0))),"")</f>
        <v>0</v>
      </c>
      <c r="T1038" s="45">
        <f>IFERROR(IF(P1038="","",P1038*INDEX(Ingredients!$S$5:$S$304,MATCH(D1038,Ingredients!$B$5:$B$304,0))),"")</f>
        <v>0</v>
      </c>
      <c r="U1038" s="45">
        <f>IFERROR(IF(P1038="","",P1038*INDEX(Ingredients!$T$5:$T$304,MATCH(D1038,Ingredients!$B$5:$B$304,0))),"")</f>
        <v>0</v>
      </c>
      <c r="V1038" s="17">
        <f>IF(D1038="","",IFERROR(INDEX(Ingredients!$W$5:$W$304,MATCH(D1038,Ingredients!$B$5:$B$304,0)),"Add to Ingredients"))</f>
        <v>0</v>
      </c>
      <c r="W1038" s="17">
        <f>IF(D1038="","",IFERROR(INDEX(Ingredients!$C$5:$C$304,MATCH(D1038,Ingredients!$B$5:$B$304,0)),"Add to Ingredients"))</f>
        <v>0</v>
      </c>
      <c r="X1038" s="45">
        <f>IFERROR(INDEX(Recipes!$AT$5:$AT$204,MATCH(B1038,Recipes!$A$5:$A$204,0)),0)</f>
        <v>0</v>
      </c>
      <c r="Y1038" s="45">
        <f>IF(OR(J1038="",X1038=0),"",J1038*X1038)</f>
        <v>0</v>
      </c>
      <c r="Z1038" s="17">
        <f>IF(D1038="","",B1038&amp;"#"&amp;COUNTIFS($B$5:B1038,B1038))</f>
        <v>0</v>
      </c>
      <c r="AA1038" s="17">
        <f>IF(D1038="","",B1038&amp;"|"&amp;D1038)</f>
        <v>0</v>
      </c>
      <c r="AB1038" s="31">
        <f>IF(D1038="","",IF(B1038="","Add - which recipe?",IF(COUNTIFS(Ingredients!$B$5:$B$304,D1038)=0,"Missing - not in the Ingredients tab",IF(E1038="","Add - no quantity",IF(F1038="","Add - no unit",IF(K1038&lt;&gt;L1038,"Check - recipe in "&amp;K1038&amp;", priced in "&amp;L1038,IF(COUNTIFS($AA$5:$AA$1204,AA1038)&gt;1,"Duplicate - same ingredient twice","OK")))))))</f>
        <v>0</v>
      </c>
    </row>
    <row r="1039" spans="1:28">
      <c r="A1039" s="39">
        <f>IF(D1039="","","RL-"&amp;TEXT(ROW()-4,"0000"))</f>
        <v>0</v>
      </c>
      <c r="C1039" s="17">
        <f>IF(B1039="","",IFERROR(INDEX(Recipes!$B$5:$B$204,MATCH(B1039,Recipes!$A$5:$A$204,0)),"Not found"))</f>
        <v>0</v>
      </c>
      <c r="J1039" s="45">
        <f>IF(E1039="","",IFERROR(E1039*INDEX(UnitFactors,MATCH(F1039,UnitNames,0)),""))</f>
        <v>0</v>
      </c>
      <c r="K1039" s="17">
        <f>IF(F1039="","",IFERROR(INDEX(UnitBases,MATCH(F1039,UnitNames,0)),"?"))</f>
        <v>0</v>
      </c>
      <c r="L1039" s="17">
        <f>IF(D1039="","",IFERROR(INDEX(Ingredients!$G$5:$G$304,MATCH(D1039,Ingredients!$B$5:$B$304,0)),"Add to Ingredients"))</f>
        <v>0</v>
      </c>
      <c r="M1039" s="25">
        <f>IF(D1039="","",IFERROR(INDEX(Ingredients!$J$5:$J$304,MATCH(D1039,Ingredients!$B$5:$B$304,0)),"Add to Ingredients"))</f>
        <v>0</v>
      </c>
      <c r="N1039" s="25">
        <f>IF(OR(J1039="",M1039="",NOT(ISNUMBER(M1039))),"",IF(K1039&lt;&gt;L1039,"",J1039*M1039))</f>
        <v>0</v>
      </c>
      <c r="O1039" s="25">
        <f>IF(N1039="","",IFERROR(N1039/INDEX(Recipes!$G$5:$G$204,MATCH(B1039,Recipes!$A$5:$A$204,0)),""))</f>
        <v>0</v>
      </c>
      <c r="P1039" s="30">
        <f>IF(J1039="","",IF(K1039="each",J1039,J1039/100))</f>
        <v>0</v>
      </c>
      <c r="Q1039" s="30">
        <f>IFERROR(IF(P1039="","",P1039*INDEX(Ingredients!$P$5:$P$304,MATCH(D1039,Ingredients!$B$5:$B$304,0))),"")</f>
        <v>0</v>
      </c>
      <c r="R1039" s="45">
        <f>IFERROR(IF(P1039="","",P1039*INDEX(Ingredients!$Q$5:$Q$304,MATCH(D1039,Ingredients!$B$5:$B$304,0))),"")</f>
        <v>0</v>
      </c>
      <c r="S1039" s="45">
        <f>IFERROR(IF(P1039="","",P1039*INDEX(Ingredients!$R$5:$R$304,MATCH(D1039,Ingredients!$B$5:$B$304,0))),"")</f>
        <v>0</v>
      </c>
      <c r="T1039" s="45">
        <f>IFERROR(IF(P1039="","",P1039*INDEX(Ingredients!$S$5:$S$304,MATCH(D1039,Ingredients!$B$5:$B$304,0))),"")</f>
        <v>0</v>
      </c>
      <c r="U1039" s="45">
        <f>IFERROR(IF(P1039="","",P1039*INDEX(Ingredients!$T$5:$T$304,MATCH(D1039,Ingredients!$B$5:$B$304,0))),"")</f>
        <v>0</v>
      </c>
      <c r="V1039" s="17">
        <f>IF(D1039="","",IFERROR(INDEX(Ingredients!$W$5:$W$304,MATCH(D1039,Ingredients!$B$5:$B$304,0)),"Add to Ingredients"))</f>
        <v>0</v>
      </c>
      <c r="W1039" s="17">
        <f>IF(D1039="","",IFERROR(INDEX(Ingredients!$C$5:$C$304,MATCH(D1039,Ingredients!$B$5:$B$304,0)),"Add to Ingredients"))</f>
        <v>0</v>
      </c>
      <c r="X1039" s="45">
        <f>IFERROR(INDEX(Recipes!$AT$5:$AT$204,MATCH(B1039,Recipes!$A$5:$A$204,0)),0)</f>
        <v>0</v>
      </c>
      <c r="Y1039" s="45">
        <f>IF(OR(J1039="",X1039=0),"",J1039*X1039)</f>
        <v>0</v>
      </c>
      <c r="Z1039" s="17">
        <f>IF(D1039="","",B1039&amp;"#"&amp;COUNTIFS($B$5:B1039,B1039))</f>
        <v>0</v>
      </c>
      <c r="AA1039" s="17">
        <f>IF(D1039="","",B1039&amp;"|"&amp;D1039)</f>
        <v>0</v>
      </c>
      <c r="AB1039" s="31">
        <f>IF(D1039="","",IF(B1039="","Add - which recipe?",IF(COUNTIFS(Ingredients!$B$5:$B$304,D1039)=0,"Missing - not in the Ingredients tab",IF(E1039="","Add - no quantity",IF(F1039="","Add - no unit",IF(K1039&lt;&gt;L1039,"Check - recipe in "&amp;K1039&amp;", priced in "&amp;L1039,IF(COUNTIFS($AA$5:$AA$1204,AA1039)&gt;1,"Duplicate - same ingredient twice","OK")))))))</f>
        <v>0</v>
      </c>
    </row>
    <row r="1040" spans="1:28">
      <c r="A1040" s="39">
        <f>IF(D1040="","","RL-"&amp;TEXT(ROW()-4,"0000"))</f>
        <v>0</v>
      </c>
      <c r="C1040" s="17">
        <f>IF(B1040="","",IFERROR(INDEX(Recipes!$B$5:$B$204,MATCH(B1040,Recipes!$A$5:$A$204,0)),"Not found"))</f>
        <v>0</v>
      </c>
      <c r="J1040" s="45">
        <f>IF(E1040="","",IFERROR(E1040*INDEX(UnitFactors,MATCH(F1040,UnitNames,0)),""))</f>
        <v>0</v>
      </c>
      <c r="K1040" s="17">
        <f>IF(F1040="","",IFERROR(INDEX(UnitBases,MATCH(F1040,UnitNames,0)),"?"))</f>
        <v>0</v>
      </c>
      <c r="L1040" s="17">
        <f>IF(D1040="","",IFERROR(INDEX(Ingredients!$G$5:$G$304,MATCH(D1040,Ingredients!$B$5:$B$304,0)),"Add to Ingredients"))</f>
        <v>0</v>
      </c>
      <c r="M1040" s="25">
        <f>IF(D1040="","",IFERROR(INDEX(Ingredients!$J$5:$J$304,MATCH(D1040,Ingredients!$B$5:$B$304,0)),"Add to Ingredients"))</f>
        <v>0</v>
      </c>
      <c r="N1040" s="25">
        <f>IF(OR(J1040="",M1040="",NOT(ISNUMBER(M1040))),"",IF(K1040&lt;&gt;L1040,"",J1040*M1040))</f>
        <v>0</v>
      </c>
      <c r="O1040" s="25">
        <f>IF(N1040="","",IFERROR(N1040/INDEX(Recipes!$G$5:$G$204,MATCH(B1040,Recipes!$A$5:$A$204,0)),""))</f>
        <v>0</v>
      </c>
      <c r="P1040" s="30">
        <f>IF(J1040="","",IF(K1040="each",J1040,J1040/100))</f>
        <v>0</v>
      </c>
      <c r="Q1040" s="30">
        <f>IFERROR(IF(P1040="","",P1040*INDEX(Ingredients!$P$5:$P$304,MATCH(D1040,Ingredients!$B$5:$B$304,0))),"")</f>
        <v>0</v>
      </c>
      <c r="R1040" s="45">
        <f>IFERROR(IF(P1040="","",P1040*INDEX(Ingredients!$Q$5:$Q$304,MATCH(D1040,Ingredients!$B$5:$B$304,0))),"")</f>
        <v>0</v>
      </c>
      <c r="S1040" s="45">
        <f>IFERROR(IF(P1040="","",P1040*INDEX(Ingredients!$R$5:$R$304,MATCH(D1040,Ingredients!$B$5:$B$304,0))),"")</f>
        <v>0</v>
      </c>
      <c r="T1040" s="45">
        <f>IFERROR(IF(P1040="","",P1040*INDEX(Ingredients!$S$5:$S$304,MATCH(D1040,Ingredients!$B$5:$B$304,0))),"")</f>
        <v>0</v>
      </c>
      <c r="U1040" s="45">
        <f>IFERROR(IF(P1040="","",P1040*INDEX(Ingredients!$T$5:$T$304,MATCH(D1040,Ingredients!$B$5:$B$304,0))),"")</f>
        <v>0</v>
      </c>
      <c r="V1040" s="17">
        <f>IF(D1040="","",IFERROR(INDEX(Ingredients!$W$5:$W$304,MATCH(D1040,Ingredients!$B$5:$B$304,0)),"Add to Ingredients"))</f>
        <v>0</v>
      </c>
      <c r="W1040" s="17">
        <f>IF(D1040="","",IFERROR(INDEX(Ingredients!$C$5:$C$304,MATCH(D1040,Ingredients!$B$5:$B$304,0)),"Add to Ingredients"))</f>
        <v>0</v>
      </c>
      <c r="X1040" s="45">
        <f>IFERROR(INDEX(Recipes!$AT$5:$AT$204,MATCH(B1040,Recipes!$A$5:$A$204,0)),0)</f>
        <v>0</v>
      </c>
      <c r="Y1040" s="45">
        <f>IF(OR(J1040="",X1040=0),"",J1040*X1040)</f>
        <v>0</v>
      </c>
      <c r="Z1040" s="17">
        <f>IF(D1040="","",B1040&amp;"#"&amp;COUNTIFS($B$5:B1040,B1040))</f>
        <v>0</v>
      </c>
      <c r="AA1040" s="17">
        <f>IF(D1040="","",B1040&amp;"|"&amp;D1040)</f>
        <v>0</v>
      </c>
      <c r="AB1040" s="31">
        <f>IF(D1040="","",IF(B1040="","Add - which recipe?",IF(COUNTIFS(Ingredients!$B$5:$B$304,D1040)=0,"Missing - not in the Ingredients tab",IF(E1040="","Add - no quantity",IF(F1040="","Add - no unit",IF(K1040&lt;&gt;L1040,"Check - recipe in "&amp;K1040&amp;", priced in "&amp;L1040,IF(COUNTIFS($AA$5:$AA$1204,AA1040)&gt;1,"Duplicate - same ingredient twice","OK")))))))</f>
        <v>0</v>
      </c>
    </row>
    <row r="1041" spans="1:28">
      <c r="A1041" s="39">
        <f>IF(D1041="","","RL-"&amp;TEXT(ROW()-4,"0000"))</f>
        <v>0</v>
      </c>
      <c r="C1041" s="17">
        <f>IF(B1041="","",IFERROR(INDEX(Recipes!$B$5:$B$204,MATCH(B1041,Recipes!$A$5:$A$204,0)),"Not found"))</f>
        <v>0</v>
      </c>
      <c r="J1041" s="45">
        <f>IF(E1041="","",IFERROR(E1041*INDEX(UnitFactors,MATCH(F1041,UnitNames,0)),""))</f>
        <v>0</v>
      </c>
      <c r="K1041" s="17">
        <f>IF(F1041="","",IFERROR(INDEX(UnitBases,MATCH(F1041,UnitNames,0)),"?"))</f>
        <v>0</v>
      </c>
      <c r="L1041" s="17">
        <f>IF(D1041="","",IFERROR(INDEX(Ingredients!$G$5:$G$304,MATCH(D1041,Ingredients!$B$5:$B$304,0)),"Add to Ingredients"))</f>
        <v>0</v>
      </c>
      <c r="M1041" s="25">
        <f>IF(D1041="","",IFERROR(INDEX(Ingredients!$J$5:$J$304,MATCH(D1041,Ingredients!$B$5:$B$304,0)),"Add to Ingredients"))</f>
        <v>0</v>
      </c>
      <c r="N1041" s="25">
        <f>IF(OR(J1041="",M1041="",NOT(ISNUMBER(M1041))),"",IF(K1041&lt;&gt;L1041,"",J1041*M1041))</f>
        <v>0</v>
      </c>
      <c r="O1041" s="25">
        <f>IF(N1041="","",IFERROR(N1041/INDEX(Recipes!$G$5:$G$204,MATCH(B1041,Recipes!$A$5:$A$204,0)),""))</f>
        <v>0</v>
      </c>
      <c r="P1041" s="30">
        <f>IF(J1041="","",IF(K1041="each",J1041,J1041/100))</f>
        <v>0</v>
      </c>
      <c r="Q1041" s="30">
        <f>IFERROR(IF(P1041="","",P1041*INDEX(Ingredients!$P$5:$P$304,MATCH(D1041,Ingredients!$B$5:$B$304,0))),"")</f>
        <v>0</v>
      </c>
      <c r="R1041" s="45">
        <f>IFERROR(IF(P1041="","",P1041*INDEX(Ingredients!$Q$5:$Q$304,MATCH(D1041,Ingredients!$B$5:$B$304,0))),"")</f>
        <v>0</v>
      </c>
      <c r="S1041" s="45">
        <f>IFERROR(IF(P1041="","",P1041*INDEX(Ingredients!$R$5:$R$304,MATCH(D1041,Ingredients!$B$5:$B$304,0))),"")</f>
        <v>0</v>
      </c>
      <c r="T1041" s="45">
        <f>IFERROR(IF(P1041="","",P1041*INDEX(Ingredients!$S$5:$S$304,MATCH(D1041,Ingredients!$B$5:$B$304,0))),"")</f>
        <v>0</v>
      </c>
      <c r="U1041" s="45">
        <f>IFERROR(IF(P1041="","",P1041*INDEX(Ingredients!$T$5:$T$304,MATCH(D1041,Ingredients!$B$5:$B$304,0))),"")</f>
        <v>0</v>
      </c>
      <c r="V1041" s="17">
        <f>IF(D1041="","",IFERROR(INDEX(Ingredients!$W$5:$W$304,MATCH(D1041,Ingredients!$B$5:$B$304,0)),"Add to Ingredients"))</f>
        <v>0</v>
      </c>
      <c r="W1041" s="17">
        <f>IF(D1041="","",IFERROR(INDEX(Ingredients!$C$5:$C$304,MATCH(D1041,Ingredients!$B$5:$B$304,0)),"Add to Ingredients"))</f>
        <v>0</v>
      </c>
      <c r="X1041" s="45">
        <f>IFERROR(INDEX(Recipes!$AT$5:$AT$204,MATCH(B1041,Recipes!$A$5:$A$204,0)),0)</f>
        <v>0</v>
      </c>
      <c r="Y1041" s="45">
        <f>IF(OR(J1041="",X1041=0),"",J1041*X1041)</f>
        <v>0</v>
      </c>
      <c r="Z1041" s="17">
        <f>IF(D1041="","",B1041&amp;"#"&amp;COUNTIFS($B$5:B1041,B1041))</f>
        <v>0</v>
      </c>
      <c r="AA1041" s="17">
        <f>IF(D1041="","",B1041&amp;"|"&amp;D1041)</f>
        <v>0</v>
      </c>
      <c r="AB1041" s="31">
        <f>IF(D1041="","",IF(B1041="","Add - which recipe?",IF(COUNTIFS(Ingredients!$B$5:$B$304,D1041)=0,"Missing - not in the Ingredients tab",IF(E1041="","Add - no quantity",IF(F1041="","Add - no unit",IF(K1041&lt;&gt;L1041,"Check - recipe in "&amp;K1041&amp;", priced in "&amp;L1041,IF(COUNTIFS($AA$5:$AA$1204,AA1041)&gt;1,"Duplicate - same ingredient twice","OK")))))))</f>
        <v>0</v>
      </c>
    </row>
    <row r="1042" spans="1:28">
      <c r="A1042" s="39">
        <f>IF(D1042="","","RL-"&amp;TEXT(ROW()-4,"0000"))</f>
        <v>0</v>
      </c>
      <c r="C1042" s="17">
        <f>IF(B1042="","",IFERROR(INDEX(Recipes!$B$5:$B$204,MATCH(B1042,Recipes!$A$5:$A$204,0)),"Not found"))</f>
        <v>0</v>
      </c>
      <c r="J1042" s="45">
        <f>IF(E1042="","",IFERROR(E1042*INDEX(UnitFactors,MATCH(F1042,UnitNames,0)),""))</f>
        <v>0</v>
      </c>
      <c r="K1042" s="17">
        <f>IF(F1042="","",IFERROR(INDEX(UnitBases,MATCH(F1042,UnitNames,0)),"?"))</f>
        <v>0</v>
      </c>
      <c r="L1042" s="17">
        <f>IF(D1042="","",IFERROR(INDEX(Ingredients!$G$5:$G$304,MATCH(D1042,Ingredients!$B$5:$B$304,0)),"Add to Ingredients"))</f>
        <v>0</v>
      </c>
      <c r="M1042" s="25">
        <f>IF(D1042="","",IFERROR(INDEX(Ingredients!$J$5:$J$304,MATCH(D1042,Ingredients!$B$5:$B$304,0)),"Add to Ingredients"))</f>
        <v>0</v>
      </c>
      <c r="N1042" s="25">
        <f>IF(OR(J1042="",M1042="",NOT(ISNUMBER(M1042))),"",IF(K1042&lt;&gt;L1042,"",J1042*M1042))</f>
        <v>0</v>
      </c>
      <c r="O1042" s="25">
        <f>IF(N1042="","",IFERROR(N1042/INDEX(Recipes!$G$5:$G$204,MATCH(B1042,Recipes!$A$5:$A$204,0)),""))</f>
        <v>0</v>
      </c>
      <c r="P1042" s="30">
        <f>IF(J1042="","",IF(K1042="each",J1042,J1042/100))</f>
        <v>0</v>
      </c>
      <c r="Q1042" s="30">
        <f>IFERROR(IF(P1042="","",P1042*INDEX(Ingredients!$P$5:$P$304,MATCH(D1042,Ingredients!$B$5:$B$304,0))),"")</f>
        <v>0</v>
      </c>
      <c r="R1042" s="45">
        <f>IFERROR(IF(P1042="","",P1042*INDEX(Ingredients!$Q$5:$Q$304,MATCH(D1042,Ingredients!$B$5:$B$304,0))),"")</f>
        <v>0</v>
      </c>
      <c r="S1042" s="45">
        <f>IFERROR(IF(P1042="","",P1042*INDEX(Ingredients!$R$5:$R$304,MATCH(D1042,Ingredients!$B$5:$B$304,0))),"")</f>
        <v>0</v>
      </c>
      <c r="T1042" s="45">
        <f>IFERROR(IF(P1042="","",P1042*INDEX(Ingredients!$S$5:$S$304,MATCH(D1042,Ingredients!$B$5:$B$304,0))),"")</f>
        <v>0</v>
      </c>
      <c r="U1042" s="45">
        <f>IFERROR(IF(P1042="","",P1042*INDEX(Ingredients!$T$5:$T$304,MATCH(D1042,Ingredients!$B$5:$B$304,0))),"")</f>
        <v>0</v>
      </c>
      <c r="V1042" s="17">
        <f>IF(D1042="","",IFERROR(INDEX(Ingredients!$W$5:$W$304,MATCH(D1042,Ingredients!$B$5:$B$304,0)),"Add to Ingredients"))</f>
        <v>0</v>
      </c>
      <c r="W1042" s="17">
        <f>IF(D1042="","",IFERROR(INDEX(Ingredients!$C$5:$C$304,MATCH(D1042,Ingredients!$B$5:$B$304,0)),"Add to Ingredients"))</f>
        <v>0</v>
      </c>
      <c r="X1042" s="45">
        <f>IFERROR(INDEX(Recipes!$AT$5:$AT$204,MATCH(B1042,Recipes!$A$5:$A$204,0)),0)</f>
        <v>0</v>
      </c>
      <c r="Y1042" s="45">
        <f>IF(OR(J1042="",X1042=0),"",J1042*X1042)</f>
        <v>0</v>
      </c>
      <c r="Z1042" s="17">
        <f>IF(D1042="","",B1042&amp;"#"&amp;COUNTIFS($B$5:B1042,B1042))</f>
        <v>0</v>
      </c>
      <c r="AA1042" s="17">
        <f>IF(D1042="","",B1042&amp;"|"&amp;D1042)</f>
        <v>0</v>
      </c>
      <c r="AB1042" s="31">
        <f>IF(D1042="","",IF(B1042="","Add - which recipe?",IF(COUNTIFS(Ingredients!$B$5:$B$304,D1042)=0,"Missing - not in the Ingredients tab",IF(E1042="","Add - no quantity",IF(F1042="","Add - no unit",IF(K1042&lt;&gt;L1042,"Check - recipe in "&amp;K1042&amp;", priced in "&amp;L1042,IF(COUNTIFS($AA$5:$AA$1204,AA1042)&gt;1,"Duplicate - same ingredient twice","OK")))))))</f>
        <v>0</v>
      </c>
    </row>
    <row r="1043" spans="1:28">
      <c r="A1043" s="39">
        <f>IF(D1043="","","RL-"&amp;TEXT(ROW()-4,"0000"))</f>
        <v>0</v>
      </c>
      <c r="C1043" s="17">
        <f>IF(B1043="","",IFERROR(INDEX(Recipes!$B$5:$B$204,MATCH(B1043,Recipes!$A$5:$A$204,0)),"Not found"))</f>
        <v>0</v>
      </c>
      <c r="J1043" s="45">
        <f>IF(E1043="","",IFERROR(E1043*INDEX(UnitFactors,MATCH(F1043,UnitNames,0)),""))</f>
        <v>0</v>
      </c>
      <c r="K1043" s="17">
        <f>IF(F1043="","",IFERROR(INDEX(UnitBases,MATCH(F1043,UnitNames,0)),"?"))</f>
        <v>0</v>
      </c>
      <c r="L1043" s="17">
        <f>IF(D1043="","",IFERROR(INDEX(Ingredients!$G$5:$G$304,MATCH(D1043,Ingredients!$B$5:$B$304,0)),"Add to Ingredients"))</f>
        <v>0</v>
      </c>
      <c r="M1043" s="25">
        <f>IF(D1043="","",IFERROR(INDEX(Ingredients!$J$5:$J$304,MATCH(D1043,Ingredients!$B$5:$B$304,0)),"Add to Ingredients"))</f>
        <v>0</v>
      </c>
      <c r="N1043" s="25">
        <f>IF(OR(J1043="",M1043="",NOT(ISNUMBER(M1043))),"",IF(K1043&lt;&gt;L1043,"",J1043*M1043))</f>
        <v>0</v>
      </c>
      <c r="O1043" s="25">
        <f>IF(N1043="","",IFERROR(N1043/INDEX(Recipes!$G$5:$G$204,MATCH(B1043,Recipes!$A$5:$A$204,0)),""))</f>
        <v>0</v>
      </c>
      <c r="P1043" s="30">
        <f>IF(J1043="","",IF(K1043="each",J1043,J1043/100))</f>
        <v>0</v>
      </c>
      <c r="Q1043" s="30">
        <f>IFERROR(IF(P1043="","",P1043*INDEX(Ingredients!$P$5:$P$304,MATCH(D1043,Ingredients!$B$5:$B$304,0))),"")</f>
        <v>0</v>
      </c>
      <c r="R1043" s="45">
        <f>IFERROR(IF(P1043="","",P1043*INDEX(Ingredients!$Q$5:$Q$304,MATCH(D1043,Ingredients!$B$5:$B$304,0))),"")</f>
        <v>0</v>
      </c>
      <c r="S1043" s="45">
        <f>IFERROR(IF(P1043="","",P1043*INDEX(Ingredients!$R$5:$R$304,MATCH(D1043,Ingredients!$B$5:$B$304,0))),"")</f>
        <v>0</v>
      </c>
      <c r="T1043" s="45">
        <f>IFERROR(IF(P1043="","",P1043*INDEX(Ingredients!$S$5:$S$304,MATCH(D1043,Ingredients!$B$5:$B$304,0))),"")</f>
        <v>0</v>
      </c>
      <c r="U1043" s="45">
        <f>IFERROR(IF(P1043="","",P1043*INDEX(Ingredients!$T$5:$T$304,MATCH(D1043,Ingredients!$B$5:$B$304,0))),"")</f>
        <v>0</v>
      </c>
      <c r="V1043" s="17">
        <f>IF(D1043="","",IFERROR(INDEX(Ingredients!$W$5:$W$304,MATCH(D1043,Ingredients!$B$5:$B$304,0)),"Add to Ingredients"))</f>
        <v>0</v>
      </c>
      <c r="W1043" s="17">
        <f>IF(D1043="","",IFERROR(INDEX(Ingredients!$C$5:$C$304,MATCH(D1043,Ingredients!$B$5:$B$304,0)),"Add to Ingredients"))</f>
        <v>0</v>
      </c>
      <c r="X1043" s="45">
        <f>IFERROR(INDEX(Recipes!$AT$5:$AT$204,MATCH(B1043,Recipes!$A$5:$A$204,0)),0)</f>
        <v>0</v>
      </c>
      <c r="Y1043" s="45">
        <f>IF(OR(J1043="",X1043=0),"",J1043*X1043)</f>
        <v>0</v>
      </c>
      <c r="Z1043" s="17">
        <f>IF(D1043="","",B1043&amp;"#"&amp;COUNTIFS($B$5:B1043,B1043))</f>
        <v>0</v>
      </c>
      <c r="AA1043" s="17">
        <f>IF(D1043="","",B1043&amp;"|"&amp;D1043)</f>
        <v>0</v>
      </c>
      <c r="AB1043" s="31">
        <f>IF(D1043="","",IF(B1043="","Add - which recipe?",IF(COUNTIFS(Ingredients!$B$5:$B$304,D1043)=0,"Missing - not in the Ingredients tab",IF(E1043="","Add - no quantity",IF(F1043="","Add - no unit",IF(K1043&lt;&gt;L1043,"Check - recipe in "&amp;K1043&amp;", priced in "&amp;L1043,IF(COUNTIFS($AA$5:$AA$1204,AA1043)&gt;1,"Duplicate - same ingredient twice","OK")))))))</f>
        <v>0</v>
      </c>
    </row>
    <row r="1044" spans="1:28">
      <c r="A1044" s="39">
        <f>IF(D1044="","","RL-"&amp;TEXT(ROW()-4,"0000"))</f>
        <v>0</v>
      </c>
      <c r="C1044" s="17">
        <f>IF(B1044="","",IFERROR(INDEX(Recipes!$B$5:$B$204,MATCH(B1044,Recipes!$A$5:$A$204,0)),"Not found"))</f>
        <v>0</v>
      </c>
      <c r="J1044" s="45">
        <f>IF(E1044="","",IFERROR(E1044*INDEX(UnitFactors,MATCH(F1044,UnitNames,0)),""))</f>
        <v>0</v>
      </c>
      <c r="K1044" s="17">
        <f>IF(F1044="","",IFERROR(INDEX(UnitBases,MATCH(F1044,UnitNames,0)),"?"))</f>
        <v>0</v>
      </c>
      <c r="L1044" s="17">
        <f>IF(D1044="","",IFERROR(INDEX(Ingredients!$G$5:$G$304,MATCH(D1044,Ingredients!$B$5:$B$304,0)),"Add to Ingredients"))</f>
        <v>0</v>
      </c>
      <c r="M1044" s="25">
        <f>IF(D1044="","",IFERROR(INDEX(Ingredients!$J$5:$J$304,MATCH(D1044,Ingredients!$B$5:$B$304,0)),"Add to Ingredients"))</f>
        <v>0</v>
      </c>
      <c r="N1044" s="25">
        <f>IF(OR(J1044="",M1044="",NOT(ISNUMBER(M1044))),"",IF(K1044&lt;&gt;L1044,"",J1044*M1044))</f>
        <v>0</v>
      </c>
      <c r="O1044" s="25">
        <f>IF(N1044="","",IFERROR(N1044/INDEX(Recipes!$G$5:$G$204,MATCH(B1044,Recipes!$A$5:$A$204,0)),""))</f>
        <v>0</v>
      </c>
      <c r="P1044" s="30">
        <f>IF(J1044="","",IF(K1044="each",J1044,J1044/100))</f>
        <v>0</v>
      </c>
      <c r="Q1044" s="30">
        <f>IFERROR(IF(P1044="","",P1044*INDEX(Ingredients!$P$5:$P$304,MATCH(D1044,Ingredients!$B$5:$B$304,0))),"")</f>
        <v>0</v>
      </c>
      <c r="R1044" s="45">
        <f>IFERROR(IF(P1044="","",P1044*INDEX(Ingredients!$Q$5:$Q$304,MATCH(D1044,Ingredients!$B$5:$B$304,0))),"")</f>
        <v>0</v>
      </c>
      <c r="S1044" s="45">
        <f>IFERROR(IF(P1044="","",P1044*INDEX(Ingredients!$R$5:$R$304,MATCH(D1044,Ingredients!$B$5:$B$304,0))),"")</f>
        <v>0</v>
      </c>
      <c r="T1044" s="45">
        <f>IFERROR(IF(P1044="","",P1044*INDEX(Ingredients!$S$5:$S$304,MATCH(D1044,Ingredients!$B$5:$B$304,0))),"")</f>
        <v>0</v>
      </c>
      <c r="U1044" s="45">
        <f>IFERROR(IF(P1044="","",P1044*INDEX(Ingredients!$T$5:$T$304,MATCH(D1044,Ingredients!$B$5:$B$304,0))),"")</f>
        <v>0</v>
      </c>
      <c r="V1044" s="17">
        <f>IF(D1044="","",IFERROR(INDEX(Ingredients!$W$5:$W$304,MATCH(D1044,Ingredients!$B$5:$B$304,0)),"Add to Ingredients"))</f>
        <v>0</v>
      </c>
      <c r="W1044" s="17">
        <f>IF(D1044="","",IFERROR(INDEX(Ingredients!$C$5:$C$304,MATCH(D1044,Ingredients!$B$5:$B$304,0)),"Add to Ingredients"))</f>
        <v>0</v>
      </c>
      <c r="X1044" s="45">
        <f>IFERROR(INDEX(Recipes!$AT$5:$AT$204,MATCH(B1044,Recipes!$A$5:$A$204,0)),0)</f>
        <v>0</v>
      </c>
      <c r="Y1044" s="45">
        <f>IF(OR(J1044="",X1044=0),"",J1044*X1044)</f>
        <v>0</v>
      </c>
      <c r="Z1044" s="17">
        <f>IF(D1044="","",B1044&amp;"#"&amp;COUNTIFS($B$5:B1044,B1044))</f>
        <v>0</v>
      </c>
      <c r="AA1044" s="17">
        <f>IF(D1044="","",B1044&amp;"|"&amp;D1044)</f>
        <v>0</v>
      </c>
      <c r="AB1044" s="31">
        <f>IF(D1044="","",IF(B1044="","Add - which recipe?",IF(COUNTIFS(Ingredients!$B$5:$B$304,D1044)=0,"Missing - not in the Ingredients tab",IF(E1044="","Add - no quantity",IF(F1044="","Add - no unit",IF(K1044&lt;&gt;L1044,"Check - recipe in "&amp;K1044&amp;", priced in "&amp;L1044,IF(COUNTIFS($AA$5:$AA$1204,AA1044)&gt;1,"Duplicate - same ingredient twice","OK")))))))</f>
        <v>0</v>
      </c>
    </row>
    <row r="1045" spans="1:28">
      <c r="A1045" s="39">
        <f>IF(D1045="","","RL-"&amp;TEXT(ROW()-4,"0000"))</f>
        <v>0</v>
      </c>
      <c r="C1045" s="17">
        <f>IF(B1045="","",IFERROR(INDEX(Recipes!$B$5:$B$204,MATCH(B1045,Recipes!$A$5:$A$204,0)),"Not found"))</f>
        <v>0</v>
      </c>
      <c r="J1045" s="45">
        <f>IF(E1045="","",IFERROR(E1045*INDEX(UnitFactors,MATCH(F1045,UnitNames,0)),""))</f>
        <v>0</v>
      </c>
      <c r="K1045" s="17">
        <f>IF(F1045="","",IFERROR(INDEX(UnitBases,MATCH(F1045,UnitNames,0)),"?"))</f>
        <v>0</v>
      </c>
      <c r="L1045" s="17">
        <f>IF(D1045="","",IFERROR(INDEX(Ingredients!$G$5:$G$304,MATCH(D1045,Ingredients!$B$5:$B$304,0)),"Add to Ingredients"))</f>
        <v>0</v>
      </c>
      <c r="M1045" s="25">
        <f>IF(D1045="","",IFERROR(INDEX(Ingredients!$J$5:$J$304,MATCH(D1045,Ingredients!$B$5:$B$304,0)),"Add to Ingredients"))</f>
        <v>0</v>
      </c>
      <c r="N1045" s="25">
        <f>IF(OR(J1045="",M1045="",NOT(ISNUMBER(M1045))),"",IF(K1045&lt;&gt;L1045,"",J1045*M1045))</f>
        <v>0</v>
      </c>
      <c r="O1045" s="25">
        <f>IF(N1045="","",IFERROR(N1045/INDEX(Recipes!$G$5:$G$204,MATCH(B1045,Recipes!$A$5:$A$204,0)),""))</f>
        <v>0</v>
      </c>
      <c r="P1045" s="30">
        <f>IF(J1045="","",IF(K1045="each",J1045,J1045/100))</f>
        <v>0</v>
      </c>
      <c r="Q1045" s="30">
        <f>IFERROR(IF(P1045="","",P1045*INDEX(Ingredients!$P$5:$P$304,MATCH(D1045,Ingredients!$B$5:$B$304,0))),"")</f>
        <v>0</v>
      </c>
      <c r="R1045" s="45">
        <f>IFERROR(IF(P1045="","",P1045*INDEX(Ingredients!$Q$5:$Q$304,MATCH(D1045,Ingredients!$B$5:$B$304,0))),"")</f>
        <v>0</v>
      </c>
      <c r="S1045" s="45">
        <f>IFERROR(IF(P1045="","",P1045*INDEX(Ingredients!$R$5:$R$304,MATCH(D1045,Ingredients!$B$5:$B$304,0))),"")</f>
        <v>0</v>
      </c>
      <c r="T1045" s="45">
        <f>IFERROR(IF(P1045="","",P1045*INDEX(Ingredients!$S$5:$S$304,MATCH(D1045,Ingredients!$B$5:$B$304,0))),"")</f>
        <v>0</v>
      </c>
      <c r="U1045" s="45">
        <f>IFERROR(IF(P1045="","",P1045*INDEX(Ingredients!$T$5:$T$304,MATCH(D1045,Ingredients!$B$5:$B$304,0))),"")</f>
        <v>0</v>
      </c>
      <c r="V1045" s="17">
        <f>IF(D1045="","",IFERROR(INDEX(Ingredients!$W$5:$W$304,MATCH(D1045,Ingredients!$B$5:$B$304,0)),"Add to Ingredients"))</f>
        <v>0</v>
      </c>
      <c r="W1045" s="17">
        <f>IF(D1045="","",IFERROR(INDEX(Ingredients!$C$5:$C$304,MATCH(D1045,Ingredients!$B$5:$B$304,0)),"Add to Ingredients"))</f>
        <v>0</v>
      </c>
      <c r="X1045" s="45">
        <f>IFERROR(INDEX(Recipes!$AT$5:$AT$204,MATCH(B1045,Recipes!$A$5:$A$204,0)),0)</f>
        <v>0</v>
      </c>
      <c r="Y1045" s="45">
        <f>IF(OR(J1045="",X1045=0),"",J1045*X1045)</f>
        <v>0</v>
      </c>
      <c r="Z1045" s="17">
        <f>IF(D1045="","",B1045&amp;"#"&amp;COUNTIFS($B$5:B1045,B1045))</f>
        <v>0</v>
      </c>
      <c r="AA1045" s="17">
        <f>IF(D1045="","",B1045&amp;"|"&amp;D1045)</f>
        <v>0</v>
      </c>
      <c r="AB1045" s="31">
        <f>IF(D1045="","",IF(B1045="","Add - which recipe?",IF(COUNTIFS(Ingredients!$B$5:$B$304,D1045)=0,"Missing - not in the Ingredients tab",IF(E1045="","Add - no quantity",IF(F1045="","Add - no unit",IF(K1045&lt;&gt;L1045,"Check - recipe in "&amp;K1045&amp;", priced in "&amp;L1045,IF(COUNTIFS($AA$5:$AA$1204,AA1045)&gt;1,"Duplicate - same ingredient twice","OK")))))))</f>
        <v>0</v>
      </c>
    </row>
    <row r="1046" spans="1:28">
      <c r="A1046" s="39">
        <f>IF(D1046="","","RL-"&amp;TEXT(ROW()-4,"0000"))</f>
        <v>0</v>
      </c>
      <c r="C1046" s="17">
        <f>IF(B1046="","",IFERROR(INDEX(Recipes!$B$5:$B$204,MATCH(B1046,Recipes!$A$5:$A$204,0)),"Not found"))</f>
        <v>0</v>
      </c>
      <c r="J1046" s="45">
        <f>IF(E1046="","",IFERROR(E1046*INDEX(UnitFactors,MATCH(F1046,UnitNames,0)),""))</f>
        <v>0</v>
      </c>
      <c r="K1046" s="17">
        <f>IF(F1046="","",IFERROR(INDEX(UnitBases,MATCH(F1046,UnitNames,0)),"?"))</f>
        <v>0</v>
      </c>
      <c r="L1046" s="17">
        <f>IF(D1046="","",IFERROR(INDEX(Ingredients!$G$5:$G$304,MATCH(D1046,Ingredients!$B$5:$B$304,0)),"Add to Ingredients"))</f>
        <v>0</v>
      </c>
      <c r="M1046" s="25">
        <f>IF(D1046="","",IFERROR(INDEX(Ingredients!$J$5:$J$304,MATCH(D1046,Ingredients!$B$5:$B$304,0)),"Add to Ingredients"))</f>
        <v>0</v>
      </c>
      <c r="N1046" s="25">
        <f>IF(OR(J1046="",M1046="",NOT(ISNUMBER(M1046))),"",IF(K1046&lt;&gt;L1046,"",J1046*M1046))</f>
        <v>0</v>
      </c>
      <c r="O1046" s="25">
        <f>IF(N1046="","",IFERROR(N1046/INDEX(Recipes!$G$5:$G$204,MATCH(B1046,Recipes!$A$5:$A$204,0)),""))</f>
        <v>0</v>
      </c>
      <c r="P1046" s="30">
        <f>IF(J1046="","",IF(K1046="each",J1046,J1046/100))</f>
        <v>0</v>
      </c>
      <c r="Q1046" s="30">
        <f>IFERROR(IF(P1046="","",P1046*INDEX(Ingredients!$P$5:$P$304,MATCH(D1046,Ingredients!$B$5:$B$304,0))),"")</f>
        <v>0</v>
      </c>
      <c r="R1046" s="45">
        <f>IFERROR(IF(P1046="","",P1046*INDEX(Ingredients!$Q$5:$Q$304,MATCH(D1046,Ingredients!$B$5:$B$304,0))),"")</f>
        <v>0</v>
      </c>
      <c r="S1046" s="45">
        <f>IFERROR(IF(P1046="","",P1046*INDEX(Ingredients!$R$5:$R$304,MATCH(D1046,Ingredients!$B$5:$B$304,0))),"")</f>
        <v>0</v>
      </c>
      <c r="T1046" s="45">
        <f>IFERROR(IF(P1046="","",P1046*INDEX(Ingredients!$S$5:$S$304,MATCH(D1046,Ingredients!$B$5:$B$304,0))),"")</f>
        <v>0</v>
      </c>
      <c r="U1046" s="45">
        <f>IFERROR(IF(P1046="","",P1046*INDEX(Ingredients!$T$5:$T$304,MATCH(D1046,Ingredients!$B$5:$B$304,0))),"")</f>
        <v>0</v>
      </c>
      <c r="V1046" s="17">
        <f>IF(D1046="","",IFERROR(INDEX(Ingredients!$W$5:$W$304,MATCH(D1046,Ingredients!$B$5:$B$304,0)),"Add to Ingredients"))</f>
        <v>0</v>
      </c>
      <c r="W1046" s="17">
        <f>IF(D1046="","",IFERROR(INDEX(Ingredients!$C$5:$C$304,MATCH(D1046,Ingredients!$B$5:$B$304,0)),"Add to Ingredients"))</f>
        <v>0</v>
      </c>
      <c r="X1046" s="45">
        <f>IFERROR(INDEX(Recipes!$AT$5:$AT$204,MATCH(B1046,Recipes!$A$5:$A$204,0)),0)</f>
        <v>0</v>
      </c>
      <c r="Y1046" s="45">
        <f>IF(OR(J1046="",X1046=0),"",J1046*X1046)</f>
        <v>0</v>
      </c>
      <c r="Z1046" s="17">
        <f>IF(D1046="","",B1046&amp;"#"&amp;COUNTIFS($B$5:B1046,B1046))</f>
        <v>0</v>
      </c>
      <c r="AA1046" s="17">
        <f>IF(D1046="","",B1046&amp;"|"&amp;D1046)</f>
        <v>0</v>
      </c>
      <c r="AB1046" s="31">
        <f>IF(D1046="","",IF(B1046="","Add - which recipe?",IF(COUNTIFS(Ingredients!$B$5:$B$304,D1046)=0,"Missing - not in the Ingredients tab",IF(E1046="","Add - no quantity",IF(F1046="","Add - no unit",IF(K1046&lt;&gt;L1046,"Check - recipe in "&amp;K1046&amp;", priced in "&amp;L1046,IF(COUNTIFS($AA$5:$AA$1204,AA1046)&gt;1,"Duplicate - same ingredient twice","OK")))))))</f>
        <v>0</v>
      </c>
    </row>
    <row r="1047" spans="1:28">
      <c r="A1047" s="39">
        <f>IF(D1047="","","RL-"&amp;TEXT(ROW()-4,"0000"))</f>
        <v>0</v>
      </c>
      <c r="C1047" s="17">
        <f>IF(B1047="","",IFERROR(INDEX(Recipes!$B$5:$B$204,MATCH(B1047,Recipes!$A$5:$A$204,0)),"Not found"))</f>
        <v>0</v>
      </c>
      <c r="J1047" s="45">
        <f>IF(E1047="","",IFERROR(E1047*INDEX(UnitFactors,MATCH(F1047,UnitNames,0)),""))</f>
        <v>0</v>
      </c>
      <c r="K1047" s="17">
        <f>IF(F1047="","",IFERROR(INDEX(UnitBases,MATCH(F1047,UnitNames,0)),"?"))</f>
        <v>0</v>
      </c>
      <c r="L1047" s="17">
        <f>IF(D1047="","",IFERROR(INDEX(Ingredients!$G$5:$G$304,MATCH(D1047,Ingredients!$B$5:$B$304,0)),"Add to Ingredients"))</f>
        <v>0</v>
      </c>
      <c r="M1047" s="25">
        <f>IF(D1047="","",IFERROR(INDEX(Ingredients!$J$5:$J$304,MATCH(D1047,Ingredients!$B$5:$B$304,0)),"Add to Ingredients"))</f>
        <v>0</v>
      </c>
      <c r="N1047" s="25">
        <f>IF(OR(J1047="",M1047="",NOT(ISNUMBER(M1047))),"",IF(K1047&lt;&gt;L1047,"",J1047*M1047))</f>
        <v>0</v>
      </c>
      <c r="O1047" s="25">
        <f>IF(N1047="","",IFERROR(N1047/INDEX(Recipes!$G$5:$G$204,MATCH(B1047,Recipes!$A$5:$A$204,0)),""))</f>
        <v>0</v>
      </c>
      <c r="P1047" s="30">
        <f>IF(J1047="","",IF(K1047="each",J1047,J1047/100))</f>
        <v>0</v>
      </c>
      <c r="Q1047" s="30">
        <f>IFERROR(IF(P1047="","",P1047*INDEX(Ingredients!$P$5:$P$304,MATCH(D1047,Ingredients!$B$5:$B$304,0))),"")</f>
        <v>0</v>
      </c>
      <c r="R1047" s="45">
        <f>IFERROR(IF(P1047="","",P1047*INDEX(Ingredients!$Q$5:$Q$304,MATCH(D1047,Ingredients!$B$5:$B$304,0))),"")</f>
        <v>0</v>
      </c>
      <c r="S1047" s="45">
        <f>IFERROR(IF(P1047="","",P1047*INDEX(Ingredients!$R$5:$R$304,MATCH(D1047,Ingredients!$B$5:$B$304,0))),"")</f>
        <v>0</v>
      </c>
      <c r="T1047" s="45">
        <f>IFERROR(IF(P1047="","",P1047*INDEX(Ingredients!$S$5:$S$304,MATCH(D1047,Ingredients!$B$5:$B$304,0))),"")</f>
        <v>0</v>
      </c>
      <c r="U1047" s="45">
        <f>IFERROR(IF(P1047="","",P1047*INDEX(Ingredients!$T$5:$T$304,MATCH(D1047,Ingredients!$B$5:$B$304,0))),"")</f>
        <v>0</v>
      </c>
      <c r="V1047" s="17">
        <f>IF(D1047="","",IFERROR(INDEX(Ingredients!$W$5:$W$304,MATCH(D1047,Ingredients!$B$5:$B$304,0)),"Add to Ingredients"))</f>
        <v>0</v>
      </c>
      <c r="W1047" s="17">
        <f>IF(D1047="","",IFERROR(INDEX(Ingredients!$C$5:$C$304,MATCH(D1047,Ingredients!$B$5:$B$304,0)),"Add to Ingredients"))</f>
        <v>0</v>
      </c>
      <c r="X1047" s="45">
        <f>IFERROR(INDEX(Recipes!$AT$5:$AT$204,MATCH(B1047,Recipes!$A$5:$A$204,0)),0)</f>
        <v>0</v>
      </c>
      <c r="Y1047" s="45">
        <f>IF(OR(J1047="",X1047=0),"",J1047*X1047)</f>
        <v>0</v>
      </c>
      <c r="Z1047" s="17">
        <f>IF(D1047="","",B1047&amp;"#"&amp;COUNTIFS($B$5:B1047,B1047))</f>
        <v>0</v>
      </c>
      <c r="AA1047" s="17">
        <f>IF(D1047="","",B1047&amp;"|"&amp;D1047)</f>
        <v>0</v>
      </c>
      <c r="AB1047" s="31">
        <f>IF(D1047="","",IF(B1047="","Add - which recipe?",IF(COUNTIFS(Ingredients!$B$5:$B$304,D1047)=0,"Missing - not in the Ingredients tab",IF(E1047="","Add - no quantity",IF(F1047="","Add - no unit",IF(K1047&lt;&gt;L1047,"Check - recipe in "&amp;K1047&amp;", priced in "&amp;L1047,IF(COUNTIFS($AA$5:$AA$1204,AA1047)&gt;1,"Duplicate - same ingredient twice","OK")))))))</f>
        <v>0</v>
      </c>
    </row>
    <row r="1048" spans="1:28">
      <c r="A1048" s="39">
        <f>IF(D1048="","","RL-"&amp;TEXT(ROW()-4,"0000"))</f>
        <v>0</v>
      </c>
      <c r="C1048" s="17">
        <f>IF(B1048="","",IFERROR(INDEX(Recipes!$B$5:$B$204,MATCH(B1048,Recipes!$A$5:$A$204,0)),"Not found"))</f>
        <v>0</v>
      </c>
      <c r="J1048" s="45">
        <f>IF(E1048="","",IFERROR(E1048*INDEX(UnitFactors,MATCH(F1048,UnitNames,0)),""))</f>
        <v>0</v>
      </c>
      <c r="K1048" s="17">
        <f>IF(F1048="","",IFERROR(INDEX(UnitBases,MATCH(F1048,UnitNames,0)),"?"))</f>
        <v>0</v>
      </c>
      <c r="L1048" s="17">
        <f>IF(D1048="","",IFERROR(INDEX(Ingredients!$G$5:$G$304,MATCH(D1048,Ingredients!$B$5:$B$304,0)),"Add to Ingredients"))</f>
        <v>0</v>
      </c>
      <c r="M1048" s="25">
        <f>IF(D1048="","",IFERROR(INDEX(Ingredients!$J$5:$J$304,MATCH(D1048,Ingredients!$B$5:$B$304,0)),"Add to Ingredients"))</f>
        <v>0</v>
      </c>
      <c r="N1048" s="25">
        <f>IF(OR(J1048="",M1048="",NOT(ISNUMBER(M1048))),"",IF(K1048&lt;&gt;L1048,"",J1048*M1048))</f>
        <v>0</v>
      </c>
      <c r="O1048" s="25">
        <f>IF(N1048="","",IFERROR(N1048/INDEX(Recipes!$G$5:$G$204,MATCH(B1048,Recipes!$A$5:$A$204,0)),""))</f>
        <v>0</v>
      </c>
      <c r="P1048" s="30">
        <f>IF(J1048="","",IF(K1048="each",J1048,J1048/100))</f>
        <v>0</v>
      </c>
      <c r="Q1048" s="30">
        <f>IFERROR(IF(P1048="","",P1048*INDEX(Ingredients!$P$5:$P$304,MATCH(D1048,Ingredients!$B$5:$B$304,0))),"")</f>
        <v>0</v>
      </c>
      <c r="R1048" s="45">
        <f>IFERROR(IF(P1048="","",P1048*INDEX(Ingredients!$Q$5:$Q$304,MATCH(D1048,Ingredients!$B$5:$B$304,0))),"")</f>
        <v>0</v>
      </c>
      <c r="S1048" s="45">
        <f>IFERROR(IF(P1048="","",P1048*INDEX(Ingredients!$R$5:$R$304,MATCH(D1048,Ingredients!$B$5:$B$304,0))),"")</f>
        <v>0</v>
      </c>
      <c r="T1048" s="45">
        <f>IFERROR(IF(P1048="","",P1048*INDEX(Ingredients!$S$5:$S$304,MATCH(D1048,Ingredients!$B$5:$B$304,0))),"")</f>
        <v>0</v>
      </c>
      <c r="U1048" s="45">
        <f>IFERROR(IF(P1048="","",P1048*INDEX(Ingredients!$T$5:$T$304,MATCH(D1048,Ingredients!$B$5:$B$304,0))),"")</f>
        <v>0</v>
      </c>
      <c r="V1048" s="17">
        <f>IF(D1048="","",IFERROR(INDEX(Ingredients!$W$5:$W$304,MATCH(D1048,Ingredients!$B$5:$B$304,0)),"Add to Ingredients"))</f>
        <v>0</v>
      </c>
      <c r="W1048" s="17">
        <f>IF(D1048="","",IFERROR(INDEX(Ingredients!$C$5:$C$304,MATCH(D1048,Ingredients!$B$5:$B$304,0)),"Add to Ingredients"))</f>
        <v>0</v>
      </c>
      <c r="X1048" s="45">
        <f>IFERROR(INDEX(Recipes!$AT$5:$AT$204,MATCH(B1048,Recipes!$A$5:$A$204,0)),0)</f>
        <v>0</v>
      </c>
      <c r="Y1048" s="45">
        <f>IF(OR(J1048="",X1048=0),"",J1048*X1048)</f>
        <v>0</v>
      </c>
      <c r="Z1048" s="17">
        <f>IF(D1048="","",B1048&amp;"#"&amp;COUNTIFS($B$5:B1048,B1048))</f>
        <v>0</v>
      </c>
      <c r="AA1048" s="17">
        <f>IF(D1048="","",B1048&amp;"|"&amp;D1048)</f>
        <v>0</v>
      </c>
      <c r="AB1048" s="31">
        <f>IF(D1048="","",IF(B1048="","Add - which recipe?",IF(COUNTIFS(Ingredients!$B$5:$B$304,D1048)=0,"Missing - not in the Ingredients tab",IF(E1048="","Add - no quantity",IF(F1048="","Add - no unit",IF(K1048&lt;&gt;L1048,"Check - recipe in "&amp;K1048&amp;", priced in "&amp;L1048,IF(COUNTIFS($AA$5:$AA$1204,AA1048)&gt;1,"Duplicate - same ingredient twice","OK")))))))</f>
        <v>0</v>
      </c>
    </row>
    <row r="1049" spans="1:28">
      <c r="A1049" s="39">
        <f>IF(D1049="","","RL-"&amp;TEXT(ROW()-4,"0000"))</f>
        <v>0</v>
      </c>
      <c r="C1049" s="17">
        <f>IF(B1049="","",IFERROR(INDEX(Recipes!$B$5:$B$204,MATCH(B1049,Recipes!$A$5:$A$204,0)),"Not found"))</f>
        <v>0</v>
      </c>
      <c r="J1049" s="45">
        <f>IF(E1049="","",IFERROR(E1049*INDEX(UnitFactors,MATCH(F1049,UnitNames,0)),""))</f>
        <v>0</v>
      </c>
      <c r="K1049" s="17">
        <f>IF(F1049="","",IFERROR(INDEX(UnitBases,MATCH(F1049,UnitNames,0)),"?"))</f>
        <v>0</v>
      </c>
      <c r="L1049" s="17">
        <f>IF(D1049="","",IFERROR(INDEX(Ingredients!$G$5:$G$304,MATCH(D1049,Ingredients!$B$5:$B$304,0)),"Add to Ingredients"))</f>
        <v>0</v>
      </c>
      <c r="M1049" s="25">
        <f>IF(D1049="","",IFERROR(INDEX(Ingredients!$J$5:$J$304,MATCH(D1049,Ingredients!$B$5:$B$304,0)),"Add to Ingredients"))</f>
        <v>0</v>
      </c>
      <c r="N1049" s="25">
        <f>IF(OR(J1049="",M1049="",NOT(ISNUMBER(M1049))),"",IF(K1049&lt;&gt;L1049,"",J1049*M1049))</f>
        <v>0</v>
      </c>
      <c r="O1049" s="25">
        <f>IF(N1049="","",IFERROR(N1049/INDEX(Recipes!$G$5:$G$204,MATCH(B1049,Recipes!$A$5:$A$204,0)),""))</f>
        <v>0</v>
      </c>
      <c r="P1049" s="30">
        <f>IF(J1049="","",IF(K1049="each",J1049,J1049/100))</f>
        <v>0</v>
      </c>
      <c r="Q1049" s="30">
        <f>IFERROR(IF(P1049="","",P1049*INDEX(Ingredients!$P$5:$P$304,MATCH(D1049,Ingredients!$B$5:$B$304,0))),"")</f>
        <v>0</v>
      </c>
      <c r="R1049" s="45">
        <f>IFERROR(IF(P1049="","",P1049*INDEX(Ingredients!$Q$5:$Q$304,MATCH(D1049,Ingredients!$B$5:$B$304,0))),"")</f>
        <v>0</v>
      </c>
      <c r="S1049" s="45">
        <f>IFERROR(IF(P1049="","",P1049*INDEX(Ingredients!$R$5:$R$304,MATCH(D1049,Ingredients!$B$5:$B$304,0))),"")</f>
        <v>0</v>
      </c>
      <c r="T1049" s="45">
        <f>IFERROR(IF(P1049="","",P1049*INDEX(Ingredients!$S$5:$S$304,MATCH(D1049,Ingredients!$B$5:$B$304,0))),"")</f>
        <v>0</v>
      </c>
      <c r="U1049" s="45">
        <f>IFERROR(IF(P1049="","",P1049*INDEX(Ingredients!$T$5:$T$304,MATCH(D1049,Ingredients!$B$5:$B$304,0))),"")</f>
        <v>0</v>
      </c>
      <c r="V1049" s="17">
        <f>IF(D1049="","",IFERROR(INDEX(Ingredients!$W$5:$W$304,MATCH(D1049,Ingredients!$B$5:$B$304,0)),"Add to Ingredients"))</f>
        <v>0</v>
      </c>
      <c r="W1049" s="17">
        <f>IF(D1049="","",IFERROR(INDEX(Ingredients!$C$5:$C$304,MATCH(D1049,Ingredients!$B$5:$B$304,0)),"Add to Ingredients"))</f>
        <v>0</v>
      </c>
      <c r="X1049" s="45">
        <f>IFERROR(INDEX(Recipes!$AT$5:$AT$204,MATCH(B1049,Recipes!$A$5:$A$204,0)),0)</f>
        <v>0</v>
      </c>
      <c r="Y1049" s="45">
        <f>IF(OR(J1049="",X1049=0),"",J1049*X1049)</f>
        <v>0</v>
      </c>
      <c r="Z1049" s="17">
        <f>IF(D1049="","",B1049&amp;"#"&amp;COUNTIFS($B$5:B1049,B1049))</f>
        <v>0</v>
      </c>
      <c r="AA1049" s="17">
        <f>IF(D1049="","",B1049&amp;"|"&amp;D1049)</f>
        <v>0</v>
      </c>
      <c r="AB1049" s="31">
        <f>IF(D1049="","",IF(B1049="","Add - which recipe?",IF(COUNTIFS(Ingredients!$B$5:$B$304,D1049)=0,"Missing - not in the Ingredients tab",IF(E1049="","Add - no quantity",IF(F1049="","Add - no unit",IF(K1049&lt;&gt;L1049,"Check - recipe in "&amp;K1049&amp;", priced in "&amp;L1049,IF(COUNTIFS($AA$5:$AA$1204,AA1049)&gt;1,"Duplicate - same ingredient twice","OK")))))))</f>
        <v>0</v>
      </c>
    </row>
    <row r="1050" spans="1:28">
      <c r="A1050" s="39">
        <f>IF(D1050="","","RL-"&amp;TEXT(ROW()-4,"0000"))</f>
        <v>0</v>
      </c>
      <c r="C1050" s="17">
        <f>IF(B1050="","",IFERROR(INDEX(Recipes!$B$5:$B$204,MATCH(B1050,Recipes!$A$5:$A$204,0)),"Not found"))</f>
        <v>0</v>
      </c>
      <c r="J1050" s="45">
        <f>IF(E1050="","",IFERROR(E1050*INDEX(UnitFactors,MATCH(F1050,UnitNames,0)),""))</f>
        <v>0</v>
      </c>
      <c r="K1050" s="17">
        <f>IF(F1050="","",IFERROR(INDEX(UnitBases,MATCH(F1050,UnitNames,0)),"?"))</f>
        <v>0</v>
      </c>
      <c r="L1050" s="17">
        <f>IF(D1050="","",IFERROR(INDEX(Ingredients!$G$5:$G$304,MATCH(D1050,Ingredients!$B$5:$B$304,0)),"Add to Ingredients"))</f>
        <v>0</v>
      </c>
      <c r="M1050" s="25">
        <f>IF(D1050="","",IFERROR(INDEX(Ingredients!$J$5:$J$304,MATCH(D1050,Ingredients!$B$5:$B$304,0)),"Add to Ingredients"))</f>
        <v>0</v>
      </c>
      <c r="N1050" s="25">
        <f>IF(OR(J1050="",M1050="",NOT(ISNUMBER(M1050))),"",IF(K1050&lt;&gt;L1050,"",J1050*M1050))</f>
        <v>0</v>
      </c>
      <c r="O1050" s="25">
        <f>IF(N1050="","",IFERROR(N1050/INDEX(Recipes!$G$5:$G$204,MATCH(B1050,Recipes!$A$5:$A$204,0)),""))</f>
        <v>0</v>
      </c>
      <c r="P1050" s="30">
        <f>IF(J1050="","",IF(K1050="each",J1050,J1050/100))</f>
        <v>0</v>
      </c>
      <c r="Q1050" s="30">
        <f>IFERROR(IF(P1050="","",P1050*INDEX(Ingredients!$P$5:$P$304,MATCH(D1050,Ingredients!$B$5:$B$304,0))),"")</f>
        <v>0</v>
      </c>
      <c r="R1050" s="45">
        <f>IFERROR(IF(P1050="","",P1050*INDEX(Ingredients!$Q$5:$Q$304,MATCH(D1050,Ingredients!$B$5:$B$304,0))),"")</f>
        <v>0</v>
      </c>
      <c r="S1050" s="45">
        <f>IFERROR(IF(P1050="","",P1050*INDEX(Ingredients!$R$5:$R$304,MATCH(D1050,Ingredients!$B$5:$B$304,0))),"")</f>
        <v>0</v>
      </c>
      <c r="T1050" s="45">
        <f>IFERROR(IF(P1050="","",P1050*INDEX(Ingredients!$S$5:$S$304,MATCH(D1050,Ingredients!$B$5:$B$304,0))),"")</f>
        <v>0</v>
      </c>
      <c r="U1050" s="45">
        <f>IFERROR(IF(P1050="","",P1050*INDEX(Ingredients!$T$5:$T$304,MATCH(D1050,Ingredients!$B$5:$B$304,0))),"")</f>
        <v>0</v>
      </c>
      <c r="V1050" s="17">
        <f>IF(D1050="","",IFERROR(INDEX(Ingredients!$W$5:$W$304,MATCH(D1050,Ingredients!$B$5:$B$304,0)),"Add to Ingredients"))</f>
        <v>0</v>
      </c>
      <c r="W1050" s="17">
        <f>IF(D1050="","",IFERROR(INDEX(Ingredients!$C$5:$C$304,MATCH(D1050,Ingredients!$B$5:$B$304,0)),"Add to Ingredients"))</f>
        <v>0</v>
      </c>
      <c r="X1050" s="45">
        <f>IFERROR(INDEX(Recipes!$AT$5:$AT$204,MATCH(B1050,Recipes!$A$5:$A$204,0)),0)</f>
        <v>0</v>
      </c>
      <c r="Y1050" s="45">
        <f>IF(OR(J1050="",X1050=0),"",J1050*X1050)</f>
        <v>0</v>
      </c>
      <c r="Z1050" s="17">
        <f>IF(D1050="","",B1050&amp;"#"&amp;COUNTIFS($B$5:B1050,B1050))</f>
        <v>0</v>
      </c>
      <c r="AA1050" s="17">
        <f>IF(D1050="","",B1050&amp;"|"&amp;D1050)</f>
        <v>0</v>
      </c>
      <c r="AB1050" s="31">
        <f>IF(D1050="","",IF(B1050="","Add - which recipe?",IF(COUNTIFS(Ingredients!$B$5:$B$304,D1050)=0,"Missing - not in the Ingredients tab",IF(E1050="","Add - no quantity",IF(F1050="","Add - no unit",IF(K1050&lt;&gt;L1050,"Check - recipe in "&amp;K1050&amp;", priced in "&amp;L1050,IF(COUNTIFS($AA$5:$AA$1204,AA1050)&gt;1,"Duplicate - same ingredient twice","OK")))))))</f>
        <v>0</v>
      </c>
    </row>
    <row r="1051" spans="1:28">
      <c r="A1051" s="39">
        <f>IF(D1051="","","RL-"&amp;TEXT(ROW()-4,"0000"))</f>
        <v>0</v>
      </c>
      <c r="C1051" s="17">
        <f>IF(B1051="","",IFERROR(INDEX(Recipes!$B$5:$B$204,MATCH(B1051,Recipes!$A$5:$A$204,0)),"Not found"))</f>
        <v>0</v>
      </c>
      <c r="J1051" s="45">
        <f>IF(E1051="","",IFERROR(E1051*INDEX(UnitFactors,MATCH(F1051,UnitNames,0)),""))</f>
        <v>0</v>
      </c>
      <c r="K1051" s="17">
        <f>IF(F1051="","",IFERROR(INDEX(UnitBases,MATCH(F1051,UnitNames,0)),"?"))</f>
        <v>0</v>
      </c>
      <c r="L1051" s="17">
        <f>IF(D1051="","",IFERROR(INDEX(Ingredients!$G$5:$G$304,MATCH(D1051,Ingredients!$B$5:$B$304,0)),"Add to Ingredients"))</f>
        <v>0</v>
      </c>
      <c r="M1051" s="25">
        <f>IF(D1051="","",IFERROR(INDEX(Ingredients!$J$5:$J$304,MATCH(D1051,Ingredients!$B$5:$B$304,0)),"Add to Ingredients"))</f>
        <v>0</v>
      </c>
      <c r="N1051" s="25">
        <f>IF(OR(J1051="",M1051="",NOT(ISNUMBER(M1051))),"",IF(K1051&lt;&gt;L1051,"",J1051*M1051))</f>
        <v>0</v>
      </c>
      <c r="O1051" s="25">
        <f>IF(N1051="","",IFERROR(N1051/INDEX(Recipes!$G$5:$G$204,MATCH(B1051,Recipes!$A$5:$A$204,0)),""))</f>
        <v>0</v>
      </c>
      <c r="P1051" s="30">
        <f>IF(J1051="","",IF(K1051="each",J1051,J1051/100))</f>
        <v>0</v>
      </c>
      <c r="Q1051" s="30">
        <f>IFERROR(IF(P1051="","",P1051*INDEX(Ingredients!$P$5:$P$304,MATCH(D1051,Ingredients!$B$5:$B$304,0))),"")</f>
        <v>0</v>
      </c>
      <c r="R1051" s="45">
        <f>IFERROR(IF(P1051="","",P1051*INDEX(Ingredients!$Q$5:$Q$304,MATCH(D1051,Ingredients!$B$5:$B$304,0))),"")</f>
        <v>0</v>
      </c>
      <c r="S1051" s="45">
        <f>IFERROR(IF(P1051="","",P1051*INDEX(Ingredients!$R$5:$R$304,MATCH(D1051,Ingredients!$B$5:$B$304,0))),"")</f>
        <v>0</v>
      </c>
      <c r="T1051" s="45">
        <f>IFERROR(IF(P1051="","",P1051*INDEX(Ingredients!$S$5:$S$304,MATCH(D1051,Ingredients!$B$5:$B$304,0))),"")</f>
        <v>0</v>
      </c>
      <c r="U1051" s="45">
        <f>IFERROR(IF(P1051="","",P1051*INDEX(Ingredients!$T$5:$T$304,MATCH(D1051,Ingredients!$B$5:$B$304,0))),"")</f>
        <v>0</v>
      </c>
      <c r="V1051" s="17">
        <f>IF(D1051="","",IFERROR(INDEX(Ingredients!$W$5:$W$304,MATCH(D1051,Ingredients!$B$5:$B$304,0)),"Add to Ingredients"))</f>
        <v>0</v>
      </c>
      <c r="W1051" s="17">
        <f>IF(D1051="","",IFERROR(INDEX(Ingredients!$C$5:$C$304,MATCH(D1051,Ingredients!$B$5:$B$304,0)),"Add to Ingredients"))</f>
        <v>0</v>
      </c>
      <c r="X1051" s="45">
        <f>IFERROR(INDEX(Recipes!$AT$5:$AT$204,MATCH(B1051,Recipes!$A$5:$A$204,0)),0)</f>
        <v>0</v>
      </c>
      <c r="Y1051" s="45">
        <f>IF(OR(J1051="",X1051=0),"",J1051*X1051)</f>
        <v>0</v>
      </c>
      <c r="Z1051" s="17">
        <f>IF(D1051="","",B1051&amp;"#"&amp;COUNTIFS($B$5:B1051,B1051))</f>
        <v>0</v>
      </c>
      <c r="AA1051" s="17">
        <f>IF(D1051="","",B1051&amp;"|"&amp;D1051)</f>
        <v>0</v>
      </c>
      <c r="AB1051" s="31">
        <f>IF(D1051="","",IF(B1051="","Add - which recipe?",IF(COUNTIFS(Ingredients!$B$5:$B$304,D1051)=0,"Missing - not in the Ingredients tab",IF(E1051="","Add - no quantity",IF(F1051="","Add - no unit",IF(K1051&lt;&gt;L1051,"Check - recipe in "&amp;K1051&amp;", priced in "&amp;L1051,IF(COUNTIFS($AA$5:$AA$1204,AA1051)&gt;1,"Duplicate - same ingredient twice","OK")))))))</f>
        <v>0</v>
      </c>
    </row>
    <row r="1052" spans="1:28">
      <c r="A1052" s="39">
        <f>IF(D1052="","","RL-"&amp;TEXT(ROW()-4,"0000"))</f>
        <v>0</v>
      </c>
      <c r="C1052" s="17">
        <f>IF(B1052="","",IFERROR(INDEX(Recipes!$B$5:$B$204,MATCH(B1052,Recipes!$A$5:$A$204,0)),"Not found"))</f>
        <v>0</v>
      </c>
      <c r="J1052" s="45">
        <f>IF(E1052="","",IFERROR(E1052*INDEX(UnitFactors,MATCH(F1052,UnitNames,0)),""))</f>
        <v>0</v>
      </c>
      <c r="K1052" s="17">
        <f>IF(F1052="","",IFERROR(INDEX(UnitBases,MATCH(F1052,UnitNames,0)),"?"))</f>
        <v>0</v>
      </c>
      <c r="L1052" s="17">
        <f>IF(D1052="","",IFERROR(INDEX(Ingredients!$G$5:$G$304,MATCH(D1052,Ingredients!$B$5:$B$304,0)),"Add to Ingredients"))</f>
        <v>0</v>
      </c>
      <c r="M1052" s="25">
        <f>IF(D1052="","",IFERROR(INDEX(Ingredients!$J$5:$J$304,MATCH(D1052,Ingredients!$B$5:$B$304,0)),"Add to Ingredients"))</f>
        <v>0</v>
      </c>
      <c r="N1052" s="25">
        <f>IF(OR(J1052="",M1052="",NOT(ISNUMBER(M1052))),"",IF(K1052&lt;&gt;L1052,"",J1052*M1052))</f>
        <v>0</v>
      </c>
      <c r="O1052" s="25">
        <f>IF(N1052="","",IFERROR(N1052/INDEX(Recipes!$G$5:$G$204,MATCH(B1052,Recipes!$A$5:$A$204,0)),""))</f>
        <v>0</v>
      </c>
      <c r="P1052" s="30">
        <f>IF(J1052="","",IF(K1052="each",J1052,J1052/100))</f>
        <v>0</v>
      </c>
      <c r="Q1052" s="30">
        <f>IFERROR(IF(P1052="","",P1052*INDEX(Ingredients!$P$5:$P$304,MATCH(D1052,Ingredients!$B$5:$B$304,0))),"")</f>
        <v>0</v>
      </c>
      <c r="R1052" s="45">
        <f>IFERROR(IF(P1052="","",P1052*INDEX(Ingredients!$Q$5:$Q$304,MATCH(D1052,Ingredients!$B$5:$B$304,0))),"")</f>
        <v>0</v>
      </c>
      <c r="S1052" s="45">
        <f>IFERROR(IF(P1052="","",P1052*INDEX(Ingredients!$R$5:$R$304,MATCH(D1052,Ingredients!$B$5:$B$304,0))),"")</f>
        <v>0</v>
      </c>
      <c r="T1052" s="45">
        <f>IFERROR(IF(P1052="","",P1052*INDEX(Ingredients!$S$5:$S$304,MATCH(D1052,Ingredients!$B$5:$B$304,0))),"")</f>
        <v>0</v>
      </c>
      <c r="U1052" s="45">
        <f>IFERROR(IF(P1052="","",P1052*INDEX(Ingredients!$T$5:$T$304,MATCH(D1052,Ingredients!$B$5:$B$304,0))),"")</f>
        <v>0</v>
      </c>
      <c r="V1052" s="17">
        <f>IF(D1052="","",IFERROR(INDEX(Ingredients!$W$5:$W$304,MATCH(D1052,Ingredients!$B$5:$B$304,0)),"Add to Ingredients"))</f>
        <v>0</v>
      </c>
      <c r="W1052" s="17">
        <f>IF(D1052="","",IFERROR(INDEX(Ingredients!$C$5:$C$304,MATCH(D1052,Ingredients!$B$5:$B$304,0)),"Add to Ingredients"))</f>
        <v>0</v>
      </c>
      <c r="X1052" s="45">
        <f>IFERROR(INDEX(Recipes!$AT$5:$AT$204,MATCH(B1052,Recipes!$A$5:$A$204,0)),0)</f>
        <v>0</v>
      </c>
      <c r="Y1052" s="45">
        <f>IF(OR(J1052="",X1052=0),"",J1052*X1052)</f>
        <v>0</v>
      </c>
      <c r="Z1052" s="17">
        <f>IF(D1052="","",B1052&amp;"#"&amp;COUNTIFS($B$5:B1052,B1052))</f>
        <v>0</v>
      </c>
      <c r="AA1052" s="17">
        <f>IF(D1052="","",B1052&amp;"|"&amp;D1052)</f>
        <v>0</v>
      </c>
      <c r="AB1052" s="31">
        <f>IF(D1052="","",IF(B1052="","Add - which recipe?",IF(COUNTIFS(Ingredients!$B$5:$B$304,D1052)=0,"Missing - not in the Ingredients tab",IF(E1052="","Add - no quantity",IF(F1052="","Add - no unit",IF(K1052&lt;&gt;L1052,"Check - recipe in "&amp;K1052&amp;", priced in "&amp;L1052,IF(COUNTIFS($AA$5:$AA$1204,AA1052)&gt;1,"Duplicate - same ingredient twice","OK")))))))</f>
        <v>0</v>
      </c>
    </row>
    <row r="1053" spans="1:28">
      <c r="A1053" s="39">
        <f>IF(D1053="","","RL-"&amp;TEXT(ROW()-4,"0000"))</f>
        <v>0</v>
      </c>
      <c r="C1053" s="17">
        <f>IF(B1053="","",IFERROR(INDEX(Recipes!$B$5:$B$204,MATCH(B1053,Recipes!$A$5:$A$204,0)),"Not found"))</f>
        <v>0</v>
      </c>
      <c r="J1053" s="45">
        <f>IF(E1053="","",IFERROR(E1053*INDEX(UnitFactors,MATCH(F1053,UnitNames,0)),""))</f>
        <v>0</v>
      </c>
      <c r="K1053" s="17">
        <f>IF(F1053="","",IFERROR(INDEX(UnitBases,MATCH(F1053,UnitNames,0)),"?"))</f>
        <v>0</v>
      </c>
      <c r="L1053" s="17">
        <f>IF(D1053="","",IFERROR(INDEX(Ingredients!$G$5:$G$304,MATCH(D1053,Ingredients!$B$5:$B$304,0)),"Add to Ingredients"))</f>
        <v>0</v>
      </c>
      <c r="M1053" s="25">
        <f>IF(D1053="","",IFERROR(INDEX(Ingredients!$J$5:$J$304,MATCH(D1053,Ingredients!$B$5:$B$304,0)),"Add to Ingredients"))</f>
        <v>0</v>
      </c>
      <c r="N1053" s="25">
        <f>IF(OR(J1053="",M1053="",NOT(ISNUMBER(M1053))),"",IF(K1053&lt;&gt;L1053,"",J1053*M1053))</f>
        <v>0</v>
      </c>
      <c r="O1053" s="25">
        <f>IF(N1053="","",IFERROR(N1053/INDEX(Recipes!$G$5:$G$204,MATCH(B1053,Recipes!$A$5:$A$204,0)),""))</f>
        <v>0</v>
      </c>
      <c r="P1053" s="30">
        <f>IF(J1053="","",IF(K1053="each",J1053,J1053/100))</f>
        <v>0</v>
      </c>
      <c r="Q1053" s="30">
        <f>IFERROR(IF(P1053="","",P1053*INDEX(Ingredients!$P$5:$P$304,MATCH(D1053,Ingredients!$B$5:$B$304,0))),"")</f>
        <v>0</v>
      </c>
      <c r="R1053" s="45">
        <f>IFERROR(IF(P1053="","",P1053*INDEX(Ingredients!$Q$5:$Q$304,MATCH(D1053,Ingredients!$B$5:$B$304,0))),"")</f>
        <v>0</v>
      </c>
      <c r="S1053" s="45">
        <f>IFERROR(IF(P1053="","",P1053*INDEX(Ingredients!$R$5:$R$304,MATCH(D1053,Ingredients!$B$5:$B$304,0))),"")</f>
        <v>0</v>
      </c>
      <c r="T1053" s="45">
        <f>IFERROR(IF(P1053="","",P1053*INDEX(Ingredients!$S$5:$S$304,MATCH(D1053,Ingredients!$B$5:$B$304,0))),"")</f>
        <v>0</v>
      </c>
      <c r="U1053" s="45">
        <f>IFERROR(IF(P1053="","",P1053*INDEX(Ingredients!$T$5:$T$304,MATCH(D1053,Ingredients!$B$5:$B$304,0))),"")</f>
        <v>0</v>
      </c>
      <c r="V1053" s="17">
        <f>IF(D1053="","",IFERROR(INDEX(Ingredients!$W$5:$W$304,MATCH(D1053,Ingredients!$B$5:$B$304,0)),"Add to Ingredients"))</f>
        <v>0</v>
      </c>
      <c r="W1053" s="17">
        <f>IF(D1053="","",IFERROR(INDEX(Ingredients!$C$5:$C$304,MATCH(D1053,Ingredients!$B$5:$B$304,0)),"Add to Ingredients"))</f>
        <v>0</v>
      </c>
      <c r="X1053" s="45">
        <f>IFERROR(INDEX(Recipes!$AT$5:$AT$204,MATCH(B1053,Recipes!$A$5:$A$204,0)),0)</f>
        <v>0</v>
      </c>
      <c r="Y1053" s="45">
        <f>IF(OR(J1053="",X1053=0),"",J1053*X1053)</f>
        <v>0</v>
      </c>
      <c r="Z1053" s="17">
        <f>IF(D1053="","",B1053&amp;"#"&amp;COUNTIFS($B$5:B1053,B1053))</f>
        <v>0</v>
      </c>
      <c r="AA1053" s="17">
        <f>IF(D1053="","",B1053&amp;"|"&amp;D1053)</f>
        <v>0</v>
      </c>
      <c r="AB1053" s="31">
        <f>IF(D1053="","",IF(B1053="","Add - which recipe?",IF(COUNTIFS(Ingredients!$B$5:$B$304,D1053)=0,"Missing - not in the Ingredients tab",IF(E1053="","Add - no quantity",IF(F1053="","Add - no unit",IF(K1053&lt;&gt;L1053,"Check - recipe in "&amp;K1053&amp;", priced in "&amp;L1053,IF(COUNTIFS($AA$5:$AA$1204,AA1053)&gt;1,"Duplicate - same ingredient twice","OK")))))))</f>
        <v>0</v>
      </c>
    </row>
    <row r="1054" spans="1:28">
      <c r="A1054" s="39">
        <f>IF(D1054="","","RL-"&amp;TEXT(ROW()-4,"0000"))</f>
        <v>0</v>
      </c>
      <c r="C1054" s="17">
        <f>IF(B1054="","",IFERROR(INDEX(Recipes!$B$5:$B$204,MATCH(B1054,Recipes!$A$5:$A$204,0)),"Not found"))</f>
        <v>0</v>
      </c>
      <c r="J1054" s="45">
        <f>IF(E1054="","",IFERROR(E1054*INDEX(UnitFactors,MATCH(F1054,UnitNames,0)),""))</f>
        <v>0</v>
      </c>
      <c r="K1054" s="17">
        <f>IF(F1054="","",IFERROR(INDEX(UnitBases,MATCH(F1054,UnitNames,0)),"?"))</f>
        <v>0</v>
      </c>
      <c r="L1054" s="17">
        <f>IF(D1054="","",IFERROR(INDEX(Ingredients!$G$5:$G$304,MATCH(D1054,Ingredients!$B$5:$B$304,0)),"Add to Ingredients"))</f>
        <v>0</v>
      </c>
      <c r="M1054" s="25">
        <f>IF(D1054="","",IFERROR(INDEX(Ingredients!$J$5:$J$304,MATCH(D1054,Ingredients!$B$5:$B$304,0)),"Add to Ingredients"))</f>
        <v>0</v>
      </c>
      <c r="N1054" s="25">
        <f>IF(OR(J1054="",M1054="",NOT(ISNUMBER(M1054))),"",IF(K1054&lt;&gt;L1054,"",J1054*M1054))</f>
        <v>0</v>
      </c>
      <c r="O1054" s="25">
        <f>IF(N1054="","",IFERROR(N1054/INDEX(Recipes!$G$5:$G$204,MATCH(B1054,Recipes!$A$5:$A$204,0)),""))</f>
        <v>0</v>
      </c>
      <c r="P1054" s="30">
        <f>IF(J1054="","",IF(K1054="each",J1054,J1054/100))</f>
        <v>0</v>
      </c>
      <c r="Q1054" s="30">
        <f>IFERROR(IF(P1054="","",P1054*INDEX(Ingredients!$P$5:$P$304,MATCH(D1054,Ingredients!$B$5:$B$304,0))),"")</f>
        <v>0</v>
      </c>
      <c r="R1054" s="45">
        <f>IFERROR(IF(P1054="","",P1054*INDEX(Ingredients!$Q$5:$Q$304,MATCH(D1054,Ingredients!$B$5:$B$304,0))),"")</f>
        <v>0</v>
      </c>
      <c r="S1054" s="45">
        <f>IFERROR(IF(P1054="","",P1054*INDEX(Ingredients!$R$5:$R$304,MATCH(D1054,Ingredients!$B$5:$B$304,0))),"")</f>
        <v>0</v>
      </c>
      <c r="T1054" s="45">
        <f>IFERROR(IF(P1054="","",P1054*INDEX(Ingredients!$S$5:$S$304,MATCH(D1054,Ingredients!$B$5:$B$304,0))),"")</f>
        <v>0</v>
      </c>
      <c r="U1054" s="45">
        <f>IFERROR(IF(P1054="","",P1054*INDEX(Ingredients!$T$5:$T$304,MATCH(D1054,Ingredients!$B$5:$B$304,0))),"")</f>
        <v>0</v>
      </c>
      <c r="V1054" s="17">
        <f>IF(D1054="","",IFERROR(INDEX(Ingredients!$W$5:$W$304,MATCH(D1054,Ingredients!$B$5:$B$304,0)),"Add to Ingredients"))</f>
        <v>0</v>
      </c>
      <c r="W1054" s="17">
        <f>IF(D1054="","",IFERROR(INDEX(Ingredients!$C$5:$C$304,MATCH(D1054,Ingredients!$B$5:$B$304,0)),"Add to Ingredients"))</f>
        <v>0</v>
      </c>
      <c r="X1054" s="45">
        <f>IFERROR(INDEX(Recipes!$AT$5:$AT$204,MATCH(B1054,Recipes!$A$5:$A$204,0)),0)</f>
        <v>0</v>
      </c>
      <c r="Y1054" s="45">
        <f>IF(OR(J1054="",X1054=0),"",J1054*X1054)</f>
        <v>0</v>
      </c>
      <c r="Z1054" s="17">
        <f>IF(D1054="","",B1054&amp;"#"&amp;COUNTIFS($B$5:B1054,B1054))</f>
        <v>0</v>
      </c>
      <c r="AA1054" s="17">
        <f>IF(D1054="","",B1054&amp;"|"&amp;D1054)</f>
        <v>0</v>
      </c>
      <c r="AB1054" s="31">
        <f>IF(D1054="","",IF(B1054="","Add - which recipe?",IF(COUNTIFS(Ingredients!$B$5:$B$304,D1054)=0,"Missing - not in the Ingredients tab",IF(E1054="","Add - no quantity",IF(F1054="","Add - no unit",IF(K1054&lt;&gt;L1054,"Check - recipe in "&amp;K1054&amp;", priced in "&amp;L1054,IF(COUNTIFS($AA$5:$AA$1204,AA1054)&gt;1,"Duplicate - same ingredient twice","OK")))))))</f>
        <v>0</v>
      </c>
    </row>
    <row r="1055" spans="1:28">
      <c r="A1055" s="39">
        <f>IF(D1055="","","RL-"&amp;TEXT(ROW()-4,"0000"))</f>
        <v>0</v>
      </c>
      <c r="C1055" s="17">
        <f>IF(B1055="","",IFERROR(INDEX(Recipes!$B$5:$B$204,MATCH(B1055,Recipes!$A$5:$A$204,0)),"Not found"))</f>
        <v>0</v>
      </c>
      <c r="J1055" s="45">
        <f>IF(E1055="","",IFERROR(E1055*INDEX(UnitFactors,MATCH(F1055,UnitNames,0)),""))</f>
        <v>0</v>
      </c>
      <c r="K1055" s="17">
        <f>IF(F1055="","",IFERROR(INDEX(UnitBases,MATCH(F1055,UnitNames,0)),"?"))</f>
        <v>0</v>
      </c>
      <c r="L1055" s="17">
        <f>IF(D1055="","",IFERROR(INDEX(Ingredients!$G$5:$G$304,MATCH(D1055,Ingredients!$B$5:$B$304,0)),"Add to Ingredients"))</f>
        <v>0</v>
      </c>
      <c r="M1055" s="25">
        <f>IF(D1055="","",IFERROR(INDEX(Ingredients!$J$5:$J$304,MATCH(D1055,Ingredients!$B$5:$B$304,0)),"Add to Ingredients"))</f>
        <v>0</v>
      </c>
      <c r="N1055" s="25">
        <f>IF(OR(J1055="",M1055="",NOT(ISNUMBER(M1055))),"",IF(K1055&lt;&gt;L1055,"",J1055*M1055))</f>
        <v>0</v>
      </c>
      <c r="O1055" s="25">
        <f>IF(N1055="","",IFERROR(N1055/INDEX(Recipes!$G$5:$G$204,MATCH(B1055,Recipes!$A$5:$A$204,0)),""))</f>
        <v>0</v>
      </c>
      <c r="P1055" s="30">
        <f>IF(J1055="","",IF(K1055="each",J1055,J1055/100))</f>
        <v>0</v>
      </c>
      <c r="Q1055" s="30">
        <f>IFERROR(IF(P1055="","",P1055*INDEX(Ingredients!$P$5:$P$304,MATCH(D1055,Ingredients!$B$5:$B$304,0))),"")</f>
        <v>0</v>
      </c>
      <c r="R1055" s="45">
        <f>IFERROR(IF(P1055="","",P1055*INDEX(Ingredients!$Q$5:$Q$304,MATCH(D1055,Ingredients!$B$5:$B$304,0))),"")</f>
        <v>0</v>
      </c>
      <c r="S1055" s="45">
        <f>IFERROR(IF(P1055="","",P1055*INDEX(Ingredients!$R$5:$R$304,MATCH(D1055,Ingredients!$B$5:$B$304,0))),"")</f>
        <v>0</v>
      </c>
      <c r="T1055" s="45">
        <f>IFERROR(IF(P1055="","",P1055*INDEX(Ingredients!$S$5:$S$304,MATCH(D1055,Ingredients!$B$5:$B$304,0))),"")</f>
        <v>0</v>
      </c>
      <c r="U1055" s="45">
        <f>IFERROR(IF(P1055="","",P1055*INDEX(Ingredients!$T$5:$T$304,MATCH(D1055,Ingredients!$B$5:$B$304,0))),"")</f>
        <v>0</v>
      </c>
      <c r="V1055" s="17">
        <f>IF(D1055="","",IFERROR(INDEX(Ingredients!$W$5:$W$304,MATCH(D1055,Ingredients!$B$5:$B$304,0)),"Add to Ingredients"))</f>
        <v>0</v>
      </c>
      <c r="W1055" s="17">
        <f>IF(D1055="","",IFERROR(INDEX(Ingredients!$C$5:$C$304,MATCH(D1055,Ingredients!$B$5:$B$304,0)),"Add to Ingredients"))</f>
        <v>0</v>
      </c>
      <c r="X1055" s="45">
        <f>IFERROR(INDEX(Recipes!$AT$5:$AT$204,MATCH(B1055,Recipes!$A$5:$A$204,0)),0)</f>
        <v>0</v>
      </c>
      <c r="Y1055" s="45">
        <f>IF(OR(J1055="",X1055=0),"",J1055*X1055)</f>
        <v>0</v>
      </c>
      <c r="Z1055" s="17">
        <f>IF(D1055="","",B1055&amp;"#"&amp;COUNTIFS($B$5:B1055,B1055))</f>
        <v>0</v>
      </c>
      <c r="AA1055" s="17">
        <f>IF(D1055="","",B1055&amp;"|"&amp;D1055)</f>
        <v>0</v>
      </c>
      <c r="AB1055" s="31">
        <f>IF(D1055="","",IF(B1055="","Add - which recipe?",IF(COUNTIFS(Ingredients!$B$5:$B$304,D1055)=0,"Missing - not in the Ingredients tab",IF(E1055="","Add - no quantity",IF(F1055="","Add - no unit",IF(K1055&lt;&gt;L1055,"Check - recipe in "&amp;K1055&amp;", priced in "&amp;L1055,IF(COUNTIFS($AA$5:$AA$1204,AA1055)&gt;1,"Duplicate - same ingredient twice","OK")))))))</f>
        <v>0</v>
      </c>
    </row>
    <row r="1056" spans="1:28">
      <c r="A1056" s="39">
        <f>IF(D1056="","","RL-"&amp;TEXT(ROW()-4,"0000"))</f>
        <v>0</v>
      </c>
      <c r="C1056" s="17">
        <f>IF(B1056="","",IFERROR(INDEX(Recipes!$B$5:$B$204,MATCH(B1056,Recipes!$A$5:$A$204,0)),"Not found"))</f>
        <v>0</v>
      </c>
      <c r="J1056" s="45">
        <f>IF(E1056="","",IFERROR(E1056*INDEX(UnitFactors,MATCH(F1056,UnitNames,0)),""))</f>
        <v>0</v>
      </c>
      <c r="K1056" s="17">
        <f>IF(F1056="","",IFERROR(INDEX(UnitBases,MATCH(F1056,UnitNames,0)),"?"))</f>
        <v>0</v>
      </c>
      <c r="L1056" s="17">
        <f>IF(D1056="","",IFERROR(INDEX(Ingredients!$G$5:$G$304,MATCH(D1056,Ingredients!$B$5:$B$304,0)),"Add to Ingredients"))</f>
        <v>0</v>
      </c>
      <c r="M1056" s="25">
        <f>IF(D1056="","",IFERROR(INDEX(Ingredients!$J$5:$J$304,MATCH(D1056,Ingredients!$B$5:$B$304,0)),"Add to Ingredients"))</f>
        <v>0</v>
      </c>
      <c r="N1056" s="25">
        <f>IF(OR(J1056="",M1056="",NOT(ISNUMBER(M1056))),"",IF(K1056&lt;&gt;L1056,"",J1056*M1056))</f>
        <v>0</v>
      </c>
      <c r="O1056" s="25">
        <f>IF(N1056="","",IFERROR(N1056/INDEX(Recipes!$G$5:$G$204,MATCH(B1056,Recipes!$A$5:$A$204,0)),""))</f>
        <v>0</v>
      </c>
      <c r="P1056" s="30">
        <f>IF(J1056="","",IF(K1056="each",J1056,J1056/100))</f>
        <v>0</v>
      </c>
      <c r="Q1056" s="30">
        <f>IFERROR(IF(P1056="","",P1056*INDEX(Ingredients!$P$5:$P$304,MATCH(D1056,Ingredients!$B$5:$B$304,0))),"")</f>
        <v>0</v>
      </c>
      <c r="R1056" s="45">
        <f>IFERROR(IF(P1056="","",P1056*INDEX(Ingredients!$Q$5:$Q$304,MATCH(D1056,Ingredients!$B$5:$B$304,0))),"")</f>
        <v>0</v>
      </c>
      <c r="S1056" s="45">
        <f>IFERROR(IF(P1056="","",P1056*INDEX(Ingredients!$R$5:$R$304,MATCH(D1056,Ingredients!$B$5:$B$304,0))),"")</f>
        <v>0</v>
      </c>
      <c r="T1056" s="45">
        <f>IFERROR(IF(P1056="","",P1056*INDEX(Ingredients!$S$5:$S$304,MATCH(D1056,Ingredients!$B$5:$B$304,0))),"")</f>
        <v>0</v>
      </c>
      <c r="U1056" s="45">
        <f>IFERROR(IF(P1056="","",P1056*INDEX(Ingredients!$T$5:$T$304,MATCH(D1056,Ingredients!$B$5:$B$304,0))),"")</f>
        <v>0</v>
      </c>
      <c r="V1056" s="17">
        <f>IF(D1056="","",IFERROR(INDEX(Ingredients!$W$5:$W$304,MATCH(D1056,Ingredients!$B$5:$B$304,0)),"Add to Ingredients"))</f>
        <v>0</v>
      </c>
      <c r="W1056" s="17">
        <f>IF(D1056="","",IFERROR(INDEX(Ingredients!$C$5:$C$304,MATCH(D1056,Ingredients!$B$5:$B$304,0)),"Add to Ingredients"))</f>
        <v>0</v>
      </c>
      <c r="X1056" s="45">
        <f>IFERROR(INDEX(Recipes!$AT$5:$AT$204,MATCH(B1056,Recipes!$A$5:$A$204,0)),0)</f>
        <v>0</v>
      </c>
      <c r="Y1056" s="45">
        <f>IF(OR(J1056="",X1056=0),"",J1056*X1056)</f>
        <v>0</v>
      </c>
      <c r="Z1056" s="17">
        <f>IF(D1056="","",B1056&amp;"#"&amp;COUNTIFS($B$5:B1056,B1056))</f>
        <v>0</v>
      </c>
      <c r="AA1056" s="17">
        <f>IF(D1056="","",B1056&amp;"|"&amp;D1056)</f>
        <v>0</v>
      </c>
      <c r="AB1056" s="31">
        <f>IF(D1056="","",IF(B1056="","Add - which recipe?",IF(COUNTIFS(Ingredients!$B$5:$B$304,D1056)=0,"Missing - not in the Ingredients tab",IF(E1056="","Add - no quantity",IF(F1056="","Add - no unit",IF(K1056&lt;&gt;L1056,"Check - recipe in "&amp;K1056&amp;", priced in "&amp;L1056,IF(COUNTIFS($AA$5:$AA$1204,AA1056)&gt;1,"Duplicate - same ingredient twice","OK")))))))</f>
        <v>0</v>
      </c>
    </row>
    <row r="1057" spans="1:28">
      <c r="A1057" s="39">
        <f>IF(D1057="","","RL-"&amp;TEXT(ROW()-4,"0000"))</f>
        <v>0</v>
      </c>
      <c r="C1057" s="17">
        <f>IF(B1057="","",IFERROR(INDEX(Recipes!$B$5:$B$204,MATCH(B1057,Recipes!$A$5:$A$204,0)),"Not found"))</f>
        <v>0</v>
      </c>
      <c r="J1057" s="45">
        <f>IF(E1057="","",IFERROR(E1057*INDEX(UnitFactors,MATCH(F1057,UnitNames,0)),""))</f>
        <v>0</v>
      </c>
      <c r="K1057" s="17">
        <f>IF(F1057="","",IFERROR(INDEX(UnitBases,MATCH(F1057,UnitNames,0)),"?"))</f>
        <v>0</v>
      </c>
      <c r="L1057" s="17">
        <f>IF(D1057="","",IFERROR(INDEX(Ingredients!$G$5:$G$304,MATCH(D1057,Ingredients!$B$5:$B$304,0)),"Add to Ingredients"))</f>
        <v>0</v>
      </c>
      <c r="M1057" s="25">
        <f>IF(D1057="","",IFERROR(INDEX(Ingredients!$J$5:$J$304,MATCH(D1057,Ingredients!$B$5:$B$304,0)),"Add to Ingredients"))</f>
        <v>0</v>
      </c>
      <c r="N1057" s="25">
        <f>IF(OR(J1057="",M1057="",NOT(ISNUMBER(M1057))),"",IF(K1057&lt;&gt;L1057,"",J1057*M1057))</f>
        <v>0</v>
      </c>
      <c r="O1057" s="25">
        <f>IF(N1057="","",IFERROR(N1057/INDEX(Recipes!$G$5:$G$204,MATCH(B1057,Recipes!$A$5:$A$204,0)),""))</f>
        <v>0</v>
      </c>
      <c r="P1057" s="30">
        <f>IF(J1057="","",IF(K1057="each",J1057,J1057/100))</f>
        <v>0</v>
      </c>
      <c r="Q1057" s="30">
        <f>IFERROR(IF(P1057="","",P1057*INDEX(Ingredients!$P$5:$P$304,MATCH(D1057,Ingredients!$B$5:$B$304,0))),"")</f>
        <v>0</v>
      </c>
      <c r="R1057" s="45">
        <f>IFERROR(IF(P1057="","",P1057*INDEX(Ingredients!$Q$5:$Q$304,MATCH(D1057,Ingredients!$B$5:$B$304,0))),"")</f>
        <v>0</v>
      </c>
      <c r="S1057" s="45">
        <f>IFERROR(IF(P1057="","",P1057*INDEX(Ingredients!$R$5:$R$304,MATCH(D1057,Ingredients!$B$5:$B$304,0))),"")</f>
        <v>0</v>
      </c>
      <c r="T1057" s="45">
        <f>IFERROR(IF(P1057="","",P1057*INDEX(Ingredients!$S$5:$S$304,MATCH(D1057,Ingredients!$B$5:$B$304,0))),"")</f>
        <v>0</v>
      </c>
      <c r="U1057" s="45">
        <f>IFERROR(IF(P1057="","",P1057*INDEX(Ingredients!$T$5:$T$304,MATCH(D1057,Ingredients!$B$5:$B$304,0))),"")</f>
        <v>0</v>
      </c>
      <c r="V1057" s="17">
        <f>IF(D1057="","",IFERROR(INDEX(Ingredients!$W$5:$W$304,MATCH(D1057,Ingredients!$B$5:$B$304,0)),"Add to Ingredients"))</f>
        <v>0</v>
      </c>
      <c r="W1057" s="17">
        <f>IF(D1057="","",IFERROR(INDEX(Ingredients!$C$5:$C$304,MATCH(D1057,Ingredients!$B$5:$B$304,0)),"Add to Ingredients"))</f>
        <v>0</v>
      </c>
      <c r="X1057" s="45">
        <f>IFERROR(INDEX(Recipes!$AT$5:$AT$204,MATCH(B1057,Recipes!$A$5:$A$204,0)),0)</f>
        <v>0</v>
      </c>
      <c r="Y1057" s="45">
        <f>IF(OR(J1057="",X1057=0),"",J1057*X1057)</f>
        <v>0</v>
      </c>
      <c r="Z1057" s="17">
        <f>IF(D1057="","",B1057&amp;"#"&amp;COUNTIFS($B$5:B1057,B1057))</f>
        <v>0</v>
      </c>
      <c r="AA1057" s="17">
        <f>IF(D1057="","",B1057&amp;"|"&amp;D1057)</f>
        <v>0</v>
      </c>
      <c r="AB1057" s="31">
        <f>IF(D1057="","",IF(B1057="","Add - which recipe?",IF(COUNTIFS(Ingredients!$B$5:$B$304,D1057)=0,"Missing - not in the Ingredients tab",IF(E1057="","Add - no quantity",IF(F1057="","Add - no unit",IF(K1057&lt;&gt;L1057,"Check - recipe in "&amp;K1057&amp;", priced in "&amp;L1057,IF(COUNTIFS($AA$5:$AA$1204,AA1057)&gt;1,"Duplicate - same ingredient twice","OK")))))))</f>
        <v>0</v>
      </c>
    </row>
    <row r="1058" spans="1:28">
      <c r="A1058" s="39">
        <f>IF(D1058="","","RL-"&amp;TEXT(ROW()-4,"0000"))</f>
        <v>0</v>
      </c>
      <c r="C1058" s="17">
        <f>IF(B1058="","",IFERROR(INDEX(Recipes!$B$5:$B$204,MATCH(B1058,Recipes!$A$5:$A$204,0)),"Not found"))</f>
        <v>0</v>
      </c>
      <c r="J1058" s="45">
        <f>IF(E1058="","",IFERROR(E1058*INDEX(UnitFactors,MATCH(F1058,UnitNames,0)),""))</f>
        <v>0</v>
      </c>
      <c r="K1058" s="17">
        <f>IF(F1058="","",IFERROR(INDEX(UnitBases,MATCH(F1058,UnitNames,0)),"?"))</f>
        <v>0</v>
      </c>
      <c r="L1058" s="17">
        <f>IF(D1058="","",IFERROR(INDEX(Ingredients!$G$5:$G$304,MATCH(D1058,Ingredients!$B$5:$B$304,0)),"Add to Ingredients"))</f>
        <v>0</v>
      </c>
      <c r="M1058" s="25">
        <f>IF(D1058="","",IFERROR(INDEX(Ingredients!$J$5:$J$304,MATCH(D1058,Ingredients!$B$5:$B$304,0)),"Add to Ingredients"))</f>
        <v>0</v>
      </c>
      <c r="N1058" s="25">
        <f>IF(OR(J1058="",M1058="",NOT(ISNUMBER(M1058))),"",IF(K1058&lt;&gt;L1058,"",J1058*M1058))</f>
        <v>0</v>
      </c>
      <c r="O1058" s="25">
        <f>IF(N1058="","",IFERROR(N1058/INDEX(Recipes!$G$5:$G$204,MATCH(B1058,Recipes!$A$5:$A$204,0)),""))</f>
        <v>0</v>
      </c>
      <c r="P1058" s="30">
        <f>IF(J1058="","",IF(K1058="each",J1058,J1058/100))</f>
        <v>0</v>
      </c>
      <c r="Q1058" s="30">
        <f>IFERROR(IF(P1058="","",P1058*INDEX(Ingredients!$P$5:$P$304,MATCH(D1058,Ingredients!$B$5:$B$304,0))),"")</f>
        <v>0</v>
      </c>
      <c r="R1058" s="45">
        <f>IFERROR(IF(P1058="","",P1058*INDEX(Ingredients!$Q$5:$Q$304,MATCH(D1058,Ingredients!$B$5:$B$304,0))),"")</f>
        <v>0</v>
      </c>
      <c r="S1058" s="45">
        <f>IFERROR(IF(P1058="","",P1058*INDEX(Ingredients!$R$5:$R$304,MATCH(D1058,Ingredients!$B$5:$B$304,0))),"")</f>
        <v>0</v>
      </c>
      <c r="T1058" s="45">
        <f>IFERROR(IF(P1058="","",P1058*INDEX(Ingredients!$S$5:$S$304,MATCH(D1058,Ingredients!$B$5:$B$304,0))),"")</f>
        <v>0</v>
      </c>
      <c r="U1058" s="45">
        <f>IFERROR(IF(P1058="","",P1058*INDEX(Ingredients!$T$5:$T$304,MATCH(D1058,Ingredients!$B$5:$B$304,0))),"")</f>
        <v>0</v>
      </c>
      <c r="V1058" s="17">
        <f>IF(D1058="","",IFERROR(INDEX(Ingredients!$W$5:$W$304,MATCH(D1058,Ingredients!$B$5:$B$304,0)),"Add to Ingredients"))</f>
        <v>0</v>
      </c>
      <c r="W1058" s="17">
        <f>IF(D1058="","",IFERROR(INDEX(Ingredients!$C$5:$C$304,MATCH(D1058,Ingredients!$B$5:$B$304,0)),"Add to Ingredients"))</f>
        <v>0</v>
      </c>
      <c r="X1058" s="45">
        <f>IFERROR(INDEX(Recipes!$AT$5:$AT$204,MATCH(B1058,Recipes!$A$5:$A$204,0)),0)</f>
        <v>0</v>
      </c>
      <c r="Y1058" s="45">
        <f>IF(OR(J1058="",X1058=0),"",J1058*X1058)</f>
        <v>0</v>
      </c>
      <c r="Z1058" s="17">
        <f>IF(D1058="","",B1058&amp;"#"&amp;COUNTIFS($B$5:B1058,B1058))</f>
        <v>0</v>
      </c>
      <c r="AA1058" s="17">
        <f>IF(D1058="","",B1058&amp;"|"&amp;D1058)</f>
        <v>0</v>
      </c>
      <c r="AB1058" s="31">
        <f>IF(D1058="","",IF(B1058="","Add - which recipe?",IF(COUNTIFS(Ingredients!$B$5:$B$304,D1058)=0,"Missing - not in the Ingredients tab",IF(E1058="","Add - no quantity",IF(F1058="","Add - no unit",IF(K1058&lt;&gt;L1058,"Check - recipe in "&amp;K1058&amp;", priced in "&amp;L1058,IF(COUNTIFS($AA$5:$AA$1204,AA1058)&gt;1,"Duplicate - same ingredient twice","OK")))))))</f>
        <v>0</v>
      </c>
    </row>
    <row r="1059" spans="1:28">
      <c r="A1059" s="39">
        <f>IF(D1059="","","RL-"&amp;TEXT(ROW()-4,"0000"))</f>
        <v>0</v>
      </c>
      <c r="C1059" s="17">
        <f>IF(B1059="","",IFERROR(INDEX(Recipes!$B$5:$B$204,MATCH(B1059,Recipes!$A$5:$A$204,0)),"Not found"))</f>
        <v>0</v>
      </c>
      <c r="J1059" s="45">
        <f>IF(E1059="","",IFERROR(E1059*INDEX(UnitFactors,MATCH(F1059,UnitNames,0)),""))</f>
        <v>0</v>
      </c>
      <c r="K1059" s="17">
        <f>IF(F1059="","",IFERROR(INDEX(UnitBases,MATCH(F1059,UnitNames,0)),"?"))</f>
        <v>0</v>
      </c>
      <c r="L1059" s="17">
        <f>IF(D1059="","",IFERROR(INDEX(Ingredients!$G$5:$G$304,MATCH(D1059,Ingredients!$B$5:$B$304,0)),"Add to Ingredients"))</f>
        <v>0</v>
      </c>
      <c r="M1059" s="25">
        <f>IF(D1059="","",IFERROR(INDEX(Ingredients!$J$5:$J$304,MATCH(D1059,Ingredients!$B$5:$B$304,0)),"Add to Ingredients"))</f>
        <v>0</v>
      </c>
      <c r="N1059" s="25">
        <f>IF(OR(J1059="",M1059="",NOT(ISNUMBER(M1059))),"",IF(K1059&lt;&gt;L1059,"",J1059*M1059))</f>
        <v>0</v>
      </c>
      <c r="O1059" s="25">
        <f>IF(N1059="","",IFERROR(N1059/INDEX(Recipes!$G$5:$G$204,MATCH(B1059,Recipes!$A$5:$A$204,0)),""))</f>
        <v>0</v>
      </c>
      <c r="P1059" s="30">
        <f>IF(J1059="","",IF(K1059="each",J1059,J1059/100))</f>
        <v>0</v>
      </c>
      <c r="Q1059" s="30">
        <f>IFERROR(IF(P1059="","",P1059*INDEX(Ingredients!$P$5:$P$304,MATCH(D1059,Ingredients!$B$5:$B$304,0))),"")</f>
        <v>0</v>
      </c>
      <c r="R1059" s="45">
        <f>IFERROR(IF(P1059="","",P1059*INDEX(Ingredients!$Q$5:$Q$304,MATCH(D1059,Ingredients!$B$5:$B$304,0))),"")</f>
        <v>0</v>
      </c>
      <c r="S1059" s="45">
        <f>IFERROR(IF(P1059="","",P1059*INDEX(Ingredients!$R$5:$R$304,MATCH(D1059,Ingredients!$B$5:$B$304,0))),"")</f>
        <v>0</v>
      </c>
      <c r="T1059" s="45">
        <f>IFERROR(IF(P1059="","",P1059*INDEX(Ingredients!$S$5:$S$304,MATCH(D1059,Ingredients!$B$5:$B$304,0))),"")</f>
        <v>0</v>
      </c>
      <c r="U1059" s="45">
        <f>IFERROR(IF(P1059="","",P1059*INDEX(Ingredients!$T$5:$T$304,MATCH(D1059,Ingredients!$B$5:$B$304,0))),"")</f>
        <v>0</v>
      </c>
      <c r="V1059" s="17">
        <f>IF(D1059="","",IFERROR(INDEX(Ingredients!$W$5:$W$304,MATCH(D1059,Ingredients!$B$5:$B$304,0)),"Add to Ingredients"))</f>
        <v>0</v>
      </c>
      <c r="W1059" s="17">
        <f>IF(D1059="","",IFERROR(INDEX(Ingredients!$C$5:$C$304,MATCH(D1059,Ingredients!$B$5:$B$304,0)),"Add to Ingredients"))</f>
        <v>0</v>
      </c>
      <c r="X1059" s="45">
        <f>IFERROR(INDEX(Recipes!$AT$5:$AT$204,MATCH(B1059,Recipes!$A$5:$A$204,0)),0)</f>
        <v>0</v>
      </c>
      <c r="Y1059" s="45">
        <f>IF(OR(J1059="",X1059=0),"",J1059*X1059)</f>
        <v>0</v>
      </c>
      <c r="Z1059" s="17">
        <f>IF(D1059="","",B1059&amp;"#"&amp;COUNTIFS($B$5:B1059,B1059))</f>
        <v>0</v>
      </c>
      <c r="AA1059" s="17">
        <f>IF(D1059="","",B1059&amp;"|"&amp;D1059)</f>
        <v>0</v>
      </c>
      <c r="AB1059" s="31">
        <f>IF(D1059="","",IF(B1059="","Add - which recipe?",IF(COUNTIFS(Ingredients!$B$5:$B$304,D1059)=0,"Missing - not in the Ingredients tab",IF(E1059="","Add - no quantity",IF(F1059="","Add - no unit",IF(K1059&lt;&gt;L1059,"Check - recipe in "&amp;K1059&amp;", priced in "&amp;L1059,IF(COUNTIFS($AA$5:$AA$1204,AA1059)&gt;1,"Duplicate - same ingredient twice","OK")))))))</f>
        <v>0</v>
      </c>
    </row>
    <row r="1060" spans="1:28">
      <c r="A1060" s="39">
        <f>IF(D1060="","","RL-"&amp;TEXT(ROW()-4,"0000"))</f>
        <v>0</v>
      </c>
      <c r="C1060" s="17">
        <f>IF(B1060="","",IFERROR(INDEX(Recipes!$B$5:$B$204,MATCH(B1060,Recipes!$A$5:$A$204,0)),"Not found"))</f>
        <v>0</v>
      </c>
      <c r="J1060" s="45">
        <f>IF(E1060="","",IFERROR(E1060*INDEX(UnitFactors,MATCH(F1060,UnitNames,0)),""))</f>
        <v>0</v>
      </c>
      <c r="K1060" s="17">
        <f>IF(F1060="","",IFERROR(INDEX(UnitBases,MATCH(F1060,UnitNames,0)),"?"))</f>
        <v>0</v>
      </c>
      <c r="L1060" s="17">
        <f>IF(D1060="","",IFERROR(INDEX(Ingredients!$G$5:$G$304,MATCH(D1060,Ingredients!$B$5:$B$304,0)),"Add to Ingredients"))</f>
        <v>0</v>
      </c>
      <c r="M1060" s="25">
        <f>IF(D1060="","",IFERROR(INDEX(Ingredients!$J$5:$J$304,MATCH(D1060,Ingredients!$B$5:$B$304,0)),"Add to Ingredients"))</f>
        <v>0</v>
      </c>
      <c r="N1060" s="25">
        <f>IF(OR(J1060="",M1060="",NOT(ISNUMBER(M1060))),"",IF(K1060&lt;&gt;L1060,"",J1060*M1060))</f>
        <v>0</v>
      </c>
      <c r="O1060" s="25">
        <f>IF(N1060="","",IFERROR(N1060/INDEX(Recipes!$G$5:$G$204,MATCH(B1060,Recipes!$A$5:$A$204,0)),""))</f>
        <v>0</v>
      </c>
      <c r="P1060" s="30">
        <f>IF(J1060="","",IF(K1060="each",J1060,J1060/100))</f>
        <v>0</v>
      </c>
      <c r="Q1060" s="30">
        <f>IFERROR(IF(P1060="","",P1060*INDEX(Ingredients!$P$5:$P$304,MATCH(D1060,Ingredients!$B$5:$B$304,0))),"")</f>
        <v>0</v>
      </c>
      <c r="R1060" s="45">
        <f>IFERROR(IF(P1060="","",P1060*INDEX(Ingredients!$Q$5:$Q$304,MATCH(D1060,Ingredients!$B$5:$B$304,0))),"")</f>
        <v>0</v>
      </c>
      <c r="S1060" s="45">
        <f>IFERROR(IF(P1060="","",P1060*INDEX(Ingredients!$R$5:$R$304,MATCH(D1060,Ingredients!$B$5:$B$304,0))),"")</f>
        <v>0</v>
      </c>
      <c r="T1060" s="45">
        <f>IFERROR(IF(P1060="","",P1060*INDEX(Ingredients!$S$5:$S$304,MATCH(D1060,Ingredients!$B$5:$B$304,0))),"")</f>
        <v>0</v>
      </c>
      <c r="U1060" s="45">
        <f>IFERROR(IF(P1060="","",P1060*INDEX(Ingredients!$T$5:$T$304,MATCH(D1060,Ingredients!$B$5:$B$304,0))),"")</f>
        <v>0</v>
      </c>
      <c r="V1060" s="17">
        <f>IF(D1060="","",IFERROR(INDEX(Ingredients!$W$5:$W$304,MATCH(D1060,Ingredients!$B$5:$B$304,0)),"Add to Ingredients"))</f>
        <v>0</v>
      </c>
      <c r="W1060" s="17">
        <f>IF(D1060="","",IFERROR(INDEX(Ingredients!$C$5:$C$304,MATCH(D1060,Ingredients!$B$5:$B$304,0)),"Add to Ingredients"))</f>
        <v>0</v>
      </c>
      <c r="X1060" s="45">
        <f>IFERROR(INDEX(Recipes!$AT$5:$AT$204,MATCH(B1060,Recipes!$A$5:$A$204,0)),0)</f>
        <v>0</v>
      </c>
      <c r="Y1060" s="45">
        <f>IF(OR(J1060="",X1060=0),"",J1060*X1060)</f>
        <v>0</v>
      </c>
      <c r="Z1060" s="17">
        <f>IF(D1060="","",B1060&amp;"#"&amp;COUNTIFS($B$5:B1060,B1060))</f>
        <v>0</v>
      </c>
      <c r="AA1060" s="17">
        <f>IF(D1060="","",B1060&amp;"|"&amp;D1060)</f>
        <v>0</v>
      </c>
      <c r="AB1060" s="31">
        <f>IF(D1060="","",IF(B1060="","Add - which recipe?",IF(COUNTIFS(Ingredients!$B$5:$B$304,D1060)=0,"Missing - not in the Ingredients tab",IF(E1060="","Add - no quantity",IF(F1060="","Add - no unit",IF(K1060&lt;&gt;L1060,"Check - recipe in "&amp;K1060&amp;", priced in "&amp;L1060,IF(COUNTIFS($AA$5:$AA$1204,AA1060)&gt;1,"Duplicate - same ingredient twice","OK")))))))</f>
        <v>0</v>
      </c>
    </row>
    <row r="1061" spans="1:28">
      <c r="A1061" s="39">
        <f>IF(D1061="","","RL-"&amp;TEXT(ROW()-4,"0000"))</f>
        <v>0</v>
      </c>
      <c r="C1061" s="17">
        <f>IF(B1061="","",IFERROR(INDEX(Recipes!$B$5:$B$204,MATCH(B1061,Recipes!$A$5:$A$204,0)),"Not found"))</f>
        <v>0</v>
      </c>
      <c r="J1061" s="45">
        <f>IF(E1061="","",IFERROR(E1061*INDEX(UnitFactors,MATCH(F1061,UnitNames,0)),""))</f>
        <v>0</v>
      </c>
      <c r="K1061" s="17">
        <f>IF(F1061="","",IFERROR(INDEX(UnitBases,MATCH(F1061,UnitNames,0)),"?"))</f>
        <v>0</v>
      </c>
      <c r="L1061" s="17">
        <f>IF(D1061="","",IFERROR(INDEX(Ingredients!$G$5:$G$304,MATCH(D1061,Ingredients!$B$5:$B$304,0)),"Add to Ingredients"))</f>
        <v>0</v>
      </c>
      <c r="M1061" s="25">
        <f>IF(D1061="","",IFERROR(INDEX(Ingredients!$J$5:$J$304,MATCH(D1061,Ingredients!$B$5:$B$304,0)),"Add to Ingredients"))</f>
        <v>0</v>
      </c>
      <c r="N1061" s="25">
        <f>IF(OR(J1061="",M1061="",NOT(ISNUMBER(M1061))),"",IF(K1061&lt;&gt;L1061,"",J1061*M1061))</f>
        <v>0</v>
      </c>
      <c r="O1061" s="25">
        <f>IF(N1061="","",IFERROR(N1061/INDEX(Recipes!$G$5:$G$204,MATCH(B1061,Recipes!$A$5:$A$204,0)),""))</f>
        <v>0</v>
      </c>
      <c r="P1061" s="30">
        <f>IF(J1061="","",IF(K1061="each",J1061,J1061/100))</f>
        <v>0</v>
      </c>
      <c r="Q1061" s="30">
        <f>IFERROR(IF(P1061="","",P1061*INDEX(Ingredients!$P$5:$P$304,MATCH(D1061,Ingredients!$B$5:$B$304,0))),"")</f>
        <v>0</v>
      </c>
      <c r="R1061" s="45">
        <f>IFERROR(IF(P1061="","",P1061*INDEX(Ingredients!$Q$5:$Q$304,MATCH(D1061,Ingredients!$B$5:$B$304,0))),"")</f>
        <v>0</v>
      </c>
      <c r="S1061" s="45">
        <f>IFERROR(IF(P1061="","",P1061*INDEX(Ingredients!$R$5:$R$304,MATCH(D1061,Ingredients!$B$5:$B$304,0))),"")</f>
        <v>0</v>
      </c>
      <c r="T1061" s="45">
        <f>IFERROR(IF(P1061="","",P1061*INDEX(Ingredients!$S$5:$S$304,MATCH(D1061,Ingredients!$B$5:$B$304,0))),"")</f>
        <v>0</v>
      </c>
      <c r="U1061" s="45">
        <f>IFERROR(IF(P1061="","",P1061*INDEX(Ingredients!$T$5:$T$304,MATCH(D1061,Ingredients!$B$5:$B$304,0))),"")</f>
        <v>0</v>
      </c>
      <c r="V1061" s="17">
        <f>IF(D1061="","",IFERROR(INDEX(Ingredients!$W$5:$W$304,MATCH(D1061,Ingredients!$B$5:$B$304,0)),"Add to Ingredients"))</f>
        <v>0</v>
      </c>
      <c r="W1061" s="17">
        <f>IF(D1061="","",IFERROR(INDEX(Ingredients!$C$5:$C$304,MATCH(D1061,Ingredients!$B$5:$B$304,0)),"Add to Ingredients"))</f>
        <v>0</v>
      </c>
      <c r="X1061" s="45">
        <f>IFERROR(INDEX(Recipes!$AT$5:$AT$204,MATCH(B1061,Recipes!$A$5:$A$204,0)),0)</f>
        <v>0</v>
      </c>
      <c r="Y1061" s="45">
        <f>IF(OR(J1061="",X1061=0),"",J1061*X1061)</f>
        <v>0</v>
      </c>
      <c r="Z1061" s="17">
        <f>IF(D1061="","",B1061&amp;"#"&amp;COUNTIFS($B$5:B1061,B1061))</f>
        <v>0</v>
      </c>
      <c r="AA1061" s="17">
        <f>IF(D1061="","",B1061&amp;"|"&amp;D1061)</f>
        <v>0</v>
      </c>
      <c r="AB1061" s="31">
        <f>IF(D1061="","",IF(B1061="","Add - which recipe?",IF(COUNTIFS(Ingredients!$B$5:$B$304,D1061)=0,"Missing - not in the Ingredients tab",IF(E1061="","Add - no quantity",IF(F1061="","Add - no unit",IF(K1061&lt;&gt;L1061,"Check - recipe in "&amp;K1061&amp;", priced in "&amp;L1061,IF(COUNTIFS($AA$5:$AA$1204,AA1061)&gt;1,"Duplicate - same ingredient twice","OK")))))))</f>
        <v>0</v>
      </c>
    </row>
    <row r="1062" spans="1:28">
      <c r="A1062" s="39">
        <f>IF(D1062="","","RL-"&amp;TEXT(ROW()-4,"0000"))</f>
        <v>0</v>
      </c>
      <c r="C1062" s="17">
        <f>IF(B1062="","",IFERROR(INDEX(Recipes!$B$5:$B$204,MATCH(B1062,Recipes!$A$5:$A$204,0)),"Not found"))</f>
        <v>0</v>
      </c>
      <c r="J1062" s="45">
        <f>IF(E1062="","",IFERROR(E1062*INDEX(UnitFactors,MATCH(F1062,UnitNames,0)),""))</f>
        <v>0</v>
      </c>
      <c r="K1062" s="17">
        <f>IF(F1062="","",IFERROR(INDEX(UnitBases,MATCH(F1062,UnitNames,0)),"?"))</f>
        <v>0</v>
      </c>
      <c r="L1062" s="17">
        <f>IF(D1062="","",IFERROR(INDEX(Ingredients!$G$5:$G$304,MATCH(D1062,Ingredients!$B$5:$B$304,0)),"Add to Ingredients"))</f>
        <v>0</v>
      </c>
      <c r="M1062" s="25">
        <f>IF(D1062="","",IFERROR(INDEX(Ingredients!$J$5:$J$304,MATCH(D1062,Ingredients!$B$5:$B$304,0)),"Add to Ingredients"))</f>
        <v>0</v>
      </c>
      <c r="N1062" s="25">
        <f>IF(OR(J1062="",M1062="",NOT(ISNUMBER(M1062))),"",IF(K1062&lt;&gt;L1062,"",J1062*M1062))</f>
        <v>0</v>
      </c>
      <c r="O1062" s="25">
        <f>IF(N1062="","",IFERROR(N1062/INDEX(Recipes!$G$5:$G$204,MATCH(B1062,Recipes!$A$5:$A$204,0)),""))</f>
        <v>0</v>
      </c>
      <c r="P1062" s="30">
        <f>IF(J1062="","",IF(K1062="each",J1062,J1062/100))</f>
        <v>0</v>
      </c>
      <c r="Q1062" s="30">
        <f>IFERROR(IF(P1062="","",P1062*INDEX(Ingredients!$P$5:$P$304,MATCH(D1062,Ingredients!$B$5:$B$304,0))),"")</f>
        <v>0</v>
      </c>
      <c r="R1062" s="45">
        <f>IFERROR(IF(P1062="","",P1062*INDEX(Ingredients!$Q$5:$Q$304,MATCH(D1062,Ingredients!$B$5:$B$304,0))),"")</f>
        <v>0</v>
      </c>
      <c r="S1062" s="45">
        <f>IFERROR(IF(P1062="","",P1062*INDEX(Ingredients!$R$5:$R$304,MATCH(D1062,Ingredients!$B$5:$B$304,0))),"")</f>
        <v>0</v>
      </c>
      <c r="T1062" s="45">
        <f>IFERROR(IF(P1062="","",P1062*INDEX(Ingredients!$S$5:$S$304,MATCH(D1062,Ingredients!$B$5:$B$304,0))),"")</f>
        <v>0</v>
      </c>
      <c r="U1062" s="45">
        <f>IFERROR(IF(P1062="","",P1062*INDEX(Ingredients!$T$5:$T$304,MATCH(D1062,Ingredients!$B$5:$B$304,0))),"")</f>
        <v>0</v>
      </c>
      <c r="V1062" s="17">
        <f>IF(D1062="","",IFERROR(INDEX(Ingredients!$W$5:$W$304,MATCH(D1062,Ingredients!$B$5:$B$304,0)),"Add to Ingredients"))</f>
        <v>0</v>
      </c>
      <c r="W1062" s="17">
        <f>IF(D1062="","",IFERROR(INDEX(Ingredients!$C$5:$C$304,MATCH(D1062,Ingredients!$B$5:$B$304,0)),"Add to Ingredients"))</f>
        <v>0</v>
      </c>
      <c r="X1062" s="45">
        <f>IFERROR(INDEX(Recipes!$AT$5:$AT$204,MATCH(B1062,Recipes!$A$5:$A$204,0)),0)</f>
        <v>0</v>
      </c>
      <c r="Y1062" s="45">
        <f>IF(OR(J1062="",X1062=0),"",J1062*X1062)</f>
        <v>0</v>
      </c>
      <c r="Z1062" s="17">
        <f>IF(D1062="","",B1062&amp;"#"&amp;COUNTIFS($B$5:B1062,B1062))</f>
        <v>0</v>
      </c>
      <c r="AA1062" s="17">
        <f>IF(D1062="","",B1062&amp;"|"&amp;D1062)</f>
        <v>0</v>
      </c>
      <c r="AB1062" s="31">
        <f>IF(D1062="","",IF(B1062="","Add - which recipe?",IF(COUNTIFS(Ingredients!$B$5:$B$304,D1062)=0,"Missing - not in the Ingredients tab",IF(E1062="","Add - no quantity",IF(F1062="","Add - no unit",IF(K1062&lt;&gt;L1062,"Check - recipe in "&amp;K1062&amp;", priced in "&amp;L1062,IF(COUNTIFS($AA$5:$AA$1204,AA1062)&gt;1,"Duplicate - same ingredient twice","OK")))))))</f>
        <v>0</v>
      </c>
    </row>
    <row r="1063" spans="1:28">
      <c r="A1063" s="39">
        <f>IF(D1063="","","RL-"&amp;TEXT(ROW()-4,"0000"))</f>
        <v>0</v>
      </c>
      <c r="C1063" s="17">
        <f>IF(B1063="","",IFERROR(INDEX(Recipes!$B$5:$B$204,MATCH(B1063,Recipes!$A$5:$A$204,0)),"Not found"))</f>
        <v>0</v>
      </c>
      <c r="J1063" s="45">
        <f>IF(E1063="","",IFERROR(E1063*INDEX(UnitFactors,MATCH(F1063,UnitNames,0)),""))</f>
        <v>0</v>
      </c>
      <c r="K1063" s="17">
        <f>IF(F1063="","",IFERROR(INDEX(UnitBases,MATCH(F1063,UnitNames,0)),"?"))</f>
        <v>0</v>
      </c>
      <c r="L1063" s="17">
        <f>IF(D1063="","",IFERROR(INDEX(Ingredients!$G$5:$G$304,MATCH(D1063,Ingredients!$B$5:$B$304,0)),"Add to Ingredients"))</f>
        <v>0</v>
      </c>
      <c r="M1063" s="25">
        <f>IF(D1063="","",IFERROR(INDEX(Ingredients!$J$5:$J$304,MATCH(D1063,Ingredients!$B$5:$B$304,0)),"Add to Ingredients"))</f>
        <v>0</v>
      </c>
      <c r="N1063" s="25">
        <f>IF(OR(J1063="",M1063="",NOT(ISNUMBER(M1063))),"",IF(K1063&lt;&gt;L1063,"",J1063*M1063))</f>
        <v>0</v>
      </c>
      <c r="O1063" s="25">
        <f>IF(N1063="","",IFERROR(N1063/INDEX(Recipes!$G$5:$G$204,MATCH(B1063,Recipes!$A$5:$A$204,0)),""))</f>
        <v>0</v>
      </c>
      <c r="P1063" s="30">
        <f>IF(J1063="","",IF(K1063="each",J1063,J1063/100))</f>
        <v>0</v>
      </c>
      <c r="Q1063" s="30">
        <f>IFERROR(IF(P1063="","",P1063*INDEX(Ingredients!$P$5:$P$304,MATCH(D1063,Ingredients!$B$5:$B$304,0))),"")</f>
        <v>0</v>
      </c>
      <c r="R1063" s="45">
        <f>IFERROR(IF(P1063="","",P1063*INDEX(Ingredients!$Q$5:$Q$304,MATCH(D1063,Ingredients!$B$5:$B$304,0))),"")</f>
        <v>0</v>
      </c>
      <c r="S1063" s="45">
        <f>IFERROR(IF(P1063="","",P1063*INDEX(Ingredients!$R$5:$R$304,MATCH(D1063,Ingredients!$B$5:$B$304,0))),"")</f>
        <v>0</v>
      </c>
      <c r="T1063" s="45">
        <f>IFERROR(IF(P1063="","",P1063*INDEX(Ingredients!$S$5:$S$304,MATCH(D1063,Ingredients!$B$5:$B$304,0))),"")</f>
        <v>0</v>
      </c>
      <c r="U1063" s="45">
        <f>IFERROR(IF(P1063="","",P1063*INDEX(Ingredients!$T$5:$T$304,MATCH(D1063,Ingredients!$B$5:$B$304,0))),"")</f>
        <v>0</v>
      </c>
      <c r="V1063" s="17">
        <f>IF(D1063="","",IFERROR(INDEX(Ingredients!$W$5:$W$304,MATCH(D1063,Ingredients!$B$5:$B$304,0)),"Add to Ingredients"))</f>
        <v>0</v>
      </c>
      <c r="W1063" s="17">
        <f>IF(D1063="","",IFERROR(INDEX(Ingredients!$C$5:$C$304,MATCH(D1063,Ingredients!$B$5:$B$304,0)),"Add to Ingredients"))</f>
        <v>0</v>
      </c>
      <c r="X1063" s="45">
        <f>IFERROR(INDEX(Recipes!$AT$5:$AT$204,MATCH(B1063,Recipes!$A$5:$A$204,0)),0)</f>
        <v>0</v>
      </c>
      <c r="Y1063" s="45">
        <f>IF(OR(J1063="",X1063=0),"",J1063*X1063)</f>
        <v>0</v>
      </c>
      <c r="Z1063" s="17">
        <f>IF(D1063="","",B1063&amp;"#"&amp;COUNTIFS($B$5:B1063,B1063))</f>
        <v>0</v>
      </c>
      <c r="AA1063" s="17">
        <f>IF(D1063="","",B1063&amp;"|"&amp;D1063)</f>
        <v>0</v>
      </c>
      <c r="AB1063" s="31">
        <f>IF(D1063="","",IF(B1063="","Add - which recipe?",IF(COUNTIFS(Ingredients!$B$5:$B$304,D1063)=0,"Missing - not in the Ingredients tab",IF(E1063="","Add - no quantity",IF(F1063="","Add - no unit",IF(K1063&lt;&gt;L1063,"Check - recipe in "&amp;K1063&amp;", priced in "&amp;L1063,IF(COUNTIFS($AA$5:$AA$1204,AA1063)&gt;1,"Duplicate - same ingredient twice","OK")))))))</f>
        <v>0</v>
      </c>
    </row>
    <row r="1064" spans="1:28">
      <c r="A1064" s="39">
        <f>IF(D1064="","","RL-"&amp;TEXT(ROW()-4,"0000"))</f>
        <v>0</v>
      </c>
      <c r="C1064" s="17">
        <f>IF(B1064="","",IFERROR(INDEX(Recipes!$B$5:$B$204,MATCH(B1064,Recipes!$A$5:$A$204,0)),"Not found"))</f>
        <v>0</v>
      </c>
      <c r="J1064" s="45">
        <f>IF(E1064="","",IFERROR(E1064*INDEX(UnitFactors,MATCH(F1064,UnitNames,0)),""))</f>
        <v>0</v>
      </c>
      <c r="K1064" s="17">
        <f>IF(F1064="","",IFERROR(INDEX(UnitBases,MATCH(F1064,UnitNames,0)),"?"))</f>
        <v>0</v>
      </c>
      <c r="L1064" s="17">
        <f>IF(D1064="","",IFERROR(INDEX(Ingredients!$G$5:$G$304,MATCH(D1064,Ingredients!$B$5:$B$304,0)),"Add to Ingredients"))</f>
        <v>0</v>
      </c>
      <c r="M1064" s="25">
        <f>IF(D1064="","",IFERROR(INDEX(Ingredients!$J$5:$J$304,MATCH(D1064,Ingredients!$B$5:$B$304,0)),"Add to Ingredients"))</f>
        <v>0</v>
      </c>
      <c r="N1064" s="25">
        <f>IF(OR(J1064="",M1064="",NOT(ISNUMBER(M1064))),"",IF(K1064&lt;&gt;L1064,"",J1064*M1064))</f>
        <v>0</v>
      </c>
      <c r="O1064" s="25">
        <f>IF(N1064="","",IFERROR(N1064/INDEX(Recipes!$G$5:$G$204,MATCH(B1064,Recipes!$A$5:$A$204,0)),""))</f>
        <v>0</v>
      </c>
      <c r="P1064" s="30">
        <f>IF(J1064="","",IF(K1064="each",J1064,J1064/100))</f>
        <v>0</v>
      </c>
      <c r="Q1064" s="30">
        <f>IFERROR(IF(P1064="","",P1064*INDEX(Ingredients!$P$5:$P$304,MATCH(D1064,Ingredients!$B$5:$B$304,0))),"")</f>
        <v>0</v>
      </c>
      <c r="R1064" s="45">
        <f>IFERROR(IF(P1064="","",P1064*INDEX(Ingredients!$Q$5:$Q$304,MATCH(D1064,Ingredients!$B$5:$B$304,0))),"")</f>
        <v>0</v>
      </c>
      <c r="S1064" s="45">
        <f>IFERROR(IF(P1064="","",P1064*INDEX(Ingredients!$R$5:$R$304,MATCH(D1064,Ingredients!$B$5:$B$304,0))),"")</f>
        <v>0</v>
      </c>
      <c r="T1064" s="45">
        <f>IFERROR(IF(P1064="","",P1064*INDEX(Ingredients!$S$5:$S$304,MATCH(D1064,Ingredients!$B$5:$B$304,0))),"")</f>
        <v>0</v>
      </c>
      <c r="U1064" s="45">
        <f>IFERROR(IF(P1064="","",P1064*INDEX(Ingredients!$T$5:$T$304,MATCH(D1064,Ingredients!$B$5:$B$304,0))),"")</f>
        <v>0</v>
      </c>
      <c r="V1064" s="17">
        <f>IF(D1064="","",IFERROR(INDEX(Ingredients!$W$5:$W$304,MATCH(D1064,Ingredients!$B$5:$B$304,0)),"Add to Ingredients"))</f>
        <v>0</v>
      </c>
      <c r="W1064" s="17">
        <f>IF(D1064="","",IFERROR(INDEX(Ingredients!$C$5:$C$304,MATCH(D1064,Ingredients!$B$5:$B$304,0)),"Add to Ingredients"))</f>
        <v>0</v>
      </c>
      <c r="X1064" s="45">
        <f>IFERROR(INDEX(Recipes!$AT$5:$AT$204,MATCH(B1064,Recipes!$A$5:$A$204,0)),0)</f>
        <v>0</v>
      </c>
      <c r="Y1064" s="45">
        <f>IF(OR(J1064="",X1064=0),"",J1064*X1064)</f>
        <v>0</v>
      </c>
      <c r="Z1064" s="17">
        <f>IF(D1064="","",B1064&amp;"#"&amp;COUNTIFS($B$5:B1064,B1064))</f>
        <v>0</v>
      </c>
      <c r="AA1064" s="17">
        <f>IF(D1064="","",B1064&amp;"|"&amp;D1064)</f>
        <v>0</v>
      </c>
      <c r="AB1064" s="31">
        <f>IF(D1064="","",IF(B1064="","Add - which recipe?",IF(COUNTIFS(Ingredients!$B$5:$B$304,D1064)=0,"Missing - not in the Ingredients tab",IF(E1064="","Add - no quantity",IF(F1064="","Add - no unit",IF(K1064&lt;&gt;L1064,"Check - recipe in "&amp;K1064&amp;", priced in "&amp;L1064,IF(COUNTIFS($AA$5:$AA$1204,AA1064)&gt;1,"Duplicate - same ingredient twice","OK")))))))</f>
        <v>0</v>
      </c>
    </row>
    <row r="1065" spans="1:28">
      <c r="A1065" s="39">
        <f>IF(D1065="","","RL-"&amp;TEXT(ROW()-4,"0000"))</f>
        <v>0</v>
      </c>
      <c r="C1065" s="17">
        <f>IF(B1065="","",IFERROR(INDEX(Recipes!$B$5:$B$204,MATCH(B1065,Recipes!$A$5:$A$204,0)),"Not found"))</f>
        <v>0</v>
      </c>
      <c r="J1065" s="45">
        <f>IF(E1065="","",IFERROR(E1065*INDEX(UnitFactors,MATCH(F1065,UnitNames,0)),""))</f>
        <v>0</v>
      </c>
      <c r="K1065" s="17">
        <f>IF(F1065="","",IFERROR(INDEX(UnitBases,MATCH(F1065,UnitNames,0)),"?"))</f>
        <v>0</v>
      </c>
      <c r="L1065" s="17">
        <f>IF(D1065="","",IFERROR(INDEX(Ingredients!$G$5:$G$304,MATCH(D1065,Ingredients!$B$5:$B$304,0)),"Add to Ingredients"))</f>
        <v>0</v>
      </c>
      <c r="M1065" s="25">
        <f>IF(D1065="","",IFERROR(INDEX(Ingredients!$J$5:$J$304,MATCH(D1065,Ingredients!$B$5:$B$304,0)),"Add to Ingredients"))</f>
        <v>0</v>
      </c>
      <c r="N1065" s="25">
        <f>IF(OR(J1065="",M1065="",NOT(ISNUMBER(M1065))),"",IF(K1065&lt;&gt;L1065,"",J1065*M1065))</f>
        <v>0</v>
      </c>
      <c r="O1065" s="25">
        <f>IF(N1065="","",IFERROR(N1065/INDEX(Recipes!$G$5:$G$204,MATCH(B1065,Recipes!$A$5:$A$204,0)),""))</f>
        <v>0</v>
      </c>
      <c r="P1065" s="30">
        <f>IF(J1065="","",IF(K1065="each",J1065,J1065/100))</f>
        <v>0</v>
      </c>
      <c r="Q1065" s="30">
        <f>IFERROR(IF(P1065="","",P1065*INDEX(Ingredients!$P$5:$P$304,MATCH(D1065,Ingredients!$B$5:$B$304,0))),"")</f>
        <v>0</v>
      </c>
      <c r="R1065" s="45">
        <f>IFERROR(IF(P1065="","",P1065*INDEX(Ingredients!$Q$5:$Q$304,MATCH(D1065,Ingredients!$B$5:$B$304,0))),"")</f>
        <v>0</v>
      </c>
      <c r="S1065" s="45">
        <f>IFERROR(IF(P1065="","",P1065*INDEX(Ingredients!$R$5:$R$304,MATCH(D1065,Ingredients!$B$5:$B$304,0))),"")</f>
        <v>0</v>
      </c>
      <c r="T1065" s="45">
        <f>IFERROR(IF(P1065="","",P1065*INDEX(Ingredients!$S$5:$S$304,MATCH(D1065,Ingredients!$B$5:$B$304,0))),"")</f>
        <v>0</v>
      </c>
      <c r="U1065" s="45">
        <f>IFERROR(IF(P1065="","",P1065*INDEX(Ingredients!$T$5:$T$304,MATCH(D1065,Ingredients!$B$5:$B$304,0))),"")</f>
        <v>0</v>
      </c>
      <c r="V1065" s="17">
        <f>IF(D1065="","",IFERROR(INDEX(Ingredients!$W$5:$W$304,MATCH(D1065,Ingredients!$B$5:$B$304,0)),"Add to Ingredients"))</f>
        <v>0</v>
      </c>
      <c r="W1065" s="17">
        <f>IF(D1065="","",IFERROR(INDEX(Ingredients!$C$5:$C$304,MATCH(D1065,Ingredients!$B$5:$B$304,0)),"Add to Ingredients"))</f>
        <v>0</v>
      </c>
      <c r="X1065" s="45">
        <f>IFERROR(INDEX(Recipes!$AT$5:$AT$204,MATCH(B1065,Recipes!$A$5:$A$204,0)),0)</f>
        <v>0</v>
      </c>
      <c r="Y1065" s="45">
        <f>IF(OR(J1065="",X1065=0),"",J1065*X1065)</f>
        <v>0</v>
      </c>
      <c r="Z1065" s="17">
        <f>IF(D1065="","",B1065&amp;"#"&amp;COUNTIFS($B$5:B1065,B1065))</f>
        <v>0</v>
      </c>
      <c r="AA1065" s="17">
        <f>IF(D1065="","",B1065&amp;"|"&amp;D1065)</f>
        <v>0</v>
      </c>
      <c r="AB1065" s="31">
        <f>IF(D1065="","",IF(B1065="","Add - which recipe?",IF(COUNTIFS(Ingredients!$B$5:$B$304,D1065)=0,"Missing - not in the Ingredients tab",IF(E1065="","Add - no quantity",IF(F1065="","Add - no unit",IF(K1065&lt;&gt;L1065,"Check - recipe in "&amp;K1065&amp;", priced in "&amp;L1065,IF(COUNTIFS($AA$5:$AA$1204,AA1065)&gt;1,"Duplicate - same ingredient twice","OK")))))))</f>
        <v>0</v>
      </c>
    </row>
    <row r="1066" spans="1:28">
      <c r="A1066" s="39">
        <f>IF(D1066="","","RL-"&amp;TEXT(ROW()-4,"0000"))</f>
        <v>0</v>
      </c>
      <c r="C1066" s="17">
        <f>IF(B1066="","",IFERROR(INDEX(Recipes!$B$5:$B$204,MATCH(B1066,Recipes!$A$5:$A$204,0)),"Not found"))</f>
        <v>0</v>
      </c>
      <c r="J1066" s="45">
        <f>IF(E1066="","",IFERROR(E1066*INDEX(UnitFactors,MATCH(F1066,UnitNames,0)),""))</f>
        <v>0</v>
      </c>
      <c r="K1066" s="17">
        <f>IF(F1066="","",IFERROR(INDEX(UnitBases,MATCH(F1066,UnitNames,0)),"?"))</f>
        <v>0</v>
      </c>
      <c r="L1066" s="17">
        <f>IF(D1066="","",IFERROR(INDEX(Ingredients!$G$5:$G$304,MATCH(D1066,Ingredients!$B$5:$B$304,0)),"Add to Ingredients"))</f>
        <v>0</v>
      </c>
      <c r="M1066" s="25">
        <f>IF(D1066="","",IFERROR(INDEX(Ingredients!$J$5:$J$304,MATCH(D1066,Ingredients!$B$5:$B$304,0)),"Add to Ingredients"))</f>
        <v>0</v>
      </c>
      <c r="N1066" s="25">
        <f>IF(OR(J1066="",M1066="",NOT(ISNUMBER(M1066))),"",IF(K1066&lt;&gt;L1066,"",J1066*M1066))</f>
        <v>0</v>
      </c>
      <c r="O1066" s="25">
        <f>IF(N1066="","",IFERROR(N1066/INDEX(Recipes!$G$5:$G$204,MATCH(B1066,Recipes!$A$5:$A$204,0)),""))</f>
        <v>0</v>
      </c>
      <c r="P1066" s="30">
        <f>IF(J1066="","",IF(K1066="each",J1066,J1066/100))</f>
        <v>0</v>
      </c>
      <c r="Q1066" s="30">
        <f>IFERROR(IF(P1066="","",P1066*INDEX(Ingredients!$P$5:$P$304,MATCH(D1066,Ingredients!$B$5:$B$304,0))),"")</f>
        <v>0</v>
      </c>
      <c r="R1066" s="45">
        <f>IFERROR(IF(P1066="","",P1066*INDEX(Ingredients!$Q$5:$Q$304,MATCH(D1066,Ingredients!$B$5:$B$304,0))),"")</f>
        <v>0</v>
      </c>
      <c r="S1066" s="45">
        <f>IFERROR(IF(P1066="","",P1066*INDEX(Ingredients!$R$5:$R$304,MATCH(D1066,Ingredients!$B$5:$B$304,0))),"")</f>
        <v>0</v>
      </c>
      <c r="T1066" s="45">
        <f>IFERROR(IF(P1066="","",P1066*INDEX(Ingredients!$S$5:$S$304,MATCH(D1066,Ingredients!$B$5:$B$304,0))),"")</f>
        <v>0</v>
      </c>
      <c r="U1066" s="45">
        <f>IFERROR(IF(P1066="","",P1066*INDEX(Ingredients!$T$5:$T$304,MATCH(D1066,Ingredients!$B$5:$B$304,0))),"")</f>
        <v>0</v>
      </c>
      <c r="V1066" s="17">
        <f>IF(D1066="","",IFERROR(INDEX(Ingredients!$W$5:$W$304,MATCH(D1066,Ingredients!$B$5:$B$304,0)),"Add to Ingredients"))</f>
        <v>0</v>
      </c>
      <c r="W1066" s="17">
        <f>IF(D1066="","",IFERROR(INDEX(Ingredients!$C$5:$C$304,MATCH(D1066,Ingredients!$B$5:$B$304,0)),"Add to Ingredients"))</f>
        <v>0</v>
      </c>
      <c r="X1066" s="45">
        <f>IFERROR(INDEX(Recipes!$AT$5:$AT$204,MATCH(B1066,Recipes!$A$5:$A$204,0)),0)</f>
        <v>0</v>
      </c>
      <c r="Y1066" s="45">
        <f>IF(OR(J1066="",X1066=0),"",J1066*X1066)</f>
        <v>0</v>
      </c>
      <c r="Z1066" s="17">
        <f>IF(D1066="","",B1066&amp;"#"&amp;COUNTIFS($B$5:B1066,B1066))</f>
        <v>0</v>
      </c>
      <c r="AA1066" s="17">
        <f>IF(D1066="","",B1066&amp;"|"&amp;D1066)</f>
        <v>0</v>
      </c>
      <c r="AB1066" s="31">
        <f>IF(D1066="","",IF(B1066="","Add - which recipe?",IF(COUNTIFS(Ingredients!$B$5:$B$304,D1066)=0,"Missing - not in the Ingredients tab",IF(E1066="","Add - no quantity",IF(F1066="","Add - no unit",IF(K1066&lt;&gt;L1066,"Check - recipe in "&amp;K1066&amp;", priced in "&amp;L1066,IF(COUNTIFS($AA$5:$AA$1204,AA1066)&gt;1,"Duplicate - same ingredient twice","OK")))))))</f>
        <v>0</v>
      </c>
    </row>
    <row r="1067" spans="1:28">
      <c r="A1067" s="39">
        <f>IF(D1067="","","RL-"&amp;TEXT(ROW()-4,"0000"))</f>
        <v>0</v>
      </c>
      <c r="C1067" s="17">
        <f>IF(B1067="","",IFERROR(INDEX(Recipes!$B$5:$B$204,MATCH(B1067,Recipes!$A$5:$A$204,0)),"Not found"))</f>
        <v>0</v>
      </c>
      <c r="J1067" s="45">
        <f>IF(E1067="","",IFERROR(E1067*INDEX(UnitFactors,MATCH(F1067,UnitNames,0)),""))</f>
        <v>0</v>
      </c>
      <c r="K1067" s="17">
        <f>IF(F1067="","",IFERROR(INDEX(UnitBases,MATCH(F1067,UnitNames,0)),"?"))</f>
        <v>0</v>
      </c>
      <c r="L1067" s="17">
        <f>IF(D1067="","",IFERROR(INDEX(Ingredients!$G$5:$G$304,MATCH(D1067,Ingredients!$B$5:$B$304,0)),"Add to Ingredients"))</f>
        <v>0</v>
      </c>
      <c r="M1067" s="25">
        <f>IF(D1067="","",IFERROR(INDEX(Ingredients!$J$5:$J$304,MATCH(D1067,Ingredients!$B$5:$B$304,0)),"Add to Ingredients"))</f>
        <v>0</v>
      </c>
      <c r="N1067" s="25">
        <f>IF(OR(J1067="",M1067="",NOT(ISNUMBER(M1067))),"",IF(K1067&lt;&gt;L1067,"",J1067*M1067))</f>
        <v>0</v>
      </c>
      <c r="O1067" s="25">
        <f>IF(N1067="","",IFERROR(N1067/INDEX(Recipes!$G$5:$G$204,MATCH(B1067,Recipes!$A$5:$A$204,0)),""))</f>
        <v>0</v>
      </c>
      <c r="P1067" s="30">
        <f>IF(J1067="","",IF(K1067="each",J1067,J1067/100))</f>
        <v>0</v>
      </c>
      <c r="Q1067" s="30">
        <f>IFERROR(IF(P1067="","",P1067*INDEX(Ingredients!$P$5:$P$304,MATCH(D1067,Ingredients!$B$5:$B$304,0))),"")</f>
        <v>0</v>
      </c>
      <c r="R1067" s="45">
        <f>IFERROR(IF(P1067="","",P1067*INDEX(Ingredients!$Q$5:$Q$304,MATCH(D1067,Ingredients!$B$5:$B$304,0))),"")</f>
        <v>0</v>
      </c>
      <c r="S1067" s="45">
        <f>IFERROR(IF(P1067="","",P1067*INDEX(Ingredients!$R$5:$R$304,MATCH(D1067,Ingredients!$B$5:$B$304,0))),"")</f>
        <v>0</v>
      </c>
      <c r="T1067" s="45">
        <f>IFERROR(IF(P1067="","",P1067*INDEX(Ingredients!$S$5:$S$304,MATCH(D1067,Ingredients!$B$5:$B$304,0))),"")</f>
        <v>0</v>
      </c>
      <c r="U1067" s="45">
        <f>IFERROR(IF(P1067="","",P1067*INDEX(Ingredients!$T$5:$T$304,MATCH(D1067,Ingredients!$B$5:$B$304,0))),"")</f>
        <v>0</v>
      </c>
      <c r="V1067" s="17">
        <f>IF(D1067="","",IFERROR(INDEX(Ingredients!$W$5:$W$304,MATCH(D1067,Ingredients!$B$5:$B$304,0)),"Add to Ingredients"))</f>
        <v>0</v>
      </c>
      <c r="W1067" s="17">
        <f>IF(D1067="","",IFERROR(INDEX(Ingredients!$C$5:$C$304,MATCH(D1067,Ingredients!$B$5:$B$304,0)),"Add to Ingredients"))</f>
        <v>0</v>
      </c>
      <c r="X1067" s="45">
        <f>IFERROR(INDEX(Recipes!$AT$5:$AT$204,MATCH(B1067,Recipes!$A$5:$A$204,0)),0)</f>
        <v>0</v>
      </c>
      <c r="Y1067" s="45">
        <f>IF(OR(J1067="",X1067=0),"",J1067*X1067)</f>
        <v>0</v>
      </c>
      <c r="Z1067" s="17">
        <f>IF(D1067="","",B1067&amp;"#"&amp;COUNTIFS($B$5:B1067,B1067))</f>
        <v>0</v>
      </c>
      <c r="AA1067" s="17">
        <f>IF(D1067="","",B1067&amp;"|"&amp;D1067)</f>
        <v>0</v>
      </c>
      <c r="AB1067" s="31">
        <f>IF(D1067="","",IF(B1067="","Add - which recipe?",IF(COUNTIFS(Ingredients!$B$5:$B$304,D1067)=0,"Missing - not in the Ingredients tab",IF(E1067="","Add - no quantity",IF(F1067="","Add - no unit",IF(K1067&lt;&gt;L1067,"Check - recipe in "&amp;K1067&amp;", priced in "&amp;L1067,IF(COUNTIFS($AA$5:$AA$1204,AA1067)&gt;1,"Duplicate - same ingredient twice","OK")))))))</f>
        <v>0</v>
      </c>
    </row>
    <row r="1068" spans="1:28">
      <c r="A1068" s="39">
        <f>IF(D1068="","","RL-"&amp;TEXT(ROW()-4,"0000"))</f>
        <v>0</v>
      </c>
      <c r="C1068" s="17">
        <f>IF(B1068="","",IFERROR(INDEX(Recipes!$B$5:$B$204,MATCH(B1068,Recipes!$A$5:$A$204,0)),"Not found"))</f>
        <v>0</v>
      </c>
      <c r="J1068" s="45">
        <f>IF(E1068="","",IFERROR(E1068*INDEX(UnitFactors,MATCH(F1068,UnitNames,0)),""))</f>
        <v>0</v>
      </c>
      <c r="K1068" s="17">
        <f>IF(F1068="","",IFERROR(INDEX(UnitBases,MATCH(F1068,UnitNames,0)),"?"))</f>
        <v>0</v>
      </c>
      <c r="L1068" s="17">
        <f>IF(D1068="","",IFERROR(INDEX(Ingredients!$G$5:$G$304,MATCH(D1068,Ingredients!$B$5:$B$304,0)),"Add to Ingredients"))</f>
        <v>0</v>
      </c>
      <c r="M1068" s="25">
        <f>IF(D1068="","",IFERROR(INDEX(Ingredients!$J$5:$J$304,MATCH(D1068,Ingredients!$B$5:$B$304,0)),"Add to Ingredients"))</f>
        <v>0</v>
      </c>
      <c r="N1068" s="25">
        <f>IF(OR(J1068="",M1068="",NOT(ISNUMBER(M1068))),"",IF(K1068&lt;&gt;L1068,"",J1068*M1068))</f>
        <v>0</v>
      </c>
      <c r="O1068" s="25">
        <f>IF(N1068="","",IFERROR(N1068/INDEX(Recipes!$G$5:$G$204,MATCH(B1068,Recipes!$A$5:$A$204,0)),""))</f>
        <v>0</v>
      </c>
      <c r="P1068" s="30">
        <f>IF(J1068="","",IF(K1068="each",J1068,J1068/100))</f>
        <v>0</v>
      </c>
      <c r="Q1068" s="30">
        <f>IFERROR(IF(P1068="","",P1068*INDEX(Ingredients!$P$5:$P$304,MATCH(D1068,Ingredients!$B$5:$B$304,0))),"")</f>
        <v>0</v>
      </c>
      <c r="R1068" s="45">
        <f>IFERROR(IF(P1068="","",P1068*INDEX(Ingredients!$Q$5:$Q$304,MATCH(D1068,Ingredients!$B$5:$B$304,0))),"")</f>
        <v>0</v>
      </c>
      <c r="S1068" s="45">
        <f>IFERROR(IF(P1068="","",P1068*INDEX(Ingredients!$R$5:$R$304,MATCH(D1068,Ingredients!$B$5:$B$304,0))),"")</f>
        <v>0</v>
      </c>
      <c r="T1068" s="45">
        <f>IFERROR(IF(P1068="","",P1068*INDEX(Ingredients!$S$5:$S$304,MATCH(D1068,Ingredients!$B$5:$B$304,0))),"")</f>
        <v>0</v>
      </c>
      <c r="U1068" s="45">
        <f>IFERROR(IF(P1068="","",P1068*INDEX(Ingredients!$T$5:$T$304,MATCH(D1068,Ingredients!$B$5:$B$304,0))),"")</f>
        <v>0</v>
      </c>
      <c r="V1068" s="17">
        <f>IF(D1068="","",IFERROR(INDEX(Ingredients!$W$5:$W$304,MATCH(D1068,Ingredients!$B$5:$B$304,0)),"Add to Ingredients"))</f>
        <v>0</v>
      </c>
      <c r="W1068" s="17">
        <f>IF(D1068="","",IFERROR(INDEX(Ingredients!$C$5:$C$304,MATCH(D1068,Ingredients!$B$5:$B$304,0)),"Add to Ingredients"))</f>
        <v>0</v>
      </c>
      <c r="X1068" s="45">
        <f>IFERROR(INDEX(Recipes!$AT$5:$AT$204,MATCH(B1068,Recipes!$A$5:$A$204,0)),0)</f>
        <v>0</v>
      </c>
      <c r="Y1068" s="45">
        <f>IF(OR(J1068="",X1068=0),"",J1068*X1068)</f>
        <v>0</v>
      </c>
      <c r="Z1068" s="17">
        <f>IF(D1068="","",B1068&amp;"#"&amp;COUNTIFS($B$5:B1068,B1068))</f>
        <v>0</v>
      </c>
      <c r="AA1068" s="17">
        <f>IF(D1068="","",B1068&amp;"|"&amp;D1068)</f>
        <v>0</v>
      </c>
      <c r="AB1068" s="31">
        <f>IF(D1068="","",IF(B1068="","Add - which recipe?",IF(COUNTIFS(Ingredients!$B$5:$B$304,D1068)=0,"Missing - not in the Ingredients tab",IF(E1068="","Add - no quantity",IF(F1068="","Add - no unit",IF(K1068&lt;&gt;L1068,"Check - recipe in "&amp;K1068&amp;", priced in "&amp;L1068,IF(COUNTIFS($AA$5:$AA$1204,AA1068)&gt;1,"Duplicate - same ingredient twice","OK")))))))</f>
        <v>0</v>
      </c>
    </row>
    <row r="1069" spans="1:28">
      <c r="A1069" s="39">
        <f>IF(D1069="","","RL-"&amp;TEXT(ROW()-4,"0000"))</f>
        <v>0</v>
      </c>
      <c r="C1069" s="17">
        <f>IF(B1069="","",IFERROR(INDEX(Recipes!$B$5:$B$204,MATCH(B1069,Recipes!$A$5:$A$204,0)),"Not found"))</f>
        <v>0</v>
      </c>
      <c r="J1069" s="45">
        <f>IF(E1069="","",IFERROR(E1069*INDEX(UnitFactors,MATCH(F1069,UnitNames,0)),""))</f>
        <v>0</v>
      </c>
      <c r="K1069" s="17">
        <f>IF(F1069="","",IFERROR(INDEX(UnitBases,MATCH(F1069,UnitNames,0)),"?"))</f>
        <v>0</v>
      </c>
      <c r="L1069" s="17">
        <f>IF(D1069="","",IFERROR(INDEX(Ingredients!$G$5:$G$304,MATCH(D1069,Ingredients!$B$5:$B$304,0)),"Add to Ingredients"))</f>
        <v>0</v>
      </c>
      <c r="M1069" s="25">
        <f>IF(D1069="","",IFERROR(INDEX(Ingredients!$J$5:$J$304,MATCH(D1069,Ingredients!$B$5:$B$304,0)),"Add to Ingredients"))</f>
        <v>0</v>
      </c>
      <c r="N1069" s="25">
        <f>IF(OR(J1069="",M1069="",NOT(ISNUMBER(M1069))),"",IF(K1069&lt;&gt;L1069,"",J1069*M1069))</f>
        <v>0</v>
      </c>
      <c r="O1069" s="25">
        <f>IF(N1069="","",IFERROR(N1069/INDEX(Recipes!$G$5:$G$204,MATCH(B1069,Recipes!$A$5:$A$204,0)),""))</f>
        <v>0</v>
      </c>
      <c r="P1069" s="30">
        <f>IF(J1069="","",IF(K1069="each",J1069,J1069/100))</f>
        <v>0</v>
      </c>
      <c r="Q1069" s="30">
        <f>IFERROR(IF(P1069="","",P1069*INDEX(Ingredients!$P$5:$P$304,MATCH(D1069,Ingredients!$B$5:$B$304,0))),"")</f>
        <v>0</v>
      </c>
      <c r="R1069" s="45">
        <f>IFERROR(IF(P1069="","",P1069*INDEX(Ingredients!$Q$5:$Q$304,MATCH(D1069,Ingredients!$B$5:$B$304,0))),"")</f>
        <v>0</v>
      </c>
      <c r="S1069" s="45">
        <f>IFERROR(IF(P1069="","",P1069*INDEX(Ingredients!$R$5:$R$304,MATCH(D1069,Ingredients!$B$5:$B$304,0))),"")</f>
        <v>0</v>
      </c>
      <c r="T1069" s="45">
        <f>IFERROR(IF(P1069="","",P1069*INDEX(Ingredients!$S$5:$S$304,MATCH(D1069,Ingredients!$B$5:$B$304,0))),"")</f>
        <v>0</v>
      </c>
      <c r="U1069" s="45">
        <f>IFERROR(IF(P1069="","",P1069*INDEX(Ingredients!$T$5:$T$304,MATCH(D1069,Ingredients!$B$5:$B$304,0))),"")</f>
        <v>0</v>
      </c>
      <c r="V1069" s="17">
        <f>IF(D1069="","",IFERROR(INDEX(Ingredients!$W$5:$W$304,MATCH(D1069,Ingredients!$B$5:$B$304,0)),"Add to Ingredients"))</f>
        <v>0</v>
      </c>
      <c r="W1069" s="17">
        <f>IF(D1069="","",IFERROR(INDEX(Ingredients!$C$5:$C$304,MATCH(D1069,Ingredients!$B$5:$B$304,0)),"Add to Ingredients"))</f>
        <v>0</v>
      </c>
      <c r="X1069" s="45">
        <f>IFERROR(INDEX(Recipes!$AT$5:$AT$204,MATCH(B1069,Recipes!$A$5:$A$204,0)),0)</f>
        <v>0</v>
      </c>
      <c r="Y1069" s="45">
        <f>IF(OR(J1069="",X1069=0),"",J1069*X1069)</f>
        <v>0</v>
      </c>
      <c r="Z1069" s="17">
        <f>IF(D1069="","",B1069&amp;"#"&amp;COUNTIFS($B$5:B1069,B1069))</f>
        <v>0</v>
      </c>
      <c r="AA1069" s="17">
        <f>IF(D1069="","",B1069&amp;"|"&amp;D1069)</f>
        <v>0</v>
      </c>
      <c r="AB1069" s="31">
        <f>IF(D1069="","",IF(B1069="","Add - which recipe?",IF(COUNTIFS(Ingredients!$B$5:$B$304,D1069)=0,"Missing - not in the Ingredients tab",IF(E1069="","Add - no quantity",IF(F1069="","Add - no unit",IF(K1069&lt;&gt;L1069,"Check - recipe in "&amp;K1069&amp;", priced in "&amp;L1069,IF(COUNTIFS($AA$5:$AA$1204,AA1069)&gt;1,"Duplicate - same ingredient twice","OK")))))))</f>
        <v>0</v>
      </c>
    </row>
    <row r="1070" spans="1:28">
      <c r="A1070" s="39">
        <f>IF(D1070="","","RL-"&amp;TEXT(ROW()-4,"0000"))</f>
        <v>0</v>
      </c>
      <c r="C1070" s="17">
        <f>IF(B1070="","",IFERROR(INDEX(Recipes!$B$5:$B$204,MATCH(B1070,Recipes!$A$5:$A$204,0)),"Not found"))</f>
        <v>0</v>
      </c>
      <c r="J1070" s="45">
        <f>IF(E1070="","",IFERROR(E1070*INDEX(UnitFactors,MATCH(F1070,UnitNames,0)),""))</f>
        <v>0</v>
      </c>
      <c r="K1070" s="17">
        <f>IF(F1070="","",IFERROR(INDEX(UnitBases,MATCH(F1070,UnitNames,0)),"?"))</f>
        <v>0</v>
      </c>
      <c r="L1070" s="17">
        <f>IF(D1070="","",IFERROR(INDEX(Ingredients!$G$5:$G$304,MATCH(D1070,Ingredients!$B$5:$B$304,0)),"Add to Ingredients"))</f>
        <v>0</v>
      </c>
      <c r="M1070" s="25">
        <f>IF(D1070="","",IFERROR(INDEX(Ingredients!$J$5:$J$304,MATCH(D1070,Ingredients!$B$5:$B$304,0)),"Add to Ingredients"))</f>
        <v>0</v>
      </c>
      <c r="N1070" s="25">
        <f>IF(OR(J1070="",M1070="",NOT(ISNUMBER(M1070))),"",IF(K1070&lt;&gt;L1070,"",J1070*M1070))</f>
        <v>0</v>
      </c>
      <c r="O1070" s="25">
        <f>IF(N1070="","",IFERROR(N1070/INDEX(Recipes!$G$5:$G$204,MATCH(B1070,Recipes!$A$5:$A$204,0)),""))</f>
        <v>0</v>
      </c>
      <c r="P1070" s="30">
        <f>IF(J1070="","",IF(K1070="each",J1070,J1070/100))</f>
        <v>0</v>
      </c>
      <c r="Q1070" s="30">
        <f>IFERROR(IF(P1070="","",P1070*INDEX(Ingredients!$P$5:$P$304,MATCH(D1070,Ingredients!$B$5:$B$304,0))),"")</f>
        <v>0</v>
      </c>
      <c r="R1070" s="45">
        <f>IFERROR(IF(P1070="","",P1070*INDEX(Ingredients!$Q$5:$Q$304,MATCH(D1070,Ingredients!$B$5:$B$304,0))),"")</f>
        <v>0</v>
      </c>
      <c r="S1070" s="45">
        <f>IFERROR(IF(P1070="","",P1070*INDEX(Ingredients!$R$5:$R$304,MATCH(D1070,Ingredients!$B$5:$B$304,0))),"")</f>
        <v>0</v>
      </c>
      <c r="T1070" s="45">
        <f>IFERROR(IF(P1070="","",P1070*INDEX(Ingredients!$S$5:$S$304,MATCH(D1070,Ingredients!$B$5:$B$304,0))),"")</f>
        <v>0</v>
      </c>
      <c r="U1070" s="45">
        <f>IFERROR(IF(P1070="","",P1070*INDEX(Ingredients!$T$5:$T$304,MATCH(D1070,Ingredients!$B$5:$B$304,0))),"")</f>
        <v>0</v>
      </c>
      <c r="V1070" s="17">
        <f>IF(D1070="","",IFERROR(INDEX(Ingredients!$W$5:$W$304,MATCH(D1070,Ingredients!$B$5:$B$304,0)),"Add to Ingredients"))</f>
        <v>0</v>
      </c>
      <c r="W1070" s="17">
        <f>IF(D1070="","",IFERROR(INDEX(Ingredients!$C$5:$C$304,MATCH(D1070,Ingredients!$B$5:$B$304,0)),"Add to Ingredients"))</f>
        <v>0</v>
      </c>
      <c r="X1070" s="45">
        <f>IFERROR(INDEX(Recipes!$AT$5:$AT$204,MATCH(B1070,Recipes!$A$5:$A$204,0)),0)</f>
        <v>0</v>
      </c>
      <c r="Y1070" s="45">
        <f>IF(OR(J1070="",X1070=0),"",J1070*X1070)</f>
        <v>0</v>
      </c>
      <c r="Z1070" s="17">
        <f>IF(D1070="","",B1070&amp;"#"&amp;COUNTIFS($B$5:B1070,B1070))</f>
        <v>0</v>
      </c>
      <c r="AA1070" s="17">
        <f>IF(D1070="","",B1070&amp;"|"&amp;D1070)</f>
        <v>0</v>
      </c>
      <c r="AB1070" s="31">
        <f>IF(D1070="","",IF(B1070="","Add - which recipe?",IF(COUNTIFS(Ingredients!$B$5:$B$304,D1070)=0,"Missing - not in the Ingredients tab",IF(E1070="","Add - no quantity",IF(F1070="","Add - no unit",IF(K1070&lt;&gt;L1070,"Check - recipe in "&amp;K1070&amp;", priced in "&amp;L1070,IF(COUNTIFS($AA$5:$AA$1204,AA1070)&gt;1,"Duplicate - same ingredient twice","OK")))))))</f>
        <v>0</v>
      </c>
    </row>
    <row r="1071" spans="1:28">
      <c r="A1071" s="39">
        <f>IF(D1071="","","RL-"&amp;TEXT(ROW()-4,"0000"))</f>
        <v>0</v>
      </c>
      <c r="C1071" s="17">
        <f>IF(B1071="","",IFERROR(INDEX(Recipes!$B$5:$B$204,MATCH(B1071,Recipes!$A$5:$A$204,0)),"Not found"))</f>
        <v>0</v>
      </c>
      <c r="J1071" s="45">
        <f>IF(E1071="","",IFERROR(E1071*INDEX(UnitFactors,MATCH(F1071,UnitNames,0)),""))</f>
        <v>0</v>
      </c>
      <c r="K1071" s="17">
        <f>IF(F1071="","",IFERROR(INDEX(UnitBases,MATCH(F1071,UnitNames,0)),"?"))</f>
        <v>0</v>
      </c>
      <c r="L1071" s="17">
        <f>IF(D1071="","",IFERROR(INDEX(Ingredients!$G$5:$G$304,MATCH(D1071,Ingredients!$B$5:$B$304,0)),"Add to Ingredients"))</f>
        <v>0</v>
      </c>
      <c r="M1071" s="25">
        <f>IF(D1071="","",IFERROR(INDEX(Ingredients!$J$5:$J$304,MATCH(D1071,Ingredients!$B$5:$B$304,0)),"Add to Ingredients"))</f>
        <v>0</v>
      </c>
      <c r="N1071" s="25">
        <f>IF(OR(J1071="",M1071="",NOT(ISNUMBER(M1071))),"",IF(K1071&lt;&gt;L1071,"",J1071*M1071))</f>
        <v>0</v>
      </c>
      <c r="O1071" s="25">
        <f>IF(N1071="","",IFERROR(N1071/INDEX(Recipes!$G$5:$G$204,MATCH(B1071,Recipes!$A$5:$A$204,0)),""))</f>
        <v>0</v>
      </c>
      <c r="P1071" s="30">
        <f>IF(J1071="","",IF(K1071="each",J1071,J1071/100))</f>
        <v>0</v>
      </c>
      <c r="Q1071" s="30">
        <f>IFERROR(IF(P1071="","",P1071*INDEX(Ingredients!$P$5:$P$304,MATCH(D1071,Ingredients!$B$5:$B$304,0))),"")</f>
        <v>0</v>
      </c>
      <c r="R1071" s="45">
        <f>IFERROR(IF(P1071="","",P1071*INDEX(Ingredients!$Q$5:$Q$304,MATCH(D1071,Ingredients!$B$5:$B$304,0))),"")</f>
        <v>0</v>
      </c>
      <c r="S1071" s="45">
        <f>IFERROR(IF(P1071="","",P1071*INDEX(Ingredients!$R$5:$R$304,MATCH(D1071,Ingredients!$B$5:$B$304,0))),"")</f>
        <v>0</v>
      </c>
      <c r="T1071" s="45">
        <f>IFERROR(IF(P1071="","",P1071*INDEX(Ingredients!$S$5:$S$304,MATCH(D1071,Ingredients!$B$5:$B$304,0))),"")</f>
        <v>0</v>
      </c>
      <c r="U1071" s="45">
        <f>IFERROR(IF(P1071="","",P1071*INDEX(Ingredients!$T$5:$T$304,MATCH(D1071,Ingredients!$B$5:$B$304,0))),"")</f>
        <v>0</v>
      </c>
      <c r="V1071" s="17">
        <f>IF(D1071="","",IFERROR(INDEX(Ingredients!$W$5:$W$304,MATCH(D1071,Ingredients!$B$5:$B$304,0)),"Add to Ingredients"))</f>
        <v>0</v>
      </c>
      <c r="W1071" s="17">
        <f>IF(D1071="","",IFERROR(INDEX(Ingredients!$C$5:$C$304,MATCH(D1071,Ingredients!$B$5:$B$304,0)),"Add to Ingredients"))</f>
        <v>0</v>
      </c>
      <c r="X1071" s="45">
        <f>IFERROR(INDEX(Recipes!$AT$5:$AT$204,MATCH(B1071,Recipes!$A$5:$A$204,0)),0)</f>
        <v>0</v>
      </c>
      <c r="Y1071" s="45">
        <f>IF(OR(J1071="",X1071=0),"",J1071*X1071)</f>
        <v>0</v>
      </c>
      <c r="Z1071" s="17">
        <f>IF(D1071="","",B1071&amp;"#"&amp;COUNTIFS($B$5:B1071,B1071))</f>
        <v>0</v>
      </c>
      <c r="AA1071" s="17">
        <f>IF(D1071="","",B1071&amp;"|"&amp;D1071)</f>
        <v>0</v>
      </c>
      <c r="AB1071" s="31">
        <f>IF(D1071="","",IF(B1071="","Add - which recipe?",IF(COUNTIFS(Ingredients!$B$5:$B$304,D1071)=0,"Missing - not in the Ingredients tab",IF(E1071="","Add - no quantity",IF(F1071="","Add - no unit",IF(K1071&lt;&gt;L1071,"Check - recipe in "&amp;K1071&amp;", priced in "&amp;L1071,IF(COUNTIFS($AA$5:$AA$1204,AA1071)&gt;1,"Duplicate - same ingredient twice","OK")))))))</f>
        <v>0</v>
      </c>
    </row>
    <row r="1072" spans="1:28">
      <c r="A1072" s="39">
        <f>IF(D1072="","","RL-"&amp;TEXT(ROW()-4,"0000"))</f>
        <v>0</v>
      </c>
      <c r="C1072" s="17">
        <f>IF(B1072="","",IFERROR(INDEX(Recipes!$B$5:$B$204,MATCH(B1072,Recipes!$A$5:$A$204,0)),"Not found"))</f>
        <v>0</v>
      </c>
      <c r="J1072" s="45">
        <f>IF(E1072="","",IFERROR(E1072*INDEX(UnitFactors,MATCH(F1072,UnitNames,0)),""))</f>
        <v>0</v>
      </c>
      <c r="K1072" s="17">
        <f>IF(F1072="","",IFERROR(INDEX(UnitBases,MATCH(F1072,UnitNames,0)),"?"))</f>
        <v>0</v>
      </c>
      <c r="L1072" s="17">
        <f>IF(D1072="","",IFERROR(INDEX(Ingredients!$G$5:$G$304,MATCH(D1072,Ingredients!$B$5:$B$304,0)),"Add to Ingredients"))</f>
        <v>0</v>
      </c>
      <c r="M1072" s="25">
        <f>IF(D1072="","",IFERROR(INDEX(Ingredients!$J$5:$J$304,MATCH(D1072,Ingredients!$B$5:$B$304,0)),"Add to Ingredients"))</f>
        <v>0</v>
      </c>
      <c r="N1072" s="25">
        <f>IF(OR(J1072="",M1072="",NOT(ISNUMBER(M1072))),"",IF(K1072&lt;&gt;L1072,"",J1072*M1072))</f>
        <v>0</v>
      </c>
      <c r="O1072" s="25">
        <f>IF(N1072="","",IFERROR(N1072/INDEX(Recipes!$G$5:$G$204,MATCH(B1072,Recipes!$A$5:$A$204,0)),""))</f>
        <v>0</v>
      </c>
      <c r="P1072" s="30">
        <f>IF(J1072="","",IF(K1072="each",J1072,J1072/100))</f>
        <v>0</v>
      </c>
      <c r="Q1072" s="30">
        <f>IFERROR(IF(P1072="","",P1072*INDEX(Ingredients!$P$5:$P$304,MATCH(D1072,Ingredients!$B$5:$B$304,0))),"")</f>
        <v>0</v>
      </c>
      <c r="R1072" s="45">
        <f>IFERROR(IF(P1072="","",P1072*INDEX(Ingredients!$Q$5:$Q$304,MATCH(D1072,Ingredients!$B$5:$B$304,0))),"")</f>
        <v>0</v>
      </c>
      <c r="S1072" s="45">
        <f>IFERROR(IF(P1072="","",P1072*INDEX(Ingredients!$R$5:$R$304,MATCH(D1072,Ingredients!$B$5:$B$304,0))),"")</f>
        <v>0</v>
      </c>
      <c r="T1072" s="45">
        <f>IFERROR(IF(P1072="","",P1072*INDEX(Ingredients!$S$5:$S$304,MATCH(D1072,Ingredients!$B$5:$B$304,0))),"")</f>
        <v>0</v>
      </c>
      <c r="U1072" s="45">
        <f>IFERROR(IF(P1072="","",P1072*INDEX(Ingredients!$T$5:$T$304,MATCH(D1072,Ingredients!$B$5:$B$304,0))),"")</f>
        <v>0</v>
      </c>
      <c r="V1072" s="17">
        <f>IF(D1072="","",IFERROR(INDEX(Ingredients!$W$5:$W$304,MATCH(D1072,Ingredients!$B$5:$B$304,0)),"Add to Ingredients"))</f>
        <v>0</v>
      </c>
      <c r="W1072" s="17">
        <f>IF(D1072="","",IFERROR(INDEX(Ingredients!$C$5:$C$304,MATCH(D1072,Ingredients!$B$5:$B$304,0)),"Add to Ingredients"))</f>
        <v>0</v>
      </c>
      <c r="X1072" s="45">
        <f>IFERROR(INDEX(Recipes!$AT$5:$AT$204,MATCH(B1072,Recipes!$A$5:$A$204,0)),0)</f>
        <v>0</v>
      </c>
      <c r="Y1072" s="45">
        <f>IF(OR(J1072="",X1072=0),"",J1072*X1072)</f>
        <v>0</v>
      </c>
      <c r="Z1072" s="17">
        <f>IF(D1072="","",B1072&amp;"#"&amp;COUNTIFS($B$5:B1072,B1072))</f>
        <v>0</v>
      </c>
      <c r="AA1072" s="17">
        <f>IF(D1072="","",B1072&amp;"|"&amp;D1072)</f>
        <v>0</v>
      </c>
      <c r="AB1072" s="31">
        <f>IF(D1072="","",IF(B1072="","Add - which recipe?",IF(COUNTIFS(Ingredients!$B$5:$B$304,D1072)=0,"Missing - not in the Ingredients tab",IF(E1072="","Add - no quantity",IF(F1072="","Add - no unit",IF(K1072&lt;&gt;L1072,"Check - recipe in "&amp;K1072&amp;", priced in "&amp;L1072,IF(COUNTIFS($AA$5:$AA$1204,AA1072)&gt;1,"Duplicate - same ingredient twice","OK")))))))</f>
        <v>0</v>
      </c>
    </row>
    <row r="1073" spans="1:28">
      <c r="A1073" s="39">
        <f>IF(D1073="","","RL-"&amp;TEXT(ROW()-4,"0000"))</f>
        <v>0</v>
      </c>
      <c r="C1073" s="17">
        <f>IF(B1073="","",IFERROR(INDEX(Recipes!$B$5:$B$204,MATCH(B1073,Recipes!$A$5:$A$204,0)),"Not found"))</f>
        <v>0</v>
      </c>
      <c r="J1073" s="45">
        <f>IF(E1073="","",IFERROR(E1073*INDEX(UnitFactors,MATCH(F1073,UnitNames,0)),""))</f>
        <v>0</v>
      </c>
      <c r="K1073" s="17">
        <f>IF(F1073="","",IFERROR(INDEX(UnitBases,MATCH(F1073,UnitNames,0)),"?"))</f>
        <v>0</v>
      </c>
      <c r="L1073" s="17">
        <f>IF(D1073="","",IFERROR(INDEX(Ingredients!$G$5:$G$304,MATCH(D1073,Ingredients!$B$5:$B$304,0)),"Add to Ingredients"))</f>
        <v>0</v>
      </c>
      <c r="M1073" s="25">
        <f>IF(D1073="","",IFERROR(INDEX(Ingredients!$J$5:$J$304,MATCH(D1073,Ingredients!$B$5:$B$304,0)),"Add to Ingredients"))</f>
        <v>0</v>
      </c>
      <c r="N1073" s="25">
        <f>IF(OR(J1073="",M1073="",NOT(ISNUMBER(M1073))),"",IF(K1073&lt;&gt;L1073,"",J1073*M1073))</f>
        <v>0</v>
      </c>
      <c r="O1073" s="25">
        <f>IF(N1073="","",IFERROR(N1073/INDEX(Recipes!$G$5:$G$204,MATCH(B1073,Recipes!$A$5:$A$204,0)),""))</f>
        <v>0</v>
      </c>
      <c r="P1073" s="30">
        <f>IF(J1073="","",IF(K1073="each",J1073,J1073/100))</f>
        <v>0</v>
      </c>
      <c r="Q1073" s="30">
        <f>IFERROR(IF(P1073="","",P1073*INDEX(Ingredients!$P$5:$P$304,MATCH(D1073,Ingredients!$B$5:$B$304,0))),"")</f>
        <v>0</v>
      </c>
      <c r="R1073" s="45">
        <f>IFERROR(IF(P1073="","",P1073*INDEX(Ingredients!$Q$5:$Q$304,MATCH(D1073,Ingredients!$B$5:$B$304,0))),"")</f>
        <v>0</v>
      </c>
      <c r="S1073" s="45">
        <f>IFERROR(IF(P1073="","",P1073*INDEX(Ingredients!$R$5:$R$304,MATCH(D1073,Ingredients!$B$5:$B$304,0))),"")</f>
        <v>0</v>
      </c>
      <c r="T1073" s="45">
        <f>IFERROR(IF(P1073="","",P1073*INDEX(Ingredients!$S$5:$S$304,MATCH(D1073,Ingredients!$B$5:$B$304,0))),"")</f>
        <v>0</v>
      </c>
      <c r="U1073" s="45">
        <f>IFERROR(IF(P1073="","",P1073*INDEX(Ingredients!$T$5:$T$304,MATCH(D1073,Ingredients!$B$5:$B$304,0))),"")</f>
        <v>0</v>
      </c>
      <c r="V1073" s="17">
        <f>IF(D1073="","",IFERROR(INDEX(Ingredients!$W$5:$W$304,MATCH(D1073,Ingredients!$B$5:$B$304,0)),"Add to Ingredients"))</f>
        <v>0</v>
      </c>
      <c r="W1073" s="17">
        <f>IF(D1073="","",IFERROR(INDEX(Ingredients!$C$5:$C$304,MATCH(D1073,Ingredients!$B$5:$B$304,0)),"Add to Ingredients"))</f>
        <v>0</v>
      </c>
      <c r="X1073" s="45">
        <f>IFERROR(INDEX(Recipes!$AT$5:$AT$204,MATCH(B1073,Recipes!$A$5:$A$204,0)),0)</f>
        <v>0</v>
      </c>
      <c r="Y1073" s="45">
        <f>IF(OR(J1073="",X1073=0),"",J1073*X1073)</f>
        <v>0</v>
      </c>
      <c r="Z1073" s="17">
        <f>IF(D1073="","",B1073&amp;"#"&amp;COUNTIFS($B$5:B1073,B1073))</f>
        <v>0</v>
      </c>
      <c r="AA1073" s="17">
        <f>IF(D1073="","",B1073&amp;"|"&amp;D1073)</f>
        <v>0</v>
      </c>
      <c r="AB1073" s="31">
        <f>IF(D1073="","",IF(B1073="","Add - which recipe?",IF(COUNTIFS(Ingredients!$B$5:$B$304,D1073)=0,"Missing - not in the Ingredients tab",IF(E1073="","Add - no quantity",IF(F1073="","Add - no unit",IF(K1073&lt;&gt;L1073,"Check - recipe in "&amp;K1073&amp;", priced in "&amp;L1073,IF(COUNTIFS($AA$5:$AA$1204,AA1073)&gt;1,"Duplicate - same ingredient twice","OK")))))))</f>
        <v>0</v>
      </c>
    </row>
    <row r="1074" spans="1:28">
      <c r="A1074" s="39">
        <f>IF(D1074="","","RL-"&amp;TEXT(ROW()-4,"0000"))</f>
        <v>0</v>
      </c>
      <c r="C1074" s="17">
        <f>IF(B1074="","",IFERROR(INDEX(Recipes!$B$5:$B$204,MATCH(B1074,Recipes!$A$5:$A$204,0)),"Not found"))</f>
        <v>0</v>
      </c>
      <c r="J1074" s="45">
        <f>IF(E1074="","",IFERROR(E1074*INDEX(UnitFactors,MATCH(F1074,UnitNames,0)),""))</f>
        <v>0</v>
      </c>
      <c r="K1074" s="17">
        <f>IF(F1074="","",IFERROR(INDEX(UnitBases,MATCH(F1074,UnitNames,0)),"?"))</f>
        <v>0</v>
      </c>
      <c r="L1074" s="17">
        <f>IF(D1074="","",IFERROR(INDEX(Ingredients!$G$5:$G$304,MATCH(D1074,Ingredients!$B$5:$B$304,0)),"Add to Ingredients"))</f>
        <v>0</v>
      </c>
      <c r="M1074" s="25">
        <f>IF(D1074="","",IFERROR(INDEX(Ingredients!$J$5:$J$304,MATCH(D1074,Ingredients!$B$5:$B$304,0)),"Add to Ingredients"))</f>
        <v>0</v>
      </c>
      <c r="N1074" s="25">
        <f>IF(OR(J1074="",M1074="",NOT(ISNUMBER(M1074))),"",IF(K1074&lt;&gt;L1074,"",J1074*M1074))</f>
        <v>0</v>
      </c>
      <c r="O1074" s="25">
        <f>IF(N1074="","",IFERROR(N1074/INDEX(Recipes!$G$5:$G$204,MATCH(B1074,Recipes!$A$5:$A$204,0)),""))</f>
        <v>0</v>
      </c>
      <c r="P1074" s="30">
        <f>IF(J1074="","",IF(K1074="each",J1074,J1074/100))</f>
        <v>0</v>
      </c>
      <c r="Q1074" s="30">
        <f>IFERROR(IF(P1074="","",P1074*INDEX(Ingredients!$P$5:$P$304,MATCH(D1074,Ingredients!$B$5:$B$304,0))),"")</f>
        <v>0</v>
      </c>
      <c r="R1074" s="45">
        <f>IFERROR(IF(P1074="","",P1074*INDEX(Ingredients!$Q$5:$Q$304,MATCH(D1074,Ingredients!$B$5:$B$304,0))),"")</f>
        <v>0</v>
      </c>
      <c r="S1074" s="45">
        <f>IFERROR(IF(P1074="","",P1074*INDEX(Ingredients!$R$5:$R$304,MATCH(D1074,Ingredients!$B$5:$B$304,0))),"")</f>
        <v>0</v>
      </c>
      <c r="T1074" s="45">
        <f>IFERROR(IF(P1074="","",P1074*INDEX(Ingredients!$S$5:$S$304,MATCH(D1074,Ingredients!$B$5:$B$304,0))),"")</f>
        <v>0</v>
      </c>
      <c r="U1074" s="45">
        <f>IFERROR(IF(P1074="","",P1074*INDEX(Ingredients!$T$5:$T$304,MATCH(D1074,Ingredients!$B$5:$B$304,0))),"")</f>
        <v>0</v>
      </c>
      <c r="V1074" s="17">
        <f>IF(D1074="","",IFERROR(INDEX(Ingredients!$W$5:$W$304,MATCH(D1074,Ingredients!$B$5:$B$304,0)),"Add to Ingredients"))</f>
        <v>0</v>
      </c>
      <c r="W1074" s="17">
        <f>IF(D1074="","",IFERROR(INDEX(Ingredients!$C$5:$C$304,MATCH(D1074,Ingredients!$B$5:$B$304,0)),"Add to Ingredients"))</f>
        <v>0</v>
      </c>
      <c r="X1074" s="45">
        <f>IFERROR(INDEX(Recipes!$AT$5:$AT$204,MATCH(B1074,Recipes!$A$5:$A$204,0)),0)</f>
        <v>0</v>
      </c>
      <c r="Y1074" s="45">
        <f>IF(OR(J1074="",X1074=0),"",J1074*X1074)</f>
        <v>0</v>
      </c>
      <c r="Z1074" s="17">
        <f>IF(D1074="","",B1074&amp;"#"&amp;COUNTIFS($B$5:B1074,B1074))</f>
        <v>0</v>
      </c>
      <c r="AA1074" s="17">
        <f>IF(D1074="","",B1074&amp;"|"&amp;D1074)</f>
        <v>0</v>
      </c>
      <c r="AB1074" s="31">
        <f>IF(D1074="","",IF(B1074="","Add - which recipe?",IF(COUNTIFS(Ingredients!$B$5:$B$304,D1074)=0,"Missing - not in the Ingredients tab",IF(E1074="","Add - no quantity",IF(F1074="","Add - no unit",IF(K1074&lt;&gt;L1074,"Check - recipe in "&amp;K1074&amp;", priced in "&amp;L1074,IF(COUNTIFS($AA$5:$AA$1204,AA1074)&gt;1,"Duplicate - same ingredient twice","OK")))))))</f>
        <v>0</v>
      </c>
    </row>
    <row r="1075" spans="1:28">
      <c r="A1075" s="39">
        <f>IF(D1075="","","RL-"&amp;TEXT(ROW()-4,"0000"))</f>
        <v>0</v>
      </c>
      <c r="C1075" s="17">
        <f>IF(B1075="","",IFERROR(INDEX(Recipes!$B$5:$B$204,MATCH(B1075,Recipes!$A$5:$A$204,0)),"Not found"))</f>
        <v>0</v>
      </c>
      <c r="J1075" s="45">
        <f>IF(E1075="","",IFERROR(E1075*INDEX(UnitFactors,MATCH(F1075,UnitNames,0)),""))</f>
        <v>0</v>
      </c>
      <c r="K1075" s="17">
        <f>IF(F1075="","",IFERROR(INDEX(UnitBases,MATCH(F1075,UnitNames,0)),"?"))</f>
        <v>0</v>
      </c>
      <c r="L1075" s="17">
        <f>IF(D1075="","",IFERROR(INDEX(Ingredients!$G$5:$G$304,MATCH(D1075,Ingredients!$B$5:$B$304,0)),"Add to Ingredients"))</f>
        <v>0</v>
      </c>
      <c r="M1075" s="25">
        <f>IF(D1075="","",IFERROR(INDEX(Ingredients!$J$5:$J$304,MATCH(D1075,Ingredients!$B$5:$B$304,0)),"Add to Ingredients"))</f>
        <v>0</v>
      </c>
      <c r="N1075" s="25">
        <f>IF(OR(J1075="",M1075="",NOT(ISNUMBER(M1075))),"",IF(K1075&lt;&gt;L1075,"",J1075*M1075))</f>
        <v>0</v>
      </c>
      <c r="O1075" s="25">
        <f>IF(N1075="","",IFERROR(N1075/INDEX(Recipes!$G$5:$G$204,MATCH(B1075,Recipes!$A$5:$A$204,0)),""))</f>
        <v>0</v>
      </c>
      <c r="P1075" s="30">
        <f>IF(J1075="","",IF(K1075="each",J1075,J1075/100))</f>
        <v>0</v>
      </c>
      <c r="Q1075" s="30">
        <f>IFERROR(IF(P1075="","",P1075*INDEX(Ingredients!$P$5:$P$304,MATCH(D1075,Ingredients!$B$5:$B$304,0))),"")</f>
        <v>0</v>
      </c>
      <c r="R1075" s="45">
        <f>IFERROR(IF(P1075="","",P1075*INDEX(Ingredients!$Q$5:$Q$304,MATCH(D1075,Ingredients!$B$5:$B$304,0))),"")</f>
        <v>0</v>
      </c>
      <c r="S1075" s="45">
        <f>IFERROR(IF(P1075="","",P1075*INDEX(Ingredients!$R$5:$R$304,MATCH(D1075,Ingredients!$B$5:$B$304,0))),"")</f>
        <v>0</v>
      </c>
      <c r="T1075" s="45">
        <f>IFERROR(IF(P1075="","",P1075*INDEX(Ingredients!$S$5:$S$304,MATCH(D1075,Ingredients!$B$5:$B$304,0))),"")</f>
        <v>0</v>
      </c>
      <c r="U1075" s="45">
        <f>IFERROR(IF(P1075="","",P1075*INDEX(Ingredients!$T$5:$T$304,MATCH(D1075,Ingredients!$B$5:$B$304,0))),"")</f>
        <v>0</v>
      </c>
      <c r="V1075" s="17">
        <f>IF(D1075="","",IFERROR(INDEX(Ingredients!$W$5:$W$304,MATCH(D1075,Ingredients!$B$5:$B$304,0)),"Add to Ingredients"))</f>
        <v>0</v>
      </c>
      <c r="W1075" s="17">
        <f>IF(D1075="","",IFERROR(INDEX(Ingredients!$C$5:$C$304,MATCH(D1075,Ingredients!$B$5:$B$304,0)),"Add to Ingredients"))</f>
        <v>0</v>
      </c>
      <c r="X1075" s="45">
        <f>IFERROR(INDEX(Recipes!$AT$5:$AT$204,MATCH(B1075,Recipes!$A$5:$A$204,0)),0)</f>
        <v>0</v>
      </c>
      <c r="Y1075" s="45">
        <f>IF(OR(J1075="",X1075=0),"",J1075*X1075)</f>
        <v>0</v>
      </c>
      <c r="Z1075" s="17">
        <f>IF(D1075="","",B1075&amp;"#"&amp;COUNTIFS($B$5:B1075,B1075))</f>
        <v>0</v>
      </c>
      <c r="AA1075" s="17">
        <f>IF(D1075="","",B1075&amp;"|"&amp;D1075)</f>
        <v>0</v>
      </c>
      <c r="AB1075" s="31">
        <f>IF(D1075="","",IF(B1075="","Add - which recipe?",IF(COUNTIFS(Ingredients!$B$5:$B$304,D1075)=0,"Missing - not in the Ingredients tab",IF(E1075="","Add - no quantity",IF(F1075="","Add - no unit",IF(K1075&lt;&gt;L1075,"Check - recipe in "&amp;K1075&amp;", priced in "&amp;L1075,IF(COUNTIFS($AA$5:$AA$1204,AA1075)&gt;1,"Duplicate - same ingredient twice","OK")))))))</f>
        <v>0</v>
      </c>
    </row>
    <row r="1076" spans="1:28">
      <c r="A1076" s="39">
        <f>IF(D1076="","","RL-"&amp;TEXT(ROW()-4,"0000"))</f>
        <v>0</v>
      </c>
      <c r="C1076" s="17">
        <f>IF(B1076="","",IFERROR(INDEX(Recipes!$B$5:$B$204,MATCH(B1076,Recipes!$A$5:$A$204,0)),"Not found"))</f>
        <v>0</v>
      </c>
      <c r="J1076" s="45">
        <f>IF(E1076="","",IFERROR(E1076*INDEX(UnitFactors,MATCH(F1076,UnitNames,0)),""))</f>
        <v>0</v>
      </c>
      <c r="K1076" s="17">
        <f>IF(F1076="","",IFERROR(INDEX(UnitBases,MATCH(F1076,UnitNames,0)),"?"))</f>
        <v>0</v>
      </c>
      <c r="L1076" s="17">
        <f>IF(D1076="","",IFERROR(INDEX(Ingredients!$G$5:$G$304,MATCH(D1076,Ingredients!$B$5:$B$304,0)),"Add to Ingredients"))</f>
        <v>0</v>
      </c>
      <c r="M1076" s="25">
        <f>IF(D1076="","",IFERROR(INDEX(Ingredients!$J$5:$J$304,MATCH(D1076,Ingredients!$B$5:$B$304,0)),"Add to Ingredients"))</f>
        <v>0</v>
      </c>
      <c r="N1076" s="25">
        <f>IF(OR(J1076="",M1076="",NOT(ISNUMBER(M1076))),"",IF(K1076&lt;&gt;L1076,"",J1076*M1076))</f>
        <v>0</v>
      </c>
      <c r="O1076" s="25">
        <f>IF(N1076="","",IFERROR(N1076/INDEX(Recipes!$G$5:$G$204,MATCH(B1076,Recipes!$A$5:$A$204,0)),""))</f>
        <v>0</v>
      </c>
      <c r="P1076" s="30">
        <f>IF(J1076="","",IF(K1076="each",J1076,J1076/100))</f>
        <v>0</v>
      </c>
      <c r="Q1076" s="30">
        <f>IFERROR(IF(P1076="","",P1076*INDEX(Ingredients!$P$5:$P$304,MATCH(D1076,Ingredients!$B$5:$B$304,0))),"")</f>
        <v>0</v>
      </c>
      <c r="R1076" s="45">
        <f>IFERROR(IF(P1076="","",P1076*INDEX(Ingredients!$Q$5:$Q$304,MATCH(D1076,Ingredients!$B$5:$B$304,0))),"")</f>
        <v>0</v>
      </c>
      <c r="S1076" s="45">
        <f>IFERROR(IF(P1076="","",P1076*INDEX(Ingredients!$R$5:$R$304,MATCH(D1076,Ingredients!$B$5:$B$304,0))),"")</f>
        <v>0</v>
      </c>
      <c r="T1076" s="45">
        <f>IFERROR(IF(P1076="","",P1076*INDEX(Ingredients!$S$5:$S$304,MATCH(D1076,Ingredients!$B$5:$B$304,0))),"")</f>
        <v>0</v>
      </c>
      <c r="U1076" s="45">
        <f>IFERROR(IF(P1076="","",P1076*INDEX(Ingredients!$T$5:$T$304,MATCH(D1076,Ingredients!$B$5:$B$304,0))),"")</f>
        <v>0</v>
      </c>
      <c r="V1076" s="17">
        <f>IF(D1076="","",IFERROR(INDEX(Ingredients!$W$5:$W$304,MATCH(D1076,Ingredients!$B$5:$B$304,0)),"Add to Ingredients"))</f>
        <v>0</v>
      </c>
      <c r="W1076" s="17">
        <f>IF(D1076="","",IFERROR(INDEX(Ingredients!$C$5:$C$304,MATCH(D1076,Ingredients!$B$5:$B$304,0)),"Add to Ingredients"))</f>
        <v>0</v>
      </c>
      <c r="X1076" s="45">
        <f>IFERROR(INDEX(Recipes!$AT$5:$AT$204,MATCH(B1076,Recipes!$A$5:$A$204,0)),0)</f>
        <v>0</v>
      </c>
      <c r="Y1076" s="45">
        <f>IF(OR(J1076="",X1076=0),"",J1076*X1076)</f>
        <v>0</v>
      </c>
      <c r="Z1076" s="17">
        <f>IF(D1076="","",B1076&amp;"#"&amp;COUNTIFS($B$5:B1076,B1076))</f>
        <v>0</v>
      </c>
      <c r="AA1076" s="17">
        <f>IF(D1076="","",B1076&amp;"|"&amp;D1076)</f>
        <v>0</v>
      </c>
      <c r="AB1076" s="31">
        <f>IF(D1076="","",IF(B1076="","Add - which recipe?",IF(COUNTIFS(Ingredients!$B$5:$B$304,D1076)=0,"Missing - not in the Ingredients tab",IF(E1076="","Add - no quantity",IF(F1076="","Add - no unit",IF(K1076&lt;&gt;L1076,"Check - recipe in "&amp;K1076&amp;", priced in "&amp;L1076,IF(COUNTIFS($AA$5:$AA$1204,AA1076)&gt;1,"Duplicate - same ingredient twice","OK")))))))</f>
        <v>0</v>
      </c>
    </row>
    <row r="1077" spans="1:28">
      <c r="A1077" s="39">
        <f>IF(D1077="","","RL-"&amp;TEXT(ROW()-4,"0000"))</f>
        <v>0</v>
      </c>
      <c r="C1077" s="17">
        <f>IF(B1077="","",IFERROR(INDEX(Recipes!$B$5:$B$204,MATCH(B1077,Recipes!$A$5:$A$204,0)),"Not found"))</f>
        <v>0</v>
      </c>
      <c r="J1077" s="45">
        <f>IF(E1077="","",IFERROR(E1077*INDEX(UnitFactors,MATCH(F1077,UnitNames,0)),""))</f>
        <v>0</v>
      </c>
      <c r="K1077" s="17">
        <f>IF(F1077="","",IFERROR(INDEX(UnitBases,MATCH(F1077,UnitNames,0)),"?"))</f>
        <v>0</v>
      </c>
      <c r="L1077" s="17">
        <f>IF(D1077="","",IFERROR(INDEX(Ingredients!$G$5:$G$304,MATCH(D1077,Ingredients!$B$5:$B$304,0)),"Add to Ingredients"))</f>
        <v>0</v>
      </c>
      <c r="M1077" s="25">
        <f>IF(D1077="","",IFERROR(INDEX(Ingredients!$J$5:$J$304,MATCH(D1077,Ingredients!$B$5:$B$304,0)),"Add to Ingredients"))</f>
        <v>0</v>
      </c>
      <c r="N1077" s="25">
        <f>IF(OR(J1077="",M1077="",NOT(ISNUMBER(M1077))),"",IF(K1077&lt;&gt;L1077,"",J1077*M1077))</f>
        <v>0</v>
      </c>
      <c r="O1077" s="25">
        <f>IF(N1077="","",IFERROR(N1077/INDEX(Recipes!$G$5:$G$204,MATCH(B1077,Recipes!$A$5:$A$204,0)),""))</f>
        <v>0</v>
      </c>
      <c r="P1077" s="30">
        <f>IF(J1077="","",IF(K1077="each",J1077,J1077/100))</f>
        <v>0</v>
      </c>
      <c r="Q1077" s="30">
        <f>IFERROR(IF(P1077="","",P1077*INDEX(Ingredients!$P$5:$P$304,MATCH(D1077,Ingredients!$B$5:$B$304,0))),"")</f>
        <v>0</v>
      </c>
      <c r="R1077" s="45">
        <f>IFERROR(IF(P1077="","",P1077*INDEX(Ingredients!$Q$5:$Q$304,MATCH(D1077,Ingredients!$B$5:$B$304,0))),"")</f>
        <v>0</v>
      </c>
      <c r="S1077" s="45">
        <f>IFERROR(IF(P1077="","",P1077*INDEX(Ingredients!$R$5:$R$304,MATCH(D1077,Ingredients!$B$5:$B$304,0))),"")</f>
        <v>0</v>
      </c>
      <c r="T1077" s="45">
        <f>IFERROR(IF(P1077="","",P1077*INDEX(Ingredients!$S$5:$S$304,MATCH(D1077,Ingredients!$B$5:$B$304,0))),"")</f>
        <v>0</v>
      </c>
      <c r="U1077" s="45">
        <f>IFERROR(IF(P1077="","",P1077*INDEX(Ingredients!$T$5:$T$304,MATCH(D1077,Ingredients!$B$5:$B$304,0))),"")</f>
        <v>0</v>
      </c>
      <c r="V1077" s="17">
        <f>IF(D1077="","",IFERROR(INDEX(Ingredients!$W$5:$W$304,MATCH(D1077,Ingredients!$B$5:$B$304,0)),"Add to Ingredients"))</f>
        <v>0</v>
      </c>
      <c r="W1077" s="17">
        <f>IF(D1077="","",IFERROR(INDEX(Ingredients!$C$5:$C$304,MATCH(D1077,Ingredients!$B$5:$B$304,0)),"Add to Ingredients"))</f>
        <v>0</v>
      </c>
      <c r="X1077" s="45">
        <f>IFERROR(INDEX(Recipes!$AT$5:$AT$204,MATCH(B1077,Recipes!$A$5:$A$204,0)),0)</f>
        <v>0</v>
      </c>
      <c r="Y1077" s="45">
        <f>IF(OR(J1077="",X1077=0),"",J1077*X1077)</f>
        <v>0</v>
      </c>
      <c r="Z1077" s="17">
        <f>IF(D1077="","",B1077&amp;"#"&amp;COUNTIFS($B$5:B1077,B1077))</f>
        <v>0</v>
      </c>
      <c r="AA1077" s="17">
        <f>IF(D1077="","",B1077&amp;"|"&amp;D1077)</f>
        <v>0</v>
      </c>
      <c r="AB1077" s="31">
        <f>IF(D1077="","",IF(B1077="","Add - which recipe?",IF(COUNTIFS(Ingredients!$B$5:$B$304,D1077)=0,"Missing - not in the Ingredients tab",IF(E1077="","Add - no quantity",IF(F1077="","Add - no unit",IF(K1077&lt;&gt;L1077,"Check - recipe in "&amp;K1077&amp;", priced in "&amp;L1077,IF(COUNTIFS($AA$5:$AA$1204,AA1077)&gt;1,"Duplicate - same ingredient twice","OK")))))))</f>
        <v>0</v>
      </c>
    </row>
    <row r="1078" spans="1:28">
      <c r="A1078" s="39">
        <f>IF(D1078="","","RL-"&amp;TEXT(ROW()-4,"0000"))</f>
        <v>0</v>
      </c>
      <c r="C1078" s="17">
        <f>IF(B1078="","",IFERROR(INDEX(Recipes!$B$5:$B$204,MATCH(B1078,Recipes!$A$5:$A$204,0)),"Not found"))</f>
        <v>0</v>
      </c>
      <c r="J1078" s="45">
        <f>IF(E1078="","",IFERROR(E1078*INDEX(UnitFactors,MATCH(F1078,UnitNames,0)),""))</f>
        <v>0</v>
      </c>
      <c r="K1078" s="17">
        <f>IF(F1078="","",IFERROR(INDEX(UnitBases,MATCH(F1078,UnitNames,0)),"?"))</f>
        <v>0</v>
      </c>
      <c r="L1078" s="17">
        <f>IF(D1078="","",IFERROR(INDEX(Ingredients!$G$5:$G$304,MATCH(D1078,Ingredients!$B$5:$B$304,0)),"Add to Ingredients"))</f>
        <v>0</v>
      </c>
      <c r="M1078" s="25">
        <f>IF(D1078="","",IFERROR(INDEX(Ingredients!$J$5:$J$304,MATCH(D1078,Ingredients!$B$5:$B$304,0)),"Add to Ingredients"))</f>
        <v>0</v>
      </c>
      <c r="N1078" s="25">
        <f>IF(OR(J1078="",M1078="",NOT(ISNUMBER(M1078))),"",IF(K1078&lt;&gt;L1078,"",J1078*M1078))</f>
        <v>0</v>
      </c>
      <c r="O1078" s="25">
        <f>IF(N1078="","",IFERROR(N1078/INDEX(Recipes!$G$5:$G$204,MATCH(B1078,Recipes!$A$5:$A$204,0)),""))</f>
        <v>0</v>
      </c>
      <c r="P1078" s="30">
        <f>IF(J1078="","",IF(K1078="each",J1078,J1078/100))</f>
        <v>0</v>
      </c>
      <c r="Q1078" s="30">
        <f>IFERROR(IF(P1078="","",P1078*INDEX(Ingredients!$P$5:$P$304,MATCH(D1078,Ingredients!$B$5:$B$304,0))),"")</f>
        <v>0</v>
      </c>
      <c r="R1078" s="45">
        <f>IFERROR(IF(P1078="","",P1078*INDEX(Ingredients!$Q$5:$Q$304,MATCH(D1078,Ingredients!$B$5:$B$304,0))),"")</f>
        <v>0</v>
      </c>
      <c r="S1078" s="45">
        <f>IFERROR(IF(P1078="","",P1078*INDEX(Ingredients!$R$5:$R$304,MATCH(D1078,Ingredients!$B$5:$B$304,0))),"")</f>
        <v>0</v>
      </c>
      <c r="T1078" s="45">
        <f>IFERROR(IF(P1078="","",P1078*INDEX(Ingredients!$S$5:$S$304,MATCH(D1078,Ingredients!$B$5:$B$304,0))),"")</f>
        <v>0</v>
      </c>
      <c r="U1078" s="45">
        <f>IFERROR(IF(P1078="","",P1078*INDEX(Ingredients!$T$5:$T$304,MATCH(D1078,Ingredients!$B$5:$B$304,0))),"")</f>
        <v>0</v>
      </c>
      <c r="V1078" s="17">
        <f>IF(D1078="","",IFERROR(INDEX(Ingredients!$W$5:$W$304,MATCH(D1078,Ingredients!$B$5:$B$304,0)),"Add to Ingredients"))</f>
        <v>0</v>
      </c>
      <c r="W1078" s="17">
        <f>IF(D1078="","",IFERROR(INDEX(Ingredients!$C$5:$C$304,MATCH(D1078,Ingredients!$B$5:$B$304,0)),"Add to Ingredients"))</f>
        <v>0</v>
      </c>
      <c r="X1078" s="45">
        <f>IFERROR(INDEX(Recipes!$AT$5:$AT$204,MATCH(B1078,Recipes!$A$5:$A$204,0)),0)</f>
        <v>0</v>
      </c>
      <c r="Y1078" s="45">
        <f>IF(OR(J1078="",X1078=0),"",J1078*X1078)</f>
        <v>0</v>
      </c>
      <c r="Z1078" s="17">
        <f>IF(D1078="","",B1078&amp;"#"&amp;COUNTIFS($B$5:B1078,B1078))</f>
        <v>0</v>
      </c>
      <c r="AA1078" s="17">
        <f>IF(D1078="","",B1078&amp;"|"&amp;D1078)</f>
        <v>0</v>
      </c>
      <c r="AB1078" s="31">
        <f>IF(D1078="","",IF(B1078="","Add - which recipe?",IF(COUNTIFS(Ingredients!$B$5:$B$304,D1078)=0,"Missing - not in the Ingredients tab",IF(E1078="","Add - no quantity",IF(F1078="","Add - no unit",IF(K1078&lt;&gt;L1078,"Check - recipe in "&amp;K1078&amp;", priced in "&amp;L1078,IF(COUNTIFS($AA$5:$AA$1204,AA1078)&gt;1,"Duplicate - same ingredient twice","OK")))))))</f>
        <v>0</v>
      </c>
    </row>
    <row r="1079" spans="1:28">
      <c r="A1079" s="39">
        <f>IF(D1079="","","RL-"&amp;TEXT(ROW()-4,"0000"))</f>
        <v>0</v>
      </c>
      <c r="C1079" s="17">
        <f>IF(B1079="","",IFERROR(INDEX(Recipes!$B$5:$B$204,MATCH(B1079,Recipes!$A$5:$A$204,0)),"Not found"))</f>
        <v>0</v>
      </c>
      <c r="J1079" s="45">
        <f>IF(E1079="","",IFERROR(E1079*INDEX(UnitFactors,MATCH(F1079,UnitNames,0)),""))</f>
        <v>0</v>
      </c>
      <c r="K1079" s="17">
        <f>IF(F1079="","",IFERROR(INDEX(UnitBases,MATCH(F1079,UnitNames,0)),"?"))</f>
        <v>0</v>
      </c>
      <c r="L1079" s="17">
        <f>IF(D1079="","",IFERROR(INDEX(Ingredients!$G$5:$G$304,MATCH(D1079,Ingredients!$B$5:$B$304,0)),"Add to Ingredients"))</f>
        <v>0</v>
      </c>
      <c r="M1079" s="25">
        <f>IF(D1079="","",IFERROR(INDEX(Ingredients!$J$5:$J$304,MATCH(D1079,Ingredients!$B$5:$B$304,0)),"Add to Ingredients"))</f>
        <v>0</v>
      </c>
      <c r="N1079" s="25">
        <f>IF(OR(J1079="",M1079="",NOT(ISNUMBER(M1079))),"",IF(K1079&lt;&gt;L1079,"",J1079*M1079))</f>
        <v>0</v>
      </c>
      <c r="O1079" s="25">
        <f>IF(N1079="","",IFERROR(N1079/INDEX(Recipes!$G$5:$G$204,MATCH(B1079,Recipes!$A$5:$A$204,0)),""))</f>
        <v>0</v>
      </c>
      <c r="P1079" s="30">
        <f>IF(J1079="","",IF(K1079="each",J1079,J1079/100))</f>
        <v>0</v>
      </c>
      <c r="Q1079" s="30">
        <f>IFERROR(IF(P1079="","",P1079*INDEX(Ingredients!$P$5:$P$304,MATCH(D1079,Ingredients!$B$5:$B$304,0))),"")</f>
        <v>0</v>
      </c>
      <c r="R1079" s="45">
        <f>IFERROR(IF(P1079="","",P1079*INDEX(Ingredients!$Q$5:$Q$304,MATCH(D1079,Ingredients!$B$5:$B$304,0))),"")</f>
        <v>0</v>
      </c>
      <c r="S1079" s="45">
        <f>IFERROR(IF(P1079="","",P1079*INDEX(Ingredients!$R$5:$R$304,MATCH(D1079,Ingredients!$B$5:$B$304,0))),"")</f>
        <v>0</v>
      </c>
      <c r="T1079" s="45">
        <f>IFERROR(IF(P1079="","",P1079*INDEX(Ingredients!$S$5:$S$304,MATCH(D1079,Ingredients!$B$5:$B$304,0))),"")</f>
        <v>0</v>
      </c>
      <c r="U1079" s="45">
        <f>IFERROR(IF(P1079="","",P1079*INDEX(Ingredients!$T$5:$T$304,MATCH(D1079,Ingredients!$B$5:$B$304,0))),"")</f>
        <v>0</v>
      </c>
      <c r="V1079" s="17">
        <f>IF(D1079="","",IFERROR(INDEX(Ingredients!$W$5:$W$304,MATCH(D1079,Ingredients!$B$5:$B$304,0)),"Add to Ingredients"))</f>
        <v>0</v>
      </c>
      <c r="W1079" s="17">
        <f>IF(D1079="","",IFERROR(INDEX(Ingredients!$C$5:$C$304,MATCH(D1079,Ingredients!$B$5:$B$304,0)),"Add to Ingredients"))</f>
        <v>0</v>
      </c>
      <c r="X1079" s="45">
        <f>IFERROR(INDEX(Recipes!$AT$5:$AT$204,MATCH(B1079,Recipes!$A$5:$A$204,0)),0)</f>
        <v>0</v>
      </c>
      <c r="Y1079" s="45">
        <f>IF(OR(J1079="",X1079=0),"",J1079*X1079)</f>
        <v>0</v>
      </c>
      <c r="Z1079" s="17">
        <f>IF(D1079="","",B1079&amp;"#"&amp;COUNTIFS($B$5:B1079,B1079))</f>
        <v>0</v>
      </c>
      <c r="AA1079" s="17">
        <f>IF(D1079="","",B1079&amp;"|"&amp;D1079)</f>
        <v>0</v>
      </c>
      <c r="AB1079" s="31">
        <f>IF(D1079="","",IF(B1079="","Add - which recipe?",IF(COUNTIFS(Ingredients!$B$5:$B$304,D1079)=0,"Missing - not in the Ingredients tab",IF(E1079="","Add - no quantity",IF(F1079="","Add - no unit",IF(K1079&lt;&gt;L1079,"Check - recipe in "&amp;K1079&amp;", priced in "&amp;L1079,IF(COUNTIFS($AA$5:$AA$1204,AA1079)&gt;1,"Duplicate - same ingredient twice","OK")))))))</f>
        <v>0</v>
      </c>
    </row>
    <row r="1080" spans="1:28">
      <c r="A1080" s="39">
        <f>IF(D1080="","","RL-"&amp;TEXT(ROW()-4,"0000"))</f>
        <v>0</v>
      </c>
      <c r="C1080" s="17">
        <f>IF(B1080="","",IFERROR(INDEX(Recipes!$B$5:$B$204,MATCH(B1080,Recipes!$A$5:$A$204,0)),"Not found"))</f>
        <v>0</v>
      </c>
      <c r="J1080" s="45">
        <f>IF(E1080="","",IFERROR(E1080*INDEX(UnitFactors,MATCH(F1080,UnitNames,0)),""))</f>
        <v>0</v>
      </c>
      <c r="K1080" s="17">
        <f>IF(F1080="","",IFERROR(INDEX(UnitBases,MATCH(F1080,UnitNames,0)),"?"))</f>
        <v>0</v>
      </c>
      <c r="L1080" s="17">
        <f>IF(D1080="","",IFERROR(INDEX(Ingredients!$G$5:$G$304,MATCH(D1080,Ingredients!$B$5:$B$304,0)),"Add to Ingredients"))</f>
        <v>0</v>
      </c>
      <c r="M1080" s="25">
        <f>IF(D1080="","",IFERROR(INDEX(Ingredients!$J$5:$J$304,MATCH(D1080,Ingredients!$B$5:$B$304,0)),"Add to Ingredients"))</f>
        <v>0</v>
      </c>
      <c r="N1080" s="25">
        <f>IF(OR(J1080="",M1080="",NOT(ISNUMBER(M1080))),"",IF(K1080&lt;&gt;L1080,"",J1080*M1080))</f>
        <v>0</v>
      </c>
      <c r="O1080" s="25">
        <f>IF(N1080="","",IFERROR(N1080/INDEX(Recipes!$G$5:$G$204,MATCH(B1080,Recipes!$A$5:$A$204,0)),""))</f>
        <v>0</v>
      </c>
      <c r="P1080" s="30">
        <f>IF(J1080="","",IF(K1080="each",J1080,J1080/100))</f>
        <v>0</v>
      </c>
      <c r="Q1080" s="30">
        <f>IFERROR(IF(P1080="","",P1080*INDEX(Ingredients!$P$5:$P$304,MATCH(D1080,Ingredients!$B$5:$B$304,0))),"")</f>
        <v>0</v>
      </c>
      <c r="R1080" s="45">
        <f>IFERROR(IF(P1080="","",P1080*INDEX(Ingredients!$Q$5:$Q$304,MATCH(D1080,Ingredients!$B$5:$B$304,0))),"")</f>
        <v>0</v>
      </c>
      <c r="S1080" s="45">
        <f>IFERROR(IF(P1080="","",P1080*INDEX(Ingredients!$R$5:$R$304,MATCH(D1080,Ingredients!$B$5:$B$304,0))),"")</f>
        <v>0</v>
      </c>
      <c r="T1080" s="45">
        <f>IFERROR(IF(P1080="","",P1080*INDEX(Ingredients!$S$5:$S$304,MATCH(D1080,Ingredients!$B$5:$B$304,0))),"")</f>
        <v>0</v>
      </c>
      <c r="U1080" s="45">
        <f>IFERROR(IF(P1080="","",P1080*INDEX(Ingredients!$T$5:$T$304,MATCH(D1080,Ingredients!$B$5:$B$304,0))),"")</f>
        <v>0</v>
      </c>
      <c r="V1080" s="17">
        <f>IF(D1080="","",IFERROR(INDEX(Ingredients!$W$5:$W$304,MATCH(D1080,Ingredients!$B$5:$B$304,0)),"Add to Ingredients"))</f>
        <v>0</v>
      </c>
      <c r="W1080" s="17">
        <f>IF(D1080="","",IFERROR(INDEX(Ingredients!$C$5:$C$304,MATCH(D1080,Ingredients!$B$5:$B$304,0)),"Add to Ingredients"))</f>
        <v>0</v>
      </c>
      <c r="X1080" s="45">
        <f>IFERROR(INDEX(Recipes!$AT$5:$AT$204,MATCH(B1080,Recipes!$A$5:$A$204,0)),0)</f>
        <v>0</v>
      </c>
      <c r="Y1080" s="45">
        <f>IF(OR(J1080="",X1080=0),"",J1080*X1080)</f>
        <v>0</v>
      </c>
      <c r="Z1080" s="17">
        <f>IF(D1080="","",B1080&amp;"#"&amp;COUNTIFS($B$5:B1080,B1080))</f>
        <v>0</v>
      </c>
      <c r="AA1080" s="17">
        <f>IF(D1080="","",B1080&amp;"|"&amp;D1080)</f>
        <v>0</v>
      </c>
      <c r="AB1080" s="31">
        <f>IF(D1080="","",IF(B1080="","Add - which recipe?",IF(COUNTIFS(Ingredients!$B$5:$B$304,D1080)=0,"Missing - not in the Ingredients tab",IF(E1080="","Add - no quantity",IF(F1080="","Add - no unit",IF(K1080&lt;&gt;L1080,"Check - recipe in "&amp;K1080&amp;", priced in "&amp;L1080,IF(COUNTIFS($AA$5:$AA$1204,AA1080)&gt;1,"Duplicate - same ingredient twice","OK")))))))</f>
        <v>0</v>
      </c>
    </row>
    <row r="1081" spans="1:28">
      <c r="A1081" s="39">
        <f>IF(D1081="","","RL-"&amp;TEXT(ROW()-4,"0000"))</f>
        <v>0</v>
      </c>
      <c r="C1081" s="17">
        <f>IF(B1081="","",IFERROR(INDEX(Recipes!$B$5:$B$204,MATCH(B1081,Recipes!$A$5:$A$204,0)),"Not found"))</f>
        <v>0</v>
      </c>
      <c r="J1081" s="45">
        <f>IF(E1081="","",IFERROR(E1081*INDEX(UnitFactors,MATCH(F1081,UnitNames,0)),""))</f>
        <v>0</v>
      </c>
      <c r="K1081" s="17">
        <f>IF(F1081="","",IFERROR(INDEX(UnitBases,MATCH(F1081,UnitNames,0)),"?"))</f>
        <v>0</v>
      </c>
      <c r="L1081" s="17">
        <f>IF(D1081="","",IFERROR(INDEX(Ingredients!$G$5:$G$304,MATCH(D1081,Ingredients!$B$5:$B$304,0)),"Add to Ingredients"))</f>
        <v>0</v>
      </c>
      <c r="M1081" s="25">
        <f>IF(D1081="","",IFERROR(INDEX(Ingredients!$J$5:$J$304,MATCH(D1081,Ingredients!$B$5:$B$304,0)),"Add to Ingredients"))</f>
        <v>0</v>
      </c>
      <c r="N1081" s="25">
        <f>IF(OR(J1081="",M1081="",NOT(ISNUMBER(M1081))),"",IF(K1081&lt;&gt;L1081,"",J1081*M1081))</f>
        <v>0</v>
      </c>
      <c r="O1081" s="25">
        <f>IF(N1081="","",IFERROR(N1081/INDEX(Recipes!$G$5:$G$204,MATCH(B1081,Recipes!$A$5:$A$204,0)),""))</f>
        <v>0</v>
      </c>
      <c r="P1081" s="30">
        <f>IF(J1081="","",IF(K1081="each",J1081,J1081/100))</f>
        <v>0</v>
      </c>
      <c r="Q1081" s="30">
        <f>IFERROR(IF(P1081="","",P1081*INDEX(Ingredients!$P$5:$P$304,MATCH(D1081,Ingredients!$B$5:$B$304,0))),"")</f>
        <v>0</v>
      </c>
      <c r="R1081" s="45">
        <f>IFERROR(IF(P1081="","",P1081*INDEX(Ingredients!$Q$5:$Q$304,MATCH(D1081,Ingredients!$B$5:$B$304,0))),"")</f>
        <v>0</v>
      </c>
      <c r="S1081" s="45">
        <f>IFERROR(IF(P1081="","",P1081*INDEX(Ingredients!$R$5:$R$304,MATCH(D1081,Ingredients!$B$5:$B$304,0))),"")</f>
        <v>0</v>
      </c>
      <c r="T1081" s="45">
        <f>IFERROR(IF(P1081="","",P1081*INDEX(Ingredients!$S$5:$S$304,MATCH(D1081,Ingredients!$B$5:$B$304,0))),"")</f>
        <v>0</v>
      </c>
      <c r="U1081" s="45">
        <f>IFERROR(IF(P1081="","",P1081*INDEX(Ingredients!$T$5:$T$304,MATCH(D1081,Ingredients!$B$5:$B$304,0))),"")</f>
        <v>0</v>
      </c>
      <c r="V1081" s="17">
        <f>IF(D1081="","",IFERROR(INDEX(Ingredients!$W$5:$W$304,MATCH(D1081,Ingredients!$B$5:$B$304,0)),"Add to Ingredients"))</f>
        <v>0</v>
      </c>
      <c r="W1081" s="17">
        <f>IF(D1081="","",IFERROR(INDEX(Ingredients!$C$5:$C$304,MATCH(D1081,Ingredients!$B$5:$B$304,0)),"Add to Ingredients"))</f>
        <v>0</v>
      </c>
      <c r="X1081" s="45">
        <f>IFERROR(INDEX(Recipes!$AT$5:$AT$204,MATCH(B1081,Recipes!$A$5:$A$204,0)),0)</f>
        <v>0</v>
      </c>
      <c r="Y1081" s="45">
        <f>IF(OR(J1081="",X1081=0),"",J1081*X1081)</f>
        <v>0</v>
      </c>
      <c r="Z1081" s="17">
        <f>IF(D1081="","",B1081&amp;"#"&amp;COUNTIFS($B$5:B1081,B1081))</f>
        <v>0</v>
      </c>
      <c r="AA1081" s="17">
        <f>IF(D1081="","",B1081&amp;"|"&amp;D1081)</f>
        <v>0</v>
      </c>
      <c r="AB1081" s="31">
        <f>IF(D1081="","",IF(B1081="","Add - which recipe?",IF(COUNTIFS(Ingredients!$B$5:$B$304,D1081)=0,"Missing - not in the Ingredients tab",IF(E1081="","Add - no quantity",IF(F1081="","Add - no unit",IF(K1081&lt;&gt;L1081,"Check - recipe in "&amp;K1081&amp;", priced in "&amp;L1081,IF(COUNTIFS($AA$5:$AA$1204,AA1081)&gt;1,"Duplicate - same ingredient twice","OK")))))))</f>
        <v>0</v>
      </c>
    </row>
    <row r="1082" spans="1:28">
      <c r="A1082" s="39">
        <f>IF(D1082="","","RL-"&amp;TEXT(ROW()-4,"0000"))</f>
        <v>0</v>
      </c>
      <c r="C1082" s="17">
        <f>IF(B1082="","",IFERROR(INDEX(Recipes!$B$5:$B$204,MATCH(B1082,Recipes!$A$5:$A$204,0)),"Not found"))</f>
        <v>0</v>
      </c>
      <c r="J1082" s="45">
        <f>IF(E1082="","",IFERROR(E1082*INDEX(UnitFactors,MATCH(F1082,UnitNames,0)),""))</f>
        <v>0</v>
      </c>
      <c r="K1082" s="17">
        <f>IF(F1082="","",IFERROR(INDEX(UnitBases,MATCH(F1082,UnitNames,0)),"?"))</f>
        <v>0</v>
      </c>
      <c r="L1082" s="17">
        <f>IF(D1082="","",IFERROR(INDEX(Ingredients!$G$5:$G$304,MATCH(D1082,Ingredients!$B$5:$B$304,0)),"Add to Ingredients"))</f>
        <v>0</v>
      </c>
      <c r="M1082" s="25">
        <f>IF(D1082="","",IFERROR(INDEX(Ingredients!$J$5:$J$304,MATCH(D1082,Ingredients!$B$5:$B$304,0)),"Add to Ingredients"))</f>
        <v>0</v>
      </c>
      <c r="N1082" s="25">
        <f>IF(OR(J1082="",M1082="",NOT(ISNUMBER(M1082))),"",IF(K1082&lt;&gt;L1082,"",J1082*M1082))</f>
        <v>0</v>
      </c>
      <c r="O1082" s="25">
        <f>IF(N1082="","",IFERROR(N1082/INDEX(Recipes!$G$5:$G$204,MATCH(B1082,Recipes!$A$5:$A$204,0)),""))</f>
        <v>0</v>
      </c>
      <c r="P1082" s="30">
        <f>IF(J1082="","",IF(K1082="each",J1082,J1082/100))</f>
        <v>0</v>
      </c>
      <c r="Q1082" s="30">
        <f>IFERROR(IF(P1082="","",P1082*INDEX(Ingredients!$P$5:$P$304,MATCH(D1082,Ingredients!$B$5:$B$304,0))),"")</f>
        <v>0</v>
      </c>
      <c r="R1082" s="45">
        <f>IFERROR(IF(P1082="","",P1082*INDEX(Ingredients!$Q$5:$Q$304,MATCH(D1082,Ingredients!$B$5:$B$304,0))),"")</f>
        <v>0</v>
      </c>
      <c r="S1082" s="45">
        <f>IFERROR(IF(P1082="","",P1082*INDEX(Ingredients!$R$5:$R$304,MATCH(D1082,Ingredients!$B$5:$B$304,0))),"")</f>
        <v>0</v>
      </c>
      <c r="T1082" s="45">
        <f>IFERROR(IF(P1082="","",P1082*INDEX(Ingredients!$S$5:$S$304,MATCH(D1082,Ingredients!$B$5:$B$304,0))),"")</f>
        <v>0</v>
      </c>
      <c r="U1082" s="45">
        <f>IFERROR(IF(P1082="","",P1082*INDEX(Ingredients!$T$5:$T$304,MATCH(D1082,Ingredients!$B$5:$B$304,0))),"")</f>
        <v>0</v>
      </c>
      <c r="V1082" s="17">
        <f>IF(D1082="","",IFERROR(INDEX(Ingredients!$W$5:$W$304,MATCH(D1082,Ingredients!$B$5:$B$304,0)),"Add to Ingredients"))</f>
        <v>0</v>
      </c>
      <c r="W1082" s="17">
        <f>IF(D1082="","",IFERROR(INDEX(Ingredients!$C$5:$C$304,MATCH(D1082,Ingredients!$B$5:$B$304,0)),"Add to Ingredients"))</f>
        <v>0</v>
      </c>
      <c r="X1082" s="45">
        <f>IFERROR(INDEX(Recipes!$AT$5:$AT$204,MATCH(B1082,Recipes!$A$5:$A$204,0)),0)</f>
        <v>0</v>
      </c>
      <c r="Y1082" s="45">
        <f>IF(OR(J1082="",X1082=0),"",J1082*X1082)</f>
        <v>0</v>
      </c>
      <c r="Z1082" s="17">
        <f>IF(D1082="","",B1082&amp;"#"&amp;COUNTIFS($B$5:B1082,B1082))</f>
        <v>0</v>
      </c>
      <c r="AA1082" s="17">
        <f>IF(D1082="","",B1082&amp;"|"&amp;D1082)</f>
        <v>0</v>
      </c>
      <c r="AB1082" s="31">
        <f>IF(D1082="","",IF(B1082="","Add - which recipe?",IF(COUNTIFS(Ingredients!$B$5:$B$304,D1082)=0,"Missing - not in the Ingredients tab",IF(E1082="","Add - no quantity",IF(F1082="","Add - no unit",IF(K1082&lt;&gt;L1082,"Check - recipe in "&amp;K1082&amp;", priced in "&amp;L1082,IF(COUNTIFS($AA$5:$AA$1204,AA1082)&gt;1,"Duplicate - same ingredient twice","OK")))))))</f>
        <v>0</v>
      </c>
    </row>
    <row r="1083" spans="1:28">
      <c r="A1083" s="39">
        <f>IF(D1083="","","RL-"&amp;TEXT(ROW()-4,"0000"))</f>
        <v>0</v>
      </c>
      <c r="C1083" s="17">
        <f>IF(B1083="","",IFERROR(INDEX(Recipes!$B$5:$B$204,MATCH(B1083,Recipes!$A$5:$A$204,0)),"Not found"))</f>
        <v>0</v>
      </c>
      <c r="J1083" s="45">
        <f>IF(E1083="","",IFERROR(E1083*INDEX(UnitFactors,MATCH(F1083,UnitNames,0)),""))</f>
        <v>0</v>
      </c>
      <c r="K1083" s="17">
        <f>IF(F1083="","",IFERROR(INDEX(UnitBases,MATCH(F1083,UnitNames,0)),"?"))</f>
        <v>0</v>
      </c>
      <c r="L1083" s="17">
        <f>IF(D1083="","",IFERROR(INDEX(Ingredients!$G$5:$G$304,MATCH(D1083,Ingredients!$B$5:$B$304,0)),"Add to Ingredients"))</f>
        <v>0</v>
      </c>
      <c r="M1083" s="25">
        <f>IF(D1083="","",IFERROR(INDEX(Ingredients!$J$5:$J$304,MATCH(D1083,Ingredients!$B$5:$B$304,0)),"Add to Ingredients"))</f>
        <v>0</v>
      </c>
      <c r="N1083" s="25">
        <f>IF(OR(J1083="",M1083="",NOT(ISNUMBER(M1083))),"",IF(K1083&lt;&gt;L1083,"",J1083*M1083))</f>
        <v>0</v>
      </c>
      <c r="O1083" s="25">
        <f>IF(N1083="","",IFERROR(N1083/INDEX(Recipes!$G$5:$G$204,MATCH(B1083,Recipes!$A$5:$A$204,0)),""))</f>
        <v>0</v>
      </c>
      <c r="P1083" s="30">
        <f>IF(J1083="","",IF(K1083="each",J1083,J1083/100))</f>
        <v>0</v>
      </c>
      <c r="Q1083" s="30">
        <f>IFERROR(IF(P1083="","",P1083*INDEX(Ingredients!$P$5:$P$304,MATCH(D1083,Ingredients!$B$5:$B$304,0))),"")</f>
        <v>0</v>
      </c>
      <c r="R1083" s="45">
        <f>IFERROR(IF(P1083="","",P1083*INDEX(Ingredients!$Q$5:$Q$304,MATCH(D1083,Ingredients!$B$5:$B$304,0))),"")</f>
        <v>0</v>
      </c>
      <c r="S1083" s="45">
        <f>IFERROR(IF(P1083="","",P1083*INDEX(Ingredients!$R$5:$R$304,MATCH(D1083,Ingredients!$B$5:$B$304,0))),"")</f>
        <v>0</v>
      </c>
      <c r="T1083" s="45">
        <f>IFERROR(IF(P1083="","",P1083*INDEX(Ingredients!$S$5:$S$304,MATCH(D1083,Ingredients!$B$5:$B$304,0))),"")</f>
        <v>0</v>
      </c>
      <c r="U1083" s="45">
        <f>IFERROR(IF(P1083="","",P1083*INDEX(Ingredients!$T$5:$T$304,MATCH(D1083,Ingredients!$B$5:$B$304,0))),"")</f>
        <v>0</v>
      </c>
      <c r="V1083" s="17">
        <f>IF(D1083="","",IFERROR(INDEX(Ingredients!$W$5:$W$304,MATCH(D1083,Ingredients!$B$5:$B$304,0)),"Add to Ingredients"))</f>
        <v>0</v>
      </c>
      <c r="W1083" s="17">
        <f>IF(D1083="","",IFERROR(INDEX(Ingredients!$C$5:$C$304,MATCH(D1083,Ingredients!$B$5:$B$304,0)),"Add to Ingredients"))</f>
        <v>0</v>
      </c>
      <c r="X1083" s="45">
        <f>IFERROR(INDEX(Recipes!$AT$5:$AT$204,MATCH(B1083,Recipes!$A$5:$A$204,0)),0)</f>
        <v>0</v>
      </c>
      <c r="Y1083" s="45">
        <f>IF(OR(J1083="",X1083=0),"",J1083*X1083)</f>
        <v>0</v>
      </c>
      <c r="Z1083" s="17">
        <f>IF(D1083="","",B1083&amp;"#"&amp;COUNTIFS($B$5:B1083,B1083))</f>
        <v>0</v>
      </c>
      <c r="AA1083" s="17">
        <f>IF(D1083="","",B1083&amp;"|"&amp;D1083)</f>
        <v>0</v>
      </c>
      <c r="AB1083" s="31">
        <f>IF(D1083="","",IF(B1083="","Add - which recipe?",IF(COUNTIFS(Ingredients!$B$5:$B$304,D1083)=0,"Missing - not in the Ingredients tab",IF(E1083="","Add - no quantity",IF(F1083="","Add - no unit",IF(K1083&lt;&gt;L1083,"Check - recipe in "&amp;K1083&amp;", priced in "&amp;L1083,IF(COUNTIFS($AA$5:$AA$1204,AA1083)&gt;1,"Duplicate - same ingredient twice","OK")))))))</f>
        <v>0</v>
      </c>
    </row>
    <row r="1084" spans="1:28">
      <c r="A1084" s="39">
        <f>IF(D1084="","","RL-"&amp;TEXT(ROW()-4,"0000"))</f>
        <v>0</v>
      </c>
      <c r="C1084" s="17">
        <f>IF(B1084="","",IFERROR(INDEX(Recipes!$B$5:$B$204,MATCH(B1084,Recipes!$A$5:$A$204,0)),"Not found"))</f>
        <v>0</v>
      </c>
      <c r="J1084" s="45">
        <f>IF(E1084="","",IFERROR(E1084*INDEX(UnitFactors,MATCH(F1084,UnitNames,0)),""))</f>
        <v>0</v>
      </c>
      <c r="K1084" s="17">
        <f>IF(F1084="","",IFERROR(INDEX(UnitBases,MATCH(F1084,UnitNames,0)),"?"))</f>
        <v>0</v>
      </c>
      <c r="L1084" s="17">
        <f>IF(D1084="","",IFERROR(INDEX(Ingredients!$G$5:$G$304,MATCH(D1084,Ingredients!$B$5:$B$304,0)),"Add to Ingredients"))</f>
        <v>0</v>
      </c>
      <c r="M1084" s="25">
        <f>IF(D1084="","",IFERROR(INDEX(Ingredients!$J$5:$J$304,MATCH(D1084,Ingredients!$B$5:$B$304,0)),"Add to Ingredients"))</f>
        <v>0</v>
      </c>
      <c r="N1084" s="25">
        <f>IF(OR(J1084="",M1084="",NOT(ISNUMBER(M1084))),"",IF(K1084&lt;&gt;L1084,"",J1084*M1084))</f>
        <v>0</v>
      </c>
      <c r="O1084" s="25">
        <f>IF(N1084="","",IFERROR(N1084/INDEX(Recipes!$G$5:$G$204,MATCH(B1084,Recipes!$A$5:$A$204,0)),""))</f>
        <v>0</v>
      </c>
      <c r="P1084" s="30">
        <f>IF(J1084="","",IF(K1084="each",J1084,J1084/100))</f>
        <v>0</v>
      </c>
      <c r="Q1084" s="30">
        <f>IFERROR(IF(P1084="","",P1084*INDEX(Ingredients!$P$5:$P$304,MATCH(D1084,Ingredients!$B$5:$B$304,0))),"")</f>
        <v>0</v>
      </c>
      <c r="R1084" s="45">
        <f>IFERROR(IF(P1084="","",P1084*INDEX(Ingredients!$Q$5:$Q$304,MATCH(D1084,Ingredients!$B$5:$B$304,0))),"")</f>
        <v>0</v>
      </c>
      <c r="S1084" s="45">
        <f>IFERROR(IF(P1084="","",P1084*INDEX(Ingredients!$R$5:$R$304,MATCH(D1084,Ingredients!$B$5:$B$304,0))),"")</f>
        <v>0</v>
      </c>
      <c r="T1084" s="45">
        <f>IFERROR(IF(P1084="","",P1084*INDEX(Ingredients!$S$5:$S$304,MATCH(D1084,Ingredients!$B$5:$B$304,0))),"")</f>
        <v>0</v>
      </c>
      <c r="U1084" s="45">
        <f>IFERROR(IF(P1084="","",P1084*INDEX(Ingredients!$T$5:$T$304,MATCH(D1084,Ingredients!$B$5:$B$304,0))),"")</f>
        <v>0</v>
      </c>
      <c r="V1084" s="17">
        <f>IF(D1084="","",IFERROR(INDEX(Ingredients!$W$5:$W$304,MATCH(D1084,Ingredients!$B$5:$B$304,0)),"Add to Ingredients"))</f>
        <v>0</v>
      </c>
      <c r="W1084" s="17">
        <f>IF(D1084="","",IFERROR(INDEX(Ingredients!$C$5:$C$304,MATCH(D1084,Ingredients!$B$5:$B$304,0)),"Add to Ingredients"))</f>
        <v>0</v>
      </c>
      <c r="X1084" s="45">
        <f>IFERROR(INDEX(Recipes!$AT$5:$AT$204,MATCH(B1084,Recipes!$A$5:$A$204,0)),0)</f>
        <v>0</v>
      </c>
      <c r="Y1084" s="45">
        <f>IF(OR(J1084="",X1084=0),"",J1084*X1084)</f>
        <v>0</v>
      </c>
      <c r="Z1084" s="17">
        <f>IF(D1084="","",B1084&amp;"#"&amp;COUNTIFS($B$5:B1084,B1084))</f>
        <v>0</v>
      </c>
      <c r="AA1084" s="17">
        <f>IF(D1084="","",B1084&amp;"|"&amp;D1084)</f>
        <v>0</v>
      </c>
      <c r="AB1084" s="31">
        <f>IF(D1084="","",IF(B1084="","Add - which recipe?",IF(COUNTIFS(Ingredients!$B$5:$B$304,D1084)=0,"Missing - not in the Ingredients tab",IF(E1084="","Add - no quantity",IF(F1084="","Add - no unit",IF(K1084&lt;&gt;L1084,"Check - recipe in "&amp;K1084&amp;", priced in "&amp;L1084,IF(COUNTIFS($AA$5:$AA$1204,AA1084)&gt;1,"Duplicate - same ingredient twice","OK")))))))</f>
        <v>0</v>
      </c>
    </row>
    <row r="1085" spans="1:28">
      <c r="A1085" s="39">
        <f>IF(D1085="","","RL-"&amp;TEXT(ROW()-4,"0000"))</f>
        <v>0</v>
      </c>
      <c r="C1085" s="17">
        <f>IF(B1085="","",IFERROR(INDEX(Recipes!$B$5:$B$204,MATCH(B1085,Recipes!$A$5:$A$204,0)),"Not found"))</f>
        <v>0</v>
      </c>
      <c r="J1085" s="45">
        <f>IF(E1085="","",IFERROR(E1085*INDEX(UnitFactors,MATCH(F1085,UnitNames,0)),""))</f>
        <v>0</v>
      </c>
      <c r="K1085" s="17">
        <f>IF(F1085="","",IFERROR(INDEX(UnitBases,MATCH(F1085,UnitNames,0)),"?"))</f>
        <v>0</v>
      </c>
      <c r="L1085" s="17">
        <f>IF(D1085="","",IFERROR(INDEX(Ingredients!$G$5:$G$304,MATCH(D1085,Ingredients!$B$5:$B$304,0)),"Add to Ingredients"))</f>
        <v>0</v>
      </c>
      <c r="M1085" s="25">
        <f>IF(D1085="","",IFERROR(INDEX(Ingredients!$J$5:$J$304,MATCH(D1085,Ingredients!$B$5:$B$304,0)),"Add to Ingredients"))</f>
        <v>0</v>
      </c>
      <c r="N1085" s="25">
        <f>IF(OR(J1085="",M1085="",NOT(ISNUMBER(M1085))),"",IF(K1085&lt;&gt;L1085,"",J1085*M1085))</f>
        <v>0</v>
      </c>
      <c r="O1085" s="25">
        <f>IF(N1085="","",IFERROR(N1085/INDEX(Recipes!$G$5:$G$204,MATCH(B1085,Recipes!$A$5:$A$204,0)),""))</f>
        <v>0</v>
      </c>
      <c r="P1085" s="30">
        <f>IF(J1085="","",IF(K1085="each",J1085,J1085/100))</f>
        <v>0</v>
      </c>
      <c r="Q1085" s="30">
        <f>IFERROR(IF(P1085="","",P1085*INDEX(Ingredients!$P$5:$P$304,MATCH(D1085,Ingredients!$B$5:$B$304,0))),"")</f>
        <v>0</v>
      </c>
      <c r="R1085" s="45">
        <f>IFERROR(IF(P1085="","",P1085*INDEX(Ingredients!$Q$5:$Q$304,MATCH(D1085,Ingredients!$B$5:$B$304,0))),"")</f>
        <v>0</v>
      </c>
      <c r="S1085" s="45">
        <f>IFERROR(IF(P1085="","",P1085*INDEX(Ingredients!$R$5:$R$304,MATCH(D1085,Ingredients!$B$5:$B$304,0))),"")</f>
        <v>0</v>
      </c>
      <c r="T1085" s="45">
        <f>IFERROR(IF(P1085="","",P1085*INDEX(Ingredients!$S$5:$S$304,MATCH(D1085,Ingredients!$B$5:$B$304,0))),"")</f>
        <v>0</v>
      </c>
      <c r="U1085" s="45">
        <f>IFERROR(IF(P1085="","",P1085*INDEX(Ingredients!$T$5:$T$304,MATCH(D1085,Ingredients!$B$5:$B$304,0))),"")</f>
        <v>0</v>
      </c>
      <c r="V1085" s="17">
        <f>IF(D1085="","",IFERROR(INDEX(Ingredients!$W$5:$W$304,MATCH(D1085,Ingredients!$B$5:$B$304,0)),"Add to Ingredients"))</f>
        <v>0</v>
      </c>
      <c r="W1085" s="17">
        <f>IF(D1085="","",IFERROR(INDEX(Ingredients!$C$5:$C$304,MATCH(D1085,Ingredients!$B$5:$B$304,0)),"Add to Ingredients"))</f>
        <v>0</v>
      </c>
      <c r="X1085" s="45">
        <f>IFERROR(INDEX(Recipes!$AT$5:$AT$204,MATCH(B1085,Recipes!$A$5:$A$204,0)),0)</f>
        <v>0</v>
      </c>
      <c r="Y1085" s="45">
        <f>IF(OR(J1085="",X1085=0),"",J1085*X1085)</f>
        <v>0</v>
      </c>
      <c r="Z1085" s="17">
        <f>IF(D1085="","",B1085&amp;"#"&amp;COUNTIFS($B$5:B1085,B1085))</f>
        <v>0</v>
      </c>
      <c r="AA1085" s="17">
        <f>IF(D1085="","",B1085&amp;"|"&amp;D1085)</f>
        <v>0</v>
      </c>
      <c r="AB1085" s="31">
        <f>IF(D1085="","",IF(B1085="","Add - which recipe?",IF(COUNTIFS(Ingredients!$B$5:$B$304,D1085)=0,"Missing - not in the Ingredients tab",IF(E1085="","Add - no quantity",IF(F1085="","Add - no unit",IF(K1085&lt;&gt;L1085,"Check - recipe in "&amp;K1085&amp;", priced in "&amp;L1085,IF(COUNTIFS($AA$5:$AA$1204,AA1085)&gt;1,"Duplicate - same ingredient twice","OK")))))))</f>
        <v>0</v>
      </c>
    </row>
    <row r="1086" spans="1:28">
      <c r="A1086" s="39">
        <f>IF(D1086="","","RL-"&amp;TEXT(ROW()-4,"0000"))</f>
        <v>0</v>
      </c>
      <c r="C1086" s="17">
        <f>IF(B1086="","",IFERROR(INDEX(Recipes!$B$5:$B$204,MATCH(B1086,Recipes!$A$5:$A$204,0)),"Not found"))</f>
        <v>0</v>
      </c>
      <c r="J1086" s="45">
        <f>IF(E1086="","",IFERROR(E1086*INDEX(UnitFactors,MATCH(F1086,UnitNames,0)),""))</f>
        <v>0</v>
      </c>
      <c r="K1086" s="17">
        <f>IF(F1086="","",IFERROR(INDEX(UnitBases,MATCH(F1086,UnitNames,0)),"?"))</f>
        <v>0</v>
      </c>
      <c r="L1086" s="17">
        <f>IF(D1086="","",IFERROR(INDEX(Ingredients!$G$5:$G$304,MATCH(D1086,Ingredients!$B$5:$B$304,0)),"Add to Ingredients"))</f>
        <v>0</v>
      </c>
      <c r="M1086" s="25">
        <f>IF(D1086="","",IFERROR(INDEX(Ingredients!$J$5:$J$304,MATCH(D1086,Ingredients!$B$5:$B$304,0)),"Add to Ingredients"))</f>
        <v>0</v>
      </c>
      <c r="N1086" s="25">
        <f>IF(OR(J1086="",M1086="",NOT(ISNUMBER(M1086))),"",IF(K1086&lt;&gt;L1086,"",J1086*M1086))</f>
        <v>0</v>
      </c>
      <c r="O1086" s="25">
        <f>IF(N1086="","",IFERROR(N1086/INDEX(Recipes!$G$5:$G$204,MATCH(B1086,Recipes!$A$5:$A$204,0)),""))</f>
        <v>0</v>
      </c>
      <c r="P1086" s="30">
        <f>IF(J1086="","",IF(K1086="each",J1086,J1086/100))</f>
        <v>0</v>
      </c>
      <c r="Q1086" s="30">
        <f>IFERROR(IF(P1086="","",P1086*INDEX(Ingredients!$P$5:$P$304,MATCH(D1086,Ingredients!$B$5:$B$304,0))),"")</f>
        <v>0</v>
      </c>
      <c r="R1086" s="45">
        <f>IFERROR(IF(P1086="","",P1086*INDEX(Ingredients!$Q$5:$Q$304,MATCH(D1086,Ingredients!$B$5:$B$304,0))),"")</f>
        <v>0</v>
      </c>
      <c r="S1086" s="45">
        <f>IFERROR(IF(P1086="","",P1086*INDEX(Ingredients!$R$5:$R$304,MATCH(D1086,Ingredients!$B$5:$B$304,0))),"")</f>
        <v>0</v>
      </c>
      <c r="T1086" s="45">
        <f>IFERROR(IF(P1086="","",P1086*INDEX(Ingredients!$S$5:$S$304,MATCH(D1086,Ingredients!$B$5:$B$304,0))),"")</f>
        <v>0</v>
      </c>
      <c r="U1086" s="45">
        <f>IFERROR(IF(P1086="","",P1086*INDEX(Ingredients!$T$5:$T$304,MATCH(D1086,Ingredients!$B$5:$B$304,0))),"")</f>
        <v>0</v>
      </c>
      <c r="V1086" s="17">
        <f>IF(D1086="","",IFERROR(INDEX(Ingredients!$W$5:$W$304,MATCH(D1086,Ingredients!$B$5:$B$304,0)),"Add to Ingredients"))</f>
        <v>0</v>
      </c>
      <c r="W1086" s="17">
        <f>IF(D1086="","",IFERROR(INDEX(Ingredients!$C$5:$C$304,MATCH(D1086,Ingredients!$B$5:$B$304,0)),"Add to Ingredients"))</f>
        <v>0</v>
      </c>
      <c r="X1086" s="45">
        <f>IFERROR(INDEX(Recipes!$AT$5:$AT$204,MATCH(B1086,Recipes!$A$5:$A$204,0)),0)</f>
        <v>0</v>
      </c>
      <c r="Y1086" s="45">
        <f>IF(OR(J1086="",X1086=0),"",J1086*X1086)</f>
        <v>0</v>
      </c>
      <c r="Z1086" s="17">
        <f>IF(D1086="","",B1086&amp;"#"&amp;COUNTIFS($B$5:B1086,B1086))</f>
        <v>0</v>
      </c>
      <c r="AA1086" s="17">
        <f>IF(D1086="","",B1086&amp;"|"&amp;D1086)</f>
        <v>0</v>
      </c>
      <c r="AB1086" s="31">
        <f>IF(D1086="","",IF(B1086="","Add - which recipe?",IF(COUNTIFS(Ingredients!$B$5:$B$304,D1086)=0,"Missing - not in the Ingredients tab",IF(E1086="","Add - no quantity",IF(F1086="","Add - no unit",IF(K1086&lt;&gt;L1086,"Check - recipe in "&amp;K1086&amp;", priced in "&amp;L1086,IF(COUNTIFS($AA$5:$AA$1204,AA1086)&gt;1,"Duplicate - same ingredient twice","OK")))))))</f>
        <v>0</v>
      </c>
    </row>
    <row r="1087" spans="1:28">
      <c r="A1087" s="39">
        <f>IF(D1087="","","RL-"&amp;TEXT(ROW()-4,"0000"))</f>
        <v>0</v>
      </c>
      <c r="C1087" s="17">
        <f>IF(B1087="","",IFERROR(INDEX(Recipes!$B$5:$B$204,MATCH(B1087,Recipes!$A$5:$A$204,0)),"Not found"))</f>
        <v>0</v>
      </c>
      <c r="J1087" s="45">
        <f>IF(E1087="","",IFERROR(E1087*INDEX(UnitFactors,MATCH(F1087,UnitNames,0)),""))</f>
        <v>0</v>
      </c>
      <c r="K1087" s="17">
        <f>IF(F1087="","",IFERROR(INDEX(UnitBases,MATCH(F1087,UnitNames,0)),"?"))</f>
        <v>0</v>
      </c>
      <c r="L1087" s="17">
        <f>IF(D1087="","",IFERROR(INDEX(Ingredients!$G$5:$G$304,MATCH(D1087,Ingredients!$B$5:$B$304,0)),"Add to Ingredients"))</f>
        <v>0</v>
      </c>
      <c r="M1087" s="25">
        <f>IF(D1087="","",IFERROR(INDEX(Ingredients!$J$5:$J$304,MATCH(D1087,Ingredients!$B$5:$B$304,0)),"Add to Ingredients"))</f>
        <v>0</v>
      </c>
      <c r="N1087" s="25">
        <f>IF(OR(J1087="",M1087="",NOT(ISNUMBER(M1087))),"",IF(K1087&lt;&gt;L1087,"",J1087*M1087))</f>
        <v>0</v>
      </c>
      <c r="O1087" s="25">
        <f>IF(N1087="","",IFERROR(N1087/INDEX(Recipes!$G$5:$G$204,MATCH(B1087,Recipes!$A$5:$A$204,0)),""))</f>
        <v>0</v>
      </c>
      <c r="P1087" s="30">
        <f>IF(J1087="","",IF(K1087="each",J1087,J1087/100))</f>
        <v>0</v>
      </c>
      <c r="Q1087" s="30">
        <f>IFERROR(IF(P1087="","",P1087*INDEX(Ingredients!$P$5:$P$304,MATCH(D1087,Ingredients!$B$5:$B$304,0))),"")</f>
        <v>0</v>
      </c>
      <c r="R1087" s="45">
        <f>IFERROR(IF(P1087="","",P1087*INDEX(Ingredients!$Q$5:$Q$304,MATCH(D1087,Ingredients!$B$5:$B$304,0))),"")</f>
        <v>0</v>
      </c>
      <c r="S1087" s="45">
        <f>IFERROR(IF(P1087="","",P1087*INDEX(Ingredients!$R$5:$R$304,MATCH(D1087,Ingredients!$B$5:$B$304,0))),"")</f>
        <v>0</v>
      </c>
      <c r="T1087" s="45">
        <f>IFERROR(IF(P1087="","",P1087*INDEX(Ingredients!$S$5:$S$304,MATCH(D1087,Ingredients!$B$5:$B$304,0))),"")</f>
        <v>0</v>
      </c>
      <c r="U1087" s="45">
        <f>IFERROR(IF(P1087="","",P1087*INDEX(Ingredients!$T$5:$T$304,MATCH(D1087,Ingredients!$B$5:$B$304,0))),"")</f>
        <v>0</v>
      </c>
      <c r="V1087" s="17">
        <f>IF(D1087="","",IFERROR(INDEX(Ingredients!$W$5:$W$304,MATCH(D1087,Ingredients!$B$5:$B$304,0)),"Add to Ingredients"))</f>
        <v>0</v>
      </c>
      <c r="W1087" s="17">
        <f>IF(D1087="","",IFERROR(INDEX(Ingredients!$C$5:$C$304,MATCH(D1087,Ingredients!$B$5:$B$304,0)),"Add to Ingredients"))</f>
        <v>0</v>
      </c>
      <c r="X1087" s="45">
        <f>IFERROR(INDEX(Recipes!$AT$5:$AT$204,MATCH(B1087,Recipes!$A$5:$A$204,0)),0)</f>
        <v>0</v>
      </c>
      <c r="Y1087" s="45">
        <f>IF(OR(J1087="",X1087=0),"",J1087*X1087)</f>
        <v>0</v>
      </c>
      <c r="Z1087" s="17">
        <f>IF(D1087="","",B1087&amp;"#"&amp;COUNTIFS($B$5:B1087,B1087))</f>
        <v>0</v>
      </c>
      <c r="AA1087" s="17">
        <f>IF(D1087="","",B1087&amp;"|"&amp;D1087)</f>
        <v>0</v>
      </c>
      <c r="AB1087" s="31">
        <f>IF(D1087="","",IF(B1087="","Add - which recipe?",IF(COUNTIFS(Ingredients!$B$5:$B$304,D1087)=0,"Missing - not in the Ingredients tab",IF(E1087="","Add - no quantity",IF(F1087="","Add - no unit",IF(K1087&lt;&gt;L1087,"Check - recipe in "&amp;K1087&amp;", priced in "&amp;L1087,IF(COUNTIFS($AA$5:$AA$1204,AA1087)&gt;1,"Duplicate - same ingredient twice","OK")))))))</f>
        <v>0</v>
      </c>
    </row>
    <row r="1088" spans="1:28">
      <c r="A1088" s="39">
        <f>IF(D1088="","","RL-"&amp;TEXT(ROW()-4,"0000"))</f>
        <v>0</v>
      </c>
      <c r="C1088" s="17">
        <f>IF(B1088="","",IFERROR(INDEX(Recipes!$B$5:$B$204,MATCH(B1088,Recipes!$A$5:$A$204,0)),"Not found"))</f>
        <v>0</v>
      </c>
      <c r="J1088" s="45">
        <f>IF(E1088="","",IFERROR(E1088*INDEX(UnitFactors,MATCH(F1088,UnitNames,0)),""))</f>
        <v>0</v>
      </c>
      <c r="K1088" s="17">
        <f>IF(F1088="","",IFERROR(INDEX(UnitBases,MATCH(F1088,UnitNames,0)),"?"))</f>
        <v>0</v>
      </c>
      <c r="L1088" s="17">
        <f>IF(D1088="","",IFERROR(INDEX(Ingredients!$G$5:$G$304,MATCH(D1088,Ingredients!$B$5:$B$304,0)),"Add to Ingredients"))</f>
        <v>0</v>
      </c>
      <c r="M1088" s="25">
        <f>IF(D1088="","",IFERROR(INDEX(Ingredients!$J$5:$J$304,MATCH(D1088,Ingredients!$B$5:$B$304,0)),"Add to Ingredients"))</f>
        <v>0</v>
      </c>
      <c r="N1088" s="25">
        <f>IF(OR(J1088="",M1088="",NOT(ISNUMBER(M1088))),"",IF(K1088&lt;&gt;L1088,"",J1088*M1088))</f>
        <v>0</v>
      </c>
      <c r="O1088" s="25">
        <f>IF(N1088="","",IFERROR(N1088/INDEX(Recipes!$G$5:$G$204,MATCH(B1088,Recipes!$A$5:$A$204,0)),""))</f>
        <v>0</v>
      </c>
      <c r="P1088" s="30">
        <f>IF(J1088="","",IF(K1088="each",J1088,J1088/100))</f>
        <v>0</v>
      </c>
      <c r="Q1088" s="30">
        <f>IFERROR(IF(P1088="","",P1088*INDEX(Ingredients!$P$5:$P$304,MATCH(D1088,Ingredients!$B$5:$B$304,0))),"")</f>
        <v>0</v>
      </c>
      <c r="R1088" s="45">
        <f>IFERROR(IF(P1088="","",P1088*INDEX(Ingredients!$Q$5:$Q$304,MATCH(D1088,Ingredients!$B$5:$B$304,0))),"")</f>
        <v>0</v>
      </c>
      <c r="S1088" s="45">
        <f>IFERROR(IF(P1088="","",P1088*INDEX(Ingredients!$R$5:$R$304,MATCH(D1088,Ingredients!$B$5:$B$304,0))),"")</f>
        <v>0</v>
      </c>
      <c r="T1088" s="45">
        <f>IFERROR(IF(P1088="","",P1088*INDEX(Ingredients!$S$5:$S$304,MATCH(D1088,Ingredients!$B$5:$B$304,0))),"")</f>
        <v>0</v>
      </c>
      <c r="U1088" s="45">
        <f>IFERROR(IF(P1088="","",P1088*INDEX(Ingredients!$T$5:$T$304,MATCH(D1088,Ingredients!$B$5:$B$304,0))),"")</f>
        <v>0</v>
      </c>
      <c r="V1088" s="17">
        <f>IF(D1088="","",IFERROR(INDEX(Ingredients!$W$5:$W$304,MATCH(D1088,Ingredients!$B$5:$B$304,0)),"Add to Ingredients"))</f>
        <v>0</v>
      </c>
      <c r="W1088" s="17">
        <f>IF(D1088="","",IFERROR(INDEX(Ingredients!$C$5:$C$304,MATCH(D1088,Ingredients!$B$5:$B$304,0)),"Add to Ingredients"))</f>
        <v>0</v>
      </c>
      <c r="X1088" s="45">
        <f>IFERROR(INDEX(Recipes!$AT$5:$AT$204,MATCH(B1088,Recipes!$A$5:$A$204,0)),0)</f>
        <v>0</v>
      </c>
      <c r="Y1088" s="45">
        <f>IF(OR(J1088="",X1088=0),"",J1088*X1088)</f>
        <v>0</v>
      </c>
      <c r="Z1088" s="17">
        <f>IF(D1088="","",B1088&amp;"#"&amp;COUNTIFS($B$5:B1088,B1088))</f>
        <v>0</v>
      </c>
      <c r="AA1088" s="17">
        <f>IF(D1088="","",B1088&amp;"|"&amp;D1088)</f>
        <v>0</v>
      </c>
      <c r="AB1088" s="31">
        <f>IF(D1088="","",IF(B1088="","Add - which recipe?",IF(COUNTIFS(Ingredients!$B$5:$B$304,D1088)=0,"Missing - not in the Ingredients tab",IF(E1088="","Add - no quantity",IF(F1088="","Add - no unit",IF(K1088&lt;&gt;L1088,"Check - recipe in "&amp;K1088&amp;", priced in "&amp;L1088,IF(COUNTIFS($AA$5:$AA$1204,AA1088)&gt;1,"Duplicate - same ingredient twice","OK")))))))</f>
        <v>0</v>
      </c>
    </row>
    <row r="1089" spans="1:28">
      <c r="A1089" s="39">
        <f>IF(D1089="","","RL-"&amp;TEXT(ROW()-4,"0000"))</f>
        <v>0</v>
      </c>
      <c r="C1089" s="17">
        <f>IF(B1089="","",IFERROR(INDEX(Recipes!$B$5:$B$204,MATCH(B1089,Recipes!$A$5:$A$204,0)),"Not found"))</f>
        <v>0</v>
      </c>
      <c r="J1089" s="45">
        <f>IF(E1089="","",IFERROR(E1089*INDEX(UnitFactors,MATCH(F1089,UnitNames,0)),""))</f>
        <v>0</v>
      </c>
      <c r="K1089" s="17">
        <f>IF(F1089="","",IFERROR(INDEX(UnitBases,MATCH(F1089,UnitNames,0)),"?"))</f>
        <v>0</v>
      </c>
      <c r="L1089" s="17">
        <f>IF(D1089="","",IFERROR(INDEX(Ingredients!$G$5:$G$304,MATCH(D1089,Ingredients!$B$5:$B$304,0)),"Add to Ingredients"))</f>
        <v>0</v>
      </c>
      <c r="M1089" s="25">
        <f>IF(D1089="","",IFERROR(INDEX(Ingredients!$J$5:$J$304,MATCH(D1089,Ingredients!$B$5:$B$304,0)),"Add to Ingredients"))</f>
        <v>0</v>
      </c>
      <c r="N1089" s="25">
        <f>IF(OR(J1089="",M1089="",NOT(ISNUMBER(M1089))),"",IF(K1089&lt;&gt;L1089,"",J1089*M1089))</f>
        <v>0</v>
      </c>
      <c r="O1089" s="25">
        <f>IF(N1089="","",IFERROR(N1089/INDEX(Recipes!$G$5:$G$204,MATCH(B1089,Recipes!$A$5:$A$204,0)),""))</f>
        <v>0</v>
      </c>
      <c r="P1089" s="30">
        <f>IF(J1089="","",IF(K1089="each",J1089,J1089/100))</f>
        <v>0</v>
      </c>
      <c r="Q1089" s="30">
        <f>IFERROR(IF(P1089="","",P1089*INDEX(Ingredients!$P$5:$P$304,MATCH(D1089,Ingredients!$B$5:$B$304,0))),"")</f>
        <v>0</v>
      </c>
      <c r="R1089" s="45">
        <f>IFERROR(IF(P1089="","",P1089*INDEX(Ingredients!$Q$5:$Q$304,MATCH(D1089,Ingredients!$B$5:$B$304,0))),"")</f>
        <v>0</v>
      </c>
      <c r="S1089" s="45">
        <f>IFERROR(IF(P1089="","",P1089*INDEX(Ingredients!$R$5:$R$304,MATCH(D1089,Ingredients!$B$5:$B$304,0))),"")</f>
        <v>0</v>
      </c>
      <c r="T1089" s="45">
        <f>IFERROR(IF(P1089="","",P1089*INDEX(Ingredients!$S$5:$S$304,MATCH(D1089,Ingredients!$B$5:$B$304,0))),"")</f>
        <v>0</v>
      </c>
      <c r="U1089" s="45">
        <f>IFERROR(IF(P1089="","",P1089*INDEX(Ingredients!$T$5:$T$304,MATCH(D1089,Ingredients!$B$5:$B$304,0))),"")</f>
        <v>0</v>
      </c>
      <c r="V1089" s="17">
        <f>IF(D1089="","",IFERROR(INDEX(Ingredients!$W$5:$W$304,MATCH(D1089,Ingredients!$B$5:$B$304,0)),"Add to Ingredients"))</f>
        <v>0</v>
      </c>
      <c r="W1089" s="17">
        <f>IF(D1089="","",IFERROR(INDEX(Ingredients!$C$5:$C$304,MATCH(D1089,Ingredients!$B$5:$B$304,0)),"Add to Ingredients"))</f>
        <v>0</v>
      </c>
      <c r="X1089" s="45">
        <f>IFERROR(INDEX(Recipes!$AT$5:$AT$204,MATCH(B1089,Recipes!$A$5:$A$204,0)),0)</f>
        <v>0</v>
      </c>
      <c r="Y1089" s="45">
        <f>IF(OR(J1089="",X1089=0),"",J1089*X1089)</f>
        <v>0</v>
      </c>
      <c r="Z1089" s="17">
        <f>IF(D1089="","",B1089&amp;"#"&amp;COUNTIFS($B$5:B1089,B1089))</f>
        <v>0</v>
      </c>
      <c r="AA1089" s="17">
        <f>IF(D1089="","",B1089&amp;"|"&amp;D1089)</f>
        <v>0</v>
      </c>
      <c r="AB1089" s="31">
        <f>IF(D1089="","",IF(B1089="","Add - which recipe?",IF(COUNTIFS(Ingredients!$B$5:$B$304,D1089)=0,"Missing - not in the Ingredients tab",IF(E1089="","Add - no quantity",IF(F1089="","Add - no unit",IF(K1089&lt;&gt;L1089,"Check - recipe in "&amp;K1089&amp;", priced in "&amp;L1089,IF(COUNTIFS($AA$5:$AA$1204,AA1089)&gt;1,"Duplicate - same ingredient twice","OK")))))))</f>
        <v>0</v>
      </c>
    </row>
    <row r="1090" spans="1:28">
      <c r="A1090" s="39">
        <f>IF(D1090="","","RL-"&amp;TEXT(ROW()-4,"0000"))</f>
        <v>0</v>
      </c>
      <c r="C1090" s="17">
        <f>IF(B1090="","",IFERROR(INDEX(Recipes!$B$5:$B$204,MATCH(B1090,Recipes!$A$5:$A$204,0)),"Not found"))</f>
        <v>0</v>
      </c>
      <c r="J1090" s="45">
        <f>IF(E1090="","",IFERROR(E1090*INDEX(UnitFactors,MATCH(F1090,UnitNames,0)),""))</f>
        <v>0</v>
      </c>
      <c r="K1090" s="17">
        <f>IF(F1090="","",IFERROR(INDEX(UnitBases,MATCH(F1090,UnitNames,0)),"?"))</f>
        <v>0</v>
      </c>
      <c r="L1090" s="17">
        <f>IF(D1090="","",IFERROR(INDEX(Ingredients!$G$5:$G$304,MATCH(D1090,Ingredients!$B$5:$B$304,0)),"Add to Ingredients"))</f>
        <v>0</v>
      </c>
      <c r="M1090" s="25">
        <f>IF(D1090="","",IFERROR(INDEX(Ingredients!$J$5:$J$304,MATCH(D1090,Ingredients!$B$5:$B$304,0)),"Add to Ingredients"))</f>
        <v>0</v>
      </c>
      <c r="N1090" s="25">
        <f>IF(OR(J1090="",M1090="",NOT(ISNUMBER(M1090))),"",IF(K1090&lt;&gt;L1090,"",J1090*M1090))</f>
        <v>0</v>
      </c>
      <c r="O1090" s="25">
        <f>IF(N1090="","",IFERROR(N1090/INDEX(Recipes!$G$5:$G$204,MATCH(B1090,Recipes!$A$5:$A$204,0)),""))</f>
        <v>0</v>
      </c>
      <c r="P1090" s="30">
        <f>IF(J1090="","",IF(K1090="each",J1090,J1090/100))</f>
        <v>0</v>
      </c>
      <c r="Q1090" s="30">
        <f>IFERROR(IF(P1090="","",P1090*INDEX(Ingredients!$P$5:$P$304,MATCH(D1090,Ingredients!$B$5:$B$304,0))),"")</f>
        <v>0</v>
      </c>
      <c r="R1090" s="45">
        <f>IFERROR(IF(P1090="","",P1090*INDEX(Ingredients!$Q$5:$Q$304,MATCH(D1090,Ingredients!$B$5:$B$304,0))),"")</f>
        <v>0</v>
      </c>
      <c r="S1090" s="45">
        <f>IFERROR(IF(P1090="","",P1090*INDEX(Ingredients!$R$5:$R$304,MATCH(D1090,Ingredients!$B$5:$B$304,0))),"")</f>
        <v>0</v>
      </c>
      <c r="T1090" s="45">
        <f>IFERROR(IF(P1090="","",P1090*INDEX(Ingredients!$S$5:$S$304,MATCH(D1090,Ingredients!$B$5:$B$304,0))),"")</f>
        <v>0</v>
      </c>
      <c r="U1090" s="45">
        <f>IFERROR(IF(P1090="","",P1090*INDEX(Ingredients!$T$5:$T$304,MATCH(D1090,Ingredients!$B$5:$B$304,0))),"")</f>
        <v>0</v>
      </c>
      <c r="V1090" s="17">
        <f>IF(D1090="","",IFERROR(INDEX(Ingredients!$W$5:$W$304,MATCH(D1090,Ingredients!$B$5:$B$304,0)),"Add to Ingredients"))</f>
        <v>0</v>
      </c>
      <c r="W1090" s="17">
        <f>IF(D1090="","",IFERROR(INDEX(Ingredients!$C$5:$C$304,MATCH(D1090,Ingredients!$B$5:$B$304,0)),"Add to Ingredients"))</f>
        <v>0</v>
      </c>
      <c r="X1090" s="45">
        <f>IFERROR(INDEX(Recipes!$AT$5:$AT$204,MATCH(B1090,Recipes!$A$5:$A$204,0)),0)</f>
        <v>0</v>
      </c>
      <c r="Y1090" s="45">
        <f>IF(OR(J1090="",X1090=0),"",J1090*X1090)</f>
        <v>0</v>
      </c>
      <c r="Z1090" s="17">
        <f>IF(D1090="","",B1090&amp;"#"&amp;COUNTIFS($B$5:B1090,B1090))</f>
        <v>0</v>
      </c>
      <c r="AA1090" s="17">
        <f>IF(D1090="","",B1090&amp;"|"&amp;D1090)</f>
        <v>0</v>
      </c>
      <c r="AB1090" s="31">
        <f>IF(D1090="","",IF(B1090="","Add - which recipe?",IF(COUNTIFS(Ingredients!$B$5:$B$304,D1090)=0,"Missing - not in the Ingredients tab",IF(E1090="","Add - no quantity",IF(F1090="","Add - no unit",IF(K1090&lt;&gt;L1090,"Check - recipe in "&amp;K1090&amp;", priced in "&amp;L1090,IF(COUNTIFS($AA$5:$AA$1204,AA1090)&gt;1,"Duplicate - same ingredient twice","OK")))))))</f>
        <v>0</v>
      </c>
    </row>
    <row r="1091" spans="1:28">
      <c r="A1091" s="39">
        <f>IF(D1091="","","RL-"&amp;TEXT(ROW()-4,"0000"))</f>
        <v>0</v>
      </c>
      <c r="C1091" s="17">
        <f>IF(B1091="","",IFERROR(INDEX(Recipes!$B$5:$B$204,MATCH(B1091,Recipes!$A$5:$A$204,0)),"Not found"))</f>
        <v>0</v>
      </c>
      <c r="J1091" s="45">
        <f>IF(E1091="","",IFERROR(E1091*INDEX(UnitFactors,MATCH(F1091,UnitNames,0)),""))</f>
        <v>0</v>
      </c>
      <c r="K1091" s="17">
        <f>IF(F1091="","",IFERROR(INDEX(UnitBases,MATCH(F1091,UnitNames,0)),"?"))</f>
        <v>0</v>
      </c>
      <c r="L1091" s="17">
        <f>IF(D1091="","",IFERROR(INDEX(Ingredients!$G$5:$G$304,MATCH(D1091,Ingredients!$B$5:$B$304,0)),"Add to Ingredients"))</f>
        <v>0</v>
      </c>
      <c r="M1091" s="25">
        <f>IF(D1091="","",IFERROR(INDEX(Ingredients!$J$5:$J$304,MATCH(D1091,Ingredients!$B$5:$B$304,0)),"Add to Ingredients"))</f>
        <v>0</v>
      </c>
      <c r="N1091" s="25">
        <f>IF(OR(J1091="",M1091="",NOT(ISNUMBER(M1091))),"",IF(K1091&lt;&gt;L1091,"",J1091*M1091))</f>
        <v>0</v>
      </c>
      <c r="O1091" s="25">
        <f>IF(N1091="","",IFERROR(N1091/INDEX(Recipes!$G$5:$G$204,MATCH(B1091,Recipes!$A$5:$A$204,0)),""))</f>
        <v>0</v>
      </c>
      <c r="P1091" s="30">
        <f>IF(J1091="","",IF(K1091="each",J1091,J1091/100))</f>
        <v>0</v>
      </c>
      <c r="Q1091" s="30">
        <f>IFERROR(IF(P1091="","",P1091*INDEX(Ingredients!$P$5:$P$304,MATCH(D1091,Ingredients!$B$5:$B$304,0))),"")</f>
        <v>0</v>
      </c>
      <c r="R1091" s="45">
        <f>IFERROR(IF(P1091="","",P1091*INDEX(Ingredients!$Q$5:$Q$304,MATCH(D1091,Ingredients!$B$5:$B$304,0))),"")</f>
        <v>0</v>
      </c>
      <c r="S1091" s="45">
        <f>IFERROR(IF(P1091="","",P1091*INDEX(Ingredients!$R$5:$R$304,MATCH(D1091,Ingredients!$B$5:$B$304,0))),"")</f>
        <v>0</v>
      </c>
      <c r="T1091" s="45">
        <f>IFERROR(IF(P1091="","",P1091*INDEX(Ingredients!$S$5:$S$304,MATCH(D1091,Ingredients!$B$5:$B$304,0))),"")</f>
        <v>0</v>
      </c>
      <c r="U1091" s="45">
        <f>IFERROR(IF(P1091="","",P1091*INDEX(Ingredients!$T$5:$T$304,MATCH(D1091,Ingredients!$B$5:$B$304,0))),"")</f>
        <v>0</v>
      </c>
      <c r="V1091" s="17">
        <f>IF(D1091="","",IFERROR(INDEX(Ingredients!$W$5:$W$304,MATCH(D1091,Ingredients!$B$5:$B$304,0)),"Add to Ingredients"))</f>
        <v>0</v>
      </c>
      <c r="W1091" s="17">
        <f>IF(D1091="","",IFERROR(INDEX(Ingredients!$C$5:$C$304,MATCH(D1091,Ingredients!$B$5:$B$304,0)),"Add to Ingredients"))</f>
        <v>0</v>
      </c>
      <c r="X1091" s="45">
        <f>IFERROR(INDEX(Recipes!$AT$5:$AT$204,MATCH(B1091,Recipes!$A$5:$A$204,0)),0)</f>
        <v>0</v>
      </c>
      <c r="Y1091" s="45">
        <f>IF(OR(J1091="",X1091=0),"",J1091*X1091)</f>
        <v>0</v>
      </c>
      <c r="Z1091" s="17">
        <f>IF(D1091="","",B1091&amp;"#"&amp;COUNTIFS($B$5:B1091,B1091))</f>
        <v>0</v>
      </c>
      <c r="AA1091" s="17">
        <f>IF(D1091="","",B1091&amp;"|"&amp;D1091)</f>
        <v>0</v>
      </c>
      <c r="AB1091" s="31">
        <f>IF(D1091="","",IF(B1091="","Add - which recipe?",IF(COUNTIFS(Ingredients!$B$5:$B$304,D1091)=0,"Missing - not in the Ingredients tab",IF(E1091="","Add - no quantity",IF(F1091="","Add - no unit",IF(K1091&lt;&gt;L1091,"Check - recipe in "&amp;K1091&amp;", priced in "&amp;L1091,IF(COUNTIFS($AA$5:$AA$1204,AA1091)&gt;1,"Duplicate - same ingredient twice","OK")))))))</f>
        <v>0</v>
      </c>
    </row>
    <row r="1092" spans="1:28">
      <c r="A1092" s="39">
        <f>IF(D1092="","","RL-"&amp;TEXT(ROW()-4,"0000"))</f>
        <v>0</v>
      </c>
      <c r="C1092" s="17">
        <f>IF(B1092="","",IFERROR(INDEX(Recipes!$B$5:$B$204,MATCH(B1092,Recipes!$A$5:$A$204,0)),"Not found"))</f>
        <v>0</v>
      </c>
      <c r="J1092" s="45">
        <f>IF(E1092="","",IFERROR(E1092*INDEX(UnitFactors,MATCH(F1092,UnitNames,0)),""))</f>
        <v>0</v>
      </c>
      <c r="K1092" s="17">
        <f>IF(F1092="","",IFERROR(INDEX(UnitBases,MATCH(F1092,UnitNames,0)),"?"))</f>
        <v>0</v>
      </c>
      <c r="L1092" s="17">
        <f>IF(D1092="","",IFERROR(INDEX(Ingredients!$G$5:$G$304,MATCH(D1092,Ingredients!$B$5:$B$304,0)),"Add to Ingredients"))</f>
        <v>0</v>
      </c>
      <c r="M1092" s="25">
        <f>IF(D1092="","",IFERROR(INDEX(Ingredients!$J$5:$J$304,MATCH(D1092,Ingredients!$B$5:$B$304,0)),"Add to Ingredients"))</f>
        <v>0</v>
      </c>
      <c r="N1092" s="25">
        <f>IF(OR(J1092="",M1092="",NOT(ISNUMBER(M1092))),"",IF(K1092&lt;&gt;L1092,"",J1092*M1092))</f>
        <v>0</v>
      </c>
      <c r="O1092" s="25">
        <f>IF(N1092="","",IFERROR(N1092/INDEX(Recipes!$G$5:$G$204,MATCH(B1092,Recipes!$A$5:$A$204,0)),""))</f>
        <v>0</v>
      </c>
      <c r="P1092" s="30">
        <f>IF(J1092="","",IF(K1092="each",J1092,J1092/100))</f>
        <v>0</v>
      </c>
      <c r="Q1092" s="30">
        <f>IFERROR(IF(P1092="","",P1092*INDEX(Ingredients!$P$5:$P$304,MATCH(D1092,Ingredients!$B$5:$B$304,0))),"")</f>
        <v>0</v>
      </c>
      <c r="R1092" s="45">
        <f>IFERROR(IF(P1092="","",P1092*INDEX(Ingredients!$Q$5:$Q$304,MATCH(D1092,Ingredients!$B$5:$B$304,0))),"")</f>
        <v>0</v>
      </c>
      <c r="S1092" s="45">
        <f>IFERROR(IF(P1092="","",P1092*INDEX(Ingredients!$R$5:$R$304,MATCH(D1092,Ingredients!$B$5:$B$304,0))),"")</f>
        <v>0</v>
      </c>
      <c r="T1092" s="45">
        <f>IFERROR(IF(P1092="","",P1092*INDEX(Ingredients!$S$5:$S$304,MATCH(D1092,Ingredients!$B$5:$B$304,0))),"")</f>
        <v>0</v>
      </c>
      <c r="U1092" s="45">
        <f>IFERROR(IF(P1092="","",P1092*INDEX(Ingredients!$T$5:$T$304,MATCH(D1092,Ingredients!$B$5:$B$304,0))),"")</f>
        <v>0</v>
      </c>
      <c r="V1092" s="17">
        <f>IF(D1092="","",IFERROR(INDEX(Ingredients!$W$5:$W$304,MATCH(D1092,Ingredients!$B$5:$B$304,0)),"Add to Ingredients"))</f>
        <v>0</v>
      </c>
      <c r="W1092" s="17">
        <f>IF(D1092="","",IFERROR(INDEX(Ingredients!$C$5:$C$304,MATCH(D1092,Ingredients!$B$5:$B$304,0)),"Add to Ingredients"))</f>
        <v>0</v>
      </c>
      <c r="X1092" s="45">
        <f>IFERROR(INDEX(Recipes!$AT$5:$AT$204,MATCH(B1092,Recipes!$A$5:$A$204,0)),0)</f>
        <v>0</v>
      </c>
      <c r="Y1092" s="45">
        <f>IF(OR(J1092="",X1092=0),"",J1092*X1092)</f>
        <v>0</v>
      </c>
      <c r="Z1092" s="17">
        <f>IF(D1092="","",B1092&amp;"#"&amp;COUNTIFS($B$5:B1092,B1092))</f>
        <v>0</v>
      </c>
      <c r="AA1092" s="17">
        <f>IF(D1092="","",B1092&amp;"|"&amp;D1092)</f>
        <v>0</v>
      </c>
      <c r="AB1092" s="31">
        <f>IF(D1092="","",IF(B1092="","Add - which recipe?",IF(COUNTIFS(Ingredients!$B$5:$B$304,D1092)=0,"Missing - not in the Ingredients tab",IF(E1092="","Add - no quantity",IF(F1092="","Add - no unit",IF(K1092&lt;&gt;L1092,"Check - recipe in "&amp;K1092&amp;", priced in "&amp;L1092,IF(COUNTIFS($AA$5:$AA$1204,AA1092)&gt;1,"Duplicate - same ingredient twice","OK")))))))</f>
        <v>0</v>
      </c>
    </row>
    <row r="1093" spans="1:28">
      <c r="A1093" s="39">
        <f>IF(D1093="","","RL-"&amp;TEXT(ROW()-4,"0000"))</f>
        <v>0</v>
      </c>
      <c r="C1093" s="17">
        <f>IF(B1093="","",IFERROR(INDEX(Recipes!$B$5:$B$204,MATCH(B1093,Recipes!$A$5:$A$204,0)),"Not found"))</f>
        <v>0</v>
      </c>
      <c r="J1093" s="45">
        <f>IF(E1093="","",IFERROR(E1093*INDEX(UnitFactors,MATCH(F1093,UnitNames,0)),""))</f>
        <v>0</v>
      </c>
      <c r="K1093" s="17">
        <f>IF(F1093="","",IFERROR(INDEX(UnitBases,MATCH(F1093,UnitNames,0)),"?"))</f>
        <v>0</v>
      </c>
      <c r="L1093" s="17">
        <f>IF(D1093="","",IFERROR(INDEX(Ingredients!$G$5:$G$304,MATCH(D1093,Ingredients!$B$5:$B$304,0)),"Add to Ingredients"))</f>
        <v>0</v>
      </c>
      <c r="M1093" s="25">
        <f>IF(D1093="","",IFERROR(INDEX(Ingredients!$J$5:$J$304,MATCH(D1093,Ingredients!$B$5:$B$304,0)),"Add to Ingredients"))</f>
        <v>0</v>
      </c>
      <c r="N1093" s="25">
        <f>IF(OR(J1093="",M1093="",NOT(ISNUMBER(M1093))),"",IF(K1093&lt;&gt;L1093,"",J1093*M1093))</f>
        <v>0</v>
      </c>
      <c r="O1093" s="25">
        <f>IF(N1093="","",IFERROR(N1093/INDEX(Recipes!$G$5:$G$204,MATCH(B1093,Recipes!$A$5:$A$204,0)),""))</f>
        <v>0</v>
      </c>
      <c r="P1093" s="30">
        <f>IF(J1093="","",IF(K1093="each",J1093,J1093/100))</f>
        <v>0</v>
      </c>
      <c r="Q1093" s="30">
        <f>IFERROR(IF(P1093="","",P1093*INDEX(Ingredients!$P$5:$P$304,MATCH(D1093,Ingredients!$B$5:$B$304,0))),"")</f>
        <v>0</v>
      </c>
      <c r="R1093" s="45">
        <f>IFERROR(IF(P1093="","",P1093*INDEX(Ingredients!$Q$5:$Q$304,MATCH(D1093,Ingredients!$B$5:$B$304,0))),"")</f>
        <v>0</v>
      </c>
      <c r="S1093" s="45">
        <f>IFERROR(IF(P1093="","",P1093*INDEX(Ingredients!$R$5:$R$304,MATCH(D1093,Ingredients!$B$5:$B$304,0))),"")</f>
        <v>0</v>
      </c>
      <c r="T1093" s="45">
        <f>IFERROR(IF(P1093="","",P1093*INDEX(Ingredients!$S$5:$S$304,MATCH(D1093,Ingredients!$B$5:$B$304,0))),"")</f>
        <v>0</v>
      </c>
      <c r="U1093" s="45">
        <f>IFERROR(IF(P1093="","",P1093*INDEX(Ingredients!$T$5:$T$304,MATCH(D1093,Ingredients!$B$5:$B$304,0))),"")</f>
        <v>0</v>
      </c>
      <c r="V1093" s="17">
        <f>IF(D1093="","",IFERROR(INDEX(Ingredients!$W$5:$W$304,MATCH(D1093,Ingredients!$B$5:$B$304,0)),"Add to Ingredients"))</f>
        <v>0</v>
      </c>
      <c r="W1093" s="17">
        <f>IF(D1093="","",IFERROR(INDEX(Ingredients!$C$5:$C$304,MATCH(D1093,Ingredients!$B$5:$B$304,0)),"Add to Ingredients"))</f>
        <v>0</v>
      </c>
      <c r="X1093" s="45">
        <f>IFERROR(INDEX(Recipes!$AT$5:$AT$204,MATCH(B1093,Recipes!$A$5:$A$204,0)),0)</f>
        <v>0</v>
      </c>
      <c r="Y1093" s="45">
        <f>IF(OR(J1093="",X1093=0),"",J1093*X1093)</f>
        <v>0</v>
      </c>
      <c r="Z1093" s="17">
        <f>IF(D1093="","",B1093&amp;"#"&amp;COUNTIFS($B$5:B1093,B1093))</f>
        <v>0</v>
      </c>
      <c r="AA1093" s="17">
        <f>IF(D1093="","",B1093&amp;"|"&amp;D1093)</f>
        <v>0</v>
      </c>
      <c r="AB1093" s="31">
        <f>IF(D1093="","",IF(B1093="","Add - which recipe?",IF(COUNTIFS(Ingredients!$B$5:$B$304,D1093)=0,"Missing - not in the Ingredients tab",IF(E1093="","Add - no quantity",IF(F1093="","Add - no unit",IF(K1093&lt;&gt;L1093,"Check - recipe in "&amp;K1093&amp;", priced in "&amp;L1093,IF(COUNTIFS($AA$5:$AA$1204,AA1093)&gt;1,"Duplicate - same ingredient twice","OK")))))))</f>
        <v>0</v>
      </c>
    </row>
    <row r="1094" spans="1:28">
      <c r="A1094" s="39">
        <f>IF(D1094="","","RL-"&amp;TEXT(ROW()-4,"0000"))</f>
        <v>0</v>
      </c>
      <c r="C1094" s="17">
        <f>IF(B1094="","",IFERROR(INDEX(Recipes!$B$5:$B$204,MATCH(B1094,Recipes!$A$5:$A$204,0)),"Not found"))</f>
        <v>0</v>
      </c>
      <c r="J1094" s="45">
        <f>IF(E1094="","",IFERROR(E1094*INDEX(UnitFactors,MATCH(F1094,UnitNames,0)),""))</f>
        <v>0</v>
      </c>
      <c r="K1094" s="17">
        <f>IF(F1094="","",IFERROR(INDEX(UnitBases,MATCH(F1094,UnitNames,0)),"?"))</f>
        <v>0</v>
      </c>
      <c r="L1094" s="17">
        <f>IF(D1094="","",IFERROR(INDEX(Ingredients!$G$5:$G$304,MATCH(D1094,Ingredients!$B$5:$B$304,0)),"Add to Ingredients"))</f>
        <v>0</v>
      </c>
      <c r="M1094" s="25">
        <f>IF(D1094="","",IFERROR(INDEX(Ingredients!$J$5:$J$304,MATCH(D1094,Ingredients!$B$5:$B$304,0)),"Add to Ingredients"))</f>
        <v>0</v>
      </c>
      <c r="N1094" s="25">
        <f>IF(OR(J1094="",M1094="",NOT(ISNUMBER(M1094))),"",IF(K1094&lt;&gt;L1094,"",J1094*M1094))</f>
        <v>0</v>
      </c>
      <c r="O1094" s="25">
        <f>IF(N1094="","",IFERROR(N1094/INDEX(Recipes!$G$5:$G$204,MATCH(B1094,Recipes!$A$5:$A$204,0)),""))</f>
        <v>0</v>
      </c>
      <c r="P1094" s="30">
        <f>IF(J1094="","",IF(K1094="each",J1094,J1094/100))</f>
        <v>0</v>
      </c>
      <c r="Q1094" s="30">
        <f>IFERROR(IF(P1094="","",P1094*INDEX(Ingredients!$P$5:$P$304,MATCH(D1094,Ingredients!$B$5:$B$304,0))),"")</f>
        <v>0</v>
      </c>
      <c r="R1094" s="45">
        <f>IFERROR(IF(P1094="","",P1094*INDEX(Ingredients!$Q$5:$Q$304,MATCH(D1094,Ingredients!$B$5:$B$304,0))),"")</f>
        <v>0</v>
      </c>
      <c r="S1094" s="45">
        <f>IFERROR(IF(P1094="","",P1094*INDEX(Ingredients!$R$5:$R$304,MATCH(D1094,Ingredients!$B$5:$B$304,0))),"")</f>
        <v>0</v>
      </c>
      <c r="T1094" s="45">
        <f>IFERROR(IF(P1094="","",P1094*INDEX(Ingredients!$S$5:$S$304,MATCH(D1094,Ingredients!$B$5:$B$304,0))),"")</f>
        <v>0</v>
      </c>
      <c r="U1094" s="45">
        <f>IFERROR(IF(P1094="","",P1094*INDEX(Ingredients!$T$5:$T$304,MATCH(D1094,Ingredients!$B$5:$B$304,0))),"")</f>
        <v>0</v>
      </c>
      <c r="V1094" s="17">
        <f>IF(D1094="","",IFERROR(INDEX(Ingredients!$W$5:$W$304,MATCH(D1094,Ingredients!$B$5:$B$304,0)),"Add to Ingredients"))</f>
        <v>0</v>
      </c>
      <c r="W1094" s="17">
        <f>IF(D1094="","",IFERROR(INDEX(Ingredients!$C$5:$C$304,MATCH(D1094,Ingredients!$B$5:$B$304,0)),"Add to Ingredients"))</f>
        <v>0</v>
      </c>
      <c r="X1094" s="45">
        <f>IFERROR(INDEX(Recipes!$AT$5:$AT$204,MATCH(B1094,Recipes!$A$5:$A$204,0)),0)</f>
        <v>0</v>
      </c>
      <c r="Y1094" s="45">
        <f>IF(OR(J1094="",X1094=0),"",J1094*X1094)</f>
        <v>0</v>
      </c>
      <c r="Z1094" s="17">
        <f>IF(D1094="","",B1094&amp;"#"&amp;COUNTIFS($B$5:B1094,B1094))</f>
        <v>0</v>
      </c>
      <c r="AA1094" s="17">
        <f>IF(D1094="","",B1094&amp;"|"&amp;D1094)</f>
        <v>0</v>
      </c>
      <c r="AB1094" s="31">
        <f>IF(D1094="","",IF(B1094="","Add - which recipe?",IF(COUNTIFS(Ingredients!$B$5:$B$304,D1094)=0,"Missing - not in the Ingredients tab",IF(E1094="","Add - no quantity",IF(F1094="","Add - no unit",IF(K1094&lt;&gt;L1094,"Check - recipe in "&amp;K1094&amp;", priced in "&amp;L1094,IF(COUNTIFS($AA$5:$AA$1204,AA1094)&gt;1,"Duplicate - same ingredient twice","OK")))))))</f>
        <v>0</v>
      </c>
    </row>
    <row r="1095" spans="1:28">
      <c r="A1095" s="39">
        <f>IF(D1095="","","RL-"&amp;TEXT(ROW()-4,"0000"))</f>
        <v>0</v>
      </c>
      <c r="C1095" s="17">
        <f>IF(B1095="","",IFERROR(INDEX(Recipes!$B$5:$B$204,MATCH(B1095,Recipes!$A$5:$A$204,0)),"Not found"))</f>
        <v>0</v>
      </c>
      <c r="J1095" s="45">
        <f>IF(E1095="","",IFERROR(E1095*INDEX(UnitFactors,MATCH(F1095,UnitNames,0)),""))</f>
        <v>0</v>
      </c>
      <c r="K1095" s="17">
        <f>IF(F1095="","",IFERROR(INDEX(UnitBases,MATCH(F1095,UnitNames,0)),"?"))</f>
        <v>0</v>
      </c>
      <c r="L1095" s="17">
        <f>IF(D1095="","",IFERROR(INDEX(Ingredients!$G$5:$G$304,MATCH(D1095,Ingredients!$B$5:$B$304,0)),"Add to Ingredients"))</f>
        <v>0</v>
      </c>
      <c r="M1095" s="25">
        <f>IF(D1095="","",IFERROR(INDEX(Ingredients!$J$5:$J$304,MATCH(D1095,Ingredients!$B$5:$B$304,0)),"Add to Ingredients"))</f>
        <v>0</v>
      </c>
      <c r="N1095" s="25">
        <f>IF(OR(J1095="",M1095="",NOT(ISNUMBER(M1095))),"",IF(K1095&lt;&gt;L1095,"",J1095*M1095))</f>
        <v>0</v>
      </c>
      <c r="O1095" s="25">
        <f>IF(N1095="","",IFERROR(N1095/INDEX(Recipes!$G$5:$G$204,MATCH(B1095,Recipes!$A$5:$A$204,0)),""))</f>
        <v>0</v>
      </c>
      <c r="P1095" s="30">
        <f>IF(J1095="","",IF(K1095="each",J1095,J1095/100))</f>
        <v>0</v>
      </c>
      <c r="Q1095" s="30">
        <f>IFERROR(IF(P1095="","",P1095*INDEX(Ingredients!$P$5:$P$304,MATCH(D1095,Ingredients!$B$5:$B$304,0))),"")</f>
        <v>0</v>
      </c>
      <c r="R1095" s="45">
        <f>IFERROR(IF(P1095="","",P1095*INDEX(Ingredients!$Q$5:$Q$304,MATCH(D1095,Ingredients!$B$5:$B$304,0))),"")</f>
        <v>0</v>
      </c>
      <c r="S1095" s="45">
        <f>IFERROR(IF(P1095="","",P1095*INDEX(Ingredients!$R$5:$R$304,MATCH(D1095,Ingredients!$B$5:$B$304,0))),"")</f>
        <v>0</v>
      </c>
      <c r="T1095" s="45">
        <f>IFERROR(IF(P1095="","",P1095*INDEX(Ingredients!$S$5:$S$304,MATCH(D1095,Ingredients!$B$5:$B$304,0))),"")</f>
        <v>0</v>
      </c>
      <c r="U1095" s="45">
        <f>IFERROR(IF(P1095="","",P1095*INDEX(Ingredients!$T$5:$T$304,MATCH(D1095,Ingredients!$B$5:$B$304,0))),"")</f>
        <v>0</v>
      </c>
      <c r="V1095" s="17">
        <f>IF(D1095="","",IFERROR(INDEX(Ingredients!$W$5:$W$304,MATCH(D1095,Ingredients!$B$5:$B$304,0)),"Add to Ingredients"))</f>
        <v>0</v>
      </c>
      <c r="W1095" s="17">
        <f>IF(D1095="","",IFERROR(INDEX(Ingredients!$C$5:$C$304,MATCH(D1095,Ingredients!$B$5:$B$304,0)),"Add to Ingredients"))</f>
        <v>0</v>
      </c>
      <c r="X1095" s="45">
        <f>IFERROR(INDEX(Recipes!$AT$5:$AT$204,MATCH(B1095,Recipes!$A$5:$A$204,0)),0)</f>
        <v>0</v>
      </c>
      <c r="Y1095" s="45">
        <f>IF(OR(J1095="",X1095=0),"",J1095*X1095)</f>
        <v>0</v>
      </c>
      <c r="Z1095" s="17">
        <f>IF(D1095="","",B1095&amp;"#"&amp;COUNTIFS($B$5:B1095,B1095))</f>
        <v>0</v>
      </c>
      <c r="AA1095" s="17">
        <f>IF(D1095="","",B1095&amp;"|"&amp;D1095)</f>
        <v>0</v>
      </c>
      <c r="AB1095" s="31">
        <f>IF(D1095="","",IF(B1095="","Add - which recipe?",IF(COUNTIFS(Ingredients!$B$5:$B$304,D1095)=0,"Missing - not in the Ingredients tab",IF(E1095="","Add - no quantity",IF(F1095="","Add - no unit",IF(K1095&lt;&gt;L1095,"Check - recipe in "&amp;K1095&amp;", priced in "&amp;L1095,IF(COUNTIFS($AA$5:$AA$1204,AA1095)&gt;1,"Duplicate - same ingredient twice","OK")))))))</f>
        <v>0</v>
      </c>
    </row>
    <row r="1096" spans="1:28">
      <c r="A1096" s="39">
        <f>IF(D1096="","","RL-"&amp;TEXT(ROW()-4,"0000"))</f>
        <v>0</v>
      </c>
      <c r="C1096" s="17">
        <f>IF(B1096="","",IFERROR(INDEX(Recipes!$B$5:$B$204,MATCH(B1096,Recipes!$A$5:$A$204,0)),"Not found"))</f>
        <v>0</v>
      </c>
      <c r="J1096" s="45">
        <f>IF(E1096="","",IFERROR(E1096*INDEX(UnitFactors,MATCH(F1096,UnitNames,0)),""))</f>
        <v>0</v>
      </c>
      <c r="K1096" s="17">
        <f>IF(F1096="","",IFERROR(INDEX(UnitBases,MATCH(F1096,UnitNames,0)),"?"))</f>
        <v>0</v>
      </c>
      <c r="L1096" s="17">
        <f>IF(D1096="","",IFERROR(INDEX(Ingredients!$G$5:$G$304,MATCH(D1096,Ingredients!$B$5:$B$304,0)),"Add to Ingredients"))</f>
        <v>0</v>
      </c>
      <c r="M1096" s="25">
        <f>IF(D1096="","",IFERROR(INDEX(Ingredients!$J$5:$J$304,MATCH(D1096,Ingredients!$B$5:$B$304,0)),"Add to Ingredients"))</f>
        <v>0</v>
      </c>
      <c r="N1096" s="25">
        <f>IF(OR(J1096="",M1096="",NOT(ISNUMBER(M1096))),"",IF(K1096&lt;&gt;L1096,"",J1096*M1096))</f>
        <v>0</v>
      </c>
      <c r="O1096" s="25">
        <f>IF(N1096="","",IFERROR(N1096/INDEX(Recipes!$G$5:$G$204,MATCH(B1096,Recipes!$A$5:$A$204,0)),""))</f>
        <v>0</v>
      </c>
      <c r="P1096" s="30">
        <f>IF(J1096="","",IF(K1096="each",J1096,J1096/100))</f>
        <v>0</v>
      </c>
      <c r="Q1096" s="30">
        <f>IFERROR(IF(P1096="","",P1096*INDEX(Ingredients!$P$5:$P$304,MATCH(D1096,Ingredients!$B$5:$B$304,0))),"")</f>
        <v>0</v>
      </c>
      <c r="R1096" s="45">
        <f>IFERROR(IF(P1096="","",P1096*INDEX(Ingredients!$Q$5:$Q$304,MATCH(D1096,Ingredients!$B$5:$B$304,0))),"")</f>
        <v>0</v>
      </c>
      <c r="S1096" s="45">
        <f>IFERROR(IF(P1096="","",P1096*INDEX(Ingredients!$R$5:$R$304,MATCH(D1096,Ingredients!$B$5:$B$304,0))),"")</f>
        <v>0</v>
      </c>
      <c r="T1096" s="45">
        <f>IFERROR(IF(P1096="","",P1096*INDEX(Ingredients!$S$5:$S$304,MATCH(D1096,Ingredients!$B$5:$B$304,0))),"")</f>
        <v>0</v>
      </c>
      <c r="U1096" s="45">
        <f>IFERROR(IF(P1096="","",P1096*INDEX(Ingredients!$T$5:$T$304,MATCH(D1096,Ingredients!$B$5:$B$304,0))),"")</f>
        <v>0</v>
      </c>
      <c r="V1096" s="17">
        <f>IF(D1096="","",IFERROR(INDEX(Ingredients!$W$5:$W$304,MATCH(D1096,Ingredients!$B$5:$B$304,0)),"Add to Ingredients"))</f>
        <v>0</v>
      </c>
      <c r="W1096" s="17">
        <f>IF(D1096="","",IFERROR(INDEX(Ingredients!$C$5:$C$304,MATCH(D1096,Ingredients!$B$5:$B$304,0)),"Add to Ingredients"))</f>
        <v>0</v>
      </c>
      <c r="X1096" s="45">
        <f>IFERROR(INDEX(Recipes!$AT$5:$AT$204,MATCH(B1096,Recipes!$A$5:$A$204,0)),0)</f>
        <v>0</v>
      </c>
      <c r="Y1096" s="45">
        <f>IF(OR(J1096="",X1096=0),"",J1096*X1096)</f>
        <v>0</v>
      </c>
      <c r="Z1096" s="17">
        <f>IF(D1096="","",B1096&amp;"#"&amp;COUNTIFS($B$5:B1096,B1096))</f>
        <v>0</v>
      </c>
      <c r="AA1096" s="17">
        <f>IF(D1096="","",B1096&amp;"|"&amp;D1096)</f>
        <v>0</v>
      </c>
      <c r="AB1096" s="31">
        <f>IF(D1096="","",IF(B1096="","Add - which recipe?",IF(COUNTIFS(Ingredients!$B$5:$B$304,D1096)=0,"Missing - not in the Ingredients tab",IF(E1096="","Add - no quantity",IF(F1096="","Add - no unit",IF(K1096&lt;&gt;L1096,"Check - recipe in "&amp;K1096&amp;", priced in "&amp;L1096,IF(COUNTIFS($AA$5:$AA$1204,AA1096)&gt;1,"Duplicate - same ingredient twice","OK")))))))</f>
        <v>0</v>
      </c>
    </row>
    <row r="1097" spans="1:28">
      <c r="A1097" s="39">
        <f>IF(D1097="","","RL-"&amp;TEXT(ROW()-4,"0000"))</f>
        <v>0</v>
      </c>
      <c r="C1097" s="17">
        <f>IF(B1097="","",IFERROR(INDEX(Recipes!$B$5:$B$204,MATCH(B1097,Recipes!$A$5:$A$204,0)),"Not found"))</f>
        <v>0</v>
      </c>
      <c r="J1097" s="45">
        <f>IF(E1097="","",IFERROR(E1097*INDEX(UnitFactors,MATCH(F1097,UnitNames,0)),""))</f>
        <v>0</v>
      </c>
      <c r="K1097" s="17">
        <f>IF(F1097="","",IFERROR(INDEX(UnitBases,MATCH(F1097,UnitNames,0)),"?"))</f>
        <v>0</v>
      </c>
      <c r="L1097" s="17">
        <f>IF(D1097="","",IFERROR(INDEX(Ingredients!$G$5:$G$304,MATCH(D1097,Ingredients!$B$5:$B$304,0)),"Add to Ingredients"))</f>
        <v>0</v>
      </c>
      <c r="M1097" s="25">
        <f>IF(D1097="","",IFERROR(INDEX(Ingredients!$J$5:$J$304,MATCH(D1097,Ingredients!$B$5:$B$304,0)),"Add to Ingredients"))</f>
        <v>0</v>
      </c>
      <c r="N1097" s="25">
        <f>IF(OR(J1097="",M1097="",NOT(ISNUMBER(M1097))),"",IF(K1097&lt;&gt;L1097,"",J1097*M1097))</f>
        <v>0</v>
      </c>
      <c r="O1097" s="25">
        <f>IF(N1097="","",IFERROR(N1097/INDEX(Recipes!$G$5:$G$204,MATCH(B1097,Recipes!$A$5:$A$204,0)),""))</f>
        <v>0</v>
      </c>
      <c r="P1097" s="30">
        <f>IF(J1097="","",IF(K1097="each",J1097,J1097/100))</f>
        <v>0</v>
      </c>
      <c r="Q1097" s="30">
        <f>IFERROR(IF(P1097="","",P1097*INDEX(Ingredients!$P$5:$P$304,MATCH(D1097,Ingredients!$B$5:$B$304,0))),"")</f>
        <v>0</v>
      </c>
      <c r="R1097" s="45">
        <f>IFERROR(IF(P1097="","",P1097*INDEX(Ingredients!$Q$5:$Q$304,MATCH(D1097,Ingredients!$B$5:$B$304,0))),"")</f>
        <v>0</v>
      </c>
      <c r="S1097" s="45">
        <f>IFERROR(IF(P1097="","",P1097*INDEX(Ingredients!$R$5:$R$304,MATCH(D1097,Ingredients!$B$5:$B$304,0))),"")</f>
        <v>0</v>
      </c>
      <c r="T1097" s="45">
        <f>IFERROR(IF(P1097="","",P1097*INDEX(Ingredients!$S$5:$S$304,MATCH(D1097,Ingredients!$B$5:$B$304,0))),"")</f>
        <v>0</v>
      </c>
      <c r="U1097" s="45">
        <f>IFERROR(IF(P1097="","",P1097*INDEX(Ingredients!$T$5:$T$304,MATCH(D1097,Ingredients!$B$5:$B$304,0))),"")</f>
        <v>0</v>
      </c>
      <c r="V1097" s="17">
        <f>IF(D1097="","",IFERROR(INDEX(Ingredients!$W$5:$W$304,MATCH(D1097,Ingredients!$B$5:$B$304,0)),"Add to Ingredients"))</f>
        <v>0</v>
      </c>
      <c r="W1097" s="17">
        <f>IF(D1097="","",IFERROR(INDEX(Ingredients!$C$5:$C$304,MATCH(D1097,Ingredients!$B$5:$B$304,0)),"Add to Ingredients"))</f>
        <v>0</v>
      </c>
      <c r="X1097" s="45">
        <f>IFERROR(INDEX(Recipes!$AT$5:$AT$204,MATCH(B1097,Recipes!$A$5:$A$204,0)),0)</f>
        <v>0</v>
      </c>
      <c r="Y1097" s="45">
        <f>IF(OR(J1097="",X1097=0),"",J1097*X1097)</f>
        <v>0</v>
      </c>
      <c r="Z1097" s="17">
        <f>IF(D1097="","",B1097&amp;"#"&amp;COUNTIFS($B$5:B1097,B1097))</f>
        <v>0</v>
      </c>
      <c r="AA1097" s="17">
        <f>IF(D1097="","",B1097&amp;"|"&amp;D1097)</f>
        <v>0</v>
      </c>
      <c r="AB1097" s="31">
        <f>IF(D1097="","",IF(B1097="","Add - which recipe?",IF(COUNTIFS(Ingredients!$B$5:$B$304,D1097)=0,"Missing - not in the Ingredients tab",IF(E1097="","Add - no quantity",IF(F1097="","Add - no unit",IF(K1097&lt;&gt;L1097,"Check - recipe in "&amp;K1097&amp;", priced in "&amp;L1097,IF(COUNTIFS($AA$5:$AA$1204,AA1097)&gt;1,"Duplicate - same ingredient twice","OK")))))))</f>
        <v>0</v>
      </c>
    </row>
    <row r="1098" spans="1:28">
      <c r="A1098" s="39">
        <f>IF(D1098="","","RL-"&amp;TEXT(ROW()-4,"0000"))</f>
        <v>0</v>
      </c>
      <c r="C1098" s="17">
        <f>IF(B1098="","",IFERROR(INDEX(Recipes!$B$5:$B$204,MATCH(B1098,Recipes!$A$5:$A$204,0)),"Not found"))</f>
        <v>0</v>
      </c>
      <c r="J1098" s="45">
        <f>IF(E1098="","",IFERROR(E1098*INDEX(UnitFactors,MATCH(F1098,UnitNames,0)),""))</f>
        <v>0</v>
      </c>
      <c r="K1098" s="17">
        <f>IF(F1098="","",IFERROR(INDEX(UnitBases,MATCH(F1098,UnitNames,0)),"?"))</f>
        <v>0</v>
      </c>
      <c r="L1098" s="17">
        <f>IF(D1098="","",IFERROR(INDEX(Ingredients!$G$5:$G$304,MATCH(D1098,Ingredients!$B$5:$B$304,0)),"Add to Ingredients"))</f>
        <v>0</v>
      </c>
      <c r="M1098" s="25">
        <f>IF(D1098="","",IFERROR(INDEX(Ingredients!$J$5:$J$304,MATCH(D1098,Ingredients!$B$5:$B$304,0)),"Add to Ingredients"))</f>
        <v>0</v>
      </c>
      <c r="N1098" s="25">
        <f>IF(OR(J1098="",M1098="",NOT(ISNUMBER(M1098))),"",IF(K1098&lt;&gt;L1098,"",J1098*M1098))</f>
        <v>0</v>
      </c>
      <c r="O1098" s="25">
        <f>IF(N1098="","",IFERROR(N1098/INDEX(Recipes!$G$5:$G$204,MATCH(B1098,Recipes!$A$5:$A$204,0)),""))</f>
        <v>0</v>
      </c>
      <c r="P1098" s="30">
        <f>IF(J1098="","",IF(K1098="each",J1098,J1098/100))</f>
        <v>0</v>
      </c>
      <c r="Q1098" s="30">
        <f>IFERROR(IF(P1098="","",P1098*INDEX(Ingredients!$P$5:$P$304,MATCH(D1098,Ingredients!$B$5:$B$304,0))),"")</f>
        <v>0</v>
      </c>
      <c r="R1098" s="45">
        <f>IFERROR(IF(P1098="","",P1098*INDEX(Ingredients!$Q$5:$Q$304,MATCH(D1098,Ingredients!$B$5:$B$304,0))),"")</f>
        <v>0</v>
      </c>
      <c r="S1098" s="45">
        <f>IFERROR(IF(P1098="","",P1098*INDEX(Ingredients!$R$5:$R$304,MATCH(D1098,Ingredients!$B$5:$B$304,0))),"")</f>
        <v>0</v>
      </c>
      <c r="T1098" s="45">
        <f>IFERROR(IF(P1098="","",P1098*INDEX(Ingredients!$S$5:$S$304,MATCH(D1098,Ingredients!$B$5:$B$304,0))),"")</f>
        <v>0</v>
      </c>
      <c r="U1098" s="45">
        <f>IFERROR(IF(P1098="","",P1098*INDEX(Ingredients!$T$5:$T$304,MATCH(D1098,Ingredients!$B$5:$B$304,0))),"")</f>
        <v>0</v>
      </c>
      <c r="V1098" s="17">
        <f>IF(D1098="","",IFERROR(INDEX(Ingredients!$W$5:$W$304,MATCH(D1098,Ingredients!$B$5:$B$304,0)),"Add to Ingredients"))</f>
        <v>0</v>
      </c>
      <c r="W1098" s="17">
        <f>IF(D1098="","",IFERROR(INDEX(Ingredients!$C$5:$C$304,MATCH(D1098,Ingredients!$B$5:$B$304,0)),"Add to Ingredients"))</f>
        <v>0</v>
      </c>
      <c r="X1098" s="45">
        <f>IFERROR(INDEX(Recipes!$AT$5:$AT$204,MATCH(B1098,Recipes!$A$5:$A$204,0)),0)</f>
        <v>0</v>
      </c>
      <c r="Y1098" s="45">
        <f>IF(OR(J1098="",X1098=0),"",J1098*X1098)</f>
        <v>0</v>
      </c>
      <c r="Z1098" s="17">
        <f>IF(D1098="","",B1098&amp;"#"&amp;COUNTIFS($B$5:B1098,B1098))</f>
        <v>0</v>
      </c>
      <c r="AA1098" s="17">
        <f>IF(D1098="","",B1098&amp;"|"&amp;D1098)</f>
        <v>0</v>
      </c>
      <c r="AB1098" s="31">
        <f>IF(D1098="","",IF(B1098="","Add - which recipe?",IF(COUNTIFS(Ingredients!$B$5:$B$304,D1098)=0,"Missing - not in the Ingredients tab",IF(E1098="","Add - no quantity",IF(F1098="","Add - no unit",IF(K1098&lt;&gt;L1098,"Check - recipe in "&amp;K1098&amp;", priced in "&amp;L1098,IF(COUNTIFS($AA$5:$AA$1204,AA1098)&gt;1,"Duplicate - same ingredient twice","OK")))))))</f>
        <v>0</v>
      </c>
    </row>
    <row r="1099" spans="1:28">
      <c r="A1099" s="39">
        <f>IF(D1099="","","RL-"&amp;TEXT(ROW()-4,"0000"))</f>
        <v>0</v>
      </c>
      <c r="C1099" s="17">
        <f>IF(B1099="","",IFERROR(INDEX(Recipes!$B$5:$B$204,MATCH(B1099,Recipes!$A$5:$A$204,0)),"Not found"))</f>
        <v>0</v>
      </c>
      <c r="J1099" s="45">
        <f>IF(E1099="","",IFERROR(E1099*INDEX(UnitFactors,MATCH(F1099,UnitNames,0)),""))</f>
        <v>0</v>
      </c>
      <c r="K1099" s="17">
        <f>IF(F1099="","",IFERROR(INDEX(UnitBases,MATCH(F1099,UnitNames,0)),"?"))</f>
        <v>0</v>
      </c>
      <c r="L1099" s="17">
        <f>IF(D1099="","",IFERROR(INDEX(Ingredients!$G$5:$G$304,MATCH(D1099,Ingredients!$B$5:$B$304,0)),"Add to Ingredients"))</f>
        <v>0</v>
      </c>
      <c r="M1099" s="25">
        <f>IF(D1099="","",IFERROR(INDEX(Ingredients!$J$5:$J$304,MATCH(D1099,Ingredients!$B$5:$B$304,0)),"Add to Ingredients"))</f>
        <v>0</v>
      </c>
      <c r="N1099" s="25">
        <f>IF(OR(J1099="",M1099="",NOT(ISNUMBER(M1099))),"",IF(K1099&lt;&gt;L1099,"",J1099*M1099))</f>
        <v>0</v>
      </c>
      <c r="O1099" s="25">
        <f>IF(N1099="","",IFERROR(N1099/INDEX(Recipes!$G$5:$G$204,MATCH(B1099,Recipes!$A$5:$A$204,0)),""))</f>
        <v>0</v>
      </c>
      <c r="P1099" s="30">
        <f>IF(J1099="","",IF(K1099="each",J1099,J1099/100))</f>
        <v>0</v>
      </c>
      <c r="Q1099" s="30">
        <f>IFERROR(IF(P1099="","",P1099*INDEX(Ingredients!$P$5:$P$304,MATCH(D1099,Ingredients!$B$5:$B$304,0))),"")</f>
        <v>0</v>
      </c>
      <c r="R1099" s="45">
        <f>IFERROR(IF(P1099="","",P1099*INDEX(Ingredients!$Q$5:$Q$304,MATCH(D1099,Ingredients!$B$5:$B$304,0))),"")</f>
        <v>0</v>
      </c>
      <c r="S1099" s="45">
        <f>IFERROR(IF(P1099="","",P1099*INDEX(Ingredients!$R$5:$R$304,MATCH(D1099,Ingredients!$B$5:$B$304,0))),"")</f>
        <v>0</v>
      </c>
      <c r="T1099" s="45">
        <f>IFERROR(IF(P1099="","",P1099*INDEX(Ingredients!$S$5:$S$304,MATCH(D1099,Ingredients!$B$5:$B$304,0))),"")</f>
        <v>0</v>
      </c>
      <c r="U1099" s="45">
        <f>IFERROR(IF(P1099="","",P1099*INDEX(Ingredients!$T$5:$T$304,MATCH(D1099,Ingredients!$B$5:$B$304,0))),"")</f>
        <v>0</v>
      </c>
      <c r="V1099" s="17">
        <f>IF(D1099="","",IFERROR(INDEX(Ingredients!$W$5:$W$304,MATCH(D1099,Ingredients!$B$5:$B$304,0)),"Add to Ingredients"))</f>
        <v>0</v>
      </c>
      <c r="W1099" s="17">
        <f>IF(D1099="","",IFERROR(INDEX(Ingredients!$C$5:$C$304,MATCH(D1099,Ingredients!$B$5:$B$304,0)),"Add to Ingredients"))</f>
        <v>0</v>
      </c>
      <c r="X1099" s="45">
        <f>IFERROR(INDEX(Recipes!$AT$5:$AT$204,MATCH(B1099,Recipes!$A$5:$A$204,0)),0)</f>
        <v>0</v>
      </c>
      <c r="Y1099" s="45">
        <f>IF(OR(J1099="",X1099=0),"",J1099*X1099)</f>
        <v>0</v>
      </c>
      <c r="Z1099" s="17">
        <f>IF(D1099="","",B1099&amp;"#"&amp;COUNTIFS($B$5:B1099,B1099))</f>
        <v>0</v>
      </c>
      <c r="AA1099" s="17">
        <f>IF(D1099="","",B1099&amp;"|"&amp;D1099)</f>
        <v>0</v>
      </c>
      <c r="AB1099" s="31">
        <f>IF(D1099="","",IF(B1099="","Add - which recipe?",IF(COUNTIFS(Ingredients!$B$5:$B$304,D1099)=0,"Missing - not in the Ingredients tab",IF(E1099="","Add - no quantity",IF(F1099="","Add - no unit",IF(K1099&lt;&gt;L1099,"Check - recipe in "&amp;K1099&amp;", priced in "&amp;L1099,IF(COUNTIFS($AA$5:$AA$1204,AA1099)&gt;1,"Duplicate - same ingredient twice","OK")))))))</f>
        <v>0</v>
      </c>
    </row>
    <row r="1100" spans="1:28">
      <c r="A1100" s="39">
        <f>IF(D1100="","","RL-"&amp;TEXT(ROW()-4,"0000"))</f>
        <v>0</v>
      </c>
      <c r="C1100" s="17">
        <f>IF(B1100="","",IFERROR(INDEX(Recipes!$B$5:$B$204,MATCH(B1100,Recipes!$A$5:$A$204,0)),"Not found"))</f>
        <v>0</v>
      </c>
      <c r="J1100" s="45">
        <f>IF(E1100="","",IFERROR(E1100*INDEX(UnitFactors,MATCH(F1100,UnitNames,0)),""))</f>
        <v>0</v>
      </c>
      <c r="K1100" s="17">
        <f>IF(F1100="","",IFERROR(INDEX(UnitBases,MATCH(F1100,UnitNames,0)),"?"))</f>
        <v>0</v>
      </c>
      <c r="L1100" s="17">
        <f>IF(D1100="","",IFERROR(INDEX(Ingredients!$G$5:$G$304,MATCH(D1100,Ingredients!$B$5:$B$304,0)),"Add to Ingredients"))</f>
        <v>0</v>
      </c>
      <c r="M1100" s="25">
        <f>IF(D1100="","",IFERROR(INDEX(Ingredients!$J$5:$J$304,MATCH(D1100,Ingredients!$B$5:$B$304,0)),"Add to Ingredients"))</f>
        <v>0</v>
      </c>
      <c r="N1100" s="25">
        <f>IF(OR(J1100="",M1100="",NOT(ISNUMBER(M1100))),"",IF(K1100&lt;&gt;L1100,"",J1100*M1100))</f>
        <v>0</v>
      </c>
      <c r="O1100" s="25">
        <f>IF(N1100="","",IFERROR(N1100/INDEX(Recipes!$G$5:$G$204,MATCH(B1100,Recipes!$A$5:$A$204,0)),""))</f>
        <v>0</v>
      </c>
      <c r="P1100" s="30">
        <f>IF(J1100="","",IF(K1100="each",J1100,J1100/100))</f>
        <v>0</v>
      </c>
      <c r="Q1100" s="30">
        <f>IFERROR(IF(P1100="","",P1100*INDEX(Ingredients!$P$5:$P$304,MATCH(D1100,Ingredients!$B$5:$B$304,0))),"")</f>
        <v>0</v>
      </c>
      <c r="R1100" s="45">
        <f>IFERROR(IF(P1100="","",P1100*INDEX(Ingredients!$Q$5:$Q$304,MATCH(D1100,Ingredients!$B$5:$B$304,0))),"")</f>
        <v>0</v>
      </c>
      <c r="S1100" s="45">
        <f>IFERROR(IF(P1100="","",P1100*INDEX(Ingredients!$R$5:$R$304,MATCH(D1100,Ingredients!$B$5:$B$304,0))),"")</f>
        <v>0</v>
      </c>
      <c r="T1100" s="45">
        <f>IFERROR(IF(P1100="","",P1100*INDEX(Ingredients!$S$5:$S$304,MATCH(D1100,Ingredients!$B$5:$B$304,0))),"")</f>
        <v>0</v>
      </c>
      <c r="U1100" s="45">
        <f>IFERROR(IF(P1100="","",P1100*INDEX(Ingredients!$T$5:$T$304,MATCH(D1100,Ingredients!$B$5:$B$304,0))),"")</f>
        <v>0</v>
      </c>
      <c r="V1100" s="17">
        <f>IF(D1100="","",IFERROR(INDEX(Ingredients!$W$5:$W$304,MATCH(D1100,Ingredients!$B$5:$B$304,0)),"Add to Ingredients"))</f>
        <v>0</v>
      </c>
      <c r="W1100" s="17">
        <f>IF(D1100="","",IFERROR(INDEX(Ingredients!$C$5:$C$304,MATCH(D1100,Ingredients!$B$5:$B$304,0)),"Add to Ingredients"))</f>
        <v>0</v>
      </c>
      <c r="X1100" s="45">
        <f>IFERROR(INDEX(Recipes!$AT$5:$AT$204,MATCH(B1100,Recipes!$A$5:$A$204,0)),0)</f>
        <v>0</v>
      </c>
      <c r="Y1100" s="45">
        <f>IF(OR(J1100="",X1100=0),"",J1100*X1100)</f>
        <v>0</v>
      </c>
      <c r="Z1100" s="17">
        <f>IF(D1100="","",B1100&amp;"#"&amp;COUNTIFS($B$5:B1100,B1100))</f>
        <v>0</v>
      </c>
      <c r="AA1100" s="17">
        <f>IF(D1100="","",B1100&amp;"|"&amp;D1100)</f>
        <v>0</v>
      </c>
      <c r="AB1100" s="31">
        <f>IF(D1100="","",IF(B1100="","Add - which recipe?",IF(COUNTIFS(Ingredients!$B$5:$B$304,D1100)=0,"Missing - not in the Ingredients tab",IF(E1100="","Add - no quantity",IF(F1100="","Add - no unit",IF(K1100&lt;&gt;L1100,"Check - recipe in "&amp;K1100&amp;", priced in "&amp;L1100,IF(COUNTIFS($AA$5:$AA$1204,AA1100)&gt;1,"Duplicate - same ingredient twice","OK")))))))</f>
        <v>0</v>
      </c>
    </row>
    <row r="1101" spans="1:28">
      <c r="A1101" s="39">
        <f>IF(D1101="","","RL-"&amp;TEXT(ROW()-4,"0000"))</f>
        <v>0</v>
      </c>
      <c r="C1101" s="17">
        <f>IF(B1101="","",IFERROR(INDEX(Recipes!$B$5:$B$204,MATCH(B1101,Recipes!$A$5:$A$204,0)),"Not found"))</f>
        <v>0</v>
      </c>
      <c r="J1101" s="45">
        <f>IF(E1101="","",IFERROR(E1101*INDEX(UnitFactors,MATCH(F1101,UnitNames,0)),""))</f>
        <v>0</v>
      </c>
      <c r="K1101" s="17">
        <f>IF(F1101="","",IFERROR(INDEX(UnitBases,MATCH(F1101,UnitNames,0)),"?"))</f>
        <v>0</v>
      </c>
      <c r="L1101" s="17">
        <f>IF(D1101="","",IFERROR(INDEX(Ingredients!$G$5:$G$304,MATCH(D1101,Ingredients!$B$5:$B$304,0)),"Add to Ingredients"))</f>
        <v>0</v>
      </c>
      <c r="M1101" s="25">
        <f>IF(D1101="","",IFERROR(INDEX(Ingredients!$J$5:$J$304,MATCH(D1101,Ingredients!$B$5:$B$304,0)),"Add to Ingredients"))</f>
        <v>0</v>
      </c>
      <c r="N1101" s="25">
        <f>IF(OR(J1101="",M1101="",NOT(ISNUMBER(M1101))),"",IF(K1101&lt;&gt;L1101,"",J1101*M1101))</f>
        <v>0</v>
      </c>
      <c r="O1101" s="25">
        <f>IF(N1101="","",IFERROR(N1101/INDEX(Recipes!$G$5:$G$204,MATCH(B1101,Recipes!$A$5:$A$204,0)),""))</f>
        <v>0</v>
      </c>
      <c r="P1101" s="30">
        <f>IF(J1101="","",IF(K1101="each",J1101,J1101/100))</f>
        <v>0</v>
      </c>
      <c r="Q1101" s="30">
        <f>IFERROR(IF(P1101="","",P1101*INDEX(Ingredients!$P$5:$P$304,MATCH(D1101,Ingredients!$B$5:$B$304,0))),"")</f>
        <v>0</v>
      </c>
      <c r="R1101" s="45">
        <f>IFERROR(IF(P1101="","",P1101*INDEX(Ingredients!$Q$5:$Q$304,MATCH(D1101,Ingredients!$B$5:$B$304,0))),"")</f>
        <v>0</v>
      </c>
      <c r="S1101" s="45">
        <f>IFERROR(IF(P1101="","",P1101*INDEX(Ingredients!$R$5:$R$304,MATCH(D1101,Ingredients!$B$5:$B$304,0))),"")</f>
        <v>0</v>
      </c>
      <c r="T1101" s="45">
        <f>IFERROR(IF(P1101="","",P1101*INDEX(Ingredients!$S$5:$S$304,MATCH(D1101,Ingredients!$B$5:$B$304,0))),"")</f>
        <v>0</v>
      </c>
      <c r="U1101" s="45">
        <f>IFERROR(IF(P1101="","",P1101*INDEX(Ingredients!$T$5:$T$304,MATCH(D1101,Ingredients!$B$5:$B$304,0))),"")</f>
        <v>0</v>
      </c>
      <c r="V1101" s="17">
        <f>IF(D1101="","",IFERROR(INDEX(Ingredients!$W$5:$W$304,MATCH(D1101,Ingredients!$B$5:$B$304,0)),"Add to Ingredients"))</f>
        <v>0</v>
      </c>
      <c r="W1101" s="17">
        <f>IF(D1101="","",IFERROR(INDEX(Ingredients!$C$5:$C$304,MATCH(D1101,Ingredients!$B$5:$B$304,0)),"Add to Ingredients"))</f>
        <v>0</v>
      </c>
      <c r="X1101" s="45">
        <f>IFERROR(INDEX(Recipes!$AT$5:$AT$204,MATCH(B1101,Recipes!$A$5:$A$204,0)),0)</f>
        <v>0</v>
      </c>
      <c r="Y1101" s="45">
        <f>IF(OR(J1101="",X1101=0),"",J1101*X1101)</f>
        <v>0</v>
      </c>
      <c r="Z1101" s="17">
        <f>IF(D1101="","",B1101&amp;"#"&amp;COUNTIFS($B$5:B1101,B1101))</f>
        <v>0</v>
      </c>
      <c r="AA1101" s="17">
        <f>IF(D1101="","",B1101&amp;"|"&amp;D1101)</f>
        <v>0</v>
      </c>
      <c r="AB1101" s="31">
        <f>IF(D1101="","",IF(B1101="","Add - which recipe?",IF(COUNTIFS(Ingredients!$B$5:$B$304,D1101)=0,"Missing - not in the Ingredients tab",IF(E1101="","Add - no quantity",IF(F1101="","Add - no unit",IF(K1101&lt;&gt;L1101,"Check - recipe in "&amp;K1101&amp;", priced in "&amp;L1101,IF(COUNTIFS($AA$5:$AA$1204,AA1101)&gt;1,"Duplicate - same ingredient twice","OK")))))))</f>
        <v>0</v>
      </c>
    </row>
    <row r="1102" spans="1:28">
      <c r="A1102" s="39">
        <f>IF(D1102="","","RL-"&amp;TEXT(ROW()-4,"0000"))</f>
        <v>0</v>
      </c>
      <c r="C1102" s="17">
        <f>IF(B1102="","",IFERROR(INDEX(Recipes!$B$5:$B$204,MATCH(B1102,Recipes!$A$5:$A$204,0)),"Not found"))</f>
        <v>0</v>
      </c>
      <c r="J1102" s="45">
        <f>IF(E1102="","",IFERROR(E1102*INDEX(UnitFactors,MATCH(F1102,UnitNames,0)),""))</f>
        <v>0</v>
      </c>
      <c r="K1102" s="17">
        <f>IF(F1102="","",IFERROR(INDEX(UnitBases,MATCH(F1102,UnitNames,0)),"?"))</f>
        <v>0</v>
      </c>
      <c r="L1102" s="17">
        <f>IF(D1102="","",IFERROR(INDEX(Ingredients!$G$5:$G$304,MATCH(D1102,Ingredients!$B$5:$B$304,0)),"Add to Ingredients"))</f>
        <v>0</v>
      </c>
      <c r="M1102" s="25">
        <f>IF(D1102="","",IFERROR(INDEX(Ingredients!$J$5:$J$304,MATCH(D1102,Ingredients!$B$5:$B$304,0)),"Add to Ingredients"))</f>
        <v>0</v>
      </c>
      <c r="N1102" s="25">
        <f>IF(OR(J1102="",M1102="",NOT(ISNUMBER(M1102))),"",IF(K1102&lt;&gt;L1102,"",J1102*M1102))</f>
        <v>0</v>
      </c>
      <c r="O1102" s="25">
        <f>IF(N1102="","",IFERROR(N1102/INDEX(Recipes!$G$5:$G$204,MATCH(B1102,Recipes!$A$5:$A$204,0)),""))</f>
        <v>0</v>
      </c>
      <c r="P1102" s="30">
        <f>IF(J1102="","",IF(K1102="each",J1102,J1102/100))</f>
        <v>0</v>
      </c>
      <c r="Q1102" s="30">
        <f>IFERROR(IF(P1102="","",P1102*INDEX(Ingredients!$P$5:$P$304,MATCH(D1102,Ingredients!$B$5:$B$304,0))),"")</f>
        <v>0</v>
      </c>
      <c r="R1102" s="45">
        <f>IFERROR(IF(P1102="","",P1102*INDEX(Ingredients!$Q$5:$Q$304,MATCH(D1102,Ingredients!$B$5:$B$304,0))),"")</f>
        <v>0</v>
      </c>
      <c r="S1102" s="45">
        <f>IFERROR(IF(P1102="","",P1102*INDEX(Ingredients!$R$5:$R$304,MATCH(D1102,Ingredients!$B$5:$B$304,0))),"")</f>
        <v>0</v>
      </c>
      <c r="T1102" s="45">
        <f>IFERROR(IF(P1102="","",P1102*INDEX(Ingredients!$S$5:$S$304,MATCH(D1102,Ingredients!$B$5:$B$304,0))),"")</f>
        <v>0</v>
      </c>
      <c r="U1102" s="45">
        <f>IFERROR(IF(P1102="","",P1102*INDEX(Ingredients!$T$5:$T$304,MATCH(D1102,Ingredients!$B$5:$B$304,0))),"")</f>
        <v>0</v>
      </c>
      <c r="V1102" s="17">
        <f>IF(D1102="","",IFERROR(INDEX(Ingredients!$W$5:$W$304,MATCH(D1102,Ingredients!$B$5:$B$304,0)),"Add to Ingredients"))</f>
        <v>0</v>
      </c>
      <c r="W1102" s="17">
        <f>IF(D1102="","",IFERROR(INDEX(Ingredients!$C$5:$C$304,MATCH(D1102,Ingredients!$B$5:$B$304,0)),"Add to Ingredients"))</f>
        <v>0</v>
      </c>
      <c r="X1102" s="45">
        <f>IFERROR(INDEX(Recipes!$AT$5:$AT$204,MATCH(B1102,Recipes!$A$5:$A$204,0)),0)</f>
        <v>0</v>
      </c>
      <c r="Y1102" s="45">
        <f>IF(OR(J1102="",X1102=0),"",J1102*X1102)</f>
        <v>0</v>
      </c>
      <c r="Z1102" s="17">
        <f>IF(D1102="","",B1102&amp;"#"&amp;COUNTIFS($B$5:B1102,B1102))</f>
        <v>0</v>
      </c>
      <c r="AA1102" s="17">
        <f>IF(D1102="","",B1102&amp;"|"&amp;D1102)</f>
        <v>0</v>
      </c>
      <c r="AB1102" s="31">
        <f>IF(D1102="","",IF(B1102="","Add - which recipe?",IF(COUNTIFS(Ingredients!$B$5:$B$304,D1102)=0,"Missing - not in the Ingredients tab",IF(E1102="","Add - no quantity",IF(F1102="","Add - no unit",IF(K1102&lt;&gt;L1102,"Check - recipe in "&amp;K1102&amp;", priced in "&amp;L1102,IF(COUNTIFS($AA$5:$AA$1204,AA1102)&gt;1,"Duplicate - same ingredient twice","OK")))))))</f>
        <v>0</v>
      </c>
    </row>
    <row r="1103" spans="1:28">
      <c r="A1103" s="39">
        <f>IF(D1103="","","RL-"&amp;TEXT(ROW()-4,"0000"))</f>
        <v>0</v>
      </c>
      <c r="C1103" s="17">
        <f>IF(B1103="","",IFERROR(INDEX(Recipes!$B$5:$B$204,MATCH(B1103,Recipes!$A$5:$A$204,0)),"Not found"))</f>
        <v>0</v>
      </c>
      <c r="J1103" s="45">
        <f>IF(E1103="","",IFERROR(E1103*INDEX(UnitFactors,MATCH(F1103,UnitNames,0)),""))</f>
        <v>0</v>
      </c>
      <c r="K1103" s="17">
        <f>IF(F1103="","",IFERROR(INDEX(UnitBases,MATCH(F1103,UnitNames,0)),"?"))</f>
        <v>0</v>
      </c>
      <c r="L1103" s="17">
        <f>IF(D1103="","",IFERROR(INDEX(Ingredients!$G$5:$G$304,MATCH(D1103,Ingredients!$B$5:$B$304,0)),"Add to Ingredients"))</f>
        <v>0</v>
      </c>
      <c r="M1103" s="25">
        <f>IF(D1103="","",IFERROR(INDEX(Ingredients!$J$5:$J$304,MATCH(D1103,Ingredients!$B$5:$B$304,0)),"Add to Ingredients"))</f>
        <v>0</v>
      </c>
      <c r="N1103" s="25">
        <f>IF(OR(J1103="",M1103="",NOT(ISNUMBER(M1103))),"",IF(K1103&lt;&gt;L1103,"",J1103*M1103))</f>
        <v>0</v>
      </c>
      <c r="O1103" s="25">
        <f>IF(N1103="","",IFERROR(N1103/INDEX(Recipes!$G$5:$G$204,MATCH(B1103,Recipes!$A$5:$A$204,0)),""))</f>
        <v>0</v>
      </c>
      <c r="P1103" s="30">
        <f>IF(J1103="","",IF(K1103="each",J1103,J1103/100))</f>
        <v>0</v>
      </c>
      <c r="Q1103" s="30">
        <f>IFERROR(IF(P1103="","",P1103*INDEX(Ingredients!$P$5:$P$304,MATCH(D1103,Ingredients!$B$5:$B$304,0))),"")</f>
        <v>0</v>
      </c>
      <c r="R1103" s="45">
        <f>IFERROR(IF(P1103="","",P1103*INDEX(Ingredients!$Q$5:$Q$304,MATCH(D1103,Ingredients!$B$5:$B$304,0))),"")</f>
        <v>0</v>
      </c>
      <c r="S1103" s="45">
        <f>IFERROR(IF(P1103="","",P1103*INDEX(Ingredients!$R$5:$R$304,MATCH(D1103,Ingredients!$B$5:$B$304,0))),"")</f>
        <v>0</v>
      </c>
      <c r="T1103" s="45">
        <f>IFERROR(IF(P1103="","",P1103*INDEX(Ingredients!$S$5:$S$304,MATCH(D1103,Ingredients!$B$5:$B$304,0))),"")</f>
        <v>0</v>
      </c>
      <c r="U1103" s="45">
        <f>IFERROR(IF(P1103="","",P1103*INDEX(Ingredients!$T$5:$T$304,MATCH(D1103,Ingredients!$B$5:$B$304,0))),"")</f>
        <v>0</v>
      </c>
      <c r="V1103" s="17">
        <f>IF(D1103="","",IFERROR(INDEX(Ingredients!$W$5:$W$304,MATCH(D1103,Ingredients!$B$5:$B$304,0)),"Add to Ingredients"))</f>
        <v>0</v>
      </c>
      <c r="W1103" s="17">
        <f>IF(D1103="","",IFERROR(INDEX(Ingredients!$C$5:$C$304,MATCH(D1103,Ingredients!$B$5:$B$304,0)),"Add to Ingredients"))</f>
        <v>0</v>
      </c>
      <c r="X1103" s="45">
        <f>IFERROR(INDEX(Recipes!$AT$5:$AT$204,MATCH(B1103,Recipes!$A$5:$A$204,0)),0)</f>
        <v>0</v>
      </c>
      <c r="Y1103" s="45">
        <f>IF(OR(J1103="",X1103=0),"",J1103*X1103)</f>
        <v>0</v>
      </c>
      <c r="Z1103" s="17">
        <f>IF(D1103="","",B1103&amp;"#"&amp;COUNTIFS($B$5:B1103,B1103))</f>
        <v>0</v>
      </c>
      <c r="AA1103" s="17">
        <f>IF(D1103="","",B1103&amp;"|"&amp;D1103)</f>
        <v>0</v>
      </c>
      <c r="AB1103" s="31">
        <f>IF(D1103="","",IF(B1103="","Add - which recipe?",IF(COUNTIFS(Ingredients!$B$5:$B$304,D1103)=0,"Missing - not in the Ingredients tab",IF(E1103="","Add - no quantity",IF(F1103="","Add - no unit",IF(K1103&lt;&gt;L1103,"Check - recipe in "&amp;K1103&amp;", priced in "&amp;L1103,IF(COUNTIFS($AA$5:$AA$1204,AA1103)&gt;1,"Duplicate - same ingredient twice","OK")))))))</f>
        <v>0</v>
      </c>
    </row>
    <row r="1104" spans="1:28">
      <c r="A1104" s="39">
        <f>IF(D1104="","","RL-"&amp;TEXT(ROW()-4,"0000"))</f>
        <v>0</v>
      </c>
      <c r="C1104" s="17">
        <f>IF(B1104="","",IFERROR(INDEX(Recipes!$B$5:$B$204,MATCH(B1104,Recipes!$A$5:$A$204,0)),"Not found"))</f>
        <v>0</v>
      </c>
      <c r="J1104" s="45">
        <f>IF(E1104="","",IFERROR(E1104*INDEX(UnitFactors,MATCH(F1104,UnitNames,0)),""))</f>
        <v>0</v>
      </c>
      <c r="K1104" s="17">
        <f>IF(F1104="","",IFERROR(INDEX(UnitBases,MATCH(F1104,UnitNames,0)),"?"))</f>
        <v>0</v>
      </c>
      <c r="L1104" s="17">
        <f>IF(D1104="","",IFERROR(INDEX(Ingredients!$G$5:$G$304,MATCH(D1104,Ingredients!$B$5:$B$304,0)),"Add to Ingredients"))</f>
        <v>0</v>
      </c>
      <c r="M1104" s="25">
        <f>IF(D1104="","",IFERROR(INDEX(Ingredients!$J$5:$J$304,MATCH(D1104,Ingredients!$B$5:$B$304,0)),"Add to Ingredients"))</f>
        <v>0</v>
      </c>
      <c r="N1104" s="25">
        <f>IF(OR(J1104="",M1104="",NOT(ISNUMBER(M1104))),"",IF(K1104&lt;&gt;L1104,"",J1104*M1104))</f>
        <v>0</v>
      </c>
      <c r="O1104" s="25">
        <f>IF(N1104="","",IFERROR(N1104/INDEX(Recipes!$G$5:$G$204,MATCH(B1104,Recipes!$A$5:$A$204,0)),""))</f>
        <v>0</v>
      </c>
      <c r="P1104" s="30">
        <f>IF(J1104="","",IF(K1104="each",J1104,J1104/100))</f>
        <v>0</v>
      </c>
      <c r="Q1104" s="30">
        <f>IFERROR(IF(P1104="","",P1104*INDEX(Ingredients!$P$5:$P$304,MATCH(D1104,Ingredients!$B$5:$B$304,0))),"")</f>
        <v>0</v>
      </c>
      <c r="R1104" s="45">
        <f>IFERROR(IF(P1104="","",P1104*INDEX(Ingredients!$Q$5:$Q$304,MATCH(D1104,Ingredients!$B$5:$B$304,0))),"")</f>
        <v>0</v>
      </c>
      <c r="S1104" s="45">
        <f>IFERROR(IF(P1104="","",P1104*INDEX(Ingredients!$R$5:$R$304,MATCH(D1104,Ingredients!$B$5:$B$304,0))),"")</f>
        <v>0</v>
      </c>
      <c r="T1104" s="45">
        <f>IFERROR(IF(P1104="","",P1104*INDEX(Ingredients!$S$5:$S$304,MATCH(D1104,Ingredients!$B$5:$B$304,0))),"")</f>
        <v>0</v>
      </c>
      <c r="U1104" s="45">
        <f>IFERROR(IF(P1104="","",P1104*INDEX(Ingredients!$T$5:$T$304,MATCH(D1104,Ingredients!$B$5:$B$304,0))),"")</f>
        <v>0</v>
      </c>
      <c r="V1104" s="17">
        <f>IF(D1104="","",IFERROR(INDEX(Ingredients!$W$5:$W$304,MATCH(D1104,Ingredients!$B$5:$B$304,0)),"Add to Ingredients"))</f>
        <v>0</v>
      </c>
      <c r="W1104" s="17">
        <f>IF(D1104="","",IFERROR(INDEX(Ingredients!$C$5:$C$304,MATCH(D1104,Ingredients!$B$5:$B$304,0)),"Add to Ingredients"))</f>
        <v>0</v>
      </c>
      <c r="X1104" s="45">
        <f>IFERROR(INDEX(Recipes!$AT$5:$AT$204,MATCH(B1104,Recipes!$A$5:$A$204,0)),0)</f>
        <v>0</v>
      </c>
      <c r="Y1104" s="45">
        <f>IF(OR(J1104="",X1104=0),"",J1104*X1104)</f>
        <v>0</v>
      </c>
      <c r="Z1104" s="17">
        <f>IF(D1104="","",B1104&amp;"#"&amp;COUNTIFS($B$5:B1104,B1104))</f>
        <v>0</v>
      </c>
      <c r="AA1104" s="17">
        <f>IF(D1104="","",B1104&amp;"|"&amp;D1104)</f>
        <v>0</v>
      </c>
      <c r="AB1104" s="31">
        <f>IF(D1104="","",IF(B1104="","Add - which recipe?",IF(COUNTIFS(Ingredients!$B$5:$B$304,D1104)=0,"Missing - not in the Ingredients tab",IF(E1104="","Add - no quantity",IF(F1104="","Add - no unit",IF(K1104&lt;&gt;L1104,"Check - recipe in "&amp;K1104&amp;", priced in "&amp;L1104,IF(COUNTIFS($AA$5:$AA$1204,AA1104)&gt;1,"Duplicate - same ingredient twice","OK")))))))</f>
        <v>0</v>
      </c>
    </row>
    <row r="1105" spans="1:28">
      <c r="A1105" s="39">
        <f>IF(D1105="","","RL-"&amp;TEXT(ROW()-4,"0000"))</f>
        <v>0</v>
      </c>
      <c r="C1105" s="17">
        <f>IF(B1105="","",IFERROR(INDEX(Recipes!$B$5:$B$204,MATCH(B1105,Recipes!$A$5:$A$204,0)),"Not found"))</f>
        <v>0</v>
      </c>
      <c r="J1105" s="45">
        <f>IF(E1105="","",IFERROR(E1105*INDEX(UnitFactors,MATCH(F1105,UnitNames,0)),""))</f>
        <v>0</v>
      </c>
      <c r="K1105" s="17">
        <f>IF(F1105="","",IFERROR(INDEX(UnitBases,MATCH(F1105,UnitNames,0)),"?"))</f>
        <v>0</v>
      </c>
      <c r="L1105" s="17">
        <f>IF(D1105="","",IFERROR(INDEX(Ingredients!$G$5:$G$304,MATCH(D1105,Ingredients!$B$5:$B$304,0)),"Add to Ingredients"))</f>
        <v>0</v>
      </c>
      <c r="M1105" s="25">
        <f>IF(D1105="","",IFERROR(INDEX(Ingredients!$J$5:$J$304,MATCH(D1105,Ingredients!$B$5:$B$304,0)),"Add to Ingredients"))</f>
        <v>0</v>
      </c>
      <c r="N1105" s="25">
        <f>IF(OR(J1105="",M1105="",NOT(ISNUMBER(M1105))),"",IF(K1105&lt;&gt;L1105,"",J1105*M1105))</f>
        <v>0</v>
      </c>
      <c r="O1105" s="25">
        <f>IF(N1105="","",IFERROR(N1105/INDEX(Recipes!$G$5:$G$204,MATCH(B1105,Recipes!$A$5:$A$204,0)),""))</f>
        <v>0</v>
      </c>
      <c r="P1105" s="30">
        <f>IF(J1105="","",IF(K1105="each",J1105,J1105/100))</f>
        <v>0</v>
      </c>
      <c r="Q1105" s="30">
        <f>IFERROR(IF(P1105="","",P1105*INDEX(Ingredients!$P$5:$P$304,MATCH(D1105,Ingredients!$B$5:$B$304,0))),"")</f>
        <v>0</v>
      </c>
      <c r="R1105" s="45">
        <f>IFERROR(IF(P1105="","",P1105*INDEX(Ingredients!$Q$5:$Q$304,MATCH(D1105,Ingredients!$B$5:$B$304,0))),"")</f>
        <v>0</v>
      </c>
      <c r="S1105" s="45">
        <f>IFERROR(IF(P1105="","",P1105*INDEX(Ingredients!$R$5:$R$304,MATCH(D1105,Ingredients!$B$5:$B$304,0))),"")</f>
        <v>0</v>
      </c>
      <c r="T1105" s="45">
        <f>IFERROR(IF(P1105="","",P1105*INDEX(Ingredients!$S$5:$S$304,MATCH(D1105,Ingredients!$B$5:$B$304,0))),"")</f>
        <v>0</v>
      </c>
      <c r="U1105" s="45">
        <f>IFERROR(IF(P1105="","",P1105*INDEX(Ingredients!$T$5:$T$304,MATCH(D1105,Ingredients!$B$5:$B$304,0))),"")</f>
        <v>0</v>
      </c>
      <c r="V1105" s="17">
        <f>IF(D1105="","",IFERROR(INDEX(Ingredients!$W$5:$W$304,MATCH(D1105,Ingredients!$B$5:$B$304,0)),"Add to Ingredients"))</f>
        <v>0</v>
      </c>
      <c r="W1105" s="17">
        <f>IF(D1105="","",IFERROR(INDEX(Ingredients!$C$5:$C$304,MATCH(D1105,Ingredients!$B$5:$B$304,0)),"Add to Ingredients"))</f>
        <v>0</v>
      </c>
      <c r="X1105" s="45">
        <f>IFERROR(INDEX(Recipes!$AT$5:$AT$204,MATCH(B1105,Recipes!$A$5:$A$204,0)),0)</f>
        <v>0</v>
      </c>
      <c r="Y1105" s="45">
        <f>IF(OR(J1105="",X1105=0),"",J1105*X1105)</f>
        <v>0</v>
      </c>
      <c r="Z1105" s="17">
        <f>IF(D1105="","",B1105&amp;"#"&amp;COUNTIFS($B$5:B1105,B1105))</f>
        <v>0</v>
      </c>
      <c r="AA1105" s="17">
        <f>IF(D1105="","",B1105&amp;"|"&amp;D1105)</f>
        <v>0</v>
      </c>
      <c r="AB1105" s="31">
        <f>IF(D1105="","",IF(B1105="","Add - which recipe?",IF(COUNTIFS(Ingredients!$B$5:$B$304,D1105)=0,"Missing - not in the Ingredients tab",IF(E1105="","Add - no quantity",IF(F1105="","Add - no unit",IF(K1105&lt;&gt;L1105,"Check - recipe in "&amp;K1105&amp;", priced in "&amp;L1105,IF(COUNTIFS($AA$5:$AA$1204,AA1105)&gt;1,"Duplicate - same ingredient twice","OK")))))))</f>
        <v>0</v>
      </c>
    </row>
    <row r="1106" spans="1:28">
      <c r="A1106" s="39">
        <f>IF(D1106="","","RL-"&amp;TEXT(ROW()-4,"0000"))</f>
        <v>0</v>
      </c>
      <c r="C1106" s="17">
        <f>IF(B1106="","",IFERROR(INDEX(Recipes!$B$5:$B$204,MATCH(B1106,Recipes!$A$5:$A$204,0)),"Not found"))</f>
        <v>0</v>
      </c>
      <c r="J1106" s="45">
        <f>IF(E1106="","",IFERROR(E1106*INDEX(UnitFactors,MATCH(F1106,UnitNames,0)),""))</f>
        <v>0</v>
      </c>
      <c r="K1106" s="17">
        <f>IF(F1106="","",IFERROR(INDEX(UnitBases,MATCH(F1106,UnitNames,0)),"?"))</f>
        <v>0</v>
      </c>
      <c r="L1106" s="17">
        <f>IF(D1106="","",IFERROR(INDEX(Ingredients!$G$5:$G$304,MATCH(D1106,Ingredients!$B$5:$B$304,0)),"Add to Ingredients"))</f>
        <v>0</v>
      </c>
      <c r="M1106" s="25">
        <f>IF(D1106="","",IFERROR(INDEX(Ingredients!$J$5:$J$304,MATCH(D1106,Ingredients!$B$5:$B$304,0)),"Add to Ingredients"))</f>
        <v>0</v>
      </c>
      <c r="N1106" s="25">
        <f>IF(OR(J1106="",M1106="",NOT(ISNUMBER(M1106))),"",IF(K1106&lt;&gt;L1106,"",J1106*M1106))</f>
        <v>0</v>
      </c>
      <c r="O1106" s="25">
        <f>IF(N1106="","",IFERROR(N1106/INDEX(Recipes!$G$5:$G$204,MATCH(B1106,Recipes!$A$5:$A$204,0)),""))</f>
        <v>0</v>
      </c>
      <c r="P1106" s="30">
        <f>IF(J1106="","",IF(K1106="each",J1106,J1106/100))</f>
        <v>0</v>
      </c>
      <c r="Q1106" s="30">
        <f>IFERROR(IF(P1106="","",P1106*INDEX(Ingredients!$P$5:$P$304,MATCH(D1106,Ingredients!$B$5:$B$304,0))),"")</f>
        <v>0</v>
      </c>
      <c r="R1106" s="45">
        <f>IFERROR(IF(P1106="","",P1106*INDEX(Ingredients!$Q$5:$Q$304,MATCH(D1106,Ingredients!$B$5:$B$304,0))),"")</f>
        <v>0</v>
      </c>
      <c r="S1106" s="45">
        <f>IFERROR(IF(P1106="","",P1106*INDEX(Ingredients!$R$5:$R$304,MATCH(D1106,Ingredients!$B$5:$B$304,0))),"")</f>
        <v>0</v>
      </c>
      <c r="T1106" s="45">
        <f>IFERROR(IF(P1106="","",P1106*INDEX(Ingredients!$S$5:$S$304,MATCH(D1106,Ingredients!$B$5:$B$304,0))),"")</f>
        <v>0</v>
      </c>
      <c r="U1106" s="45">
        <f>IFERROR(IF(P1106="","",P1106*INDEX(Ingredients!$T$5:$T$304,MATCH(D1106,Ingredients!$B$5:$B$304,0))),"")</f>
        <v>0</v>
      </c>
      <c r="V1106" s="17">
        <f>IF(D1106="","",IFERROR(INDEX(Ingredients!$W$5:$W$304,MATCH(D1106,Ingredients!$B$5:$B$304,0)),"Add to Ingredients"))</f>
        <v>0</v>
      </c>
      <c r="W1106" s="17">
        <f>IF(D1106="","",IFERROR(INDEX(Ingredients!$C$5:$C$304,MATCH(D1106,Ingredients!$B$5:$B$304,0)),"Add to Ingredients"))</f>
        <v>0</v>
      </c>
      <c r="X1106" s="45">
        <f>IFERROR(INDEX(Recipes!$AT$5:$AT$204,MATCH(B1106,Recipes!$A$5:$A$204,0)),0)</f>
        <v>0</v>
      </c>
      <c r="Y1106" s="45">
        <f>IF(OR(J1106="",X1106=0),"",J1106*X1106)</f>
        <v>0</v>
      </c>
      <c r="Z1106" s="17">
        <f>IF(D1106="","",B1106&amp;"#"&amp;COUNTIFS($B$5:B1106,B1106))</f>
        <v>0</v>
      </c>
      <c r="AA1106" s="17">
        <f>IF(D1106="","",B1106&amp;"|"&amp;D1106)</f>
        <v>0</v>
      </c>
      <c r="AB1106" s="31">
        <f>IF(D1106="","",IF(B1106="","Add - which recipe?",IF(COUNTIFS(Ingredients!$B$5:$B$304,D1106)=0,"Missing - not in the Ingredients tab",IF(E1106="","Add - no quantity",IF(F1106="","Add - no unit",IF(K1106&lt;&gt;L1106,"Check - recipe in "&amp;K1106&amp;", priced in "&amp;L1106,IF(COUNTIFS($AA$5:$AA$1204,AA1106)&gt;1,"Duplicate - same ingredient twice","OK")))))))</f>
        <v>0</v>
      </c>
    </row>
    <row r="1107" spans="1:28">
      <c r="A1107" s="39">
        <f>IF(D1107="","","RL-"&amp;TEXT(ROW()-4,"0000"))</f>
        <v>0</v>
      </c>
      <c r="C1107" s="17">
        <f>IF(B1107="","",IFERROR(INDEX(Recipes!$B$5:$B$204,MATCH(B1107,Recipes!$A$5:$A$204,0)),"Not found"))</f>
        <v>0</v>
      </c>
      <c r="J1107" s="45">
        <f>IF(E1107="","",IFERROR(E1107*INDEX(UnitFactors,MATCH(F1107,UnitNames,0)),""))</f>
        <v>0</v>
      </c>
      <c r="K1107" s="17">
        <f>IF(F1107="","",IFERROR(INDEX(UnitBases,MATCH(F1107,UnitNames,0)),"?"))</f>
        <v>0</v>
      </c>
      <c r="L1107" s="17">
        <f>IF(D1107="","",IFERROR(INDEX(Ingredients!$G$5:$G$304,MATCH(D1107,Ingredients!$B$5:$B$304,0)),"Add to Ingredients"))</f>
        <v>0</v>
      </c>
      <c r="M1107" s="25">
        <f>IF(D1107="","",IFERROR(INDEX(Ingredients!$J$5:$J$304,MATCH(D1107,Ingredients!$B$5:$B$304,0)),"Add to Ingredients"))</f>
        <v>0</v>
      </c>
      <c r="N1107" s="25">
        <f>IF(OR(J1107="",M1107="",NOT(ISNUMBER(M1107))),"",IF(K1107&lt;&gt;L1107,"",J1107*M1107))</f>
        <v>0</v>
      </c>
      <c r="O1107" s="25">
        <f>IF(N1107="","",IFERROR(N1107/INDEX(Recipes!$G$5:$G$204,MATCH(B1107,Recipes!$A$5:$A$204,0)),""))</f>
        <v>0</v>
      </c>
      <c r="P1107" s="30">
        <f>IF(J1107="","",IF(K1107="each",J1107,J1107/100))</f>
        <v>0</v>
      </c>
      <c r="Q1107" s="30">
        <f>IFERROR(IF(P1107="","",P1107*INDEX(Ingredients!$P$5:$P$304,MATCH(D1107,Ingredients!$B$5:$B$304,0))),"")</f>
        <v>0</v>
      </c>
      <c r="R1107" s="45">
        <f>IFERROR(IF(P1107="","",P1107*INDEX(Ingredients!$Q$5:$Q$304,MATCH(D1107,Ingredients!$B$5:$B$304,0))),"")</f>
        <v>0</v>
      </c>
      <c r="S1107" s="45">
        <f>IFERROR(IF(P1107="","",P1107*INDEX(Ingredients!$R$5:$R$304,MATCH(D1107,Ingredients!$B$5:$B$304,0))),"")</f>
        <v>0</v>
      </c>
      <c r="T1107" s="45">
        <f>IFERROR(IF(P1107="","",P1107*INDEX(Ingredients!$S$5:$S$304,MATCH(D1107,Ingredients!$B$5:$B$304,0))),"")</f>
        <v>0</v>
      </c>
      <c r="U1107" s="45">
        <f>IFERROR(IF(P1107="","",P1107*INDEX(Ingredients!$T$5:$T$304,MATCH(D1107,Ingredients!$B$5:$B$304,0))),"")</f>
        <v>0</v>
      </c>
      <c r="V1107" s="17">
        <f>IF(D1107="","",IFERROR(INDEX(Ingredients!$W$5:$W$304,MATCH(D1107,Ingredients!$B$5:$B$304,0)),"Add to Ingredients"))</f>
        <v>0</v>
      </c>
      <c r="W1107" s="17">
        <f>IF(D1107="","",IFERROR(INDEX(Ingredients!$C$5:$C$304,MATCH(D1107,Ingredients!$B$5:$B$304,0)),"Add to Ingredients"))</f>
        <v>0</v>
      </c>
      <c r="X1107" s="45">
        <f>IFERROR(INDEX(Recipes!$AT$5:$AT$204,MATCH(B1107,Recipes!$A$5:$A$204,0)),0)</f>
        <v>0</v>
      </c>
      <c r="Y1107" s="45">
        <f>IF(OR(J1107="",X1107=0),"",J1107*X1107)</f>
        <v>0</v>
      </c>
      <c r="Z1107" s="17">
        <f>IF(D1107="","",B1107&amp;"#"&amp;COUNTIFS($B$5:B1107,B1107))</f>
        <v>0</v>
      </c>
      <c r="AA1107" s="17">
        <f>IF(D1107="","",B1107&amp;"|"&amp;D1107)</f>
        <v>0</v>
      </c>
      <c r="AB1107" s="31">
        <f>IF(D1107="","",IF(B1107="","Add - which recipe?",IF(COUNTIFS(Ingredients!$B$5:$B$304,D1107)=0,"Missing - not in the Ingredients tab",IF(E1107="","Add - no quantity",IF(F1107="","Add - no unit",IF(K1107&lt;&gt;L1107,"Check - recipe in "&amp;K1107&amp;", priced in "&amp;L1107,IF(COUNTIFS($AA$5:$AA$1204,AA1107)&gt;1,"Duplicate - same ingredient twice","OK")))))))</f>
        <v>0</v>
      </c>
    </row>
    <row r="1108" spans="1:28">
      <c r="A1108" s="39">
        <f>IF(D1108="","","RL-"&amp;TEXT(ROW()-4,"0000"))</f>
        <v>0</v>
      </c>
      <c r="C1108" s="17">
        <f>IF(B1108="","",IFERROR(INDEX(Recipes!$B$5:$B$204,MATCH(B1108,Recipes!$A$5:$A$204,0)),"Not found"))</f>
        <v>0</v>
      </c>
      <c r="J1108" s="45">
        <f>IF(E1108="","",IFERROR(E1108*INDEX(UnitFactors,MATCH(F1108,UnitNames,0)),""))</f>
        <v>0</v>
      </c>
      <c r="K1108" s="17">
        <f>IF(F1108="","",IFERROR(INDEX(UnitBases,MATCH(F1108,UnitNames,0)),"?"))</f>
        <v>0</v>
      </c>
      <c r="L1108" s="17">
        <f>IF(D1108="","",IFERROR(INDEX(Ingredients!$G$5:$G$304,MATCH(D1108,Ingredients!$B$5:$B$304,0)),"Add to Ingredients"))</f>
        <v>0</v>
      </c>
      <c r="M1108" s="25">
        <f>IF(D1108="","",IFERROR(INDEX(Ingredients!$J$5:$J$304,MATCH(D1108,Ingredients!$B$5:$B$304,0)),"Add to Ingredients"))</f>
        <v>0</v>
      </c>
      <c r="N1108" s="25">
        <f>IF(OR(J1108="",M1108="",NOT(ISNUMBER(M1108))),"",IF(K1108&lt;&gt;L1108,"",J1108*M1108))</f>
        <v>0</v>
      </c>
      <c r="O1108" s="25">
        <f>IF(N1108="","",IFERROR(N1108/INDEX(Recipes!$G$5:$G$204,MATCH(B1108,Recipes!$A$5:$A$204,0)),""))</f>
        <v>0</v>
      </c>
      <c r="P1108" s="30">
        <f>IF(J1108="","",IF(K1108="each",J1108,J1108/100))</f>
        <v>0</v>
      </c>
      <c r="Q1108" s="30">
        <f>IFERROR(IF(P1108="","",P1108*INDEX(Ingredients!$P$5:$P$304,MATCH(D1108,Ingredients!$B$5:$B$304,0))),"")</f>
        <v>0</v>
      </c>
      <c r="R1108" s="45">
        <f>IFERROR(IF(P1108="","",P1108*INDEX(Ingredients!$Q$5:$Q$304,MATCH(D1108,Ingredients!$B$5:$B$304,0))),"")</f>
        <v>0</v>
      </c>
      <c r="S1108" s="45">
        <f>IFERROR(IF(P1108="","",P1108*INDEX(Ingredients!$R$5:$R$304,MATCH(D1108,Ingredients!$B$5:$B$304,0))),"")</f>
        <v>0</v>
      </c>
      <c r="T1108" s="45">
        <f>IFERROR(IF(P1108="","",P1108*INDEX(Ingredients!$S$5:$S$304,MATCH(D1108,Ingredients!$B$5:$B$304,0))),"")</f>
        <v>0</v>
      </c>
      <c r="U1108" s="45">
        <f>IFERROR(IF(P1108="","",P1108*INDEX(Ingredients!$T$5:$T$304,MATCH(D1108,Ingredients!$B$5:$B$304,0))),"")</f>
        <v>0</v>
      </c>
      <c r="V1108" s="17">
        <f>IF(D1108="","",IFERROR(INDEX(Ingredients!$W$5:$W$304,MATCH(D1108,Ingredients!$B$5:$B$304,0)),"Add to Ingredients"))</f>
        <v>0</v>
      </c>
      <c r="W1108" s="17">
        <f>IF(D1108="","",IFERROR(INDEX(Ingredients!$C$5:$C$304,MATCH(D1108,Ingredients!$B$5:$B$304,0)),"Add to Ingredients"))</f>
        <v>0</v>
      </c>
      <c r="X1108" s="45">
        <f>IFERROR(INDEX(Recipes!$AT$5:$AT$204,MATCH(B1108,Recipes!$A$5:$A$204,0)),0)</f>
        <v>0</v>
      </c>
      <c r="Y1108" s="45">
        <f>IF(OR(J1108="",X1108=0),"",J1108*X1108)</f>
        <v>0</v>
      </c>
      <c r="Z1108" s="17">
        <f>IF(D1108="","",B1108&amp;"#"&amp;COUNTIFS($B$5:B1108,B1108))</f>
        <v>0</v>
      </c>
      <c r="AA1108" s="17">
        <f>IF(D1108="","",B1108&amp;"|"&amp;D1108)</f>
        <v>0</v>
      </c>
      <c r="AB1108" s="31">
        <f>IF(D1108="","",IF(B1108="","Add - which recipe?",IF(COUNTIFS(Ingredients!$B$5:$B$304,D1108)=0,"Missing - not in the Ingredients tab",IF(E1108="","Add - no quantity",IF(F1108="","Add - no unit",IF(K1108&lt;&gt;L1108,"Check - recipe in "&amp;K1108&amp;", priced in "&amp;L1108,IF(COUNTIFS($AA$5:$AA$1204,AA1108)&gt;1,"Duplicate - same ingredient twice","OK")))))))</f>
        <v>0</v>
      </c>
    </row>
    <row r="1109" spans="1:28">
      <c r="A1109" s="39">
        <f>IF(D1109="","","RL-"&amp;TEXT(ROW()-4,"0000"))</f>
        <v>0</v>
      </c>
      <c r="C1109" s="17">
        <f>IF(B1109="","",IFERROR(INDEX(Recipes!$B$5:$B$204,MATCH(B1109,Recipes!$A$5:$A$204,0)),"Not found"))</f>
        <v>0</v>
      </c>
      <c r="J1109" s="45">
        <f>IF(E1109="","",IFERROR(E1109*INDEX(UnitFactors,MATCH(F1109,UnitNames,0)),""))</f>
        <v>0</v>
      </c>
      <c r="K1109" s="17">
        <f>IF(F1109="","",IFERROR(INDEX(UnitBases,MATCH(F1109,UnitNames,0)),"?"))</f>
        <v>0</v>
      </c>
      <c r="L1109" s="17">
        <f>IF(D1109="","",IFERROR(INDEX(Ingredients!$G$5:$G$304,MATCH(D1109,Ingredients!$B$5:$B$304,0)),"Add to Ingredients"))</f>
        <v>0</v>
      </c>
      <c r="M1109" s="25">
        <f>IF(D1109="","",IFERROR(INDEX(Ingredients!$J$5:$J$304,MATCH(D1109,Ingredients!$B$5:$B$304,0)),"Add to Ingredients"))</f>
        <v>0</v>
      </c>
      <c r="N1109" s="25">
        <f>IF(OR(J1109="",M1109="",NOT(ISNUMBER(M1109))),"",IF(K1109&lt;&gt;L1109,"",J1109*M1109))</f>
        <v>0</v>
      </c>
      <c r="O1109" s="25">
        <f>IF(N1109="","",IFERROR(N1109/INDEX(Recipes!$G$5:$G$204,MATCH(B1109,Recipes!$A$5:$A$204,0)),""))</f>
        <v>0</v>
      </c>
      <c r="P1109" s="30">
        <f>IF(J1109="","",IF(K1109="each",J1109,J1109/100))</f>
        <v>0</v>
      </c>
      <c r="Q1109" s="30">
        <f>IFERROR(IF(P1109="","",P1109*INDEX(Ingredients!$P$5:$P$304,MATCH(D1109,Ingredients!$B$5:$B$304,0))),"")</f>
        <v>0</v>
      </c>
      <c r="R1109" s="45">
        <f>IFERROR(IF(P1109="","",P1109*INDEX(Ingredients!$Q$5:$Q$304,MATCH(D1109,Ingredients!$B$5:$B$304,0))),"")</f>
        <v>0</v>
      </c>
      <c r="S1109" s="45">
        <f>IFERROR(IF(P1109="","",P1109*INDEX(Ingredients!$R$5:$R$304,MATCH(D1109,Ingredients!$B$5:$B$304,0))),"")</f>
        <v>0</v>
      </c>
      <c r="T1109" s="45">
        <f>IFERROR(IF(P1109="","",P1109*INDEX(Ingredients!$S$5:$S$304,MATCH(D1109,Ingredients!$B$5:$B$304,0))),"")</f>
        <v>0</v>
      </c>
      <c r="U1109" s="45">
        <f>IFERROR(IF(P1109="","",P1109*INDEX(Ingredients!$T$5:$T$304,MATCH(D1109,Ingredients!$B$5:$B$304,0))),"")</f>
        <v>0</v>
      </c>
      <c r="V1109" s="17">
        <f>IF(D1109="","",IFERROR(INDEX(Ingredients!$W$5:$W$304,MATCH(D1109,Ingredients!$B$5:$B$304,0)),"Add to Ingredients"))</f>
        <v>0</v>
      </c>
      <c r="W1109" s="17">
        <f>IF(D1109="","",IFERROR(INDEX(Ingredients!$C$5:$C$304,MATCH(D1109,Ingredients!$B$5:$B$304,0)),"Add to Ingredients"))</f>
        <v>0</v>
      </c>
      <c r="X1109" s="45">
        <f>IFERROR(INDEX(Recipes!$AT$5:$AT$204,MATCH(B1109,Recipes!$A$5:$A$204,0)),0)</f>
        <v>0</v>
      </c>
      <c r="Y1109" s="45">
        <f>IF(OR(J1109="",X1109=0),"",J1109*X1109)</f>
        <v>0</v>
      </c>
      <c r="Z1109" s="17">
        <f>IF(D1109="","",B1109&amp;"#"&amp;COUNTIFS($B$5:B1109,B1109))</f>
        <v>0</v>
      </c>
      <c r="AA1109" s="17">
        <f>IF(D1109="","",B1109&amp;"|"&amp;D1109)</f>
        <v>0</v>
      </c>
      <c r="AB1109" s="31">
        <f>IF(D1109="","",IF(B1109="","Add - which recipe?",IF(COUNTIFS(Ingredients!$B$5:$B$304,D1109)=0,"Missing - not in the Ingredients tab",IF(E1109="","Add - no quantity",IF(F1109="","Add - no unit",IF(K1109&lt;&gt;L1109,"Check - recipe in "&amp;K1109&amp;", priced in "&amp;L1109,IF(COUNTIFS($AA$5:$AA$1204,AA1109)&gt;1,"Duplicate - same ingredient twice","OK")))))))</f>
        <v>0</v>
      </c>
    </row>
    <row r="1110" spans="1:28">
      <c r="A1110" s="39">
        <f>IF(D1110="","","RL-"&amp;TEXT(ROW()-4,"0000"))</f>
        <v>0</v>
      </c>
      <c r="C1110" s="17">
        <f>IF(B1110="","",IFERROR(INDEX(Recipes!$B$5:$B$204,MATCH(B1110,Recipes!$A$5:$A$204,0)),"Not found"))</f>
        <v>0</v>
      </c>
      <c r="J1110" s="45">
        <f>IF(E1110="","",IFERROR(E1110*INDEX(UnitFactors,MATCH(F1110,UnitNames,0)),""))</f>
        <v>0</v>
      </c>
      <c r="K1110" s="17">
        <f>IF(F1110="","",IFERROR(INDEX(UnitBases,MATCH(F1110,UnitNames,0)),"?"))</f>
        <v>0</v>
      </c>
      <c r="L1110" s="17">
        <f>IF(D1110="","",IFERROR(INDEX(Ingredients!$G$5:$G$304,MATCH(D1110,Ingredients!$B$5:$B$304,0)),"Add to Ingredients"))</f>
        <v>0</v>
      </c>
      <c r="M1110" s="25">
        <f>IF(D1110="","",IFERROR(INDEX(Ingredients!$J$5:$J$304,MATCH(D1110,Ingredients!$B$5:$B$304,0)),"Add to Ingredients"))</f>
        <v>0</v>
      </c>
      <c r="N1110" s="25">
        <f>IF(OR(J1110="",M1110="",NOT(ISNUMBER(M1110))),"",IF(K1110&lt;&gt;L1110,"",J1110*M1110))</f>
        <v>0</v>
      </c>
      <c r="O1110" s="25">
        <f>IF(N1110="","",IFERROR(N1110/INDEX(Recipes!$G$5:$G$204,MATCH(B1110,Recipes!$A$5:$A$204,0)),""))</f>
        <v>0</v>
      </c>
      <c r="P1110" s="30">
        <f>IF(J1110="","",IF(K1110="each",J1110,J1110/100))</f>
        <v>0</v>
      </c>
      <c r="Q1110" s="30">
        <f>IFERROR(IF(P1110="","",P1110*INDEX(Ingredients!$P$5:$P$304,MATCH(D1110,Ingredients!$B$5:$B$304,0))),"")</f>
        <v>0</v>
      </c>
      <c r="R1110" s="45">
        <f>IFERROR(IF(P1110="","",P1110*INDEX(Ingredients!$Q$5:$Q$304,MATCH(D1110,Ingredients!$B$5:$B$304,0))),"")</f>
        <v>0</v>
      </c>
      <c r="S1110" s="45">
        <f>IFERROR(IF(P1110="","",P1110*INDEX(Ingredients!$R$5:$R$304,MATCH(D1110,Ingredients!$B$5:$B$304,0))),"")</f>
        <v>0</v>
      </c>
      <c r="T1110" s="45">
        <f>IFERROR(IF(P1110="","",P1110*INDEX(Ingredients!$S$5:$S$304,MATCH(D1110,Ingredients!$B$5:$B$304,0))),"")</f>
        <v>0</v>
      </c>
      <c r="U1110" s="45">
        <f>IFERROR(IF(P1110="","",P1110*INDEX(Ingredients!$T$5:$T$304,MATCH(D1110,Ingredients!$B$5:$B$304,0))),"")</f>
        <v>0</v>
      </c>
      <c r="V1110" s="17">
        <f>IF(D1110="","",IFERROR(INDEX(Ingredients!$W$5:$W$304,MATCH(D1110,Ingredients!$B$5:$B$304,0)),"Add to Ingredients"))</f>
        <v>0</v>
      </c>
      <c r="W1110" s="17">
        <f>IF(D1110="","",IFERROR(INDEX(Ingredients!$C$5:$C$304,MATCH(D1110,Ingredients!$B$5:$B$304,0)),"Add to Ingredients"))</f>
        <v>0</v>
      </c>
      <c r="X1110" s="45">
        <f>IFERROR(INDEX(Recipes!$AT$5:$AT$204,MATCH(B1110,Recipes!$A$5:$A$204,0)),0)</f>
        <v>0</v>
      </c>
      <c r="Y1110" s="45">
        <f>IF(OR(J1110="",X1110=0),"",J1110*X1110)</f>
        <v>0</v>
      </c>
      <c r="Z1110" s="17">
        <f>IF(D1110="","",B1110&amp;"#"&amp;COUNTIFS($B$5:B1110,B1110))</f>
        <v>0</v>
      </c>
      <c r="AA1110" s="17">
        <f>IF(D1110="","",B1110&amp;"|"&amp;D1110)</f>
        <v>0</v>
      </c>
      <c r="AB1110" s="31">
        <f>IF(D1110="","",IF(B1110="","Add - which recipe?",IF(COUNTIFS(Ingredients!$B$5:$B$304,D1110)=0,"Missing - not in the Ingredients tab",IF(E1110="","Add - no quantity",IF(F1110="","Add - no unit",IF(K1110&lt;&gt;L1110,"Check - recipe in "&amp;K1110&amp;", priced in "&amp;L1110,IF(COUNTIFS($AA$5:$AA$1204,AA1110)&gt;1,"Duplicate - same ingredient twice","OK")))))))</f>
        <v>0</v>
      </c>
    </row>
    <row r="1111" spans="1:28">
      <c r="A1111" s="39">
        <f>IF(D1111="","","RL-"&amp;TEXT(ROW()-4,"0000"))</f>
        <v>0</v>
      </c>
      <c r="C1111" s="17">
        <f>IF(B1111="","",IFERROR(INDEX(Recipes!$B$5:$B$204,MATCH(B1111,Recipes!$A$5:$A$204,0)),"Not found"))</f>
        <v>0</v>
      </c>
      <c r="J1111" s="45">
        <f>IF(E1111="","",IFERROR(E1111*INDEX(UnitFactors,MATCH(F1111,UnitNames,0)),""))</f>
        <v>0</v>
      </c>
      <c r="K1111" s="17">
        <f>IF(F1111="","",IFERROR(INDEX(UnitBases,MATCH(F1111,UnitNames,0)),"?"))</f>
        <v>0</v>
      </c>
      <c r="L1111" s="17">
        <f>IF(D1111="","",IFERROR(INDEX(Ingredients!$G$5:$G$304,MATCH(D1111,Ingredients!$B$5:$B$304,0)),"Add to Ingredients"))</f>
        <v>0</v>
      </c>
      <c r="M1111" s="25">
        <f>IF(D1111="","",IFERROR(INDEX(Ingredients!$J$5:$J$304,MATCH(D1111,Ingredients!$B$5:$B$304,0)),"Add to Ingredients"))</f>
        <v>0</v>
      </c>
      <c r="N1111" s="25">
        <f>IF(OR(J1111="",M1111="",NOT(ISNUMBER(M1111))),"",IF(K1111&lt;&gt;L1111,"",J1111*M1111))</f>
        <v>0</v>
      </c>
      <c r="O1111" s="25">
        <f>IF(N1111="","",IFERROR(N1111/INDEX(Recipes!$G$5:$G$204,MATCH(B1111,Recipes!$A$5:$A$204,0)),""))</f>
        <v>0</v>
      </c>
      <c r="P1111" s="30">
        <f>IF(J1111="","",IF(K1111="each",J1111,J1111/100))</f>
        <v>0</v>
      </c>
      <c r="Q1111" s="30">
        <f>IFERROR(IF(P1111="","",P1111*INDEX(Ingredients!$P$5:$P$304,MATCH(D1111,Ingredients!$B$5:$B$304,0))),"")</f>
        <v>0</v>
      </c>
      <c r="R1111" s="45">
        <f>IFERROR(IF(P1111="","",P1111*INDEX(Ingredients!$Q$5:$Q$304,MATCH(D1111,Ingredients!$B$5:$B$304,0))),"")</f>
        <v>0</v>
      </c>
      <c r="S1111" s="45">
        <f>IFERROR(IF(P1111="","",P1111*INDEX(Ingredients!$R$5:$R$304,MATCH(D1111,Ingredients!$B$5:$B$304,0))),"")</f>
        <v>0</v>
      </c>
      <c r="T1111" s="45">
        <f>IFERROR(IF(P1111="","",P1111*INDEX(Ingredients!$S$5:$S$304,MATCH(D1111,Ingredients!$B$5:$B$304,0))),"")</f>
        <v>0</v>
      </c>
      <c r="U1111" s="45">
        <f>IFERROR(IF(P1111="","",P1111*INDEX(Ingredients!$T$5:$T$304,MATCH(D1111,Ingredients!$B$5:$B$304,0))),"")</f>
        <v>0</v>
      </c>
      <c r="V1111" s="17">
        <f>IF(D1111="","",IFERROR(INDEX(Ingredients!$W$5:$W$304,MATCH(D1111,Ingredients!$B$5:$B$304,0)),"Add to Ingredients"))</f>
        <v>0</v>
      </c>
      <c r="W1111" s="17">
        <f>IF(D1111="","",IFERROR(INDEX(Ingredients!$C$5:$C$304,MATCH(D1111,Ingredients!$B$5:$B$304,0)),"Add to Ingredients"))</f>
        <v>0</v>
      </c>
      <c r="X1111" s="45">
        <f>IFERROR(INDEX(Recipes!$AT$5:$AT$204,MATCH(B1111,Recipes!$A$5:$A$204,0)),0)</f>
        <v>0</v>
      </c>
      <c r="Y1111" s="45">
        <f>IF(OR(J1111="",X1111=0),"",J1111*X1111)</f>
        <v>0</v>
      </c>
      <c r="Z1111" s="17">
        <f>IF(D1111="","",B1111&amp;"#"&amp;COUNTIFS($B$5:B1111,B1111))</f>
        <v>0</v>
      </c>
      <c r="AA1111" s="17">
        <f>IF(D1111="","",B1111&amp;"|"&amp;D1111)</f>
        <v>0</v>
      </c>
      <c r="AB1111" s="31">
        <f>IF(D1111="","",IF(B1111="","Add - which recipe?",IF(COUNTIFS(Ingredients!$B$5:$B$304,D1111)=0,"Missing - not in the Ingredients tab",IF(E1111="","Add - no quantity",IF(F1111="","Add - no unit",IF(K1111&lt;&gt;L1111,"Check - recipe in "&amp;K1111&amp;", priced in "&amp;L1111,IF(COUNTIFS($AA$5:$AA$1204,AA1111)&gt;1,"Duplicate - same ingredient twice","OK")))))))</f>
        <v>0</v>
      </c>
    </row>
    <row r="1112" spans="1:28">
      <c r="A1112" s="39">
        <f>IF(D1112="","","RL-"&amp;TEXT(ROW()-4,"0000"))</f>
        <v>0</v>
      </c>
      <c r="C1112" s="17">
        <f>IF(B1112="","",IFERROR(INDEX(Recipes!$B$5:$B$204,MATCH(B1112,Recipes!$A$5:$A$204,0)),"Not found"))</f>
        <v>0</v>
      </c>
      <c r="J1112" s="45">
        <f>IF(E1112="","",IFERROR(E1112*INDEX(UnitFactors,MATCH(F1112,UnitNames,0)),""))</f>
        <v>0</v>
      </c>
      <c r="K1112" s="17">
        <f>IF(F1112="","",IFERROR(INDEX(UnitBases,MATCH(F1112,UnitNames,0)),"?"))</f>
        <v>0</v>
      </c>
      <c r="L1112" s="17">
        <f>IF(D1112="","",IFERROR(INDEX(Ingredients!$G$5:$G$304,MATCH(D1112,Ingredients!$B$5:$B$304,0)),"Add to Ingredients"))</f>
        <v>0</v>
      </c>
      <c r="M1112" s="25">
        <f>IF(D1112="","",IFERROR(INDEX(Ingredients!$J$5:$J$304,MATCH(D1112,Ingredients!$B$5:$B$304,0)),"Add to Ingredients"))</f>
        <v>0</v>
      </c>
      <c r="N1112" s="25">
        <f>IF(OR(J1112="",M1112="",NOT(ISNUMBER(M1112))),"",IF(K1112&lt;&gt;L1112,"",J1112*M1112))</f>
        <v>0</v>
      </c>
      <c r="O1112" s="25">
        <f>IF(N1112="","",IFERROR(N1112/INDEX(Recipes!$G$5:$G$204,MATCH(B1112,Recipes!$A$5:$A$204,0)),""))</f>
        <v>0</v>
      </c>
      <c r="P1112" s="30">
        <f>IF(J1112="","",IF(K1112="each",J1112,J1112/100))</f>
        <v>0</v>
      </c>
      <c r="Q1112" s="30">
        <f>IFERROR(IF(P1112="","",P1112*INDEX(Ingredients!$P$5:$P$304,MATCH(D1112,Ingredients!$B$5:$B$304,0))),"")</f>
        <v>0</v>
      </c>
      <c r="R1112" s="45">
        <f>IFERROR(IF(P1112="","",P1112*INDEX(Ingredients!$Q$5:$Q$304,MATCH(D1112,Ingredients!$B$5:$B$304,0))),"")</f>
        <v>0</v>
      </c>
      <c r="S1112" s="45">
        <f>IFERROR(IF(P1112="","",P1112*INDEX(Ingredients!$R$5:$R$304,MATCH(D1112,Ingredients!$B$5:$B$304,0))),"")</f>
        <v>0</v>
      </c>
      <c r="T1112" s="45">
        <f>IFERROR(IF(P1112="","",P1112*INDEX(Ingredients!$S$5:$S$304,MATCH(D1112,Ingredients!$B$5:$B$304,0))),"")</f>
        <v>0</v>
      </c>
      <c r="U1112" s="45">
        <f>IFERROR(IF(P1112="","",P1112*INDEX(Ingredients!$T$5:$T$304,MATCH(D1112,Ingredients!$B$5:$B$304,0))),"")</f>
        <v>0</v>
      </c>
      <c r="V1112" s="17">
        <f>IF(D1112="","",IFERROR(INDEX(Ingredients!$W$5:$W$304,MATCH(D1112,Ingredients!$B$5:$B$304,0)),"Add to Ingredients"))</f>
        <v>0</v>
      </c>
      <c r="W1112" s="17">
        <f>IF(D1112="","",IFERROR(INDEX(Ingredients!$C$5:$C$304,MATCH(D1112,Ingredients!$B$5:$B$304,0)),"Add to Ingredients"))</f>
        <v>0</v>
      </c>
      <c r="X1112" s="45">
        <f>IFERROR(INDEX(Recipes!$AT$5:$AT$204,MATCH(B1112,Recipes!$A$5:$A$204,0)),0)</f>
        <v>0</v>
      </c>
      <c r="Y1112" s="45">
        <f>IF(OR(J1112="",X1112=0),"",J1112*X1112)</f>
        <v>0</v>
      </c>
      <c r="Z1112" s="17">
        <f>IF(D1112="","",B1112&amp;"#"&amp;COUNTIFS($B$5:B1112,B1112))</f>
        <v>0</v>
      </c>
      <c r="AA1112" s="17">
        <f>IF(D1112="","",B1112&amp;"|"&amp;D1112)</f>
        <v>0</v>
      </c>
      <c r="AB1112" s="31">
        <f>IF(D1112="","",IF(B1112="","Add - which recipe?",IF(COUNTIFS(Ingredients!$B$5:$B$304,D1112)=0,"Missing - not in the Ingredients tab",IF(E1112="","Add - no quantity",IF(F1112="","Add - no unit",IF(K1112&lt;&gt;L1112,"Check - recipe in "&amp;K1112&amp;", priced in "&amp;L1112,IF(COUNTIFS($AA$5:$AA$1204,AA1112)&gt;1,"Duplicate - same ingredient twice","OK")))))))</f>
        <v>0</v>
      </c>
    </row>
    <row r="1113" spans="1:28">
      <c r="A1113" s="39">
        <f>IF(D1113="","","RL-"&amp;TEXT(ROW()-4,"0000"))</f>
        <v>0</v>
      </c>
      <c r="C1113" s="17">
        <f>IF(B1113="","",IFERROR(INDEX(Recipes!$B$5:$B$204,MATCH(B1113,Recipes!$A$5:$A$204,0)),"Not found"))</f>
        <v>0</v>
      </c>
      <c r="J1113" s="45">
        <f>IF(E1113="","",IFERROR(E1113*INDEX(UnitFactors,MATCH(F1113,UnitNames,0)),""))</f>
        <v>0</v>
      </c>
      <c r="K1113" s="17">
        <f>IF(F1113="","",IFERROR(INDEX(UnitBases,MATCH(F1113,UnitNames,0)),"?"))</f>
        <v>0</v>
      </c>
      <c r="L1113" s="17">
        <f>IF(D1113="","",IFERROR(INDEX(Ingredients!$G$5:$G$304,MATCH(D1113,Ingredients!$B$5:$B$304,0)),"Add to Ingredients"))</f>
        <v>0</v>
      </c>
      <c r="M1113" s="25">
        <f>IF(D1113="","",IFERROR(INDEX(Ingredients!$J$5:$J$304,MATCH(D1113,Ingredients!$B$5:$B$304,0)),"Add to Ingredients"))</f>
        <v>0</v>
      </c>
      <c r="N1113" s="25">
        <f>IF(OR(J1113="",M1113="",NOT(ISNUMBER(M1113))),"",IF(K1113&lt;&gt;L1113,"",J1113*M1113))</f>
        <v>0</v>
      </c>
      <c r="O1113" s="25">
        <f>IF(N1113="","",IFERROR(N1113/INDEX(Recipes!$G$5:$G$204,MATCH(B1113,Recipes!$A$5:$A$204,0)),""))</f>
        <v>0</v>
      </c>
      <c r="P1113" s="30">
        <f>IF(J1113="","",IF(K1113="each",J1113,J1113/100))</f>
        <v>0</v>
      </c>
      <c r="Q1113" s="30">
        <f>IFERROR(IF(P1113="","",P1113*INDEX(Ingredients!$P$5:$P$304,MATCH(D1113,Ingredients!$B$5:$B$304,0))),"")</f>
        <v>0</v>
      </c>
      <c r="R1113" s="45">
        <f>IFERROR(IF(P1113="","",P1113*INDEX(Ingredients!$Q$5:$Q$304,MATCH(D1113,Ingredients!$B$5:$B$304,0))),"")</f>
        <v>0</v>
      </c>
      <c r="S1113" s="45">
        <f>IFERROR(IF(P1113="","",P1113*INDEX(Ingredients!$R$5:$R$304,MATCH(D1113,Ingredients!$B$5:$B$304,0))),"")</f>
        <v>0</v>
      </c>
      <c r="T1113" s="45">
        <f>IFERROR(IF(P1113="","",P1113*INDEX(Ingredients!$S$5:$S$304,MATCH(D1113,Ingredients!$B$5:$B$304,0))),"")</f>
        <v>0</v>
      </c>
      <c r="U1113" s="45">
        <f>IFERROR(IF(P1113="","",P1113*INDEX(Ingredients!$T$5:$T$304,MATCH(D1113,Ingredients!$B$5:$B$304,0))),"")</f>
        <v>0</v>
      </c>
      <c r="V1113" s="17">
        <f>IF(D1113="","",IFERROR(INDEX(Ingredients!$W$5:$W$304,MATCH(D1113,Ingredients!$B$5:$B$304,0)),"Add to Ingredients"))</f>
        <v>0</v>
      </c>
      <c r="W1113" s="17">
        <f>IF(D1113="","",IFERROR(INDEX(Ingredients!$C$5:$C$304,MATCH(D1113,Ingredients!$B$5:$B$304,0)),"Add to Ingredients"))</f>
        <v>0</v>
      </c>
      <c r="X1113" s="45">
        <f>IFERROR(INDEX(Recipes!$AT$5:$AT$204,MATCH(B1113,Recipes!$A$5:$A$204,0)),0)</f>
        <v>0</v>
      </c>
      <c r="Y1113" s="45">
        <f>IF(OR(J1113="",X1113=0),"",J1113*X1113)</f>
        <v>0</v>
      </c>
      <c r="Z1113" s="17">
        <f>IF(D1113="","",B1113&amp;"#"&amp;COUNTIFS($B$5:B1113,B1113))</f>
        <v>0</v>
      </c>
      <c r="AA1113" s="17">
        <f>IF(D1113="","",B1113&amp;"|"&amp;D1113)</f>
        <v>0</v>
      </c>
      <c r="AB1113" s="31">
        <f>IF(D1113="","",IF(B1113="","Add - which recipe?",IF(COUNTIFS(Ingredients!$B$5:$B$304,D1113)=0,"Missing - not in the Ingredients tab",IF(E1113="","Add - no quantity",IF(F1113="","Add - no unit",IF(K1113&lt;&gt;L1113,"Check - recipe in "&amp;K1113&amp;", priced in "&amp;L1113,IF(COUNTIFS($AA$5:$AA$1204,AA1113)&gt;1,"Duplicate - same ingredient twice","OK")))))))</f>
        <v>0</v>
      </c>
    </row>
    <row r="1114" spans="1:28">
      <c r="A1114" s="39">
        <f>IF(D1114="","","RL-"&amp;TEXT(ROW()-4,"0000"))</f>
        <v>0</v>
      </c>
      <c r="C1114" s="17">
        <f>IF(B1114="","",IFERROR(INDEX(Recipes!$B$5:$B$204,MATCH(B1114,Recipes!$A$5:$A$204,0)),"Not found"))</f>
        <v>0</v>
      </c>
      <c r="J1114" s="45">
        <f>IF(E1114="","",IFERROR(E1114*INDEX(UnitFactors,MATCH(F1114,UnitNames,0)),""))</f>
        <v>0</v>
      </c>
      <c r="K1114" s="17">
        <f>IF(F1114="","",IFERROR(INDEX(UnitBases,MATCH(F1114,UnitNames,0)),"?"))</f>
        <v>0</v>
      </c>
      <c r="L1114" s="17">
        <f>IF(D1114="","",IFERROR(INDEX(Ingredients!$G$5:$G$304,MATCH(D1114,Ingredients!$B$5:$B$304,0)),"Add to Ingredients"))</f>
        <v>0</v>
      </c>
      <c r="M1114" s="25">
        <f>IF(D1114="","",IFERROR(INDEX(Ingredients!$J$5:$J$304,MATCH(D1114,Ingredients!$B$5:$B$304,0)),"Add to Ingredients"))</f>
        <v>0</v>
      </c>
      <c r="N1114" s="25">
        <f>IF(OR(J1114="",M1114="",NOT(ISNUMBER(M1114))),"",IF(K1114&lt;&gt;L1114,"",J1114*M1114))</f>
        <v>0</v>
      </c>
      <c r="O1114" s="25">
        <f>IF(N1114="","",IFERROR(N1114/INDEX(Recipes!$G$5:$G$204,MATCH(B1114,Recipes!$A$5:$A$204,0)),""))</f>
        <v>0</v>
      </c>
      <c r="P1114" s="30">
        <f>IF(J1114="","",IF(K1114="each",J1114,J1114/100))</f>
        <v>0</v>
      </c>
      <c r="Q1114" s="30">
        <f>IFERROR(IF(P1114="","",P1114*INDEX(Ingredients!$P$5:$P$304,MATCH(D1114,Ingredients!$B$5:$B$304,0))),"")</f>
        <v>0</v>
      </c>
      <c r="R1114" s="45">
        <f>IFERROR(IF(P1114="","",P1114*INDEX(Ingredients!$Q$5:$Q$304,MATCH(D1114,Ingredients!$B$5:$B$304,0))),"")</f>
        <v>0</v>
      </c>
      <c r="S1114" s="45">
        <f>IFERROR(IF(P1114="","",P1114*INDEX(Ingredients!$R$5:$R$304,MATCH(D1114,Ingredients!$B$5:$B$304,0))),"")</f>
        <v>0</v>
      </c>
      <c r="T1114" s="45">
        <f>IFERROR(IF(P1114="","",P1114*INDEX(Ingredients!$S$5:$S$304,MATCH(D1114,Ingredients!$B$5:$B$304,0))),"")</f>
        <v>0</v>
      </c>
      <c r="U1114" s="45">
        <f>IFERROR(IF(P1114="","",P1114*INDEX(Ingredients!$T$5:$T$304,MATCH(D1114,Ingredients!$B$5:$B$304,0))),"")</f>
        <v>0</v>
      </c>
      <c r="V1114" s="17">
        <f>IF(D1114="","",IFERROR(INDEX(Ingredients!$W$5:$W$304,MATCH(D1114,Ingredients!$B$5:$B$304,0)),"Add to Ingredients"))</f>
        <v>0</v>
      </c>
      <c r="W1114" s="17">
        <f>IF(D1114="","",IFERROR(INDEX(Ingredients!$C$5:$C$304,MATCH(D1114,Ingredients!$B$5:$B$304,0)),"Add to Ingredients"))</f>
        <v>0</v>
      </c>
      <c r="X1114" s="45">
        <f>IFERROR(INDEX(Recipes!$AT$5:$AT$204,MATCH(B1114,Recipes!$A$5:$A$204,0)),0)</f>
        <v>0</v>
      </c>
      <c r="Y1114" s="45">
        <f>IF(OR(J1114="",X1114=0),"",J1114*X1114)</f>
        <v>0</v>
      </c>
      <c r="Z1114" s="17">
        <f>IF(D1114="","",B1114&amp;"#"&amp;COUNTIFS($B$5:B1114,B1114))</f>
        <v>0</v>
      </c>
      <c r="AA1114" s="17">
        <f>IF(D1114="","",B1114&amp;"|"&amp;D1114)</f>
        <v>0</v>
      </c>
      <c r="AB1114" s="31">
        <f>IF(D1114="","",IF(B1114="","Add - which recipe?",IF(COUNTIFS(Ingredients!$B$5:$B$304,D1114)=0,"Missing - not in the Ingredients tab",IF(E1114="","Add - no quantity",IF(F1114="","Add - no unit",IF(K1114&lt;&gt;L1114,"Check - recipe in "&amp;K1114&amp;", priced in "&amp;L1114,IF(COUNTIFS($AA$5:$AA$1204,AA1114)&gt;1,"Duplicate - same ingredient twice","OK")))))))</f>
        <v>0</v>
      </c>
    </row>
    <row r="1115" spans="1:28">
      <c r="A1115" s="39">
        <f>IF(D1115="","","RL-"&amp;TEXT(ROW()-4,"0000"))</f>
        <v>0</v>
      </c>
      <c r="C1115" s="17">
        <f>IF(B1115="","",IFERROR(INDEX(Recipes!$B$5:$B$204,MATCH(B1115,Recipes!$A$5:$A$204,0)),"Not found"))</f>
        <v>0</v>
      </c>
      <c r="J1115" s="45">
        <f>IF(E1115="","",IFERROR(E1115*INDEX(UnitFactors,MATCH(F1115,UnitNames,0)),""))</f>
        <v>0</v>
      </c>
      <c r="K1115" s="17">
        <f>IF(F1115="","",IFERROR(INDEX(UnitBases,MATCH(F1115,UnitNames,0)),"?"))</f>
        <v>0</v>
      </c>
      <c r="L1115" s="17">
        <f>IF(D1115="","",IFERROR(INDEX(Ingredients!$G$5:$G$304,MATCH(D1115,Ingredients!$B$5:$B$304,0)),"Add to Ingredients"))</f>
        <v>0</v>
      </c>
      <c r="M1115" s="25">
        <f>IF(D1115="","",IFERROR(INDEX(Ingredients!$J$5:$J$304,MATCH(D1115,Ingredients!$B$5:$B$304,0)),"Add to Ingredients"))</f>
        <v>0</v>
      </c>
      <c r="N1115" s="25">
        <f>IF(OR(J1115="",M1115="",NOT(ISNUMBER(M1115))),"",IF(K1115&lt;&gt;L1115,"",J1115*M1115))</f>
        <v>0</v>
      </c>
      <c r="O1115" s="25">
        <f>IF(N1115="","",IFERROR(N1115/INDEX(Recipes!$G$5:$G$204,MATCH(B1115,Recipes!$A$5:$A$204,0)),""))</f>
        <v>0</v>
      </c>
      <c r="P1115" s="30">
        <f>IF(J1115="","",IF(K1115="each",J1115,J1115/100))</f>
        <v>0</v>
      </c>
      <c r="Q1115" s="30">
        <f>IFERROR(IF(P1115="","",P1115*INDEX(Ingredients!$P$5:$P$304,MATCH(D1115,Ingredients!$B$5:$B$304,0))),"")</f>
        <v>0</v>
      </c>
      <c r="R1115" s="45">
        <f>IFERROR(IF(P1115="","",P1115*INDEX(Ingredients!$Q$5:$Q$304,MATCH(D1115,Ingredients!$B$5:$B$304,0))),"")</f>
        <v>0</v>
      </c>
      <c r="S1115" s="45">
        <f>IFERROR(IF(P1115="","",P1115*INDEX(Ingredients!$R$5:$R$304,MATCH(D1115,Ingredients!$B$5:$B$304,0))),"")</f>
        <v>0</v>
      </c>
      <c r="T1115" s="45">
        <f>IFERROR(IF(P1115="","",P1115*INDEX(Ingredients!$S$5:$S$304,MATCH(D1115,Ingredients!$B$5:$B$304,0))),"")</f>
        <v>0</v>
      </c>
      <c r="U1115" s="45">
        <f>IFERROR(IF(P1115="","",P1115*INDEX(Ingredients!$T$5:$T$304,MATCH(D1115,Ingredients!$B$5:$B$304,0))),"")</f>
        <v>0</v>
      </c>
      <c r="V1115" s="17">
        <f>IF(D1115="","",IFERROR(INDEX(Ingredients!$W$5:$W$304,MATCH(D1115,Ingredients!$B$5:$B$304,0)),"Add to Ingredients"))</f>
        <v>0</v>
      </c>
      <c r="W1115" s="17">
        <f>IF(D1115="","",IFERROR(INDEX(Ingredients!$C$5:$C$304,MATCH(D1115,Ingredients!$B$5:$B$304,0)),"Add to Ingredients"))</f>
        <v>0</v>
      </c>
      <c r="X1115" s="45">
        <f>IFERROR(INDEX(Recipes!$AT$5:$AT$204,MATCH(B1115,Recipes!$A$5:$A$204,0)),0)</f>
        <v>0</v>
      </c>
      <c r="Y1115" s="45">
        <f>IF(OR(J1115="",X1115=0),"",J1115*X1115)</f>
        <v>0</v>
      </c>
      <c r="Z1115" s="17">
        <f>IF(D1115="","",B1115&amp;"#"&amp;COUNTIFS($B$5:B1115,B1115))</f>
        <v>0</v>
      </c>
      <c r="AA1115" s="17">
        <f>IF(D1115="","",B1115&amp;"|"&amp;D1115)</f>
        <v>0</v>
      </c>
      <c r="AB1115" s="31">
        <f>IF(D1115="","",IF(B1115="","Add - which recipe?",IF(COUNTIFS(Ingredients!$B$5:$B$304,D1115)=0,"Missing - not in the Ingredients tab",IF(E1115="","Add - no quantity",IF(F1115="","Add - no unit",IF(K1115&lt;&gt;L1115,"Check - recipe in "&amp;K1115&amp;", priced in "&amp;L1115,IF(COUNTIFS($AA$5:$AA$1204,AA1115)&gt;1,"Duplicate - same ingredient twice","OK")))))))</f>
        <v>0</v>
      </c>
    </row>
    <row r="1116" spans="1:28">
      <c r="A1116" s="39">
        <f>IF(D1116="","","RL-"&amp;TEXT(ROW()-4,"0000"))</f>
        <v>0</v>
      </c>
      <c r="C1116" s="17">
        <f>IF(B1116="","",IFERROR(INDEX(Recipes!$B$5:$B$204,MATCH(B1116,Recipes!$A$5:$A$204,0)),"Not found"))</f>
        <v>0</v>
      </c>
      <c r="J1116" s="45">
        <f>IF(E1116="","",IFERROR(E1116*INDEX(UnitFactors,MATCH(F1116,UnitNames,0)),""))</f>
        <v>0</v>
      </c>
      <c r="K1116" s="17">
        <f>IF(F1116="","",IFERROR(INDEX(UnitBases,MATCH(F1116,UnitNames,0)),"?"))</f>
        <v>0</v>
      </c>
      <c r="L1116" s="17">
        <f>IF(D1116="","",IFERROR(INDEX(Ingredients!$G$5:$G$304,MATCH(D1116,Ingredients!$B$5:$B$304,0)),"Add to Ingredients"))</f>
        <v>0</v>
      </c>
      <c r="M1116" s="25">
        <f>IF(D1116="","",IFERROR(INDEX(Ingredients!$J$5:$J$304,MATCH(D1116,Ingredients!$B$5:$B$304,0)),"Add to Ingredients"))</f>
        <v>0</v>
      </c>
      <c r="N1116" s="25">
        <f>IF(OR(J1116="",M1116="",NOT(ISNUMBER(M1116))),"",IF(K1116&lt;&gt;L1116,"",J1116*M1116))</f>
        <v>0</v>
      </c>
      <c r="O1116" s="25">
        <f>IF(N1116="","",IFERROR(N1116/INDEX(Recipes!$G$5:$G$204,MATCH(B1116,Recipes!$A$5:$A$204,0)),""))</f>
        <v>0</v>
      </c>
      <c r="P1116" s="30">
        <f>IF(J1116="","",IF(K1116="each",J1116,J1116/100))</f>
        <v>0</v>
      </c>
      <c r="Q1116" s="30">
        <f>IFERROR(IF(P1116="","",P1116*INDEX(Ingredients!$P$5:$P$304,MATCH(D1116,Ingredients!$B$5:$B$304,0))),"")</f>
        <v>0</v>
      </c>
      <c r="R1116" s="45">
        <f>IFERROR(IF(P1116="","",P1116*INDEX(Ingredients!$Q$5:$Q$304,MATCH(D1116,Ingredients!$B$5:$B$304,0))),"")</f>
        <v>0</v>
      </c>
      <c r="S1116" s="45">
        <f>IFERROR(IF(P1116="","",P1116*INDEX(Ingredients!$R$5:$R$304,MATCH(D1116,Ingredients!$B$5:$B$304,0))),"")</f>
        <v>0</v>
      </c>
      <c r="T1116" s="45">
        <f>IFERROR(IF(P1116="","",P1116*INDEX(Ingredients!$S$5:$S$304,MATCH(D1116,Ingredients!$B$5:$B$304,0))),"")</f>
        <v>0</v>
      </c>
      <c r="U1116" s="45">
        <f>IFERROR(IF(P1116="","",P1116*INDEX(Ingredients!$T$5:$T$304,MATCH(D1116,Ingredients!$B$5:$B$304,0))),"")</f>
        <v>0</v>
      </c>
      <c r="V1116" s="17">
        <f>IF(D1116="","",IFERROR(INDEX(Ingredients!$W$5:$W$304,MATCH(D1116,Ingredients!$B$5:$B$304,0)),"Add to Ingredients"))</f>
        <v>0</v>
      </c>
      <c r="W1116" s="17">
        <f>IF(D1116="","",IFERROR(INDEX(Ingredients!$C$5:$C$304,MATCH(D1116,Ingredients!$B$5:$B$304,0)),"Add to Ingredients"))</f>
        <v>0</v>
      </c>
      <c r="X1116" s="45">
        <f>IFERROR(INDEX(Recipes!$AT$5:$AT$204,MATCH(B1116,Recipes!$A$5:$A$204,0)),0)</f>
        <v>0</v>
      </c>
      <c r="Y1116" s="45">
        <f>IF(OR(J1116="",X1116=0),"",J1116*X1116)</f>
        <v>0</v>
      </c>
      <c r="Z1116" s="17">
        <f>IF(D1116="","",B1116&amp;"#"&amp;COUNTIFS($B$5:B1116,B1116))</f>
        <v>0</v>
      </c>
      <c r="AA1116" s="17">
        <f>IF(D1116="","",B1116&amp;"|"&amp;D1116)</f>
        <v>0</v>
      </c>
      <c r="AB1116" s="31">
        <f>IF(D1116="","",IF(B1116="","Add - which recipe?",IF(COUNTIFS(Ingredients!$B$5:$B$304,D1116)=0,"Missing - not in the Ingredients tab",IF(E1116="","Add - no quantity",IF(F1116="","Add - no unit",IF(K1116&lt;&gt;L1116,"Check - recipe in "&amp;K1116&amp;", priced in "&amp;L1116,IF(COUNTIFS($AA$5:$AA$1204,AA1116)&gt;1,"Duplicate - same ingredient twice","OK")))))))</f>
        <v>0</v>
      </c>
    </row>
    <row r="1117" spans="1:28">
      <c r="A1117" s="39">
        <f>IF(D1117="","","RL-"&amp;TEXT(ROW()-4,"0000"))</f>
        <v>0</v>
      </c>
      <c r="C1117" s="17">
        <f>IF(B1117="","",IFERROR(INDEX(Recipes!$B$5:$B$204,MATCH(B1117,Recipes!$A$5:$A$204,0)),"Not found"))</f>
        <v>0</v>
      </c>
      <c r="J1117" s="45">
        <f>IF(E1117="","",IFERROR(E1117*INDEX(UnitFactors,MATCH(F1117,UnitNames,0)),""))</f>
        <v>0</v>
      </c>
      <c r="K1117" s="17">
        <f>IF(F1117="","",IFERROR(INDEX(UnitBases,MATCH(F1117,UnitNames,0)),"?"))</f>
        <v>0</v>
      </c>
      <c r="L1117" s="17">
        <f>IF(D1117="","",IFERROR(INDEX(Ingredients!$G$5:$G$304,MATCH(D1117,Ingredients!$B$5:$B$304,0)),"Add to Ingredients"))</f>
        <v>0</v>
      </c>
      <c r="M1117" s="25">
        <f>IF(D1117="","",IFERROR(INDEX(Ingredients!$J$5:$J$304,MATCH(D1117,Ingredients!$B$5:$B$304,0)),"Add to Ingredients"))</f>
        <v>0</v>
      </c>
      <c r="N1117" s="25">
        <f>IF(OR(J1117="",M1117="",NOT(ISNUMBER(M1117))),"",IF(K1117&lt;&gt;L1117,"",J1117*M1117))</f>
        <v>0</v>
      </c>
      <c r="O1117" s="25">
        <f>IF(N1117="","",IFERROR(N1117/INDEX(Recipes!$G$5:$G$204,MATCH(B1117,Recipes!$A$5:$A$204,0)),""))</f>
        <v>0</v>
      </c>
      <c r="P1117" s="30">
        <f>IF(J1117="","",IF(K1117="each",J1117,J1117/100))</f>
        <v>0</v>
      </c>
      <c r="Q1117" s="30">
        <f>IFERROR(IF(P1117="","",P1117*INDEX(Ingredients!$P$5:$P$304,MATCH(D1117,Ingredients!$B$5:$B$304,0))),"")</f>
        <v>0</v>
      </c>
      <c r="R1117" s="45">
        <f>IFERROR(IF(P1117="","",P1117*INDEX(Ingredients!$Q$5:$Q$304,MATCH(D1117,Ingredients!$B$5:$B$304,0))),"")</f>
        <v>0</v>
      </c>
      <c r="S1117" s="45">
        <f>IFERROR(IF(P1117="","",P1117*INDEX(Ingredients!$R$5:$R$304,MATCH(D1117,Ingredients!$B$5:$B$304,0))),"")</f>
        <v>0</v>
      </c>
      <c r="T1117" s="45">
        <f>IFERROR(IF(P1117="","",P1117*INDEX(Ingredients!$S$5:$S$304,MATCH(D1117,Ingredients!$B$5:$B$304,0))),"")</f>
        <v>0</v>
      </c>
      <c r="U1117" s="45">
        <f>IFERROR(IF(P1117="","",P1117*INDEX(Ingredients!$T$5:$T$304,MATCH(D1117,Ingredients!$B$5:$B$304,0))),"")</f>
        <v>0</v>
      </c>
      <c r="V1117" s="17">
        <f>IF(D1117="","",IFERROR(INDEX(Ingredients!$W$5:$W$304,MATCH(D1117,Ingredients!$B$5:$B$304,0)),"Add to Ingredients"))</f>
        <v>0</v>
      </c>
      <c r="W1117" s="17">
        <f>IF(D1117="","",IFERROR(INDEX(Ingredients!$C$5:$C$304,MATCH(D1117,Ingredients!$B$5:$B$304,0)),"Add to Ingredients"))</f>
        <v>0</v>
      </c>
      <c r="X1117" s="45">
        <f>IFERROR(INDEX(Recipes!$AT$5:$AT$204,MATCH(B1117,Recipes!$A$5:$A$204,0)),0)</f>
        <v>0</v>
      </c>
      <c r="Y1117" s="45">
        <f>IF(OR(J1117="",X1117=0),"",J1117*X1117)</f>
        <v>0</v>
      </c>
      <c r="Z1117" s="17">
        <f>IF(D1117="","",B1117&amp;"#"&amp;COUNTIFS($B$5:B1117,B1117))</f>
        <v>0</v>
      </c>
      <c r="AA1117" s="17">
        <f>IF(D1117="","",B1117&amp;"|"&amp;D1117)</f>
        <v>0</v>
      </c>
      <c r="AB1117" s="31">
        <f>IF(D1117="","",IF(B1117="","Add - which recipe?",IF(COUNTIFS(Ingredients!$B$5:$B$304,D1117)=0,"Missing - not in the Ingredients tab",IF(E1117="","Add - no quantity",IF(F1117="","Add - no unit",IF(K1117&lt;&gt;L1117,"Check - recipe in "&amp;K1117&amp;", priced in "&amp;L1117,IF(COUNTIFS($AA$5:$AA$1204,AA1117)&gt;1,"Duplicate - same ingredient twice","OK")))))))</f>
        <v>0</v>
      </c>
    </row>
    <row r="1118" spans="1:28">
      <c r="A1118" s="39">
        <f>IF(D1118="","","RL-"&amp;TEXT(ROW()-4,"0000"))</f>
        <v>0</v>
      </c>
      <c r="C1118" s="17">
        <f>IF(B1118="","",IFERROR(INDEX(Recipes!$B$5:$B$204,MATCH(B1118,Recipes!$A$5:$A$204,0)),"Not found"))</f>
        <v>0</v>
      </c>
      <c r="J1118" s="45">
        <f>IF(E1118="","",IFERROR(E1118*INDEX(UnitFactors,MATCH(F1118,UnitNames,0)),""))</f>
        <v>0</v>
      </c>
      <c r="K1118" s="17">
        <f>IF(F1118="","",IFERROR(INDEX(UnitBases,MATCH(F1118,UnitNames,0)),"?"))</f>
        <v>0</v>
      </c>
      <c r="L1118" s="17">
        <f>IF(D1118="","",IFERROR(INDEX(Ingredients!$G$5:$G$304,MATCH(D1118,Ingredients!$B$5:$B$304,0)),"Add to Ingredients"))</f>
        <v>0</v>
      </c>
      <c r="M1118" s="25">
        <f>IF(D1118="","",IFERROR(INDEX(Ingredients!$J$5:$J$304,MATCH(D1118,Ingredients!$B$5:$B$304,0)),"Add to Ingredients"))</f>
        <v>0</v>
      </c>
      <c r="N1118" s="25">
        <f>IF(OR(J1118="",M1118="",NOT(ISNUMBER(M1118))),"",IF(K1118&lt;&gt;L1118,"",J1118*M1118))</f>
        <v>0</v>
      </c>
      <c r="O1118" s="25">
        <f>IF(N1118="","",IFERROR(N1118/INDEX(Recipes!$G$5:$G$204,MATCH(B1118,Recipes!$A$5:$A$204,0)),""))</f>
        <v>0</v>
      </c>
      <c r="P1118" s="30">
        <f>IF(J1118="","",IF(K1118="each",J1118,J1118/100))</f>
        <v>0</v>
      </c>
      <c r="Q1118" s="30">
        <f>IFERROR(IF(P1118="","",P1118*INDEX(Ingredients!$P$5:$P$304,MATCH(D1118,Ingredients!$B$5:$B$304,0))),"")</f>
        <v>0</v>
      </c>
      <c r="R1118" s="45">
        <f>IFERROR(IF(P1118="","",P1118*INDEX(Ingredients!$Q$5:$Q$304,MATCH(D1118,Ingredients!$B$5:$B$304,0))),"")</f>
        <v>0</v>
      </c>
      <c r="S1118" s="45">
        <f>IFERROR(IF(P1118="","",P1118*INDEX(Ingredients!$R$5:$R$304,MATCH(D1118,Ingredients!$B$5:$B$304,0))),"")</f>
        <v>0</v>
      </c>
      <c r="T1118" s="45">
        <f>IFERROR(IF(P1118="","",P1118*INDEX(Ingredients!$S$5:$S$304,MATCH(D1118,Ingredients!$B$5:$B$304,0))),"")</f>
        <v>0</v>
      </c>
      <c r="U1118" s="45">
        <f>IFERROR(IF(P1118="","",P1118*INDEX(Ingredients!$T$5:$T$304,MATCH(D1118,Ingredients!$B$5:$B$304,0))),"")</f>
        <v>0</v>
      </c>
      <c r="V1118" s="17">
        <f>IF(D1118="","",IFERROR(INDEX(Ingredients!$W$5:$W$304,MATCH(D1118,Ingredients!$B$5:$B$304,0)),"Add to Ingredients"))</f>
        <v>0</v>
      </c>
      <c r="W1118" s="17">
        <f>IF(D1118="","",IFERROR(INDEX(Ingredients!$C$5:$C$304,MATCH(D1118,Ingredients!$B$5:$B$304,0)),"Add to Ingredients"))</f>
        <v>0</v>
      </c>
      <c r="X1118" s="45">
        <f>IFERROR(INDEX(Recipes!$AT$5:$AT$204,MATCH(B1118,Recipes!$A$5:$A$204,0)),0)</f>
        <v>0</v>
      </c>
      <c r="Y1118" s="45">
        <f>IF(OR(J1118="",X1118=0),"",J1118*X1118)</f>
        <v>0</v>
      </c>
      <c r="Z1118" s="17">
        <f>IF(D1118="","",B1118&amp;"#"&amp;COUNTIFS($B$5:B1118,B1118))</f>
        <v>0</v>
      </c>
      <c r="AA1118" s="17">
        <f>IF(D1118="","",B1118&amp;"|"&amp;D1118)</f>
        <v>0</v>
      </c>
      <c r="AB1118" s="31">
        <f>IF(D1118="","",IF(B1118="","Add - which recipe?",IF(COUNTIFS(Ingredients!$B$5:$B$304,D1118)=0,"Missing - not in the Ingredients tab",IF(E1118="","Add - no quantity",IF(F1118="","Add - no unit",IF(K1118&lt;&gt;L1118,"Check - recipe in "&amp;K1118&amp;", priced in "&amp;L1118,IF(COUNTIFS($AA$5:$AA$1204,AA1118)&gt;1,"Duplicate - same ingredient twice","OK")))))))</f>
        <v>0</v>
      </c>
    </row>
    <row r="1119" spans="1:28">
      <c r="A1119" s="39">
        <f>IF(D1119="","","RL-"&amp;TEXT(ROW()-4,"0000"))</f>
        <v>0</v>
      </c>
      <c r="C1119" s="17">
        <f>IF(B1119="","",IFERROR(INDEX(Recipes!$B$5:$B$204,MATCH(B1119,Recipes!$A$5:$A$204,0)),"Not found"))</f>
        <v>0</v>
      </c>
      <c r="J1119" s="45">
        <f>IF(E1119="","",IFERROR(E1119*INDEX(UnitFactors,MATCH(F1119,UnitNames,0)),""))</f>
        <v>0</v>
      </c>
      <c r="K1119" s="17">
        <f>IF(F1119="","",IFERROR(INDEX(UnitBases,MATCH(F1119,UnitNames,0)),"?"))</f>
        <v>0</v>
      </c>
      <c r="L1119" s="17">
        <f>IF(D1119="","",IFERROR(INDEX(Ingredients!$G$5:$G$304,MATCH(D1119,Ingredients!$B$5:$B$304,0)),"Add to Ingredients"))</f>
        <v>0</v>
      </c>
      <c r="M1119" s="25">
        <f>IF(D1119="","",IFERROR(INDEX(Ingredients!$J$5:$J$304,MATCH(D1119,Ingredients!$B$5:$B$304,0)),"Add to Ingredients"))</f>
        <v>0</v>
      </c>
      <c r="N1119" s="25">
        <f>IF(OR(J1119="",M1119="",NOT(ISNUMBER(M1119))),"",IF(K1119&lt;&gt;L1119,"",J1119*M1119))</f>
        <v>0</v>
      </c>
      <c r="O1119" s="25">
        <f>IF(N1119="","",IFERROR(N1119/INDEX(Recipes!$G$5:$G$204,MATCH(B1119,Recipes!$A$5:$A$204,0)),""))</f>
        <v>0</v>
      </c>
      <c r="P1119" s="30">
        <f>IF(J1119="","",IF(K1119="each",J1119,J1119/100))</f>
        <v>0</v>
      </c>
      <c r="Q1119" s="30">
        <f>IFERROR(IF(P1119="","",P1119*INDEX(Ingredients!$P$5:$P$304,MATCH(D1119,Ingredients!$B$5:$B$304,0))),"")</f>
        <v>0</v>
      </c>
      <c r="R1119" s="45">
        <f>IFERROR(IF(P1119="","",P1119*INDEX(Ingredients!$Q$5:$Q$304,MATCH(D1119,Ingredients!$B$5:$B$304,0))),"")</f>
        <v>0</v>
      </c>
      <c r="S1119" s="45">
        <f>IFERROR(IF(P1119="","",P1119*INDEX(Ingredients!$R$5:$R$304,MATCH(D1119,Ingredients!$B$5:$B$304,0))),"")</f>
        <v>0</v>
      </c>
      <c r="T1119" s="45">
        <f>IFERROR(IF(P1119="","",P1119*INDEX(Ingredients!$S$5:$S$304,MATCH(D1119,Ingredients!$B$5:$B$304,0))),"")</f>
        <v>0</v>
      </c>
      <c r="U1119" s="45">
        <f>IFERROR(IF(P1119="","",P1119*INDEX(Ingredients!$T$5:$T$304,MATCH(D1119,Ingredients!$B$5:$B$304,0))),"")</f>
        <v>0</v>
      </c>
      <c r="V1119" s="17">
        <f>IF(D1119="","",IFERROR(INDEX(Ingredients!$W$5:$W$304,MATCH(D1119,Ingredients!$B$5:$B$304,0)),"Add to Ingredients"))</f>
        <v>0</v>
      </c>
      <c r="W1119" s="17">
        <f>IF(D1119="","",IFERROR(INDEX(Ingredients!$C$5:$C$304,MATCH(D1119,Ingredients!$B$5:$B$304,0)),"Add to Ingredients"))</f>
        <v>0</v>
      </c>
      <c r="X1119" s="45">
        <f>IFERROR(INDEX(Recipes!$AT$5:$AT$204,MATCH(B1119,Recipes!$A$5:$A$204,0)),0)</f>
        <v>0</v>
      </c>
      <c r="Y1119" s="45">
        <f>IF(OR(J1119="",X1119=0),"",J1119*X1119)</f>
        <v>0</v>
      </c>
      <c r="Z1119" s="17">
        <f>IF(D1119="","",B1119&amp;"#"&amp;COUNTIFS($B$5:B1119,B1119))</f>
        <v>0</v>
      </c>
      <c r="AA1119" s="17">
        <f>IF(D1119="","",B1119&amp;"|"&amp;D1119)</f>
        <v>0</v>
      </c>
      <c r="AB1119" s="31">
        <f>IF(D1119="","",IF(B1119="","Add - which recipe?",IF(COUNTIFS(Ingredients!$B$5:$B$304,D1119)=0,"Missing - not in the Ingredients tab",IF(E1119="","Add - no quantity",IF(F1119="","Add - no unit",IF(K1119&lt;&gt;L1119,"Check - recipe in "&amp;K1119&amp;", priced in "&amp;L1119,IF(COUNTIFS($AA$5:$AA$1204,AA1119)&gt;1,"Duplicate - same ingredient twice","OK")))))))</f>
        <v>0</v>
      </c>
    </row>
    <row r="1120" spans="1:28">
      <c r="A1120" s="39">
        <f>IF(D1120="","","RL-"&amp;TEXT(ROW()-4,"0000"))</f>
        <v>0</v>
      </c>
      <c r="C1120" s="17">
        <f>IF(B1120="","",IFERROR(INDEX(Recipes!$B$5:$B$204,MATCH(B1120,Recipes!$A$5:$A$204,0)),"Not found"))</f>
        <v>0</v>
      </c>
      <c r="J1120" s="45">
        <f>IF(E1120="","",IFERROR(E1120*INDEX(UnitFactors,MATCH(F1120,UnitNames,0)),""))</f>
        <v>0</v>
      </c>
      <c r="K1120" s="17">
        <f>IF(F1120="","",IFERROR(INDEX(UnitBases,MATCH(F1120,UnitNames,0)),"?"))</f>
        <v>0</v>
      </c>
      <c r="L1120" s="17">
        <f>IF(D1120="","",IFERROR(INDEX(Ingredients!$G$5:$G$304,MATCH(D1120,Ingredients!$B$5:$B$304,0)),"Add to Ingredients"))</f>
        <v>0</v>
      </c>
      <c r="M1120" s="25">
        <f>IF(D1120="","",IFERROR(INDEX(Ingredients!$J$5:$J$304,MATCH(D1120,Ingredients!$B$5:$B$304,0)),"Add to Ingredients"))</f>
        <v>0</v>
      </c>
      <c r="N1120" s="25">
        <f>IF(OR(J1120="",M1120="",NOT(ISNUMBER(M1120))),"",IF(K1120&lt;&gt;L1120,"",J1120*M1120))</f>
        <v>0</v>
      </c>
      <c r="O1120" s="25">
        <f>IF(N1120="","",IFERROR(N1120/INDEX(Recipes!$G$5:$G$204,MATCH(B1120,Recipes!$A$5:$A$204,0)),""))</f>
        <v>0</v>
      </c>
      <c r="P1120" s="30">
        <f>IF(J1120="","",IF(K1120="each",J1120,J1120/100))</f>
        <v>0</v>
      </c>
      <c r="Q1120" s="30">
        <f>IFERROR(IF(P1120="","",P1120*INDEX(Ingredients!$P$5:$P$304,MATCH(D1120,Ingredients!$B$5:$B$304,0))),"")</f>
        <v>0</v>
      </c>
      <c r="R1120" s="45">
        <f>IFERROR(IF(P1120="","",P1120*INDEX(Ingredients!$Q$5:$Q$304,MATCH(D1120,Ingredients!$B$5:$B$304,0))),"")</f>
        <v>0</v>
      </c>
      <c r="S1120" s="45">
        <f>IFERROR(IF(P1120="","",P1120*INDEX(Ingredients!$R$5:$R$304,MATCH(D1120,Ingredients!$B$5:$B$304,0))),"")</f>
        <v>0</v>
      </c>
      <c r="T1120" s="45">
        <f>IFERROR(IF(P1120="","",P1120*INDEX(Ingredients!$S$5:$S$304,MATCH(D1120,Ingredients!$B$5:$B$304,0))),"")</f>
        <v>0</v>
      </c>
      <c r="U1120" s="45">
        <f>IFERROR(IF(P1120="","",P1120*INDEX(Ingredients!$T$5:$T$304,MATCH(D1120,Ingredients!$B$5:$B$304,0))),"")</f>
        <v>0</v>
      </c>
      <c r="V1120" s="17">
        <f>IF(D1120="","",IFERROR(INDEX(Ingredients!$W$5:$W$304,MATCH(D1120,Ingredients!$B$5:$B$304,0)),"Add to Ingredients"))</f>
        <v>0</v>
      </c>
      <c r="W1120" s="17">
        <f>IF(D1120="","",IFERROR(INDEX(Ingredients!$C$5:$C$304,MATCH(D1120,Ingredients!$B$5:$B$304,0)),"Add to Ingredients"))</f>
        <v>0</v>
      </c>
      <c r="X1120" s="45">
        <f>IFERROR(INDEX(Recipes!$AT$5:$AT$204,MATCH(B1120,Recipes!$A$5:$A$204,0)),0)</f>
        <v>0</v>
      </c>
      <c r="Y1120" s="45">
        <f>IF(OR(J1120="",X1120=0),"",J1120*X1120)</f>
        <v>0</v>
      </c>
      <c r="Z1120" s="17">
        <f>IF(D1120="","",B1120&amp;"#"&amp;COUNTIFS($B$5:B1120,B1120))</f>
        <v>0</v>
      </c>
      <c r="AA1120" s="17">
        <f>IF(D1120="","",B1120&amp;"|"&amp;D1120)</f>
        <v>0</v>
      </c>
      <c r="AB1120" s="31">
        <f>IF(D1120="","",IF(B1120="","Add - which recipe?",IF(COUNTIFS(Ingredients!$B$5:$B$304,D1120)=0,"Missing - not in the Ingredients tab",IF(E1120="","Add - no quantity",IF(F1120="","Add - no unit",IF(K1120&lt;&gt;L1120,"Check - recipe in "&amp;K1120&amp;", priced in "&amp;L1120,IF(COUNTIFS($AA$5:$AA$1204,AA1120)&gt;1,"Duplicate - same ingredient twice","OK")))))))</f>
        <v>0</v>
      </c>
    </row>
    <row r="1121" spans="1:28">
      <c r="A1121" s="39">
        <f>IF(D1121="","","RL-"&amp;TEXT(ROW()-4,"0000"))</f>
        <v>0</v>
      </c>
      <c r="C1121" s="17">
        <f>IF(B1121="","",IFERROR(INDEX(Recipes!$B$5:$B$204,MATCH(B1121,Recipes!$A$5:$A$204,0)),"Not found"))</f>
        <v>0</v>
      </c>
      <c r="J1121" s="45">
        <f>IF(E1121="","",IFERROR(E1121*INDEX(UnitFactors,MATCH(F1121,UnitNames,0)),""))</f>
        <v>0</v>
      </c>
      <c r="K1121" s="17">
        <f>IF(F1121="","",IFERROR(INDEX(UnitBases,MATCH(F1121,UnitNames,0)),"?"))</f>
        <v>0</v>
      </c>
      <c r="L1121" s="17">
        <f>IF(D1121="","",IFERROR(INDEX(Ingredients!$G$5:$G$304,MATCH(D1121,Ingredients!$B$5:$B$304,0)),"Add to Ingredients"))</f>
        <v>0</v>
      </c>
      <c r="M1121" s="25">
        <f>IF(D1121="","",IFERROR(INDEX(Ingredients!$J$5:$J$304,MATCH(D1121,Ingredients!$B$5:$B$304,0)),"Add to Ingredients"))</f>
        <v>0</v>
      </c>
      <c r="N1121" s="25">
        <f>IF(OR(J1121="",M1121="",NOT(ISNUMBER(M1121))),"",IF(K1121&lt;&gt;L1121,"",J1121*M1121))</f>
        <v>0</v>
      </c>
      <c r="O1121" s="25">
        <f>IF(N1121="","",IFERROR(N1121/INDEX(Recipes!$G$5:$G$204,MATCH(B1121,Recipes!$A$5:$A$204,0)),""))</f>
        <v>0</v>
      </c>
      <c r="P1121" s="30">
        <f>IF(J1121="","",IF(K1121="each",J1121,J1121/100))</f>
        <v>0</v>
      </c>
      <c r="Q1121" s="30">
        <f>IFERROR(IF(P1121="","",P1121*INDEX(Ingredients!$P$5:$P$304,MATCH(D1121,Ingredients!$B$5:$B$304,0))),"")</f>
        <v>0</v>
      </c>
      <c r="R1121" s="45">
        <f>IFERROR(IF(P1121="","",P1121*INDEX(Ingredients!$Q$5:$Q$304,MATCH(D1121,Ingredients!$B$5:$B$304,0))),"")</f>
        <v>0</v>
      </c>
      <c r="S1121" s="45">
        <f>IFERROR(IF(P1121="","",P1121*INDEX(Ingredients!$R$5:$R$304,MATCH(D1121,Ingredients!$B$5:$B$304,0))),"")</f>
        <v>0</v>
      </c>
      <c r="T1121" s="45">
        <f>IFERROR(IF(P1121="","",P1121*INDEX(Ingredients!$S$5:$S$304,MATCH(D1121,Ingredients!$B$5:$B$304,0))),"")</f>
        <v>0</v>
      </c>
      <c r="U1121" s="45">
        <f>IFERROR(IF(P1121="","",P1121*INDEX(Ingredients!$T$5:$T$304,MATCH(D1121,Ingredients!$B$5:$B$304,0))),"")</f>
        <v>0</v>
      </c>
      <c r="V1121" s="17">
        <f>IF(D1121="","",IFERROR(INDEX(Ingredients!$W$5:$W$304,MATCH(D1121,Ingredients!$B$5:$B$304,0)),"Add to Ingredients"))</f>
        <v>0</v>
      </c>
      <c r="W1121" s="17">
        <f>IF(D1121="","",IFERROR(INDEX(Ingredients!$C$5:$C$304,MATCH(D1121,Ingredients!$B$5:$B$304,0)),"Add to Ingredients"))</f>
        <v>0</v>
      </c>
      <c r="X1121" s="45">
        <f>IFERROR(INDEX(Recipes!$AT$5:$AT$204,MATCH(B1121,Recipes!$A$5:$A$204,0)),0)</f>
        <v>0</v>
      </c>
      <c r="Y1121" s="45">
        <f>IF(OR(J1121="",X1121=0),"",J1121*X1121)</f>
        <v>0</v>
      </c>
      <c r="Z1121" s="17">
        <f>IF(D1121="","",B1121&amp;"#"&amp;COUNTIFS($B$5:B1121,B1121))</f>
        <v>0</v>
      </c>
      <c r="AA1121" s="17">
        <f>IF(D1121="","",B1121&amp;"|"&amp;D1121)</f>
        <v>0</v>
      </c>
      <c r="AB1121" s="31">
        <f>IF(D1121="","",IF(B1121="","Add - which recipe?",IF(COUNTIFS(Ingredients!$B$5:$B$304,D1121)=0,"Missing - not in the Ingredients tab",IF(E1121="","Add - no quantity",IF(F1121="","Add - no unit",IF(K1121&lt;&gt;L1121,"Check - recipe in "&amp;K1121&amp;", priced in "&amp;L1121,IF(COUNTIFS($AA$5:$AA$1204,AA1121)&gt;1,"Duplicate - same ingredient twice","OK")))))))</f>
        <v>0</v>
      </c>
    </row>
    <row r="1122" spans="1:28">
      <c r="A1122" s="39">
        <f>IF(D1122="","","RL-"&amp;TEXT(ROW()-4,"0000"))</f>
        <v>0</v>
      </c>
      <c r="C1122" s="17">
        <f>IF(B1122="","",IFERROR(INDEX(Recipes!$B$5:$B$204,MATCH(B1122,Recipes!$A$5:$A$204,0)),"Not found"))</f>
        <v>0</v>
      </c>
      <c r="J1122" s="45">
        <f>IF(E1122="","",IFERROR(E1122*INDEX(UnitFactors,MATCH(F1122,UnitNames,0)),""))</f>
        <v>0</v>
      </c>
      <c r="K1122" s="17">
        <f>IF(F1122="","",IFERROR(INDEX(UnitBases,MATCH(F1122,UnitNames,0)),"?"))</f>
        <v>0</v>
      </c>
      <c r="L1122" s="17">
        <f>IF(D1122="","",IFERROR(INDEX(Ingredients!$G$5:$G$304,MATCH(D1122,Ingredients!$B$5:$B$304,0)),"Add to Ingredients"))</f>
        <v>0</v>
      </c>
      <c r="M1122" s="25">
        <f>IF(D1122="","",IFERROR(INDEX(Ingredients!$J$5:$J$304,MATCH(D1122,Ingredients!$B$5:$B$304,0)),"Add to Ingredients"))</f>
        <v>0</v>
      </c>
      <c r="N1122" s="25">
        <f>IF(OR(J1122="",M1122="",NOT(ISNUMBER(M1122))),"",IF(K1122&lt;&gt;L1122,"",J1122*M1122))</f>
        <v>0</v>
      </c>
      <c r="O1122" s="25">
        <f>IF(N1122="","",IFERROR(N1122/INDEX(Recipes!$G$5:$G$204,MATCH(B1122,Recipes!$A$5:$A$204,0)),""))</f>
        <v>0</v>
      </c>
      <c r="P1122" s="30">
        <f>IF(J1122="","",IF(K1122="each",J1122,J1122/100))</f>
        <v>0</v>
      </c>
      <c r="Q1122" s="30">
        <f>IFERROR(IF(P1122="","",P1122*INDEX(Ingredients!$P$5:$P$304,MATCH(D1122,Ingredients!$B$5:$B$304,0))),"")</f>
        <v>0</v>
      </c>
      <c r="R1122" s="45">
        <f>IFERROR(IF(P1122="","",P1122*INDEX(Ingredients!$Q$5:$Q$304,MATCH(D1122,Ingredients!$B$5:$B$304,0))),"")</f>
        <v>0</v>
      </c>
      <c r="S1122" s="45">
        <f>IFERROR(IF(P1122="","",P1122*INDEX(Ingredients!$R$5:$R$304,MATCH(D1122,Ingredients!$B$5:$B$304,0))),"")</f>
        <v>0</v>
      </c>
      <c r="T1122" s="45">
        <f>IFERROR(IF(P1122="","",P1122*INDEX(Ingredients!$S$5:$S$304,MATCH(D1122,Ingredients!$B$5:$B$304,0))),"")</f>
        <v>0</v>
      </c>
      <c r="U1122" s="45">
        <f>IFERROR(IF(P1122="","",P1122*INDEX(Ingredients!$T$5:$T$304,MATCH(D1122,Ingredients!$B$5:$B$304,0))),"")</f>
        <v>0</v>
      </c>
      <c r="V1122" s="17">
        <f>IF(D1122="","",IFERROR(INDEX(Ingredients!$W$5:$W$304,MATCH(D1122,Ingredients!$B$5:$B$304,0)),"Add to Ingredients"))</f>
        <v>0</v>
      </c>
      <c r="W1122" s="17">
        <f>IF(D1122="","",IFERROR(INDEX(Ingredients!$C$5:$C$304,MATCH(D1122,Ingredients!$B$5:$B$304,0)),"Add to Ingredients"))</f>
        <v>0</v>
      </c>
      <c r="X1122" s="45">
        <f>IFERROR(INDEX(Recipes!$AT$5:$AT$204,MATCH(B1122,Recipes!$A$5:$A$204,0)),0)</f>
        <v>0</v>
      </c>
      <c r="Y1122" s="45">
        <f>IF(OR(J1122="",X1122=0),"",J1122*X1122)</f>
        <v>0</v>
      </c>
      <c r="Z1122" s="17">
        <f>IF(D1122="","",B1122&amp;"#"&amp;COUNTIFS($B$5:B1122,B1122))</f>
        <v>0</v>
      </c>
      <c r="AA1122" s="17">
        <f>IF(D1122="","",B1122&amp;"|"&amp;D1122)</f>
        <v>0</v>
      </c>
      <c r="AB1122" s="31">
        <f>IF(D1122="","",IF(B1122="","Add - which recipe?",IF(COUNTIFS(Ingredients!$B$5:$B$304,D1122)=0,"Missing - not in the Ingredients tab",IF(E1122="","Add - no quantity",IF(F1122="","Add - no unit",IF(K1122&lt;&gt;L1122,"Check - recipe in "&amp;K1122&amp;", priced in "&amp;L1122,IF(COUNTIFS($AA$5:$AA$1204,AA1122)&gt;1,"Duplicate - same ingredient twice","OK")))))))</f>
        <v>0</v>
      </c>
    </row>
    <row r="1123" spans="1:28">
      <c r="A1123" s="39">
        <f>IF(D1123="","","RL-"&amp;TEXT(ROW()-4,"0000"))</f>
        <v>0</v>
      </c>
      <c r="C1123" s="17">
        <f>IF(B1123="","",IFERROR(INDEX(Recipes!$B$5:$B$204,MATCH(B1123,Recipes!$A$5:$A$204,0)),"Not found"))</f>
        <v>0</v>
      </c>
      <c r="J1123" s="45">
        <f>IF(E1123="","",IFERROR(E1123*INDEX(UnitFactors,MATCH(F1123,UnitNames,0)),""))</f>
        <v>0</v>
      </c>
      <c r="K1123" s="17">
        <f>IF(F1123="","",IFERROR(INDEX(UnitBases,MATCH(F1123,UnitNames,0)),"?"))</f>
        <v>0</v>
      </c>
      <c r="L1123" s="17">
        <f>IF(D1123="","",IFERROR(INDEX(Ingredients!$G$5:$G$304,MATCH(D1123,Ingredients!$B$5:$B$304,0)),"Add to Ingredients"))</f>
        <v>0</v>
      </c>
      <c r="M1123" s="25">
        <f>IF(D1123="","",IFERROR(INDEX(Ingredients!$J$5:$J$304,MATCH(D1123,Ingredients!$B$5:$B$304,0)),"Add to Ingredients"))</f>
        <v>0</v>
      </c>
      <c r="N1123" s="25">
        <f>IF(OR(J1123="",M1123="",NOT(ISNUMBER(M1123))),"",IF(K1123&lt;&gt;L1123,"",J1123*M1123))</f>
        <v>0</v>
      </c>
      <c r="O1123" s="25">
        <f>IF(N1123="","",IFERROR(N1123/INDEX(Recipes!$G$5:$G$204,MATCH(B1123,Recipes!$A$5:$A$204,0)),""))</f>
        <v>0</v>
      </c>
      <c r="P1123" s="30">
        <f>IF(J1123="","",IF(K1123="each",J1123,J1123/100))</f>
        <v>0</v>
      </c>
      <c r="Q1123" s="30">
        <f>IFERROR(IF(P1123="","",P1123*INDEX(Ingredients!$P$5:$P$304,MATCH(D1123,Ingredients!$B$5:$B$304,0))),"")</f>
        <v>0</v>
      </c>
      <c r="R1123" s="45">
        <f>IFERROR(IF(P1123="","",P1123*INDEX(Ingredients!$Q$5:$Q$304,MATCH(D1123,Ingredients!$B$5:$B$304,0))),"")</f>
        <v>0</v>
      </c>
      <c r="S1123" s="45">
        <f>IFERROR(IF(P1123="","",P1123*INDEX(Ingredients!$R$5:$R$304,MATCH(D1123,Ingredients!$B$5:$B$304,0))),"")</f>
        <v>0</v>
      </c>
      <c r="T1123" s="45">
        <f>IFERROR(IF(P1123="","",P1123*INDEX(Ingredients!$S$5:$S$304,MATCH(D1123,Ingredients!$B$5:$B$304,0))),"")</f>
        <v>0</v>
      </c>
      <c r="U1123" s="45">
        <f>IFERROR(IF(P1123="","",P1123*INDEX(Ingredients!$T$5:$T$304,MATCH(D1123,Ingredients!$B$5:$B$304,0))),"")</f>
        <v>0</v>
      </c>
      <c r="V1123" s="17">
        <f>IF(D1123="","",IFERROR(INDEX(Ingredients!$W$5:$W$304,MATCH(D1123,Ingredients!$B$5:$B$304,0)),"Add to Ingredients"))</f>
        <v>0</v>
      </c>
      <c r="W1123" s="17">
        <f>IF(D1123="","",IFERROR(INDEX(Ingredients!$C$5:$C$304,MATCH(D1123,Ingredients!$B$5:$B$304,0)),"Add to Ingredients"))</f>
        <v>0</v>
      </c>
      <c r="X1123" s="45">
        <f>IFERROR(INDEX(Recipes!$AT$5:$AT$204,MATCH(B1123,Recipes!$A$5:$A$204,0)),0)</f>
        <v>0</v>
      </c>
      <c r="Y1123" s="45">
        <f>IF(OR(J1123="",X1123=0),"",J1123*X1123)</f>
        <v>0</v>
      </c>
      <c r="Z1123" s="17">
        <f>IF(D1123="","",B1123&amp;"#"&amp;COUNTIFS($B$5:B1123,B1123))</f>
        <v>0</v>
      </c>
      <c r="AA1123" s="17">
        <f>IF(D1123="","",B1123&amp;"|"&amp;D1123)</f>
        <v>0</v>
      </c>
      <c r="AB1123" s="31">
        <f>IF(D1123="","",IF(B1123="","Add - which recipe?",IF(COUNTIFS(Ingredients!$B$5:$B$304,D1123)=0,"Missing - not in the Ingredients tab",IF(E1123="","Add - no quantity",IF(F1123="","Add - no unit",IF(K1123&lt;&gt;L1123,"Check - recipe in "&amp;K1123&amp;", priced in "&amp;L1123,IF(COUNTIFS($AA$5:$AA$1204,AA1123)&gt;1,"Duplicate - same ingredient twice","OK")))))))</f>
        <v>0</v>
      </c>
    </row>
    <row r="1124" spans="1:28">
      <c r="A1124" s="39">
        <f>IF(D1124="","","RL-"&amp;TEXT(ROW()-4,"0000"))</f>
        <v>0</v>
      </c>
      <c r="C1124" s="17">
        <f>IF(B1124="","",IFERROR(INDEX(Recipes!$B$5:$B$204,MATCH(B1124,Recipes!$A$5:$A$204,0)),"Not found"))</f>
        <v>0</v>
      </c>
      <c r="J1124" s="45">
        <f>IF(E1124="","",IFERROR(E1124*INDEX(UnitFactors,MATCH(F1124,UnitNames,0)),""))</f>
        <v>0</v>
      </c>
      <c r="K1124" s="17">
        <f>IF(F1124="","",IFERROR(INDEX(UnitBases,MATCH(F1124,UnitNames,0)),"?"))</f>
        <v>0</v>
      </c>
      <c r="L1124" s="17">
        <f>IF(D1124="","",IFERROR(INDEX(Ingredients!$G$5:$G$304,MATCH(D1124,Ingredients!$B$5:$B$304,0)),"Add to Ingredients"))</f>
        <v>0</v>
      </c>
      <c r="M1124" s="25">
        <f>IF(D1124="","",IFERROR(INDEX(Ingredients!$J$5:$J$304,MATCH(D1124,Ingredients!$B$5:$B$304,0)),"Add to Ingredients"))</f>
        <v>0</v>
      </c>
      <c r="N1124" s="25">
        <f>IF(OR(J1124="",M1124="",NOT(ISNUMBER(M1124))),"",IF(K1124&lt;&gt;L1124,"",J1124*M1124))</f>
        <v>0</v>
      </c>
      <c r="O1124" s="25">
        <f>IF(N1124="","",IFERROR(N1124/INDEX(Recipes!$G$5:$G$204,MATCH(B1124,Recipes!$A$5:$A$204,0)),""))</f>
        <v>0</v>
      </c>
      <c r="P1124" s="30">
        <f>IF(J1124="","",IF(K1124="each",J1124,J1124/100))</f>
        <v>0</v>
      </c>
      <c r="Q1124" s="30">
        <f>IFERROR(IF(P1124="","",P1124*INDEX(Ingredients!$P$5:$P$304,MATCH(D1124,Ingredients!$B$5:$B$304,0))),"")</f>
        <v>0</v>
      </c>
      <c r="R1124" s="45">
        <f>IFERROR(IF(P1124="","",P1124*INDEX(Ingredients!$Q$5:$Q$304,MATCH(D1124,Ingredients!$B$5:$B$304,0))),"")</f>
        <v>0</v>
      </c>
      <c r="S1124" s="45">
        <f>IFERROR(IF(P1124="","",P1124*INDEX(Ingredients!$R$5:$R$304,MATCH(D1124,Ingredients!$B$5:$B$304,0))),"")</f>
        <v>0</v>
      </c>
      <c r="T1124" s="45">
        <f>IFERROR(IF(P1124="","",P1124*INDEX(Ingredients!$S$5:$S$304,MATCH(D1124,Ingredients!$B$5:$B$304,0))),"")</f>
        <v>0</v>
      </c>
      <c r="U1124" s="45">
        <f>IFERROR(IF(P1124="","",P1124*INDEX(Ingredients!$T$5:$T$304,MATCH(D1124,Ingredients!$B$5:$B$304,0))),"")</f>
        <v>0</v>
      </c>
      <c r="V1124" s="17">
        <f>IF(D1124="","",IFERROR(INDEX(Ingredients!$W$5:$W$304,MATCH(D1124,Ingredients!$B$5:$B$304,0)),"Add to Ingredients"))</f>
        <v>0</v>
      </c>
      <c r="W1124" s="17">
        <f>IF(D1124="","",IFERROR(INDEX(Ingredients!$C$5:$C$304,MATCH(D1124,Ingredients!$B$5:$B$304,0)),"Add to Ingredients"))</f>
        <v>0</v>
      </c>
      <c r="X1124" s="45">
        <f>IFERROR(INDEX(Recipes!$AT$5:$AT$204,MATCH(B1124,Recipes!$A$5:$A$204,0)),0)</f>
        <v>0</v>
      </c>
      <c r="Y1124" s="45">
        <f>IF(OR(J1124="",X1124=0),"",J1124*X1124)</f>
        <v>0</v>
      </c>
      <c r="Z1124" s="17">
        <f>IF(D1124="","",B1124&amp;"#"&amp;COUNTIFS($B$5:B1124,B1124))</f>
        <v>0</v>
      </c>
      <c r="AA1124" s="17">
        <f>IF(D1124="","",B1124&amp;"|"&amp;D1124)</f>
        <v>0</v>
      </c>
      <c r="AB1124" s="31">
        <f>IF(D1124="","",IF(B1124="","Add - which recipe?",IF(COUNTIFS(Ingredients!$B$5:$B$304,D1124)=0,"Missing - not in the Ingredients tab",IF(E1124="","Add - no quantity",IF(F1124="","Add - no unit",IF(K1124&lt;&gt;L1124,"Check - recipe in "&amp;K1124&amp;", priced in "&amp;L1124,IF(COUNTIFS($AA$5:$AA$1204,AA1124)&gt;1,"Duplicate - same ingredient twice","OK")))))))</f>
        <v>0</v>
      </c>
    </row>
    <row r="1125" spans="1:28">
      <c r="A1125" s="39">
        <f>IF(D1125="","","RL-"&amp;TEXT(ROW()-4,"0000"))</f>
        <v>0</v>
      </c>
      <c r="C1125" s="17">
        <f>IF(B1125="","",IFERROR(INDEX(Recipes!$B$5:$B$204,MATCH(B1125,Recipes!$A$5:$A$204,0)),"Not found"))</f>
        <v>0</v>
      </c>
      <c r="J1125" s="45">
        <f>IF(E1125="","",IFERROR(E1125*INDEX(UnitFactors,MATCH(F1125,UnitNames,0)),""))</f>
        <v>0</v>
      </c>
      <c r="K1125" s="17">
        <f>IF(F1125="","",IFERROR(INDEX(UnitBases,MATCH(F1125,UnitNames,0)),"?"))</f>
        <v>0</v>
      </c>
      <c r="L1125" s="17">
        <f>IF(D1125="","",IFERROR(INDEX(Ingredients!$G$5:$G$304,MATCH(D1125,Ingredients!$B$5:$B$304,0)),"Add to Ingredients"))</f>
        <v>0</v>
      </c>
      <c r="M1125" s="25">
        <f>IF(D1125="","",IFERROR(INDEX(Ingredients!$J$5:$J$304,MATCH(D1125,Ingredients!$B$5:$B$304,0)),"Add to Ingredients"))</f>
        <v>0</v>
      </c>
      <c r="N1125" s="25">
        <f>IF(OR(J1125="",M1125="",NOT(ISNUMBER(M1125))),"",IF(K1125&lt;&gt;L1125,"",J1125*M1125))</f>
        <v>0</v>
      </c>
      <c r="O1125" s="25">
        <f>IF(N1125="","",IFERROR(N1125/INDEX(Recipes!$G$5:$G$204,MATCH(B1125,Recipes!$A$5:$A$204,0)),""))</f>
        <v>0</v>
      </c>
      <c r="P1125" s="30">
        <f>IF(J1125="","",IF(K1125="each",J1125,J1125/100))</f>
        <v>0</v>
      </c>
      <c r="Q1125" s="30">
        <f>IFERROR(IF(P1125="","",P1125*INDEX(Ingredients!$P$5:$P$304,MATCH(D1125,Ingredients!$B$5:$B$304,0))),"")</f>
        <v>0</v>
      </c>
      <c r="R1125" s="45">
        <f>IFERROR(IF(P1125="","",P1125*INDEX(Ingredients!$Q$5:$Q$304,MATCH(D1125,Ingredients!$B$5:$B$304,0))),"")</f>
        <v>0</v>
      </c>
      <c r="S1125" s="45">
        <f>IFERROR(IF(P1125="","",P1125*INDEX(Ingredients!$R$5:$R$304,MATCH(D1125,Ingredients!$B$5:$B$304,0))),"")</f>
        <v>0</v>
      </c>
      <c r="T1125" s="45">
        <f>IFERROR(IF(P1125="","",P1125*INDEX(Ingredients!$S$5:$S$304,MATCH(D1125,Ingredients!$B$5:$B$304,0))),"")</f>
        <v>0</v>
      </c>
      <c r="U1125" s="45">
        <f>IFERROR(IF(P1125="","",P1125*INDEX(Ingredients!$T$5:$T$304,MATCH(D1125,Ingredients!$B$5:$B$304,0))),"")</f>
        <v>0</v>
      </c>
      <c r="V1125" s="17">
        <f>IF(D1125="","",IFERROR(INDEX(Ingredients!$W$5:$W$304,MATCH(D1125,Ingredients!$B$5:$B$304,0)),"Add to Ingredients"))</f>
        <v>0</v>
      </c>
      <c r="W1125" s="17">
        <f>IF(D1125="","",IFERROR(INDEX(Ingredients!$C$5:$C$304,MATCH(D1125,Ingredients!$B$5:$B$304,0)),"Add to Ingredients"))</f>
        <v>0</v>
      </c>
      <c r="X1125" s="45">
        <f>IFERROR(INDEX(Recipes!$AT$5:$AT$204,MATCH(B1125,Recipes!$A$5:$A$204,0)),0)</f>
        <v>0</v>
      </c>
      <c r="Y1125" s="45">
        <f>IF(OR(J1125="",X1125=0),"",J1125*X1125)</f>
        <v>0</v>
      </c>
      <c r="Z1125" s="17">
        <f>IF(D1125="","",B1125&amp;"#"&amp;COUNTIFS($B$5:B1125,B1125))</f>
        <v>0</v>
      </c>
      <c r="AA1125" s="17">
        <f>IF(D1125="","",B1125&amp;"|"&amp;D1125)</f>
        <v>0</v>
      </c>
      <c r="AB1125" s="31">
        <f>IF(D1125="","",IF(B1125="","Add - which recipe?",IF(COUNTIFS(Ingredients!$B$5:$B$304,D1125)=0,"Missing - not in the Ingredients tab",IF(E1125="","Add - no quantity",IF(F1125="","Add - no unit",IF(K1125&lt;&gt;L1125,"Check - recipe in "&amp;K1125&amp;", priced in "&amp;L1125,IF(COUNTIFS($AA$5:$AA$1204,AA1125)&gt;1,"Duplicate - same ingredient twice","OK")))))))</f>
        <v>0</v>
      </c>
    </row>
    <row r="1126" spans="1:28">
      <c r="A1126" s="39">
        <f>IF(D1126="","","RL-"&amp;TEXT(ROW()-4,"0000"))</f>
        <v>0</v>
      </c>
      <c r="C1126" s="17">
        <f>IF(B1126="","",IFERROR(INDEX(Recipes!$B$5:$B$204,MATCH(B1126,Recipes!$A$5:$A$204,0)),"Not found"))</f>
        <v>0</v>
      </c>
      <c r="J1126" s="45">
        <f>IF(E1126="","",IFERROR(E1126*INDEX(UnitFactors,MATCH(F1126,UnitNames,0)),""))</f>
        <v>0</v>
      </c>
      <c r="K1126" s="17">
        <f>IF(F1126="","",IFERROR(INDEX(UnitBases,MATCH(F1126,UnitNames,0)),"?"))</f>
        <v>0</v>
      </c>
      <c r="L1126" s="17">
        <f>IF(D1126="","",IFERROR(INDEX(Ingredients!$G$5:$G$304,MATCH(D1126,Ingredients!$B$5:$B$304,0)),"Add to Ingredients"))</f>
        <v>0</v>
      </c>
      <c r="M1126" s="25">
        <f>IF(D1126="","",IFERROR(INDEX(Ingredients!$J$5:$J$304,MATCH(D1126,Ingredients!$B$5:$B$304,0)),"Add to Ingredients"))</f>
        <v>0</v>
      </c>
      <c r="N1126" s="25">
        <f>IF(OR(J1126="",M1126="",NOT(ISNUMBER(M1126))),"",IF(K1126&lt;&gt;L1126,"",J1126*M1126))</f>
        <v>0</v>
      </c>
      <c r="O1126" s="25">
        <f>IF(N1126="","",IFERROR(N1126/INDEX(Recipes!$G$5:$G$204,MATCH(B1126,Recipes!$A$5:$A$204,0)),""))</f>
        <v>0</v>
      </c>
      <c r="P1126" s="30">
        <f>IF(J1126="","",IF(K1126="each",J1126,J1126/100))</f>
        <v>0</v>
      </c>
      <c r="Q1126" s="30">
        <f>IFERROR(IF(P1126="","",P1126*INDEX(Ingredients!$P$5:$P$304,MATCH(D1126,Ingredients!$B$5:$B$304,0))),"")</f>
        <v>0</v>
      </c>
      <c r="R1126" s="45">
        <f>IFERROR(IF(P1126="","",P1126*INDEX(Ingredients!$Q$5:$Q$304,MATCH(D1126,Ingredients!$B$5:$B$304,0))),"")</f>
        <v>0</v>
      </c>
      <c r="S1126" s="45">
        <f>IFERROR(IF(P1126="","",P1126*INDEX(Ingredients!$R$5:$R$304,MATCH(D1126,Ingredients!$B$5:$B$304,0))),"")</f>
        <v>0</v>
      </c>
      <c r="T1126" s="45">
        <f>IFERROR(IF(P1126="","",P1126*INDEX(Ingredients!$S$5:$S$304,MATCH(D1126,Ingredients!$B$5:$B$304,0))),"")</f>
        <v>0</v>
      </c>
      <c r="U1126" s="45">
        <f>IFERROR(IF(P1126="","",P1126*INDEX(Ingredients!$T$5:$T$304,MATCH(D1126,Ingredients!$B$5:$B$304,0))),"")</f>
        <v>0</v>
      </c>
      <c r="V1126" s="17">
        <f>IF(D1126="","",IFERROR(INDEX(Ingredients!$W$5:$W$304,MATCH(D1126,Ingredients!$B$5:$B$304,0)),"Add to Ingredients"))</f>
        <v>0</v>
      </c>
      <c r="W1126" s="17">
        <f>IF(D1126="","",IFERROR(INDEX(Ingredients!$C$5:$C$304,MATCH(D1126,Ingredients!$B$5:$B$304,0)),"Add to Ingredients"))</f>
        <v>0</v>
      </c>
      <c r="X1126" s="45">
        <f>IFERROR(INDEX(Recipes!$AT$5:$AT$204,MATCH(B1126,Recipes!$A$5:$A$204,0)),0)</f>
        <v>0</v>
      </c>
      <c r="Y1126" s="45">
        <f>IF(OR(J1126="",X1126=0),"",J1126*X1126)</f>
        <v>0</v>
      </c>
      <c r="Z1126" s="17">
        <f>IF(D1126="","",B1126&amp;"#"&amp;COUNTIFS($B$5:B1126,B1126))</f>
        <v>0</v>
      </c>
      <c r="AA1126" s="17">
        <f>IF(D1126="","",B1126&amp;"|"&amp;D1126)</f>
        <v>0</v>
      </c>
      <c r="AB1126" s="31">
        <f>IF(D1126="","",IF(B1126="","Add - which recipe?",IF(COUNTIFS(Ingredients!$B$5:$B$304,D1126)=0,"Missing - not in the Ingredients tab",IF(E1126="","Add - no quantity",IF(F1126="","Add - no unit",IF(K1126&lt;&gt;L1126,"Check - recipe in "&amp;K1126&amp;", priced in "&amp;L1126,IF(COUNTIFS($AA$5:$AA$1204,AA1126)&gt;1,"Duplicate - same ingredient twice","OK")))))))</f>
        <v>0</v>
      </c>
    </row>
    <row r="1127" spans="1:28">
      <c r="A1127" s="39">
        <f>IF(D1127="","","RL-"&amp;TEXT(ROW()-4,"0000"))</f>
        <v>0</v>
      </c>
      <c r="C1127" s="17">
        <f>IF(B1127="","",IFERROR(INDEX(Recipes!$B$5:$B$204,MATCH(B1127,Recipes!$A$5:$A$204,0)),"Not found"))</f>
        <v>0</v>
      </c>
      <c r="J1127" s="45">
        <f>IF(E1127="","",IFERROR(E1127*INDEX(UnitFactors,MATCH(F1127,UnitNames,0)),""))</f>
        <v>0</v>
      </c>
      <c r="K1127" s="17">
        <f>IF(F1127="","",IFERROR(INDEX(UnitBases,MATCH(F1127,UnitNames,0)),"?"))</f>
        <v>0</v>
      </c>
      <c r="L1127" s="17">
        <f>IF(D1127="","",IFERROR(INDEX(Ingredients!$G$5:$G$304,MATCH(D1127,Ingredients!$B$5:$B$304,0)),"Add to Ingredients"))</f>
        <v>0</v>
      </c>
      <c r="M1127" s="25">
        <f>IF(D1127="","",IFERROR(INDEX(Ingredients!$J$5:$J$304,MATCH(D1127,Ingredients!$B$5:$B$304,0)),"Add to Ingredients"))</f>
        <v>0</v>
      </c>
      <c r="N1127" s="25">
        <f>IF(OR(J1127="",M1127="",NOT(ISNUMBER(M1127))),"",IF(K1127&lt;&gt;L1127,"",J1127*M1127))</f>
        <v>0</v>
      </c>
      <c r="O1127" s="25">
        <f>IF(N1127="","",IFERROR(N1127/INDEX(Recipes!$G$5:$G$204,MATCH(B1127,Recipes!$A$5:$A$204,0)),""))</f>
        <v>0</v>
      </c>
      <c r="P1127" s="30">
        <f>IF(J1127="","",IF(K1127="each",J1127,J1127/100))</f>
        <v>0</v>
      </c>
      <c r="Q1127" s="30">
        <f>IFERROR(IF(P1127="","",P1127*INDEX(Ingredients!$P$5:$P$304,MATCH(D1127,Ingredients!$B$5:$B$304,0))),"")</f>
        <v>0</v>
      </c>
      <c r="R1127" s="45">
        <f>IFERROR(IF(P1127="","",P1127*INDEX(Ingredients!$Q$5:$Q$304,MATCH(D1127,Ingredients!$B$5:$B$304,0))),"")</f>
        <v>0</v>
      </c>
      <c r="S1127" s="45">
        <f>IFERROR(IF(P1127="","",P1127*INDEX(Ingredients!$R$5:$R$304,MATCH(D1127,Ingredients!$B$5:$B$304,0))),"")</f>
        <v>0</v>
      </c>
      <c r="T1127" s="45">
        <f>IFERROR(IF(P1127="","",P1127*INDEX(Ingredients!$S$5:$S$304,MATCH(D1127,Ingredients!$B$5:$B$304,0))),"")</f>
        <v>0</v>
      </c>
      <c r="U1127" s="45">
        <f>IFERROR(IF(P1127="","",P1127*INDEX(Ingredients!$T$5:$T$304,MATCH(D1127,Ingredients!$B$5:$B$304,0))),"")</f>
        <v>0</v>
      </c>
      <c r="V1127" s="17">
        <f>IF(D1127="","",IFERROR(INDEX(Ingredients!$W$5:$W$304,MATCH(D1127,Ingredients!$B$5:$B$304,0)),"Add to Ingredients"))</f>
        <v>0</v>
      </c>
      <c r="W1127" s="17">
        <f>IF(D1127="","",IFERROR(INDEX(Ingredients!$C$5:$C$304,MATCH(D1127,Ingredients!$B$5:$B$304,0)),"Add to Ingredients"))</f>
        <v>0</v>
      </c>
      <c r="X1127" s="45">
        <f>IFERROR(INDEX(Recipes!$AT$5:$AT$204,MATCH(B1127,Recipes!$A$5:$A$204,0)),0)</f>
        <v>0</v>
      </c>
      <c r="Y1127" s="45">
        <f>IF(OR(J1127="",X1127=0),"",J1127*X1127)</f>
        <v>0</v>
      </c>
      <c r="Z1127" s="17">
        <f>IF(D1127="","",B1127&amp;"#"&amp;COUNTIFS($B$5:B1127,B1127))</f>
        <v>0</v>
      </c>
      <c r="AA1127" s="17">
        <f>IF(D1127="","",B1127&amp;"|"&amp;D1127)</f>
        <v>0</v>
      </c>
      <c r="AB1127" s="31">
        <f>IF(D1127="","",IF(B1127="","Add - which recipe?",IF(COUNTIFS(Ingredients!$B$5:$B$304,D1127)=0,"Missing - not in the Ingredients tab",IF(E1127="","Add - no quantity",IF(F1127="","Add - no unit",IF(K1127&lt;&gt;L1127,"Check - recipe in "&amp;K1127&amp;", priced in "&amp;L1127,IF(COUNTIFS($AA$5:$AA$1204,AA1127)&gt;1,"Duplicate - same ingredient twice","OK")))))))</f>
        <v>0</v>
      </c>
    </row>
    <row r="1128" spans="1:28">
      <c r="A1128" s="39">
        <f>IF(D1128="","","RL-"&amp;TEXT(ROW()-4,"0000"))</f>
        <v>0</v>
      </c>
      <c r="C1128" s="17">
        <f>IF(B1128="","",IFERROR(INDEX(Recipes!$B$5:$B$204,MATCH(B1128,Recipes!$A$5:$A$204,0)),"Not found"))</f>
        <v>0</v>
      </c>
      <c r="J1128" s="45">
        <f>IF(E1128="","",IFERROR(E1128*INDEX(UnitFactors,MATCH(F1128,UnitNames,0)),""))</f>
        <v>0</v>
      </c>
      <c r="K1128" s="17">
        <f>IF(F1128="","",IFERROR(INDEX(UnitBases,MATCH(F1128,UnitNames,0)),"?"))</f>
        <v>0</v>
      </c>
      <c r="L1128" s="17">
        <f>IF(D1128="","",IFERROR(INDEX(Ingredients!$G$5:$G$304,MATCH(D1128,Ingredients!$B$5:$B$304,0)),"Add to Ingredients"))</f>
        <v>0</v>
      </c>
      <c r="M1128" s="25">
        <f>IF(D1128="","",IFERROR(INDEX(Ingredients!$J$5:$J$304,MATCH(D1128,Ingredients!$B$5:$B$304,0)),"Add to Ingredients"))</f>
        <v>0</v>
      </c>
      <c r="N1128" s="25">
        <f>IF(OR(J1128="",M1128="",NOT(ISNUMBER(M1128))),"",IF(K1128&lt;&gt;L1128,"",J1128*M1128))</f>
        <v>0</v>
      </c>
      <c r="O1128" s="25">
        <f>IF(N1128="","",IFERROR(N1128/INDEX(Recipes!$G$5:$G$204,MATCH(B1128,Recipes!$A$5:$A$204,0)),""))</f>
        <v>0</v>
      </c>
      <c r="P1128" s="30">
        <f>IF(J1128="","",IF(K1128="each",J1128,J1128/100))</f>
        <v>0</v>
      </c>
      <c r="Q1128" s="30">
        <f>IFERROR(IF(P1128="","",P1128*INDEX(Ingredients!$P$5:$P$304,MATCH(D1128,Ingredients!$B$5:$B$304,0))),"")</f>
        <v>0</v>
      </c>
      <c r="R1128" s="45">
        <f>IFERROR(IF(P1128="","",P1128*INDEX(Ingredients!$Q$5:$Q$304,MATCH(D1128,Ingredients!$B$5:$B$304,0))),"")</f>
        <v>0</v>
      </c>
      <c r="S1128" s="45">
        <f>IFERROR(IF(P1128="","",P1128*INDEX(Ingredients!$R$5:$R$304,MATCH(D1128,Ingredients!$B$5:$B$304,0))),"")</f>
        <v>0</v>
      </c>
      <c r="T1128" s="45">
        <f>IFERROR(IF(P1128="","",P1128*INDEX(Ingredients!$S$5:$S$304,MATCH(D1128,Ingredients!$B$5:$B$304,0))),"")</f>
        <v>0</v>
      </c>
      <c r="U1128" s="45">
        <f>IFERROR(IF(P1128="","",P1128*INDEX(Ingredients!$T$5:$T$304,MATCH(D1128,Ingredients!$B$5:$B$304,0))),"")</f>
        <v>0</v>
      </c>
      <c r="V1128" s="17">
        <f>IF(D1128="","",IFERROR(INDEX(Ingredients!$W$5:$W$304,MATCH(D1128,Ingredients!$B$5:$B$304,0)),"Add to Ingredients"))</f>
        <v>0</v>
      </c>
      <c r="W1128" s="17">
        <f>IF(D1128="","",IFERROR(INDEX(Ingredients!$C$5:$C$304,MATCH(D1128,Ingredients!$B$5:$B$304,0)),"Add to Ingredients"))</f>
        <v>0</v>
      </c>
      <c r="X1128" s="45">
        <f>IFERROR(INDEX(Recipes!$AT$5:$AT$204,MATCH(B1128,Recipes!$A$5:$A$204,0)),0)</f>
        <v>0</v>
      </c>
      <c r="Y1128" s="45">
        <f>IF(OR(J1128="",X1128=0),"",J1128*X1128)</f>
        <v>0</v>
      </c>
      <c r="Z1128" s="17">
        <f>IF(D1128="","",B1128&amp;"#"&amp;COUNTIFS($B$5:B1128,B1128))</f>
        <v>0</v>
      </c>
      <c r="AA1128" s="17">
        <f>IF(D1128="","",B1128&amp;"|"&amp;D1128)</f>
        <v>0</v>
      </c>
      <c r="AB1128" s="31">
        <f>IF(D1128="","",IF(B1128="","Add - which recipe?",IF(COUNTIFS(Ingredients!$B$5:$B$304,D1128)=0,"Missing - not in the Ingredients tab",IF(E1128="","Add - no quantity",IF(F1128="","Add - no unit",IF(K1128&lt;&gt;L1128,"Check - recipe in "&amp;K1128&amp;", priced in "&amp;L1128,IF(COUNTIFS($AA$5:$AA$1204,AA1128)&gt;1,"Duplicate - same ingredient twice","OK")))))))</f>
        <v>0</v>
      </c>
    </row>
    <row r="1129" spans="1:28">
      <c r="A1129" s="39">
        <f>IF(D1129="","","RL-"&amp;TEXT(ROW()-4,"0000"))</f>
        <v>0</v>
      </c>
      <c r="C1129" s="17">
        <f>IF(B1129="","",IFERROR(INDEX(Recipes!$B$5:$B$204,MATCH(B1129,Recipes!$A$5:$A$204,0)),"Not found"))</f>
        <v>0</v>
      </c>
      <c r="J1129" s="45">
        <f>IF(E1129="","",IFERROR(E1129*INDEX(UnitFactors,MATCH(F1129,UnitNames,0)),""))</f>
        <v>0</v>
      </c>
      <c r="K1129" s="17">
        <f>IF(F1129="","",IFERROR(INDEX(UnitBases,MATCH(F1129,UnitNames,0)),"?"))</f>
        <v>0</v>
      </c>
      <c r="L1129" s="17">
        <f>IF(D1129="","",IFERROR(INDEX(Ingredients!$G$5:$G$304,MATCH(D1129,Ingredients!$B$5:$B$304,0)),"Add to Ingredients"))</f>
        <v>0</v>
      </c>
      <c r="M1129" s="25">
        <f>IF(D1129="","",IFERROR(INDEX(Ingredients!$J$5:$J$304,MATCH(D1129,Ingredients!$B$5:$B$304,0)),"Add to Ingredients"))</f>
        <v>0</v>
      </c>
      <c r="N1129" s="25">
        <f>IF(OR(J1129="",M1129="",NOT(ISNUMBER(M1129))),"",IF(K1129&lt;&gt;L1129,"",J1129*M1129))</f>
        <v>0</v>
      </c>
      <c r="O1129" s="25">
        <f>IF(N1129="","",IFERROR(N1129/INDEX(Recipes!$G$5:$G$204,MATCH(B1129,Recipes!$A$5:$A$204,0)),""))</f>
        <v>0</v>
      </c>
      <c r="P1129" s="30">
        <f>IF(J1129="","",IF(K1129="each",J1129,J1129/100))</f>
        <v>0</v>
      </c>
      <c r="Q1129" s="30">
        <f>IFERROR(IF(P1129="","",P1129*INDEX(Ingredients!$P$5:$P$304,MATCH(D1129,Ingredients!$B$5:$B$304,0))),"")</f>
        <v>0</v>
      </c>
      <c r="R1129" s="45">
        <f>IFERROR(IF(P1129="","",P1129*INDEX(Ingredients!$Q$5:$Q$304,MATCH(D1129,Ingredients!$B$5:$B$304,0))),"")</f>
        <v>0</v>
      </c>
      <c r="S1129" s="45">
        <f>IFERROR(IF(P1129="","",P1129*INDEX(Ingredients!$R$5:$R$304,MATCH(D1129,Ingredients!$B$5:$B$304,0))),"")</f>
        <v>0</v>
      </c>
      <c r="T1129" s="45">
        <f>IFERROR(IF(P1129="","",P1129*INDEX(Ingredients!$S$5:$S$304,MATCH(D1129,Ingredients!$B$5:$B$304,0))),"")</f>
        <v>0</v>
      </c>
      <c r="U1129" s="45">
        <f>IFERROR(IF(P1129="","",P1129*INDEX(Ingredients!$T$5:$T$304,MATCH(D1129,Ingredients!$B$5:$B$304,0))),"")</f>
        <v>0</v>
      </c>
      <c r="V1129" s="17">
        <f>IF(D1129="","",IFERROR(INDEX(Ingredients!$W$5:$W$304,MATCH(D1129,Ingredients!$B$5:$B$304,0)),"Add to Ingredients"))</f>
        <v>0</v>
      </c>
      <c r="W1129" s="17">
        <f>IF(D1129="","",IFERROR(INDEX(Ingredients!$C$5:$C$304,MATCH(D1129,Ingredients!$B$5:$B$304,0)),"Add to Ingredients"))</f>
        <v>0</v>
      </c>
      <c r="X1129" s="45">
        <f>IFERROR(INDEX(Recipes!$AT$5:$AT$204,MATCH(B1129,Recipes!$A$5:$A$204,0)),0)</f>
        <v>0</v>
      </c>
      <c r="Y1129" s="45">
        <f>IF(OR(J1129="",X1129=0),"",J1129*X1129)</f>
        <v>0</v>
      </c>
      <c r="Z1129" s="17">
        <f>IF(D1129="","",B1129&amp;"#"&amp;COUNTIFS($B$5:B1129,B1129))</f>
        <v>0</v>
      </c>
      <c r="AA1129" s="17">
        <f>IF(D1129="","",B1129&amp;"|"&amp;D1129)</f>
        <v>0</v>
      </c>
      <c r="AB1129" s="31">
        <f>IF(D1129="","",IF(B1129="","Add - which recipe?",IF(COUNTIFS(Ingredients!$B$5:$B$304,D1129)=0,"Missing - not in the Ingredients tab",IF(E1129="","Add - no quantity",IF(F1129="","Add - no unit",IF(K1129&lt;&gt;L1129,"Check - recipe in "&amp;K1129&amp;", priced in "&amp;L1129,IF(COUNTIFS($AA$5:$AA$1204,AA1129)&gt;1,"Duplicate - same ingredient twice","OK")))))))</f>
        <v>0</v>
      </c>
    </row>
    <row r="1130" spans="1:28">
      <c r="A1130" s="39">
        <f>IF(D1130="","","RL-"&amp;TEXT(ROW()-4,"0000"))</f>
        <v>0</v>
      </c>
      <c r="C1130" s="17">
        <f>IF(B1130="","",IFERROR(INDEX(Recipes!$B$5:$B$204,MATCH(B1130,Recipes!$A$5:$A$204,0)),"Not found"))</f>
        <v>0</v>
      </c>
      <c r="J1130" s="45">
        <f>IF(E1130="","",IFERROR(E1130*INDEX(UnitFactors,MATCH(F1130,UnitNames,0)),""))</f>
        <v>0</v>
      </c>
      <c r="K1130" s="17">
        <f>IF(F1130="","",IFERROR(INDEX(UnitBases,MATCH(F1130,UnitNames,0)),"?"))</f>
        <v>0</v>
      </c>
      <c r="L1130" s="17">
        <f>IF(D1130="","",IFERROR(INDEX(Ingredients!$G$5:$G$304,MATCH(D1130,Ingredients!$B$5:$B$304,0)),"Add to Ingredients"))</f>
        <v>0</v>
      </c>
      <c r="M1130" s="25">
        <f>IF(D1130="","",IFERROR(INDEX(Ingredients!$J$5:$J$304,MATCH(D1130,Ingredients!$B$5:$B$304,0)),"Add to Ingredients"))</f>
        <v>0</v>
      </c>
      <c r="N1130" s="25">
        <f>IF(OR(J1130="",M1130="",NOT(ISNUMBER(M1130))),"",IF(K1130&lt;&gt;L1130,"",J1130*M1130))</f>
        <v>0</v>
      </c>
      <c r="O1130" s="25">
        <f>IF(N1130="","",IFERROR(N1130/INDEX(Recipes!$G$5:$G$204,MATCH(B1130,Recipes!$A$5:$A$204,0)),""))</f>
        <v>0</v>
      </c>
      <c r="P1130" s="30">
        <f>IF(J1130="","",IF(K1130="each",J1130,J1130/100))</f>
        <v>0</v>
      </c>
      <c r="Q1130" s="30">
        <f>IFERROR(IF(P1130="","",P1130*INDEX(Ingredients!$P$5:$P$304,MATCH(D1130,Ingredients!$B$5:$B$304,0))),"")</f>
        <v>0</v>
      </c>
      <c r="R1130" s="45">
        <f>IFERROR(IF(P1130="","",P1130*INDEX(Ingredients!$Q$5:$Q$304,MATCH(D1130,Ingredients!$B$5:$B$304,0))),"")</f>
        <v>0</v>
      </c>
      <c r="S1130" s="45">
        <f>IFERROR(IF(P1130="","",P1130*INDEX(Ingredients!$R$5:$R$304,MATCH(D1130,Ingredients!$B$5:$B$304,0))),"")</f>
        <v>0</v>
      </c>
      <c r="T1130" s="45">
        <f>IFERROR(IF(P1130="","",P1130*INDEX(Ingredients!$S$5:$S$304,MATCH(D1130,Ingredients!$B$5:$B$304,0))),"")</f>
        <v>0</v>
      </c>
      <c r="U1130" s="45">
        <f>IFERROR(IF(P1130="","",P1130*INDEX(Ingredients!$T$5:$T$304,MATCH(D1130,Ingredients!$B$5:$B$304,0))),"")</f>
        <v>0</v>
      </c>
      <c r="V1130" s="17">
        <f>IF(D1130="","",IFERROR(INDEX(Ingredients!$W$5:$W$304,MATCH(D1130,Ingredients!$B$5:$B$304,0)),"Add to Ingredients"))</f>
        <v>0</v>
      </c>
      <c r="W1130" s="17">
        <f>IF(D1130="","",IFERROR(INDEX(Ingredients!$C$5:$C$304,MATCH(D1130,Ingredients!$B$5:$B$304,0)),"Add to Ingredients"))</f>
        <v>0</v>
      </c>
      <c r="X1130" s="45">
        <f>IFERROR(INDEX(Recipes!$AT$5:$AT$204,MATCH(B1130,Recipes!$A$5:$A$204,0)),0)</f>
        <v>0</v>
      </c>
      <c r="Y1130" s="45">
        <f>IF(OR(J1130="",X1130=0),"",J1130*X1130)</f>
        <v>0</v>
      </c>
      <c r="Z1130" s="17">
        <f>IF(D1130="","",B1130&amp;"#"&amp;COUNTIFS($B$5:B1130,B1130))</f>
        <v>0</v>
      </c>
      <c r="AA1130" s="17">
        <f>IF(D1130="","",B1130&amp;"|"&amp;D1130)</f>
        <v>0</v>
      </c>
      <c r="AB1130" s="31">
        <f>IF(D1130="","",IF(B1130="","Add - which recipe?",IF(COUNTIFS(Ingredients!$B$5:$B$304,D1130)=0,"Missing - not in the Ingredients tab",IF(E1130="","Add - no quantity",IF(F1130="","Add - no unit",IF(K1130&lt;&gt;L1130,"Check - recipe in "&amp;K1130&amp;", priced in "&amp;L1130,IF(COUNTIFS($AA$5:$AA$1204,AA1130)&gt;1,"Duplicate - same ingredient twice","OK")))))))</f>
        <v>0</v>
      </c>
    </row>
    <row r="1131" spans="1:28">
      <c r="A1131" s="39">
        <f>IF(D1131="","","RL-"&amp;TEXT(ROW()-4,"0000"))</f>
        <v>0</v>
      </c>
      <c r="C1131" s="17">
        <f>IF(B1131="","",IFERROR(INDEX(Recipes!$B$5:$B$204,MATCH(B1131,Recipes!$A$5:$A$204,0)),"Not found"))</f>
        <v>0</v>
      </c>
      <c r="J1131" s="45">
        <f>IF(E1131="","",IFERROR(E1131*INDEX(UnitFactors,MATCH(F1131,UnitNames,0)),""))</f>
        <v>0</v>
      </c>
      <c r="K1131" s="17">
        <f>IF(F1131="","",IFERROR(INDEX(UnitBases,MATCH(F1131,UnitNames,0)),"?"))</f>
        <v>0</v>
      </c>
      <c r="L1131" s="17">
        <f>IF(D1131="","",IFERROR(INDEX(Ingredients!$G$5:$G$304,MATCH(D1131,Ingredients!$B$5:$B$304,0)),"Add to Ingredients"))</f>
        <v>0</v>
      </c>
      <c r="M1131" s="25">
        <f>IF(D1131="","",IFERROR(INDEX(Ingredients!$J$5:$J$304,MATCH(D1131,Ingredients!$B$5:$B$304,0)),"Add to Ingredients"))</f>
        <v>0</v>
      </c>
      <c r="N1131" s="25">
        <f>IF(OR(J1131="",M1131="",NOT(ISNUMBER(M1131))),"",IF(K1131&lt;&gt;L1131,"",J1131*M1131))</f>
        <v>0</v>
      </c>
      <c r="O1131" s="25">
        <f>IF(N1131="","",IFERROR(N1131/INDEX(Recipes!$G$5:$G$204,MATCH(B1131,Recipes!$A$5:$A$204,0)),""))</f>
        <v>0</v>
      </c>
      <c r="P1131" s="30">
        <f>IF(J1131="","",IF(K1131="each",J1131,J1131/100))</f>
        <v>0</v>
      </c>
      <c r="Q1131" s="30">
        <f>IFERROR(IF(P1131="","",P1131*INDEX(Ingredients!$P$5:$P$304,MATCH(D1131,Ingredients!$B$5:$B$304,0))),"")</f>
        <v>0</v>
      </c>
      <c r="R1131" s="45">
        <f>IFERROR(IF(P1131="","",P1131*INDEX(Ingredients!$Q$5:$Q$304,MATCH(D1131,Ingredients!$B$5:$B$304,0))),"")</f>
        <v>0</v>
      </c>
      <c r="S1131" s="45">
        <f>IFERROR(IF(P1131="","",P1131*INDEX(Ingredients!$R$5:$R$304,MATCH(D1131,Ingredients!$B$5:$B$304,0))),"")</f>
        <v>0</v>
      </c>
      <c r="T1131" s="45">
        <f>IFERROR(IF(P1131="","",P1131*INDEX(Ingredients!$S$5:$S$304,MATCH(D1131,Ingredients!$B$5:$B$304,0))),"")</f>
        <v>0</v>
      </c>
      <c r="U1131" s="45">
        <f>IFERROR(IF(P1131="","",P1131*INDEX(Ingredients!$T$5:$T$304,MATCH(D1131,Ingredients!$B$5:$B$304,0))),"")</f>
        <v>0</v>
      </c>
      <c r="V1131" s="17">
        <f>IF(D1131="","",IFERROR(INDEX(Ingredients!$W$5:$W$304,MATCH(D1131,Ingredients!$B$5:$B$304,0)),"Add to Ingredients"))</f>
        <v>0</v>
      </c>
      <c r="W1131" s="17">
        <f>IF(D1131="","",IFERROR(INDEX(Ingredients!$C$5:$C$304,MATCH(D1131,Ingredients!$B$5:$B$304,0)),"Add to Ingredients"))</f>
        <v>0</v>
      </c>
      <c r="X1131" s="45">
        <f>IFERROR(INDEX(Recipes!$AT$5:$AT$204,MATCH(B1131,Recipes!$A$5:$A$204,0)),0)</f>
        <v>0</v>
      </c>
      <c r="Y1131" s="45">
        <f>IF(OR(J1131="",X1131=0),"",J1131*X1131)</f>
        <v>0</v>
      </c>
      <c r="Z1131" s="17">
        <f>IF(D1131="","",B1131&amp;"#"&amp;COUNTIFS($B$5:B1131,B1131))</f>
        <v>0</v>
      </c>
      <c r="AA1131" s="17">
        <f>IF(D1131="","",B1131&amp;"|"&amp;D1131)</f>
        <v>0</v>
      </c>
      <c r="AB1131" s="31">
        <f>IF(D1131="","",IF(B1131="","Add - which recipe?",IF(COUNTIFS(Ingredients!$B$5:$B$304,D1131)=0,"Missing - not in the Ingredients tab",IF(E1131="","Add - no quantity",IF(F1131="","Add - no unit",IF(K1131&lt;&gt;L1131,"Check - recipe in "&amp;K1131&amp;", priced in "&amp;L1131,IF(COUNTIFS($AA$5:$AA$1204,AA1131)&gt;1,"Duplicate - same ingredient twice","OK")))))))</f>
        <v>0</v>
      </c>
    </row>
    <row r="1132" spans="1:28">
      <c r="A1132" s="39">
        <f>IF(D1132="","","RL-"&amp;TEXT(ROW()-4,"0000"))</f>
        <v>0</v>
      </c>
      <c r="C1132" s="17">
        <f>IF(B1132="","",IFERROR(INDEX(Recipes!$B$5:$B$204,MATCH(B1132,Recipes!$A$5:$A$204,0)),"Not found"))</f>
        <v>0</v>
      </c>
      <c r="J1132" s="45">
        <f>IF(E1132="","",IFERROR(E1132*INDEX(UnitFactors,MATCH(F1132,UnitNames,0)),""))</f>
        <v>0</v>
      </c>
      <c r="K1132" s="17">
        <f>IF(F1132="","",IFERROR(INDEX(UnitBases,MATCH(F1132,UnitNames,0)),"?"))</f>
        <v>0</v>
      </c>
      <c r="L1132" s="17">
        <f>IF(D1132="","",IFERROR(INDEX(Ingredients!$G$5:$G$304,MATCH(D1132,Ingredients!$B$5:$B$304,0)),"Add to Ingredients"))</f>
        <v>0</v>
      </c>
      <c r="M1132" s="25">
        <f>IF(D1132="","",IFERROR(INDEX(Ingredients!$J$5:$J$304,MATCH(D1132,Ingredients!$B$5:$B$304,0)),"Add to Ingredients"))</f>
        <v>0</v>
      </c>
      <c r="N1132" s="25">
        <f>IF(OR(J1132="",M1132="",NOT(ISNUMBER(M1132))),"",IF(K1132&lt;&gt;L1132,"",J1132*M1132))</f>
        <v>0</v>
      </c>
      <c r="O1132" s="25">
        <f>IF(N1132="","",IFERROR(N1132/INDEX(Recipes!$G$5:$G$204,MATCH(B1132,Recipes!$A$5:$A$204,0)),""))</f>
        <v>0</v>
      </c>
      <c r="P1132" s="30">
        <f>IF(J1132="","",IF(K1132="each",J1132,J1132/100))</f>
        <v>0</v>
      </c>
      <c r="Q1132" s="30">
        <f>IFERROR(IF(P1132="","",P1132*INDEX(Ingredients!$P$5:$P$304,MATCH(D1132,Ingredients!$B$5:$B$304,0))),"")</f>
        <v>0</v>
      </c>
      <c r="R1132" s="45">
        <f>IFERROR(IF(P1132="","",P1132*INDEX(Ingredients!$Q$5:$Q$304,MATCH(D1132,Ingredients!$B$5:$B$304,0))),"")</f>
        <v>0</v>
      </c>
      <c r="S1132" s="45">
        <f>IFERROR(IF(P1132="","",P1132*INDEX(Ingredients!$R$5:$R$304,MATCH(D1132,Ingredients!$B$5:$B$304,0))),"")</f>
        <v>0</v>
      </c>
      <c r="T1132" s="45">
        <f>IFERROR(IF(P1132="","",P1132*INDEX(Ingredients!$S$5:$S$304,MATCH(D1132,Ingredients!$B$5:$B$304,0))),"")</f>
        <v>0</v>
      </c>
      <c r="U1132" s="45">
        <f>IFERROR(IF(P1132="","",P1132*INDEX(Ingredients!$T$5:$T$304,MATCH(D1132,Ingredients!$B$5:$B$304,0))),"")</f>
        <v>0</v>
      </c>
      <c r="V1132" s="17">
        <f>IF(D1132="","",IFERROR(INDEX(Ingredients!$W$5:$W$304,MATCH(D1132,Ingredients!$B$5:$B$304,0)),"Add to Ingredients"))</f>
        <v>0</v>
      </c>
      <c r="W1132" s="17">
        <f>IF(D1132="","",IFERROR(INDEX(Ingredients!$C$5:$C$304,MATCH(D1132,Ingredients!$B$5:$B$304,0)),"Add to Ingredients"))</f>
        <v>0</v>
      </c>
      <c r="X1132" s="45">
        <f>IFERROR(INDEX(Recipes!$AT$5:$AT$204,MATCH(B1132,Recipes!$A$5:$A$204,0)),0)</f>
        <v>0</v>
      </c>
      <c r="Y1132" s="45">
        <f>IF(OR(J1132="",X1132=0),"",J1132*X1132)</f>
        <v>0</v>
      </c>
      <c r="Z1132" s="17">
        <f>IF(D1132="","",B1132&amp;"#"&amp;COUNTIFS($B$5:B1132,B1132))</f>
        <v>0</v>
      </c>
      <c r="AA1132" s="17">
        <f>IF(D1132="","",B1132&amp;"|"&amp;D1132)</f>
        <v>0</v>
      </c>
      <c r="AB1132" s="31">
        <f>IF(D1132="","",IF(B1132="","Add - which recipe?",IF(COUNTIFS(Ingredients!$B$5:$B$304,D1132)=0,"Missing - not in the Ingredients tab",IF(E1132="","Add - no quantity",IF(F1132="","Add - no unit",IF(K1132&lt;&gt;L1132,"Check - recipe in "&amp;K1132&amp;", priced in "&amp;L1132,IF(COUNTIFS($AA$5:$AA$1204,AA1132)&gt;1,"Duplicate - same ingredient twice","OK")))))))</f>
        <v>0</v>
      </c>
    </row>
    <row r="1133" spans="1:28">
      <c r="A1133" s="39">
        <f>IF(D1133="","","RL-"&amp;TEXT(ROW()-4,"0000"))</f>
        <v>0</v>
      </c>
      <c r="C1133" s="17">
        <f>IF(B1133="","",IFERROR(INDEX(Recipes!$B$5:$B$204,MATCH(B1133,Recipes!$A$5:$A$204,0)),"Not found"))</f>
        <v>0</v>
      </c>
      <c r="J1133" s="45">
        <f>IF(E1133="","",IFERROR(E1133*INDEX(UnitFactors,MATCH(F1133,UnitNames,0)),""))</f>
        <v>0</v>
      </c>
      <c r="K1133" s="17">
        <f>IF(F1133="","",IFERROR(INDEX(UnitBases,MATCH(F1133,UnitNames,0)),"?"))</f>
        <v>0</v>
      </c>
      <c r="L1133" s="17">
        <f>IF(D1133="","",IFERROR(INDEX(Ingredients!$G$5:$G$304,MATCH(D1133,Ingredients!$B$5:$B$304,0)),"Add to Ingredients"))</f>
        <v>0</v>
      </c>
      <c r="M1133" s="25">
        <f>IF(D1133="","",IFERROR(INDEX(Ingredients!$J$5:$J$304,MATCH(D1133,Ingredients!$B$5:$B$304,0)),"Add to Ingredients"))</f>
        <v>0</v>
      </c>
      <c r="N1133" s="25">
        <f>IF(OR(J1133="",M1133="",NOT(ISNUMBER(M1133))),"",IF(K1133&lt;&gt;L1133,"",J1133*M1133))</f>
        <v>0</v>
      </c>
      <c r="O1133" s="25">
        <f>IF(N1133="","",IFERROR(N1133/INDEX(Recipes!$G$5:$G$204,MATCH(B1133,Recipes!$A$5:$A$204,0)),""))</f>
        <v>0</v>
      </c>
      <c r="P1133" s="30">
        <f>IF(J1133="","",IF(K1133="each",J1133,J1133/100))</f>
        <v>0</v>
      </c>
      <c r="Q1133" s="30">
        <f>IFERROR(IF(P1133="","",P1133*INDEX(Ingredients!$P$5:$P$304,MATCH(D1133,Ingredients!$B$5:$B$304,0))),"")</f>
        <v>0</v>
      </c>
      <c r="R1133" s="45">
        <f>IFERROR(IF(P1133="","",P1133*INDEX(Ingredients!$Q$5:$Q$304,MATCH(D1133,Ingredients!$B$5:$B$304,0))),"")</f>
        <v>0</v>
      </c>
      <c r="S1133" s="45">
        <f>IFERROR(IF(P1133="","",P1133*INDEX(Ingredients!$R$5:$R$304,MATCH(D1133,Ingredients!$B$5:$B$304,0))),"")</f>
        <v>0</v>
      </c>
      <c r="T1133" s="45">
        <f>IFERROR(IF(P1133="","",P1133*INDEX(Ingredients!$S$5:$S$304,MATCH(D1133,Ingredients!$B$5:$B$304,0))),"")</f>
        <v>0</v>
      </c>
      <c r="U1133" s="45">
        <f>IFERROR(IF(P1133="","",P1133*INDEX(Ingredients!$T$5:$T$304,MATCH(D1133,Ingredients!$B$5:$B$304,0))),"")</f>
        <v>0</v>
      </c>
      <c r="V1133" s="17">
        <f>IF(D1133="","",IFERROR(INDEX(Ingredients!$W$5:$W$304,MATCH(D1133,Ingredients!$B$5:$B$304,0)),"Add to Ingredients"))</f>
        <v>0</v>
      </c>
      <c r="W1133" s="17">
        <f>IF(D1133="","",IFERROR(INDEX(Ingredients!$C$5:$C$304,MATCH(D1133,Ingredients!$B$5:$B$304,0)),"Add to Ingredients"))</f>
        <v>0</v>
      </c>
      <c r="X1133" s="45">
        <f>IFERROR(INDEX(Recipes!$AT$5:$AT$204,MATCH(B1133,Recipes!$A$5:$A$204,0)),0)</f>
        <v>0</v>
      </c>
      <c r="Y1133" s="45">
        <f>IF(OR(J1133="",X1133=0),"",J1133*X1133)</f>
        <v>0</v>
      </c>
      <c r="Z1133" s="17">
        <f>IF(D1133="","",B1133&amp;"#"&amp;COUNTIFS($B$5:B1133,B1133))</f>
        <v>0</v>
      </c>
      <c r="AA1133" s="17">
        <f>IF(D1133="","",B1133&amp;"|"&amp;D1133)</f>
        <v>0</v>
      </c>
      <c r="AB1133" s="31">
        <f>IF(D1133="","",IF(B1133="","Add - which recipe?",IF(COUNTIFS(Ingredients!$B$5:$B$304,D1133)=0,"Missing - not in the Ingredients tab",IF(E1133="","Add - no quantity",IF(F1133="","Add - no unit",IF(K1133&lt;&gt;L1133,"Check - recipe in "&amp;K1133&amp;", priced in "&amp;L1133,IF(COUNTIFS($AA$5:$AA$1204,AA1133)&gt;1,"Duplicate - same ingredient twice","OK")))))))</f>
        <v>0</v>
      </c>
    </row>
    <row r="1134" spans="1:28">
      <c r="A1134" s="39">
        <f>IF(D1134="","","RL-"&amp;TEXT(ROW()-4,"0000"))</f>
        <v>0</v>
      </c>
      <c r="C1134" s="17">
        <f>IF(B1134="","",IFERROR(INDEX(Recipes!$B$5:$B$204,MATCH(B1134,Recipes!$A$5:$A$204,0)),"Not found"))</f>
        <v>0</v>
      </c>
      <c r="J1134" s="45">
        <f>IF(E1134="","",IFERROR(E1134*INDEX(UnitFactors,MATCH(F1134,UnitNames,0)),""))</f>
        <v>0</v>
      </c>
      <c r="K1134" s="17">
        <f>IF(F1134="","",IFERROR(INDEX(UnitBases,MATCH(F1134,UnitNames,0)),"?"))</f>
        <v>0</v>
      </c>
      <c r="L1134" s="17">
        <f>IF(D1134="","",IFERROR(INDEX(Ingredients!$G$5:$G$304,MATCH(D1134,Ingredients!$B$5:$B$304,0)),"Add to Ingredients"))</f>
        <v>0</v>
      </c>
      <c r="M1134" s="25">
        <f>IF(D1134="","",IFERROR(INDEX(Ingredients!$J$5:$J$304,MATCH(D1134,Ingredients!$B$5:$B$304,0)),"Add to Ingredients"))</f>
        <v>0</v>
      </c>
      <c r="N1134" s="25">
        <f>IF(OR(J1134="",M1134="",NOT(ISNUMBER(M1134))),"",IF(K1134&lt;&gt;L1134,"",J1134*M1134))</f>
        <v>0</v>
      </c>
      <c r="O1134" s="25">
        <f>IF(N1134="","",IFERROR(N1134/INDEX(Recipes!$G$5:$G$204,MATCH(B1134,Recipes!$A$5:$A$204,0)),""))</f>
        <v>0</v>
      </c>
      <c r="P1134" s="30">
        <f>IF(J1134="","",IF(K1134="each",J1134,J1134/100))</f>
        <v>0</v>
      </c>
      <c r="Q1134" s="30">
        <f>IFERROR(IF(P1134="","",P1134*INDEX(Ingredients!$P$5:$P$304,MATCH(D1134,Ingredients!$B$5:$B$304,0))),"")</f>
        <v>0</v>
      </c>
      <c r="R1134" s="45">
        <f>IFERROR(IF(P1134="","",P1134*INDEX(Ingredients!$Q$5:$Q$304,MATCH(D1134,Ingredients!$B$5:$B$304,0))),"")</f>
        <v>0</v>
      </c>
      <c r="S1134" s="45">
        <f>IFERROR(IF(P1134="","",P1134*INDEX(Ingredients!$R$5:$R$304,MATCH(D1134,Ingredients!$B$5:$B$304,0))),"")</f>
        <v>0</v>
      </c>
      <c r="T1134" s="45">
        <f>IFERROR(IF(P1134="","",P1134*INDEX(Ingredients!$S$5:$S$304,MATCH(D1134,Ingredients!$B$5:$B$304,0))),"")</f>
        <v>0</v>
      </c>
      <c r="U1134" s="45">
        <f>IFERROR(IF(P1134="","",P1134*INDEX(Ingredients!$T$5:$T$304,MATCH(D1134,Ingredients!$B$5:$B$304,0))),"")</f>
        <v>0</v>
      </c>
      <c r="V1134" s="17">
        <f>IF(D1134="","",IFERROR(INDEX(Ingredients!$W$5:$W$304,MATCH(D1134,Ingredients!$B$5:$B$304,0)),"Add to Ingredients"))</f>
        <v>0</v>
      </c>
      <c r="W1134" s="17">
        <f>IF(D1134="","",IFERROR(INDEX(Ingredients!$C$5:$C$304,MATCH(D1134,Ingredients!$B$5:$B$304,0)),"Add to Ingredients"))</f>
        <v>0</v>
      </c>
      <c r="X1134" s="45">
        <f>IFERROR(INDEX(Recipes!$AT$5:$AT$204,MATCH(B1134,Recipes!$A$5:$A$204,0)),0)</f>
        <v>0</v>
      </c>
      <c r="Y1134" s="45">
        <f>IF(OR(J1134="",X1134=0),"",J1134*X1134)</f>
        <v>0</v>
      </c>
      <c r="Z1134" s="17">
        <f>IF(D1134="","",B1134&amp;"#"&amp;COUNTIFS($B$5:B1134,B1134))</f>
        <v>0</v>
      </c>
      <c r="AA1134" s="17">
        <f>IF(D1134="","",B1134&amp;"|"&amp;D1134)</f>
        <v>0</v>
      </c>
      <c r="AB1134" s="31">
        <f>IF(D1134="","",IF(B1134="","Add - which recipe?",IF(COUNTIFS(Ingredients!$B$5:$B$304,D1134)=0,"Missing - not in the Ingredients tab",IF(E1134="","Add - no quantity",IF(F1134="","Add - no unit",IF(K1134&lt;&gt;L1134,"Check - recipe in "&amp;K1134&amp;", priced in "&amp;L1134,IF(COUNTIFS($AA$5:$AA$1204,AA1134)&gt;1,"Duplicate - same ingredient twice","OK")))))))</f>
        <v>0</v>
      </c>
    </row>
    <row r="1135" spans="1:28">
      <c r="A1135" s="39">
        <f>IF(D1135="","","RL-"&amp;TEXT(ROW()-4,"0000"))</f>
        <v>0</v>
      </c>
      <c r="C1135" s="17">
        <f>IF(B1135="","",IFERROR(INDEX(Recipes!$B$5:$B$204,MATCH(B1135,Recipes!$A$5:$A$204,0)),"Not found"))</f>
        <v>0</v>
      </c>
      <c r="J1135" s="45">
        <f>IF(E1135="","",IFERROR(E1135*INDEX(UnitFactors,MATCH(F1135,UnitNames,0)),""))</f>
        <v>0</v>
      </c>
      <c r="K1135" s="17">
        <f>IF(F1135="","",IFERROR(INDEX(UnitBases,MATCH(F1135,UnitNames,0)),"?"))</f>
        <v>0</v>
      </c>
      <c r="L1135" s="17">
        <f>IF(D1135="","",IFERROR(INDEX(Ingredients!$G$5:$G$304,MATCH(D1135,Ingredients!$B$5:$B$304,0)),"Add to Ingredients"))</f>
        <v>0</v>
      </c>
      <c r="M1135" s="25">
        <f>IF(D1135="","",IFERROR(INDEX(Ingredients!$J$5:$J$304,MATCH(D1135,Ingredients!$B$5:$B$304,0)),"Add to Ingredients"))</f>
        <v>0</v>
      </c>
      <c r="N1135" s="25">
        <f>IF(OR(J1135="",M1135="",NOT(ISNUMBER(M1135))),"",IF(K1135&lt;&gt;L1135,"",J1135*M1135))</f>
        <v>0</v>
      </c>
      <c r="O1135" s="25">
        <f>IF(N1135="","",IFERROR(N1135/INDEX(Recipes!$G$5:$G$204,MATCH(B1135,Recipes!$A$5:$A$204,0)),""))</f>
        <v>0</v>
      </c>
      <c r="P1135" s="30">
        <f>IF(J1135="","",IF(K1135="each",J1135,J1135/100))</f>
        <v>0</v>
      </c>
      <c r="Q1135" s="30">
        <f>IFERROR(IF(P1135="","",P1135*INDEX(Ingredients!$P$5:$P$304,MATCH(D1135,Ingredients!$B$5:$B$304,0))),"")</f>
        <v>0</v>
      </c>
      <c r="R1135" s="45">
        <f>IFERROR(IF(P1135="","",P1135*INDEX(Ingredients!$Q$5:$Q$304,MATCH(D1135,Ingredients!$B$5:$B$304,0))),"")</f>
        <v>0</v>
      </c>
      <c r="S1135" s="45">
        <f>IFERROR(IF(P1135="","",P1135*INDEX(Ingredients!$R$5:$R$304,MATCH(D1135,Ingredients!$B$5:$B$304,0))),"")</f>
        <v>0</v>
      </c>
      <c r="T1135" s="45">
        <f>IFERROR(IF(P1135="","",P1135*INDEX(Ingredients!$S$5:$S$304,MATCH(D1135,Ingredients!$B$5:$B$304,0))),"")</f>
        <v>0</v>
      </c>
      <c r="U1135" s="45">
        <f>IFERROR(IF(P1135="","",P1135*INDEX(Ingredients!$T$5:$T$304,MATCH(D1135,Ingredients!$B$5:$B$304,0))),"")</f>
        <v>0</v>
      </c>
      <c r="V1135" s="17">
        <f>IF(D1135="","",IFERROR(INDEX(Ingredients!$W$5:$W$304,MATCH(D1135,Ingredients!$B$5:$B$304,0)),"Add to Ingredients"))</f>
        <v>0</v>
      </c>
      <c r="W1135" s="17">
        <f>IF(D1135="","",IFERROR(INDEX(Ingredients!$C$5:$C$304,MATCH(D1135,Ingredients!$B$5:$B$304,0)),"Add to Ingredients"))</f>
        <v>0</v>
      </c>
      <c r="X1135" s="45">
        <f>IFERROR(INDEX(Recipes!$AT$5:$AT$204,MATCH(B1135,Recipes!$A$5:$A$204,0)),0)</f>
        <v>0</v>
      </c>
      <c r="Y1135" s="45">
        <f>IF(OR(J1135="",X1135=0),"",J1135*X1135)</f>
        <v>0</v>
      </c>
      <c r="Z1135" s="17">
        <f>IF(D1135="","",B1135&amp;"#"&amp;COUNTIFS($B$5:B1135,B1135))</f>
        <v>0</v>
      </c>
      <c r="AA1135" s="17">
        <f>IF(D1135="","",B1135&amp;"|"&amp;D1135)</f>
        <v>0</v>
      </c>
      <c r="AB1135" s="31">
        <f>IF(D1135="","",IF(B1135="","Add - which recipe?",IF(COUNTIFS(Ingredients!$B$5:$B$304,D1135)=0,"Missing - not in the Ingredients tab",IF(E1135="","Add - no quantity",IF(F1135="","Add - no unit",IF(K1135&lt;&gt;L1135,"Check - recipe in "&amp;K1135&amp;", priced in "&amp;L1135,IF(COUNTIFS($AA$5:$AA$1204,AA1135)&gt;1,"Duplicate - same ingredient twice","OK")))))))</f>
        <v>0</v>
      </c>
    </row>
    <row r="1136" spans="1:28">
      <c r="A1136" s="39">
        <f>IF(D1136="","","RL-"&amp;TEXT(ROW()-4,"0000"))</f>
        <v>0</v>
      </c>
      <c r="C1136" s="17">
        <f>IF(B1136="","",IFERROR(INDEX(Recipes!$B$5:$B$204,MATCH(B1136,Recipes!$A$5:$A$204,0)),"Not found"))</f>
        <v>0</v>
      </c>
      <c r="J1136" s="45">
        <f>IF(E1136="","",IFERROR(E1136*INDEX(UnitFactors,MATCH(F1136,UnitNames,0)),""))</f>
        <v>0</v>
      </c>
      <c r="K1136" s="17">
        <f>IF(F1136="","",IFERROR(INDEX(UnitBases,MATCH(F1136,UnitNames,0)),"?"))</f>
        <v>0</v>
      </c>
      <c r="L1136" s="17">
        <f>IF(D1136="","",IFERROR(INDEX(Ingredients!$G$5:$G$304,MATCH(D1136,Ingredients!$B$5:$B$304,0)),"Add to Ingredients"))</f>
        <v>0</v>
      </c>
      <c r="M1136" s="25">
        <f>IF(D1136="","",IFERROR(INDEX(Ingredients!$J$5:$J$304,MATCH(D1136,Ingredients!$B$5:$B$304,0)),"Add to Ingredients"))</f>
        <v>0</v>
      </c>
      <c r="N1136" s="25">
        <f>IF(OR(J1136="",M1136="",NOT(ISNUMBER(M1136))),"",IF(K1136&lt;&gt;L1136,"",J1136*M1136))</f>
        <v>0</v>
      </c>
      <c r="O1136" s="25">
        <f>IF(N1136="","",IFERROR(N1136/INDEX(Recipes!$G$5:$G$204,MATCH(B1136,Recipes!$A$5:$A$204,0)),""))</f>
        <v>0</v>
      </c>
      <c r="P1136" s="30">
        <f>IF(J1136="","",IF(K1136="each",J1136,J1136/100))</f>
        <v>0</v>
      </c>
      <c r="Q1136" s="30">
        <f>IFERROR(IF(P1136="","",P1136*INDEX(Ingredients!$P$5:$P$304,MATCH(D1136,Ingredients!$B$5:$B$304,0))),"")</f>
        <v>0</v>
      </c>
      <c r="R1136" s="45">
        <f>IFERROR(IF(P1136="","",P1136*INDEX(Ingredients!$Q$5:$Q$304,MATCH(D1136,Ingredients!$B$5:$B$304,0))),"")</f>
        <v>0</v>
      </c>
      <c r="S1136" s="45">
        <f>IFERROR(IF(P1136="","",P1136*INDEX(Ingredients!$R$5:$R$304,MATCH(D1136,Ingredients!$B$5:$B$304,0))),"")</f>
        <v>0</v>
      </c>
      <c r="T1136" s="45">
        <f>IFERROR(IF(P1136="","",P1136*INDEX(Ingredients!$S$5:$S$304,MATCH(D1136,Ingredients!$B$5:$B$304,0))),"")</f>
        <v>0</v>
      </c>
      <c r="U1136" s="45">
        <f>IFERROR(IF(P1136="","",P1136*INDEX(Ingredients!$T$5:$T$304,MATCH(D1136,Ingredients!$B$5:$B$304,0))),"")</f>
        <v>0</v>
      </c>
      <c r="V1136" s="17">
        <f>IF(D1136="","",IFERROR(INDEX(Ingredients!$W$5:$W$304,MATCH(D1136,Ingredients!$B$5:$B$304,0)),"Add to Ingredients"))</f>
        <v>0</v>
      </c>
      <c r="W1136" s="17">
        <f>IF(D1136="","",IFERROR(INDEX(Ingredients!$C$5:$C$304,MATCH(D1136,Ingredients!$B$5:$B$304,0)),"Add to Ingredients"))</f>
        <v>0</v>
      </c>
      <c r="X1136" s="45">
        <f>IFERROR(INDEX(Recipes!$AT$5:$AT$204,MATCH(B1136,Recipes!$A$5:$A$204,0)),0)</f>
        <v>0</v>
      </c>
      <c r="Y1136" s="45">
        <f>IF(OR(J1136="",X1136=0),"",J1136*X1136)</f>
        <v>0</v>
      </c>
      <c r="Z1136" s="17">
        <f>IF(D1136="","",B1136&amp;"#"&amp;COUNTIFS($B$5:B1136,B1136))</f>
        <v>0</v>
      </c>
      <c r="AA1136" s="17">
        <f>IF(D1136="","",B1136&amp;"|"&amp;D1136)</f>
        <v>0</v>
      </c>
      <c r="AB1136" s="31">
        <f>IF(D1136="","",IF(B1136="","Add - which recipe?",IF(COUNTIFS(Ingredients!$B$5:$B$304,D1136)=0,"Missing - not in the Ingredients tab",IF(E1136="","Add - no quantity",IF(F1136="","Add - no unit",IF(K1136&lt;&gt;L1136,"Check - recipe in "&amp;K1136&amp;", priced in "&amp;L1136,IF(COUNTIFS($AA$5:$AA$1204,AA1136)&gt;1,"Duplicate - same ingredient twice","OK")))))))</f>
        <v>0</v>
      </c>
    </row>
    <row r="1137" spans="1:28">
      <c r="A1137" s="39">
        <f>IF(D1137="","","RL-"&amp;TEXT(ROW()-4,"0000"))</f>
        <v>0</v>
      </c>
      <c r="C1137" s="17">
        <f>IF(B1137="","",IFERROR(INDEX(Recipes!$B$5:$B$204,MATCH(B1137,Recipes!$A$5:$A$204,0)),"Not found"))</f>
        <v>0</v>
      </c>
      <c r="J1137" s="45">
        <f>IF(E1137="","",IFERROR(E1137*INDEX(UnitFactors,MATCH(F1137,UnitNames,0)),""))</f>
        <v>0</v>
      </c>
      <c r="K1137" s="17">
        <f>IF(F1137="","",IFERROR(INDEX(UnitBases,MATCH(F1137,UnitNames,0)),"?"))</f>
        <v>0</v>
      </c>
      <c r="L1137" s="17">
        <f>IF(D1137="","",IFERROR(INDEX(Ingredients!$G$5:$G$304,MATCH(D1137,Ingredients!$B$5:$B$304,0)),"Add to Ingredients"))</f>
        <v>0</v>
      </c>
      <c r="M1137" s="25">
        <f>IF(D1137="","",IFERROR(INDEX(Ingredients!$J$5:$J$304,MATCH(D1137,Ingredients!$B$5:$B$304,0)),"Add to Ingredients"))</f>
        <v>0</v>
      </c>
      <c r="N1137" s="25">
        <f>IF(OR(J1137="",M1137="",NOT(ISNUMBER(M1137))),"",IF(K1137&lt;&gt;L1137,"",J1137*M1137))</f>
        <v>0</v>
      </c>
      <c r="O1137" s="25">
        <f>IF(N1137="","",IFERROR(N1137/INDEX(Recipes!$G$5:$G$204,MATCH(B1137,Recipes!$A$5:$A$204,0)),""))</f>
        <v>0</v>
      </c>
      <c r="P1137" s="30">
        <f>IF(J1137="","",IF(K1137="each",J1137,J1137/100))</f>
        <v>0</v>
      </c>
      <c r="Q1137" s="30">
        <f>IFERROR(IF(P1137="","",P1137*INDEX(Ingredients!$P$5:$P$304,MATCH(D1137,Ingredients!$B$5:$B$304,0))),"")</f>
        <v>0</v>
      </c>
      <c r="R1137" s="45">
        <f>IFERROR(IF(P1137="","",P1137*INDEX(Ingredients!$Q$5:$Q$304,MATCH(D1137,Ingredients!$B$5:$B$304,0))),"")</f>
        <v>0</v>
      </c>
      <c r="S1137" s="45">
        <f>IFERROR(IF(P1137="","",P1137*INDEX(Ingredients!$R$5:$R$304,MATCH(D1137,Ingredients!$B$5:$B$304,0))),"")</f>
        <v>0</v>
      </c>
      <c r="T1137" s="45">
        <f>IFERROR(IF(P1137="","",P1137*INDEX(Ingredients!$S$5:$S$304,MATCH(D1137,Ingredients!$B$5:$B$304,0))),"")</f>
        <v>0</v>
      </c>
      <c r="U1137" s="45">
        <f>IFERROR(IF(P1137="","",P1137*INDEX(Ingredients!$T$5:$T$304,MATCH(D1137,Ingredients!$B$5:$B$304,0))),"")</f>
        <v>0</v>
      </c>
      <c r="V1137" s="17">
        <f>IF(D1137="","",IFERROR(INDEX(Ingredients!$W$5:$W$304,MATCH(D1137,Ingredients!$B$5:$B$304,0)),"Add to Ingredients"))</f>
        <v>0</v>
      </c>
      <c r="W1137" s="17">
        <f>IF(D1137="","",IFERROR(INDEX(Ingredients!$C$5:$C$304,MATCH(D1137,Ingredients!$B$5:$B$304,0)),"Add to Ingredients"))</f>
        <v>0</v>
      </c>
      <c r="X1137" s="45">
        <f>IFERROR(INDEX(Recipes!$AT$5:$AT$204,MATCH(B1137,Recipes!$A$5:$A$204,0)),0)</f>
        <v>0</v>
      </c>
      <c r="Y1137" s="45">
        <f>IF(OR(J1137="",X1137=0),"",J1137*X1137)</f>
        <v>0</v>
      </c>
      <c r="Z1137" s="17">
        <f>IF(D1137="","",B1137&amp;"#"&amp;COUNTIFS($B$5:B1137,B1137))</f>
        <v>0</v>
      </c>
      <c r="AA1137" s="17">
        <f>IF(D1137="","",B1137&amp;"|"&amp;D1137)</f>
        <v>0</v>
      </c>
      <c r="AB1137" s="31">
        <f>IF(D1137="","",IF(B1137="","Add - which recipe?",IF(COUNTIFS(Ingredients!$B$5:$B$304,D1137)=0,"Missing - not in the Ingredients tab",IF(E1137="","Add - no quantity",IF(F1137="","Add - no unit",IF(K1137&lt;&gt;L1137,"Check - recipe in "&amp;K1137&amp;", priced in "&amp;L1137,IF(COUNTIFS($AA$5:$AA$1204,AA1137)&gt;1,"Duplicate - same ingredient twice","OK")))))))</f>
        <v>0</v>
      </c>
    </row>
    <row r="1138" spans="1:28">
      <c r="A1138" s="39">
        <f>IF(D1138="","","RL-"&amp;TEXT(ROW()-4,"0000"))</f>
        <v>0</v>
      </c>
      <c r="C1138" s="17">
        <f>IF(B1138="","",IFERROR(INDEX(Recipes!$B$5:$B$204,MATCH(B1138,Recipes!$A$5:$A$204,0)),"Not found"))</f>
        <v>0</v>
      </c>
      <c r="J1138" s="45">
        <f>IF(E1138="","",IFERROR(E1138*INDEX(UnitFactors,MATCH(F1138,UnitNames,0)),""))</f>
        <v>0</v>
      </c>
      <c r="K1138" s="17">
        <f>IF(F1138="","",IFERROR(INDEX(UnitBases,MATCH(F1138,UnitNames,0)),"?"))</f>
        <v>0</v>
      </c>
      <c r="L1138" s="17">
        <f>IF(D1138="","",IFERROR(INDEX(Ingredients!$G$5:$G$304,MATCH(D1138,Ingredients!$B$5:$B$304,0)),"Add to Ingredients"))</f>
        <v>0</v>
      </c>
      <c r="M1138" s="25">
        <f>IF(D1138="","",IFERROR(INDEX(Ingredients!$J$5:$J$304,MATCH(D1138,Ingredients!$B$5:$B$304,0)),"Add to Ingredients"))</f>
        <v>0</v>
      </c>
      <c r="N1138" s="25">
        <f>IF(OR(J1138="",M1138="",NOT(ISNUMBER(M1138))),"",IF(K1138&lt;&gt;L1138,"",J1138*M1138))</f>
        <v>0</v>
      </c>
      <c r="O1138" s="25">
        <f>IF(N1138="","",IFERROR(N1138/INDEX(Recipes!$G$5:$G$204,MATCH(B1138,Recipes!$A$5:$A$204,0)),""))</f>
        <v>0</v>
      </c>
      <c r="P1138" s="30">
        <f>IF(J1138="","",IF(K1138="each",J1138,J1138/100))</f>
        <v>0</v>
      </c>
      <c r="Q1138" s="30">
        <f>IFERROR(IF(P1138="","",P1138*INDEX(Ingredients!$P$5:$P$304,MATCH(D1138,Ingredients!$B$5:$B$304,0))),"")</f>
        <v>0</v>
      </c>
      <c r="R1138" s="45">
        <f>IFERROR(IF(P1138="","",P1138*INDEX(Ingredients!$Q$5:$Q$304,MATCH(D1138,Ingredients!$B$5:$B$304,0))),"")</f>
        <v>0</v>
      </c>
      <c r="S1138" s="45">
        <f>IFERROR(IF(P1138="","",P1138*INDEX(Ingredients!$R$5:$R$304,MATCH(D1138,Ingredients!$B$5:$B$304,0))),"")</f>
        <v>0</v>
      </c>
      <c r="T1138" s="45">
        <f>IFERROR(IF(P1138="","",P1138*INDEX(Ingredients!$S$5:$S$304,MATCH(D1138,Ingredients!$B$5:$B$304,0))),"")</f>
        <v>0</v>
      </c>
      <c r="U1138" s="45">
        <f>IFERROR(IF(P1138="","",P1138*INDEX(Ingredients!$T$5:$T$304,MATCH(D1138,Ingredients!$B$5:$B$304,0))),"")</f>
        <v>0</v>
      </c>
      <c r="V1138" s="17">
        <f>IF(D1138="","",IFERROR(INDEX(Ingredients!$W$5:$W$304,MATCH(D1138,Ingredients!$B$5:$B$304,0)),"Add to Ingredients"))</f>
        <v>0</v>
      </c>
      <c r="W1138" s="17">
        <f>IF(D1138="","",IFERROR(INDEX(Ingredients!$C$5:$C$304,MATCH(D1138,Ingredients!$B$5:$B$304,0)),"Add to Ingredients"))</f>
        <v>0</v>
      </c>
      <c r="X1138" s="45">
        <f>IFERROR(INDEX(Recipes!$AT$5:$AT$204,MATCH(B1138,Recipes!$A$5:$A$204,0)),0)</f>
        <v>0</v>
      </c>
      <c r="Y1138" s="45">
        <f>IF(OR(J1138="",X1138=0),"",J1138*X1138)</f>
        <v>0</v>
      </c>
      <c r="Z1138" s="17">
        <f>IF(D1138="","",B1138&amp;"#"&amp;COUNTIFS($B$5:B1138,B1138))</f>
        <v>0</v>
      </c>
      <c r="AA1138" s="17">
        <f>IF(D1138="","",B1138&amp;"|"&amp;D1138)</f>
        <v>0</v>
      </c>
      <c r="AB1138" s="31">
        <f>IF(D1138="","",IF(B1138="","Add - which recipe?",IF(COUNTIFS(Ingredients!$B$5:$B$304,D1138)=0,"Missing - not in the Ingredients tab",IF(E1138="","Add - no quantity",IF(F1138="","Add - no unit",IF(K1138&lt;&gt;L1138,"Check - recipe in "&amp;K1138&amp;", priced in "&amp;L1138,IF(COUNTIFS($AA$5:$AA$1204,AA1138)&gt;1,"Duplicate - same ingredient twice","OK")))))))</f>
        <v>0</v>
      </c>
    </row>
    <row r="1139" spans="1:28">
      <c r="A1139" s="39">
        <f>IF(D1139="","","RL-"&amp;TEXT(ROW()-4,"0000"))</f>
        <v>0</v>
      </c>
      <c r="C1139" s="17">
        <f>IF(B1139="","",IFERROR(INDEX(Recipes!$B$5:$B$204,MATCH(B1139,Recipes!$A$5:$A$204,0)),"Not found"))</f>
        <v>0</v>
      </c>
      <c r="J1139" s="45">
        <f>IF(E1139="","",IFERROR(E1139*INDEX(UnitFactors,MATCH(F1139,UnitNames,0)),""))</f>
        <v>0</v>
      </c>
      <c r="K1139" s="17">
        <f>IF(F1139="","",IFERROR(INDEX(UnitBases,MATCH(F1139,UnitNames,0)),"?"))</f>
        <v>0</v>
      </c>
      <c r="L1139" s="17">
        <f>IF(D1139="","",IFERROR(INDEX(Ingredients!$G$5:$G$304,MATCH(D1139,Ingredients!$B$5:$B$304,0)),"Add to Ingredients"))</f>
        <v>0</v>
      </c>
      <c r="M1139" s="25">
        <f>IF(D1139="","",IFERROR(INDEX(Ingredients!$J$5:$J$304,MATCH(D1139,Ingredients!$B$5:$B$304,0)),"Add to Ingredients"))</f>
        <v>0</v>
      </c>
      <c r="N1139" s="25">
        <f>IF(OR(J1139="",M1139="",NOT(ISNUMBER(M1139))),"",IF(K1139&lt;&gt;L1139,"",J1139*M1139))</f>
        <v>0</v>
      </c>
      <c r="O1139" s="25">
        <f>IF(N1139="","",IFERROR(N1139/INDEX(Recipes!$G$5:$G$204,MATCH(B1139,Recipes!$A$5:$A$204,0)),""))</f>
        <v>0</v>
      </c>
      <c r="P1139" s="30">
        <f>IF(J1139="","",IF(K1139="each",J1139,J1139/100))</f>
        <v>0</v>
      </c>
      <c r="Q1139" s="30">
        <f>IFERROR(IF(P1139="","",P1139*INDEX(Ingredients!$P$5:$P$304,MATCH(D1139,Ingredients!$B$5:$B$304,0))),"")</f>
        <v>0</v>
      </c>
      <c r="R1139" s="45">
        <f>IFERROR(IF(P1139="","",P1139*INDEX(Ingredients!$Q$5:$Q$304,MATCH(D1139,Ingredients!$B$5:$B$304,0))),"")</f>
        <v>0</v>
      </c>
      <c r="S1139" s="45">
        <f>IFERROR(IF(P1139="","",P1139*INDEX(Ingredients!$R$5:$R$304,MATCH(D1139,Ingredients!$B$5:$B$304,0))),"")</f>
        <v>0</v>
      </c>
      <c r="T1139" s="45">
        <f>IFERROR(IF(P1139="","",P1139*INDEX(Ingredients!$S$5:$S$304,MATCH(D1139,Ingredients!$B$5:$B$304,0))),"")</f>
        <v>0</v>
      </c>
      <c r="U1139" s="45">
        <f>IFERROR(IF(P1139="","",P1139*INDEX(Ingredients!$T$5:$T$304,MATCH(D1139,Ingredients!$B$5:$B$304,0))),"")</f>
        <v>0</v>
      </c>
      <c r="V1139" s="17">
        <f>IF(D1139="","",IFERROR(INDEX(Ingredients!$W$5:$W$304,MATCH(D1139,Ingredients!$B$5:$B$304,0)),"Add to Ingredients"))</f>
        <v>0</v>
      </c>
      <c r="W1139" s="17">
        <f>IF(D1139="","",IFERROR(INDEX(Ingredients!$C$5:$C$304,MATCH(D1139,Ingredients!$B$5:$B$304,0)),"Add to Ingredients"))</f>
        <v>0</v>
      </c>
      <c r="X1139" s="45">
        <f>IFERROR(INDEX(Recipes!$AT$5:$AT$204,MATCH(B1139,Recipes!$A$5:$A$204,0)),0)</f>
        <v>0</v>
      </c>
      <c r="Y1139" s="45">
        <f>IF(OR(J1139="",X1139=0),"",J1139*X1139)</f>
        <v>0</v>
      </c>
      <c r="Z1139" s="17">
        <f>IF(D1139="","",B1139&amp;"#"&amp;COUNTIFS($B$5:B1139,B1139))</f>
        <v>0</v>
      </c>
      <c r="AA1139" s="17">
        <f>IF(D1139="","",B1139&amp;"|"&amp;D1139)</f>
        <v>0</v>
      </c>
      <c r="AB1139" s="31">
        <f>IF(D1139="","",IF(B1139="","Add - which recipe?",IF(COUNTIFS(Ingredients!$B$5:$B$304,D1139)=0,"Missing - not in the Ingredients tab",IF(E1139="","Add - no quantity",IF(F1139="","Add - no unit",IF(K1139&lt;&gt;L1139,"Check - recipe in "&amp;K1139&amp;", priced in "&amp;L1139,IF(COUNTIFS($AA$5:$AA$1204,AA1139)&gt;1,"Duplicate - same ingredient twice","OK")))))))</f>
        <v>0</v>
      </c>
    </row>
    <row r="1140" spans="1:28">
      <c r="A1140" s="39">
        <f>IF(D1140="","","RL-"&amp;TEXT(ROW()-4,"0000"))</f>
        <v>0</v>
      </c>
      <c r="C1140" s="17">
        <f>IF(B1140="","",IFERROR(INDEX(Recipes!$B$5:$B$204,MATCH(B1140,Recipes!$A$5:$A$204,0)),"Not found"))</f>
        <v>0</v>
      </c>
      <c r="J1140" s="45">
        <f>IF(E1140="","",IFERROR(E1140*INDEX(UnitFactors,MATCH(F1140,UnitNames,0)),""))</f>
        <v>0</v>
      </c>
      <c r="K1140" s="17">
        <f>IF(F1140="","",IFERROR(INDEX(UnitBases,MATCH(F1140,UnitNames,0)),"?"))</f>
        <v>0</v>
      </c>
      <c r="L1140" s="17">
        <f>IF(D1140="","",IFERROR(INDEX(Ingredients!$G$5:$G$304,MATCH(D1140,Ingredients!$B$5:$B$304,0)),"Add to Ingredients"))</f>
        <v>0</v>
      </c>
      <c r="M1140" s="25">
        <f>IF(D1140="","",IFERROR(INDEX(Ingredients!$J$5:$J$304,MATCH(D1140,Ingredients!$B$5:$B$304,0)),"Add to Ingredients"))</f>
        <v>0</v>
      </c>
      <c r="N1140" s="25">
        <f>IF(OR(J1140="",M1140="",NOT(ISNUMBER(M1140))),"",IF(K1140&lt;&gt;L1140,"",J1140*M1140))</f>
        <v>0</v>
      </c>
      <c r="O1140" s="25">
        <f>IF(N1140="","",IFERROR(N1140/INDEX(Recipes!$G$5:$G$204,MATCH(B1140,Recipes!$A$5:$A$204,0)),""))</f>
        <v>0</v>
      </c>
      <c r="P1140" s="30">
        <f>IF(J1140="","",IF(K1140="each",J1140,J1140/100))</f>
        <v>0</v>
      </c>
      <c r="Q1140" s="30">
        <f>IFERROR(IF(P1140="","",P1140*INDEX(Ingredients!$P$5:$P$304,MATCH(D1140,Ingredients!$B$5:$B$304,0))),"")</f>
        <v>0</v>
      </c>
      <c r="R1140" s="45">
        <f>IFERROR(IF(P1140="","",P1140*INDEX(Ingredients!$Q$5:$Q$304,MATCH(D1140,Ingredients!$B$5:$B$304,0))),"")</f>
        <v>0</v>
      </c>
      <c r="S1140" s="45">
        <f>IFERROR(IF(P1140="","",P1140*INDEX(Ingredients!$R$5:$R$304,MATCH(D1140,Ingredients!$B$5:$B$304,0))),"")</f>
        <v>0</v>
      </c>
      <c r="T1140" s="45">
        <f>IFERROR(IF(P1140="","",P1140*INDEX(Ingredients!$S$5:$S$304,MATCH(D1140,Ingredients!$B$5:$B$304,0))),"")</f>
        <v>0</v>
      </c>
      <c r="U1140" s="45">
        <f>IFERROR(IF(P1140="","",P1140*INDEX(Ingredients!$T$5:$T$304,MATCH(D1140,Ingredients!$B$5:$B$304,0))),"")</f>
        <v>0</v>
      </c>
      <c r="V1140" s="17">
        <f>IF(D1140="","",IFERROR(INDEX(Ingredients!$W$5:$W$304,MATCH(D1140,Ingredients!$B$5:$B$304,0)),"Add to Ingredients"))</f>
        <v>0</v>
      </c>
      <c r="W1140" s="17">
        <f>IF(D1140="","",IFERROR(INDEX(Ingredients!$C$5:$C$304,MATCH(D1140,Ingredients!$B$5:$B$304,0)),"Add to Ingredients"))</f>
        <v>0</v>
      </c>
      <c r="X1140" s="45">
        <f>IFERROR(INDEX(Recipes!$AT$5:$AT$204,MATCH(B1140,Recipes!$A$5:$A$204,0)),0)</f>
        <v>0</v>
      </c>
      <c r="Y1140" s="45">
        <f>IF(OR(J1140="",X1140=0),"",J1140*X1140)</f>
        <v>0</v>
      </c>
      <c r="Z1140" s="17">
        <f>IF(D1140="","",B1140&amp;"#"&amp;COUNTIFS($B$5:B1140,B1140))</f>
        <v>0</v>
      </c>
      <c r="AA1140" s="17">
        <f>IF(D1140="","",B1140&amp;"|"&amp;D1140)</f>
        <v>0</v>
      </c>
      <c r="AB1140" s="31">
        <f>IF(D1140="","",IF(B1140="","Add - which recipe?",IF(COUNTIFS(Ingredients!$B$5:$B$304,D1140)=0,"Missing - not in the Ingredients tab",IF(E1140="","Add - no quantity",IF(F1140="","Add - no unit",IF(K1140&lt;&gt;L1140,"Check - recipe in "&amp;K1140&amp;", priced in "&amp;L1140,IF(COUNTIFS($AA$5:$AA$1204,AA1140)&gt;1,"Duplicate - same ingredient twice","OK")))))))</f>
        <v>0</v>
      </c>
    </row>
    <row r="1141" spans="1:28">
      <c r="A1141" s="39">
        <f>IF(D1141="","","RL-"&amp;TEXT(ROW()-4,"0000"))</f>
        <v>0</v>
      </c>
      <c r="C1141" s="17">
        <f>IF(B1141="","",IFERROR(INDEX(Recipes!$B$5:$B$204,MATCH(B1141,Recipes!$A$5:$A$204,0)),"Not found"))</f>
        <v>0</v>
      </c>
      <c r="J1141" s="45">
        <f>IF(E1141="","",IFERROR(E1141*INDEX(UnitFactors,MATCH(F1141,UnitNames,0)),""))</f>
        <v>0</v>
      </c>
      <c r="K1141" s="17">
        <f>IF(F1141="","",IFERROR(INDEX(UnitBases,MATCH(F1141,UnitNames,0)),"?"))</f>
        <v>0</v>
      </c>
      <c r="L1141" s="17">
        <f>IF(D1141="","",IFERROR(INDEX(Ingredients!$G$5:$G$304,MATCH(D1141,Ingredients!$B$5:$B$304,0)),"Add to Ingredients"))</f>
        <v>0</v>
      </c>
      <c r="M1141" s="25">
        <f>IF(D1141="","",IFERROR(INDEX(Ingredients!$J$5:$J$304,MATCH(D1141,Ingredients!$B$5:$B$304,0)),"Add to Ingredients"))</f>
        <v>0</v>
      </c>
      <c r="N1141" s="25">
        <f>IF(OR(J1141="",M1141="",NOT(ISNUMBER(M1141))),"",IF(K1141&lt;&gt;L1141,"",J1141*M1141))</f>
        <v>0</v>
      </c>
      <c r="O1141" s="25">
        <f>IF(N1141="","",IFERROR(N1141/INDEX(Recipes!$G$5:$G$204,MATCH(B1141,Recipes!$A$5:$A$204,0)),""))</f>
        <v>0</v>
      </c>
      <c r="P1141" s="30">
        <f>IF(J1141="","",IF(K1141="each",J1141,J1141/100))</f>
        <v>0</v>
      </c>
      <c r="Q1141" s="30">
        <f>IFERROR(IF(P1141="","",P1141*INDEX(Ingredients!$P$5:$P$304,MATCH(D1141,Ingredients!$B$5:$B$304,0))),"")</f>
        <v>0</v>
      </c>
      <c r="R1141" s="45">
        <f>IFERROR(IF(P1141="","",P1141*INDEX(Ingredients!$Q$5:$Q$304,MATCH(D1141,Ingredients!$B$5:$B$304,0))),"")</f>
        <v>0</v>
      </c>
      <c r="S1141" s="45">
        <f>IFERROR(IF(P1141="","",P1141*INDEX(Ingredients!$R$5:$R$304,MATCH(D1141,Ingredients!$B$5:$B$304,0))),"")</f>
        <v>0</v>
      </c>
      <c r="T1141" s="45">
        <f>IFERROR(IF(P1141="","",P1141*INDEX(Ingredients!$S$5:$S$304,MATCH(D1141,Ingredients!$B$5:$B$304,0))),"")</f>
        <v>0</v>
      </c>
      <c r="U1141" s="45">
        <f>IFERROR(IF(P1141="","",P1141*INDEX(Ingredients!$T$5:$T$304,MATCH(D1141,Ingredients!$B$5:$B$304,0))),"")</f>
        <v>0</v>
      </c>
      <c r="V1141" s="17">
        <f>IF(D1141="","",IFERROR(INDEX(Ingredients!$W$5:$W$304,MATCH(D1141,Ingredients!$B$5:$B$304,0)),"Add to Ingredients"))</f>
        <v>0</v>
      </c>
      <c r="W1141" s="17">
        <f>IF(D1141="","",IFERROR(INDEX(Ingredients!$C$5:$C$304,MATCH(D1141,Ingredients!$B$5:$B$304,0)),"Add to Ingredients"))</f>
        <v>0</v>
      </c>
      <c r="X1141" s="45">
        <f>IFERROR(INDEX(Recipes!$AT$5:$AT$204,MATCH(B1141,Recipes!$A$5:$A$204,0)),0)</f>
        <v>0</v>
      </c>
      <c r="Y1141" s="45">
        <f>IF(OR(J1141="",X1141=0),"",J1141*X1141)</f>
        <v>0</v>
      </c>
      <c r="Z1141" s="17">
        <f>IF(D1141="","",B1141&amp;"#"&amp;COUNTIFS($B$5:B1141,B1141))</f>
        <v>0</v>
      </c>
      <c r="AA1141" s="17">
        <f>IF(D1141="","",B1141&amp;"|"&amp;D1141)</f>
        <v>0</v>
      </c>
      <c r="AB1141" s="31">
        <f>IF(D1141="","",IF(B1141="","Add - which recipe?",IF(COUNTIFS(Ingredients!$B$5:$B$304,D1141)=0,"Missing - not in the Ingredients tab",IF(E1141="","Add - no quantity",IF(F1141="","Add - no unit",IF(K1141&lt;&gt;L1141,"Check - recipe in "&amp;K1141&amp;", priced in "&amp;L1141,IF(COUNTIFS($AA$5:$AA$1204,AA1141)&gt;1,"Duplicate - same ingredient twice","OK")))))))</f>
        <v>0</v>
      </c>
    </row>
    <row r="1142" spans="1:28">
      <c r="A1142" s="39">
        <f>IF(D1142="","","RL-"&amp;TEXT(ROW()-4,"0000"))</f>
        <v>0</v>
      </c>
      <c r="C1142" s="17">
        <f>IF(B1142="","",IFERROR(INDEX(Recipes!$B$5:$B$204,MATCH(B1142,Recipes!$A$5:$A$204,0)),"Not found"))</f>
        <v>0</v>
      </c>
      <c r="J1142" s="45">
        <f>IF(E1142="","",IFERROR(E1142*INDEX(UnitFactors,MATCH(F1142,UnitNames,0)),""))</f>
        <v>0</v>
      </c>
      <c r="K1142" s="17">
        <f>IF(F1142="","",IFERROR(INDEX(UnitBases,MATCH(F1142,UnitNames,0)),"?"))</f>
        <v>0</v>
      </c>
      <c r="L1142" s="17">
        <f>IF(D1142="","",IFERROR(INDEX(Ingredients!$G$5:$G$304,MATCH(D1142,Ingredients!$B$5:$B$304,0)),"Add to Ingredients"))</f>
        <v>0</v>
      </c>
      <c r="M1142" s="25">
        <f>IF(D1142="","",IFERROR(INDEX(Ingredients!$J$5:$J$304,MATCH(D1142,Ingredients!$B$5:$B$304,0)),"Add to Ingredients"))</f>
        <v>0</v>
      </c>
      <c r="N1142" s="25">
        <f>IF(OR(J1142="",M1142="",NOT(ISNUMBER(M1142))),"",IF(K1142&lt;&gt;L1142,"",J1142*M1142))</f>
        <v>0</v>
      </c>
      <c r="O1142" s="25">
        <f>IF(N1142="","",IFERROR(N1142/INDEX(Recipes!$G$5:$G$204,MATCH(B1142,Recipes!$A$5:$A$204,0)),""))</f>
        <v>0</v>
      </c>
      <c r="P1142" s="30">
        <f>IF(J1142="","",IF(K1142="each",J1142,J1142/100))</f>
        <v>0</v>
      </c>
      <c r="Q1142" s="30">
        <f>IFERROR(IF(P1142="","",P1142*INDEX(Ingredients!$P$5:$P$304,MATCH(D1142,Ingredients!$B$5:$B$304,0))),"")</f>
        <v>0</v>
      </c>
      <c r="R1142" s="45">
        <f>IFERROR(IF(P1142="","",P1142*INDEX(Ingredients!$Q$5:$Q$304,MATCH(D1142,Ingredients!$B$5:$B$304,0))),"")</f>
        <v>0</v>
      </c>
      <c r="S1142" s="45">
        <f>IFERROR(IF(P1142="","",P1142*INDEX(Ingredients!$R$5:$R$304,MATCH(D1142,Ingredients!$B$5:$B$304,0))),"")</f>
        <v>0</v>
      </c>
      <c r="T1142" s="45">
        <f>IFERROR(IF(P1142="","",P1142*INDEX(Ingredients!$S$5:$S$304,MATCH(D1142,Ingredients!$B$5:$B$304,0))),"")</f>
        <v>0</v>
      </c>
      <c r="U1142" s="45">
        <f>IFERROR(IF(P1142="","",P1142*INDEX(Ingredients!$T$5:$T$304,MATCH(D1142,Ingredients!$B$5:$B$304,0))),"")</f>
        <v>0</v>
      </c>
      <c r="V1142" s="17">
        <f>IF(D1142="","",IFERROR(INDEX(Ingredients!$W$5:$W$304,MATCH(D1142,Ingredients!$B$5:$B$304,0)),"Add to Ingredients"))</f>
        <v>0</v>
      </c>
      <c r="W1142" s="17">
        <f>IF(D1142="","",IFERROR(INDEX(Ingredients!$C$5:$C$304,MATCH(D1142,Ingredients!$B$5:$B$304,0)),"Add to Ingredients"))</f>
        <v>0</v>
      </c>
      <c r="X1142" s="45">
        <f>IFERROR(INDEX(Recipes!$AT$5:$AT$204,MATCH(B1142,Recipes!$A$5:$A$204,0)),0)</f>
        <v>0</v>
      </c>
      <c r="Y1142" s="45">
        <f>IF(OR(J1142="",X1142=0),"",J1142*X1142)</f>
        <v>0</v>
      </c>
      <c r="Z1142" s="17">
        <f>IF(D1142="","",B1142&amp;"#"&amp;COUNTIFS($B$5:B1142,B1142))</f>
        <v>0</v>
      </c>
      <c r="AA1142" s="17">
        <f>IF(D1142="","",B1142&amp;"|"&amp;D1142)</f>
        <v>0</v>
      </c>
      <c r="AB1142" s="31">
        <f>IF(D1142="","",IF(B1142="","Add - which recipe?",IF(COUNTIFS(Ingredients!$B$5:$B$304,D1142)=0,"Missing - not in the Ingredients tab",IF(E1142="","Add - no quantity",IF(F1142="","Add - no unit",IF(K1142&lt;&gt;L1142,"Check - recipe in "&amp;K1142&amp;", priced in "&amp;L1142,IF(COUNTIFS($AA$5:$AA$1204,AA1142)&gt;1,"Duplicate - same ingredient twice","OK")))))))</f>
        <v>0</v>
      </c>
    </row>
    <row r="1143" spans="1:28">
      <c r="A1143" s="39">
        <f>IF(D1143="","","RL-"&amp;TEXT(ROW()-4,"0000"))</f>
        <v>0</v>
      </c>
      <c r="C1143" s="17">
        <f>IF(B1143="","",IFERROR(INDEX(Recipes!$B$5:$B$204,MATCH(B1143,Recipes!$A$5:$A$204,0)),"Not found"))</f>
        <v>0</v>
      </c>
      <c r="J1143" s="45">
        <f>IF(E1143="","",IFERROR(E1143*INDEX(UnitFactors,MATCH(F1143,UnitNames,0)),""))</f>
        <v>0</v>
      </c>
      <c r="K1143" s="17">
        <f>IF(F1143="","",IFERROR(INDEX(UnitBases,MATCH(F1143,UnitNames,0)),"?"))</f>
        <v>0</v>
      </c>
      <c r="L1143" s="17">
        <f>IF(D1143="","",IFERROR(INDEX(Ingredients!$G$5:$G$304,MATCH(D1143,Ingredients!$B$5:$B$304,0)),"Add to Ingredients"))</f>
        <v>0</v>
      </c>
      <c r="M1143" s="25">
        <f>IF(D1143="","",IFERROR(INDEX(Ingredients!$J$5:$J$304,MATCH(D1143,Ingredients!$B$5:$B$304,0)),"Add to Ingredients"))</f>
        <v>0</v>
      </c>
      <c r="N1143" s="25">
        <f>IF(OR(J1143="",M1143="",NOT(ISNUMBER(M1143))),"",IF(K1143&lt;&gt;L1143,"",J1143*M1143))</f>
        <v>0</v>
      </c>
      <c r="O1143" s="25">
        <f>IF(N1143="","",IFERROR(N1143/INDEX(Recipes!$G$5:$G$204,MATCH(B1143,Recipes!$A$5:$A$204,0)),""))</f>
        <v>0</v>
      </c>
      <c r="P1143" s="30">
        <f>IF(J1143="","",IF(K1143="each",J1143,J1143/100))</f>
        <v>0</v>
      </c>
      <c r="Q1143" s="30">
        <f>IFERROR(IF(P1143="","",P1143*INDEX(Ingredients!$P$5:$P$304,MATCH(D1143,Ingredients!$B$5:$B$304,0))),"")</f>
        <v>0</v>
      </c>
      <c r="R1143" s="45">
        <f>IFERROR(IF(P1143="","",P1143*INDEX(Ingredients!$Q$5:$Q$304,MATCH(D1143,Ingredients!$B$5:$B$304,0))),"")</f>
        <v>0</v>
      </c>
      <c r="S1143" s="45">
        <f>IFERROR(IF(P1143="","",P1143*INDEX(Ingredients!$R$5:$R$304,MATCH(D1143,Ingredients!$B$5:$B$304,0))),"")</f>
        <v>0</v>
      </c>
      <c r="T1143" s="45">
        <f>IFERROR(IF(P1143="","",P1143*INDEX(Ingredients!$S$5:$S$304,MATCH(D1143,Ingredients!$B$5:$B$304,0))),"")</f>
        <v>0</v>
      </c>
      <c r="U1143" s="45">
        <f>IFERROR(IF(P1143="","",P1143*INDEX(Ingredients!$T$5:$T$304,MATCH(D1143,Ingredients!$B$5:$B$304,0))),"")</f>
        <v>0</v>
      </c>
      <c r="V1143" s="17">
        <f>IF(D1143="","",IFERROR(INDEX(Ingredients!$W$5:$W$304,MATCH(D1143,Ingredients!$B$5:$B$304,0)),"Add to Ingredients"))</f>
        <v>0</v>
      </c>
      <c r="W1143" s="17">
        <f>IF(D1143="","",IFERROR(INDEX(Ingredients!$C$5:$C$304,MATCH(D1143,Ingredients!$B$5:$B$304,0)),"Add to Ingredients"))</f>
        <v>0</v>
      </c>
      <c r="X1143" s="45">
        <f>IFERROR(INDEX(Recipes!$AT$5:$AT$204,MATCH(B1143,Recipes!$A$5:$A$204,0)),0)</f>
        <v>0</v>
      </c>
      <c r="Y1143" s="45">
        <f>IF(OR(J1143="",X1143=0),"",J1143*X1143)</f>
        <v>0</v>
      </c>
      <c r="Z1143" s="17">
        <f>IF(D1143="","",B1143&amp;"#"&amp;COUNTIFS($B$5:B1143,B1143))</f>
        <v>0</v>
      </c>
      <c r="AA1143" s="17">
        <f>IF(D1143="","",B1143&amp;"|"&amp;D1143)</f>
        <v>0</v>
      </c>
      <c r="AB1143" s="31">
        <f>IF(D1143="","",IF(B1143="","Add - which recipe?",IF(COUNTIFS(Ingredients!$B$5:$B$304,D1143)=0,"Missing - not in the Ingredients tab",IF(E1143="","Add - no quantity",IF(F1143="","Add - no unit",IF(K1143&lt;&gt;L1143,"Check - recipe in "&amp;K1143&amp;", priced in "&amp;L1143,IF(COUNTIFS($AA$5:$AA$1204,AA1143)&gt;1,"Duplicate - same ingredient twice","OK")))))))</f>
        <v>0</v>
      </c>
    </row>
    <row r="1144" spans="1:28">
      <c r="A1144" s="39">
        <f>IF(D1144="","","RL-"&amp;TEXT(ROW()-4,"0000"))</f>
        <v>0</v>
      </c>
      <c r="C1144" s="17">
        <f>IF(B1144="","",IFERROR(INDEX(Recipes!$B$5:$B$204,MATCH(B1144,Recipes!$A$5:$A$204,0)),"Not found"))</f>
        <v>0</v>
      </c>
      <c r="J1144" s="45">
        <f>IF(E1144="","",IFERROR(E1144*INDEX(UnitFactors,MATCH(F1144,UnitNames,0)),""))</f>
        <v>0</v>
      </c>
      <c r="K1144" s="17">
        <f>IF(F1144="","",IFERROR(INDEX(UnitBases,MATCH(F1144,UnitNames,0)),"?"))</f>
        <v>0</v>
      </c>
      <c r="L1144" s="17">
        <f>IF(D1144="","",IFERROR(INDEX(Ingredients!$G$5:$G$304,MATCH(D1144,Ingredients!$B$5:$B$304,0)),"Add to Ingredients"))</f>
        <v>0</v>
      </c>
      <c r="M1144" s="25">
        <f>IF(D1144="","",IFERROR(INDEX(Ingredients!$J$5:$J$304,MATCH(D1144,Ingredients!$B$5:$B$304,0)),"Add to Ingredients"))</f>
        <v>0</v>
      </c>
      <c r="N1144" s="25">
        <f>IF(OR(J1144="",M1144="",NOT(ISNUMBER(M1144))),"",IF(K1144&lt;&gt;L1144,"",J1144*M1144))</f>
        <v>0</v>
      </c>
      <c r="O1144" s="25">
        <f>IF(N1144="","",IFERROR(N1144/INDEX(Recipes!$G$5:$G$204,MATCH(B1144,Recipes!$A$5:$A$204,0)),""))</f>
        <v>0</v>
      </c>
      <c r="P1144" s="30">
        <f>IF(J1144="","",IF(K1144="each",J1144,J1144/100))</f>
        <v>0</v>
      </c>
      <c r="Q1144" s="30">
        <f>IFERROR(IF(P1144="","",P1144*INDEX(Ingredients!$P$5:$P$304,MATCH(D1144,Ingredients!$B$5:$B$304,0))),"")</f>
        <v>0</v>
      </c>
      <c r="R1144" s="45">
        <f>IFERROR(IF(P1144="","",P1144*INDEX(Ingredients!$Q$5:$Q$304,MATCH(D1144,Ingredients!$B$5:$B$304,0))),"")</f>
        <v>0</v>
      </c>
      <c r="S1144" s="45">
        <f>IFERROR(IF(P1144="","",P1144*INDEX(Ingredients!$R$5:$R$304,MATCH(D1144,Ingredients!$B$5:$B$304,0))),"")</f>
        <v>0</v>
      </c>
      <c r="T1144" s="45">
        <f>IFERROR(IF(P1144="","",P1144*INDEX(Ingredients!$S$5:$S$304,MATCH(D1144,Ingredients!$B$5:$B$304,0))),"")</f>
        <v>0</v>
      </c>
      <c r="U1144" s="45">
        <f>IFERROR(IF(P1144="","",P1144*INDEX(Ingredients!$T$5:$T$304,MATCH(D1144,Ingredients!$B$5:$B$304,0))),"")</f>
        <v>0</v>
      </c>
      <c r="V1144" s="17">
        <f>IF(D1144="","",IFERROR(INDEX(Ingredients!$W$5:$W$304,MATCH(D1144,Ingredients!$B$5:$B$304,0)),"Add to Ingredients"))</f>
        <v>0</v>
      </c>
      <c r="W1144" s="17">
        <f>IF(D1144="","",IFERROR(INDEX(Ingredients!$C$5:$C$304,MATCH(D1144,Ingredients!$B$5:$B$304,0)),"Add to Ingredients"))</f>
        <v>0</v>
      </c>
      <c r="X1144" s="45">
        <f>IFERROR(INDEX(Recipes!$AT$5:$AT$204,MATCH(B1144,Recipes!$A$5:$A$204,0)),0)</f>
        <v>0</v>
      </c>
      <c r="Y1144" s="45">
        <f>IF(OR(J1144="",X1144=0),"",J1144*X1144)</f>
        <v>0</v>
      </c>
      <c r="Z1144" s="17">
        <f>IF(D1144="","",B1144&amp;"#"&amp;COUNTIFS($B$5:B1144,B1144))</f>
        <v>0</v>
      </c>
      <c r="AA1144" s="17">
        <f>IF(D1144="","",B1144&amp;"|"&amp;D1144)</f>
        <v>0</v>
      </c>
      <c r="AB1144" s="31">
        <f>IF(D1144="","",IF(B1144="","Add - which recipe?",IF(COUNTIFS(Ingredients!$B$5:$B$304,D1144)=0,"Missing - not in the Ingredients tab",IF(E1144="","Add - no quantity",IF(F1144="","Add - no unit",IF(K1144&lt;&gt;L1144,"Check - recipe in "&amp;K1144&amp;", priced in "&amp;L1144,IF(COUNTIFS($AA$5:$AA$1204,AA1144)&gt;1,"Duplicate - same ingredient twice","OK")))))))</f>
        <v>0</v>
      </c>
    </row>
    <row r="1145" spans="1:28">
      <c r="A1145" s="39">
        <f>IF(D1145="","","RL-"&amp;TEXT(ROW()-4,"0000"))</f>
        <v>0</v>
      </c>
      <c r="C1145" s="17">
        <f>IF(B1145="","",IFERROR(INDEX(Recipes!$B$5:$B$204,MATCH(B1145,Recipes!$A$5:$A$204,0)),"Not found"))</f>
        <v>0</v>
      </c>
      <c r="J1145" s="45">
        <f>IF(E1145="","",IFERROR(E1145*INDEX(UnitFactors,MATCH(F1145,UnitNames,0)),""))</f>
        <v>0</v>
      </c>
      <c r="K1145" s="17">
        <f>IF(F1145="","",IFERROR(INDEX(UnitBases,MATCH(F1145,UnitNames,0)),"?"))</f>
        <v>0</v>
      </c>
      <c r="L1145" s="17">
        <f>IF(D1145="","",IFERROR(INDEX(Ingredients!$G$5:$G$304,MATCH(D1145,Ingredients!$B$5:$B$304,0)),"Add to Ingredients"))</f>
        <v>0</v>
      </c>
      <c r="M1145" s="25">
        <f>IF(D1145="","",IFERROR(INDEX(Ingredients!$J$5:$J$304,MATCH(D1145,Ingredients!$B$5:$B$304,0)),"Add to Ingredients"))</f>
        <v>0</v>
      </c>
      <c r="N1145" s="25">
        <f>IF(OR(J1145="",M1145="",NOT(ISNUMBER(M1145))),"",IF(K1145&lt;&gt;L1145,"",J1145*M1145))</f>
        <v>0</v>
      </c>
      <c r="O1145" s="25">
        <f>IF(N1145="","",IFERROR(N1145/INDEX(Recipes!$G$5:$G$204,MATCH(B1145,Recipes!$A$5:$A$204,0)),""))</f>
        <v>0</v>
      </c>
      <c r="P1145" s="30">
        <f>IF(J1145="","",IF(K1145="each",J1145,J1145/100))</f>
        <v>0</v>
      </c>
      <c r="Q1145" s="30">
        <f>IFERROR(IF(P1145="","",P1145*INDEX(Ingredients!$P$5:$P$304,MATCH(D1145,Ingredients!$B$5:$B$304,0))),"")</f>
        <v>0</v>
      </c>
      <c r="R1145" s="45">
        <f>IFERROR(IF(P1145="","",P1145*INDEX(Ingredients!$Q$5:$Q$304,MATCH(D1145,Ingredients!$B$5:$B$304,0))),"")</f>
        <v>0</v>
      </c>
      <c r="S1145" s="45">
        <f>IFERROR(IF(P1145="","",P1145*INDEX(Ingredients!$R$5:$R$304,MATCH(D1145,Ingredients!$B$5:$B$304,0))),"")</f>
        <v>0</v>
      </c>
      <c r="T1145" s="45">
        <f>IFERROR(IF(P1145="","",P1145*INDEX(Ingredients!$S$5:$S$304,MATCH(D1145,Ingredients!$B$5:$B$304,0))),"")</f>
        <v>0</v>
      </c>
      <c r="U1145" s="45">
        <f>IFERROR(IF(P1145="","",P1145*INDEX(Ingredients!$T$5:$T$304,MATCH(D1145,Ingredients!$B$5:$B$304,0))),"")</f>
        <v>0</v>
      </c>
      <c r="V1145" s="17">
        <f>IF(D1145="","",IFERROR(INDEX(Ingredients!$W$5:$W$304,MATCH(D1145,Ingredients!$B$5:$B$304,0)),"Add to Ingredients"))</f>
        <v>0</v>
      </c>
      <c r="W1145" s="17">
        <f>IF(D1145="","",IFERROR(INDEX(Ingredients!$C$5:$C$304,MATCH(D1145,Ingredients!$B$5:$B$304,0)),"Add to Ingredients"))</f>
        <v>0</v>
      </c>
      <c r="X1145" s="45">
        <f>IFERROR(INDEX(Recipes!$AT$5:$AT$204,MATCH(B1145,Recipes!$A$5:$A$204,0)),0)</f>
        <v>0</v>
      </c>
      <c r="Y1145" s="45">
        <f>IF(OR(J1145="",X1145=0),"",J1145*X1145)</f>
        <v>0</v>
      </c>
      <c r="Z1145" s="17">
        <f>IF(D1145="","",B1145&amp;"#"&amp;COUNTIFS($B$5:B1145,B1145))</f>
        <v>0</v>
      </c>
      <c r="AA1145" s="17">
        <f>IF(D1145="","",B1145&amp;"|"&amp;D1145)</f>
        <v>0</v>
      </c>
      <c r="AB1145" s="31">
        <f>IF(D1145="","",IF(B1145="","Add - which recipe?",IF(COUNTIFS(Ingredients!$B$5:$B$304,D1145)=0,"Missing - not in the Ingredients tab",IF(E1145="","Add - no quantity",IF(F1145="","Add - no unit",IF(K1145&lt;&gt;L1145,"Check - recipe in "&amp;K1145&amp;", priced in "&amp;L1145,IF(COUNTIFS($AA$5:$AA$1204,AA1145)&gt;1,"Duplicate - same ingredient twice","OK")))))))</f>
        <v>0</v>
      </c>
    </row>
    <row r="1146" spans="1:28">
      <c r="A1146" s="39">
        <f>IF(D1146="","","RL-"&amp;TEXT(ROW()-4,"0000"))</f>
        <v>0</v>
      </c>
      <c r="C1146" s="17">
        <f>IF(B1146="","",IFERROR(INDEX(Recipes!$B$5:$B$204,MATCH(B1146,Recipes!$A$5:$A$204,0)),"Not found"))</f>
        <v>0</v>
      </c>
      <c r="J1146" s="45">
        <f>IF(E1146="","",IFERROR(E1146*INDEX(UnitFactors,MATCH(F1146,UnitNames,0)),""))</f>
        <v>0</v>
      </c>
      <c r="K1146" s="17">
        <f>IF(F1146="","",IFERROR(INDEX(UnitBases,MATCH(F1146,UnitNames,0)),"?"))</f>
        <v>0</v>
      </c>
      <c r="L1146" s="17">
        <f>IF(D1146="","",IFERROR(INDEX(Ingredients!$G$5:$G$304,MATCH(D1146,Ingredients!$B$5:$B$304,0)),"Add to Ingredients"))</f>
        <v>0</v>
      </c>
      <c r="M1146" s="25">
        <f>IF(D1146="","",IFERROR(INDEX(Ingredients!$J$5:$J$304,MATCH(D1146,Ingredients!$B$5:$B$304,0)),"Add to Ingredients"))</f>
        <v>0</v>
      </c>
      <c r="N1146" s="25">
        <f>IF(OR(J1146="",M1146="",NOT(ISNUMBER(M1146))),"",IF(K1146&lt;&gt;L1146,"",J1146*M1146))</f>
        <v>0</v>
      </c>
      <c r="O1146" s="25">
        <f>IF(N1146="","",IFERROR(N1146/INDEX(Recipes!$G$5:$G$204,MATCH(B1146,Recipes!$A$5:$A$204,0)),""))</f>
        <v>0</v>
      </c>
      <c r="P1146" s="30">
        <f>IF(J1146="","",IF(K1146="each",J1146,J1146/100))</f>
        <v>0</v>
      </c>
      <c r="Q1146" s="30">
        <f>IFERROR(IF(P1146="","",P1146*INDEX(Ingredients!$P$5:$P$304,MATCH(D1146,Ingredients!$B$5:$B$304,0))),"")</f>
        <v>0</v>
      </c>
      <c r="R1146" s="45">
        <f>IFERROR(IF(P1146="","",P1146*INDEX(Ingredients!$Q$5:$Q$304,MATCH(D1146,Ingredients!$B$5:$B$304,0))),"")</f>
        <v>0</v>
      </c>
      <c r="S1146" s="45">
        <f>IFERROR(IF(P1146="","",P1146*INDEX(Ingredients!$R$5:$R$304,MATCH(D1146,Ingredients!$B$5:$B$304,0))),"")</f>
        <v>0</v>
      </c>
      <c r="T1146" s="45">
        <f>IFERROR(IF(P1146="","",P1146*INDEX(Ingredients!$S$5:$S$304,MATCH(D1146,Ingredients!$B$5:$B$304,0))),"")</f>
        <v>0</v>
      </c>
      <c r="U1146" s="45">
        <f>IFERROR(IF(P1146="","",P1146*INDEX(Ingredients!$T$5:$T$304,MATCH(D1146,Ingredients!$B$5:$B$304,0))),"")</f>
        <v>0</v>
      </c>
      <c r="V1146" s="17">
        <f>IF(D1146="","",IFERROR(INDEX(Ingredients!$W$5:$W$304,MATCH(D1146,Ingredients!$B$5:$B$304,0)),"Add to Ingredients"))</f>
        <v>0</v>
      </c>
      <c r="W1146" s="17">
        <f>IF(D1146="","",IFERROR(INDEX(Ingredients!$C$5:$C$304,MATCH(D1146,Ingredients!$B$5:$B$304,0)),"Add to Ingredients"))</f>
        <v>0</v>
      </c>
      <c r="X1146" s="45">
        <f>IFERROR(INDEX(Recipes!$AT$5:$AT$204,MATCH(B1146,Recipes!$A$5:$A$204,0)),0)</f>
        <v>0</v>
      </c>
      <c r="Y1146" s="45">
        <f>IF(OR(J1146="",X1146=0),"",J1146*X1146)</f>
        <v>0</v>
      </c>
      <c r="Z1146" s="17">
        <f>IF(D1146="","",B1146&amp;"#"&amp;COUNTIFS($B$5:B1146,B1146))</f>
        <v>0</v>
      </c>
      <c r="AA1146" s="17">
        <f>IF(D1146="","",B1146&amp;"|"&amp;D1146)</f>
        <v>0</v>
      </c>
      <c r="AB1146" s="31">
        <f>IF(D1146="","",IF(B1146="","Add - which recipe?",IF(COUNTIFS(Ingredients!$B$5:$B$304,D1146)=0,"Missing - not in the Ingredients tab",IF(E1146="","Add - no quantity",IF(F1146="","Add - no unit",IF(K1146&lt;&gt;L1146,"Check - recipe in "&amp;K1146&amp;", priced in "&amp;L1146,IF(COUNTIFS($AA$5:$AA$1204,AA1146)&gt;1,"Duplicate - same ingredient twice","OK")))))))</f>
        <v>0</v>
      </c>
    </row>
    <row r="1147" spans="1:28">
      <c r="A1147" s="39">
        <f>IF(D1147="","","RL-"&amp;TEXT(ROW()-4,"0000"))</f>
        <v>0</v>
      </c>
      <c r="C1147" s="17">
        <f>IF(B1147="","",IFERROR(INDEX(Recipes!$B$5:$B$204,MATCH(B1147,Recipes!$A$5:$A$204,0)),"Not found"))</f>
        <v>0</v>
      </c>
      <c r="J1147" s="45">
        <f>IF(E1147="","",IFERROR(E1147*INDEX(UnitFactors,MATCH(F1147,UnitNames,0)),""))</f>
        <v>0</v>
      </c>
      <c r="K1147" s="17">
        <f>IF(F1147="","",IFERROR(INDEX(UnitBases,MATCH(F1147,UnitNames,0)),"?"))</f>
        <v>0</v>
      </c>
      <c r="L1147" s="17">
        <f>IF(D1147="","",IFERROR(INDEX(Ingredients!$G$5:$G$304,MATCH(D1147,Ingredients!$B$5:$B$304,0)),"Add to Ingredients"))</f>
        <v>0</v>
      </c>
      <c r="M1147" s="25">
        <f>IF(D1147="","",IFERROR(INDEX(Ingredients!$J$5:$J$304,MATCH(D1147,Ingredients!$B$5:$B$304,0)),"Add to Ingredients"))</f>
        <v>0</v>
      </c>
      <c r="N1147" s="25">
        <f>IF(OR(J1147="",M1147="",NOT(ISNUMBER(M1147))),"",IF(K1147&lt;&gt;L1147,"",J1147*M1147))</f>
        <v>0</v>
      </c>
      <c r="O1147" s="25">
        <f>IF(N1147="","",IFERROR(N1147/INDEX(Recipes!$G$5:$G$204,MATCH(B1147,Recipes!$A$5:$A$204,0)),""))</f>
        <v>0</v>
      </c>
      <c r="P1147" s="30">
        <f>IF(J1147="","",IF(K1147="each",J1147,J1147/100))</f>
        <v>0</v>
      </c>
      <c r="Q1147" s="30">
        <f>IFERROR(IF(P1147="","",P1147*INDEX(Ingredients!$P$5:$P$304,MATCH(D1147,Ingredients!$B$5:$B$304,0))),"")</f>
        <v>0</v>
      </c>
      <c r="R1147" s="45">
        <f>IFERROR(IF(P1147="","",P1147*INDEX(Ingredients!$Q$5:$Q$304,MATCH(D1147,Ingredients!$B$5:$B$304,0))),"")</f>
        <v>0</v>
      </c>
      <c r="S1147" s="45">
        <f>IFERROR(IF(P1147="","",P1147*INDEX(Ingredients!$R$5:$R$304,MATCH(D1147,Ingredients!$B$5:$B$304,0))),"")</f>
        <v>0</v>
      </c>
      <c r="T1147" s="45">
        <f>IFERROR(IF(P1147="","",P1147*INDEX(Ingredients!$S$5:$S$304,MATCH(D1147,Ingredients!$B$5:$B$304,0))),"")</f>
        <v>0</v>
      </c>
      <c r="U1147" s="45">
        <f>IFERROR(IF(P1147="","",P1147*INDEX(Ingredients!$T$5:$T$304,MATCH(D1147,Ingredients!$B$5:$B$304,0))),"")</f>
        <v>0</v>
      </c>
      <c r="V1147" s="17">
        <f>IF(D1147="","",IFERROR(INDEX(Ingredients!$W$5:$W$304,MATCH(D1147,Ingredients!$B$5:$B$304,0)),"Add to Ingredients"))</f>
        <v>0</v>
      </c>
      <c r="W1147" s="17">
        <f>IF(D1147="","",IFERROR(INDEX(Ingredients!$C$5:$C$304,MATCH(D1147,Ingredients!$B$5:$B$304,0)),"Add to Ingredients"))</f>
        <v>0</v>
      </c>
      <c r="X1147" s="45">
        <f>IFERROR(INDEX(Recipes!$AT$5:$AT$204,MATCH(B1147,Recipes!$A$5:$A$204,0)),0)</f>
        <v>0</v>
      </c>
      <c r="Y1147" s="45">
        <f>IF(OR(J1147="",X1147=0),"",J1147*X1147)</f>
        <v>0</v>
      </c>
      <c r="Z1147" s="17">
        <f>IF(D1147="","",B1147&amp;"#"&amp;COUNTIFS($B$5:B1147,B1147))</f>
        <v>0</v>
      </c>
      <c r="AA1147" s="17">
        <f>IF(D1147="","",B1147&amp;"|"&amp;D1147)</f>
        <v>0</v>
      </c>
      <c r="AB1147" s="31">
        <f>IF(D1147="","",IF(B1147="","Add - which recipe?",IF(COUNTIFS(Ingredients!$B$5:$B$304,D1147)=0,"Missing - not in the Ingredients tab",IF(E1147="","Add - no quantity",IF(F1147="","Add - no unit",IF(K1147&lt;&gt;L1147,"Check - recipe in "&amp;K1147&amp;", priced in "&amp;L1147,IF(COUNTIFS($AA$5:$AA$1204,AA1147)&gt;1,"Duplicate - same ingredient twice","OK")))))))</f>
        <v>0</v>
      </c>
    </row>
    <row r="1148" spans="1:28">
      <c r="A1148" s="39">
        <f>IF(D1148="","","RL-"&amp;TEXT(ROW()-4,"0000"))</f>
        <v>0</v>
      </c>
      <c r="C1148" s="17">
        <f>IF(B1148="","",IFERROR(INDEX(Recipes!$B$5:$B$204,MATCH(B1148,Recipes!$A$5:$A$204,0)),"Not found"))</f>
        <v>0</v>
      </c>
      <c r="J1148" s="45">
        <f>IF(E1148="","",IFERROR(E1148*INDEX(UnitFactors,MATCH(F1148,UnitNames,0)),""))</f>
        <v>0</v>
      </c>
      <c r="K1148" s="17">
        <f>IF(F1148="","",IFERROR(INDEX(UnitBases,MATCH(F1148,UnitNames,0)),"?"))</f>
        <v>0</v>
      </c>
      <c r="L1148" s="17">
        <f>IF(D1148="","",IFERROR(INDEX(Ingredients!$G$5:$G$304,MATCH(D1148,Ingredients!$B$5:$B$304,0)),"Add to Ingredients"))</f>
        <v>0</v>
      </c>
      <c r="M1148" s="25">
        <f>IF(D1148="","",IFERROR(INDEX(Ingredients!$J$5:$J$304,MATCH(D1148,Ingredients!$B$5:$B$304,0)),"Add to Ingredients"))</f>
        <v>0</v>
      </c>
      <c r="N1148" s="25">
        <f>IF(OR(J1148="",M1148="",NOT(ISNUMBER(M1148))),"",IF(K1148&lt;&gt;L1148,"",J1148*M1148))</f>
        <v>0</v>
      </c>
      <c r="O1148" s="25">
        <f>IF(N1148="","",IFERROR(N1148/INDEX(Recipes!$G$5:$G$204,MATCH(B1148,Recipes!$A$5:$A$204,0)),""))</f>
        <v>0</v>
      </c>
      <c r="P1148" s="30">
        <f>IF(J1148="","",IF(K1148="each",J1148,J1148/100))</f>
        <v>0</v>
      </c>
      <c r="Q1148" s="30">
        <f>IFERROR(IF(P1148="","",P1148*INDEX(Ingredients!$P$5:$P$304,MATCH(D1148,Ingredients!$B$5:$B$304,0))),"")</f>
        <v>0</v>
      </c>
      <c r="R1148" s="45">
        <f>IFERROR(IF(P1148="","",P1148*INDEX(Ingredients!$Q$5:$Q$304,MATCH(D1148,Ingredients!$B$5:$B$304,0))),"")</f>
        <v>0</v>
      </c>
      <c r="S1148" s="45">
        <f>IFERROR(IF(P1148="","",P1148*INDEX(Ingredients!$R$5:$R$304,MATCH(D1148,Ingredients!$B$5:$B$304,0))),"")</f>
        <v>0</v>
      </c>
      <c r="T1148" s="45">
        <f>IFERROR(IF(P1148="","",P1148*INDEX(Ingredients!$S$5:$S$304,MATCH(D1148,Ingredients!$B$5:$B$304,0))),"")</f>
        <v>0</v>
      </c>
      <c r="U1148" s="45">
        <f>IFERROR(IF(P1148="","",P1148*INDEX(Ingredients!$T$5:$T$304,MATCH(D1148,Ingredients!$B$5:$B$304,0))),"")</f>
        <v>0</v>
      </c>
      <c r="V1148" s="17">
        <f>IF(D1148="","",IFERROR(INDEX(Ingredients!$W$5:$W$304,MATCH(D1148,Ingredients!$B$5:$B$304,0)),"Add to Ingredients"))</f>
        <v>0</v>
      </c>
      <c r="W1148" s="17">
        <f>IF(D1148="","",IFERROR(INDEX(Ingredients!$C$5:$C$304,MATCH(D1148,Ingredients!$B$5:$B$304,0)),"Add to Ingredients"))</f>
        <v>0</v>
      </c>
      <c r="X1148" s="45">
        <f>IFERROR(INDEX(Recipes!$AT$5:$AT$204,MATCH(B1148,Recipes!$A$5:$A$204,0)),0)</f>
        <v>0</v>
      </c>
      <c r="Y1148" s="45">
        <f>IF(OR(J1148="",X1148=0),"",J1148*X1148)</f>
        <v>0</v>
      </c>
      <c r="Z1148" s="17">
        <f>IF(D1148="","",B1148&amp;"#"&amp;COUNTIFS($B$5:B1148,B1148))</f>
        <v>0</v>
      </c>
      <c r="AA1148" s="17">
        <f>IF(D1148="","",B1148&amp;"|"&amp;D1148)</f>
        <v>0</v>
      </c>
      <c r="AB1148" s="31">
        <f>IF(D1148="","",IF(B1148="","Add - which recipe?",IF(COUNTIFS(Ingredients!$B$5:$B$304,D1148)=0,"Missing - not in the Ingredients tab",IF(E1148="","Add - no quantity",IF(F1148="","Add - no unit",IF(K1148&lt;&gt;L1148,"Check - recipe in "&amp;K1148&amp;", priced in "&amp;L1148,IF(COUNTIFS($AA$5:$AA$1204,AA1148)&gt;1,"Duplicate - same ingredient twice","OK")))))))</f>
        <v>0</v>
      </c>
    </row>
    <row r="1149" spans="1:28">
      <c r="A1149" s="39">
        <f>IF(D1149="","","RL-"&amp;TEXT(ROW()-4,"0000"))</f>
        <v>0</v>
      </c>
      <c r="C1149" s="17">
        <f>IF(B1149="","",IFERROR(INDEX(Recipes!$B$5:$B$204,MATCH(B1149,Recipes!$A$5:$A$204,0)),"Not found"))</f>
        <v>0</v>
      </c>
      <c r="J1149" s="45">
        <f>IF(E1149="","",IFERROR(E1149*INDEX(UnitFactors,MATCH(F1149,UnitNames,0)),""))</f>
        <v>0</v>
      </c>
      <c r="K1149" s="17">
        <f>IF(F1149="","",IFERROR(INDEX(UnitBases,MATCH(F1149,UnitNames,0)),"?"))</f>
        <v>0</v>
      </c>
      <c r="L1149" s="17">
        <f>IF(D1149="","",IFERROR(INDEX(Ingredients!$G$5:$G$304,MATCH(D1149,Ingredients!$B$5:$B$304,0)),"Add to Ingredients"))</f>
        <v>0</v>
      </c>
      <c r="M1149" s="25">
        <f>IF(D1149="","",IFERROR(INDEX(Ingredients!$J$5:$J$304,MATCH(D1149,Ingredients!$B$5:$B$304,0)),"Add to Ingredients"))</f>
        <v>0</v>
      </c>
      <c r="N1149" s="25">
        <f>IF(OR(J1149="",M1149="",NOT(ISNUMBER(M1149))),"",IF(K1149&lt;&gt;L1149,"",J1149*M1149))</f>
        <v>0</v>
      </c>
      <c r="O1149" s="25">
        <f>IF(N1149="","",IFERROR(N1149/INDEX(Recipes!$G$5:$G$204,MATCH(B1149,Recipes!$A$5:$A$204,0)),""))</f>
        <v>0</v>
      </c>
      <c r="P1149" s="30">
        <f>IF(J1149="","",IF(K1149="each",J1149,J1149/100))</f>
        <v>0</v>
      </c>
      <c r="Q1149" s="30">
        <f>IFERROR(IF(P1149="","",P1149*INDEX(Ingredients!$P$5:$P$304,MATCH(D1149,Ingredients!$B$5:$B$304,0))),"")</f>
        <v>0</v>
      </c>
      <c r="R1149" s="45">
        <f>IFERROR(IF(P1149="","",P1149*INDEX(Ingredients!$Q$5:$Q$304,MATCH(D1149,Ingredients!$B$5:$B$304,0))),"")</f>
        <v>0</v>
      </c>
      <c r="S1149" s="45">
        <f>IFERROR(IF(P1149="","",P1149*INDEX(Ingredients!$R$5:$R$304,MATCH(D1149,Ingredients!$B$5:$B$304,0))),"")</f>
        <v>0</v>
      </c>
      <c r="T1149" s="45">
        <f>IFERROR(IF(P1149="","",P1149*INDEX(Ingredients!$S$5:$S$304,MATCH(D1149,Ingredients!$B$5:$B$304,0))),"")</f>
        <v>0</v>
      </c>
      <c r="U1149" s="45">
        <f>IFERROR(IF(P1149="","",P1149*INDEX(Ingredients!$T$5:$T$304,MATCH(D1149,Ingredients!$B$5:$B$304,0))),"")</f>
        <v>0</v>
      </c>
      <c r="V1149" s="17">
        <f>IF(D1149="","",IFERROR(INDEX(Ingredients!$W$5:$W$304,MATCH(D1149,Ingredients!$B$5:$B$304,0)),"Add to Ingredients"))</f>
        <v>0</v>
      </c>
      <c r="W1149" s="17">
        <f>IF(D1149="","",IFERROR(INDEX(Ingredients!$C$5:$C$304,MATCH(D1149,Ingredients!$B$5:$B$304,0)),"Add to Ingredients"))</f>
        <v>0</v>
      </c>
      <c r="X1149" s="45">
        <f>IFERROR(INDEX(Recipes!$AT$5:$AT$204,MATCH(B1149,Recipes!$A$5:$A$204,0)),0)</f>
        <v>0</v>
      </c>
      <c r="Y1149" s="45">
        <f>IF(OR(J1149="",X1149=0),"",J1149*X1149)</f>
        <v>0</v>
      </c>
      <c r="Z1149" s="17">
        <f>IF(D1149="","",B1149&amp;"#"&amp;COUNTIFS($B$5:B1149,B1149))</f>
        <v>0</v>
      </c>
      <c r="AA1149" s="17">
        <f>IF(D1149="","",B1149&amp;"|"&amp;D1149)</f>
        <v>0</v>
      </c>
      <c r="AB1149" s="31">
        <f>IF(D1149="","",IF(B1149="","Add - which recipe?",IF(COUNTIFS(Ingredients!$B$5:$B$304,D1149)=0,"Missing - not in the Ingredients tab",IF(E1149="","Add - no quantity",IF(F1149="","Add - no unit",IF(K1149&lt;&gt;L1149,"Check - recipe in "&amp;K1149&amp;", priced in "&amp;L1149,IF(COUNTIFS($AA$5:$AA$1204,AA1149)&gt;1,"Duplicate - same ingredient twice","OK")))))))</f>
        <v>0</v>
      </c>
    </row>
    <row r="1150" spans="1:28">
      <c r="A1150" s="39">
        <f>IF(D1150="","","RL-"&amp;TEXT(ROW()-4,"0000"))</f>
        <v>0</v>
      </c>
      <c r="C1150" s="17">
        <f>IF(B1150="","",IFERROR(INDEX(Recipes!$B$5:$B$204,MATCH(B1150,Recipes!$A$5:$A$204,0)),"Not found"))</f>
        <v>0</v>
      </c>
      <c r="J1150" s="45">
        <f>IF(E1150="","",IFERROR(E1150*INDEX(UnitFactors,MATCH(F1150,UnitNames,0)),""))</f>
        <v>0</v>
      </c>
      <c r="K1150" s="17">
        <f>IF(F1150="","",IFERROR(INDEX(UnitBases,MATCH(F1150,UnitNames,0)),"?"))</f>
        <v>0</v>
      </c>
      <c r="L1150" s="17">
        <f>IF(D1150="","",IFERROR(INDEX(Ingredients!$G$5:$G$304,MATCH(D1150,Ingredients!$B$5:$B$304,0)),"Add to Ingredients"))</f>
        <v>0</v>
      </c>
      <c r="M1150" s="25">
        <f>IF(D1150="","",IFERROR(INDEX(Ingredients!$J$5:$J$304,MATCH(D1150,Ingredients!$B$5:$B$304,0)),"Add to Ingredients"))</f>
        <v>0</v>
      </c>
      <c r="N1150" s="25">
        <f>IF(OR(J1150="",M1150="",NOT(ISNUMBER(M1150))),"",IF(K1150&lt;&gt;L1150,"",J1150*M1150))</f>
        <v>0</v>
      </c>
      <c r="O1150" s="25">
        <f>IF(N1150="","",IFERROR(N1150/INDEX(Recipes!$G$5:$G$204,MATCH(B1150,Recipes!$A$5:$A$204,0)),""))</f>
        <v>0</v>
      </c>
      <c r="P1150" s="30">
        <f>IF(J1150="","",IF(K1150="each",J1150,J1150/100))</f>
        <v>0</v>
      </c>
      <c r="Q1150" s="30">
        <f>IFERROR(IF(P1150="","",P1150*INDEX(Ingredients!$P$5:$P$304,MATCH(D1150,Ingredients!$B$5:$B$304,0))),"")</f>
        <v>0</v>
      </c>
      <c r="R1150" s="45">
        <f>IFERROR(IF(P1150="","",P1150*INDEX(Ingredients!$Q$5:$Q$304,MATCH(D1150,Ingredients!$B$5:$B$304,0))),"")</f>
        <v>0</v>
      </c>
      <c r="S1150" s="45">
        <f>IFERROR(IF(P1150="","",P1150*INDEX(Ingredients!$R$5:$R$304,MATCH(D1150,Ingredients!$B$5:$B$304,0))),"")</f>
        <v>0</v>
      </c>
      <c r="T1150" s="45">
        <f>IFERROR(IF(P1150="","",P1150*INDEX(Ingredients!$S$5:$S$304,MATCH(D1150,Ingredients!$B$5:$B$304,0))),"")</f>
        <v>0</v>
      </c>
      <c r="U1150" s="45">
        <f>IFERROR(IF(P1150="","",P1150*INDEX(Ingredients!$T$5:$T$304,MATCH(D1150,Ingredients!$B$5:$B$304,0))),"")</f>
        <v>0</v>
      </c>
      <c r="V1150" s="17">
        <f>IF(D1150="","",IFERROR(INDEX(Ingredients!$W$5:$W$304,MATCH(D1150,Ingredients!$B$5:$B$304,0)),"Add to Ingredients"))</f>
        <v>0</v>
      </c>
      <c r="W1150" s="17">
        <f>IF(D1150="","",IFERROR(INDEX(Ingredients!$C$5:$C$304,MATCH(D1150,Ingredients!$B$5:$B$304,0)),"Add to Ingredients"))</f>
        <v>0</v>
      </c>
      <c r="X1150" s="45">
        <f>IFERROR(INDEX(Recipes!$AT$5:$AT$204,MATCH(B1150,Recipes!$A$5:$A$204,0)),0)</f>
        <v>0</v>
      </c>
      <c r="Y1150" s="45">
        <f>IF(OR(J1150="",X1150=0),"",J1150*X1150)</f>
        <v>0</v>
      </c>
      <c r="Z1150" s="17">
        <f>IF(D1150="","",B1150&amp;"#"&amp;COUNTIFS($B$5:B1150,B1150))</f>
        <v>0</v>
      </c>
      <c r="AA1150" s="17">
        <f>IF(D1150="","",B1150&amp;"|"&amp;D1150)</f>
        <v>0</v>
      </c>
      <c r="AB1150" s="31">
        <f>IF(D1150="","",IF(B1150="","Add - which recipe?",IF(COUNTIFS(Ingredients!$B$5:$B$304,D1150)=0,"Missing - not in the Ingredients tab",IF(E1150="","Add - no quantity",IF(F1150="","Add - no unit",IF(K1150&lt;&gt;L1150,"Check - recipe in "&amp;K1150&amp;", priced in "&amp;L1150,IF(COUNTIFS($AA$5:$AA$1204,AA1150)&gt;1,"Duplicate - same ingredient twice","OK")))))))</f>
        <v>0</v>
      </c>
    </row>
    <row r="1151" spans="1:28">
      <c r="A1151" s="39">
        <f>IF(D1151="","","RL-"&amp;TEXT(ROW()-4,"0000"))</f>
        <v>0</v>
      </c>
      <c r="C1151" s="17">
        <f>IF(B1151="","",IFERROR(INDEX(Recipes!$B$5:$B$204,MATCH(B1151,Recipes!$A$5:$A$204,0)),"Not found"))</f>
        <v>0</v>
      </c>
      <c r="J1151" s="45">
        <f>IF(E1151="","",IFERROR(E1151*INDEX(UnitFactors,MATCH(F1151,UnitNames,0)),""))</f>
        <v>0</v>
      </c>
      <c r="K1151" s="17">
        <f>IF(F1151="","",IFERROR(INDEX(UnitBases,MATCH(F1151,UnitNames,0)),"?"))</f>
        <v>0</v>
      </c>
      <c r="L1151" s="17">
        <f>IF(D1151="","",IFERROR(INDEX(Ingredients!$G$5:$G$304,MATCH(D1151,Ingredients!$B$5:$B$304,0)),"Add to Ingredients"))</f>
        <v>0</v>
      </c>
      <c r="M1151" s="25">
        <f>IF(D1151="","",IFERROR(INDEX(Ingredients!$J$5:$J$304,MATCH(D1151,Ingredients!$B$5:$B$304,0)),"Add to Ingredients"))</f>
        <v>0</v>
      </c>
      <c r="N1151" s="25">
        <f>IF(OR(J1151="",M1151="",NOT(ISNUMBER(M1151))),"",IF(K1151&lt;&gt;L1151,"",J1151*M1151))</f>
        <v>0</v>
      </c>
      <c r="O1151" s="25">
        <f>IF(N1151="","",IFERROR(N1151/INDEX(Recipes!$G$5:$G$204,MATCH(B1151,Recipes!$A$5:$A$204,0)),""))</f>
        <v>0</v>
      </c>
      <c r="P1151" s="30">
        <f>IF(J1151="","",IF(K1151="each",J1151,J1151/100))</f>
        <v>0</v>
      </c>
      <c r="Q1151" s="30">
        <f>IFERROR(IF(P1151="","",P1151*INDEX(Ingredients!$P$5:$P$304,MATCH(D1151,Ingredients!$B$5:$B$304,0))),"")</f>
        <v>0</v>
      </c>
      <c r="R1151" s="45">
        <f>IFERROR(IF(P1151="","",P1151*INDEX(Ingredients!$Q$5:$Q$304,MATCH(D1151,Ingredients!$B$5:$B$304,0))),"")</f>
        <v>0</v>
      </c>
      <c r="S1151" s="45">
        <f>IFERROR(IF(P1151="","",P1151*INDEX(Ingredients!$R$5:$R$304,MATCH(D1151,Ingredients!$B$5:$B$304,0))),"")</f>
        <v>0</v>
      </c>
      <c r="T1151" s="45">
        <f>IFERROR(IF(P1151="","",P1151*INDEX(Ingredients!$S$5:$S$304,MATCH(D1151,Ingredients!$B$5:$B$304,0))),"")</f>
        <v>0</v>
      </c>
      <c r="U1151" s="45">
        <f>IFERROR(IF(P1151="","",P1151*INDEX(Ingredients!$T$5:$T$304,MATCH(D1151,Ingredients!$B$5:$B$304,0))),"")</f>
        <v>0</v>
      </c>
      <c r="V1151" s="17">
        <f>IF(D1151="","",IFERROR(INDEX(Ingredients!$W$5:$W$304,MATCH(D1151,Ingredients!$B$5:$B$304,0)),"Add to Ingredients"))</f>
        <v>0</v>
      </c>
      <c r="W1151" s="17">
        <f>IF(D1151="","",IFERROR(INDEX(Ingredients!$C$5:$C$304,MATCH(D1151,Ingredients!$B$5:$B$304,0)),"Add to Ingredients"))</f>
        <v>0</v>
      </c>
      <c r="X1151" s="45">
        <f>IFERROR(INDEX(Recipes!$AT$5:$AT$204,MATCH(B1151,Recipes!$A$5:$A$204,0)),0)</f>
        <v>0</v>
      </c>
      <c r="Y1151" s="45">
        <f>IF(OR(J1151="",X1151=0),"",J1151*X1151)</f>
        <v>0</v>
      </c>
      <c r="Z1151" s="17">
        <f>IF(D1151="","",B1151&amp;"#"&amp;COUNTIFS($B$5:B1151,B1151))</f>
        <v>0</v>
      </c>
      <c r="AA1151" s="17">
        <f>IF(D1151="","",B1151&amp;"|"&amp;D1151)</f>
        <v>0</v>
      </c>
      <c r="AB1151" s="31">
        <f>IF(D1151="","",IF(B1151="","Add - which recipe?",IF(COUNTIFS(Ingredients!$B$5:$B$304,D1151)=0,"Missing - not in the Ingredients tab",IF(E1151="","Add - no quantity",IF(F1151="","Add - no unit",IF(K1151&lt;&gt;L1151,"Check - recipe in "&amp;K1151&amp;", priced in "&amp;L1151,IF(COUNTIFS($AA$5:$AA$1204,AA1151)&gt;1,"Duplicate - same ingredient twice","OK")))))))</f>
        <v>0</v>
      </c>
    </row>
    <row r="1152" spans="1:28">
      <c r="A1152" s="39">
        <f>IF(D1152="","","RL-"&amp;TEXT(ROW()-4,"0000"))</f>
        <v>0</v>
      </c>
      <c r="C1152" s="17">
        <f>IF(B1152="","",IFERROR(INDEX(Recipes!$B$5:$B$204,MATCH(B1152,Recipes!$A$5:$A$204,0)),"Not found"))</f>
        <v>0</v>
      </c>
      <c r="J1152" s="45">
        <f>IF(E1152="","",IFERROR(E1152*INDEX(UnitFactors,MATCH(F1152,UnitNames,0)),""))</f>
        <v>0</v>
      </c>
      <c r="K1152" s="17">
        <f>IF(F1152="","",IFERROR(INDEX(UnitBases,MATCH(F1152,UnitNames,0)),"?"))</f>
        <v>0</v>
      </c>
      <c r="L1152" s="17">
        <f>IF(D1152="","",IFERROR(INDEX(Ingredients!$G$5:$G$304,MATCH(D1152,Ingredients!$B$5:$B$304,0)),"Add to Ingredients"))</f>
        <v>0</v>
      </c>
      <c r="M1152" s="25">
        <f>IF(D1152="","",IFERROR(INDEX(Ingredients!$J$5:$J$304,MATCH(D1152,Ingredients!$B$5:$B$304,0)),"Add to Ingredients"))</f>
        <v>0</v>
      </c>
      <c r="N1152" s="25">
        <f>IF(OR(J1152="",M1152="",NOT(ISNUMBER(M1152))),"",IF(K1152&lt;&gt;L1152,"",J1152*M1152))</f>
        <v>0</v>
      </c>
      <c r="O1152" s="25">
        <f>IF(N1152="","",IFERROR(N1152/INDEX(Recipes!$G$5:$G$204,MATCH(B1152,Recipes!$A$5:$A$204,0)),""))</f>
        <v>0</v>
      </c>
      <c r="P1152" s="30">
        <f>IF(J1152="","",IF(K1152="each",J1152,J1152/100))</f>
        <v>0</v>
      </c>
      <c r="Q1152" s="30">
        <f>IFERROR(IF(P1152="","",P1152*INDEX(Ingredients!$P$5:$P$304,MATCH(D1152,Ingredients!$B$5:$B$304,0))),"")</f>
        <v>0</v>
      </c>
      <c r="R1152" s="45">
        <f>IFERROR(IF(P1152="","",P1152*INDEX(Ingredients!$Q$5:$Q$304,MATCH(D1152,Ingredients!$B$5:$B$304,0))),"")</f>
        <v>0</v>
      </c>
      <c r="S1152" s="45">
        <f>IFERROR(IF(P1152="","",P1152*INDEX(Ingredients!$R$5:$R$304,MATCH(D1152,Ingredients!$B$5:$B$304,0))),"")</f>
        <v>0</v>
      </c>
      <c r="T1152" s="45">
        <f>IFERROR(IF(P1152="","",P1152*INDEX(Ingredients!$S$5:$S$304,MATCH(D1152,Ingredients!$B$5:$B$304,0))),"")</f>
        <v>0</v>
      </c>
      <c r="U1152" s="45">
        <f>IFERROR(IF(P1152="","",P1152*INDEX(Ingredients!$T$5:$T$304,MATCH(D1152,Ingredients!$B$5:$B$304,0))),"")</f>
        <v>0</v>
      </c>
      <c r="V1152" s="17">
        <f>IF(D1152="","",IFERROR(INDEX(Ingredients!$W$5:$W$304,MATCH(D1152,Ingredients!$B$5:$B$304,0)),"Add to Ingredients"))</f>
        <v>0</v>
      </c>
      <c r="W1152" s="17">
        <f>IF(D1152="","",IFERROR(INDEX(Ingredients!$C$5:$C$304,MATCH(D1152,Ingredients!$B$5:$B$304,0)),"Add to Ingredients"))</f>
        <v>0</v>
      </c>
      <c r="X1152" s="45">
        <f>IFERROR(INDEX(Recipes!$AT$5:$AT$204,MATCH(B1152,Recipes!$A$5:$A$204,0)),0)</f>
        <v>0</v>
      </c>
      <c r="Y1152" s="45">
        <f>IF(OR(J1152="",X1152=0),"",J1152*X1152)</f>
        <v>0</v>
      </c>
      <c r="Z1152" s="17">
        <f>IF(D1152="","",B1152&amp;"#"&amp;COUNTIFS($B$5:B1152,B1152))</f>
        <v>0</v>
      </c>
      <c r="AA1152" s="17">
        <f>IF(D1152="","",B1152&amp;"|"&amp;D1152)</f>
        <v>0</v>
      </c>
      <c r="AB1152" s="31">
        <f>IF(D1152="","",IF(B1152="","Add - which recipe?",IF(COUNTIFS(Ingredients!$B$5:$B$304,D1152)=0,"Missing - not in the Ingredients tab",IF(E1152="","Add - no quantity",IF(F1152="","Add - no unit",IF(K1152&lt;&gt;L1152,"Check - recipe in "&amp;K1152&amp;", priced in "&amp;L1152,IF(COUNTIFS($AA$5:$AA$1204,AA1152)&gt;1,"Duplicate - same ingredient twice","OK")))))))</f>
        <v>0</v>
      </c>
    </row>
    <row r="1153" spans="1:28">
      <c r="A1153" s="39">
        <f>IF(D1153="","","RL-"&amp;TEXT(ROW()-4,"0000"))</f>
        <v>0</v>
      </c>
      <c r="C1153" s="17">
        <f>IF(B1153="","",IFERROR(INDEX(Recipes!$B$5:$B$204,MATCH(B1153,Recipes!$A$5:$A$204,0)),"Not found"))</f>
        <v>0</v>
      </c>
      <c r="J1153" s="45">
        <f>IF(E1153="","",IFERROR(E1153*INDEX(UnitFactors,MATCH(F1153,UnitNames,0)),""))</f>
        <v>0</v>
      </c>
      <c r="K1153" s="17">
        <f>IF(F1153="","",IFERROR(INDEX(UnitBases,MATCH(F1153,UnitNames,0)),"?"))</f>
        <v>0</v>
      </c>
      <c r="L1153" s="17">
        <f>IF(D1153="","",IFERROR(INDEX(Ingredients!$G$5:$G$304,MATCH(D1153,Ingredients!$B$5:$B$304,0)),"Add to Ingredients"))</f>
        <v>0</v>
      </c>
      <c r="M1153" s="25">
        <f>IF(D1153="","",IFERROR(INDEX(Ingredients!$J$5:$J$304,MATCH(D1153,Ingredients!$B$5:$B$304,0)),"Add to Ingredients"))</f>
        <v>0</v>
      </c>
      <c r="N1153" s="25">
        <f>IF(OR(J1153="",M1153="",NOT(ISNUMBER(M1153))),"",IF(K1153&lt;&gt;L1153,"",J1153*M1153))</f>
        <v>0</v>
      </c>
      <c r="O1153" s="25">
        <f>IF(N1153="","",IFERROR(N1153/INDEX(Recipes!$G$5:$G$204,MATCH(B1153,Recipes!$A$5:$A$204,0)),""))</f>
        <v>0</v>
      </c>
      <c r="P1153" s="30">
        <f>IF(J1153="","",IF(K1153="each",J1153,J1153/100))</f>
        <v>0</v>
      </c>
      <c r="Q1153" s="30">
        <f>IFERROR(IF(P1153="","",P1153*INDEX(Ingredients!$P$5:$P$304,MATCH(D1153,Ingredients!$B$5:$B$304,0))),"")</f>
        <v>0</v>
      </c>
      <c r="R1153" s="45">
        <f>IFERROR(IF(P1153="","",P1153*INDEX(Ingredients!$Q$5:$Q$304,MATCH(D1153,Ingredients!$B$5:$B$304,0))),"")</f>
        <v>0</v>
      </c>
      <c r="S1153" s="45">
        <f>IFERROR(IF(P1153="","",P1153*INDEX(Ingredients!$R$5:$R$304,MATCH(D1153,Ingredients!$B$5:$B$304,0))),"")</f>
        <v>0</v>
      </c>
      <c r="T1153" s="45">
        <f>IFERROR(IF(P1153="","",P1153*INDEX(Ingredients!$S$5:$S$304,MATCH(D1153,Ingredients!$B$5:$B$304,0))),"")</f>
        <v>0</v>
      </c>
      <c r="U1153" s="45">
        <f>IFERROR(IF(P1153="","",P1153*INDEX(Ingredients!$T$5:$T$304,MATCH(D1153,Ingredients!$B$5:$B$304,0))),"")</f>
        <v>0</v>
      </c>
      <c r="V1153" s="17">
        <f>IF(D1153="","",IFERROR(INDEX(Ingredients!$W$5:$W$304,MATCH(D1153,Ingredients!$B$5:$B$304,0)),"Add to Ingredients"))</f>
        <v>0</v>
      </c>
      <c r="W1153" s="17">
        <f>IF(D1153="","",IFERROR(INDEX(Ingredients!$C$5:$C$304,MATCH(D1153,Ingredients!$B$5:$B$304,0)),"Add to Ingredients"))</f>
        <v>0</v>
      </c>
      <c r="X1153" s="45">
        <f>IFERROR(INDEX(Recipes!$AT$5:$AT$204,MATCH(B1153,Recipes!$A$5:$A$204,0)),0)</f>
        <v>0</v>
      </c>
      <c r="Y1153" s="45">
        <f>IF(OR(J1153="",X1153=0),"",J1153*X1153)</f>
        <v>0</v>
      </c>
      <c r="Z1153" s="17">
        <f>IF(D1153="","",B1153&amp;"#"&amp;COUNTIFS($B$5:B1153,B1153))</f>
        <v>0</v>
      </c>
      <c r="AA1153" s="17">
        <f>IF(D1153="","",B1153&amp;"|"&amp;D1153)</f>
        <v>0</v>
      </c>
      <c r="AB1153" s="31">
        <f>IF(D1153="","",IF(B1153="","Add - which recipe?",IF(COUNTIFS(Ingredients!$B$5:$B$304,D1153)=0,"Missing - not in the Ingredients tab",IF(E1153="","Add - no quantity",IF(F1153="","Add - no unit",IF(K1153&lt;&gt;L1153,"Check - recipe in "&amp;K1153&amp;", priced in "&amp;L1153,IF(COUNTIFS($AA$5:$AA$1204,AA1153)&gt;1,"Duplicate - same ingredient twice","OK")))))))</f>
        <v>0</v>
      </c>
    </row>
    <row r="1154" spans="1:28">
      <c r="A1154" s="39">
        <f>IF(D1154="","","RL-"&amp;TEXT(ROW()-4,"0000"))</f>
        <v>0</v>
      </c>
      <c r="C1154" s="17">
        <f>IF(B1154="","",IFERROR(INDEX(Recipes!$B$5:$B$204,MATCH(B1154,Recipes!$A$5:$A$204,0)),"Not found"))</f>
        <v>0</v>
      </c>
      <c r="J1154" s="45">
        <f>IF(E1154="","",IFERROR(E1154*INDEX(UnitFactors,MATCH(F1154,UnitNames,0)),""))</f>
        <v>0</v>
      </c>
      <c r="K1154" s="17">
        <f>IF(F1154="","",IFERROR(INDEX(UnitBases,MATCH(F1154,UnitNames,0)),"?"))</f>
        <v>0</v>
      </c>
      <c r="L1154" s="17">
        <f>IF(D1154="","",IFERROR(INDEX(Ingredients!$G$5:$G$304,MATCH(D1154,Ingredients!$B$5:$B$304,0)),"Add to Ingredients"))</f>
        <v>0</v>
      </c>
      <c r="M1154" s="25">
        <f>IF(D1154="","",IFERROR(INDEX(Ingredients!$J$5:$J$304,MATCH(D1154,Ingredients!$B$5:$B$304,0)),"Add to Ingredients"))</f>
        <v>0</v>
      </c>
      <c r="N1154" s="25">
        <f>IF(OR(J1154="",M1154="",NOT(ISNUMBER(M1154))),"",IF(K1154&lt;&gt;L1154,"",J1154*M1154))</f>
        <v>0</v>
      </c>
      <c r="O1154" s="25">
        <f>IF(N1154="","",IFERROR(N1154/INDEX(Recipes!$G$5:$G$204,MATCH(B1154,Recipes!$A$5:$A$204,0)),""))</f>
        <v>0</v>
      </c>
      <c r="P1154" s="30">
        <f>IF(J1154="","",IF(K1154="each",J1154,J1154/100))</f>
        <v>0</v>
      </c>
      <c r="Q1154" s="30">
        <f>IFERROR(IF(P1154="","",P1154*INDEX(Ingredients!$P$5:$P$304,MATCH(D1154,Ingredients!$B$5:$B$304,0))),"")</f>
        <v>0</v>
      </c>
      <c r="R1154" s="45">
        <f>IFERROR(IF(P1154="","",P1154*INDEX(Ingredients!$Q$5:$Q$304,MATCH(D1154,Ingredients!$B$5:$B$304,0))),"")</f>
        <v>0</v>
      </c>
      <c r="S1154" s="45">
        <f>IFERROR(IF(P1154="","",P1154*INDEX(Ingredients!$R$5:$R$304,MATCH(D1154,Ingredients!$B$5:$B$304,0))),"")</f>
        <v>0</v>
      </c>
      <c r="T1154" s="45">
        <f>IFERROR(IF(P1154="","",P1154*INDEX(Ingredients!$S$5:$S$304,MATCH(D1154,Ingredients!$B$5:$B$304,0))),"")</f>
        <v>0</v>
      </c>
      <c r="U1154" s="45">
        <f>IFERROR(IF(P1154="","",P1154*INDEX(Ingredients!$T$5:$T$304,MATCH(D1154,Ingredients!$B$5:$B$304,0))),"")</f>
        <v>0</v>
      </c>
      <c r="V1154" s="17">
        <f>IF(D1154="","",IFERROR(INDEX(Ingredients!$W$5:$W$304,MATCH(D1154,Ingredients!$B$5:$B$304,0)),"Add to Ingredients"))</f>
        <v>0</v>
      </c>
      <c r="W1154" s="17">
        <f>IF(D1154="","",IFERROR(INDEX(Ingredients!$C$5:$C$304,MATCH(D1154,Ingredients!$B$5:$B$304,0)),"Add to Ingredients"))</f>
        <v>0</v>
      </c>
      <c r="X1154" s="45">
        <f>IFERROR(INDEX(Recipes!$AT$5:$AT$204,MATCH(B1154,Recipes!$A$5:$A$204,0)),0)</f>
        <v>0</v>
      </c>
      <c r="Y1154" s="45">
        <f>IF(OR(J1154="",X1154=0),"",J1154*X1154)</f>
        <v>0</v>
      </c>
      <c r="Z1154" s="17">
        <f>IF(D1154="","",B1154&amp;"#"&amp;COUNTIFS($B$5:B1154,B1154))</f>
        <v>0</v>
      </c>
      <c r="AA1154" s="17">
        <f>IF(D1154="","",B1154&amp;"|"&amp;D1154)</f>
        <v>0</v>
      </c>
      <c r="AB1154" s="31">
        <f>IF(D1154="","",IF(B1154="","Add - which recipe?",IF(COUNTIFS(Ingredients!$B$5:$B$304,D1154)=0,"Missing - not in the Ingredients tab",IF(E1154="","Add - no quantity",IF(F1154="","Add - no unit",IF(K1154&lt;&gt;L1154,"Check - recipe in "&amp;K1154&amp;", priced in "&amp;L1154,IF(COUNTIFS($AA$5:$AA$1204,AA1154)&gt;1,"Duplicate - same ingredient twice","OK")))))))</f>
        <v>0</v>
      </c>
    </row>
    <row r="1155" spans="1:28">
      <c r="A1155" s="39">
        <f>IF(D1155="","","RL-"&amp;TEXT(ROW()-4,"0000"))</f>
        <v>0</v>
      </c>
      <c r="C1155" s="17">
        <f>IF(B1155="","",IFERROR(INDEX(Recipes!$B$5:$B$204,MATCH(B1155,Recipes!$A$5:$A$204,0)),"Not found"))</f>
        <v>0</v>
      </c>
      <c r="J1155" s="45">
        <f>IF(E1155="","",IFERROR(E1155*INDEX(UnitFactors,MATCH(F1155,UnitNames,0)),""))</f>
        <v>0</v>
      </c>
      <c r="K1155" s="17">
        <f>IF(F1155="","",IFERROR(INDEX(UnitBases,MATCH(F1155,UnitNames,0)),"?"))</f>
        <v>0</v>
      </c>
      <c r="L1155" s="17">
        <f>IF(D1155="","",IFERROR(INDEX(Ingredients!$G$5:$G$304,MATCH(D1155,Ingredients!$B$5:$B$304,0)),"Add to Ingredients"))</f>
        <v>0</v>
      </c>
      <c r="M1155" s="25">
        <f>IF(D1155="","",IFERROR(INDEX(Ingredients!$J$5:$J$304,MATCH(D1155,Ingredients!$B$5:$B$304,0)),"Add to Ingredients"))</f>
        <v>0</v>
      </c>
      <c r="N1155" s="25">
        <f>IF(OR(J1155="",M1155="",NOT(ISNUMBER(M1155))),"",IF(K1155&lt;&gt;L1155,"",J1155*M1155))</f>
        <v>0</v>
      </c>
      <c r="O1155" s="25">
        <f>IF(N1155="","",IFERROR(N1155/INDEX(Recipes!$G$5:$G$204,MATCH(B1155,Recipes!$A$5:$A$204,0)),""))</f>
        <v>0</v>
      </c>
      <c r="P1155" s="30">
        <f>IF(J1155="","",IF(K1155="each",J1155,J1155/100))</f>
        <v>0</v>
      </c>
      <c r="Q1155" s="30">
        <f>IFERROR(IF(P1155="","",P1155*INDEX(Ingredients!$P$5:$P$304,MATCH(D1155,Ingredients!$B$5:$B$304,0))),"")</f>
        <v>0</v>
      </c>
      <c r="R1155" s="45">
        <f>IFERROR(IF(P1155="","",P1155*INDEX(Ingredients!$Q$5:$Q$304,MATCH(D1155,Ingredients!$B$5:$B$304,0))),"")</f>
        <v>0</v>
      </c>
      <c r="S1155" s="45">
        <f>IFERROR(IF(P1155="","",P1155*INDEX(Ingredients!$R$5:$R$304,MATCH(D1155,Ingredients!$B$5:$B$304,0))),"")</f>
        <v>0</v>
      </c>
      <c r="T1155" s="45">
        <f>IFERROR(IF(P1155="","",P1155*INDEX(Ingredients!$S$5:$S$304,MATCH(D1155,Ingredients!$B$5:$B$304,0))),"")</f>
        <v>0</v>
      </c>
      <c r="U1155" s="45">
        <f>IFERROR(IF(P1155="","",P1155*INDEX(Ingredients!$T$5:$T$304,MATCH(D1155,Ingredients!$B$5:$B$304,0))),"")</f>
        <v>0</v>
      </c>
      <c r="V1155" s="17">
        <f>IF(D1155="","",IFERROR(INDEX(Ingredients!$W$5:$W$304,MATCH(D1155,Ingredients!$B$5:$B$304,0)),"Add to Ingredients"))</f>
        <v>0</v>
      </c>
      <c r="W1155" s="17">
        <f>IF(D1155="","",IFERROR(INDEX(Ingredients!$C$5:$C$304,MATCH(D1155,Ingredients!$B$5:$B$304,0)),"Add to Ingredients"))</f>
        <v>0</v>
      </c>
      <c r="X1155" s="45">
        <f>IFERROR(INDEX(Recipes!$AT$5:$AT$204,MATCH(B1155,Recipes!$A$5:$A$204,0)),0)</f>
        <v>0</v>
      </c>
      <c r="Y1155" s="45">
        <f>IF(OR(J1155="",X1155=0),"",J1155*X1155)</f>
        <v>0</v>
      </c>
      <c r="Z1155" s="17">
        <f>IF(D1155="","",B1155&amp;"#"&amp;COUNTIFS($B$5:B1155,B1155))</f>
        <v>0</v>
      </c>
      <c r="AA1155" s="17">
        <f>IF(D1155="","",B1155&amp;"|"&amp;D1155)</f>
        <v>0</v>
      </c>
      <c r="AB1155" s="31">
        <f>IF(D1155="","",IF(B1155="","Add - which recipe?",IF(COUNTIFS(Ingredients!$B$5:$B$304,D1155)=0,"Missing - not in the Ingredients tab",IF(E1155="","Add - no quantity",IF(F1155="","Add - no unit",IF(K1155&lt;&gt;L1155,"Check - recipe in "&amp;K1155&amp;", priced in "&amp;L1155,IF(COUNTIFS($AA$5:$AA$1204,AA1155)&gt;1,"Duplicate - same ingredient twice","OK")))))))</f>
        <v>0</v>
      </c>
    </row>
    <row r="1156" spans="1:28">
      <c r="A1156" s="39">
        <f>IF(D1156="","","RL-"&amp;TEXT(ROW()-4,"0000"))</f>
        <v>0</v>
      </c>
      <c r="C1156" s="17">
        <f>IF(B1156="","",IFERROR(INDEX(Recipes!$B$5:$B$204,MATCH(B1156,Recipes!$A$5:$A$204,0)),"Not found"))</f>
        <v>0</v>
      </c>
      <c r="J1156" s="45">
        <f>IF(E1156="","",IFERROR(E1156*INDEX(UnitFactors,MATCH(F1156,UnitNames,0)),""))</f>
        <v>0</v>
      </c>
      <c r="K1156" s="17">
        <f>IF(F1156="","",IFERROR(INDEX(UnitBases,MATCH(F1156,UnitNames,0)),"?"))</f>
        <v>0</v>
      </c>
      <c r="L1156" s="17">
        <f>IF(D1156="","",IFERROR(INDEX(Ingredients!$G$5:$G$304,MATCH(D1156,Ingredients!$B$5:$B$304,0)),"Add to Ingredients"))</f>
        <v>0</v>
      </c>
      <c r="M1156" s="25">
        <f>IF(D1156="","",IFERROR(INDEX(Ingredients!$J$5:$J$304,MATCH(D1156,Ingredients!$B$5:$B$304,0)),"Add to Ingredients"))</f>
        <v>0</v>
      </c>
      <c r="N1156" s="25">
        <f>IF(OR(J1156="",M1156="",NOT(ISNUMBER(M1156))),"",IF(K1156&lt;&gt;L1156,"",J1156*M1156))</f>
        <v>0</v>
      </c>
      <c r="O1156" s="25">
        <f>IF(N1156="","",IFERROR(N1156/INDEX(Recipes!$G$5:$G$204,MATCH(B1156,Recipes!$A$5:$A$204,0)),""))</f>
        <v>0</v>
      </c>
      <c r="P1156" s="30">
        <f>IF(J1156="","",IF(K1156="each",J1156,J1156/100))</f>
        <v>0</v>
      </c>
      <c r="Q1156" s="30">
        <f>IFERROR(IF(P1156="","",P1156*INDEX(Ingredients!$P$5:$P$304,MATCH(D1156,Ingredients!$B$5:$B$304,0))),"")</f>
        <v>0</v>
      </c>
      <c r="R1156" s="45">
        <f>IFERROR(IF(P1156="","",P1156*INDEX(Ingredients!$Q$5:$Q$304,MATCH(D1156,Ingredients!$B$5:$B$304,0))),"")</f>
        <v>0</v>
      </c>
      <c r="S1156" s="45">
        <f>IFERROR(IF(P1156="","",P1156*INDEX(Ingredients!$R$5:$R$304,MATCH(D1156,Ingredients!$B$5:$B$304,0))),"")</f>
        <v>0</v>
      </c>
      <c r="T1156" s="45">
        <f>IFERROR(IF(P1156="","",P1156*INDEX(Ingredients!$S$5:$S$304,MATCH(D1156,Ingredients!$B$5:$B$304,0))),"")</f>
        <v>0</v>
      </c>
      <c r="U1156" s="45">
        <f>IFERROR(IF(P1156="","",P1156*INDEX(Ingredients!$T$5:$T$304,MATCH(D1156,Ingredients!$B$5:$B$304,0))),"")</f>
        <v>0</v>
      </c>
      <c r="V1156" s="17">
        <f>IF(D1156="","",IFERROR(INDEX(Ingredients!$W$5:$W$304,MATCH(D1156,Ingredients!$B$5:$B$304,0)),"Add to Ingredients"))</f>
        <v>0</v>
      </c>
      <c r="W1156" s="17">
        <f>IF(D1156="","",IFERROR(INDEX(Ingredients!$C$5:$C$304,MATCH(D1156,Ingredients!$B$5:$B$304,0)),"Add to Ingredients"))</f>
        <v>0</v>
      </c>
      <c r="X1156" s="45">
        <f>IFERROR(INDEX(Recipes!$AT$5:$AT$204,MATCH(B1156,Recipes!$A$5:$A$204,0)),0)</f>
        <v>0</v>
      </c>
      <c r="Y1156" s="45">
        <f>IF(OR(J1156="",X1156=0),"",J1156*X1156)</f>
        <v>0</v>
      </c>
      <c r="Z1156" s="17">
        <f>IF(D1156="","",B1156&amp;"#"&amp;COUNTIFS($B$5:B1156,B1156))</f>
        <v>0</v>
      </c>
      <c r="AA1156" s="17">
        <f>IF(D1156="","",B1156&amp;"|"&amp;D1156)</f>
        <v>0</v>
      </c>
      <c r="AB1156" s="31">
        <f>IF(D1156="","",IF(B1156="","Add - which recipe?",IF(COUNTIFS(Ingredients!$B$5:$B$304,D1156)=0,"Missing - not in the Ingredients tab",IF(E1156="","Add - no quantity",IF(F1156="","Add - no unit",IF(K1156&lt;&gt;L1156,"Check - recipe in "&amp;K1156&amp;", priced in "&amp;L1156,IF(COUNTIFS($AA$5:$AA$1204,AA1156)&gt;1,"Duplicate - same ingredient twice","OK")))))))</f>
        <v>0</v>
      </c>
    </row>
    <row r="1157" spans="1:28">
      <c r="A1157" s="39">
        <f>IF(D1157="","","RL-"&amp;TEXT(ROW()-4,"0000"))</f>
        <v>0</v>
      </c>
      <c r="C1157" s="17">
        <f>IF(B1157="","",IFERROR(INDEX(Recipes!$B$5:$B$204,MATCH(B1157,Recipes!$A$5:$A$204,0)),"Not found"))</f>
        <v>0</v>
      </c>
      <c r="J1157" s="45">
        <f>IF(E1157="","",IFERROR(E1157*INDEX(UnitFactors,MATCH(F1157,UnitNames,0)),""))</f>
        <v>0</v>
      </c>
      <c r="K1157" s="17">
        <f>IF(F1157="","",IFERROR(INDEX(UnitBases,MATCH(F1157,UnitNames,0)),"?"))</f>
        <v>0</v>
      </c>
      <c r="L1157" s="17">
        <f>IF(D1157="","",IFERROR(INDEX(Ingredients!$G$5:$G$304,MATCH(D1157,Ingredients!$B$5:$B$304,0)),"Add to Ingredients"))</f>
        <v>0</v>
      </c>
      <c r="M1157" s="25">
        <f>IF(D1157="","",IFERROR(INDEX(Ingredients!$J$5:$J$304,MATCH(D1157,Ingredients!$B$5:$B$304,0)),"Add to Ingredients"))</f>
        <v>0</v>
      </c>
      <c r="N1157" s="25">
        <f>IF(OR(J1157="",M1157="",NOT(ISNUMBER(M1157))),"",IF(K1157&lt;&gt;L1157,"",J1157*M1157))</f>
        <v>0</v>
      </c>
      <c r="O1157" s="25">
        <f>IF(N1157="","",IFERROR(N1157/INDEX(Recipes!$G$5:$G$204,MATCH(B1157,Recipes!$A$5:$A$204,0)),""))</f>
        <v>0</v>
      </c>
      <c r="P1157" s="30">
        <f>IF(J1157="","",IF(K1157="each",J1157,J1157/100))</f>
        <v>0</v>
      </c>
      <c r="Q1157" s="30">
        <f>IFERROR(IF(P1157="","",P1157*INDEX(Ingredients!$P$5:$P$304,MATCH(D1157,Ingredients!$B$5:$B$304,0))),"")</f>
        <v>0</v>
      </c>
      <c r="R1157" s="45">
        <f>IFERROR(IF(P1157="","",P1157*INDEX(Ingredients!$Q$5:$Q$304,MATCH(D1157,Ingredients!$B$5:$B$304,0))),"")</f>
        <v>0</v>
      </c>
      <c r="S1157" s="45">
        <f>IFERROR(IF(P1157="","",P1157*INDEX(Ingredients!$R$5:$R$304,MATCH(D1157,Ingredients!$B$5:$B$304,0))),"")</f>
        <v>0</v>
      </c>
      <c r="T1157" s="45">
        <f>IFERROR(IF(P1157="","",P1157*INDEX(Ingredients!$S$5:$S$304,MATCH(D1157,Ingredients!$B$5:$B$304,0))),"")</f>
        <v>0</v>
      </c>
      <c r="U1157" s="45">
        <f>IFERROR(IF(P1157="","",P1157*INDEX(Ingredients!$T$5:$T$304,MATCH(D1157,Ingredients!$B$5:$B$304,0))),"")</f>
        <v>0</v>
      </c>
      <c r="V1157" s="17">
        <f>IF(D1157="","",IFERROR(INDEX(Ingredients!$W$5:$W$304,MATCH(D1157,Ingredients!$B$5:$B$304,0)),"Add to Ingredients"))</f>
        <v>0</v>
      </c>
      <c r="W1157" s="17">
        <f>IF(D1157="","",IFERROR(INDEX(Ingredients!$C$5:$C$304,MATCH(D1157,Ingredients!$B$5:$B$304,0)),"Add to Ingredients"))</f>
        <v>0</v>
      </c>
      <c r="X1157" s="45">
        <f>IFERROR(INDEX(Recipes!$AT$5:$AT$204,MATCH(B1157,Recipes!$A$5:$A$204,0)),0)</f>
        <v>0</v>
      </c>
      <c r="Y1157" s="45">
        <f>IF(OR(J1157="",X1157=0),"",J1157*X1157)</f>
        <v>0</v>
      </c>
      <c r="Z1157" s="17">
        <f>IF(D1157="","",B1157&amp;"#"&amp;COUNTIFS($B$5:B1157,B1157))</f>
        <v>0</v>
      </c>
      <c r="AA1157" s="17">
        <f>IF(D1157="","",B1157&amp;"|"&amp;D1157)</f>
        <v>0</v>
      </c>
      <c r="AB1157" s="31">
        <f>IF(D1157="","",IF(B1157="","Add - which recipe?",IF(COUNTIFS(Ingredients!$B$5:$B$304,D1157)=0,"Missing - not in the Ingredients tab",IF(E1157="","Add - no quantity",IF(F1157="","Add - no unit",IF(K1157&lt;&gt;L1157,"Check - recipe in "&amp;K1157&amp;", priced in "&amp;L1157,IF(COUNTIFS($AA$5:$AA$1204,AA1157)&gt;1,"Duplicate - same ingredient twice","OK")))))))</f>
        <v>0</v>
      </c>
    </row>
    <row r="1158" spans="1:28">
      <c r="A1158" s="39">
        <f>IF(D1158="","","RL-"&amp;TEXT(ROW()-4,"0000"))</f>
        <v>0</v>
      </c>
      <c r="C1158" s="17">
        <f>IF(B1158="","",IFERROR(INDEX(Recipes!$B$5:$B$204,MATCH(B1158,Recipes!$A$5:$A$204,0)),"Not found"))</f>
        <v>0</v>
      </c>
      <c r="J1158" s="45">
        <f>IF(E1158="","",IFERROR(E1158*INDEX(UnitFactors,MATCH(F1158,UnitNames,0)),""))</f>
        <v>0</v>
      </c>
      <c r="K1158" s="17">
        <f>IF(F1158="","",IFERROR(INDEX(UnitBases,MATCH(F1158,UnitNames,0)),"?"))</f>
        <v>0</v>
      </c>
      <c r="L1158" s="17">
        <f>IF(D1158="","",IFERROR(INDEX(Ingredients!$G$5:$G$304,MATCH(D1158,Ingredients!$B$5:$B$304,0)),"Add to Ingredients"))</f>
        <v>0</v>
      </c>
      <c r="M1158" s="25">
        <f>IF(D1158="","",IFERROR(INDEX(Ingredients!$J$5:$J$304,MATCH(D1158,Ingredients!$B$5:$B$304,0)),"Add to Ingredients"))</f>
        <v>0</v>
      </c>
      <c r="N1158" s="25">
        <f>IF(OR(J1158="",M1158="",NOT(ISNUMBER(M1158))),"",IF(K1158&lt;&gt;L1158,"",J1158*M1158))</f>
        <v>0</v>
      </c>
      <c r="O1158" s="25">
        <f>IF(N1158="","",IFERROR(N1158/INDEX(Recipes!$G$5:$G$204,MATCH(B1158,Recipes!$A$5:$A$204,0)),""))</f>
        <v>0</v>
      </c>
      <c r="P1158" s="30">
        <f>IF(J1158="","",IF(K1158="each",J1158,J1158/100))</f>
        <v>0</v>
      </c>
      <c r="Q1158" s="30">
        <f>IFERROR(IF(P1158="","",P1158*INDEX(Ingredients!$P$5:$P$304,MATCH(D1158,Ingredients!$B$5:$B$304,0))),"")</f>
        <v>0</v>
      </c>
      <c r="R1158" s="45">
        <f>IFERROR(IF(P1158="","",P1158*INDEX(Ingredients!$Q$5:$Q$304,MATCH(D1158,Ingredients!$B$5:$B$304,0))),"")</f>
        <v>0</v>
      </c>
      <c r="S1158" s="45">
        <f>IFERROR(IF(P1158="","",P1158*INDEX(Ingredients!$R$5:$R$304,MATCH(D1158,Ingredients!$B$5:$B$304,0))),"")</f>
        <v>0</v>
      </c>
      <c r="T1158" s="45">
        <f>IFERROR(IF(P1158="","",P1158*INDEX(Ingredients!$S$5:$S$304,MATCH(D1158,Ingredients!$B$5:$B$304,0))),"")</f>
        <v>0</v>
      </c>
      <c r="U1158" s="45">
        <f>IFERROR(IF(P1158="","",P1158*INDEX(Ingredients!$T$5:$T$304,MATCH(D1158,Ingredients!$B$5:$B$304,0))),"")</f>
        <v>0</v>
      </c>
      <c r="V1158" s="17">
        <f>IF(D1158="","",IFERROR(INDEX(Ingredients!$W$5:$W$304,MATCH(D1158,Ingredients!$B$5:$B$304,0)),"Add to Ingredients"))</f>
        <v>0</v>
      </c>
      <c r="W1158" s="17">
        <f>IF(D1158="","",IFERROR(INDEX(Ingredients!$C$5:$C$304,MATCH(D1158,Ingredients!$B$5:$B$304,0)),"Add to Ingredients"))</f>
        <v>0</v>
      </c>
      <c r="X1158" s="45">
        <f>IFERROR(INDEX(Recipes!$AT$5:$AT$204,MATCH(B1158,Recipes!$A$5:$A$204,0)),0)</f>
        <v>0</v>
      </c>
      <c r="Y1158" s="45">
        <f>IF(OR(J1158="",X1158=0),"",J1158*X1158)</f>
        <v>0</v>
      </c>
      <c r="Z1158" s="17">
        <f>IF(D1158="","",B1158&amp;"#"&amp;COUNTIFS($B$5:B1158,B1158))</f>
        <v>0</v>
      </c>
      <c r="AA1158" s="17">
        <f>IF(D1158="","",B1158&amp;"|"&amp;D1158)</f>
        <v>0</v>
      </c>
      <c r="AB1158" s="31">
        <f>IF(D1158="","",IF(B1158="","Add - which recipe?",IF(COUNTIFS(Ingredients!$B$5:$B$304,D1158)=0,"Missing - not in the Ingredients tab",IF(E1158="","Add - no quantity",IF(F1158="","Add - no unit",IF(K1158&lt;&gt;L1158,"Check - recipe in "&amp;K1158&amp;", priced in "&amp;L1158,IF(COUNTIFS($AA$5:$AA$1204,AA1158)&gt;1,"Duplicate - same ingredient twice","OK")))))))</f>
        <v>0</v>
      </c>
    </row>
    <row r="1159" spans="1:28">
      <c r="A1159" s="39">
        <f>IF(D1159="","","RL-"&amp;TEXT(ROW()-4,"0000"))</f>
        <v>0</v>
      </c>
      <c r="C1159" s="17">
        <f>IF(B1159="","",IFERROR(INDEX(Recipes!$B$5:$B$204,MATCH(B1159,Recipes!$A$5:$A$204,0)),"Not found"))</f>
        <v>0</v>
      </c>
      <c r="J1159" s="45">
        <f>IF(E1159="","",IFERROR(E1159*INDEX(UnitFactors,MATCH(F1159,UnitNames,0)),""))</f>
        <v>0</v>
      </c>
      <c r="K1159" s="17">
        <f>IF(F1159="","",IFERROR(INDEX(UnitBases,MATCH(F1159,UnitNames,0)),"?"))</f>
        <v>0</v>
      </c>
      <c r="L1159" s="17">
        <f>IF(D1159="","",IFERROR(INDEX(Ingredients!$G$5:$G$304,MATCH(D1159,Ingredients!$B$5:$B$304,0)),"Add to Ingredients"))</f>
        <v>0</v>
      </c>
      <c r="M1159" s="25">
        <f>IF(D1159="","",IFERROR(INDEX(Ingredients!$J$5:$J$304,MATCH(D1159,Ingredients!$B$5:$B$304,0)),"Add to Ingredients"))</f>
        <v>0</v>
      </c>
      <c r="N1159" s="25">
        <f>IF(OR(J1159="",M1159="",NOT(ISNUMBER(M1159))),"",IF(K1159&lt;&gt;L1159,"",J1159*M1159))</f>
        <v>0</v>
      </c>
      <c r="O1159" s="25">
        <f>IF(N1159="","",IFERROR(N1159/INDEX(Recipes!$G$5:$G$204,MATCH(B1159,Recipes!$A$5:$A$204,0)),""))</f>
        <v>0</v>
      </c>
      <c r="P1159" s="30">
        <f>IF(J1159="","",IF(K1159="each",J1159,J1159/100))</f>
        <v>0</v>
      </c>
      <c r="Q1159" s="30">
        <f>IFERROR(IF(P1159="","",P1159*INDEX(Ingredients!$P$5:$P$304,MATCH(D1159,Ingredients!$B$5:$B$304,0))),"")</f>
        <v>0</v>
      </c>
      <c r="R1159" s="45">
        <f>IFERROR(IF(P1159="","",P1159*INDEX(Ingredients!$Q$5:$Q$304,MATCH(D1159,Ingredients!$B$5:$B$304,0))),"")</f>
        <v>0</v>
      </c>
      <c r="S1159" s="45">
        <f>IFERROR(IF(P1159="","",P1159*INDEX(Ingredients!$R$5:$R$304,MATCH(D1159,Ingredients!$B$5:$B$304,0))),"")</f>
        <v>0</v>
      </c>
      <c r="T1159" s="45">
        <f>IFERROR(IF(P1159="","",P1159*INDEX(Ingredients!$S$5:$S$304,MATCH(D1159,Ingredients!$B$5:$B$304,0))),"")</f>
        <v>0</v>
      </c>
      <c r="U1159" s="45">
        <f>IFERROR(IF(P1159="","",P1159*INDEX(Ingredients!$T$5:$T$304,MATCH(D1159,Ingredients!$B$5:$B$304,0))),"")</f>
        <v>0</v>
      </c>
      <c r="V1159" s="17">
        <f>IF(D1159="","",IFERROR(INDEX(Ingredients!$W$5:$W$304,MATCH(D1159,Ingredients!$B$5:$B$304,0)),"Add to Ingredients"))</f>
        <v>0</v>
      </c>
      <c r="W1159" s="17">
        <f>IF(D1159="","",IFERROR(INDEX(Ingredients!$C$5:$C$304,MATCH(D1159,Ingredients!$B$5:$B$304,0)),"Add to Ingredients"))</f>
        <v>0</v>
      </c>
      <c r="X1159" s="45">
        <f>IFERROR(INDEX(Recipes!$AT$5:$AT$204,MATCH(B1159,Recipes!$A$5:$A$204,0)),0)</f>
        <v>0</v>
      </c>
      <c r="Y1159" s="45">
        <f>IF(OR(J1159="",X1159=0),"",J1159*X1159)</f>
        <v>0</v>
      </c>
      <c r="Z1159" s="17">
        <f>IF(D1159="","",B1159&amp;"#"&amp;COUNTIFS($B$5:B1159,B1159))</f>
        <v>0</v>
      </c>
      <c r="AA1159" s="17">
        <f>IF(D1159="","",B1159&amp;"|"&amp;D1159)</f>
        <v>0</v>
      </c>
      <c r="AB1159" s="31">
        <f>IF(D1159="","",IF(B1159="","Add - which recipe?",IF(COUNTIFS(Ingredients!$B$5:$B$304,D1159)=0,"Missing - not in the Ingredients tab",IF(E1159="","Add - no quantity",IF(F1159="","Add - no unit",IF(K1159&lt;&gt;L1159,"Check - recipe in "&amp;K1159&amp;", priced in "&amp;L1159,IF(COUNTIFS($AA$5:$AA$1204,AA1159)&gt;1,"Duplicate - same ingredient twice","OK")))))))</f>
        <v>0</v>
      </c>
    </row>
    <row r="1160" spans="1:28">
      <c r="A1160" s="39">
        <f>IF(D1160="","","RL-"&amp;TEXT(ROW()-4,"0000"))</f>
        <v>0</v>
      </c>
      <c r="C1160" s="17">
        <f>IF(B1160="","",IFERROR(INDEX(Recipes!$B$5:$B$204,MATCH(B1160,Recipes!$A$5:$A$204,0)),"Not found"))</f>
        <v>0</v>
      </c>
      <c r="J1160" s="45">
        <f>IF(E1160="","",IFERROR(E1160*INDEX(UnitFactors,MATCH(F1160,UnitNames,0)),""))</f>
        <v>0</v>
      </c>
      <c r="K1160" s="17">
        <f>IF(F1160="","",IFERROR(INDEX(UnitBases,MATCH(F1160,UnitNames,0)),"?"))</f>
        <v>0</v>
      </c>
      <c r="L1160" s="17">
        <f>IF(D1160="","",IFERROR(INDEX(Ingredients!$G$5:$G$304,MATCH(D1160,Ingredients!$B$5:$B$304,0)),"Add to Ingredients"))</f>
        <v>0</v>
      </c>
      <c r="M1160" s="25">
        <f>IF(D1160="","",IFERROR(INDEX(Ingredients!$J$5:$J$304,MATCH(D1160,Ingredients!$B$5:$B$304,0)),"Add to Ingredients"))</f>
        <v>0</v>
      </c>
      <c r="N1160" s="25">
        <f>IF(OR(J1160="",M1160="",NOT(ISNUMBER(M1160))),"",IF(K1160&lt;&gt;L1160,"",J1160*M1160))</f>
        <v>0</v>
      </c>
      <c r="O1160" s="25">
        <f>IF(N1160="","",IFERROR(N1160/INDEX(Recipes!$G$5:$G$204,MATCH(B1160,Recipes!$A$5:$A$204,0)),""))</f>
        <v>0</v>
      </c>
      <c r="P1160" s="30">
        <f>IF(J1160="","",IF(K1160="each",J1160,J1160/100))</f>
        <v>0</v>
      </c>
      <c r="Q1160" s="30">
        <f>IFERROR(IF(P1160="","",P1160*INDEX(Ingredients!$P$5:$P$304,MATCH(D1160,Ingredients!$B$5:$B$304,0))),"")</f>
        <v>0</v>
      </c>
      <c r="R1160" s="45">
        <f>IFERROR(IF(P1160="","",P1160*INDEX(Ingredients!$Q$5:$Q$304,MATCH(D1160,Ingredients!$B$5:$B$304,0))),"")</f>
        <v>0</v>
      </c>
      <c r="S1160" s="45">
        <f>IFERROR(IF(P1160="","",P1160*INDEX(Ingredients!$R$5:$R$304,MATCH(D1160,Ingredients!$B$5:$B$304,0))),"")</f>
        <v>0</v>
      </c>
      <c r="T1160" s="45">
        <f>IFERROR(IF(P1160="","",P1160*INDEX(Ingredients!$S$5:$S$304,MATCH(D1160,Ingredients!$B$5:$B$304,0))),"")</f>
        <v>0</v>
      </c>
      <c r="U1160" s="45">
        <f>IFERROR(IF(P1160="","",P1160*INDEX(Ingredients!$T$5:$T$304,MATCH(D1160,Ingredients!$B$5:$B$304,0))),"")</f>
        <v>0</v>
      </c>
      <c r="V1160" s="17">
        <f>IF(D1160="","",IFERROR(INDEX(Ingredients!$W$5:$W$304,MATCH(D1160,Ingredients!$B$5:$B$304,0)),"Add to Ingredients"))</f>
        <v>0</v>
      </c>
      <c r="W1160" s="17">
        <f>IF(D1160="","",IFERROR(INDEX(Ingredients!$C$5:$C$304,MATCH(D1160,Ingredients!$B$5:$B$304,0)),"Add to Ingredients"))</f>
        <v>0</v>
      </c>
      <c r="X1160" s="45">
        <f>IFERROR(INDEX(Recipes!$AT$5:$AT$204,MATCH(B1160,Recipes!$A$5:$A$204,0)),0)</f>
        <v>0</v>
      </c>
      <c r="Y1160" s="45">
        <f>IF(OR(J1160="",X1160=0),"",J1160*X1160)</f>
        <v>0</v>
      </c>
      <c r="Z1160" s="17">
        <f>IF(D1160="","",B1160&amp;"#"&amp;COUNTIFS($B$5:B1160,B1160))</f>
        <v>0</v>
      </c>
      <c r="AA1160" s="17">
        <f>IF(D1160="","",B1160&amp;"|"&amp;D1160)</f>
        <v>0</v>
      </c>
      <c r="AB1160" s="31">
        <f>IF(D1160="","",IF(B1160="","Add - which recipe?",IF(COUNTIFS(Ingredients!$B$5:$B$304,D1160)=0,"Missing - not in the Ingredients tab",IF(E1160="","Add - no quantity",IF(F1160="","Add - no unit",IF(K1160&lt;&gt;L1160,"Check - recipe in "&amp;K1160&amp;", priced in "&amp;L1160,IF(COUNTIFS($AA$5:$AA$1204,AA1160)&gt;1,"Duplicate - same ingredient twice","OK")))))))</f>
        <v>0</v>
      </c>
    </row>
    <row r="1161" spans="1:28">
      <c r="A1161" s="39">
        <f>IF(D1161="","","RL-"&amp;TEXT(ROW()-4,"0000"))</f>
        <v>0</v>
      </c>
      <c r="C1161" s="17">
        <f>IF(B1161="","",IFERROR(INDEX(Recipes!$B$5:$B$204,MATCH(B1161,Recipes!$A$5:$A$204,0)),"Not found"))</f>
        <v>0</v>
      </c>
      <c r="J1161" s="45">
        <f>IF(E1161="","",IFERROR(E1161*INDEX(UnitFactors,MATCH(F1161,UnitNames,0)),""))</f>
        <v>0</v>
      </c>
      <c r="K1161" s="17">
        <f>IF(F1161="","",IFERROR(INDEX(UnitBases,MATCH(F1161,UnitNames,0)),"?"))</f>
        <v>0</v>
      </c>
      <c r="L1161" s="17">
        <f>IF(D1161="","",IFERROR(INDEX(Ingredients!$G$5:$G$304,MATCH(D1161,Ingredients!$B$5:$B$304,0)),"Add to Ingredients"))</f>
        <v>0</v>
      </c>
      <c r="M1161" s="25">
        <f>IF(D1161="","",IFERROR(INDEX(Ingredients!$J$5:$J$304,MATCH(D1161,Ingredients!$B$5:$B$304,0)),"Add to Ingredients"))</f>
        <v>0</v>
      </c>
      <c r="N1161" s="25">
        <f>IF(OR(J1161="",M1161="",NOT(ISNUMBER(M1161))),"",IF(K1161&lt;&gt;L1161,"",J1161*M1161))</f>
        <v>0</v>
      </c>
      <c r="O1161" s="25">
        <f>IF(N1161="","",IFERROR(N1161/INDEX(Recipes!$G$5:$G$204,MATCH(B1161,Recipes!$A$5:$A$204,0)),""))</f>
        <v>0</v>
      </c>
      <c r="P1161" s="30">
        <f>IF(J1161="","",IF(K1161="each",J1161,J1161/100))</f>
        <v>0</v>
      </c>
      <c r="Q1161" s="30">
        <f>IFERROR(IF(P1161="","",P1161*INDEX(Ingredients!$P$5:$P$304,MATCH(D1161,Ingredients!$B$5:$B$304,0))),"")</f>
        <v>0</v>
      </c>
      <c r="R1161" s="45">
        <f>IFERROR(IF(P1161="","",P1161*INDEX(Ingredients!$Q$5:$Q$304,MATCH(D1161,Ingredients!$B$5:$B$304,0))),"")</f>
        <v>0</v>
      </c>
      <c r="S1161" s="45">
        <f>IFERROR(IF(P1161="","",P1161*INDEX(Ingredients!$R$5:$R$304,MATCH(D1161,Ingredients!$B$5:$B$304,0))),"")</f>
        <v>0</v>
      </c>
      <c r="T1161" s="45">
        <f>IFERROR(IF(P1161="","",P1161*INDEX(Ingredients!$S$5:$S$304,MATCH(D1161,Ingredients!$B$5:$B$304,0))),"")</f>
        <v>0</v>
      </c>
      <c r="U1161" s="45">
        <f>IFERROR(IF(P1161="","",P1161*INDEX(Ingredients!$T$5:$T$304,MATCH(D1161,Ingredients!$B$5:$B$304,0))),"")</f>
        <v>0</v>
      </c>
      <c r="V1161" s="17">
        <f>IF(D1161="","",IFERROR(INDEX(Ingredients!$W$5:$W$304,MATCH(D1161,Ingredients!$B$5:$B$304,0)),"Add to Ingredients"))</f>
        <v>0</v>
      </c>
      <c r="W1161" s="17">
        <f>IF(D1161="","",IFERROR(INDEX(Ingredients!$C$5:$C$304,MATCH(D1161,Ingredients!$B$5:$B$304,0)),"Add to Ingredients"))</f>
        <v>0</v>
      </c>
      <c r="X1161" s="45">
        <f>IFERROR(INDEX(Recipes!$AT$5:$AT$204,MATCH(B1161,Recipes!$A$5:$A$204,0)),0)</f>
        <v>0</v>
      </c>
      <c r="Y1161" s="45">
        <f>IF(OR(J1161="",X1161=0),"",J1161*X1161)</f>
        <v>0</v>
      </c>
      <c r="Z1161" s="17">
        <f>IF(D1161="","",B1161&amp;"#"&amp;COUNTIFS($B$5:B1161,B1161))</f>
        <v>0</v>
      </c>
      <c r="AA1161" s="17">
        <f>IF(D1161="","",B1161&amp;"|"&amp;D1161)</f>
        <v>0</v>
      </c>
      <c r="AB1161" s="31">
        <f>IF(D1161="","",IF(B1161="","Add - which recipe?",IF(COUNTIFS(Ingredients!$B$5:$B$304,D1161)=0,"Missing - not in the Ingredients tab",IF(E1161="","Add - no quantity",IF(F1161="","Add - no unit",IF(K1161&lt;&gt;L1161,"Check - recipe in "&amp;K1161&amp;", priced in "&amp;L1161,IF(COUNTIFS($AA$5:$AA$1204,AA1161)&gt;1,"Duplicate - same ingredient twice","OK")))))))</f>
        <v>0</v>
      </c>
    </row>
    <row r="1162" spans="1:28">
      <c r="A1162" s="39">
        <f>IF(D1162="","","RL-"&amp;TEXT(ROW()-4,"0000"))</f>
        <v>0</v>
      </c>
      <c r="C1162" s="17">
        <f>IF(B1162="","",IFERROR(INDEX(Recipes!$B$5:$B$204,MATCH(B1162,Recipes!$A$5:$A$204,0)),"Not found"))</f>
        <v>0</v>
      </c>
      <c r="J1162" s="45">
        <f>IF(E1162="","",IFERROR(E1162*INDEX(UnitFactors,MATCH(F1162,UnitNames,0)),""))</f>
        <v>0</v>
      </c>
      <c r="K1162" s="17">
        <f>IF(F1162="","",IFERROR(INDEX(UnitBases,MATCH(F1162,UnitNames,0)),"?"))</f>
        <v>0</v>
      </c>
      <c r="L1162" s="17">
        <f>IF(D1162="","",IFERROR(INDEX(Ingredients!$G$5:$G$304,MATCH(D1162,Ingredients!$B$5:$B$304,0)),"Add to Ingredients"))</f>
        <v>0</v>
      </c>
      <c r="M1162" s="25">
        <f>IF(D1162="","",IFERROR(INDEX(Ingredients!$J$5:$J$304,MATCH(D1162,Ingredients!$B$5:$B$304,0)),"Add to Ingredients"))</f>
        <v>0</v>
      </c>
      <c r="N1162" s="25">
        <f>IF(OR(J1162="",M1162="",NOT(ISNUMBER(M1162))),"",IF(K1162&lt;&gt;L1162,"",J1162*M1162))</f>
        <v>0</v>
      </c>
      <c r="O1162" s="25">
        <f>IF(N1162="","",IFERROR(N1162/INDEX(Recipes!$G$5:$G$204,MATCH(B1162,Recipes!$A$5:$A$204,0)),""))</f>
        <v>0</v>
      </c>
      <c r="P1162" s="30">
        <f>IF(J1162="","",IF(K1162="each",J1162,J1162/100))</f>
        <v>0</v>
      </c>
      <c r="Q1162" s="30">
        <f>IFERROR(IF(P1162="","",P1162*INDEX(Ingredients!$P$5:$P$304,MATCH(D1162,Ingredients!$B$5:$B$304,0))),"")</f>
        <v>0</v>
      </c>
      <c r="R1162" s="45">
        <f>IFERROR(IF(P1162="","",P1162*INDEX(Ingredients!$Q$5:$Q$304,MATCH(D1162,Ingredients!$B$5:$B$304,0))),"")</f>
        <v>0</v>
      </c>
      <c r="S1162" s="45">
        <f>IFERROR(IF(P1162="","",P1162*INDEX(Ingredients!$R$5:$R$304,MATCH(D1162,Ingredients!$B$5:$B$304,0))),"")</f>
        <v>0</v>
      </c>
      <c r="T1162" s="45">
        <f>IFERROR(IF(P1162="","",P1162*INDEX(Ingredients!$S$5:$S$304,MATCH(D1162,Ingredients!$B$5:$B$304,0))),"")</f>
        <v>0</v>
      </c>
      <c r="U1162" s="45">
        <f>IFERROR(IF(P1162="","",P1162*INDEX(Ingredients!$T$5:$T$304,MATCH(D1162,Ingredients!$B$5:$B$304,0))),"")</f>
        <v>0</v>
      </c>
      <c r="V1162" s="17">
        <f>IF(D1162="","",IFERROR(INDEX(Ingredients!$W$5:$W$304,MATCH(D1162,Ingredients!$B$5:$B$304,0)),"Add to Ingredients"))</f>
        <v>0</v>
      </c>
      <c r="W1162" s="17">
        <f>IF(D1162="","",IFERROR(INDEX(Ingredients!$C$5:$C$304,MATCH(D1162,Ingredients!$B$5:$B$304,0)),"Add to Ingredients"))</f>
        <v>0</v>
      </c>
      <c r="X1162" s="45">
        <f>IFERROR(INDEX(Recipes!$AT$5:$AT$204,MATCH(B1162,Recipes!$A$5:$A$204,0)),0)</f>
        <v>0</v>
      </c>
      <c r="Y1162" s="45">
        <f>IF(OR(J1162="",X1162=0),"",J1162*X1162)</f>
        <v>0</v>
      </c>
      <c r="Z1162" s="17">
        <f>IF(D1162="","",B1162&amp;"#"&amp;COUNTIFS($B$5:B1162,B1162))</f>
        <v>0</v>
      </c>
      <c r="AA1162" s="17">
        <f>IF(D1162="","",B1162&amp;"|"&amp;D1162)</f>
        <v>0</v>
      </c>
      <c r="AB1162" s="31">
        <f>IF(D1162="","",IF(B1162="","Add - which recipe?",IF(COUNTIFS(Ingredients!$B$5:$B$304,D1162)=0,"Missing - not in the Ingredients tab",IF(E1162="","Add - no quantity",IF(F1162="","Add - no unit",IF(K1162&lt;&gt;L1162,"Check - recipe in "&amp;K1162&amp;", priced in "&amp;L1162,IF(COUNTIFS($AA$5:$AA$1204,AA1162)&gt;1,"Duplicate - same ingredient twice","OK")))))))</f>
        <v>0</v>
      </c>
    </row>
    <row r="1163" spans="1:28">
      <c r="A1163" s="39">
        <f>IF(D1163="","","RL-"&amp;TEXT(ROW()-4,"0000"))</f>
        <v>0</v>
      </c>
      <c r="C1163" s="17">
        <f>IF(B1163="","",IFERROR(INDEX(Recipes!$B$5:$B$204,MATCH(B1163,Recipes!$A$5:$A$204,0)),"Not found"))</f>
        <v>0</v>
      </c>
      <c r="J1163" s="45">
        <f>IF(E1163="","",IFERROR(E1163*INDEX(UnitFactors,MATCH(F1163,UnitNames,0)),""))</f>
        <v>0</v>
      </c>
      <c r="K1163" s="17">
        <f>IF(F1163="","",IFERROR(INDEX(UnitBases,MATCH(F1163,UnitNames,0)),"?"))</f>
        <v>0</v>
      </c>
      <c r="L1163" s="17">
        <f>IF(D1163="","",IFERROR(INDEX(Ingredients!$G$5:$G$304,MATCH(D1163,Ingredients!$B$5:$B$304,0)),"Add to Ingredients"))</f>
        <v>0</v>
      </c>
      <c r="M1163" s="25">
        <f>IF(D1163="","",IFERROR(INDEX(Ingredients!$J$5:$J$304,MATCH(D1163,Ingredients!$B$5:$B$304,0)),"Add to Ingredients"))</f>
        <v>0</v>
      </c>
      <c r="N1163" s="25">
        <f>IF(OR(J1163="",M1163="",NOT(ISNUMBER(M1163))),"",IF(K1163&lt;&gt;L1163,"",J1163*M1163))</f>
        <v>0</v>
      </c>
      <c r="O1163" s="25">
        <f>IF(N1163="","",IFERROR(N1163/INDEX(Recipes!$G$5:$G$204,MATCH(B1163,Recipes!$A$5:$A$204,0)),""))</f>
        <v>0</v>
      </c>
      <c r="P1163" s="30">
        <f>IF(J1163="","",IF(K1163="each",J1163,J1163/100))</f>
        <v>0</v>
      </c>
      <c r="Q1163" s="30">
        <f>IFERROR(IF(P1163="","",P1163*INDEX(Ingredients!$P$5:$P$304,MATCH(D1163,Ingredients!$B$5:$B$304,0))),"")</f>
        <v>0</v>
      </c>
      <c r="R1163" s="45">
        <f>IFERROR(IF(P1163="","",P1163*INDEX(Ingredients!$Q$5:$Q$304,MATCH(D1163,Ingredients!$B$5:$B$304,0))),"")</f>
        <v>0</v>
      </c>
      <c r="S1163" s="45">
        <f>IFERROR(IF(P1163="","",P1163*INDEX(Ingredients!$R$5:$R$304,MATCH(D1163,Ingredients!$B$5:$B$304,0))),"")</f>
        <v>0</v>
      </c>
      <c r="T1163" s="45">
        <f>IFERROR(IF(P1163="","",P1163*INDEX(Ingredients!$S$5:$S$304,MATCH(D1163,Ingredients!$B$5:$B$304,0))),"")</f>
        <v>0</v>
      </c>
      <c r="U1163" s="45">
        <f>IFERROR(IF(P1163="","",P1163*INDEX(Ingredients!$T$5:$T$304,MATCH(D1163,Ingredients!$B$5:$B$304,0))),"")</f>
        <v>0</v>
      </c>
      <c r="V1163" s="17">
        <f>IF(D1163="","",IFERROR(INDEX(Ingredients!$W$5:$W$304,MATCH(D1163,Ingredients!$B$5:$B$304,0)),"Add to Ingredients"))</f>
        <v>0</v>
      </c>
      <c r="W1163" s="17">
        <f>IF(D1163="","",IFERROR(INDEX(Ingredients!$C$5:$C$304,MATCH(D1163,Ingredients!$B$5:$B$304,0)),"Add to Ingredients"))</f>
        <v>0</v>
      </c>
      <c r="X1163" s="45">
        <f>IFERROR(INDEX(Recipes!$AT$5:$AT$204,MATCH(B1163,Recipes!$A$5:$A$204,0)),0)</f>
        <v>0</v>
      </c>
      <c r="Y1163" s="45">
        <f>IF(OR(J1163="",X1163=0),"",J1163*X1163)</f>
        <v>0</v>
      </c>
      <c r="Z1163" s="17">
        <f>IF(D1163="","",B1163&amp;"#"&amp;COUNTIFS($B$5:B1163,B1163))</f>
        <v>0</v>
      </c>
      <c r="AA1163" s="17">
        <f>IF(D1163="","",B1163&amp;"|"&amp;D1163)</f>
        <v>0</v>
      </c>
      <c r="AB1163" s="31">
        <f>IF(D1163="","",IF(B1163="","Add - which recipe?",IF(COUNTIFS(Ingredients!$B$5:$B$304,D1163)=0,"Missing - not in the Ingredients tab",IF(E1163="","Add - no quantity",IF(F1163="","Add - no unit",IF(K1163&lt;&gt;L1163,"Check - recipe in "&amp;K1163&amp;", priced in "&amp;L1163,IF(COUNTIFS($AA$5:$AA$1204,AA1163)&gt;1,"Duplicate - same ingredient twice","OK")))))))</f>
        <v>0</v>
      </c>
    </row>
    <row r="1164" spans="1:28">
      <c r="A1164" s="39">
        <f>IF(D1164="","","RL-"&amp;TEXT(ROW()-4,"0000"))</f>
        <v>0</v>
      </c>
      <c r="C1164" s="17">
        <f>IF(B1164="","",IFERROR(INDEX(Recipes!$B$5:$B$204,MATCH(B1164,Recipes!$A$5:$A$204,0)),"Not found"))</f>
        <v>0</v>
      </c>
      <c r="J1164" s="45">
        <f>IF(E1164="","",IFERROR(E1164*INDEX(UnitFactors,MATCH(F1164,UnitNames,0)),""))</f>
        <v>0</v>
      </c>
      <c r="K1164" s="17">
        <f>IF(F1164="","",IFERROR(INDEX(UnitBases,MATCH(F1164,UnitNames,0)),"?"))</f>
        <v>0</v>
      </c>
      <c r="L1164" s="17">
        <f>IF(D1164="","",IFERROR(INDEX(Ingredients!$G$5:$G$304,MATCH(D1164,Ingredients!$B$5:$B$304,0)),"Add to Ingredients"))</f>
        <v>0</v>
      </c>
      <c r="M1164" s="25">
        <f>IF(D1164="","",IFERROR(INDEX(Ingredients!$J$5:$J$304,MATCH(D1164,Ingredients!$B$5:$B$304,0)),"Add to Ingredients"))</f>
        <v>0</v>
      </c>
      <c r="N1164" s="25">
        <f>IF(OR(J1164="",M1164="",NOT(ISNUMBER(M1164))),"",IF(K1164&lt;&gt;L1164,"",J1164*M1164))</f>
        <v>0</v>
      </c>
      <c r="O1164" s="25">
        <f>IF(N1164="","",IFERROR(N1164/INDEX(Recipes!$G$5:$G$204,MATCH(B1164,Recipes!$A$5:$A$204,0)),""))</f>
        <v>0</v>
      </c>
      <c r="P1164" s="30">
        <f>IF(J1164="","",IF(K1164="each",J1164,J1164/100))</f>
        <v>0</v>
      </c>
      <c r="Q1164" s="30">
        <f>IFERROR(IF(P1164="","",P1164*INDEX(Ingredients!$P$5:$P$304,MATCH(D1164,Ingredients!$B$5:$B$304,0))),"")</f>
        <v>0</v>
      </c>
      <c r="R1164" s="45">
        <f>IFERROR(IF(P1164="","",P1164*INDEX(Ingredients!$Q$5:$Q$304,MATCH(D1164,Ingredients!$B$5:$B$304,0))),"")</f>
        <v>0</v>
      </c>
      <c r="S1164" s="45">
        <f>IFERROR(IF(P1164="","",P1164*INDEX(Ingredients!$R$5:$R$304,MATCH(D1164,Ingredients!$B$5:$B$304,0))),"")</f>
        <v>0</v>
      </c>
      <c r="T1164" s="45">
        <f>IFERROR(IF(P1164="","",P1164*INDEX(Ingredients!$S$5:$S$304,MATCH(D1164,Ingredients!$B$5:$B$304,0))),"")</f>
        <v>0</v>
      </c>
      <c r="U1164" s="45">
        <f>IFERROR(IF(P1164="","",P1164*INDEX(Ingredients!$T$5:$T$304,MATCH(D1164,Ingredients!$B$5:$B$304,0))),"")</f>
        <v>0</v>
      </c>
      <c r="V1164" s="17">
        <f>IF(D1164="","",IFERROR(INDEX(Ingredients!$W$5:$W$304,MATCH(D1164,Ingredients!$B$5:$B$304,0)),"Add to Ingredients"))</f>
        <v>0</v>
      </c>
      <c r="W1164" s="17">
        <f>IF(D1164="","",IFERROR(INDEX(Ingredients!$C$5:$C$304,MATCH(D1164,Ingredients!$B$5:$B$304,0)),"Add to Ingredients"))</f>
        <v>0</v>
      </c>
      <c r="X1164" s="45">
        <f>IFERROR(INDEX(Recipes!$AT$5:$AT$204,MATCH(B1164,Recipes!$A$5:$A$204,0)),0)</f>
        <v>0</v>
      </c>
      <c r="Y1164" s="45">
        <f>IF(OR(J1164="",X1164=0),"",J1164*X1164)</f>
        <v>0</v>
      </c>
      <c r="Z1164" s="17">
        <f>IF(D1164="","",B1164&amp;"#"&amp;COUNTIFS($B$5:B1164,B1164))</f>
        <v>0</v>
      </c>
      <c r="AA1164" s="17">
        <f>IF(D1164="","",B1164&amp;"|"&amp;D1164)</f>
        <v>0</v>
      </c>
      <c r="AB1164" s="31">
        <f>IF(D1164="","",IF(B1164="","Add - which recipe?",IF(COUNTIFS(Ingredients!$B$5:$B$304,D1164)=0,"Missing - not in the Ingredients tab",IF(E1164="","Add - no quantity",IF(F1164="","Add - no unit",IF(K1164&lt;&gt;L1164,"Check - recipe in "&amp;K1164&amp;", priced in "&amp;L1164,IF(COUNTIFS($AA$5:$AA$1204,AA1164)&gt;1,"Duplicate - same ingredient twice","OK")))))))</f>
        <v>0</v>
      </c>
    </row>
    <row r="1165" spans="1:28">
      <c r="A1165" s="39">
        <f>IF(D1165="","","RL-"&amp;TEXT(ROW()-4,"0000"))</f>
        <v>0</v>
      </c>
      <c r="C1165" s="17">
        <f>IF(B1165="","",IFERROR(INDEX(Recipes!$B$5:$B$204,MATCH(B1165,Recipes!$A$5:$A$204,0)),"Not found"))</f>
        <v>0</v>
      </c>
      <c r="J1165" s="45">
        <f>IF(E1165="","",IFERROR(E1165*INDEX(UnitFactors,MATCH(F1165,UnitNames,0)),""))</f>
        <v>0</v>
      </c>
      <c r="K1165" s="17">
        <f>IF(F1165="","",IFERROR(INDEX(UnitBases,MATCH(F1165,UnitNames,0)),"?"))</f>
        <v>0</v>
      </c>
      <c r="L1165" s="17">
        <f>IF(D1165="","",IFERROR(INDEX(Ingredients!$G$5:$G$304,MATCH(D1165,Ingredients!$B$5:$B$304,0)),"Add to Ingredients"))</f>
        <v>0</v>
      </c>
      <c r="M1165" s="25">
        <f>IF(D1165="","",IFERROR(INDEX(Ingredients!$J$5:$J$304,MATCH(D1165,Ingredients!$B$5:$B$304,0)),"Add to Ingredients"))</f>
        <v>0</v>
      </c>
      <c r="N1165" s="25">
        <f>IF(OR(J1165="",M1165="",NOT(ISNUMBER(M1165))),"",IF(K1165&lt;&gt;L1165,"",J1165*M1165))</f>
        <v>0</v>
      </c>
      <c r="O1165" s="25">
        <f>IF(N1165="","",IFERROR(N1165/INDEX(Recipes!$G$5:$G$204,MATCH(B1165,Recipes!$A$5:$A$204,0)),""))</f>
        <v>0</v>
      </c>
      <c r="P1165" s="30">
        <f>IF(J1165="","",IF(K1165="each",J1165,J1165/100))</f>
        <v>0</v>
      </c>
      <c r="Q1165" s="30">
        <f>IFERROR(IF(P1165="","",P1165*INDEX(Ingredients!$P$5:$P$304,MATCH(D1165,Ingredients!$B$5:$B$304,0))),"")</f>
        <v>0</v>
      </c>
      <c r="R1165" s="45">
        <f>IFERROR(IF(P1165="","",P1165*INDEX(Ingredients!$Q$5:$Q$304,MATCH(D1165,Ingredients!$B$5:$B$304,0))),"")</f>
        <v>0</v>
      </c>
      <c r="S1165" s="45">
        <f>IFERROR(IF(P1165="","",P1165*INDEX(Ingredients!$R$5:$R$304,MATCH(D1165,Ingredients!$B$5:$B$304,0))),"")</f>
        <v>0</v>
      </c>
      <c r="T1165" s="45">
        <f>IFERROR(IF(P1165="","",P1165*INDEX(Ingredients!$S$5:$S$304,MATCH(D1165,Ingredients!$B$5:$B$304,0))),"")</f>
        <v>0</v>
      </c>
      <c r="U1165" s="45">
        <f>IFERROR(IF(P1165="","",P1165*INDEX(Ingredients!$T$5:$T$304,MATCH(D1165,Ingredients!$B$5:$B$304,0))),"")</f>
        <v>0</v>
      </c>
      <c r="V1165" s="17">
        <f>IF(D1165="","",IFERROR(INDEX(Ingredients!$W$5:$W$304,MATCH(D1165,Ingredients!$B$5:$B$304,0)),"Add to Ingredients"))</f>
        <v>0</v>
      </c>
      <c r="W1165" s="17">
        <f>IF(D1165="","",IFERROR(INDEX(Ingredients!$C$5:$C$304,MATCH(D1165,Ingredients!$B$5:$B$304,0)),"Add to Ingredients"))</f>
        <v>0</v>
      </c>
      <c r="X1165" s="45">
        <f>IFERROR(INDEX(Recipes!$AT$5:$AT$204,MATCH(B1165,Recipes!$A$5:$A$204,0)),0)</f>
        <v>0</v>
      </c>
      <c r="Y1165" s="45">
        <f>IF(OR(J1165="",X1165=0),"",J1165*X1165)</f>
        <v>0</v>
      </c>
      <c r="Z1165" s="17">
        <f>IF(D1165="","",B1165&amp;"#"&amp;COUNTIFS($B$5:B1165,B1165))</f>
        <v>0</v>
      </c>
      <c r="AA1165" s="17">
        <f>IF(D1165="","",B1165&amp;"|"&amp;D1165)</f>
        <v>0</v>
      </c>
      <c r="AB1165" s="31">
        <f>IF(D1165="","",IF(B1165="","Add - which recipe?",IF(COUNTIFS(Ingredients!$B$5:$B$304,D1165)=0,"Missing - not in the Ingredients tab",IF(E1165="","Add - no quantity",IF(F1165="","Add - no unit",IF(K1165&lt;&gt;L1165,"Check - recipe in "&amp;K1165&amp;", priced in "&amp;L1165,IF(COUNTIFS($AA$5:$AA$1204,AA1165)&gt;1,"Duplicate - same ingredient twice","OK")))))))</f>
        <v>0</v>
      </c>
    </row>
    <row r="1166" spans="1:28">
      <c r="A1166" s="39">
        <f>IF(D1166="","","RL-"&amp;TEXT(ROW()-4,"0000"))</f>
        <v>0</v>
      </c>
      <c r="C1166" s="17">
        <f>IF(B1166="","",IFERROR(INDEX(Recipes!$B$5:$B$204,MATCH(B1166,Recipes!$A$5:$A$204,0)),"Not found"))</f>
        <v>0</v>
      </c>
      <c r="J1166" s="45">
        <f>IF(E1166="","",IFERROR(E1166*INDEX(UnitFactors,MATCH(F1166,UnitNames,0)),""))</f>
        <v>0</v>
      </c>
      <c r="K1166" s="17">
        <f>IF(F1166="","",IFERROR(INDEX(UnitBases,MATCH(F1166,UnitNames,0)),"?"))</f>
        <v>0</v>
      </c>
      <c r="L1166" s="17">
        <f>IF(D1166="","",IFERROR(INDEX(Ingredients!$G$5:$G$304,MATCH(D1166,Ingredients!$B$5:$B$304,0)),"Add to Ingredients"))</f>
        <v>0</v>
      </c>
      <c r="M1166" s="25">
        <f>IF(D1166="","",IFERROR(INDEX(Ingredients!$J$5:$J$304,MATCH(D1166,Ingredients!$B$5:$B$304,0)),"Add to Ingredients"))</f>
        <v>0</v>
      </c>
      <c r="N1166" s="25">
        <f>IF(OR(J1166="",M1166="",NOT(ISNUMBER(M1166))),"",IF(K1166&lt;&gt;L1166,"",J1166*M1166))</f>
        <v>0</v>
      </c>
      <c r="O1166" s="25">
        <f>IF(N1166="","",IFERROR(N1166/INDEX(Recipes!$G$5:$G$204,MATCH(B1166,Recipes!$A$5:$A$204,0)),""))</f>
        <v>0</v>
      </c>
      <c r="P1166" s="30">
        <f>IF(J1166="","",IF(K1166="each",J1166,J1166/100))</f>
        <v>0</v>
      </c>
      <c r="Q1166" s="30">
        <f>IFERROR(IF(P1166="","",P1166*INDEX(Ingredients!$P$5:$P$304,MATCH(D1166,Ingredients!$B$5:$B$304,0))),"")</f>
        <v>0</v>
      </c>
      <c r="R1166" s="45">
        <f>IFERROR(IF(P1166="","",P1166*INDEX(Ingredients!$Q$5:$Q$304,MATCH(D1166,Ingredients!$B$5:$B$304,0))),"")</f>
        <v>0</v>
      </c>
      <c r="S1166" s="45">
        <f>IFERROR(IF(P1166="","",P1166*INDEX(Ingredients!$R$5:$R$304,MATCH(D1166,Ingredients!$B$5:$B$304,0))),"")</f>
        <v>0</v>
      </c>
      <c r="T1166" s="45">
        <f>IFERROR(IF(P1166="","",P1166*INDEX(Ingredients!$S$5:$S$304,MATCH(D1166,Ingredients!$B$5:$B$304,0))),"")</f>
        <v>0</v>
      </c>
      <c r="U1166" s="45">
        <f>IFERROR(IF(P1166="","",P1166*INDEX(Ingredients!$T$5:$T$304,MATCH(D1166,Ingredients!$B$5:$B$304,0))),"")</f>
        <v>0</v>
      </c>
      <c r="V1166" s="17">
        <f>IF(D1166="","",IFERROR(INDEX(Ingredients!$W$5:$W$304,MATCH(D1166,Ingredients!$B$5:$B$304,0)),"Add to Ingredients"))</f>
        <v>0</v>
      </c>
      <c r="W1166" s="17">
        <f>IF(D1166="","",IFERROR(INDEX(Ingredients!$C$5:$C$304,MATCH(D1166,Ingredients!$B$5:$B$304,0)),"Add to Ingredients"))</f>
        <v>0</v>
      </c>
      <c r="X1166" s="45">
        <f>IFERROR(INDEX(Recipes!$AT$5:$AT$204,MATCH(B1166,Recipes!$A$5:$A$204,0)),0)</f>
        <v>0</v>
      </c>
      <c r="Y1166" s="45">
        <f>IF(OR(J1166="",X1166=0),"",J1166*X1166)</f>
        <v>0</v>
      </c>
      <c r="Z1166" s="17">
        <f>IF(D1166="","",B1166&amp;"#"&amp;COUNTIFS($B$5:B1166,B1166))</f>
        <v>0</v>
      </c>
      <c r="AA1166" s="17">
        <f>IF(D1166="","",B1166&amp;"|"&amp;D1166)</f>
        <v>0</v>
      </c>
      <c r="AB1166" s="31">
        <f>IF(D1166="","",IF(B1166="","Add - which recipe?",IF(COUNTIFS(Ingredients!$B$5:$B$304,D1166)=0,"Missing - not in the Ingredients tab",IF(E1166="","Add - no quantity",IF(F1166="","Add - no unit",IF(K1166&lt;&gt;L1166,"Check - recipe in "&amp;K1166&amp;", priced in "&amp;L1166,IF(COUNTIFS($AA$5:$AA$1204,AA1166)&gt;1,"Duplicate - same ingredient twice","OK")))))))</f>
        <v>0</v>
      </c>
    </row>
    <row r="1167" spans="1:28">
      <c r="A1167" s="39">
        <f>IF(D1167="","","RL-"&amp;TEXT(ROW()-4,"0000"))</f>
        <v>0</v>
      </c>
      <c r="C1167" s="17">
        <f>IF(B1167="","",IFERROR(INDEX(Recipes!$B$5:$B$204,MATCH(B1167,Recipes!$A$5:$A$204,0)),"Not found"))</f>
        <v>0</v>
      </c>
      <c r="J1167" s="45">
        <f>IF(E1167="","",IFERROR(E1167*INDEX(UnitFactors,MATCH(F1167,UnitNames,0)),""))</f>
        <v>0</v>
      </c>
      <c r="K1167" s="17">
        <f>IF(F1167="","",IFERROR(INDEX(UnitBases,MATCH(F1167,UnitNames,0)),"?"))</f>
        <v>0</v>
      </c>
      <c r="L1167" s="17">
        <f>IF(D1167="","",IFERROR(INDEX(Ingredients!$G$5:$G$304,MATCH(D1167,Ingredients!$B$5:$B$304,0)),"Add to Ingredients"))</f>
        <v>0</v>
      </c>
      <c r="M1167" s="25">
        <f>IF(D1167="","",IFERROR(INDEX(Ingredients!$J$5:$J$304,MATCH(D1167,Ingredients!$B$5:$B$304,0)),"Add to Ingredients"))</f>
        <v>0</v>
      </c>
      <c r="N1167" s="25">
        <f>IF(OR(J1167="",M1167="",NOT(ISNUMBER(M1167))),"",IF(K1167&lt;&gt;L1167,"",J1167*M1167))</f>
        <v>0</v>
      </c>
      <c r="O1167" s="25">
        <f>IF(N1167="","",IFERROR(N1167/INDEX(Recipes!$G$5:$G$204,MATCH(B1167,Recipes!$A$5:$A$204,0)),""))</f>
        <v>0</v>
      </c>
      <c r="P1167" s="30">
        <f>IF(J1167="","",IF(K1167="each",J1167,J1167/100))</f>
        <v>0</v>
      </c>
      <c r="Q1167" s="30">
        <f>IFERROR(IF(P1167="","",P1167*INDEX(Ingredients!$P$5:$P$304,MATCH(D1167,Ingredients!$B$5:$B$304,0))),"")</f>
        <v>0</v>
      </c>
      <c r="R1167" s="45">
        <f>IFERROR(IF(P1167="","",P1167*INDEX(Ingredients!$Q$5:$Q$304,MATCH(D1167,Ingredients!$B$5:$B$304,0))),"")</f>
        <v>0</v>
      </c>
      <c r="S1167" s="45">
        <f>IFERROR(IF(P1167="","",P1167*INDEX(Ingredients!$R$5:$R$304,MATCH(D1167,Ingredients!$B$5:$B$304,0))),"")</f>
        <v>0</v>
      </c>
      <c r="T1167" s="45">
        <f>IFERROR(IF(P1167="","",P1167*INDEX(Ingredients!$S$5:$S$304,MATCH(D1167,Ingredients!$B$5:$B$304,0))),"")</f>
        <v>0</v>
      </c>
      <c r="U1167" s="45">
        <f>IFERROR(IF(P1167="","",P1167*INDEX(Ingredients!$T$5:$T$304,MATCH(D1167,Ingredients!$B$5:$B$304,0))),"")</f>
        <v>0</v>
      </c>
      <c r="V1167" s="17">
        <f>IF(D1167="","",IFERROR(INDEX(Ingredients!$W$5:$W$304,MATCH(D1167,Ingredients!$B$5:$B$304,0)),"Add to Ingredients"))</f>
        <v>0</v>
      </c>
      <c r="W1167" s="17">
        <f>IF(D1167="","",IFERROR(INDEX(Ingredients!$C$5:$C$304,MATCH(D1167,Ingredients!$B$5:$B$304,0)),"Add to Ingredients"))</f>
        <v>0</v>
      </c>
      <c r="X1167" s="45">
        <f>IFERROR(INDEX(Recipes!$AT$5:$AT$204,MATCH(B1167,Recipes!$A$5:$A$204,0)),0)</f>
        <v>0</v>
      </c>
      <c r="Y1167" s="45">
        <f>IF(OR(J1167="",X1167=0),"",J1167*X1167)</f>
        <v>0</v>
      </c>
      <c r="Z1167" s="17">
        <f>IF(D1167="","",B1167&amp;"#"&amp;COUNTIFS($B$5:B1167,B1167))</f>
        <v>0</v>
      </c>
      <c r="AA1167" s="17">
        <f>IF(D1167="","",B1167&amp;"|"&amp;D1167)</f>
        <v>0</v>
      </c>
      <c r="AB1167" s="31">
        <f>IF(D1167="","",IF(B1167="","Add - which recipe?",IF(COUNTIFS(Ingredients!$B$5:$B$304,D1167)=0,"Missing - not in the Ingredients tab",IF(E1167="","Add - no quantity",IF(F1167="","Add - no unit",IF(K1167&lt;&gt;L1167,"Check - recipe in "&amp;K1167&amp;", priced in "&amp;L1167,IF(COUNTIFS($AA$5:$AA$1204,AA1167)&gt;1,"Duplicate - same ingredient twice","OK")))))))</f>
        <v>0</v>
      </c>
    </row>
    <row r="1168" spans="1:28">
      <c r="A1168" s="39">
        <f>IF(D1168="","","RL-"&amp;TEXT(ROW()-4,"0000"))</f>
        <v>0</v>
      </c>
      <c r="C1168" s="17">
        <f>IF(B1168="","",IFERROR(INDEX(Recipes!$B$5:$B$204,MATCH(B1168,Recipes!$A$5:$A$204,0)),"Not found"))</f>
        <v>0</v>
      </c>
      <c r="J1168" s="45">
        <f>IF(E1168="","",IFERROR(E1168*INDEX(UnitFactors,MATCH(F1168,UnitNames,0)),""))</f>
        <v>0</v>
      </c>
      <c r="K1168" s="17">
        <f>IF(F1168="","",IFERROR(INDEX(UnitBases,MATCH(F1168,UnitNames,0)),"?"))</f>
        <v>0</v>
      </c>
      <c r="L1168" s="17">
        <f>IF(D1168="","",IFERROR(INDEX(Ingredients!$G$5:$G$304,MATCH(D1168,Ingredients!$B$5:$B$304,0)),"Add to Ingredients"))</f>
        <v>0</v>
      </c>
      <c r="M1168" s="25">
        <f>IF(D1168="","",IFERROR(INDEX(Ingredients!$J$5:$J$304,MATCH(D1168,Ingredients!$B$5:$B$304,0)),"Add to Ingredients"))</f>
        <v>0</v>
      </c>
      <c r="N1168" s="25">
        <f>IF(OR(J1168="",M1168="",NOT(ISNUMBER(M1168))),"",IF(K1168&lt;&gt;L1168,"",J1168*M1168))</f>
        <v>0</v>
      </c>
      <c r="O1168" s="25">
        <f>IF(N1168="","",IFERROR(N1168/INDEX(Recipes!$G$5:$G$204,MATCH(B1168,Recipes!$A$5:$A$204,0)),""))</f>
        <v>0</v>
      </c>
      <c r="P1168" s="30">
        <f>IF(J1168="","",IF(K1168="each",J1168,J1168/100))</f>
        <v>0</v>
      </c>
      <c r="Q1168" s="30">
        <f>IFERROR(IF(P1168="","",P1168*INDEX(Ingredients!$P$5:$P$304,MATCH(D1168,Ingredients!$B$5:$B$304,0))),"")</f>
        <v>0</v>
      </c>
      <c r="R1168" s="45">
        <f>IFERROR(IF(P1168="","",P1168*INDEX(Ingredients!$Q$5:$Q$304,MATCH(D1168,Ingredients!$B$5:$B$304,0))),"")</f>
        <v>0</v>
      </c>
      <c r="S1168" s="45">
        <f>IFERROR(IF(P1168="","",P1168*INDEX(Ingredients!$R$5:$R$304,MATCH(D1168,Ingredients!$B$5:$B$304,0))),"")</f>
        <v>0</v>
      </c>
      <c r="T1168" s="45">
        <f>IFERROR(IF(P1168="","",P1168*INDEX(Ingredients!$S$5:$S$304,MATCH(D1168,Ingredients!$B$5:$B$304,0))),"")</f>
        <v>0</v>
      </c>
      <c r="U1168" s="45">
        <f>IFERROR(IF(P1168="","",P1168*INDEX(Ingredients!$T$5:$T$304,MATCH(D1168,Ingredients!$B$5:$B$304,0))),"")</f>
        <v>0</v>
      </c>
      <c r="V1168" s="17">
        <f>IF(D1168="","",IFERROR(INDEX(Ingredients!$W$5:$W$304,MATCH(D1168,Ingredients!$B$5:$B$304,0)),"Add to Ingredients"))</f>
        <v>0</v>
      </c>
      <c r="W1168" s="17">
        <f>IF(D1168="","",IFERROR(INDEX(Ingredients!$C$5:$C$304,MATCH(D1168,Ingredients!$B$5:$B$304,0)),"Add to Ingredients"))</f>
        <v>0</v>
      </c>
      <c r="X1168" s="45">
        <f>IFERROR(INDEX(Recipes!$AT$5:$AT$204,MATCH(B1168,Recipes!$A$5:$A$204,0)),0)</f>
        <v>0</v>
      </c>
      <c r="Y1168" s="45">
        <f>IF(OR(J1168="",X1168=0),"",J1168*X1168)</f>
        <v>0</v>
      </c>
      <c r="Z1168" s="17">
        <f>IF(D1168="","",B1168&amp;"#"&amp;COUNTIFS($B$5:B1168,B1168))</f>
        <v>0</v>
      </c>
      <c r="AA1168" s="17">
        <f>IF(D1168="","",B1168&amp;"|"&amp;D1168)</f>
        <v>0</v>
      </c>
      <c r="AB1168" s="31">
        <f>IF(D1168="","",IF(B1168="","Add - which recipe?",IF(COUNTIFS(Ingredients!$B$5:$B$304,D1168)=0,"Missing - not in the Ingredients tab",IF(E1168="","Add - no quantity",IF(F1168="","Add - no unit",IF(K1168&lt;&gt;L1168,"Check - recipe in "&amp;K1168&amp;", priced in "&amp;L1168,IF(COUNTIFS($AA$5:$AA$1204,AA1168)&gt;1,"Duplicate - same ingredient twice","OK")))))))</f>
        <v>0</v>
      </c>
    </row>
    <row r="1169" spans="1:28">
      <c r="A1169" s="39">
        <f>IF(D1169="","","RL-"&amp;TEXT(ROW()-4,"0000"))</f>
        <v>0</v>
      </c>
      <c r="C1169" s="17">
        <f>IF(B1169="","",IFERROR(INDEX(Recipes!$B$5:$B$204,MATCH(B1169,Recipes!$A$5:$A$204,0)),"Not found"))</f>
        <v>0</v>
      </c>
      <c r="J1169" s="45">
        <f>IF(E1169="","",IFERROR(E1169*INDEX(UnitFactors,MATCH(F1169,UnitNames,0)),""))</f>
        <v>0</v>
      </c>
      <c r="K1169" s="17">
        <f>IF(F1169="","",IFERROR(INDEX(UnitBases,MATCH(F1169,UnitNames,0)),"?"))</f>
        <v>0</v>
      </c>
      <c r="L1169" s="17">
        <f>IF(D1169="","",IFERROR(INDEX(Ingredients!$G$5:$G$304,MATCH(D1169,Ingredients!$B$5:$B$304,0)),"Add to Ingredients"))</f>
        <v>0</v>
      </c>
      <c r="M1169" s="25">
        <f>IF(D1169="","",IFERROR(INDEX(Ingredients!$J$5:$J$304,MATCH(D1169,Ingredients!$B$5:$B$304,0)),"Add to Ingredients"))</f>
        <v>0</v>
      </c>
      <c r="N1169" s="25">
        <f>IF(OR(J1169="",M1169="",NOT(ISNUMBER(M1169))),"",IF(K1169&lt;&gt;L1169,"",J1169*M1169))</f>
        <v>0</v>
      </c>
      <c r="O1169" s="25">
        <f>IF(N1169="","",IFERROR(N1169/INDEX(Recipes!$G$5:$G$204,MATCH(B1169,Recipes!$A$5:$A$204,0)),""))</f>
        <v>0</v>
      </c>
      <c r="P1169" s="30">
        <f>IF(J1169="","",IF(K1169="each",J1169,J1169/100))</f>
        <v>0</v>
      </c>
      <c r="Q1169" s="30">
        <f>IFERROR(IF(P1169="","",P1169*INDEX(Ingredients!$P$5:$P$304,MATCH(D1169,Ingredients!$B$5:$B$304,0))),"")</f>
        <v>0</v>
      </c>
      <c r="R1169" s="45">
        <f>IFERROR(IF(P1169="","",P1169*INDEX(Ingredients!$Q$5:$Q$304,MATCH(D1169,Ingredients!$B$5:$B$304,0))),"")</f>
        <v>0</v>
      </c>
      <c r="S1169" s="45">
        <f>IFERROR(IF(P1169="","",P1169*INDEX(Ingredients!$R$5:$R$304,MATCH(D1169,Ingredients!$B$5:$B$304,0))),"")</f>
        <v>0</v>
      </c>
      <c r="T1169" s="45">
        <f>IFERROR(IF(P1169="","",P1169*INDEX(Ingredients!$S$5:$S$304,MATCH(D1169,Ingredients!$B$5:$B$304,0))),"")</f>
        <v>0</v>
      </c>
      <c r="U1169" s="45">
        <f>IFERROR(IF(P1169="","",P1169*INDEX(Ingredients!$T$5:$T$304,MATCH(D1169,Ingredients!$B$5:$B$304,0))),"")</f>
        <v>0</v>
      </c>
      <c r="V1169" s="17">
        <f>IF(D1169="","",IFERROR(INDEX(Ingredients!$W$5:$W$304,MATCH(D1169,Ingredients!$B$5:$B$304,0)),"Add to Ingredients"))</f>
        <v>0</v>
      </c>
      <c r="W1169" s="17">
        <f>IF(D1169="","",IFERROR(INDEX(Ingredients!$C$5:$C$304,MATCH(D1169,Ingredients!$B$5:$B$304,0)),"Add to Ingredients"))</f>
        <v>0</v>
      </c>
      <c r="X1169" s="45">
        <f>IFERROR(INDEX(Recipes!$AT$5:$AT$204,MATCH(B1169,Recipes!$A$5:$A$204,0)),0)</f>
        <v>0</v>
      </c>
      <c r="Y1169" s="45">
        <f>IF(OR(J1169="",X1169=0),"",J1169*X1169)</f>
        <v>0</v>
      </c>
      <c r="Z1169" s="17">
        <f>IF(D1169="","",B1169&amp;"#"&amp;COUNTIFS($B$5:B1169,B1169))</f>
        <v>0</v>
      </c>
      <c r="AA1169" s="17">
        <f>IF(D1169="","",B1169&amp;"|"&amp;D1169)</f>
        <v>0</v>
      </c>
      <c r="AB1169" s="31">
        <f>IF(D1169="","",IF(B1169="","Add - which recipe?",IF(COUNTIFS(Ingredients!$B$5:$B$304,D1169)=0,"Missing - not in the Ingredients tab",IF(E1169="","Add - no quantity",IF(F1169="","Add - no unit",IF(K1169&lt;&gt;L1169,"Check - recipe in "&amp;K1169&amp;", priced in "&amp;L1169,IF(COUNTIFS($AA$5:$AA$1204,AA1169)&gt;1,"Duplicate - same ingredient twice","OK")))))))</f>
        <v>0</v>
      </c>
    </row>
    <row r="1170" spans="1:28">
      <c r="A1170" s="39">
        <f>IF(D1170="","","RL-"&amp;TEXT(ROW()-4,"0000"))</f>
        <v>0</v>
      </c>
      <c r="C1170" s="17">
        <f>IF(B1170="","",IFERROR(INDEX(Recipes!$B$5:$B$204,MATCH(B1170,Recipes!$A$5:$A$204,0)),"Not found"))</f>
        <v>0</v>
      </c>
      <c r="J1170" s="45">
        <f>IF(E1170="","",IFERROR(E1170*INDEX(UnitFactors,MATCH(F1170,UnitNames,0)),""))</f>
        <v>0</v>
      </c>
      <c r="K1170" s="17">
        <f>IF(F1170="","",IFERROR(INDEX(UnitBases,MATCH(F1170,UnitNames,0)),"?"))</f>
        <v>0</v>
      </c>
      <c r="L1170" s="17">
        <f>IF(D1170="","",IFERROR(INDEX(Ingredients!$G$5:$G$304,MATCH(D1170,Ingredients!$B$5:$B$304,0)),"Add to Ingredients"))</f>
        <v>0</v>
      </c>
      <c r="M1170" s="25">
        <f>IF(D1170="","",IFERROR(INDEX(Ingredients!$J$5:$J$304,MATCH(D1170,Ingredients!$B$5:$B$304,0)),"Add to Ingredients"))</f>
        <v>0</v>
      </c>
      <c r="N1170" s="25">
        <f>IF(OR(J1170="",M1170="",NOT(ISNUMBER(M1170))),"",IF(K1170&lt;&gt;L1170,"",J1170*M1170))</f>
        <v>0</v>
      </c>
      <c r="O1170" s="25">
        <f>IF(N1170="","",IFERROR(N1170/INDEX(Recipes!$G$5:$G$204,MATCH(B1170,Recipes!$A$5:$A$204,0)),""))</f>
        <v>0</v>
      </c>
      <c r="P1170" s="30">
        <f>IF(J1170="","",IF(K1170="each",J1170,J1170/100))</f>
        <v>0</v>
      </c>
      <c r="Q1170" s="30">
        <f>IFERROR(IF(P1170="","",P1170*INDEX(Ingredients!$P$5:$P$304,MATCH(D1170,Ingredients!$B$5:$B$304,0))),"")</f>
        <v>0</v>
      </c>
      <c r="R1170" s="45">
        <f>IFERROR(IF(P1170="","",P1170*INDEX(Ingredients!$Q$5:$Q$304,MATCH(D1170,Ingredients!$B$5:$B$304,0))),"")</f>
        <v>0</v>
      </c>
      <c r="S1170" s="45">
        <f>IFERROR(IF(P1170="","",P1170*INDEX(Ingredients!$R$5:$R$304,MATCH(D1170,Ingredients!$B$5:$B$304,0))),"")</f>
        <v>0</v>
      </c>
      <c r="T1170" s="45">
        <f>IFERROR(IF(P1170="","",P1170*INDEX(Ingredients!$S$5:$S$304,MATCH(D1170,Ingredients!$B$5:$B$304,0))),"")</f>
        <v>0</v>
      </c>
      <c r="U1170" s="45">
        <f>IFERROR(IF(P1170="","",P1170*INDEX(Ingredients!$T$5:$T$304,MATCH(D1170,Ingredients!$B$5:$B$304,0))),"")</f>
        <v>0</v>
      </c>
      <c r="V1170" s="17">
        <f>IF(D1170="","",IFERROR(INDEX(Ingredients!$W$5:$W$304,MATCH(D1170,Ingredients!$B$5:$B$304,0)),"Add to Ingredients"))</f>
        <v>0</v>
      </c>
      <c r="W1170" s="17">
        <f>IF(D1170="","",IFERROR(INDEX(Ingredients!$C$5:$C$304,MATCH(D1170,Ingredients!$B$5:$B$304,0)),"Add to Ingredients"))</f>
        <v>0</v>
      </c>
      <c r="X1170" s="45">
        <f>IFERROR(INDEX(Recipes!$AT$5:$AT$204,MATCH(B1170,Recipes!$A$5:$A$204,0)),0)</f>
        <v>0</v>
      </c>
      <c r="Y1170" s="45">
        <f>IF(OR(J1170="",X1170=0),"",J1170*X1170)</f>
        <v>0</v>
      </c>
      <c r="Z1170" s="17">
        <f>IF(D1170="","",B1170&amp;"#"&amp;COUNTIFS($B$5:B1170,B1170))</f>
        <v>0</v>
      </c>
      <c r="AA1170" s="17">
        <f>IF(D1170="","",B1170&amp;"|"&amp;D1170)</f>
        <v>0</v>
      </c>
      <c r="AB1170" s="31">
        <f>IF(D1170="","",IF(B1170="","Add - which recipe?",IF(COUNTIFS(Ingredients!$B$5:$B$304,D1170)=0,"Missing - not in the Ingredients tab",IF(E1170="","Add - no quantity",IF(F1170="","Add - no unit",IF(K1170&lt;&gt;L1170,"Check - recipe in "&amp;K1170&amp;", priced in "&amp;L1170,IF(COUNTIFS($AA$5:$AA$1204,AA1170)&gt;1,"Duplicate - same ingredient twice","OK")))))))</f>
        <v>0</v>
      </c>
    </row>
    <row r="1171" spans="1:28">
      <c r="A1171" s="39">
        <f>IF(D1171="","","RL-"&amp;TEXT(ROW()-4,"0000"))</f>
        <v>0</v>
      </c>
      <c r="C1171" s="17">
        <f>IF(B1171="","",IFERROR(INDEX(Recipes!$B$5:$B$204,MATCH(B1171,Recipes!$A$5:$A$204,0)),"Not found"))</f>
        <v>0</v>
      </c>
      <c r="J1171" s="45">
        <f>IF(E1171="","",IFERROR(E1171*INDEX(UnitFactors,MATCH(F1171,UnitNames,0)),""))</f>
        <v>0</v>
      </c>
      <c r="K1171" s="17">
        <f>IF(F1171="","",IFERROR(INDEX(UnitBases,MATCH(F1171,UnitNames,0)),"?"))</f>
        <v>0</v>
      </c>
      <c r="L1171" s="17">
        <f>IF(D1171="","",IFERROR(INDEX(Ingredients!$G$5:$G$304,MATCH(D1171,Ingredients!$B$5:$B$304,0)),"Add to Ingredients"))</f>
        <v>0</v>
      </c>
      <c r="M1171" s="25">
        <f>IF(D1171="","",IFERROR(INDEX(Ingredients!$J$5:$J$304,MATCH(D1171,Ingredients!$B$5:$B$304,0)),"Add to Ingredients"))</f>
        <v>0</v>
      </c>
      <c r="N1171" s="25">
        <f>IF(OR(J1171="",M1171="",NOT(ISNUMBER(M1171))),"",IF(K1171&lt;&gt;L1171,"",J1171*M1171))</f>
        <v>0</v>
      </c>
      <c r="O1171" s="25">
        <f>IF(N1171="","",IFERROR(N1171/INDEX(Recipes!$G$5:$G$204,MATCH(B1171,Recipes!$A$5:$A$204,0)),""))</f>
        <v>0</v>
      </c>
      <c r="P1171" s="30">
        <f>IF(J1171="","",IF(K1171="each",J1171,J1171/100))</f>
        <v>0</v>
      </c>
      <c r="Q1171" s="30">
        <f>IFERROR(IF(P1171="","",P1171*INDEX(Ingredients!$P$5:$P$304,MATCH(D1171,Ingredients!$B$5:$B$304,0))),"")</f>
        <v>0</v>
      </c>
      <c r="R1171" s="45">
        <f>IFERROR(IF(P1171="","",P1171*INDEX(Ingredients!$Q$5:$Q$304,MATCH(D1171,Ingredients!$B$5:$B$304,0))),"")</f>
        <v>0</v>
      </c>
      <c r="S1171" s="45">
        <f>IFERROR(IF(P1171="","",P1171*INDEX(Ingredients!$R$5:$R$304,MATCH(D1171,Ingredients!$B$5:$B$304,0))),"")</f>
        <v>0</v>
      </c>
      <c r="T1171" s="45">
        <f>IFERROR(IF(P1171="","",P1171*INDEX(Ingredients!$S$5:$S$304,MATCH(D1171,Ingredients!$B$5:$B$304,0))),"")</f>
        <v>0</v>
      </c>
      <c r="U1171" s="45">
        <f>IFERROR(IF(P1171="","",P1171*INDEX(Ingredients!$T$5:$T$304,MATCH(D1171,Ingredients!$B$5:$B$304,0))),"")</f>
        <v>0</v>
      </c>
      <c r="V1171" s="17">
        <f>IF(D1171="","",IFERROR(INDEX(Ingredients!$W$5:$W$304,MATCH(D1171,Ingredients!$B$5:$B$304,0)),"Add to Ingredients"))</f>
        <v>0</v>
      </c>
      <c r="W1171" s="17">
        <f>IF(D1171="","",IFERROR(INDEX(Ingredients!$C$5:$C$304,MATCH(D1171,Ingredients!$B$5:$B$304,0)),"Add to Ingredients"))</f>
        <v>0</v>
      </c>
      <c r="X1171" s="45">
        <f>IFERROR(INDEX(Recipes!$AT$5:$AT$204,MATCH(B1171,Recipes!$A$5:$A$204,0)),0)</f>
        <v>0</v>
      </c>
      <c r="Y1171" s="45">
        <f>IF(OR(J1171="",X1171=0),"",J1171*X1171)</f>
        <v>0</v>
      </c>
      <c r="Z1171" s="17">
        <f>IF(D1171="","",B1171&amp;"#"&amp;COUNTIFS($B$5:B1171,B1171))</f>
        <v>0</v>
      </c>
      <c r="AA1171" s="17">
        <f>IF(D1171="","",B1171&amp;"|"&amp;D1171)</f>
        <v>0</v>
      </c>
      <c r="AB1171" s="31">
        <f>IF(D1171="","",IF(B1171="","Add - which recipe?",IF(COUNTIFS(Ingredients!$B$5:$B$304,D1171)=0,"Missing - not in the Ingredients tab",IF(E1171="","Add - no quantity",IF(F1171="","Add - no unit",IF(K1171&lt;&gt;L1171,"Check - recipe in "&amp;K1171&amp;", priced in "&amp;L1171,IF(COUNTIFS($AA$5:$AA$1204,AA1171)&gt;1,"Duplicate - same ingredient twice","OK")))))))</f>
        <v>0</v>
      </c>
    </row>
    <row r="1172" spans="1:28">
      <c r="A1172" s="39">
        <f>IF(D1172="","","RL-"&amp;TEXT(ROW()-4,"0000"))</f>
        <v>0</v>
      </c>
      <c r="C1172" s="17">
        <f>IF(B1172="","",IFERROR(INDEX(Recipes!$B$5:$B$204,MATCH(B1172,Recipes!$A$5:$A$204,0)),"Not found"))</f>
        <v>0</v>
      </c>
      <c r="J1172" s="45">
        <f>IF(E1172="","",IFERROR(E1172*INDEX(UnitFactors,MATCH(F1172,UnitNames,0)),""))</f>
        <v>0</v>
      </c>
      <c r="K1172" s="17">
        <f>IF(F1172="","",IFERROR(INDEX(UnitBases,MATCH(F1172,UnitNames,0)),"?"))</f>
        <v>0</v>
      </c>
      <c r="L1172" s="17">
        <f>IF(D1172="","",IFERROR(INDEX(Ingredients!$G$5:$G$304,MATCH(D1172,Ingredients!$B$5:$B$304,0)),"Add to Ingredients"))</f>
        <v>0</v>
      </c>
      <c r="M1172" s="25">
        <f>IF(D1172="","",IFERROR(INDEX(Ingredients!$J$5:$J$304,MATCH(D1172,Ingredients!$B$5:$B$304,0)),"Add to Ingredients"))</f>
        <v>0</v>
      </c>
      <c r="N1172" s="25">
        <f>IF(OR(J1172="",M1172="",NOT(ISNUMBER(M1172))),"",IF(K1172&lt;&gt;L1172,"",J1172*M1172))</f>
        <v>0</v>
      </c>
      <c r="O1172" s="25">
        <f>IF(N1172="","",IFERROR(N1172/INDEX(Recipes!$G$5:$G$204,MATCH(B1172,Recipes!$A$5:$A$204,0)),""))</f>
        <v>0</v>
      </c>
      <c r="P1172" s="30">
        <f>IF(J1172="","",IF(K1172="each",J1172,J1172/100))</f>
        <v>0</v>
      </c>
      <c r="Q1172" s="30">
        <f>IFERROR(IF(P1172="","",P1172*INDEX(Ingredients!$P$5:$P$304,MATCH(D1172,Ingredients!$B$5:$B$304,0))),"")</f>
        <v>0</v>
      </c>
      <c r="R1172" s="45">
        <f>IFERROR(IF(P1172="","",P1172*INDEX(Ingredients!$Q$5:$Q$304,MATCH(D1172,Ingredients!$B$5:$B$304,0))),"")</f>
        <v>0</v>
      </c>
      <c r="S1172" s="45">
        <f>IFERROR(IF(P1172="","",P1172*INDEX(Ingredients!$R$5:$R$304,MATCH(D1172,Ingredients!$B$5:$B$304,0))),"")</f>
        <v>0</v>
      </c>
      <c r="T1172" s="45">
        <f>IFERROR(IF(P1172="","",P1172*INDEX(Ingredients!$S$5:$S$304,MATCH(D1172,Ingredients!$B$5:$B$304,0))),"")</f>
        <v>0</v>
      </c>
      <c r="U1172" s="45">
        <f>IFERROR(IF(P1172="","",P1172*INDEX(Ingredients!$T$5:$T$304,MATCH(D1172,Ingredients!$B$5:$B$304,0))),"")</f>
        <v>0</v>
      </c>
      <c r="V1172" s="17">
        <f>IF(D1172="","",IFERROR(INDEX(Ingredients!$W$5:$W$304,MATCH(D1172,Ingredients!$B$5:$B$304,0)),"Add to Ingredients"))</f>
        <v>0</v>
      </c>
      <c r="W1172" s="17">
        <f>IF(D1172="","",IFERROR(INDEX(Ingredients!$C$5:$C$304,MATCH(D1172,Ingredients!$B$5:$B$304,0)),"Add to Ingredients"))</f>
        <v>0</v>
      </c>
      <c r="X1172" s="45">
        <f>IFERROR(INDEX(Recipes!$AT$5:$AT$204,MATCH(B1172,Recipes!$A$5:$A$204,0)),0)</f>
        <v>0</v>
      </c>
      <c r="Y1172" s="45">
        <f>IF(OR(J1172="",X1172=0),"",J1172*X1172)</f>
        <v>0</v>
      </c>
      <c r="Z1172" s="17">
        <f>IF(D1172="","",B1172&amp;"#"&amp;COUNTIFS($B$5:B1172,B1172))</f>
        <v>0</v>
      </c>
      <c r="AA1172" s="17">
        <f>IF(D1172="","",B1172&amp;"|"&amp;D1172)</f>
        <v>0</v>
      </c>
      <c r="AB1172" s="31">
        <f>IF(D1172="","",IF(B1172="","Add - which recipe?",IF(COUNTIFS(Ingredients!$B$5:$B$304,D1172)=0,"Missing - not in the Ingredients tab",IF(E1172="","Add - no quantity",IF(F1172="","Add - no unit",IF(K1172&lt;&gt;L1172,"Check - recipe in "&amp;K1172&amp;", priced in "&amp;L1172,IF(COUNTIFS($AA$5:$AA$1204,AA1172)&gt;1,"Duplicate - same ingredient twice","OK")))))))</f>
        <v>0</v>
      </c>
    </row>
    <row r="1173" spans="1:28">
      <c r="A1173" s="39">
        <f>IF(D1173="","","RL-"&amp;TEXT(ROW()-4,"0000"))</f>
        <v>0</v>
      </c>
      <c r="C1173" s="17">
        <f>IF(B1173="","",IFERROR(INDEX(Recipes!$B$5:$B$204,MATCH(B1173,Recipes!$A$5:$A$204,0)),"Not found"))</f>
        <v>0</v>
      </c>
      <c r="J1173" s="45">
        <f>IF(E1173="","",IFERROR(E1173*INDEX(UnitFactors,MATCH(F1173,UnitNames,0)),""))</f>
        <v>0</v>
      </c>
      <c r="K1173" s="17">
        <f>IF(F1173="","",IFERROR(INDEX(UnitBases,MATCH(F1173,UnitNames,0)),"?"))</f>
        <v>0</v>
      </c>
      <c r="L1173" s="17">
        <f>IF(D1173="","",IFERROR(INDEX(Ingredients!$G$5:$G$304,MATCH(D1173,Ingredients!$B$5:$B$304,0)),"Add to Ingredients"))</f>
        <v>0</v>
      </c>
      <c r="M1173" s="25">
        <f>IF(D1173="","",IFERROR(INDEX(Ingredients!$J$5:$J$304,MATCH(D1173,Ingredients!$B$5:$B$304,0)),"Add to Ingredients"))</f>
        <v>0</v>
      </c>
      <c r="N1173" s="25">
        <f>IF(OR(J1173="",M1173="",NOT(ISNUMBER(M1173))),"",IF(K1173&lt;&gt;L1173,"",J1173*M1173))</f>
        <v>0</v>
      </c>
      <c r="O1173" s="25">
        <f>IF(N1173="","",IFERROR(N1173/INDEX(Recipes!$G$5:$G$204,MATCH(B1173,Recipes!$A$5:$A$204,0)),""))</f>
        <v>0</v>
      </c>
      <c r="P1173" s="30">
        <f>IF(J1173="","",IF(K1173="each",J1173,J1173/100))</f>
        <v>0</v>
      </c>
      <c r="Q1173" s="30">
        <f>IFERROR(IF(P1173="","",P1173*INDEX(Ingredients!$P$5:$P$304,MATCH(D1173,Ingredients!$B$5:$B$304,0))),"")</f>
        <v>0</v>
      </c>
      <c r="R1173" s="45">
        <f>IFERROR(IF(P1173="","",P1173*INDEX(Ingredients!$Q$5:$Q$304,MATCH(D1173,Ingredients!$B$5:$B$304,0))),"")</f>
        <v>0</v>
      </c>
      <c r="S1173" s="45">
        <f>IFERROR(IF(P1173="","",P1173*INDEX(Ingredients!$R$5:$R$304,MATCH(D1173,Ingredients!$B$5:$B$304,0))),"")</f>
        <v>0</v>
      </c>
      <c r="T1173" s="45">
        <f>IFERROR(IF(P1173="","",P1173*INDEX(Ingredients!$S$5:$S$304,MATCH(D1173,Ingredients!$B$5:$B$304,0))),"")</f>
        <v>0</v>
      </c>
      <c r="U1173" s="45">
        <f>IFERROR(IF(P1173="","",P1173*INDEX(Ingredients!$T$5:$T$304,MATCH(D1173,Ingredients!$B$5:$B$304,0))),"")</f>
        <v>0</v>
      </c>
      <c r="V1173" s="17">
        <f>IF(D1173="","",IFERROR(INDEX(Ingredients!$W$5:$W$304,MATCH(D1173,Ingredients!$B$5:$B$304,0)),"Add to Ingredients"))</f>
        <v>0</v>
      </c>
      <c r="W1173" s="17">
        <f>IF(D1173="","",IFERROR(INDEX(Ingredients!$C$5:$C$304,MATCH(D1173,Ingredients!$B$5:$B$304,0)),"Add to Ingredients"))</f>
        <v>0</v>
      </c>
      <c r="X1173" s="45">
        <f>IFERROR(INDEX(Recipes!$AT$5:$AT$204,MATCH(B1173,Recipes!$A$5:$A$204,0)),0)</f>
        <v>0</v>
      </c>
      <c r="Y1173" s="45">
        <f>IF(OR(J1173="",X1173=0),"",J1173*X1173)</f>
        <v>0</v>
      </c>
      <c r="Z1173" s="17">
        <f>IF(D1173="","",B1173&amp;"#"&amp;COUNTIFS($B$5:B1173,B1173))</f>
        <v>0</v>
      </c>
      <c r="AA1173" s="17">
        <f>IF(D1173="","",B1173&amp;"|"&amp;D1173)</f>
        <v>0</v>
      </c>
      <c r="AB1173" s="31">
        <f>IF(D1173="","",IF(B1173="","Add - which recipe?",IF(COUNTIFS(Ingredients!$B$5:$B$304,D1173)=0,"Missing - not in the Ingredients tab",IF(E1173="","Add - no quantity",IF(F1173="","Add - no unit",IF(K1173&lt;&gt;L1173,"Check - recipe in "&amp;K1173&amp;", priced in "&amp;L1173,IF(COUNTIFS($AA$5:$AA$1204,AA1173)&gt;1,"Duplicate - same ingredient twice","OK")))))))</f>
        <v>0</v>
      </c>
    </row>
    <row r="1174" spans="1:28">
      <c r="A1174" s="39">
        <f>IF(D1174="","","RL-"&amp;TEXT(ROW()-4,"0000"))</f>
        <v>0</v>
      </c>
      <c r="C1174" s="17">
        <f>IF(B1174="","",IFERROR(INDEX(Recipes!$B$5:$B$204,MATCH(B1174,Recipes!$A$5:$A$204,0)),"Not found"))</f>
        <v>0</v>
      </c>
      <c r="J1174" s="45">
        <f>IF(E1174="","",IFERROR(E1174*INDEX(UnitFactors,MATCH(F1174,UnitNames,0)),""))</f>
        <v>0</v>
      </c>
      <c r="K1174" s="17">
        <f>IF(F1174="","",IFERROR(INDEX(UnitBases,MATCH(F1174,UnitNames,0)),"?"))</f>
        <v>0</v>
      </c>
      <c r="L1174" s="17">
        <f>IF(D1174="","",IFERROR(INDEX(Ingredients!$G$5:$G$304,MATCH(D1174,Ingredients!$B$5:$B$304,0)),"Add to Ingredients"))</f>
        <v>0</v>
      </c>
      <c r="M1174" s="25">
        <f>IF(D1174="","",IFERROR(INDEX(Ingredients!$J$5:$J$304,MATCH(D1174,Ingredients!$B$5:$B$304,0)),"Add to Ingredients"))</f>
        <v>0</v>
      </c>
      <c r="N1174" s="25">
        <f>IF(OR(J1174="",M1174="",NOT(ISNUMBER(M1174))),"",IF(K1174&lt;&gt;L1174,"",J1174*M1174))</f>
        <v>0</v>
      </c>
      <c r="O1174" s="25">
        <f>IF(N1174="","",IFERROR(N1174/INDEX(Recipes!$G$5:$G$204,MATCH(B1174,Recipes!$A$5:$A$204,0)),""))</f>
        <v>0</v>
      </c>
      <c r="P1174" s="30">
        <f>IF(J1174="","",IF(K1174="each",J1174,J1174/100))</f>
        <v>0</v>
      </c>
      <c r="Q1174" s="30">
        <f>IFERROR(IF(P1174="","",P1174*INDEX(Ingredients!$P$5:$P$304,MATCH(D1174,Ingredients!$B$5:$B$304,0))),"")</f>
        <v>0</v>
      </c>
      <c r="R1174" s="45">
        <f>IFERROR(IF(P1174="","",P1174*INDEX(Ingredients!$Q$5:$Q$304,MATCH(D1174,Ingredients!$B$5:$B$304,0))),"")</f>
        <v>0</v>
      </c>
      <c r="S1174" s="45">
        <f>IFERROR(IF(P1174="","",P1174*INDEX(Ingredients!$R$5:$R$304,MATCH(D1174,Ingredients!$B$5:$B$304,0))),"")</f>
        <v>0</v>
      </c>
      <c r="T1174" s="45">
        <f>IFERROR(IF(P1174="","",P1174*INDEX(Ingredients!$S$5:$S$304,MATCH(D1174,Ingredients!$B$5:$B$304,0))),"")</f>
        <v>0</v>
      </c>
      <c r="U1174" s="45">
        <f>IFERROR(IF(P1174="","",P1174*INDEX(Ingredients!$T$5:$T$304,MATCH(D1174,Ingredients!$B$5:$B$304,0))),"")</f>
        <v>0</v>
      </c>
      <c r="V1174" s="17">
        <f>IF(D1174="","",IFERROR(INDEX(Ingredients!$W$5:$W$304,MATCH(D1174,Ingredients!$B$5:$B$304,0)),"Add to Ingredients"))</f>
        <v>0</v>
      </c>
      <c r="W1174" s="17">
        <f>IF(D1174="","",IFERROR(INDEX(Ingredients!$C$5:$C$304,MATCH(D1174,Ingredients!$B$5:$B$304,0)),"Add to Ingredients"))</f>
        <v>0</v>
      </c>
      <c r="X1174" s="45">
        <f>IFERROR(INDEX(Recipes!$AT$5:$AT$204,MATCH(B1174,Recipes!$A$5:$A$204,0)),0)</f>
        <v>0</v>
      </c>
      <c r="Y1174" s="45">
        <f>IF(OR(J1174="",X1174=0),"",J1174*X1174)</f>
        <v>0</v>
      </c>
      <c r="Z1174" s="17">
        <f>IF(D1174="","",B1174&amp;"#"&amp;COUNTIFS($B$5:B1174,B1174))</f>
        <v>0</v>
      </c>
      <c r="AA1174" s="17">
        <f>IF(D1174="","",B1174&amp;"|"&amp;D1174)</f>
        <v>0</v>
      </c>
      <c r="AB1174" s="31">
        <f>IF(D1174="","",IF(B1174="","Add - which recipe?",IF(COUNTIFS(Ingredients!$B$5:$B$304,D1174)=0,"Missing - not in the Ingredients tab",IF(E1174="","Add - no quantity",IF(F1174="","Add - no unit",IF(K1174&lt;&gt;L1174,"Check - recipe in "&amp;K1174&amp;", priced in "&amp;L1174,IF(COUNTIFS($AA$5:$AA$1204,AA1174)&gt;1,"Duplicate - same ingredient twice","OK")))))))</f>
        <v>0</v>
      </c>
    </row>
    <row r="1175" spans="1:28">
      <c r="A1175" s="39">
        <f>IF(D1175="","","RL-"&amp;TEXT(ROW()-4,"0000"))</f>
        <v>0</v>
      </c>
      <c r="C1175" s="17">
        <f>IF(B1175="","",IFERROR(INDEX(Recipes!$B$5:$B$204,MATCH(B1175,Recipes!$A$5:$A$204,0)),"Not found"))</f>
        <v>0</v>
      </c>
      <c r="J1175" s="45">
        <f>IF(E1175="","",IFERROR(E1175*INDEX(UnitFactors,MATCH(F1175,UnitNames,0)),""))</f>
        <v>0</v>
      </c>
      <c r="K1175" s="17">
        <f>IF(F1175="","",IFERROR(INDEX(UnitBases,MATCH(F1175,UnitNames,0)),"?"))</f>
        <v>0</v>
      </c>
      <c r="L1175" s="17">
        <f>IF(D1175="","",IFERROR(INDEX(Ingredients!$G$5:$G$304,MATCH(D1175,Ingredients!$B$5:$B$304,0)),"Add to Ingredients"))</f>
        <v>0</v>
      </c>
      <c r="M1175" s="25">
        <f>IF(D1175="","",IFERROR(INDEX(Ingredients!$J$5:$J$304,MATCH(D1175,Ingredients!$B$5:$B$304,0)),"Add to Ingredients"))</f>
        <v>0</v>
      </c>
      <c r="N1175" s="25">
        <f>IF(OR(J1175="",M1175="",NOT(ISNUMBER(M1175))),"",IF(K1175&lt;&gt;L1175,"",J1175*M1175))</f>
        <v>0</v>
      </c>
      <c r="O1175" s="25">
        <f>IF(N1175="","",IFERROR(N1175/INDEX(Recipes!$G$5:$G$204,MATCH(B1175,Recipes!$A$5:$A$204,0)),""))</f>
        <v>0</v>
      </c>
      <c r="P1175" s="30">
        <f>IF(J1175="","",IF(K1175="each",J1175,J1175/100))</f>
        <v>0</v>
      </c>
      <c r="Q1175" s="30">
        <f>IFERROR(IF(P1175="","",P1175*INDEX(Ingredients!$P$5:$P$304,MATCH(D1175,Ingredients!$B$5:$B$304,0))),"")</f>
        <v>0</v>
      </c>
      <c r="R1175" s="45">
        <f>IFERROR(IF(P1175="","",P1175*INDEX(Ingredients!$Q$5:$Q$304,MATCH(D1175,Ingredients!$B$5:$B$304,0))),"")</f>
        <v>0</v>
      </c>
      <c r="S1175" s="45">
        <f>IFERROR(IF(P1175="","",P1175*INDEX(Ingredients!$R$5:$R$304,MATCH(D1175,Ingredients!$B$5:$B$304,0))),"")</f>
        <v>0</v>
      </c>
      <c r="T1175" s="45">
        <f>IFERROR(IF(P1175="","",P1175*INDEX(Ingredients!$S$5:$S$304,MATCH(D1175,Ingredients!$B$5:$B$304,0))),"")</f>
        <v>0</v>
      </c>
      <c r="U1175" s="45">
        <f>IFERROR(IF(P1175="","",P1175*INDEX(Ingredients!$T$5:$T$304,MATCH(D1175,Ingredients!$B$5:$B$304,0))),"")</f>
        <v>0</v>
      </c>
      <c r="V1175" s="17">
        <f>IF(D1175="","",IFERROR(INDEX(Ingredients!$W$5:$W$304,MATCH(D1175,Ingredients!$B$5:$B$304,0)),"Add to Ingredients"))</f>
        <v>0</v>
      </c>
      <c r="W1175" s="17">
        <f>IF(D1175="","",IFERROR(INDEX(Ingredients!$C$5:$C$304,MATCH(D1175,Ingredients!$B$5:$B$304,0)),"Add to Ingredients"))</f>
        <v>0</v>
      </c>
      <c r="X1175" s="45">
        <f>IFERROR(INDEX(Recipes!$AT$5:$AT$204,MATCH(B1175,Recipes!$A$5:$A$204,0)),0)</f>
        <v>0</v>
      </c>
      <c r="Y1175" s="45">
        <f>IF(OR(J1175="",X1175=0),"",J1175*X1175)</f>
        <v>0</v>
      </c>
      <c r="Z1175" s="17">
        <f>IF(D1175="","",B1175&amp;"#"&amp;COUNTIFS($B$5:B1175,B1175))</f>
        <v>0</v>
      </c>
      <c r="AA1175" s="17">
        <f>IF(D1175="","",B1175&amp;"|"&amp;D1175)</f>
        <v>0</v>
      </c>
      <c r="AB1175" s="31">
        <f>IF(D1175="","",IF(B1175="","Add - which recipe?",IF(COUNTIFS(Ingredients!$B$5:$B$304,D1175)=0,"Missing - not in the Ingredients tab",IF(E1175="","Add - no quantity",IF(F1175="","Add - no unit",IF(K1175&lt;&gt;L1175,"Check - recipe in "&amp;K1175&amp;", priced in "&amp;L1175,IF(COUNTIFS($AA$5:$AA$1204,AA1175)&gt;1,"Duplicate - same ingredient twice","OK")))))))</f>
        <v>0</v>
      </c>
    </row>
    <row r="1176" spans="1:28">
      <c r="A1176" s="39">
        <f>IF(D1176="","","RL-"&amp;TEXT(ROW()-4,"0000"))</f>
        <v>0</v>
      </c>
      <c r="C1176" s="17">
        <f>IF(B1176="","",IFERROR(INDEX(Recipes!$B$5:$B$204,MATCH(B1176,Recipes!$A$5:$A$204,0)),"Not found"))</f>
        <v>0</v>
      </c>
      <c r="J1176" s="45">
        <f>IF(E1176="","",IFERROR(E1176*INDEX(UnitFactors,MATCH(F1176,UnitNames,0)),""))</f>
        <v>0</v>
      </c>
      <c r="K1176" s="17">
        <f>IF(F1176="","",IFERROR(INDEX(UnitBases,MATCH(F1176,UnitNames,0)),"?"))</f>
        <v>0</v>
      </c>
      <c r="L1176" s="17">
        <f>IF(D1176="","",IFERROR(INDEX(Ingredients!$G$5:$G$304,MATCH(D1176,Ingredients!$B$5:$B$304,0)),"Add to Ingredients"))</f>
        <v>0</v>
      </c>
      <c r="M1176" s="25">
        <f>IF(D1176="","",IFERROR(INDEX(Ingredients!$J$5:$J$304,MATCH(D1176,Ingredients!$B$5:$B$304,0)),"Add to Ingredients"))</f>
        <v>0</v>
      </c>
      <c r="N1176" s="25">
        <f>IF(OR(J1176="",M1176="",NOT(ISNUMBER(M1176))),"",IF(K1176&lt;&gt;L1176,"",J1176*M1176))</f>
        <v>0</v>
      </c>
      <c r="O1176" s="25">
        <f>IF(N1176="","",IFERROR(N1176/INDEX(Recipes!$G$5:$G$204,MATCH(B1176,Recipes!$A$5:$A$204,0)),""))</f>
        <v>0</v>
      </c>
      <c r="P1176" s="30">
        <f>IF(J1176="","",IF(K1176="each",J1176,J1176/100))</f>
        <v>0</v>
      </c>
      <c r="Q1176" s="30">
        <f>IFERROR(IF(P1176="","",P1176*INDEX(Ingredients!$P$5:$P$304,MATCH(D1176,Ingredients!$B$5:$B$304,0))),"")</f>
        <v>0</v>
      </c>
      <c r="R1176" s="45">
        <f>IFERROR(IF(P1176="","",P1176*INDEX(Ingredients!$Q$5:$Q$304,MATCH(D1176,Ingredients!$B$5:$B$304,0))),"")</f>
        <v>0</v>
      </c>
      <c r="S1176" s="45">
        <f>IFERROR(IF(P1176="","",P1176*INDEX(Ingredients!$R$5:$R$304,MATCH(D1176,Ingredients!$B$5:$B$304,0))),"")</f>
        <v>0</v>
      </c>
      <c r="T1176" s="45">
        <f>IFERROR(IF(P1176="","",P1176*INDEX(Ingredients!$S$5:$S$304,MATCH(D1176,Ingredients!$B$5:$B$304,0))),"")</f>
        <v>0</v>
      </c>
      <c r="U1176" s="45">
        <f>IFERROR(IF(P1176="","",P1176*INDEX(Ingredients!$T$5:$T$304,MATCH(D1176,Ingredients!$B$5:$B$304,0))),"")</f>
        <v>0</v>
      </c>
      <c r="V1176" s="17">
        <f>IF(D1176="","",IFERROR(INDEX(Ingredients!$W$5:$W$304,MATCH(D1176,Ingredients!$B$5:$B$304,0)),"Add to Ingredients"))</f>
        <v>0</v>
      </c>
      <c r="W1176" s="17">
        <f>IF(D1176="","",IFERROR(INDEX(Ingredients!$C$5:$C$304,MATCH(D1176,Ingredients!$B$5:$B$304,0)),"Add to Ingredients"))</f>
        <v>0</v>
      </c>
      <c r="X1176" s="45">
        <f>IFERROR(INDEX(Recipes!$AT$5:$AT$204,MATCH(B1176,Recipes!$A$5:$A$204,0)),0)</f>
        <v>0</v>
      </c>
      <c r="Y1176" s="45">
        <f>IF(OR(J1176="",X1176=0),"",J1176*X1176)</f>
        <v>0</v>
      </c>
      <c r="Z1176" s="17">
        <f>IF(D1176="","",B1176&amp;"#"&amp;COUNTIFS($B$5:B1176,B1176))</f>
        <v>0</v>
      </c>
      <c r="AA1176" s="17">
        <f>IF(D1176="","",B1176&amp;"|"&amp;D1176)</f>
        <v>0</v>
      </c>
      <c r="AB1176" s="31">
        <f>IF(D1176="","",IF(B1176="","Add - which recipe?",IF(COUNTIFS(Ingredients!$B$5:$B$304,D1176)=0,"Missing - not in the Ingredients tab",IF(E1176="","Add - no quantity",IF(F1176="","Add - no unit",IF(K1176&lt;&gt;L1176,"Check - recipe in "&amp;K1176&amp;", priced in "&amp;L1176,IF(COUNTIFS($AA$5:$AA$1204,AA1176)&gt;1,"Duplicate - same ingredient twice","OK")))))))</f>
        <v>0</v>
      </c>
    </row>
    <row r="1177" spans="1:28">
      <c r="A1177" s="39">
        <f>IF(D1177="","","RL-"&amp;TEXT(ROW()-4,"0000"))</f>
        <v>0</v>
      </c>
      <c r="C1177" s="17">
        <f>IF(B1177="","",IFERROR(INDEX(Recipes!$B$5:$B$204,MATCH(B1177,Recipes!$A$5:$A$204,0)),"Not found"))</f>
        <v>0</v>
      </c>
      <c r="J1177" s="45">
        <f>IF(E1177="","",IFERROR(E1177*INDEX(UnitFactors,MATCH(F1177,UnitNames,0)),""))</f>
        <v>0</v>
      </c>
      <c r="K1177" s="17">
        <f>IF(F1177="","",IFERROR(INDEX(UnitBases,MATCH(F1177,UnitNames,0)),"?"))</f>
        <v>0</v>
      </c>
      <c r="L1177" s="17">
        <f>IF(D1177="","",IFERROR(INDEX(Ingredients!$G$5:$G$304,MATCH(D1177,Ingredients!$B$5:$B$304,0)),"Add to Ingredients"))</f>
        <v>0</v>
      </c>
      <c r="M1177" s="25">
        <f>IF(D1177="","",IFERROR(INDEX(Ingredients!$J$5:$J$304,MATCH(D1177,Ingredients!$B$5:$B$304,0)),"Add to Ingredients"))</f>
        <v>0</v>
      </c>
      <c r="N1177" s="25">
        <f>IF(OR(J1177="",M1177="",NOT(ISNUMBER(M1177))),"",IF(K1177&lt;&gt;L1177,"",J1177*M1177))</f>
        <v>0</v>
      </c>
      <c r="O1177" s="25">
        <f>IF(N1177="","",IFERROR(N1177/INDEX(Recipes!$G$5:$G$204,MATCH(B1177,Recipes!$A$5:$A$204,0)),""))</f>
        <v>0</v>
      </c>
      <c r="P1177" s="30">
        <f>IF(J1177="","",IF(K1177="each",J1177,J1177/100))</f>
        <v>0</v>
      </c>
      <c r="Q1177" s="30">
        <f>IFERROR(IF(P1177="","",P1177*INDEX(Ingredients!$P$5:$P$304,MATCH(D1177,Ingredients!$B$5:$B$304,0))),"")</f>
        <v>0</v>
      </c>
      <c r="R1177" s="45">
        <f>IFERROR(IF(P1177="","",P1177*INDEX(Ingredients!$Q$5:$Q$304,MATCH(D1177,Ingredients!$B$5:$B$304,0))),"")</f>
        <v>0</v>
      </c>
      <c r="S1177" s="45">
        <f>IFERROR(IF(P1177="","",P1177*INDEX(Ingredients!$R$5:$R$304,MATCH(D1177,Ingredients!$B$5:$B$304,0))),"")</f>
        <v>0</v>
      </c>
      <c r="T1177" s="45">
        <f>IFERROR(IF(P1177="","",P1177*INDEX(Ingredients!$S$5:$S$304,MATCH(D1177,Ingredients!$B$5:$B$304,0))),"")</f>
        <v>0</v>
      </c>
      <c r="U1177" s="45">
        <f>IFERROR(IF(P1177="","",P1177*INDEX(Ingredients!$T$5:$T$304,MATCH(D1177,Ingredients!$B$5:$B$304,0))),"")</f>
        <v>0</v>
      </c>
      <c r="V1177" s="17">
        <f>IF(D1177="","",IFERROR(INDEX(Ingredients!$W$5:$W$304,MATCH(D1177,Ingredients!$B$5:$B$304,0)),"Add to Ingredients"))</f>
        <v>0</v>
      </c>
      <c r="W1177" s="17">
        <f>IF(D1177="","",IFERROR(INDEX(Ingredients!$C$5:$C$304,MATCH(D1177,Ingredients!$B$5:$B$304,0)),"Add to Ingredients"))</f>
        <v>0</v>
      </c>
      <c r="X1177" s="45">
        <f>IFERROR(INDEX(Recipes!$AT$5:$AT$204,MATCH(B1177,Recipes!$A$5:$A$204,0)),0)</f>
        <v>0</v>
      </c>
      <c r="Y1177" s="45">
        <f>IF(OR(J1177="",X1177=0),"",J1177*X1177)</f>
        <v>0</v>
      </c>
      <c r="Z1177" s="17">
        <f>IF(D1177="","",B1177&amp;"#"&amp;COUNTIFS($B$5:B1177,B1177))</f>
        <v>0</v>
      </c>
      <c r="AA1177" s="17">
        <f>IF(D1177="","",B1177&amp;"|"&amp;D1177)</f>
        <v>0</v>
      </c>
      <c r="AB1177" s="31">
        <f>IF(D1177="","",IF(B1177="","Add - which recipe?",IF(COUNTIFS(Ingredients!$B$5:$B$304,D1177)=0,"Missing - not in the Ingredients tab",IF(E1177="","Add - no quantity",IF(F1177="","Add - no unit",IF(K1177&lt;&gt;L1177,"Check - recipe in "&amp;K1177&amp;", priced in "&amp;L1177,IF(COUNTIFS($AA$5:$AA$1204,AA1177)&gt;1,"Duplicate - same ingredient twice","OK")))))))</f>
        <v>0</v>
      </c>
    </row>
    <row r="1178" spans="1:28">
      <c r="A1178" s="39">
        <f>IF(D1178="","","RL-"&amp;TEXT(ROW()-4,"0000"))</f>
        <v>0</v>
      </c>
      <c r="C1178" s="17">
        <f>IF(B1178="","",IFERROR(INDEX(Recipes!$B$5:$B$204,MATCH(B1178,Recipes!$A$5:$A$204,0)),"Not found"))</f>
        <v>0</v>
      </c>
      <c r="J1178" s="45">
        <f>IF(E1178="","",IFERROR(E1178*INDEX(UnitFactors,MATCH(F1178,UnitNames,0)),""))</f>
        <v>0</v>
      </c>
      <c r="K1178" s="17">
        <f>IF(F1178="","",IFERROR(INDEX(UnitBases,MATCH(F1178,UnitNames,0)),"?"))</f>
        <v>0</v>
      </c>
      <c r="L1178" s="17">
        <f>IF(D1178="","",IFERROR(INDEX(Ingredients!$G$5:$G$304,MATCH(D1178,Ingredients!$B$5:$B$304,0)),"Add to Ingredients"))</f>
        <v>0</v>
      </c>
      <c r="M1178" s="25">
        <f>IF(D1178="","",IFERROR(INDEX(Ingredients!$J$5:$J$304,MATCH(D1178,Ingredients!$B$5:$B$304,0)),"Add to Ingredients"))</f>
        <v>0</v>
      </c>
      <c r="N1178" s="25">
        <f>IF(OR(J1178="",M1178="",NOT(ISNUMBER(M1178))),"",IF(K1178&lt;&gt;L1178,"",J1178*M1178))</f>
        <v>0</v>
      </c>
      <c r="O1178" s="25">
        <f>IF(N1178="","",IFERROR(N1178/INDEX(Recipes!$G$5:$G$204,MATCH(B1178,Recipes!$A$5:$A$204,0)),""))</f>
        <v>0</v>
      </c>
      <c r="P1178" s="30">
        <f>IF(J1178="","",IF(K1178="each",J1178,J1178/100))</f>
        <v>0</v>
      </c>
      <c r="Q1178" s="30">
        <f>IFERROR(IF(P1178="","",P1178*INDEX(Ingredients!$P$5:$P$304,MATCH(D1178,Ingredients!$B$5:$B$304,0))),"")</f>
        <v>0</v>
      </c>
      <c r="R1178" s="45">
        <f>IFERROR(IF(P1178="","",P1178*INDEX(Ingredients!$Q$5:$Q$304,MATCH(D1178,Ingredients!$B$5:$B$304,0))),"")</f>
        <v>0</v>
      </c>
      <c r="S1178" s="45">
        <f>IFERROR(IF(P1178="","",P1178*INDEX(Ingredients!$R$5:$R$304,MATCH(D1178,Ingredients!$B$5:$B$304,0))),"")</f>
        <v>0</v>
      </c>
      <c r="T1178" s="45">
        <f>IFERROR(IF(P1178="","",P1178*INDEX(Ingredients!$S$5:$S$304,MATCH(D1178,Ingredients!$B$5:$B$304,0))),"")</f>
        <v>0</v>
      </c>
      <c r="U1178" s="45">
        <f>IFERROR(IF(P1178="","",P1178*INDEX(Ingredients!$T$5:$T$304,MATCH(D1178,Ingredients!$B$5:$B$304,0))),"")</f>
        <v>0</v>
      </c>
      <c r="V1178" s="17">
        <f>IF(D1178="","",IFERROR(INDEX(Ingredients!$W$5:$W$304,MATCH(D1178,Ingredients!$B$5:$B$304,0)),"Add to Ingredients"))</f>
        <v>0</v>
      </c>
      <c r="W1178" s="17">
        <f>IF(D1178="","",IFERROR(INDEX(Ingredients!$C$5:$C$304,MATCH(D1178,Ingredients!$B$5:$B$304,0)),"Add to Ingredients"))</f>
        <v>0</v>
      </c>
      <c r="X1178" s="45">
        <f>IFERROR(INDEX(Recipes!$AT$5:$AT$204,MATCH(B1178,Recipes!$A$5:$A$204,0)),0)</f>
        <v>0</v>
      </c>
      <c r="Y1178" s="45">
        <f>IF(OR(J1178="",X1178=0),"",J1178*X1178)</f>
        <v>0</v>
      </c>
      <c r="Z1178" s="17">
        <f>IF(D1178="","",B1178&amp;"#"&amp;COUNTIFS($B$5:B1178,B1178))</f>
        <v>0</v>
      </c>
      <c r="AA1178" s="17">
        <f>IF(D1178="","",B1178&amp;"|"&amp;D1178)</f>
        <v>0</v>
      </c>
      <c r="AB1178" s="31">
        <f>IF(D1178="","",IF(B1178="","Add - which recipe?",IF(COUNTIFS(Ingredients!$B$5:$B$304,D1178)=0,"Missing - not in the Ingredients tab",IF(E1178="","Add - no quantity",IF(F1178="","Add - no unit",IF(K1178&lt;&gt;L1178,"Check - recipe in "&amp;K1178&amp;", priced in "&amp;L1178,IF(COUNTIFS($AA$5:$AA$1204,AA1178)&gt;1,"Duplicate - same ingredient twice","OK")))))))</f>
        <v>0</v>
      </c>
    </row>
    <row r="1179" spans="1:28">
      <c r="A1179" s="39">
        <f>IF(D1179="","","RL-"&amp;TEXT(ROW()-4,"0000"))</f>
        <v>0</v>
      </c>
      <c r="C1179" s="17">
        <f>IF(B1179="","",IFERROR(INDEX(Recipes!$B$5:$B$204,MATCH(B1179,Recipes!$A$5:$A$204,0)),"Not found"))</f>
        <v>0</v>
      </c>
      <c r="J1179" s="45">
        <f>IF(E1179="","",IFERROR(E1179*INDEX(UnitFactors,MATCH(F1179,UnitNames,0)),""))</f>
        <v>0</v>
      </c>
      <c r="K1179" s="17">
        <f>IF(F1179="","",IFERROR(INDEX(UnitBases,MATCH(F1179,UnitNames,0)),"?"))</f>
        <v>0</v>
      </c>
      <c r="L1179" s="17">
        <f>IF(D1179="","",IFERROR(INDEX(Ingredients!$G$5:$G$304,MATCH(D1179,Ingredients!$B$5:$B$304,0)),"Add to Ingredients"))</f>
        <v>0</v>
      </c>
      <c r="M1179" s="25">
        <f>IF(D1179="","",IFERROR(INDEX(Ingredients!$J$5:$J$304,MATCH(D1179,Ingredients!$B$5:$B$304,0)),"Add to Ingredients"))</f>
        <v>0</v>
      </c>
      <c r="N1179" s="25">
        <f>IF(OR(J1179="",M1179="",NOT(ISNUMBER(M1179))),"",IF(K1179&lt;&gt;L1179,"",J1179*M1179))</f>
        <v>0</v>
      </c>
      <c r="O1179" s="25">
        <f>IF(N1179="","",IFERROR(N1179/INDEX(Recipes!$G$5:$G$204,MATCH(B1179,Recipes!$A$5:$A$204,0)),""))</f>
        <v>0</v>
      </c>
      <c r="P1179" s="30">
        <f>IF(J1179="","",IF(K1179="each",J1179,J1179/100))</f>
        <v>0</v>
      </c>
      <c r="Q1179" s="30">
        <f>IFERROR(IF(P1179="","",P1179*INDEX(Ingredients!$P$5:$P$304,MATCH(D1179,Ingredients!$B$5:$B$304,0))),"")</f>
        <v>0</v>
      </c>
      <c r="R1179" s="45">
        <f>IFERROR(IF(P1179="","",P1179*INDEX(Ingredients!$Q$5:$Q$304,MATCH(D1179,Ingredients!$B$5:$B$304,0))),"")</f>
        <v>0</v>
      </c>
      <c r="S1179" s="45">
        <f>IFERROR(IF(P1179="","",P1179*INDEX(Ingredients!$R$5:$R$304,MATCH(D1179,Ingredients!$B$5:$B$304,0))),"")</f>
        <v>0</v>
      </c>
      <c r="T1179" s="45">
        <f>IFERROR(IF(P1179="","",P1179*INDEX(Ingredients!$S$5:$S$304,MATCH(D1179,Ingredients!$B$5:$B$304,0))),"")</f>
        <v>0</v>
      </c>
      <c r="U1179" s="45">
        <f>IFERROR(IF(P1179="","",P1179*INDEX(Ingredients!$T$5:$T$304,MATCH(D1179,Ingredients!$B$5:$B$304,0))),"")</f>
        <v>0</v>
      </c>
      <c r="V1179" s="17">
        <f>IF(D1179="","",IFERROR(INDEX(Ingredients!$W$5:$W$304,MATCH(D1179,Ingredients!$B$5:$B$304,0)),"Add to Ingredients"))</f>
        <v>0</v>
      </c>
      <c r="W1179" s="17">
        <f>IF(D1179="","",IFERROR(INDEX(Ingredients!$C$5:$C$304,MATCH(D1179,Ingredients!$B$5:$B$304,0)),"Add to Ingredients"))</f>
        <v>0</v>
      </c>
      <c r="X1179" s="45">
        <f>IFERROR(INDEX(Recipes!$AT$5:$AT$204,MATCH(B1179,Recipes!$A$5:$A$204,0)),0)</f>
        <v>0</v>
      </c>
      <c r="Y1179" s="45">
        <f>IF(OR(J1179="",X1179=0),"",J1179*X1179)</f>
        <v>0</v>
      </c>
      <c r="Z1179" s="17">
        <f>IF(D1179="","",B1179&amp;"#"&amp;COUNTIFS($B$5:B1179,B1179))</f>
        <v>0</v>
      </c>
      <c r="AA1179" s="17">
        <f>IF(D1179="","",B1179&amp;"|"&amp;D1179)</f>
        <v>0</v>
      </c>
      <c r="AB1179" s="31">
        <f>IF(D1179="","",IF(B1179="","Add - which recipe?",IF(COUNTIFS(Ingredients!$B$5:$B$304,D1179)=0,"Missing - not in the Ingredients tab",IF(E1179="","Add - no quantity",IF(F1179="","Add - no unit",IF(K1179&lt;&gt;L1179,"Check - recipe in "&amp;K1179&amp;", priced in "&amp;L1179,IF(COUNTIFS($AA$5:$AA$1204,AA1179)&gt;1,"Duplicate - same ingredient twice","OK")))))))</f>
        <v>0</v>
      </c>
    </row>
    <row r="1180" spans="1:28">
      <c r="A1180" s="39">
        <f>IF(D1180="","","RL-"&amp;TEXT(ROW()-4,"0000"))</f>
        <v>0</v>
      </c>
      <c r="C1180" s="17">
        <f>IF(B1180="","",IFERROR(INDEX(Recipes!$B$5:$B$204,MATCH(B1180,Recipes!$A$5:$A$204,0)),"Not found"))</f>
        <v>0</v>
      </c>
      <c r="J1180" s="45">
        <f>IF(E1180="","",IFERROR(E1180*INDEX(UnitFactors,MATCH(F1180,UnitNames,0)),""))</f>
        <v>0</v>
      </c>
      <c r="K1180" s="17">
        <f>IF(F1180="","",IFERROR(INDEX(UnitBases,MATCH(F1180,UnitNames,0)),"?"))</f>
        <v>0</v>
      </c>
      <c r="L1180" s="17">
        <f>IF(D1180="","",IFERROR(INDEX(Ingredients!$G$5:$G$304,MATCH(D1180,Ingredients!$B$5:$B$304,0)),"Add to Ingredients"))</f>
        <v>0</v>
      </c>
      <c r="M1180" s="25">
        <f>IF(D1180="","",IFERROR(INDEX(Ingredients!$J$5:$J$304,MATCH(D1180,Ingredients!$B$5:$B$304,0)),"Add to Ingredients"))</f>
        <v>0</v>
      </c>
      <c r="N1180" s="25">
        <f>IF(OR(J1180="",M1180="",NOT(ISNUMBER(M1180))),"",IF(K1180&lt;&gt;L1180,"",J1180*M1180))</f>
        <v>0</v>
      </c>
      <c r="O1180" s="25">
        <f>IF(N1180="","",IFERROR(N1180/INDEX(Recipes!$G$5:$G$204,MATCH(B1180,Recipes!$A$5:$A$204,0)),""))</f>
        <v>0</v>
      </c>
      <c r="P1180" s="30">
        <f>IF(J1180="","",IF(K1180="each",J1180,J1180/100))</f>
        <v>0</v>
      </c>
      <c r="Q1180" s="30">
        <f>IFERROR(IF(P1180="","",P1180*INDEX(Ingredients!$P$5:$P$304,MATCH(D1180,Ingredients!$B$5:$B$304,0))),"")</f>
        <v>0</v>
      </c>
      <c r="R1180" s="45">
        <f>IFERROR(IF(P1180="","",P1180*INDEX(Ingredients!$Q$5:$Q$304,MATCH(D1180,Ingredients!$B$5:$B$304,0))),"")</f>
        <v>0</v>
      </c>
      <c r="S1180" s="45">
        <f>IFERROR(IF(P1180="","",P1180*INDEX(Ingredients!$R$5:$R$304,MATCH(D1180,Ingredients!$B$5:$B$304,0))),"")</f>
        <v>0</v>
      </c>
      <c r="T1180" s="45">
        <f>IFERROR(IF(P1180="","",P1180*INDEX(Ingredients!$S$5:$S$304,MATCH(D1180,Ingredients!$B$5:$B$304,0))),"")</f>
        <v>0</v>
      </c>
      <c r="U1180" s="45">
        <f>IFERROR(IF(P1180="","",P1180*INDEX(Ingredients!$T$5:$T$304,MATCH(D1180,Ingredients!$B$5:$B$304,0))),"")</f>
        <v>0</v>
      </c>
      <c r="V1180" s="17">
        <f>IF(D1180="","",IFERROR(INDEX(Ingredients!$W$5:$W$304,MATCH(D1180,Ingredients!$B$5:$B$304,0)),"Add to Ingredients"))</f>
        <v>0</v>
      </c>
      <c r="W1180" s="17">
        <f>IF(D1180="","",IFERROR(INDEX(Ingredients!$C$5:$C$304,MATCH(D1180,Ingredients!$B$5:$B$304,0)),"Add to Ingredients"))</f>
        <v>0</v>
      </c>
      <c r="X1180" s="45">
        <f>IFERROR(INDEX(Recipes!$AT$5:$AT$204,MATCH(B1180,Recipes!$A$5:$A$204,0)),0)</f>
        <v>0</v>
      </c>
      <c r="Y1180" s="45">
        <f>IF(OR(J1180="",X1180=0),"",J1180*X1180)</f>
        <v>0</v>
      </c>
      <c r="Z1180" s="17">
        <f>IF(D1180="","",B1180&amp;"#"&amp;COUNTIFS($B$5:B1180,B1180))</f>
        <v>0</v>
      </c>
      <c r="AA1180" s="17">
        <f>IF(D1180="","",B1180&amp;"|"&amp;D1180)</f>
        <v>0</v>
      </c>
      <c r="AB1180" s="31">
        <f>IF(D1180="","",IF(B1180="","Add - which recipe?",IF(COUNTIFS(Ingredients!$B$5:$B$304,D1180)=0,"Missing - not in the Ingredients tab",IF(E1180="","Add - no quantity",IF(F1180="","Add - no unit",IF(K1180&lt;&gt;L1180,"Check - recipe in "&amp;K1180&amp;", priced in "&amp;L1180,IF(COUNTIFS($AA$5:$AA$1204,AA1180)&gt;1,"Duplicate - same ingredient twice","OK")))))))</f>
        <v>0</v>
      </c>
    </row>
    <row r="1181" spans="1:28">
      <c r="A1181" s="39">
        <f>IF(D1181="","","RL-"&amp;TEXT(ROW()-4,"0000"))</f>
        <v>0</v>
      </c>
      <c r="C1181" s="17">
        <f>IF(B1181="","",IFERROR(INDEX(Recipes!$B$5:$B$204,MATCH(B1181,Recipes!$A$5:$A$204,0)),"Not found"))</f>
        <v>0</v>
      </c>
      <c r="J1181" s="45">
        <f>IF(E1181="","",IFERROR(E1181*INDEX(UnitFactors,MATCH(F1181,UnitNames,0)),""))</f>
        <v>0</v>
      </c>
      <c r="K1181" s="17">
        <f>IF(F1181="","",IFERROR(INDEX(UnitBases,MATCH(F1181,UnitNames,0)),"?"))</f>
        <v>0</v>
      </c>
      <c r="L1181" s="17">
        <f>IF(D1181="","",IFERROR(INDEX(Ingredients!$G$5:$G$304,MATCH(D1181,Ingredients!$B$5:$B$304,0)),"Add to Ingredients"))</f>
        <v>0</v>
      </c>
      <c r="M1181" s="25">
        <f>IF(D1181="","",IFERROR(INDEX(Ingredients!$J$5:$J$304,MATCH(D1181,Ingredients!$B$5:$B$304,0)),"Add to Ingredients"))</f>
        <v>0</v>
      </c>
      <c r="N1181" s="25">
        <f>IF(OR(J1181="",M1181="",NOT(ISNUMBER(M1181))),"",IF(K1181&lt;&gt;L1181,"",J1181*M1181))</f>
        <v>0</v>
      </c>
      <c r="O1181" s="25">
        <f>IF(N1181="","",IFERROR(N1181/INDEX(Recipes!$G$5:$G$204,MATCH(B1181,Recipes!$A$5:$A$204,0)),""))</f>
        <v>0</v>
      </c>
      <c r="P1181" s="30">
        <f>IF(J1181="","",IF(K1181="each",J1181,J1181/100))</f>
        <v>0</v>
      </c>
      <c r="Q1181" s="30">
        <f>IFERROR(IF(P1181="","",P1181*INDEX(Ingredients!$P$5:$P$304,MATCH(D1181,Ingredients!$B$5:$B$304,0))),"")</f>
        <v>0</v>
      </c>
      <c r="R1181" s="45">
        <f>IFERROR(IF(P1181="","",P1181*INDEX(Ingredients!$Q$5:$Q$304,MATCH(D1181,Ingredients!$B$5:$B$304,0))),"")</f>
        <v>0</v>
      </c>
      <c r="S1181" s="45">
        <f>IFERROR(IF(P1181="","",P1181*INDEX(Ingredients!$R$5:$R$304,MATCH(D1181,Ingredients!$B$5:$B$304,0))),"")</f>
        <v>0</v>
      </c>
      <c r="T1181" s="45">
        <f>IFERROR(IF(P1181="","",P1181*INDEX(Ingredients!$S$5:$S$304,MATCH(D1181,Ingredients!$B$5:$B$304,0))),"")</f>
        <v>0</v>
      </c>
      <c r="U1181" s="45">
        <f>IFERROR(IF(P1181="","",P1181*INDEX(Ingredients!$T$5:$T$304,MATCH(D1181,Ingredients!$B$5:$B$304,0))),"")</f>
        <v>0</v>
      </c>
      <c r="V1181" s="17">
        <f>IF(D1181="","",IFERROR(INDEX(Ingredients!$W$5:$W$304,MATCH(D1181,Ingredients!$B$5:$B$304,0)),"Add to Ingredients"))</f>
        <v>0</v>
      </c>
      <c r="W1181" s="17">
        <f>IF(D1181="","",IFERROR(INDEX(Ingredients!$C$5:$C$304,MATCH(D1181,Ingredients!$B$5:$B$304,0)),"Add to Ingredients"))</f>
        <v>0</v>
      </c>
      <c r="X1181" s="45">
        <f>IFERROR(INDEX(Recipes!$AT$5:$AT$204,MATCH(B1181,Recipes!$A$5:$A$204,0)),0)</f>
        <v>0</v>
      </c>
      <c r="Y1181" s="45">
        <f>IF(OR(J1181="",X1181=0),"",J1181*X1181)</f>
        <v>0</v>
      </c>
      <c r="Z1181" s="17">
        <f>IF(D1181="","",B1181&amp;"#"&amp;COUNTIFS($B$5:B1181,B1181))</f>
        <v>0</v>
      </c>
      <c r="AA1181" s="17">
        <f>IF(D1181="","",B1181&amp;"|"&amp;D1181)</f>
        <v>0</v>
      </c>
      <c r="AB1181" s="31">
        <f>IF(D1181="","",IF(B1181="","Add - which recipe?",IF(COUNTIFS(Ingredients!$B$5:$B$304,D1181)=0,"Missing - not in the Ingredients tab",IF(E1181="","Add - no quantity",IF(F1181="","Add - no unit",IF(K1181&lt;&gt;L1181,"Check - recipe in "&amp;K1181&amp;", priced in "&amp;L1181,IF(COUNTIFS($AA$5:$AA$1204,AA1181)&gt;1,"Duplicate - same ingredient twice","OK")))))))</f>
        <v>0</v>
      </c>
    </row>
    <row r="1182" spans="1:28">
      <c r="A1182" s="39">
        <f>IF(D1182="","","RL-"&amp;TEXT(ROW()-4,"0000"))</f>
        <v>0</v>
      </c>
      <c r="C1182" s="17">
        <f>IF(B1182="","",IFERROR(INDEX(Recipes!$B$5:$B$204,MATCH(B1182,Recipes!$A$5:$A$204,0)),"Not found"))</f>
        <v>0</v>
      </c>
      <c r="J1182" s="45">
        <f>IF(E1182="","",IFERROR(E1182*INDEX(UnitFactors,MATCH(F1182,UnitNames,0)),""))</f>
        <v>0</v>
      </c>
      <c r="K1182" s="17">
        <f>IF(F1182="","",IFERROR(INDEX(UnitBases,MATCH(F1182,UnitNames,0)),"?"))</f>
        <v>0</v>
      </c>
      <c r="L1182" s="17">
        <f>IF(D1182="","",IFERROR(INDEX(Ingredients!$G$5:$G$304,MATCH(D1182,Ingredients!$B$5:$B$304,0)),"Add to Ingredients"))</f>
        <v>0</v>
      </c>
      <c r="M1182" s="25">
        <f>IF(D1182="","",IFERROR(INDEX(Ingredients!$J$5:$J$304,MATCH(D1182,Ingredients!$B$5:$B$304,0)),"Add to Ingredients"))</f>
        <v>0</v>
      </c>
      <c r="N1182" s="25">
        <f>IF(OR(J1182="",M1182="",NOT(ISNUMBER(M1182))),"",IF(K1182&lt;&gt;L1182,"",J1182*M1182))</f>
        <v>0</v>
      </c>
      <c r="O1182" s="25">
        <f>IF(N1182="","",IFERROR(N1182/INDEX(Recipes!$G$5:$G$204,MATCH(B1182,Recipes!$A$5:$A$204,0)),""))</f>
        <v>0</v>
      </c>
      <c r="P1182" s="30">
        <f>IF(J1182="","",IF(K1182="each",J1182,J1182/100))</f>
        <v>0</v>
      </c>
      <c r="Q1182" s="30">
        <f>IFERROR(IF(P1182="","",P1182*INDEX(Ingredients!$P$5:$P$304,MATCH(D1182,Ingredients!$B$5:$B$304,0))),"")</f>
        <v>0</v>
      </c>
      <c r="R1182" s="45">
        <f>IFERROR(IF(P1182="","",P1182*INDEX(Ingredients!$Q$5:$Q$304,MATCH(D1182,Ingredients!$B$5:$B$304,0))),"")</f>
        <v>0</v>
      </c>
      <c r="S1182" s="45">
        <f>IFERROR(IF(P1182="","",P1182*INDEX(Ingredients!$R$5:$R$304,MATCH(D1182,Ingredients!$B$5:$B$304,0))),"")</f>
        <v>0</v>
      </c>
      <c r="T1182" s="45">
        <f>IFERROR(IF(P1182="","",P1182*INDEX(Ingredients!$S$5:$S$304,MATCH(D1182,Ingredients!$B$5:$B$304,0))),"")</f>
        <v>0</v>
      </c>
      <c r="U1182" s="45">
        <f>IFERROR(IF(P1182="","",P1182*INDEX(Ingredients!$T$5:$T$304,MATCH(D1182,Ingredients!$B$5:$B$304,0))),"")</f>
        <v>0</v>
      </c>
      <c r="V1182" s="17">
        <f>IF(D1182="","",IFERROR(INDEX(Ingredients!$W$5:$W$304,MATCH(D1182,Ingredients!$B$5:$B$304,0)),"Add to Ingredients"))</f>
        <v>0</v>
      </c>
      <c r="W1182" s="17">
        <f>IF(D1182="","",IFERROR(INDEX(Ingredients!$C$5:$C$304,MATCH(D1182,Ingredients!$B$5:$B$304,0)),"Add to Ingredients"))</f>
        <v>0</v>
      </c>
      <c r="X1182" s="45">
        <f>IFERROR(INDEX(Recipes!$AT$5:$AT$204,MATCH(B1182,Recipes!$A$5:$A$204,0)),0)</f>
        <v>0</v>
      </c>
      <c r="Y1182" s="45">
        <f>IF(OR(J1182="",X1182=0),"",J1182*X1182)</f>
        <v>0</v>
      </c>
      <c r="Z1182" s="17">
        <f>IF(D1182="","",B1182&amp;"#"&amp;COUNTIFS($B$5:B1182,B1182))</f>
        <v>0</v>
      </c>
      <c r="AA1182" s="17">
        <f>IF(D1182="","",B1182&amp;"|"&amp;D1182)</f>
        <v>0</v>
      </c>
      <c r="AB1182" s="31">
        <f>IF(D1182="","",IF(B1182="","Add - which recipe?",IF(COUNTIFS(Ingredients!$B$5:$B$304,D1182)=0,"Missing - not in the Ingredients tab",IF(E1182="","Add - no quantity",IF(F1182="","Add - no unit",IF(K1182&lt;&gt;L1182,"Check - recipe in "&amp;K1182&amp;", priced in "&amp;L1182,IF(COUNTIFS($AA$5:$AA$1204,AA1182)&gt;1,"Duplicate - same ingredient twice","OK")))))))</f>
        <v>0</v>
      </c>
    </row>
    <row r="1183" spans="1:28">
      <c r="A1183" s="39">
        <f>IF(D1183="","","RL-"&amp;TEXT(ROW()-4,"0000"))</f>
        <v>0</v>
      </c>
      <c r="C1183" s="17">
        <f>IF(B1183="","",IFERROR(INDEX(Recipes!$B$5:$B$204,MATCH(B1183,Recipes!$A$5:$A$204,0)),"Not found"))</f>
        <v>0</v>
      </c>
      <c r="J1183" s="45">
        <f>IF(E1183="","",IFERROR(E1183*INDEX(UnitFactors,MATCH(F1183,UnitNames,0)),""))</f>
        <v>0</v>
      </c>
      <c r="K1183" s="17">
        <f>IF(F1183="","",IFERROR(INDEX(UnitBases,MATCH(F1183,UnitNames,0)),"?"))</f>
        <v>0</v>
      </c>
      <c r="L1183" s="17">
        <f>IF(D1183="","",IFERROR(INDEX(Ingredients!$G$5:$G$304,MATCH(D1183,Ingredients!$B$5:$B$304,0)),"Add to Ingredients"))</f>
        <v>0</v>
      </c>
      <c r="M1183" s="25">
        <f>IF(D1183="","",IFERROR(INDEX(Ingredients!$J$5:$J$304,MATCH(D1183,Ingredients!$B$5:$B$304,0)),"Add to Ingredients"))</f>
        <v>0</v>
      </c>
      <c r="N1183" s="25">
        <f>IF(OR(J1183="",M1183="",NOT(ISNUMBER(M1183))),"",IF(K1183&lt;&gt;L1183,"",J1183*M1183))</f>
        <v>0</v>
      </c>
      <c r="O1183" s="25">
        <f>IF(N1183="","",IFERROR(N1183/INDEX(Recipes!$G$5:$G$204,MATCH(B1183,Recipes!$A$5:$A$204,0)),""))</f>
        <v>0</v>
      </c>
      <c r="P1183" s="30">
        <f>IF(J1183="","",IF(K1183="each",J1183,J1183/100))</f>
        <v>0</v>
      </c>
      <c r="Q1183" s="30">
        <f>IFERROR(IF(P1183="","",P1183*INDEX(Ingredients!$P$5:$P$304,MATCH(D1183,Ingredients!$B$5:$B$304,0))),"")</f>
        <v>0</v>
      </c>
      <c r="R1183" s="45">
        <f>IFERROR(IF(P1183="","",P1183*INDEX(Ingredients!$Q$5:$Q$304,MATCH(D1183,Ingredients!$B$5:$B$304,0))),"")</f>
        <v>0</v>
      </c>
      <c r="S1183" s="45">
        <f>IFERROR(IF(P1183="","",P1183*INDEX(Ingredients!$R$5:$R$304,MATCH(D1183,Ingredients!$B$5:$B$304,0))),"")</f>
        <v>0</v>
      </c>
      <c r="T1183" s="45">
        <f>IFERROR(IF(P1183="","",P1183*INDEX(Ingredients!$S$5:$S$304,MATCH(D1183,Ingredients!$B$5:$B$304,0))),"")</f>
        <v>0</v>
      </c>
      <c r="U1183" s="45">
        <f>IFERROR(IF(P1183="","",P1183*INDEX(Ingredients!$T$5:$T$304,MATCH(D1183,Ingredients!$B$5:$B$304,0))),"")</f>
        <v>0</v>
      </c>
      <c r="V1183" s="17">
        <f>IF(D1183="","",IFERROR(INDEX(Ingredients!$W$5:$W$304,MATCH(D1183,Ingredients!$B$5:$B$304,0)),"Add to Ingredients"))</f>
        <v>0</v>
      </c>
      <c r="W1183" s="17">
        <f>IF(D1183="","",IFERROR(INDEX(Ingredients!$C$5:$C$304,MATCH(D1183,Ingredients!$B$5:$B$304,0)),"Add to Ingredients"))</f>
        <v>0</v>
      </c>
      <c r="X1183" s="45">
        <f>IFERROR(INDEX(Recipes!$AT$5:$AT$204,MATCH(B1183,Recipes!$A$5:$A$204,0)),0)</f>
        <v>0</v>
      </c>
      <c r="Y1183" s="45">
        <f>IF(OR(J1183="",X1183=0),"",J1183*X1183)</f>
        <v>0</v>
      </c>
      <c r="Z1183" s="17">
        <f>IF(D1183="","",B1183&amp;"#"&amp;COUNTIFS($B$5:B1183,B1183))</f>
        <v>0</v>
      </c>
      <c r="AA1183" s="17">
        <f>IF(D1183="","",B1183&amp;"|"&amp;D1183)</f>
        <v>0</v>
      </c>
      <c r="AB1183" s="31">
        <f>IF(D1183="","",IF(B1183="","Add - which recipe?",IF(COUNTIFS(Ingredients!$B$5:$B$304,D1183)=0,"Missing - not in the Ingredients tab",IF(E1183="","Add - no quantity",IF(F1183="","Add - no unit",IF(K1183&lt;&gt;L1183,"Check - recipe in "&amp;K1183&amp;", priced in "&amp;L1183,IF(COUNTIFS($AA$5:$AA$1204,AA1183)&gt;1,"Duplicate - same ingredient twice","OK")))))))</f>
        <v>0</v>
      </c>
    </row>
    <row r="1184" spans="1:28">
      <c r="A1184" s="39">
        <f>IF(D1184="","","RL-"&amp;TEXT(ROW()-4,"0000"))</f>
        <v>0</v>
      </c>
      <c r="C1184" s="17">
        <f>IF(B1184="","",IFERROR(INDEX(Recipes!$B$5:$B$204,MATCH(B1184,Recipes!$A$5:$A$204,0)),"Not found"))</f>
        <v>0</v>
      </c>
      <c r="J1184" s="45">
        <f>IF(E1184="","",IFERROR(E1184*INDEX(UnitFactors,MATCH(F1184,UnitNames,0)),""))</f>
        <v>0</v>
      </c>
      <c r="K1184" s="17">
        <f>IF(F1184="","",IFERROR(INDEX(UnitBases,MATCH(F1184,UnitNames,0)),"?"))</f>
        <v>0</v>
      </c>
      <c r="L1184" s="17">
        <f>IF(D1184="","",IFERROR(INDEX(Ingredients!$G$5:$G$304,MATCH(D1184,Ingredients!$B$5:$B$304,0)),"Add to Ingredients"))</f>
        <v>0</v>
      </c>
      <c r="M1184" s="25">
        <f>IF(D1184="","",IFERROR(INDEX(Ingredients!$J$5:$J$304,MATCH(D1184,Ingredients!$B$5:$B$304,0)),"Add to Ingredients"))</f>
        <v>0</v>
      </c>
      <c r="N1184" s="25">
        <f>IF(OR(J1184="",M1184="",NOT(ISNUMBER(M1184))),"",IF(K1184&lt;&gt;L1184,"",J1184*M1184))</f>
        <v>0</v>
      </c>
      <c r="O1184" s="25">
        <f>IF(N1184="","",IFERROR(N1184/INDEX(Recipes!$G$5:$G$204,MATCH(B1184,Recipes!$A$5:$A$204,0)),""))</f>
        <v>0</v>
      </c>
      <c r="P1184" s="30">
        <f>IF(J1184="","",IF(K1184="each",J1184,J1184/100))</f>
        <v>0</v>
      </c>
      <c r="Q1184" s="30">
        <f>IFERROR(IF(P1184="","",P1184*INDEX(Ingredients!$P$5:$P$304,MATCH(D1184,Ingredients!$B$5:$B$304,0))),"")</f>
        <v>0</v>
      </c>
      <c r="R1184" s="45">
        <f>IFERROR(IF(P1184="","",P1184*INDEX(Ingredients!$Q$5:$Q$304,MATCH(D1184,Ingredients!$B$5:$B$304,0))),"")</f>
        <v>0</v>
      </c>
      <c r="S1184" s="45">
        <f>IFERROR(IF(P1184="","",P1184*INDEX(Ingredients!$R$5:$R$304,MATCH(D1184,Ingredients!$B$5:$B$304,0))),"")</f>
        <v>0</v>
      </c>
      <c r="T1184" s="45">
        <f>IFERROR(IF(P1184="","",P1184*INDEX(Ingredients!$S$5:$S$304,MATCH(D1184,Ingredients!$B$5:$B$304,0))),"")</f>
        <v>0</v>
      </c>
      <c r="U1184" s="45">
        <f>IFERROR(IF(P1184="","",P1184*INDEX(Ingredients!$T$5:$T$304,MATCH(D1184,Ingredients!$B$5:$B$304,0))),"")</f>
        <v>0</v>
      </c>
      <c r="V1184" s="17">
        <f>IF(D1184="","",IFERROR(INDEX(Ingredients!$W$5:$W$304,MATCH(D1184,Ingredients!$B$5:$B$304,0)),"Add to Ingredients"))</f>
        <v>0</v>
      </c>
      <c r="W1184" s="17">
        <f>IF(D1184="","",IFERROR(INDEX(Ingredients!$C$5:$C$304,MATCH(D1184,Ingredients!$B$5:$B$304,0)),"Add to Ingredients"))</f>
        <v>0</v>
      </c>
      <c r="X1184" s="45">
        <f>IFERROR(INDEX(Recipes!$AT$5:$AT$204,MATCH(B1184,Recipes!$A$5:$A$204,0)),0)</f>
        <v>0</v>
      </c>
      <c r="Y1184" s="45">
        <f>IF(OR(J1184="",X1184=0),"",J1184*X1184)</f>
        <v>0</v>
      </c>
      <c r="Z1184" s="17">
        <f>IF(D1184="","",B1184&amp;"#"&amp;COUNTIFS($B$5:B1184,B1184))</f>
        <v>0</v>
      </c>
      <c r="AA1184" s="17">
        <f>IF(D1184="","",B1184&amp;"|"&amp;D1184)</f>
        <v>0</v>
      </c>
      <c r="AB1184" s="31">
        <f>IF(D1184="","",IF(B1184="","Add - which recipe?",IF(COUNTIFS(Ingredients!$B$5:$B$304,D1184)=0,"Missing - not in the Ingredients tab",IF(E1184="","Add - no quantity",IF(F1184="","Add - no unit",IF(K1184&lt;&gt;L1184,"Check - recipe in "&amp;K1184&amp;", priced in "&amp;L1184,IF(COUNTIFS($AA$5:$AA$1204,AA1184)&gt;1,"Duplicate - same ingredient twice","OK")))))))</f>
        <v>0</v>
      </c>
    </row>
    <row r="1185" spans="1:28">
      <c r="A1185" s="39">
        <f>IF(D1185="","","RL-"&amp;TEXT(ROW()-4,"0000"))</f>
        <v>0</v>
      </c>
      <c r="C1185" s="17">
        <f>IF(B1185="","",IFERROR(INDEX(Recipes!$B$5:$B$204,MATCH(B1185,Recipes!$A$5:$A$204,0)),"Not found"))</f>
        <v>0</v>
      </c>
      <c r="J1185" s="45">
        <f>IF(E1185="","",IFERROR(E1185*INDEX(UnitFactors,MATCH(F1185,UnitNames,0)),""))</f>
        <v>0</v>
      </c>
      <c r="K1185" s="17">
        <f>IF(F1185="","",IFERROR(INDEX(UnitBases,MATCH(F1185,UnitNames,0)),"?"))</f>
        <v>0</v>
      </c>
      <c r="L1185" s="17">
        <f>IF(D1185="","",IFERROR(INDEX(Ingredients!$G$5:$G$304,MATCH(D1185,Ingredients!$B$5:$B$304,0)),"Add to Ingredients"))</f>
        <v>0</v>
      </c>
      <c r="M1185" s="25">
        <f>IF(D1185="","",IFERROR(INDEX(Ingredients!$J$5:$J$304,MATCH(D1185,Ingredients!$B$5:$B$304,0)),"Add to Ingredients"))</f>
        <v>0</v>
      </c>
      <c r="N1185" s="25">
        <f>IF(OR(J1185="",M1185="",NOT(ISNUMBER(M1185))),"",IF(K1185&lt;&gt;L1185,"",J1185*M1185))</f>
        <v>0</v>
      </c>
      <c r="O1185" s="25">
        <f>IF(N1185="","",IFERROR(N1185/INDEX(Recipes!$G$5:$G$204,MATCH(B1185,Recipes!$A$5:$A$204,0)),""))</f>
        <v>0</v>
      </c>
      <c r="P1185" s="30">
        <f>IF(J1185="","",IF(K1185="each",J1185,J1185/100))</f>
        <v>0</v>
      </c>
      <c r="Q1185" s="30">
        <f>IFERROR(IF(P1185="","",P1185*INDEX(Ingredients!$P$5:$P$304,MATCH(D1185,Ingredients!$B$5:$B$304,0))),"")</f>
        <v>0</v>
      </c>
      <c r="R1185" s="45">
        <f>IFERROR(IF(P1185="","",P1185*INDEX(Ingredients!$Q$5:$Q$304,MATCH(D1185,Ingredients!$B$5:$B$304,0))),"")</f>
        <v>0</v>
      </c>
      <c r="S1185" s="45">
        <f>IFERROR(IF(P1185="","",P1185*INDEX(Ingredients!$R$5:$R$304,MATCH(D1185,Ingredients!$B$5:$B$304,0))),"")</f>
        <v>0</v>
      </c>
      <c r="T1185" s="45">
        <f>IFERROR(IF(P1185="","",P1185*INDEX(Ingredients!$S$5:$S$304,MATCH(D1185,Ingredients!$B$5:$B$304,0))),"")</f>
        <v>0</v>
      </c>
      <c r="U1185" s="45">
        <f>IFERROR(IF(P1185="","",P1185*INDEX(Ingredients!$T$5:$T$304,MATCH(D1185,Ingredients!$B$5:$B$304,0))),"")</f>
        <v>0</v>
      </c>
      <c r="V1185" s="17">
        <f>IF(D1185="","",IFERROR(INDEX(Ingredients!$W$5:$W$304,MATCH(D1185,Ingredients!$B$5:$B$304,0)),"Add to Ingredients"))</f>
        <v>0</v>
      </c>
      <c r="W1185" s="17">
        <f>IF(D1185="","",IFERROR(INDEX(Ingredients!$C$5:$C$304,MATCH(D1185,Ingredients!$B$5:$B$304,0)),"Add to Ingredients"))</f>
        <v>0</v>
      </c>
      <c r="X1185" s="45">
        <f>IFERROR(INDEX(Recipes!$AT$5:$AT$204,MATCH(B1185,Recipes!$A$5:$A$204,0)),0)</f>
        <v>0</v>
      </c>
      <c r="Y1185" s="45">
        <f>IF(OR(J1185="",X1185=0),"",J1185*X1185)</f>
        <v>0</v>
      </c>
      <c r="Z1185" s="17">
        <f>IF(D1185="","",B1185&amp;"#"&amp;COUNTIFS($B$5:B1185,B1185))</f>
        <v>0</v>
      </c>
      <c r="AA1185" s="17">
        <f>IF(D1185="","",B1185&amp;"|"&amp;D1185)</f>
        <v>0</v>
      </c>
      <c r="AB1185" s="31">
        <f>IF(D1185="","",IF(B1185="","Add - which recipe?",IF(COUNTIFS(Ingredients!$B$5:$B$304,D1185)=0,"Missing - not in the Ingredients tab",IF(E1185="","Add - no quantity",IF(F1185="","Add - no unit",IF(K1185&lt;&gt;L1185,"Check - recipe in "&amp;K1185&amp;", priced in "&amp;L1185,IF(COUNTIFS($AA$5:$AA$1204,AA1185)&gt;1,"Duplicate - same ingredient twice","OK")))))))</f>
        <v>0</v>
      </c>
    </row>
    <row r="1186" spans="1:28">
      <c r="A1186" s="39">
        <f>IF(D1186="","","RL-"&amp;TEXT(ROW()-4,"0000"))</f>
        <v>0</v>
      </c>
      <c r="C1186" s="17">
        <f>IF(B1186="","",IFERROR(INDEX(Recipes!$B$5:$B$204,MATCH(B1186,Recipes!$A$5:$A$204,0)),"Not found"))</f>
        <v>0</v>
      </c>
      <c r="J1186" s="45">
        <f>IF(E1186="","",IFERROR(E1186*INDEX(UnitFactors,MATCH(F1186,UnitNames,0)),""))</f>
        <v>0</v>
      </c>
      <c r="K1186" s="17">
        <f>IF(F1186="","",IFERROR(INDEX(UnitBases,MATCH(F1186,UnitNames,0)),"?"))</f>
        <v>0</v>
      </c>
      <c r="L1186" s="17">
        <f>IF(D1186="","",IFERROR(INDEX(Ingredients!$G$5:$G$304,MATCH(D1186,Ingredients!$B$5:$B$304,0)),"Add to Ingredients"))</f>
        <v>0</v>
      </c>
      <c r="M1186" s="25">
        <f>IF(D1186="","",IFERROR(INDEX(Ingredients!$J$5:$J$304,MATCH(D1186,Ingredients!$B$5:$B$304,0)),"Add to Ingredients"))</f>
        <v>0</v>
      </c>
      <c r="N1186" s="25">
        <f>IF(OR(J1186="",M1186="",NOT(ISNUMBER(M1186))),"",IF(K1186&lt;&gt;L1186,"",J1186*M1186))</f>
        <v>0</v>
      </c>
      <c r="O1186" s="25">
        <f>IF(N1186="","",IFERROR(N1186/INDEX(Recipes!$G$5:$G$204,MATCH(B1186,Recipes!$A$5:$A$204,0)),""))</f>
        <v>0</v>
      </c>
      <c r="P1186" s="30">
        <f>IF(J1186="","",IF(K1186="each",J1186,J1186/100))</f>
        <v>0</v>
      </c>
      <c r="Q1186" s="30">
        <f>IFERROR(IF(P1186="","",P1186*INDEX(Ingredients!$P$5:$P$304,MATCH(D1186,Ingredients!$B$5:$B$304,0))),"")</f>
        <v>0</v>
      </c>
      <c r="R1186" s="45">
        <f>IFERROR(IF(P1186="","",P1186*INDEX(Ingredients!$Q$5:$Q$304,MATCH(D1186,Ingredients!$B$5:$B$304,0))),"")</f>
        <v>0</v>
      </c>
      <c r="S1186" s="45">
        <f>IFERROR(IF(P1186="","",P1186*INDEX(Ingredients!$R$5:$R$304,MATCH(D1186,Ingredients!$B$5:$B$304,0))),"")</f>
        <v>0</v>
      </c>
      <c r="T1186" s="45">
        <f>IFERROR(IF(P1186="","",P1186*INDEX(Ingredients!$S$5:$S$304,MATCH(D1186,Ingredients!$B$5:$B$304,0))),"")</f>
        <v>0</v>
      </c>
      <c r="U1186" s="45">
        <f>IFERROR(IF(P1186="","",P1186*INDEX(Ingredients!$T$5:$T$304,MATCH(D1186,Ingredients!$B$5:$B$304,0))),"")</f>
        <v>0</v>
      </c>
      <c r="V1186" s="17">
        <f>IF(D1186="","",IFERROR(INDEX(Ingredients!$W$5:$W$304,MATCH(D1186,Ingredients!$B$5:$B$304,0)),"Add to Ingredients"))</f>
        <v>0</v>
      </c>
      <c r="W1186" s="17">
        <f>IF(D1186="","",IFERROR(INDEX(Ingredients!$C$5:$C$304,MATCH(D1186,Ingredients!$B$5:$B$304,0)),"Add to Ingredients"))</f>
        <v>0</v>
      </c>
      <c r="X1186" s="45">
        <f>IFERROR(INDEX(Recipes!$AT$5:$AT$204,MATCH(B1186,Recipes!$A$5:$A$204,0)),0)</f>
        <v>0</v>
      </c>
      <c r="Y1186" s="45">
        <f>IF(OR(J1186="",X1186=0),"",J1186*X1186)</f>
        <v>0</v>
      </c>
      <c r="Z1186" s="17">
        <f>IF(D1186="","",B1186&amp;"#"&amp;COUNTIFS($B$5:B1186,B1186))</f>
        <v>0</v>
      </c>
      <c r="AA1186" s="17">
        <f>IF(D1186="","",B1186&amp;"|"&amp;D1186)</f>
        <v>0</v>
      </c>
      <c r="AB1186" s="31">
        <f>IF(D1186="","",IF(B1186="","Add - which recipe?",IF(COUNTIFS(Ingredients!$B$5:$B$304,D1186)=0,"Missing - not in the Ingredients tab",IF(E1186="","Add - no quantity",IF(F1186="","Add - no unit",IF(K1186&lt;&gt;L1186,"Check - recipe in "&amp;K1186&amp;", priced in "&amp;L1186,IF(COUNTIFS($AA$5:$AA$1204,AA1186)&gt;1,"Duplicate - same ingredient twice","OK")))))))</f>
        <v>0</v>
      </c>
    </row>
    <row r="1187" spans="1:28">
      <c r="A1187" s="39">
        <f>IF(D1187="","","RL-"&amp;TEXT(ROW()-4,"0000"))</f>
        <v>0</v>
      </c>
      <c r="C1187" s="17">
        <f>IF(B1187="","",IFERROR(INDEX(Recipes!$B$5:$B$204,MATCH(B1187,Recipes!$A$5:$A$204,0)),"Not found"))</f>
        <v>0</v>
      </c>
      <c r="J1187" s="45">
        <f>IF(E1187="","",IFERROR(E1187*INDEX(UnitFactors,MATCH(F1187,UnitNames,0)),""))</f>
        <v>0</v>
      </c>
      <c r="K1187" s="17">
        <f>IF(F1187="","",IFERROR(INDEX(UnitBases,MATCH(F1187,UnitNames,0)),"?"))</f>
        <v>0</v>
      </c>
      <c r="L1187" s="17">
        <f>IF(D1187="","",IFERROR(INDEX(Ingredients!$G$5:$G$304,MATCH(D1187,Ingredients!$B$5:$B$304,0)),"Add to Ingredients"))</f>
        <v>0</v>
      </c>
      <c r="M1187" s="25">
        <f>IF(D1187="","",IFERROR(INDEX(Ingredients!$J$5:$J$304,MATCH(D1187,Ingredients!$B$5:$B$304,0)),"Add to Ingredients"))</f>
        <v>0</v>
      </c>
      <c r="N1187" s="25">
        <f>IF(OR(J1187="",M1187="",NOT(ISNUMBER(M1187))),"",IF(K1187&lt;&gt;L1187,"",J1187*M1187))</f>
        <v>0</v>
      </c>
      <c r="O1187" s="25">
        <f>IF(N1187="","",IFERROR(N1187/INDEX(Recipes!$G$5:$G$204,MATCH(B1187,Recipes!$A$5:$A$204,0)),""))</f>
        <v>0</v>
      </c>
      <c r="P1187" s="30">
        <f>IF(J1187="","",IF(K1187="each",J1187,J1187/100))</f>
        <v>0</v>
      </c>
      <c r="Q1187" s="30">
        <f>IFERROR(IF(P1187="","",P1187*INDEX(Ingredients!$P$5:$P$304,MATCH(D1187,Ingredients!$B$5:$B$304,0))),"")</f>
        <v>0</v>
      </c>
      <c r="R1187" s="45">
        <f>IFERROR(IF(P1187="","",P1187*INDEX(Ingredients!$Q$5:$Q$304,MATCH(D1187,Ingredients!$B$5:$B$304,0))),"")</f>
        <v>0</v>
      </c>
      <c r="S1187" s="45">
        <f>IFERROR(IF(P1187="","",P1187*INDEX(Ingredients!$R$5:$R$304,MATCH(D1187,Ingredients!$B$5:$B$304,0))),"")</f>
        <v>0</v>
      </c>
      <c r="T1187" s="45">
        <f>IFERROR(IF(P1187="","",P1187*INDEX(Ingredients!$S$5:$S$304,MATCH(D1187,Ingredients!$B$5:$B$304,0))),"")</f>
        <v>0</v>
      </c>
      <c r="U1187" s="45">
        <f>IFERROR(IF(P1187="","",P1187*INDEX(Ingredients!$T$5:$T$304,MATCH(D1187,Ingredients!$B$5:$B$304,0))),"")</f>
        <v>0</v>
      </c>
      <c r="V1187" s="17">
        <f>IF(D1187="","",IFERROR(INDEX(Ingredients!$W$5:$W$304,MATCH(D1187,Ingredients!$B$5:$B$304,0)),"Add to Ingredients"))</f>
        <v>0</v>
      </c>
      <c r="W1187" s="17">
        <f>IF(D1187="","",IFERROR(INDEX(Ingredients!$C$5:$C$304,MATCH(D1187,Ingredients!$B$5:$B$304,0)),"Add to Ingredients"))</f>
        <v>0</v>
      </c>
      <c r="X1187" s="45">
        <f>IFERROR(INDEX(Recipes!$AT$5:$AT$204,MATCH(B1187,Recipes!$A$5:$A$204,0)),0)</f>
        <v>0</v>
      </c>
      <c r="Y1187" s="45">
        <f>IF(OR(J1187="",X1187=0),"",J1187*X1187)</f>
        <v>0</v>
      </c>
      <c r="Z1187" s="17">
        <f>IF(D1187="","",B1187&amp;"#"&amp;COUNTIFS($B$5:B1187,B1187))</f>
        <v>0</v>
      </c>
      <c r="AA1187" s="17">
        <f>IF(D1187="","",B1187&amp;"|"&amp;D1187)</f>
        <v>0</v>
      </c>
      <c r="AB1187" s="31">
        <f>IF(D1187="","",IF(B1187="","Add - which recipe?",IF(COUNTIFS(Ingredients!$B$5:$B$304,D1187)=0,"Missing - not in the Ingredients tab",IF(E1187="","Add - no quantity",IF(F1187="","Add - no unit",IF(K1187&lt;&gt;L1187,"Check - recipe in "&amp;K1187&amp;", priced in "&amp;L1187,IF(COUNTIFS($AA$5:$AA$1204,AA1187)&gt;1,"Duplicate - same ingredient twice","OK")))))))</f>
        <v>0</v>
      </c>
    </row>
    <row r="1188" spans="1:28">
      <c r="A1188" s="39">
        <f>IF(D1188="","","RL-"&amp;TEXT(ROW()-4,"0000"))</f>
        <v>0</v>
      </c>
      <c r="C1188" s="17">
        <f>IF(B1188="","",IFERROR(INDEX(Recipes!$B$5:$B$204,MATCH(B1188,Recipes!$A$5:$A$204,0)),"Not found"))</f>
        <v>0</v>
      </c>
      <c r="J1188" s="45">
        <f>IF(E1188="","",IFERROR(E1188*INDEX(UnitFactors,MATCH(F1188,UnitNames,0)),""))</f>
        <v>0</v>
      </c>
      <c r="K1188" s="17">
        <f>IF(F1188="","",IFERROR(INDEX(UnitBases,MATCH(F1188,UnitNames,0)),"?"))</f>
        <v>0</v>
      </c>
      <c r="L1188" s="17">
        <f>IF(D1188="","",IFERROR(INDEX(Ingredients!$G$5:$G$304,MATCH(D1188,Ingredients!$B$5:$B$304,0)),"Add to Ingredients"))</f>
        <v>0</v>
      </c>
      <c r="M1188" s="25">
        <f>IF(D1188="","",IFERROR(INDEX(Ingredients!$J$5:$J$304,MATCH(D1188,Ingredients!$B$5:$B$304,0)),"Add to Ingredients"))</f>
        <v>0</v>
      </c>
      <c r="N1188" s="25">
        <f>IF(OR(J1188="",M1188="",NOT(ISNUMBER(M1188))),"",IF(K1188&lt;&gt;L1188,"",J1188*M1188))</f>
        <v>0</v>
      </c>
      <c r="O1188" s="25">
        <f>IF(N1188="","",IFERROR(N1188/INDEX(Recipes!$G$5:$G$204,MATCH(B1188,Recipes!$A$5:$A$204,0)),""))</f>
        <v>0</v>
      </c>
      <c r="P1188" s="30">
        <f>IF(J1188="","",IF(K1188="each",J1188,J1188/100))</f>
        <v>0</v>
      </c>
      <c r="Q1188" s="30">
        <f>IFERROR(IF(P1188="","",P1188*INDEX(Ingredients!$P$5:$P$304,MATCH(D1188,Ingredients!$B$5:$B$304,0))),"")</f>
        <v>0</v>
      </c>
      <c r="R1188" s="45">
        <f>IFERROR(IF(P1188="","",P1188*INDEX(Ingredients!$Q$5:$Q$304,MATCH(D1188,Ingredients!$B$5:$B$304,0))),"")</f>
        <v>0</v>
      </c>
      <c r="S1188" s="45">
        <f>IFERROR(IF(P1188="","",P1188*INDEX(Ingredients!$R$5:$R$304,MATCH(D1188,Ingredients!$B$5:$B$304,0))),"")</f>
        <v>0</v>
      </c>
      <c r="T1188" s="45">
        <f>IFERROR(IF(P1188="","",P1188*INDEX(Ingredients!$S$5:$S$304,MATCH(D1188,Ingredients!$B$5:$B$304,0))),"")</f>
        <v>0</v>
      </c>
      <c r="U1188" s="45">
        <f>IFERROR(IF(P1188="","",P1188*INDEX(Ingredients!$T$5:$T$304,MATCH(D1188,Ingredients!$B$5:$B$304,0))),"")</f>
        <v>0</v>
      </c>
      <c r="V1188" s="17">
        <f>IF(D1188="","",IFERROR(INDEX(Ingredients!$W$5:$W$304,MATCH(D1188,Ingredients!$B$5:$B$304,0)),"Add to Ingredients"))</f>
        <v>0</v>
      </c>
      <c r="W1188" s="17">
        <f>IF(D1188="","",IFERROR(INDEX(Ingredients!$C$5:$C$304,MATCH(D1188,Ingredients!$B$5:$B$304,0)),"Add to Ingredients"))</f>
        <v>0</v>
      </c>
      <c r="X1188" s="45">
        <f>IFERROR(INDEX(Recipes!$AT$5:$AT$204,MATCH(B1188,Recipes!$A$5:$A$204,0)),0)</f>
        <v>0</v>
      </c>
      <c r="Y1188" s="45">
        <f>IF(OR(J1188="",X1188=0),"",J1188*X1188)</f>
        <v>0</v>
      </c>
      <c r="Z1188" s="17">
        <f>IF(D1188="","",B1188&amp;"#"&amp;COUNTIFS($B$5:B1188,B1188))</f>
        <v>0</v>
      </c>
      <c r="AA1188" s="17">
        <f>IF(D1188="","",B1188&amp;"|"&amp;D1188)</f>
        <v>0</v>
      </c>
      <c r="AB1188" s="31">
        <f>IF(D1188="","",IF(B1188="","Add - which recipe?",IF(COUNTIFS(Ingredients!$B$5:$B$304,D1188)=0,"Missing - not in the Ingredients tab",IF(E1188="","Add - no quantity",IF(F1188="","Add - no unit",IF(K1188&lt;&gt;L1188,"Check - recipe in "&amp;K1188&amp;", priced in "&amp;L1188,IF(COUNTIFS($AA$5:$AA$1204,AA1188)&gt;1,"Duplicate - same ingredient twice","OK")))))))</f>
        <v>0</v>
      </c>
    </row>
    <row r="1189" spans="1:28">
      <c r="A1189" s="39">
        <f>IF(D1189="","","RL-"&amp;TEXT(ROW()-4,"0000"))</f>
        <v>0</v>
      </c>
      <c r="C1189" s="17">
        <f>IF(B1189="","",IFERROR(INDEX(Recipes!$B$5:$B$204,MATCH(B1189,Recipes!$A$5:$A$204,0)),"Not found"))</f>
        <v>0</v>
      </c>
      <c r="J1189" s="45">
        <f>IF(E1189="","",IFERROR(E1189*INDEX(UnitFactors,MATCH(F1189,UnitNames,0)),""))</f>
        <v>0</v>
      </c>
      <c r="K1189" s="17">
        <f>IF(F1189="","",IFERROR(INDEX(UnitBases,MATCH(F1189,UnitNames,0)),"?"))</f>
        <v>0</v>
      </c>
      <c r="L1189" s="17">
        <f>IF(D1189="","",IFERROR(INDEX(Ingredients!$G$5:$G$304,MATCH(D1189,Ingredients!$B$5:$B$304,0)),"Add to Ingredients"))</f>
        <v>0</v>
      </c>
      <c r="M1189" s="25">
        <f>IF(D1189="","",IFERROR(INDEX(Ingredients!$J$5:$J$304,MATCH(D1189,Ingredients!$B$5:$B$304,0)),"Add to Ingredients"))</f>
        <v>0</v>
      </c>
      <c r="N1189" s="25">
        <f>IF(OR(J1189="",M1189="",NOT(ISNUMBER(M1189))),"",IF(K1189&lt;&gt;L1189,"",J1189*M1189))</f>
        <v>0</v>
      </c>
      <c r="O1189" s="25">
        <f>IF(N1189="","",IFERROR(N1189/INDEX(Recipes!$G$5:$G$204,MATCH(B1189,Recipes!$A$5:$A$204,0)),""))</f>
        <v>0</v>
      </c>
      <c r="P1189" s="30">
        <f>IF(J1189="","",IF(K1189="each",J1189,J1189/100))</f>
        <v>0</v>
      </c>
      <c r="Q1189" s="30">
        <f>IFERROR(IF(P1189="","",P1189*INDEX(Ingredients!$P$5:$P$304,MATCH(D1189,Ingredients!$B$5:$B$304,0))),"")</f>
        <v>0</v>
      </c>
      <c r="R1189" s="45">
        <f>IFERROR(IF(P1189="","",P1189*INDEX(Ingredients!$Q$5:$Q$304,MATCH(D1189,Ingredients!$B$5:$B$304,0))),"")</f>
        <v>0</v>
      </c>
      <c r="S1189" s="45">
        <f>IFERROR(IF(P1189="","",P1189*INDEX(Ingredients!$R$5:$R$304,MATCH(D1189,Ingredients!$B$5:$B$304,0))),"")</f>
        <v>0</v>
      </c>
      <c r="T1189" s="45">
        <f>IFERROR(IF(P1189="","",P1189*INDEX(Ingredients!$S$5:$S$304,MATCH(D1189,Ingredients!$B$5:$B$304,0))),"")</f>
        <v>0</v>
      </c>
      <c r="U1189" s="45">
        <f>IFERROR(IF(P1189="","",P1189*INDEX(Ingredients!$T$5:$T$304,MATCH(D1189,Ingredients!$B$5:$B$304,0))),"")</f>
        <v>0</v>
      </c>
      <c r="V1189" s="17">
        <f>IF(D1189="","",IFERROR(INDEX(Ingredients!$W$5:$W$304,MATCH(D1189,Ingredients!$B$5:$B$304,0)),"Add to Ingredients"))</f>
        <v>0</v>
      </c>
      <c r="W1189" s="17">
        <f>IF(D1189="","",IFERROR(INDEX(Ingredients!$C$5:$C$304,MATCH(D1189,Ingredients!$B$5:$B$304,0)),"Add to Ingredients"))</f>
        <v>0</v>
      </c>
      <c r="X1189" s="45">
        <f>IFERROR(INDEX(Recipes!$AT$5:$AT$204,MATCH(B1189,Recipes!$A$5:$A$204,0)),0)</f>
        <v>0</v>
      </c>
      <c r="Y1189" s="45">
        <f>IF(OR(J1189="",X1189=0),"",J1189*X1189)</f>
        <v>0</v>
      </c>
      <c r="Z1189" s="17">
        <f>IF(D1189="","",B1189&amp;"#"&amp;COUNTIFS($B$5:B1189,B1189))</f>
        <v>0</v>
      </c>
      <c r="AA1189" s="17">
        <f>IF(D1189="","",B1189&amp;"|"&amp;D1189)</f>
        <v>0</v>
      </c>
      <c r="AB1189" s="31">
        <f>IF(D1189="","",IF(B1189="","Add - which recipe?",IF(COUNTIFS(Ingredients!$B$5:$B$304,D1189)=0,"Missing - not in the Ingredients tab",IF(E1189="","Add - no quantity",IF(F1189="","Add - no unit",IF(K1189&lt;&gt;L1189,"Check - recipe in "&amp;K1189&amp;", priced in "&amp;L1189,IF(COUNTIFS($AA$5:$AA$1204,AA1189)&gt;1,"Duplicate - same ingredient twice","OK")))))))</f>
        <v>0</v>
      </c>
    </row>
    <row r="1190" spans="1:28">
      <c r="A1190" s="39">
        <f>IF(D1190="","","RL-"&amp;TEXT(ROW()-4,"0000"))</f>
        <v>0</v>
      </c>
      <c r="C1190" s="17">
        <f>IF(B1190="","",IFERROR(INDEX(Recipes!$B$5:$B$204,MATCH(B1190,Recipes!$A$5:$A$204,0)),"Not found"))</f>
        <v>0</v>
      </c>
      <c r="J1190" s="45">
        <f>IF(E1190="","",IFERROR(E1190*INDEX(UnitFactors,MATCH(F1190,UnitNames,0)),""))</f>
        <v>0</v>
      </c>
      <c r="K1190" s="17">
        <f>IF(F1190="","",IFERROR(INDEX(UnitBases,MATCH(F1190,UnitNames,0)),"?"))</f>
        <v>0</v>
      </c>
      <c r="L1190" s="17">
        <f>IF(D1190="","",IFERROR(INDEX(Ingredients!$G$5:$G$304,MATCH(D1190,Ingredients!$B$5:$B$304,0)),"Add to Ingredients"))</f>
        <v>0</v>
      </c>
      <c r="M1190" s="25">
        <f>IF(D1190="","",IFERROR(INDEX(Ingredients!$J$5:$J$304,MATCH(D1190,Ingredients!$B$5:$B$304,0)),"Add to Ingredients"))</f>
        <v>0</v>
      </c>
      <c r="N1190" s="25">
        <f>IF(OR(J1190="",M1190="",NOT(ISNUMBER(M1190))),"",IF(K1190&lt;&gt;L1190,"",J1190*M1190))</f>
        <v>0</v>
      </c>
      <c r="O1190" s="25">
        <f>IF(N1190="","",IFERROR(N1190/INDEX(Recipes!$G$5:$G$204,MATCH(B1190,Recipes!$A$5:$A$204,0)),""))</f>
        <v>0</v>
      </c>
      <c r="P1190" s="30">
        <f>IF(J1190="","",IF(K1190="each",J1190,J1190/100))</f>
        <v>0</v>
      </c>
      <c r="Q1190" s="30">
        <f>IFERROR(IF(P1190="","",P1190*INDEX(Ingredients!$P$5:$P$304,MATCH(D1190,Ingredients!$B$5:$B$304,0))),"")</f>
        <v>0</v>
      </c>
      <c r="R1190" s="45">
        <f>IFERROR(IF(P1190="","",P1190*INDEX(Ingredients!$Q$5:$Q$304,MATCH(D1190,Ingredients!$B$5:$B$304,0))),"")</f>
        <v>0</v>
      </c>
      <c r="S1190" s="45">
        <f>IFERROR(IF(P1190="","",P1190*INDEX(Ingredients!$R$5:$R$304,MATCH(D1190,Ingredients!$B$5:$B$304,0))),"")</f>
        <v>0</v>
      </c>
      <c r="T1190" s="45">
        <f>IFERROR(IF(P1190="","",P1190*INDEX(Ingredients!$S$5:$S$304,MATCH(D1190,Ingredients!$B$5:$B$304,0))),"")</f>
        <v>0</v>
      </c>
      <c r="U1190" s="45">
        <f>IFERROR(IF(P1190="","",P1190*INDEX(Ingredients!$T$5:$T$304,MATCH(D1190,Ingredients!$B$5:$B$304,0))),"")</f>
        <v>0</v>
      </c>
      <c r="V1190" s="17">
        <f>IF(D1190="","",IFERROR(INDEX(Ingredients!$W$5:$W$304,MATCH(D1190,Ingredients!$B$5:$B$304,0)),"Add to Ingredients"))</f>
        <v>0</v>
      </c>
      <c r="W1190" s="17">
        <f>IF(D1190="","",IFERROR(INDEX(Ingredients!$C$5:$C$304,MATCH(D1190,Ingredients!$B$5:$B$304,0)),"Add to Ingredients"))</f>
        <v>0</v>
      </c>
      <c r="X1190" s="45">
        <f>IFERROR(INDEX(Recipes!$AT$5:$AT$204,MATCH(B1190,Recipes!$A$5:$A$204,0)),0)</f>
        <v>0</v>
      </c>
      <c r="Y1190" s="45">
        <f>IF(OR(J1190="",X1190=0),"",J1190*X1190)</f>
        <v>0</v>
      </c>
      <c r="Z1190" s="17">
        <f>IF(D1190="","",B1190&amp;"#"&amp;COUNTIFS($B$5:B1190,B1190))</f>
        <v>0</v>
      </c>
      <c r="AA1190" s="17">
        <f>IF(D1190="","",B1190&amp;"|"&amp;D1190)</f>
        <v>0</v>
      </c>
      <c r="AB1190" s="31">
        <f>IF(D1190="","",IF(B1190="","Add - which recipe?",IF(COUNTIFS(Ingredients!$B$5:$B$304,D1190)=0,"Missing - not in the Ingredients tab",IF(E1190="","Add - no quantity",IF(F1190="","Add - no unit",IF(K1190&lt;&gt;L1190,"Check - recipe in "&amp;K1190&amp;", priced in "&amp;L1190,IF(COUNTIFS($AA$5:$AA$1204,AA1190)&gt;1,"Duplicate - same ingredient twice","OK")))))))</f>
        <v>0</v>
      </c>
    </row>
    <row r="1191" spans="1:28">
      <c r="A1191" s="39">
        <f>IF(D1191="","","RL-"&amp;TEXT(ROW()-4,"0000"))</f>
        <v>0</v>
      </c>
      <c r="C1191" s="17">
        <f>IF(B1191="","",IFERROR(INDEX(Recipes!$B$5:$B$204,MATCH(B1191,Recipes!$A$5:$A$204,0)),"Not found"))</f>
        <v>0</v>
      </c>
      <c r="J1191" s="45">
        <f>IF(E1191="","",IFERROR(E1191*INDEX(UnitFactors,MATCH(F1191,UnitNames,0)),""))</f>
        <v>0</v>
      </c>
      <c r="K1191" s="17">
        <f>IF(F1191="","",IFERROR(INDEX(UnitBases,MATCH(F1191,UnitNames,0)),"?"))</f>
        <v>0</v>
      </c>
      <c r="L1191" s="17">
        <f>IF(D1191="","",IFERROR(INDEX(Ingredients!$G$5:$G$304,MATCH(D1191,Ingredients!$B$5:$B$304,0)),"Add to Ingredients"))</f>
        <v>0</v>
      </c>
      <c r="M1191" s="25">
        <f>IF(D1191="","",IFERROR(INDEX(Ingredients!$J$5:$J$304,MATCH(D1191,Ingredients!$B$5:$B$304,0)),"Add to Ingredients"))</f>
        <v>0</v>
      </c>
      <c r="N1191" s="25">
        <f>IF(OR(J1191="",M1191="",NOT(ISNUMBER(M1191))),"",IF(K1191&lt;&gt;L1191,"",J1191*M1191))</f>
        <v>0</v>
      </c>
      <c r="O1191" s="25">
        <f>IF(N1191="","",IFERROR(N1191/INDEX(Recipes!$G$5:$G$204,MATCH(B1191,Recipes!$A$5:$A$204,0)),""))</f>
        <v>0</v>
      </c>
      <c r="P1191" s="30">
        <f>IF(J1191="","",IF(K1191="each",J1191,J1191/100))</f>
        <v>0</v>
      </c>
      <c r="Q1191" s="30">
        <f>IFERROR(IF(P1191="","",P1191*INDEX(Ingredients!$P$5:$P$304,MATCH(D1191,Ingredients!$B$5:$B$304,0))),"")</f>
        <v>0</v>
      </c>
      <c r="R1191" s="45">
        <f>IFERROR(IF(P1191="","",P1191*INDEX(Ingredients!$Q$5:$Q$304,MATCH(D1191,Ingredients!$B$5:$B$304,0))),"")</f>
        <v>0</v>
      </c>
      <c r="S1191" s="45">
        <f>IFERROR(IF(P1191="","",P1191*INDEX(Ingredients!$R$5:$R$304,MATCH(D1191,Ingredients!$B$5:$B$304,0))),"")</f>
        <v>0</v>
      </c>
      <c r="T1191" s="45">
        <f>IFERROR(IF(P1191="","",P1191*INDEX(Ingredients!$S$5:$S$304,MATCH(D1191,Ingredients!$B$5:$B$304,0))),"")</f>
        <v>0</v>
      </c>
      <c r="U1191" s="45">
        <f>IFERROR(IF(P1191="","",P1191*INDEX(Ingredients!$T$5:$T$304,MATCH(D1191,Ingredients!$B$5:$B$304,0))),"")</f>
        <v>0</v>
      </c>
      <c r="V1191" s="17">
        <f>IF(D1191="","",IFERROR(INDEX(Ingredients!$W$5:$W$304,MATCH(D1191,Ingredients!$B$5:$B$304,0)),"Add to Ingredients"))</f>
        <v>0</v>
      </c>
      <c r="W1191" s="17">
        <f>IF(D1191="","",IFERROR(INDEX(Ingredients!$C$5:$C$304,MATCH(D1191,Ingredients!$B$5:$B$304,0)),"Add to Ingredients"))</f>
        <v>0</v>
      </c>
      <c r="X1191" s="45">
        <f>IFERROR(INDEX(Recipes!$AT$5:$AT$204,MATCH(B1191,Recipes!$A$5:$A$204,0)),0)</f>
        <v>0</v>
      </c>
      <c r="Y1191" s="45">
        <f>IF(OR(J1191="",X1191=0),"",J1191*X1191)</f>
        <v>0</v>
      </c>
      <c r="Z1191" s="17">
        <f>IF(D1191="","",B1191&amp;"#"&amp;COUNTIFS($B$5:B1191,B1191))</f>
        <v>0</v>
      </c>
      <c r="AA1191" s="17">
        <f>IF(D1191="","",B1191&amp;"|"&amp;D1191)</f>
        <v>0</v>
      </c>
      <c r="AB1191" s="31">
        <f>IF(D1191="","",IF(B1191="","Add - which recipe?",IF(COUNTIFS(Ingredients!$B$5:$B$304,D1191)=0,"Missing - not in the Ingredients tab",IF(E1191="","Add - no quantity",IF(F1191="","Add - no unit",IF(K1191&lt;&gt;L1191,"Check - recipe in "&amp;K1191&amp;", priced in "&amp;L1191,IF(COUNTIFS($AA$5:$AA$1204,AA1191)&gt;1,"Duplicate - same ingredient twice","OK")))))))</f>
        <v>0</v>
      </c>
    </row>
    <row r="1192" spans="1:28">
      <c r="A1192" s="39">
        <f>IF(D1192="","","RL-"&amp;TEXT(ROW()-4,"0000"))</f>
        <v>0</v>
      </c>
      <c r="C1192" s="17">
        <f>IF(B1192="","",IFERROR(INDEX(Recipes!$B$5:$B$204,MATCH(B1192,Recipes!$A$5:$A$204,0)),"Not found"))</f>
        <v>0</v>
      </c>
      <c r="J1192" s="45">
        <f>IF(E1192="","",IFERROR(E1192*INDEX(UnitFactors,MATCH(F1192,UnitNames,0)),""))</f>
        <v>0</v>
      </c>
      <c r="K1192" s="17">
        <f>IF(F1192="","",IFERROR(INDEX(UnitBases,MATCH(F1192,UnitNames,0)),"?"))</f>
        <v>0</v>
      </c>
      <c r="L1192" s="17">
        <f>IF(D1192="","",IFERROR(INDEX(Ingredients!$G$5:$G$304,MATCH(D1192,Ingredients!$B$5:$B$304,0)),"Add to Ingredients"))</f>
        <v>0</v>
      </c>
      <c r="M1192" s="25">
        <f>IF(D1192="","",IFERROR(INDEX(Ingredients!$J$5:$J$304,MATCH(D1192,Ingredients!$B$5:$B$304,0)),"Add to Ingredients"))</f>
        <v>0</v>
      </c>
      <c r="N1192" s="25">
        <f>IF(OR(J1192="",M1192="",NOT(ISNUMBER(M1192))),"",IF(K1192&lt;&gt;L1192,"",J1192*M1192))</f>
        <v>0</v>
      </c>
      <c r="O1192" s="25">
        <f>IF(N1192="","",IFERROR(N1192/INDEX(Recipes!$G$5:$G$204,MATCH(B1192,Recipes!$A$5:$A$204,0)),""))</f>
        <v>0</v>
      </c>
      <c r="P1192" s="30">
        <f>IF(J1192="","",IF(K1192="each",J1192,J1192/100))</f>
        <v>0</v>
      </c>
      <c r="Q1192" s="30">
        <f>IFERROR(IF(P1192="","",P1192*INDEX(Ingredients!$P$5:$P$304,MATCH(D1192,Ingredients!$B$5:$B$304,0))),"")</f>
        <v>0</v>
      </c>
      <c r="R1192" s="45">
        <f>IFERROR(IF(P1192="","",P1192*INDEX(Ingredients!$Q$5:$Q$304,MATCH(D1192,Ingredients!$B$5:$B$304,0))),"")</f>
        <v>0</v>
      </c>
      <c r="S1192" s="45">
        <f>IFERROR(IF(P1192="","",P1192*INDEX(Ingredients!$R$5:$R$304,MATCH(D1192,Ingredients!$B$5:$B$304,0))),"")</f>
        <v>0</v>
      </c>
      <c r="T1192" s="45">
        <f>IFERROR(IF(P1192="","",P1192*INDEX(Ingredients!$S$5:$S$304,MATCH(D1192,Ingredients!$B$5:$B$304,0))),"")</f>
        <v>0</v>
      </c>
      <c r="U1192" s="45">
        <f>IFERROR(IF(P1192="","",P1192*INDEX(Ingredients!$T$5:$T$304,MATCH(D1192,Ingredients!$B$5:$B$304,0))),"")</f>
        <v>0</v>
      </c>
      <c r="V1192" s="17">
        <f>IF(D1192="","",IFERROR(INDEX(Ingredients!$W$5:$W$304,MATCH(D1192,Ingredients!$B$5:$B$304,0)),"Add to Ingredients"))</f>
        <v>0</v>
      </c>
      <c r="W1192" s="17">
        <f>IF(D1192="","",IFERROR(INDEX(Ingredients!$C$5:$C$304,MATCH(D1192,Ingredients!$B$5:$B$304,0)),"Add to Ingredients"))</f>
        <v>0</v>
      </c>
      <c r="X1192" s="45">
        <f>IFERROR(INDEX(Recipes!$AT$5:$AT$204,MATCH(B1192,Recipes!$A$5:$A$204,0)),0)</f>
        <v>0</v>
      </c>
      <c r="Y1192" s="45">
        <f>IF(OR(J1192="",X1192=0),"",J1192*X1192)</f>
        <v>0</v>
      </c>
      <c r="Z1192" s="17">
        <f>IF(D1192="","",B1192&amp;"#"&amp;COUNTIFS($B$5:B1192,B1192))</f>
        <v>0</v>
      </c>
      <c r="AA1192" s="17">
        <f>IF(D1192="","",B1192&amp;"|"&amp;D1192)</f>
        <v>0</v>
      </c>
      <c r="AB1192" s="31">
        <f>IF(D1192="","",IF(B1192="","Add - which recipe?",IF(COUNTIFS(Ingredients!$B$5:$B$304,D1192)=0,"Missing - not in the Ingredients tab",IF(E1192="","Add - no quantity",IF(F1192="","Add - no unit",IF(K1192&lt;&gt;L1192,"Check - recipe in "&amp;K1192&amp;", priced in "&amp;L1192,IF(COUNTIFS($AA$5:$AA$1204,AA1192)&gt;1,"Duplicate - same ingredient twice","OK")))))))</f>
        <v>0</v>
      </c>
    </row>
    <row r="1193" spans="1:28">
      <c r="A1193" s="39">
        <f>IF(D1193="","","RL-"&amp;TEXT(ROW()-4,"0000"))</f>
        <v>0</v>
      </c>
      <c r="C1193" s="17">
        <f>IF(B1193="","",IFERROR(INDEX(Recipes!$B$5:$B$204,MATCH(B1193,Recipes!$A$5:$A$204,0)),"Not found"))</f>
        <v>0</v>
      </c>
      <c r="J1193" s="45">
        <f>IF(E1193="","",IFERROR(E1193*INDEX(UnitFactors,MATCH(F1193,UnitNames,0)),""))</f>
        <v>0</v>
      </c>
      <c r="K1193" s="17">
        <f>IF(F1193="","",IFERROR(INDEX(UnitBases,MATCH(F1193,UnitNames,0)),"?"))</f>
        <v>0</v>
      </c>
      <c r="L1193" s="17">
        <f>IF(D1193="","",IFERROR(INDEX(Ingredients!$G$5:$G$304,MATCH(D1193,Ingredients!$B$5:$B$304,0)),"Add to Ingredients"))</f>
        <v>0</v>
      </c>
      <c r="M1193" s="25">
        <f>IF(D1193="","",IFERROR(INDEX(Ingredients!$J$5:$J$304,MATCH(D1193,Ingredients!$B$5:$B$304,0)),"Add to Ingredients"))</f>
        <v>0</v>
      </c>
      <c r="N1193" s="25">
        <f>IF(OR(J1193="",M1193="",NOT(ISNUMBER(M1193))),"",IF(K1193&lt;&gt;L1193,"",J1193*M1193))</f>
        <v>0</v>
      </c>
      <c r="O1193" s="25">
        <f>IF(N1193="","",IFERROR(N1193/INDEX(Recipes!$G$5:$G$204,MATCH(B1193,Recipes!$A$5:$A$204,0)),""))</f>
        <v>0</v>
      </c>
      <c r="P1193" s="30">
        <f>IF(J1193="","",IF(K1193="each",J1193,J1193/100))</f>
        <v>0</v>
      </c>
      <c r="Q1193" s="30">
        <f>IFERROR(IF(P1193="","",P1193*INDEX(Ingredients!$P$5:$P$304,MATCH(D1193,Ingredients!$B$5:$B$304,0))),"")</f>
        <v>0</v>
      </c>
      <c r="R1193" s="45">
        <f>IFERROR(IF(P1193="","",P1193*INDEX(Ingredients!$Q$5:$Q$304,MATCH(D1193,Ingredients!$B$5:$B$304,0))),"")</f>
        <v>0</v>
      </c>
      <c r="S1193" s="45">
        <f>IFERROR(IF(P1193="","",P1193*INDEX(Ingredients!$R$5:$R$304,MATCH(D1193,Ingredients!$B$5:$B$304,0))),"")</f>
        <v>0</v>
      </c>
      <c r="T1193" s="45">
        <f>IFERROR(IF(P1193="","",P1193*INDEX(Ingredients!$S$5:$S$304,MATCH(D1193,Ingredients!$B$5:$B$304,0))),"")</f>
        <v>0</v>
      </c>
      <c r="U1193" s="45">
        <f>IFERROR(IF(P1193="","",P1193*INDEX(Ingredients!$T$5:$T$304,MATCH(D1193,Ingredients!$B$5:$B$304,0))),"")</f>
        <v>0</v>
      </c>
      <c r="V1193" s="17">
        <f>IF(D1193="","",IFERROR(INDEX(Ingredients!$W$5:$W$304,MATCH(D1193,Ingredients!$B$5:$B$304,0)),"Add to Ingredients"))</f>
        <v>0</v>
      </c>
      <c r="W1193" s="17">
        <f>IF(D1193="","",IFERROR(INDEX(Ingredients!$C$5:$C$304,MATCH(D1193,Ingredients!$B$5:$B$304,0)),"Add to Ingredients"))</f>
        <v>0</v>
      </c>
      <c r="X1193" s="45">
        <f>IFERROR(INDEX(Recipes!$AT$5:$AT$204,MATCH(B1193,Recipes!$A$5:$A$204,0)),0)</f>
        <v>0</v>
      </c>
      <c r="Y1193" s="45">
        <f>IF(OR(J1193="",X1193=0),"",J1193*X1193)</f>
        <v>0</v>
      </c>
      <c r="Z1193" s="17">
        <f>IF(D1193="","",B1193&amp;"#"&amp;COUNTIFS($B$5:B1193,B1193))</f>
        <v>0</v>
      </c>
      <c r="AA1193" s="17">
        <f>IF(D1193="","",B1193&amp;"|"&amp;D1193)</f>
        <v>0</v>
      </c>
      <c r="AB1193" s="31">
        <f>IF(D1193="","",IF(B1193="","Add - which recipe?",IF(COUNTIFS(Ingredients!$B$5:$B$304,D1193)=0,"Missing - not in the Ingredients tab",IF(E1193="","Add - no quantity",IF(F1193="","Add - no unit",IF(K1193&lt;&gt;L1193,"Check - recipe in "&amp;K1193&amp;", priced in "&amp;L1193,IF(COUNTIFS($AA$5:$AA$1204,AA1193)&gt;1,"Duplicate - same ingredient twice","OK")))))))</f>
        <v>0</v>
      </c>
    </row>
    <row r="1194" spans="1:28">
      <c r="A1194" s="39">
        <f>IF(D1194="","","RL-"&amp;TEXT(ROW()-4,"0000"))</f>
        <v>0</v>
      </c>
      <c r="C1194" s="17">
        <f>IF(B1194="","",IFERROR(INDEX(Recipes!$B$5:$B$204,MATCH(B1194,Recipes!$A$5:$A$204,0)),"Not found"))</f>
        <v>0</v>
      </c>
      <c r="J1194" s="45">
        <f>IF(E1194="","",IFERROR(E1194*INDEX(UnitFactors,MATCH(F1194,UnitNames,0)),""))</f>
        <v>0</v>
      </c>
      <c r="K1194" s="17">
        <f>IF(F1194="","",IFERROR(INDEX(UnitBases,MATCH(F1194,UnitNames,0)),"?"))</f>
        <v>0</v>
      </c>
      <c r="L1194" s="17">
        <f>IF(D1194="","",IFERROR(INDEX(Ingredients!$G$5:$G$304,MATCH(D1194,Ingredients!$B$5:$B$304,0)),"Add to Ingredients"))</f>
        <v>0</v>
      </c>
      <c r="M1194" s="25">
        <f>IF(D1194="","",IFERROR(INDEX(Ingredients!$J$5:$J$304,MATCH(D1194,Ingredients!$B$5:$B$304,0)),"Add to Ingredients"))</f>
        <v>0</v>
      </c>
      <c r="N1194" s="25">
        <f>IF(OR(J1194="",M1194="",NOT(ISNUMBER(M1194))),"",IF(K1194&lt;&gt;L1194,"",J1194*M1194))</f>
        <v>0</v>
      </c>
      <c r="O1194" s="25">
        <f>IF(N1194="","",IFERROR(N1194/INDEX(Recipes!$G$5:$G$204,MATCH(B1194,Recipes!$A$5:$A$204,0)),""))</f>
        <v>0</v>
      </c>
      <c r="P1194" s="30">
        <f>IF(J1194="","",IF(K1194="each",J1194,J1194/100))</f>
        <v>0</v>
      </c>
      <c r="Q1194" s="30">
        <f>IFERROR(IF(P1194="","",P1194*INDEX(Ingredients!$P$5:$P$304,MATCH(D1194,Ingredients!$B$5:$B$304,0))),"")</f>
        <v>0</v>
      </c>
      <c r="R1194" s="45">
        <f>IFERROR(IF(P1194="","",P1194*INDEX(Ingredients!$Q$5:$Q$304,MATCH(D1194,Ingredients!$B$5:$B$304,0))),"")</f>
        <v>0</v>
      </c>
      <c r="S1194" s="45">
        <f>IFERROR(IF(P1194="","",P1194*INDEX(Ingredients!$R$5:$R$304,MATCH(D1194,Ingredients!$B$5:$B$304,0))),"")</f>
        <v>0</v>
      </c>
      <c r="T1194" s="45">
        <f>IFERROR(IF(P1194="","",P1194*INDEX(Ingredients!$S$5:$S$304,MATCH(D1194,Ingredients!$B$5:$B$304,0))),"")</f>
        <v>0</v>
      </c>
      <c r="U1194" s="45">
        <f>IFERROR(IF(P1194="","",P1194*INDEX(Ingredients!$T$5:$T$304,MATCH(D1194,Ingredients!$B$5:$B$304,0))),"")</f>
        <v>0</v>
      </c>
      <c r="V1194" s="17">
        <f>IF(D1194="","",IFERROR(INDEX(Ingredients!$W$5:$W$304,MATCH(D1194,Ingredients!$B$5:$B$304,0)),"Add to Ingredients"))</f>
        <v>0</v>
      </c>
      <c r="W1194" s="17">
        <f>IF(D1194="","",IFERROR(INDEX(Ingredients!$C$5:$C$304,MATCH(D1194,Ingredients!$B$5:$B$304,0)),"Add to Ingredients"))</f>
        <v>0</v>
      </c>
      <c r="X1194" s="45">
        <f>IFERROR(INDEX(Recipes!$AT$5:$AT$204,MATCH(B1194,Recipes!$A$5:$A$204,0)),0)</f>
        <v>0</v>
      </c>
      <c r="Y1194" s="45">
        <f>IF(OR(J1194="",X1194=0),"",J1194*X1194)</f>
        <v>0</v>
      </c>
      <c r="Z1194" s="17">
        <f>IF(D1194="","",B1194&amp;"#"&amp;COUNTIFS($B$5:B1194,B1194))</f>
        <v>0</v>
      </c>
      <c r="AA1194" s="17">
        <f>IF(D1194="","",B1194&amp;"|"&amp;D1194)</f>
        <v>0</v>
      </c>
      <c r="AB1194" s="31">
        <f>IF(D1194="","",IF(B1194="","Add - which recipe?",IF(COUNTIFS(Ingredients!$B$5:$B$304,D1194)=0,"Missing - not in the Ingredients tab",IF(E1194="","Add - no quantity",IF(F1194="","Add - no unit",IF(K1194&lt;&gt;L1194,"Check - recipe in "&amp;K1194&amp;", priced in "&amp;L1194,IF(COUNTIFS($AA$5:$AA$1204,AA1194)&gt;1,"Duplicate - same ingredient twice","OK")))))))</f>
        <v>0</v>
      </c>
    </row>
    <row r="1195" spans="1:28">
      <c r="A1195" s="39">
        <f>IF(D1195="","","RL-"&amp;TEXT(ROW()-4,"0000"))</f>
        <v>0</v>
      </c>
      <c r="C1195" s="17">
        <f>IF(B1195="","",IFERROR(INDEX(Recipes!$B$5:$B$204,MATCH(B1195,Recipes!$A$5:$A$204,0)),"Not found"))</f>
        <v>0</v>
      </c>
      <c r="J1195" s="45">
        <f>IF(E1195="","",IFERROR(E1195*INDEX(UnitFactors,MATCH(F1195,UnitNames,0)),""))</f>
        <v>0</v>
      </c>
      <c r="K1195" s="17">
        <f>IF(F1195="","",IFERROR(INDEX(UnitBases,MATCH(F1195,UnitNames,0)),"?"))</f>
        <v>0</v>
      </c>
      <c r="L1195" s="17">
        <f>IF(D1195="","",IFERROR(INDEX(Ingredients!$G$5:$G$304,MATCH(D1195,Ingredients!$B$5:$B$304,0)),"Add to Ingredients"))</f>
        <v>0</v>
      </c>
      <c r="M1195" s="25">
        <f>IF(D1195="","",IFERROR(INDEX(Ingredients!$J$5:$J$304,MATCH(D1195,Ingredients!$B$5:$B$304,0)),"Add to Ingredients"))</f>
        <v>0</v>
      </c>
      <c r="N1195" s="25">
        <f>IF(OR(J1195="",M1195="",NOT(ISNUMBER(M1195))),"",IF(K1195&lt;&gt;L1195,"",J1195*M1195))</f>
        <v>0</v>
      </c>
      <c r="O1195" s="25">
        <f>IF(N1195="","",IFERROR(N1195/INDEX(Recipes!$G$5:$G$204,MATCH(B1195,Recipes!$A$5:$A$204,0)),""))</f>
        <v>0</v>
      </c>
      <c r="P1195" s="30">
        <f>IF(J1195="","",IF(K1195="each",J1195,J1195/100))</f>
        <v>0</v>
      </c>
      <c r="Q1195" s="30">
        <f>IFERROR(IF(P1195="","",P1195*INDEX(Ingredients!$P$5:$P$304,MATCH(D1195,Ingredients!$B$5:$B$304,0))),"")</f>
        <v>0</v>
      </c>
      <c r="R1195" s="45">
        <f>IFERROR(IF(P1195="","",P1195*INDEX(Ingredients!$Q$5:$Q$304,MATCH(D1195,Ingredients!$B$5:$B$304,0))),"")</f>
        <v>0</v>
      </c>
      <c r="S1195" s="45">
        <f>IFERROR(IF(P1195="","",P1195*INDEX(Ingredients!$R$5:$R$304,MATCH(D1195,Ingredients!$B$5:$B$304,0))),"")</f>
        <v>0</v>
      </c>
      <c r="T1195" s="45">
        <f>IFERROR(IF(P1195="","",P1195*INDEX(Ingredients!$S$5:$S$304,MATCH(D1195,Ingredients!$B$5:$B$304,0))),"")</f>
        <v>0</v>
      </c>
      <c r="U1195" s="45">
        <f>IFERROR(IF(P1195="","",P1195*INDEX(Ingredients!$T$5:$T$304,MATCH(D1195,Ingredients!$B$5:$B$304,0))),"")</f>
        <v>0</v>
      </c>
      <c r="V1195" s="17">
        <f>IF(D1195="","",IFERROR(INDEX(Ingredients!$W$5:$W$304,MATCH(D1195,Ingredients!$B$5:$B$304,0)),"Add to Ingredients"))</f>
        <v>0</v>
      </c>
      <c r="W1195" s="17">
        <f>IF(D1195="","",IFERROR(INDEX(Ingredients!$C$5:$C$304,MATCH(D1195,Ingredients!$B$5:$B$304,0)),"Add to Ingredients"))</f>
        <v>0</v>
      </c>
      <c r="X1195" s="45">
        <f>IFERROR(INDEX(Recipes!$AT$5:$AT$204,MATCH(B1195,Recipes!$A$5:$A$204,0)),0)</f>
        <v>0</v>
      </c>
      <c r="Y1195" s="45">
        <f>IF(OR(J1195="",X1195=0),"",J1195*X1195)</f>
        <v>0</v>
      </c>
      <c r="Z1195" s="17">
        <f>IF(D1195="","",B1195&amp;"#"&amp;COUNTIFS($B$5:B1195,B1195))</f>
        <v>0</v>
      </c>
      <c r="AA1195" s="17">
        <f>IF(D1195="","",B1195&amp;"|"&amp;D1195)</f>
        <v>0</v>
      </c>
      <c r="AB1195" s="31">
        <f>IF(D1195="","",IF(B1195="","Add - which recipe?",IF(COUNTIFS(Ingredients!$B$5:$B$304,D1195)=0,"Missing - not in the Ingredients tab",IF(E1195="","Add - no quantity",IF(F1195="","Add - no unit",IF(K1195&lt;&gt;L1195,"Check - recipe in "&amp;K1195&amp;", priced in "&amp;L1195,IF(COUNTIFS($AA$5:$AA$1204,AA1195)&gt;1,"Duplicate - same ingredient twice","OK")))))))</f>
        <v>0</v>
      </c>
    </row>
    <row r="1196" spans="1:28">
      <c r="A1196" s="39">
        <f>IF(D1196="","","RL-"&amp;TEXT(ROW()-4,"0000"))</f>
        <v>0</v>
      </c>
      <c r="C1196" s="17">
        <f>IF(B1196="","",IFERROR(INDEX(Recipes!$B$5:$B$204,MATCH(B1196,Recipes!$A$5:$A$204,0)),"Not found"))</f>
        <v>0</v>
      </c>
      <c r="J1196" s="45">
        <f>IF(E1196="","",IFERROR(E1196*INDEX(UnitFactors,MATCH(F1196,UnitNames,0)),""))</f>
        <v>0</v>
      </c>
      <c r="K1196" s="17">
        <f>IF(F1196="","",IFERROR(INDEX(UnitBases,MATCH(F1196,UnitNames,0)),"?"))</f>
        <v>0</v>
      </c>
      <c r="L1196" s="17">
        <f>IF(D1196="","",IFERROR(INDEX(Ingredients!$G$5:$G$304,MATCH(D1196,Ingredients!$B$5:$B$304,0)),"Add to Ingredients"))</f>
        <v>0</v>
      </c>
      <c r="M1196" s="25">
        <f>IF(D1196="","",IFERROR(INDEX(Ingredients!$J$5:$J$304,MATCH(D1196,Ingredients!$B$5:$B$304,0)),"Add to Ingredients"))</f>
        <v>0</v>
      </c>
      <c r="N1196" s="25">
        <f>IF(OR(J1196="",M1196="",NOT(ISNUMBER(M1196))),"",IF(K1196&lt;&gt;L1196,"",J1196*M1196))</f>
        <v>0</v>
      </c>
      <c r="O1196" s="25">
        <f>IF(N1196="","",IFERROR(N1196/INDEX(Recipes!$G$5:$G$204,MATCH(B1196,Recipes!$A$5:$A$204,0)),""))</f>
        <v>0</v>
      </c>
      <c r="P1196" s="30">
        <f>IF(J1196="","",IF(K1196="each",J1196,J1196/100))</f>
        <v>0</v>
      </c>
      <c r="Q1196" s="30">
        <f>IFERROR(IF(P1196="","",P1196*INDEX(Ingredients!$P$5:$P$304,MATCH(D1196,Ingredients!$B$5:$B$304,0))),"")</f>
        <v>0</v>
      </c>
      <c r="R1196" s="45">
        <f>IFERROR(IF(P1196="","",P1196*INDEX(Ingredients!$Q$5:$Q$304,MATCH(D1196,Ingredients!$B$5:$B$304,0))),"")</f>
        <v>0</v>
      </c>
      <c r="S1196" s="45">
        <f>IFERROR(IF(P1196="","",P1196*INDEX(Ingredients!$R$5:$R$304,MATCH(D1196,Ingredients!$B$5:$B$304,0))),"")</f>
        <v>0</v>
      </c>
      <c r="T1196" s="45">
        <f>IFERROR(IF(P1196="","",P1196*INDEX(Ingredients!$S$5:$S$304,MATCH(D1196,Ingredients!$B$5:$B$304,0))),"")</f>
        <v>0</v>
      </c>
      <c r="U1196" s="45">
        <f>IFERROR(IF(P1196="","",P1196*INDEX(Ingredients!$T$5:$T$304,MATCH(D1196,Ingredients!$B$5:$B$304,0))),"")</f>
        <v>0</v>
      </c>
      <c r="V1196" s="17">
        <f>IF(D1196="","",IFERROR(INDEX(Ingredients!$W$5:$W$304,MATCH(D1196,Ingredients!$B$5:$B$304,0)),"Add to Ingredients"))</f>
        <v>0</v>
      </c>
      <c r="W1196" s="17">
        <f>IF(D1196="","",IFERROR(INDEX(Ingredients!$C$5:$C$304,MATCH(D1196,Ingredients!$B$5:$B$304,0)),"Add to Ingredients"))</f>
        <v>0</v>
      </c>
      <c r="X1196" s="45">
        <f>IFERROR(INDEX(Recipes!$AT$5:$AT$204,MATCH(B1196,Recipes!$A$5:$A$204,0)),0)</f>
        <v>0</v>
      </c>
      <c r="Y1196" s="45">
        <f>IF(OR(J1196="",X1196=0),"",J1196*X1196)</f>
        <v>0</v>
      </c>
      <c r="Z1196" s="17">
        <f>IF(D1196="","",B1196&amp;"#"&amp;COUNTIFS($B$5:B1196,B1196))</f>
        <v>0</v>
      </c>
      <c r="AA1196" s="17">
        <f>IF(D1196="","",B1196&amp;"|"&amp;D1196)</f>
        <v>0</v>
      </c>
      <c r="AB1196" s="31">
        <f>IF(D1196="","",IF(B1196="","Add - which recipe?",IF(COUNTIFS(Ingredients!$B$5:$B$304,D1196)=0,"Missing - not in the Ingredients tab",IF(E1196="","Add - no quantity",IF(F1196="","Add - no unit",IF(K1196&lt;&gt;L1196,"Check - recipe in "&amp;K1196&amp;", priced in "&amp;L1196,IF(COUNTIFS($AA$5:$AA$1204,AA1196)&gt;1,"Duplicate - same ingredient twice","OK")))))))</f>
        <v>0</v>
      </c>
    </row>
    <row r="1197" spans="1:28">
      <c r="A1197" s="39">
        <f>IF(D1197="","","RL-"&amp;TEXT(ROW()-4,"0000"))</f>
        <v>0</v>
      </c>
      <c r="C1197" s="17">
        <f>IF(B1197="","",IFERROR(INDEX(Recipes!$B$5:$B$204,MATCH(B1197,Recipes!$A$5:$A$204,0)),"Not found"))</f>
        <v>0</v>
      </c>
      <c r="J1197" s="45">
        <f>IF(E1197="","",IFERROR(E1197*INDEX(UnitFactors,MATCH(F1197,UnitNames,0)),""))</f>
        <v>0</v>
      </c>
      <c r="K1197" s="17">
        <f>IF(F1197="","",IFERROR(INDEX(UnitBases,MATCH(F1197,UnitNames,0)),"?"))</f>
        <v>0</v>
      </c>
      <c r="L1197" s="17">
        <f>IF(D1197="","",IFERROR(INDEX(Ingredients!$G$5:$G$304,MATCH(D1197,Ingredients!$B$5:$B$304,0)),"Add to Ingredients"))</f>
        <v>0</v>
      </c>
      <c r="M1197" s="25">
        <f>IF(D1197="","",IFERROR(INDEX(Ingredients!$J$5:$J$304,MATCH(D1197,Ingredients!$B$5:$B$304,0)),"Add to Ingredients"))</f>
        <v>0</v>
      </c>
      <c r="N1197" s="25">
        <f>IF(OR(J1197="",M1197="",NOT(ISNUMBER(M1197))),"",IF(K1197&lt;&gt;L1197,"",J1197*M1197))</f>
        <v>0</v>
      </c>
      <c r="O1197" s="25">
        <f>IF(N1197="","",IFERROR(N1197/INDEX(Recipes!$G$5:$G$204,MATCH(B1197,Recipes!$A$5:$A$204,0)),""))</f>
        <v>0</v>
      </c>
      <c r="P1197" s="30">
        <f>IF(J1197="","",IF(K1197="each",J1197,J1197/100))</f>
        <v>0</v>
      </c>
      <c r="Q1197" s="30">
        <f>IFERROR(IF(P1197="","",P1197*INDEX(Ingredients!$P$5:$P$304,MATCH(D1197,Ingredients!$B$5:$B$304,0))),"")</f>
        <v>0</v>
      </c>
      <c r="R1197" s="45">
        <f>IFERROR(IF(P1197="","",P1197*INDEX(Ingredients!$Q$5:$Q$304,MATCH(D1197,Ingredients!$B$5:$B$304,0))),"")</f>
        <v>0</v>
      </c>
      <c r="S1197" s="45">
        <f>IFERROR(IF(P1197="","",P1197*INDEX(Ingredients!$R$5:$R$304,MATCH(D1197,Ingredients!$B$5:$B$304,0))),"")</f>
        <v>0</v>
      </c>
      <c r="T1197" s="45">
        <f>IFERROR(IF(P1197="","",P1197*INDEX(Ingredients!$S$5:$S$304,MATCH(D1197,Ingredients!$B$5:$B$304,0))),"")</f>
        <v>0</v>
      </c>
      <c r="U1197" s="45">
        <f>IFERROR(IF(P1197="","",P1197*INDEX(Ingredients!$T$5:$T$304,MATCH(D1197,Ingredients!$B$5:$B$304,0))),"")</f>
        <v>0</v>
      </c>
      <c r="V1197" s="17">
        <f>IF(D1197="","",IFERROR(INDEX(Ingredients!$W$5:$W$304,MATCH(D1197,Ingredients!$B$5:$B$304,0)),"Add to Ingredients"))</f>
        <v>0</v>
      </c>
      <c r="W1197" s="17">
        <f>IF(D1197="","",IFERROR(INDEX(Ingredients!$C$5:$C$304,MATCH(D1197,Ingredients!$B$5:$B$304,0)),"Add to Ingredients"))</f>
        <v>0</v>
      </c>
      <c r="X1197" s="45">
        <f>IFERROR(INDEX(Recipes!$AT$5:$AT$204,MATCH(B1197,Recipes!$A$5:$A$204,0)),0)</f>
        <v>0</v>
      </c>
      <c r="Y1197" s="45">
        <f>IF(OR(J1197="",X1197=0),"",J1197*X1197)</f>
        <v>0</v>
      </c>
      <c r="Z1197" s="17">
        <f>IF(D1197="","",B1197&amp;"#"&amp;COUNTIFS($B$5:B1197,B1197))</f>
        <v>0</v>
      </c>
      <c r="AA1197" s="17">
        <f>IF(D1197="","",B1197&amp;"|"&amp;D1197)</f>
        <v>0</v>
      </c>
      <c r="AB1197" s="31">
        <f>IF(D1197="","",IF(B1197="","Add - which recipe?",IF(COUNTIFS(Ingredients!$B$5:$B$304,D1197)=0,"Missing - not in the Ingredients tab",IF(E1197="","Add - no quantity",IF(F1197="","Add - no unit",IF(K1197&lt;&gt;L1197,"Check - recipe in "&amp;K1197&amp;", priced in "&amp;L1197,IF(COUNTIFS($AA$5:$AA$1204,AA1197)&gt;1,"Duplicate - same ingredient twice","OK")))))))</f>
        <v>0</v>
      </c>
    </row>
    <row r="1198" spans="1:28">
      <c r="A1198" s="39">
        <f>IF(D1198="","","RL-"&amp;TEXT(ROW()-4,"0000"))</f>
        <v>0</v>
      </c>
      <c r="C1198" s="17">
        <f>IF(B1198="","",IFERROR(INDEX(Recipes!$B$5:$B$204,MATCH(B1198,Recipes!$A$5:$A$204,0)),"Not found"))</f>
        <v>0</v>
      </c>
      <c r="J1198" s="45">
        <f>IF(E1198="","",IFERROR(E1198*INDEX(UnitFactors,MATCH(F1198,UnitNames,0)),""))</f>
        <v>0</v>
      </c>
      <c r="K1198" s="17">
        <f>IF(F1198="","",IFERROR(INDEX(UnitBases,MATCH(F1198,UnitNames,0)),"?"))</f>
        <v>0</v>
      </c>
      <c r="L1198" s="17">
        <f>IF(D1198="","",IFERROR(INDEX(Ingredients!$G$5:$G$304,MATCH(D1198,Ingredients!$B$5:$B$304,0)),"Add to Ingredients"))</f>
        <v>0</v>
      </c>
      <c r="M1198" s="25">
        <f>IF(D1198="","",IFERROR(INDEX(Ingredients!$J$5:$J$304,MATCH(D1198,Ingredients!$B$5:$B$304,0)),"Add to Ingredients"))</f>
        <v>0</v>
      </c>
      <c r="N1198" s="25">
        <f>IF(OR(J1198="",M1198="",NOT(ISNUMBER(M1198))),"",IF(K1198&lt;&gt;L1198,"",J1198*M1198))</f>
        <v>0</v>
      </c>
      <c r="O1198" s="25">
        <f>IF(N1198="","",IFERROR(N1198/INDEX(Recipes!$G$5:$G$204,MATCH(B1198,Recipes!$A$5:$A$204,0)),""))</f>
        <v>0</v>
      </c>
      <c r="P1198" s="30">
        <f>IF(J1198="","",IF(K1198="each",J1198,J1198/100))</f>
        <v>0</v>
      </c>
      <c r="Q1198" s="30">
        <f>IFERROR(IF(P1198="","",P1198*INDEX(Ingredients!$P$5:$P$304,MATCH(D1198,Ingredients!$B$5:$B$304,0))),"")</f>
        <v>0</v>
      </c>
      <c r="R1198" s="45">
        <f>IFERROR(IF(P1198="","",P1198*INDEX(Ingredients!$Q$5:$Q$304,MATCH(D1198,Ingredients!$B$5:$B$304,0))),"")</f>
        <v>0</v>
      </c>
      <c r="S1198" s="45">
        <f>IFERROR(IF(P1198="","",P1198*INDEX(Ingredients!$R$5:$R$304,MATCH(D1198,Ingredients!$B$5:$B$304,0))),"")</f>
        <v>0</v>
      </c>
      <c r="T1198" s="45">
        <f>IFERROR(IF(P1198="","",P1198*INDEX(Ingredients!$S$5:$S$304,MATCH(D1198,Ingredients!$B$5:$B$304,0))),"")</f>
        <v>0</v>
      </c>
      <c r="U1198" s="45">
        <f>IFERROR(IF(P1198="","",P1198*INDEX(Ingredients!$T$5:$T$304,MATCH(D1198,Ingredients!$B$5:$B$304,0))),"")</f>
        <v>0</v>
      </c>
      <c r="V1198" s="17">
        <f>IF(D1198="","",IFERROR(INDEX(Ingredients!$W$5:$W$304,MATCH(D1198,Ingredients!$B$5:$B$304,0)),"Add to Ingredients"))</f>
        <v>0</v>
      </c>
      <c r="W1198" s="17">
        <f>IF(D1198="","",IFERROR(INDEX(Ingredients!$C$5:$C$304,MATCH(D1198,Ingredients!$B$5:$B$304,0)),"Add to Ingredients"))</f>
        <v>0</v>
      </c>
      <c r="X1198" s="45">
        <f>IFERROR(INDEX(Recipes!$AT$5:$AT$204,MATCH(B1198,Recipes!$A$5:$A$204,0)),0)</f>
        <v>0</v>
      </c>
      <c r="Y1198" s="45">
        <f>IF(OR(J1198="",X1198=0),"",J1198*X1198)</f>
        <v>0</v>
      </c>
      <c r="Z1198" s="17">
        <f>IF(D1198="","",B1198&amp;"#"&amp;COUNTIFS($B$5:B1198,B1198))</f>
        <v>0</v>
      </c>
      <c r="AA1198" s="17">
        <f>IF(D1198="","",B1198&amp;"|"&amp;D1198)</f>
        <v>0</v>
      </c>
      <c r="AB1198" s="31">
        <f>IF(D1198="","",IF(B1198="","Add - which recipe?",IF(COUNTIFS(Ingredients!$B$5:$B$304,D1198)=0,"Missing - not in the Ingredients tab",IF(E1198="","Add - no quantity",IF(F1198="","Add - no unit",IF(K1198&lt;&gt;L1198,"Check - recipe in "&amp;K1198&amp;", priced in "&amp;L1198,IF(COUNTIFS($AA$5:$AA$1204,AA1198)&gt;1,"Duplicate - same ingredient twice","OK")))))))</f>
        <v>0</v>
      </c>
    </row>
    <row r="1199" spans="1:28">
      <c r="A1199" s="39">
        <f>IF(D1199="","","RL-"&amp;TEXT(ROW()-4,"0000"))</f>
        <v>0</v>
      </c>
      <c r="C1199" s="17">
        <f>IF(B1199="","",IFERROR(INDEX(Recipes!$B$5:$B$204,MATCH(B1199,Recipes!$A$5:$A$204,0)),"Not found"))</f>
        <v>0</v>
      </c>
      <c r="J1199" s="45">
        <f>IF(E1199="","",IFERROR(E1199*INDEX(UnitFactors,MATCH(F1199,UnitNames,0)),""))</f>
        <v>0</v>
      </c>
      <c r="K1199" s="17">
        <f>IF(F1199="","",IFERROR(INDEX(UnitBases,MATCH(F1199,UnitNames,0)),"?"))</f>
        <v>0</v>
      </c>
      <c r="L1199" s="17">
        <f>IF(D1199="","",IFERROR(INDEX(Ingredients!$G$5:$G$304,MATCH(D1199,Ingredients!$B$5:$B$304,0)),"Add to Ingredients"))</f>
        <v>0</v>
      </c>
      <c r="M1199" s="25">
        <f>IF(D1199="","",IFERROR(INDEX(Ingredients!$J$5:$J$304,MATCH(D1199,Ingredients!$B$5:$B$304,0)),"Add to Ingredients"))</f>
        <v>0</v>
      </c>
      <c r="N1199" s="25">
        <f>IF(OR(J1199="",M1199="",NOT(ISNUMBER(M1199))),"",IF(K1199&lt;&gt;L1199,"",J1199*M1199))</f>
        <v>0</v>
      </c>
      <c r="O1199" s="25">
        <f>IF(N1199="","",IFERROR(N1199/INDEX(Recipes!$G$5:$G$204,MATCH(B1199,Recipes!$A$5:$A$204,0)),""))</f>
        <v>0</v>
      </c>
      <c r="P1199" s="30">
        <f>IF(J1199="","",IF(K1199="each",J1199,J1199/100))</f>
        <v>0</v>
      </c>
      <c r="Q1199" s="30">
        <f>IFERROR(IF(P1199="","",P1199*INDEX(Ingredients!$P$5:$P$304,MATCH(D1199,Ingredients!$B$5:$B$304,0))),"")</f>
        <v>0</v>
      </c>
      <c r="R1199" s="45">
        <f>IFERROR(IF(P1199="","",P1199*INDEX(Ingredients!$Q$5:$Q$304,MATCH(D1199,Ingredients!$B$5:$B$304,0))),"")</f>
        <v>0</v>
      </c>
      <c r="S1199" s="45">
        <f>IFERROR(IF(P1199="","",P1199*INDEX(Ingredients!$R$5:$R$304,MATCH(D1199,Ingredients!$B$5:$B$304,0))),"")</f>
        <v>0</v>
      </c>
      <c r="T1199" s="45">
        <f>IFERROR(IF(P1199="","",P1199*INDEX(Ingredients!$S$5:$S$304,MATCH(D1199,Ingredients!$B$5:$B$304,0))),"")</f>
        <v>0</v>
      </c>
      <c r="U1199" s="45">
        <f>IFERROR(IF(P1199="","",P1199*INDEX(Ingredients!$T$5:$T$304,MATCH(D1199,Ingredients!$B$5:$B$304,0))),"")</f>
        <v>0</v>
      </c>
      <c r="V1199" s="17">
        <f>IF(D1199="","",IFERROR(INDEX(Ingredients!$W$5:$W$304,MATCH(D1199,Ingredients!$B$5:$B$304,0)),"Add to Ingredients"))</f>
        <v>0</v>
      </c>
      <c r="W1199" s="17">
        <f>IF(D1199="","",IFERROR(INDEX(Ingredients!$C$5:$C$304,MATCH(D1199,Ingredients!$B$5:$B$304,0)),"Add to Ingredients"))</f>
        <v>0</v>
      </c>
      <c r="X1199" s="45">
        <f>IFERROR(INDEX(Recipes!$AT$5:$AT$204,MATCH(B1199,Recipes!$A$5:$A$204,0)),0)</f>
        <v>0</v>
      </c>
      <c r="Y1199" s="45">
        <f>IF(OR(J1199="",X1199=0),"",J1199*X1199)</f>
        <v>0</v>
      </c>
      <c r="Z1199" s="17">
        <f>IF(D1199="","",B1199&amp;"#"&amp;COUNTIFS($B$5:B1199,B1199))</f>
        <v>0</v>
      </c>
      <c r="AA1199" s="17">
        <f>IF(D1199="","",B1199&amp;"|"&amp;D1199)</f>
        <v>0</v>
      </c>
      <c r="AB1199" s="31">
        <f>IF(D1199="","",IF(B1199="","Add - which recipe?",IF(COUNTIFS(Ingredients!$B$5:$B$304,D1199)=0,"Missing - not in the Ingredients tab",IF(E1199="","Add - no quantity",IF(F1199="","Add - no unit",IF(K1199&lt;&gt;L1199,"Check - recipe in "&amp;K1199&amp;", priced in "&amp;L1199,IF(COUNTIFS($AA$5:$AA$1204,AA1199)&gt;1,"Duplicate - same ingredient twice","OK")))))))</f>
        <v>0</v>
      </c>
    </row>
    <row r="1200" spans="1:28">
      <c r="A1200" s="39">
        <f>IF(D1200="","","RL-"&amp;TEXT(ROW()-4,"0000"))</f>
        <v>0</v>
      </c>
      <c r="C1200" s="17">
        <f>IF(B1200="","",IFERROR(INDEX(Recipes!$B$5:$B$204,MATCH(B1200,Recipes!$A$5:$A$204,0)),"Not found"))</f>
        <v>0</v>
      </c>
      <c r="J1200" s="45">
        <f>IF(E1200="","",IFERROR(E1200*INDEX(UnitFactors,MATCH(F1200,UnitNames,0)),""))</f>
        <v>0</v>
      </c>
      <c r="K1200" s="17">
        <f>IF(F1200="","",IFERROR(INDEX(UnitBases,MATCH(F1200,UnitNames,0)),"?"))</f>
        <v>0</v>
      </c>
      <c r="L1200" s="17">
        <f>IF(D1200="","",IFERROR(INDEX(Ingredients!$G$5:$G$304,MATCH(D1200,Ingredients!$B$5:$B$304,0)),"Add to Ingredients"))</f>
        <v>0</v>
      </c>
      <c r="M1200" s="25">
        <f>IF(D1200="","",IFERROR(INDEX(Ingredients!$J$5:$J$304,MATCH(D1200,Ingredients!$B$5:$B$304,0)),"Add to Ingredients"))</f>
        <v>0</v>
      </c>
      <c r="N1200" s="25">
        <f>IF(OR(J1200="",M1200="",NOT(ISNUMBER(M1200))),"",IF(K1200&lt;&gt;L1200,"",J1200*M1200))</f>
        <v>0</v>
      </c>
      <c r="O1200" s="25">
        <f>IF(N1200="","",IFERROR(N1200/INDEX(Recipes!$G$5:$G$204,MATCH(B1200,Recipes!$A$5:$A$204,0)),""))</f>
        <v>0</v>
      </c>
      <c r="P1200" s="30">
        <f>IF(J1200="","",IF(K1200="each",J1200,J1200/100))</f>
        <v>0</v>
      </c>
      <c r="Q1200" s="30">
        <f>IFERROR(IF(P1200="","",P1200*INDEX(Ingredients!$P$5:$P$304,MATCH(D1200,Ingredients!$B$5:$B$304,0))),"")</f>
        <v>0</v>
      </c>
      <c r="R1200" s="45">
        <f>IFERROR(IF(P1200="","",P1200*INDEX(Ingredients!$Q$5:$Q$304,MATCH(D1200,Ingredients!$B$5:$B$304,0))),"")</f>
        <v>0</v>
      </c>
      <c r="S1200" s="45">
        <f>IFERROR(IF(P1200="","",P1200*INDEX(Ingredients!$R$5:$R$304,MATCH(D1200,Ingredients!$B$5:$B$304,0))),"")</f>
        <v>0</v>
      </c>
      <c r="T1200" s="45">
        <f>IFERROR(IF(P1200="","",P1200*INDEX(Ingredients!$S$5:$S$304,MATCH(D1200,Ingredients!$B$5:$B$304,0))),"")</f>
        <v>0</v>
      </c>
      <c r="U1200" s="45">
        <f>IFERROR(IF(P1200="","",P1200*INDEX(Ingredients!$T$5:$T$304,MATCH(D1200,Ingredients!$B$5:$B$304,0))),"")</f>
        <v>0</v>
      </c>
      <c r="V1200" s="17">
        <f>IF(D1200="","",IFERROR(INDEX(Ingredients!$W$5:$W$304,MATCH(D1200,Ingredients!$B$5:$B$304,0)),"Add to Ingredients"))</f>
        <v>0</v>
      </c>
      <c r="W1200" s="17">
        <f>IF(D1200="","",IFERROR(INDEX(Ingredients!$C$5:$C$304,MATCH(D1200,Ingredients!$B$5:$B$304,0)),"Add to Ingredients"))</f>
        <v>0</v>
      </c>
      <c r="X1200" s="45">
        <f>IFERROR(INDEX(Recipes!$AT$5:$AT$204,MATCH(B1200,Recipes!$A$5:$A$204,0)),0)</f>
        <v>0</v>
      </c>
      <c r="Y1200" s="45">
        <f>IF(OR(J1200="",X1200=0),"",J1200*X1200)</f>
        <v>0</v>
      </c>
      <c r="Z1200" s="17">
        <f>IF(D1200="","",B1200&amp;"#"&amp;COUNTIFS($B$5:B1200,B1200))</f>
        <v>0</v>
      </c>
      <c r="AA1200" s="17">
        <f>IF(D1200="","",B1200&amp;"|"&amp;D1200)</f>
        <v>0</v>
      </c>
      <c r="AB1200" s="31">
        <f>IF(D1200="","",IF(B1200="","Add - which recipe?",IF(COUNTIFS(Ingredients!$B$5:$B$304,D1200)=0,"Missing - not in the Ingredients tab",IF(E1200="","Add - no quantity",IF(F1200="","Add - no unit",IF(K1200&lt;&gt;L1200,"Check - recipe in "&amp;K1200&amp;", priced in "&amp;L1200,IF(COUNTIFS($AA$5:$AA$1204,AA1200)&gt;1,"Duplicate - same ingredient twice","OK")))))))</f>
        <v>0</v>
      </c>
    </row>
    <row r="1201" spans="1:28">
      <c r="A1201" s="39">
        <f>IF(D1201="","","RL-"&amp;TEXT(ROW()-4,"0000"))</f>
        <v>0</v>
      </c>
      <c r="C1201" s="17">
        <f>IF(B1201="","",IFERROR(INDEX(Recipes!$B$5:$B$204,MATCH(B1201,Recipes!$A$5:$A$204,0)),"Not found"))</f>
        <v>0</v>
      </c>
      <c r="J1201" s="45">
        <f>IF(E1201="","",IFERROR(E1201*INDEX(UnitFactors,MATCH(F1201,UnitNames,0)),""))</f>
        <v>0</v>
      </c>
      <c r="K1201" s="17">
        <f>IF(F1201="","",IFERROR(INDEX(UnitBases,MATCH(F1201,UnitNames,0)),"?"))</f>
        <v>0</v>
      </c>
      <c r="L1201" s="17">
        <f>IF(D1201="","",IFERROR(INDEX(Ingredients!$G$5:$G$304,MATCH(D1201,Ingredients!$B$5:$B$304,0)),"Add to Ingredients"))</f>
        <v>0</v>
      </c>
      <c r="M1201" s="25">
        <f>IF(D1201="","",IFERROR(INDEX(Ingredients!$J$5:$J$304,MATCH(D1201,Ingredients!$B$5:$B$304,0)),"Add to Ingredients"))</f>
        <v>0</v>
      </c>
      <c r="N1201" s="25">
        <f>IF(OR(J1201="",M1201="",NOT(ISNUMBER(M1201))),"",IF(K1201&lt;&gt;L1201,"",J1201*M1201))</f>
        <v>0</v>
      </c>
      <c r="O1201" s="25">
        <f>IF(N1201="","",IFERROR(N1201/INDEX(Recipes!$G$5:$G$204,MATCH(B1201,Recipes!$A$5:$A$204,0)),""))</f>
        <v>0</v>
      </c>
      <c r="P1201" s="30">
        <f>IF(J1201="","",IF(K1201="each",J1201,J1201/100))</f>
        <v>0</v>
      </c>
      <c r="Q1201" s="30">
        <f>IFERROR(IF(P1201="","",P1201*INDEX(Ingredients!$P$5:$P$304,MATCH(D1201,Ingredients!$B$5:$B$304,0))),"")</f>
        <v>0</v>
      </c>
      <c r="R1201" s="45">
        <f>IFERROR(IF(P1201="","",P1201*INDEX(Ingredients!$Q$5:$Q$304,MATCH(D1201,Ingredients!$B$5:$B$304,0))),"")</f>
        <v>0</v>
      </c>
      <c r="S1201" s="45">
        <f>IFERROR(IF(P1201="","",P1201*INDEX(Ingredients!$R$5:$R$304,MATCH(D1201,Ingredients!$B$5:$B$304,0))),"")</f>
        <v>0</v>
      </c>
      <c r="T1201" s="45">
        <f>IFERROR(IF(P1201="","",P1201*INDEX(Ingredients!$S$5:$S$304,MATCH(D1201,Ingredients!$B$5:$B$304,0))),"")</f>
        <v>0</v>
      </c>
      <c r="U1201" s="45">
        <f>IFERROR(IF(P1201="","",P1201*INDEX(Ingredients!$T$5:$T$304,MATCH(D1201,Ingredients!$B$5:$B$304,0))),"")</f>
        <v>0</v>
      </c>
      <c r="V1201" s="17">
        <f>IF(D1201="","",IFERROR(INDEX(Ingredients!$W$5:$W$304,MATCH(D1201,Ingredients!$B$5:$B$304,0)),"Add to Ingredients"))</f>
        <v>0</v>
      </c>
      <c r="W1201" s="17">
        <f>IF(D1201="","",IFERROR(INDEX(Ingredients!$C$5:$C$304,MATCH(D1201,Ingredients!$B$5:$B$304,0)),"Add to Ingredients"))</f>
        <v>0</v>
      </c>
      <c r="X1201" s="45">
        <f>IFERROR(INDEX(Recipes!$AT$5:$AT$204,MATCH(B1201,Recipes!$A$5:$A$204,0)),0)</f>
        <v>0</v>
      </c>
      <c r="Y1201" s="45">
        <f>IF(OR(J1201="",X1201=0),"",J1201*X1201)</f>
        <v>0</v>
      </c>
      <c r="Z1201" s="17">
        <f>IF(D1201="","",B1201&amp;"#"&amp;COUNTIFS($B$5:B1201,B1201))</f>
        <v>0</v>
      </c>
      <c r="AA1201" s="17">
        <f>IF(D1201="","",B1201&amp;"|"&amp;D1201)</f>
        <v>0</v>
      </c>
      <c r="AB1201" s="31">
        <f>IF(D1201="","",IF(B1201="","Add - which recipe?",IF(COUNTIFS(Ingredients!$B$5:$B$304,D1201)=0,"Missing - not in the Ingredients tab",IF(E1201="","Add - no quantity",IF(F1201="","Add - no unit",IF(K1201&lt;&gt;L1201,"Check - recipe in "&amp;K1201&amp;", priced in "&amp;L1201,IF(COUNTIFS($AA$5:$AA$1204,AA1201)&gt;1,"Duplicate - same ingredient twice","OK")))))))</f>
        <v>0</v>
      </c>
    </row>
    <row r="1202" spans="1:28">
      <c r="A1202" s="39">
        <f>IF(D1202="","","RL-"&amp;TEXT(ROW()-4,"0000"))</f>
        <v>0</v>
      </c>
      <c r="C1202" s="17">
        <f>IF(B1202="","",IFERROR(INDEX(Recipes!$B$5:$B$204,MATCH(B1202,Recipes!$A$5:$A$204,0)),"Not found"))</f>
        <v>0</v>
      </c>
      <c r="J1202" s="45">
        <f>IF(E1202="","",IFERROR(E1202*INDEX(UnitFactors,MATCH(F1202,UnitNames,0)),""))</f>
        <v>0</v>
      </c>
      <c r="K1202" s="17">
        <f>IF(F1202="","",IFERROR(INDEX(UnitBases,MATCH(F1202,UnitNames,0)),"?"))</f>
        <v>0</v>
      </c>
      <c r="L1202" s="17">
        <f>IF(D1202="","",IFERROR(INDEX(Ingredients!$G$5:$G$304,MATCH(D1202,Ingredients!$B$5:$B$304,0)),"Add to Ingredients"))</f>
        <v>0</v>
      </c>
      <c r="M1202" s="25">
        <f>IF(D1202="","",IFERROR(INDEX(Ingredients!$J$5:$J$304,MATCH(D1202,Ingredients!$B$5:$B$304,0)),"Add to Ingredients"))</f>
        <v>0</v>
      </c>
      <c r="N1202" s="25">
        <f>IF(OR(J1202="",M1202="",NOT(ISNUMBER(M1202))),"",IF(K1202&lt;&gt;L1202,"",J1202*M1202))</f>
        <v>0</v>
      </c>
      <c r="O1202" s="25">
        <f>IF(N1202="","",IFERROR(N1202/INDEX(Recipes!$G$5:$G$204,MATCH(B1202,Recipes!$A$5:$A$204,0)),""))</f>
        <v>0</v>
      </c>
      <c r="P1202" s="30">
        <f>IF(J1202="","",IF(K1202="each",J1202,J1202/100))</f>
        <v>0</v>
      </c>
      <c r="Q1202" s="30">
        <f>IFERROR(IF(P1202="","",P1202*INDEX(Ingredients!$P$5:$P$304,MATCH(D1202,Ingredients!$B$5:$B$304,0))),"")</f>
        <v>0</v>
      </c>
      <c r="R1202" s="45">
        <f>IFERROR(IF(P1202="","",P1202*INDEX(Ingredients!$Q$5:$Q$304,MATCH(D1202,Ingredients!$B$5:$B$304,0))),"")</f>
        <v>0</v>
      </c>
      <c r="S1202" s="45">
        <f>IFERROR(IF(P1202="","",P1202*INDEX(Ingredients!$R$5:$R$304,MATCH(D1202,Ingredients!$B$5:$B$304,0))),"")</f>
        <v>0</v>
      </c>
      <c r="T1202" s="45">
        <f>IFERROR(IF(P1202="","",P1202*INDEX(Ingredients!$S$5:$S$304,MATCH(D1202,Ingredients!$B$5:$B$304,0))),"")</f>
        <v>0</v>
      </c>
      <c r="U1202" s="45">
        <f>IFERROR(IF(P1202="","",P1202*INDEX(Ingredients!$T$5:$T$304,MATCH(D1202,Ingredients!$B$5:$B$304,0))),"")</f>
        <v>0</v>
      </c>
      <c r="V1202" s="17">
        <f>IF(D1202="","",IFERROR(INDEX(Ingredients!$W$5:$W$304,MATCH(D1202,Ingredients!$B$5:$B$304,0)),"Add to Ingredients"))</f>
        <v>0</v>
      </c>
      <c r="W1202" s="17">
        <f>IF(D1202="","",IFERROR(INDEX(Ingredients!$C$5:$C$304,MATCH(D1202,Ingredients!$B$5:$B$304,0)),"Add to Ingredients"))</f>
        <v>0</v>
      </c>
      <c r="X1202" s="45">
        <f>IFERROR(INDEX(Recipes!$AT$5:$AT$204,MATCH(B1202,Recipes!$A$5:$A$204,0)),0)</f>
        <v>0</v>
      </c>
      <c r="Y1202" s="45">
        <f>IF(OR(J1202="",X1202=0),"",J1202*X1202)</f>
        <v>0</v>
      </c>
      <c r="Z1202" s="17">
        <f>IF(D1202="","",B1202&amp;"#"&amp;COUNTIFS($B$5:B1202,B1202))</f>
        <v>0</v>
      </c>
      <c r="AA1202" s="17">
        <f>IF(D1202="","",B1202&amp;"|"&amp;D1202)</f>
        <v>0</v>
      </c>
      <c r="AB1202" s="31">
        <f>IF(D1202="","",IF(B1202="","Add - which recipe?",IF(COUNTIFS(Ingredients!$B$5:$B$304,D1202)=0,"Missing - not in the Ingredients tab",IF(E1202="","Add - no quantity",IF(F1202="","Add - no unit",IF(K1202&lt;&gt;L1202,"Check - recipe in "&amp;K1202&amp;", priced in "&amp;L1202,IF(COUNTIFS($AA$5:$AA$1204,AA1202)&gt;1,"Duplicate - same ingredient twice","OK")))))))</f>
        <v>0</v>
      </c>
    </row>
    <row r="1203" spans="1:28">
      <c r="A1203" s="39">
        <f>IF(D1203="","","RL-"&amp;TEXT(ROW()-4,"0000"))</f>
        <v>0</v>
      </c>
      <c r="C1203" s="17">
        <f>IF(B1203="","",IFERROR(INDEX(Recipes!$B$5:$B$204,MATCH(B1203,Recipes!$A$5:$A$204,0)),"Not found"))</f>
        <v>0</v>
      </c>
      <c r="J1203" s="45">
        <f>IF(E1203="","",IFERROR(E1203*INDEX(UnitFactors,MATCH(F1203,UnitNames,0)),""))</f>
        <v>0</v>
      </c>
      <c r="K1203" s="17">
        <f>IF(F1203="","",IFERROR(INDEX(UnitBases,MATCH(F1203,UnitNames,0)),"?"))</f>
        <v>0</v>
      </c>
      <c r="L1203" s="17">
        <f>IF(D1203="","",IFERROR(INDEX(Ingredients!$G$5:$G$304,MATCH(D1203,Ingredients!$B$5:$B$304,0)),"Add to Ingredients"))</f>
        <v>0</v>
      </c>
      <c r="M1203" s="25">
        <f>IF(D1203="","",IFERROR(INDEX(Ingredients!$J$5:$J$304,MATCH(D1203,Ingredients!$B$5:$B$304,0)),"Add to Ingredients"))</f>
        <v>0</v>
      </c>
      <c r="N1203" s="25">
        <f>IF(OR(J1203="",M1203="",NOT(ISNUMBER(M1203))),"",IF(K1203&lt;&gt;L1203,"",J1203*M1203))</f>
        <v>0</v>
      </c>
      <c r="O1203" s="25">
        <f>IF(N1203="","",IFERROR(N1203/INDEX(Recipes!$G$5:$G$204,MATCH(B1203,Recipes!$A$5:$A$204,0)),""))</f>
        <v>0</v>
      </c>
      <c r="P1203" s="30">
        <f>IF(J1203="","",IF(K1203="each",J1203,J1203/100))</f>
        <v>0</v>
      </c>
      <c r="Q1203" s="30">
        <f>IFERROR(IF(P1203="","",P1203*INDEX(Ingredients!$P$5:$P$304,MATCH(D1203,Ingredients!$B$5:$B$304,0))),"")</f>
        <v>0</v>
      </c>
      <c r="R1203" s="45">
        <f>IFERROR(IF(P1203="","",P1203*INDEX(Ingredients!$Q$5:$Q$304,MATCH(D1203,Ingredients!$B$5:$B$304,0))),"")</f>
        <v>0</v>
      </c>
      <c r="S1203" s="45">
        <f>IFERROR(IF(P1203="","",P1203*INDEX(Ingredients!$R$5:$R$304,MATCH(D1203,Ingredients!$B$5:$B$304,0))),"")</f>
        <v>0</v>
      </c>
      <c r="T1203" s="45">
        <f>IFERROR(IF(P1203="","",P1203*INDEX(Ingredients!$S$5:$S$304,MATCH(D1203,Ingredients!$B$5:$B$304,0))),"")</f>
        <v>0</v>
      </c>
      <c r="U1203" s="45">
        <f>IFERROR(IF(P1203="","",P1203*INDEX(Ingredients!$T$5:$T$304,MATCH(D1203,Ingredients!$B$5:$B$304,0))),"")</f>
        <v>0</v>
      </c>
      <c r="V1203" s="17">
        <f>IF(D1203="","",IFERROR(INDEX(Ingredients!$W$5:$W$304,MATCH(D1203,Ingredients!$B$5:$B$304,0)),"Add to Ingredients"))</f>
        <v>0</v>
      </c>
      <c r="W1203" s="17">
        <f>IF(D1203="","",IFERROR(INDEX(Ingredients!$C$5:$C$304,MATCH(D1203,Ingredients!$B$5:$B$304,0)),"Add to Ingredients"))</f>
        <v>0</v>
      </c>
      <c r="X1203" s="45">
        <f>IFERROR(INDEX(Recipes!$AT$5:$AT$204,MATCH(B1203,Recipes!$A$5:$A$204,0)),0)</f>
        <v>0</v>
      </c>
      <c r="Y1203" s="45">
        <f>IF(OR(J1203="",X1203=0),"",J1203*X1203)</f>
        <v>0</v>
      </c>
      <c r="Z1203" s="17">
        <f>IF(D1203="","",B1203&amp;"#"&amp;COUNTIFS($B$5:B1203,B1203))</f>
        <v>0</v>
      </c>
      <c r="AA1203" s="17">
        <f>IF(D1203="","",B1203&amp;"|"&amp;D1203)</f>
        <v>0</v>
      </c>
      <c r="AB1203" s="31">
        <f>IF(D1203="","",IF(B1203="","Add - which recipe?",IF(COUNTIFS(Ingredients!$B$5:$B$304,D1203)=0,"Missing - not in the Ingredients tab",IF(E1203="","Add - no quantity",IF(F1203="","Add - no unit",IF(K1203&lt;&gt;L1203,"Check - recipe in "&amp;K1203&amp;", priced in "&amp;L1203,IF(COUNTIFS($AA$5:$AA$1204,AA1203)&gt;1,"Duplicate - same ingredient twice","OK")))))))</f>
        <v>0</v>
      </c>
    </row>
    <row r="1204" spans="1:28">
      <c r="A1204" s="39">
        <f>IF(D1204="","","RL-"&amp;TEXT(ROW()-4,"0000"))</f>
        <v>0</v>
      </c>
      <c r="C1204" s="17">
        <f>IF(B1204="","",IFERROR(INDEX(Recipes!$B$5:$B$204,MATCH(B1204,Recipes!$A$5:$A$204,0)),"Not found"))</f>
        <v>0</v>
      </c>
      <c r="J1204" s="45">
        <f>IF(E1204="","",IFERROR(E1204*INDEX(UnitFactors,MATCH(F1204,UnitNames,0)),""))</f>
        <v>0</v>
      </c>
      <c r="K1204" s="17">
        <f>IF(F1204="","",IFERROR(INDEX(UnitBases,MATCH(F1204,UnitNames,0)),"?"))</f>
        <v>0</v>
      </c>
      <c r="L1204" s="17">
        <f>IF(D1204="","",IFERROR(INDEX(Ingredients!$G$5:$G$304,MATCH(D1204,Ingredients!$B$5:$B$304,0)),"Add to Ingredients"))</f>
        <v>0</v>
      </c>
      <c r="M1204" s="25">
        <f>IF(D1204="","",IFERROR(INDEX(Ingredients!$J$5:$J$304,MATCH(D1204,Ingredients!$B$5:$B$304,0)),"Add to Ingredients"))</f>
        <v>0</v>
      </c>
      <c r="N1204" s="25">
        <f>IF(OR(J1204="",M1204="",NOT(ISNUMBER(M1204))),"",IF(K1204&lt;&gt;L1204,"",J1204*M1204))</f>
        <v>0</v>
      </c>
      <c r="O1204" s="25">
        <f>IF(N1204="","",IFERROR(N1204/INDEX(Recipes!$G$5:$G$204,MATCH(B1204,Recipes!$A$5:$A$204,0)),""))</f>
        <v>0</v>
      </c>
      <c r="P1204" s="30">
        <f>IF(J1204="","",IF(K1204="each",J1204,J1204/100))</f>
        <v>0</v>
      </c>
      <c r="Q1204" s="30">
        <f>IFERROR(IF(P1204="","",P1204*INDEX(Ingredients!$P$5:$P$304,MATCH(D1204,Ingredients!$B$5:$B$304,0))),"")</f>
        <v>0</v>
      </c>
      <c r="R1204" s="45">
        <f>IFERROR(IF(P1204="","",P1204*INDEX(Ingredients!$Q$5:$Q$304,MATCH(D1204,Ingredients!$B$5:$B$304,0))),"")</f>
        <v>0</v>
      </c>
      <c r="S1204" s="45">
        <f>IFERROR(IF(P1204="","",P1204*INDEX(Ingredients!$R$5:$R$304,MATCH(D1204,Ingredients!$B$5:$B$304,0))),"")</f>
        <v>0</v>
      </c>
      <c r="T1204" s="45">
        <f>IFERROR(IF(P1204="","",P1204*INDEX(Ingredients!$S$5:$S$304,MATCH(D1204,Ingredients!$B$5:$B$304,0))),"")</f>
        <v>0</v>
      </c>
      <c r="U1204" s="45">
        <f>IFERROR(IF(P1204="","",P1204*INDEX(Ingredients!$T$5:$T$304,MATCH(D1204,Ingredients!$B$5:$B$304,0))),"")</f>
        <v>0</v>
      </c>
      <c r="V1204" s="17">
        <f>IF(D1204="","",IFERROR(INDEX(Ingredients!$W$5:$W$304,MATCH(D1204,Ingredients!$B$5:$B$304,0)),"Add to Ingredients"))</f>
        <v>0</v>
      </c>
      <c r="W1204" s="17">
        <f>IF(D1204="","",IFERROR(INDEX(Ingredients!$C$5:$C$304,MATCH(D1204,Ingredients!$B$5:$B$304,0)),"Add to Ingredients"))</f>
        <v>0</v>
      </c>
      <c r="X1204" s="45">
        <f>IFERROR(INDEX(Recipes!$AT$5:$AT$204,MATCH(B1204,Recipes!$A$5:$A$204,0)),0)</f>
        <v>0</v>
      </c>
      <c r="Y1204" s="45">
        <f>IF(OR(J1204="",X1204=0),"",J1204*X1204)</f>
        <v>0</v>
      </c>
      <c r="Z1204" s="17">
        <f>IF(D1204="","",B1204&amp;"#"&amp;COUNTIFS($B$5:B1204,B1204))</f>
        <v>0</v>
      </c>
      <c r="AA1204" s="17">
        <f>IF(D1204="","",B1204&amp;"|"&amp;D1204)</f>
        <v>0</v>
      </c>
      <c r="AB1204" s="31">
        <f>IF(D1204="","",IF(B1204="","Add - which recipe?",IF(COUNTIFS(Ingredients!$B$5:$B$304,D1204)=0,"Missing - not in the Ingredients tab",IF(E1204="","Add - no quantity",IF(F1204="","Add - no unit",IF(K1204&lt;&gt;L1204,"Check - recipe in "&amp;K1204&amp;", priced in "&amp;L1204,IF(COUNTIFS($AA$5:$AA$1204,AA1204)&gt;1,"Duplicate - same ingredient twice","OK")))))))</f>
        <v>0</v>
      </c>
    </row>
    <row r="1206" spans="1:28" ht="20" customHeight="1">
      <c r="A1206" s="7" t="s">
        <v>970</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row>
    <row r="1207" spans="1:28" ht="26" customHeight="1">
      <c r="A1207" s="8" t="s">
        <v>971</v>
      </c>
      <c r="B1207" s="9" t="s">
        <v>972</v>
      </c>
      <c r="C1207" s="9" t="s">
        <v>973</v>
      </c>
      <c r="D1207" s="9" t="s">
        <v>974</v>
      </c>
      <c r="E1207" s="9" t="s">
        <v>975</v>
      </c>
      <c r="F1207" s="9" t="s">
        <v>976</v>
      </c>
    </row>
    <row r="1208" spans="1:28">
      <c r="A1208" s="18">
        <f>COUNTIF('Recipe Ingredients'!$D$5:$D$1204,"&lt;&gt;")</f>
        <v>0</v>
      </c>
      <c r="B1208" s="18">
        <f>SUMPRODUCT((COUNTIF('Recipe Ingredients'!$B$5:$B$1204,Recipes!$A$5:$A$204)&gt;0)*(Recipes!$A$5:$A$204&lt;&gt;""))</f>
        <v>0</v>
      </c>
      <c r="C1208" s="18">
        <f>COUNTIFS('Recipe Ingredients'!$N$5:$N$1204,"&gt;0")</f>
        <v>0</v>
      </c>
      <c r="D1208" s="18">
        <f>COUNTIF('Recipe Ingredients'!$AB$5:$AB$1204,"Check - *")</f>
        <v>0</v>
      </c>
      <c r="E1208" s="18">
        <f>COUNTIF('Recipe Ingredients'!$AB$5:$AB$1204,"Missing*")</f>
        <v>0</v>
      </c>
      <c r="F1208" s="25">
        <f>SUM('Recipe Ingredients'!$N$5:$N$1204)</f>
        <v>0</v>
      </c>
    </row>
  </sheetData>
  <sheetProtection password="EC7C" sheet="1" objects="1" scenarios="1" formatCells="0" formatColumns="0" formatRows="0" insertRows="0" insertHyperlinks="0" deleteRows="0" autoFilter="0"/>
  <autoFilter ref="A4:AB1204"/>
  <mergeCells count="14">
    <mergeCell ref="A1:Y1"/>
    <mergeCell ref="Z1:AB1"/>
    <mergeCell ref="A2:AB2"/>
    <mergeCell ref="A3:B3"/>
    <mergeCell ref="C3:D3"/>
    <mergeCell ref="E3:F3"/>
    <mergeCell ref="G3:H3"/>
    <mergeCell ref="I3:J3"/>
    <mergeCell ref="K3:L3"/>
    <mergeCell ref="M3:N3"/>
    <mergeCell ref="O3:P3"/>
    <mergeCell ref="Q3:R3"/>
    <mergeCell ref="S3:AB3"/>
    <mergeCell ref="A1206:AB1206"/>
  </mergeCells>
  <conditionalFormatting sqref="AB5:AB1204">
    <cfRule type="beginsWith" dxfId="1" priority="2" operator="beginsWith" text="OK">
      <formula>LEFT(AB5,2)="OK"</formula>
    </cfRule>
    <cfRule type="containsText" dxfId="2" priority="3" operator="containsText" text="Overdue">
      <formula>NOT(ISERROR(SEARCH("Overdue",AB5)))</formula>
    </cfRule>
    <cfRule type="containsText" dxfId="2" priority="4" operator="containsText" text="Late">
      <formula>NOT(ISERROR(SEARCH("Late",AB5)))</formula>
    </cfRule>
    <cfRule type="containsText" dxfId="2" priority="5" operator="containsText" text="Missing">
      <formula>NOT(ISERROR(SEARCH("Missing",AB5)))</formula>
    </cfRule>
    <cfRule type="containsText" dxfId="2" priority="6" operator="containsText" text="Conflict">
      <formula>NOT(ISERROR(SEARCH("Conflict",AB5)))</formula>
    </cfRule>
    <cfRule type="containsText" dxfId="2" priority="7" operator="containsText" text="Expired">
      <formula>NOT(ISERROR(SEARCH("Expired",AB5)))</formula>
    </cfRule>
    <cfRule type="containsText" dxfId="2" priority="8" operator="containsText" text="Duplicate">
      <formula>NOT(ISERROR(SEARCH("Duplicate",AB5)))</formula>
    </cfRule>
    <cfRule type="containsText" dxfId="0" priority="9" operator="containsText" text="Action">
      <formula>NOT(ISERROR(SEARCH("Action",AB5)))</formula>
    </cfRule>
    <cfRule type="containsText" dxfId="0" priority="10" operator="containsText" text="Due">
      <formula>NOT(ISERROR(SEARCH("Due",AB5)))</formula>
    </cfRule>
    <cfRule type="containsText" dxfId="0" priority="11" operator="containsText" text="Check">
      <formula>NOT(ISERROR(SEARCH("Check",AB5)))</formula>
    </cfRule>
    <cfRule type="containsText" dxfId="0" priority="12" operator="containsText" text="Add">
      <formula>NOT(ISERROR(SEARCH("Add",AB5)))</formula>
    </cfRule>
    <cfRule type="containsText" dxfId="4" priority="13" operator="containsText" text="Today">
      <formula>NOT(ISERROR(SEARCH("Today",AB5)))</formula>
    </cfRule>
    <cfRule type="containsText" dxfId="4" priority="14" operator="containsText" text="Upcoming">
      <formula>NOT(ISERROR(SEARCH("Upcoming",AB5)))</formula>
    </cfRule>
  </conditionalFormatting>
  <conditionalFormatting sqref="V5:V1204">
    <cfRule type="notContainsText" dxfId="0" priority="1" operator="notContains" text="None">
      <formula>ISERROR(SEARCH("None",V5))</formula>
    </cfRule>
  </conditionalFormatting>
  <dataValidations count="5">
    <dataValidation type="list" allowBlank="1" showInputMessage="1" showErrorMessage="1" promptTitle="Recipe ID" prompt="Pick the recipe this line belongs to. The drop-down lists every ID on the Recipes tab." sqref="B5:B1204">
      <formula1>RecipeIDs</formula1>
    </dataValidation>
    <dataValidation type="list" allowBlank="1" showInputMessage="1" showErrorMessage="1" promptTitle="Ingredient" prompt="Must match the Ingredients tab exactly - choose from the drop-down and it always will." sqref="D5:D1204">
      <formula1>IngredientNames</formula1>
    </dataValidation>
    <dataValidation type="decimal" allowBlank="1" showInputMessage="1" showErrorMessage="1" errorTitle="Check the value" error="Enter a number between 0 and 100000." promptTitle="Quantity" prompt="For the number of servings on the Recipes tab, not per person." sqref="E5:E1204">
      <formula1>0</formula1>
      <formula2>100000</formula2>
    </dataValidation>
    <dataValidation type="list" allowBlank="1" showInputMessage="1" showErrorMessage="1" promptTitle="Unit" prompt="Any unit from the table on the Lists tab - kg, g, ml, tbsp, cup, each. It is converted for you." sqref="F5:F1204">
      <formula1>UnitList</formula1>
    </dataValidation>
    <dataValidation type="list" allowBlank="1" showInputMessage="1" showErrorMessage="1" promptTitle="Optional?" prompt="Optional ingredients are still costed but are marked on the shopping list so you can skip them." sqref="I5:I12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&amp;L&amp;"Calibri,Bold"&amp;12&amp;C&amp;"Calibri,Bold"&amp;11Recipe Ingredients&amp;R&amp;"Calibri,Italic"&amp;9Automated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2F5E43"/>
    <pageSetUpPr fitToPage="1"/>
  </sheetPr>
  <dimension ref="A1:AO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24.7109375" style="32" customWidth="1"/>
    <col min="3" max="3" width="16.7109375" style="32" customWidth="1"/>
    <col min="4" max="4" width="17.7109375" style="32" customWidth="1"/>
    <col min="5" max="5" width="18.7109375" style="32" customWidth="1"/>
    <col min="6" max="6" width="16.7109375" style="32" customWidth="1"/>
    <col min="7" max="7" width="12.7109375" style="32" customWidth="1"/>
    <col min="8" max="8" width="11.7109375" style="38" customWidth="1"/>
    <col min="9" max="9" width="11.7109375" style="36" customWidth="1"/>
    <col min="10" max="10" width="12.7109375" style="25" customWidth="1"/>
    <col min="11" max="11" width="11.7109375" style="25" customWidth="1"/>
    <col min="12" max="12" width="13.7109375" style="25" customWidth="1"/>
    <col min="13" max="13" width="14.7109375" style="25" customWidth="1"/>
    <col min="14" max="14" width="16.7109375" style="17" customWidth="1"/>
    <col min="15" max="15" width="12.7109375" style="25" customWidth="1"/>
    <col min="16" max="16" width="12.7109375" style="41" customWidth="1"/>
    <col min="17" max="17" width="11.7109375" style="38" customWidth="1"/>
    <col min="18" max="18" width="11.7109375" style="38" customWidth="1"/>
    <col min="19" max="19" width="11.7109375" style="38" customWidth="1"/>
    <col min="20" max="20" width="11.7109375" style="38" customWidth="1"/>
    <col min="21" max="21" width="11.7109375" style="38" customWidth="1"/>
    <col min="22" max="22" width="12.7109375" style="41" customWidth="1"/>
    <col min="23" max="23" width="14.7109375" style="32" customWidth="1"/>
    <col min="24" max="24" width="15.7109375" style="32" customWidth="1"/>
    <col min="25" max="25" width="12.7109375" style="32" customWidth="1"/>
    <col min="26" max="26" width="12.7109375" style="35" customWidth="1"/>
    <col min="27" max="27" width="13.7109375" style="32" customWidth="1"/>
    <col min="28" max="28" width="20.7109375" style="32" customWidth="1"/>
    <col min="29" max="29" width="12.7109375" style="15" customWidth="1"/>
    <col min="30" max="30" width="13.7109375" style="45" customWidth="1"/>
    <col min="31" max="31" width="12.7109375" style="25" customWidth="1"/>
    <col min="32" max="32" width="12.7109375" style="18" customWidth="1"/>
    <col min="33" max="33" width="13.7109375" style="45" customWidth="1"/>
    <col min="34" max="34" width="9.7109375" style="30" hidden="1" customWidth="1"/>
    <col min="35" max="35" width="9.7109375" style="18" hidden="1" customWidth="1"/>
    <col min="36" max="36" width="9.7109375" style="18" hidden="1" customWidth="1"/>
    <col min="37" max="37" width="9.7109375" style="18" hidden="1" customWidth="1"/>
    <col min="38" max="38" width="7.7109375" style="18" hidden="1" customWidth="1"/>
    <col min="39" max="39" width="12.7109375" style="45" customWidth="1"/>
    <col min="40" max="40" width="24.7109375" style="31" customWidth="1"/>
    <col min="41" max="41" width="26.7109375" style="43" customWidth="1"/>
    <col min="1" max="1" width="18.7109375" customWidth="1"/>
    <col min="2" max="2" width="14.7109375" customWidth="1"/>
    <col min="3" max="3" width="15.7109375" customWidth="1"/>
    <col min="4" max="4" width="18.7109375" customWidth="1"/>
    <col min="5" max="5" width="19.7109375" customWidth="1"/>
    <col min="6" max="6" width="24.7109375" customWidth="1"/>
  </cols>
  <sheetData>
    <row r="1" spans="1:41" ht="34" customHeight="1">
      <c r="A1" s="2" t="s">
        <v>977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978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979</v>
      </c>
      <c r="T3" s="44"/>
      <c r="U3" s="44"/>
      <c r="V3" s="44"/>
      <c r="W3" s="44"/>
      <c r="X3" s="44"/>
      <c r="Y3" s="44"/>
      <c r="Z3" s="44"/>
      <c r="AA3" s="44"/>
      <c r="AB3" s="44"/>
      <c r="AC3" s="44"/>
      <c r="AD3" s="44"/>
      <c r="AE3" s="44"/>
      <c r="AF3" s="44"/>
      <c r="AG3" s="44"/>
      <c r="AH3" s="44"/>
      <c r="AI3" s="44"/>
      <c r="AJ3" s="44"/>
      <c r="AK3" s="44"/>
      <c r="AL3" s="44"/>
      <c r="AM3" s="44"/>
      <c r="AN3" s="44"/>
      <c r="AO3" s="44"/>
    </row>
    <row r="4" spans="1:41" ht="30" customHeight="1">
      <c r="A4" s="8" t="s">
        <v>708</v>
      </c>
      <c r="B4" s="8" t="s">
        <v>870</v>
      </c>
      <c r="C4" s="9" t="s">
        <v>763</v>
      </c>
      <c r="D4" s="9" t="s">
        <v>425</v>
      </c>
      <c r="E4" s="9" t="s">
        <v>980</v>
      </c>
      <c r="F4" s="9" t="s">
        <v>981</v>
      </c>
      <c r="G4" s="9" t="s">
        <v>982</v>
      </c>
      <c r="H4" s="9" t="s">
        <v>983</v>
      </c>
      <c r="I4" s="9" t="s">
        <v>984</v>
      </c>
      <c r="J4" s="9" t="s">
        <v>877</v>
      </c>
      <c r="K4" s="9" t="s">
        <v>985</v>
      </c>
      <c r="L4" s="9" t="s">
        <v>986</v>
      </c>
      <c r="M4" s="9" t="s">
        <v>987</v>
      </c>
      <c r="N4" s="9" t="s">
        <v>988</v>
      </c>
      <c r="O4" s="9" t="s">
        <v>989</v>
      </c>
      <c r="P4" s="9" t="s">
        <v>990</v>
      </c>
      <c r="Q4" s="9" t="s">
        <v>991</v>
      </c>
      <c r="R4" s="9" t="s">
        <v>992</v>
      </c>
      <c r="S4" s="9" t="s">
        <v>993</v>
      </c>
      <c r="T4" s="9" t="s">
        <v>994</v>
      </c>
      <c r="U4" s="9" t="s">
        <v>995</v>
      </c>
      <c r="V4" s="9" t="s">
        <v>996</v>
      </c>
      <c r="W4" s="9" t="s">
        <v>397</v>
      </c>
      <c r="X4" s="9" t="s">
        <v>778</v>
      </c>
      <c r="Y4" s="9" t="s">
        <v>780</v>
      </c>
      <c r="Z4" s="9" t="s">
        <v>997</v>
      </c>
      <c r="AA4" s="9" t="s">
        <v>998</v>
      </c>
      <c r="AB4" s="9" t="s">
        <v>999</v>
      </c>
      <c r="AC4" s="9" t="s">
        <v>1000</v>
      </c>
      <c r="AD4" s="9" t="s">
        <v>1001</v>
      </c>
      <c r="AE4" s="9" t="s">
        <v>1002</v>
      </c>
      <c r="AF4" s="9" t="s">
        <v>1003</v>
      </c>
      <c r="AG4" s="9" t="s">
        <v>884</v>
      </c>
      <c r="AH4" s="9" t="s">
        <v>1004</v>
      </c>
      <c r="AI4" s="9" t="s">
        <v>1005</v>
      </c>
      <c r="AJ4" s="9" t="s">
        <v>1006</v>
      </c>
      <c r="AK4" s="9" t="s">
        <v>1007</v>
      </c>
      <c r="AL4" s="9" t="s">
        <v>1008</v>
      </c>
      <c r="AM4" s="9" t="s">
        <v>1009</v>
      </c>
      <c r="AN4" s="9" t="s">
        <v>729</v>
      </c>
      <c r="AO4" s="9" t="s">
        <v>730</v>
      </c>
    </row>
    <row r="5" spans="1:41">
      <c r="A5" s="39">
        <f>IF(B5="","",IngredientPrefix&amp;TEXT(ROW()-4,"0000"))</f>
        <v>0</v>
      </c>
      <c r="B5" s="32" t="s">
        <v>926</v>
      </c>
      <c r="C5" s="32" t="s">
        <v>414</v>
      </c>
      <c r="D5" s="32" t="s">
        <v>429</v>
      </c>
      <c r="E5" s="32" t="s">
        <v>214</v>
      </c>
      <c r="F5" s="32" t="s">
        <v>157</v>
      </c>
      <c r="G5" s="32" t="s">
        <v>668</v>
      </c>
      <c r="H5" s="38">
        <v>600</v>
      </c>
      <c r="I5" s="36">
        <v>6.5</v>
      </c>
      <c r="J5" s="25">
        <f>IF(OR(H5="",I5=""),"",IF(H5=0,"",I5/H5))</f>
        <v>0</v>
      </c>
      <c r="K5" s="25">
        <f>IF(J5="","",J5*100)</f>
        <v>0</v>
      </c>
      <c r="L5" s="25">
        <f>IF(B5="","",IFERROR(AVERAGEIFS('Grocery Spending'!$L$5:$L$404,'Grocery Spending'!$H$5:$H$404,B5,'Grocery Spending'!$L$5:$L$404,"&gt;0"),""))</f>
        <v>0</v>
      </c>
      <c r="M5" s="25">
        <f>IF(B5="","",IF(COUNTIFS('Store Prices'!$B$5:$B$304,B5)=0,"",IF(SUMPRODUCT(MIN((('Store Prices'!$B$5:$B$304=B5)*(IFERROR('Store Prices'!$I$5:$I$304*1,0)&gt;0))*IFERROR('Store Prices'!$I$5:$I$304*1,0)+(1-(('Store Prices'!$B$5:$B$304=B5)*(IFERROR('Store Prices'!$I$5:$I$304*1,0)&gt;0)))*999999))&gt;=999999,"",SUMPRODUCT(MIN((('Store Prices'!$B$5:$B$304=B5)*(IFERROR('Store Prices'!$I$5:$I$304*1,0)&gt;0))*IFERROR('Store Prices'!$I$5:$I$304*1,0)+(1-(('Store Prices'!$B$5:$B$304=B5)*(IFERROR('Store Prices'!$I$5:$I$304*1,0)&gt;0)))*999999)))))</f>
        <v>0</v>
      </c>
      <c r="N5" s="17">
        <f>IF(M5="","",IFERROR(INDEX('Store Prices'!$C$5:$C$304,MATCH(1,INDEX(('Store Prices'!$B$5:$B$304=B5)*('Store Prices'!$I$5:$I$304=M5),0),0)),""))</f>
        <v>0</v>
      </c>
      <c r="O5" s="25">
        <f>IF(OR(M5="",J5=""),"",MAX(0,(J5-M5)*100))</f>
        <v>0</v>
      </c>
      <c r="P5" s="41">
        <v>165</v>
      </c>
      <c r="Q5" s="38">
        <v>31</v>
      </c>
      <c r="R5" s="38">
        <v>0</v>
      </c>
      <c r="S5" s="38">
        <v>3.6</v>
      </c>
      <c r="T5" s="38">
        <v>0</v>
      </c>
      <c r="U5" s="38">
        <v>0</v>
      </c>
      <c r="V5" s="41">
        <v>132</v>
      </c>
      <c r="W5" s="32" t="s">
        <v>372</v>
      </c>
      <c r="X5" s="32" t="s">
        <v>396</v>
      </c>
      <c r="Y5" s="32" t="s">
        <v>572</v>
      </c>
      <c r="Z5" s="35">
        <v>3</v>
      </c>
      <c r="AA5" s="32" t="s">
        <v>444</v>
      </c>
      <c r="AB5" s="32" t="s">
        <v>157</v>
      </c>
      <c r="AC5" s="15">
        <v>46292</v>
      </c>
      <c r="AD5" s="45">
        <f>IF(B5="","",SUMIFS(Pantry!$G$5:$G$304,Pantry!$B$5:$B$304,B5))</f>
        <v>0</v>
      </c>
      <c r="AE5" s="25">
        <f>IF(OR(AD5="",J5=""),"",AD5*J5)</f>
        <v>0</v>
      </c>
      <c r="AF5" s="18">
        <f>IF(B5="","",COUNTIFS('Recipe Ingredients'!$D$5:$D$1204,B5))</f>
        <v>0</v>
      </c>
      <c r="AG5" s="45">
        <f>IF(B5="","",SUMIFS('Recipe Ingredients'!$Y$5:$Y$1204,'Recipe Ingredients'!$D$5:$D$1204,B5))</f>
        <v>0</v>
      </c>
      <c r="AH5" s="30">
        <f>IF(B5="",0,IFERROR(K5*1,0)*IFERROR(AF5*1,0))</f>
        <v>0</v>
      </c>
      <c r="AI5" s="18">
        <f>IF(B5="","",COUNTIFS($AH$5:$AH$304,"&gt;"&amp;AH5)+COUNTIFS($AH$5:AH5,AH5))</f>
        <v>0</v>
      </c>
      <c r="AJ5" s="18">
        <f>IF(B5="",0,COUNTIFS('Food Waste'!$E$5:$E$154,B5))</f>
        <v>0</v>
      </c>
      <c r="AK5" s="18">
        <f>IF(B5="","",COUNTIFS($AJ$5:$AJ$304,"&gt;"&amp;AJ5)+COUNTIFS($AJ$5:AJ5,AJ5))</f>
        <v>0</v>
      </c>
      <c r="AL5" s="18">
        <f>IF(B5="","",IF(AG5&gt;0,COUNTIF(AG$5:AG5,"&gt;0"),""))</f>
        <v>0</v>
      </c>
      <c r="AM5" s="45">
        <f>IF(B5="","",SUMIFS('Grocery List'!$Q$5:$Q$304,'Grocery List'!$B$5:$B$304,B5))</f>
        <v>0</v>
      </c>
      <c r="AN5" s="31">
        <f>IF(B5="","",IF(I5="","Add - no price yet",IF(H5="","Add - no pack size",IF(COUNTIFS($B$5:$B$304,B5)&gt;1,"Duplicate - same name twice",IF(AF5=0,"Check - no recipe uses it","OK")))))</f>
        <v>0</v>
      </c>
      <c r="AO5" s="43" t="s">
        <v>157</v>
      </c>
    </row>
    <row r="6" spans="1:41">
      <c r="A6" s="39">
        <f>IF(B6="","",IngredientPrefix&amp;TEXT(ROW()-4,"0000"))</f>
        <v>0</v>
      </c>
      <c r="B6" s="32" t="s">
        <v>888</v>
      </c>
      <c r="C6" s="32" t="s">
        <v>414</v>
      </c>
      <c r="D6" s="32" t="s">
        <v>429</v>
      </c>
      <c r="E6" s="32" t="s">
        <v>1010</v>
      </c>
      <c r="F6" s="32" t="s">
        <v>157</v>
      </c>
      <c r="G6" s="32" t="s">
        <v>668</v>
      </c>
      <c r="H6" s="38">
        <v>900</v>
      </c>
      <c r="I6" s="36">
        <v>4.8</v>
      </c>
      <c r="J6" s="25">
        <f>IF(OR(H6="",I6=""),"",IF(H6=0,"",I6/H6))</f>
        <v>0</v>
      </c>
      <c r="K6" s="25">
        <f>IF(J6="","",J6*100)</f>
        <v>0</v>
      </c>
      <c r="L6" s="25">
        <f>IF(B6="","",IFERROR(AVERAGEIFS('Grocery Spending'!$L$5:$L$404,'Grocery Spending'!$H$5:$H$404,B6,'Grocery Spending'!$L$5:$L$404,"&gt;0"),""))</f>
        <v>0</v>
      </c>
      <c r="M6" s="25">
        <f>IF(B6="","",IF(COUNTIFS('Store Prices'!$B$5:$B$304,B6)=0,"",IF(SUMPRODUCT(MIN((('Store Prices'!$B$5:$B$304=B6)*(IFERROR('Store Prices'!$I$5:$I$304*1,0)&gt;0))*IFERROR('Store Prices'!$I$5:$I$304*1,0)+(1-(('Store Prices'!$B$5:$B$304=B6)*(IFERROR('Store Prices'!$I$5:$I$304*1,0)&gt;0)))*999999))&gt;=999999,"",SUMPRODUCT(MIN((('Store Prices'!$B$5:$B$304=B6)*(IFERROR('Store Prices'!$I$5:$I$304*1,0)&gt;0))*IFERROR('Store Prices'!$I$5:$I$304*1,0)+(1-(('Store Prices'!$B$5:$B$304=B6)*(IFERROR('Store Prices'!$I$5:$I$304*1,0)&gt;0)))*999999)))))</f>
        <v>0</v>
      </c>
      <c r="N6" s="17">
        <f>IF(M6="","",IFERROR(INDEX('Store Prices'!$C$5:$C$304,MATCH(1,INDEX(('Store Prices'!$B$5:$B$304=B6)*('Store Prices'!$I$5:$I$304=M6),0),0)),""))</f>
        <v>0</v>
      </c>
      <c r="O6" s="25">
        <f>IF(OR(M6="",J6=""),"",MAX(0,(J6-M6)*100))</f>
        <v>0</v>
      </c>
      <c r="P6" s="41">
        <v>209</v>
      </c>
      <c r="Q6" s="38">
        <v>26</v>
      </c>
      <c r="R6" s="38">
        <v>0</v>
      </c>
      <c r="S6" s="38">
        <v>11</v>
      </c>
      <c r="T6" s="38">
        <v>0</v>
      </c>
      <c r="U6" s="38">
        <v>0</v>
      </c>
      <c r="V6" s="41">
        <v>167</v>
      </c>
      <c r="W6" s="32" t="s">
        <v>372</v>
      </c>
      <c r="X6" s="32" t="s">
        <v>396</v>
      </c>
      <c r="Y6" s="32" t="s">
        <v>572</v>
      </c>
      <c r="Z6" s="35">
        <v>3</v>
      </c>
      <c r="AA6" s="32" t="s">
        <v>444</v>
      </c>
      <c r="AB6" s="32" t="s">
        <v>157</v>
      </c>
      <c r="AC6" s="15">
        <v>46294</v>
      </c>
      <c r="AD6" s="45">
        <f>IF(B6="","",SUMIFS(Pantry!$G$5:$G$304,Pantry!$B$5:$B$304,B6))</f>
        <v>0</v>
      </c>
      <c r="AE6" s="25">
        <f>IF(OR(AD6="",J6=""),"",AD6*J6)</f>
        <v>0</v>
      </c>
      <c r="AF6" s="18">
        <f>IF(B6="","",COUNTIFS('Recipe Ingredients'!$D$5:$D$1204,B6))</f>
        <v>0</v>
      </c>
      <c r="AG6" s="45">
        <f>IF(B6="","",SUMIFS('Recipe Ingredients'!$Y$5:$Y$1204,'Recipe Ingredients'!$D$5:$D$1204,B6))</f>
        <v>0</v>
      </c>
      <c r="AH6" s="30">
        <f>IF(B6="",0,IFERROR(K6*1,0)*IFERROR(AF6*1,0))</f>
        <v>0</v>
      </c>
      <c r="AI6" s="18">
        <f>IF(B6="","",COUNTIFS($AH$5:$AH$304,"&gt;"&amp;AH6)+COUNTIFS($AH$5:AH6,AH6))</f>
        <v>0</v>
      </c>
      <c r="AJ6" s="18">
        <f>IF(B6="",0,COUNTIFS('Food Waste'!$E$5:$E$154,B6))</f>
        <v>0</v>
      </c>
      <c r="AK6" s="18">
        <f>IF(B6="","",COUNTIFS($AJ$5:$AJ$304,"&gt;"&amp;AJ6)+COUNTIFS($AJ$5:AJ6,AJ6))</f>
        <v>0</v>
      </c>
      <c r="AL6" s="18">
        <f>IF(B6="","",IF(AG6&gt;0,COUNTIF(AG$5:AG6,"&gt;0"),""))</f>
        <v>0</v>
      </c>
      <c r="AM6" s="45">
        <f>IF(B6="","",SUMIFS('Grocery List'!$Q$5:$Q$304,'Grocery List'!$B$5:$B$304,B6))</f>
        <v>0</v>
      </c>
      <c r="AN6" s="31">
        <f>IF(B6="","",IF(I6="","Add - no price yet",IF(H6="","Add - no pack size",IF(COUNTIFS($B$5:$B$304,B6)&gt;1,"Duplicate - same name twice",IF(AF6=0,"Check - no recipe uses it","OK")))))</f>
        <v>0</v>
      </c>
      <c r="AO6" s="43" t="s">
        <v>157</v>
      </c>
    </row>
    <row r="7" spans="1:41">
      <c r="A7" s="39">
        <f>IF(B7="","",IngredientPrefix&amp;TEXT(ROW()-4,"0000"))</f>
        <v>0</v>
      </c>
      <c r="B7" s="32" t="s">
        <v>899</v>
      </c>
      <c r="C7" s="32" t="s">
        <v>414</v>
      </c>
      <c r="D7" s="32" t="s">
        <v>429</v>
      </c>
      <c r="E7" s="32" t="s">
        <v>214</v>
      </c>
      <c r="F7" s="32" t="s">
        <v>157</v>
      </c>
      <c r="G7" s="32" t="s">
        <v>668</v>
      </c>
      <c r="H7" s="38">
        <v>500</v>
      </c>
      <c r="I7" s="36">
        <v>4.75</v>
      </c>
      <c r="J7" s="25">
        <f>IF(OR(H7="",I7=""),"",IF(H7=0,"",I7/H7))</f>
        <v>0</v>
      </c>
      <c r="K7" s="25">
        <f>IF(J7="","",J7*100)</f>
        <v>0</v>
      </c>
      <c r="L7" s="25">
        <f>IF(B7="","",IFERROR(AVERAGEIFS('Grocery Spending'!$L$5:$L$404,'Grocery Spending'!$H$5:$H$404,B7,'Grocery Spending'!$L$5:$L$404,"&gt;0"),""))</f>
        <v>0</v>
      </c>
      <c r="M7" s="25">
        <f>IF(B7="","",IF(COUNTIFS('Store Prices'!$B$5:$B$304,B7)=0,"",IF(SUMPRODUCT(MIN((('Store Prices'!$B$5:$B$304=B7)*(IFERROR('Store Prices'!$I$5:$I$304*1,0)&gt;0))*IFERROR('Store Prices'!$I$5:$I$304*1,0)+(1-(('Store Prices'!$B$5:$B$304=B7)*(IFERROR('Store Prices'!$I$5:$I$304*1,0)&gt;0)))*999999))&gt;=999999,"",SUMPRODUCT(MIN((('Store Prices'!$B$5:$B$304=B7)*(IFERROR('Store Prices'!$I$5:$I$304*1,0)&gt;0))*IFERROR('Store Prices'!$I$5:$I$304*1,0)+(1-(('Store Prices'!$B$5:$B$304=B7)*(IFERROR('Store Prices'!$I$5:$I$304*1,0)&gt;0)))*999999)))))</f>
        <v>0</v>
      </c>
      <c r="N7" s="17">
        <f>IF(M7="","",IFERROR(INDEX('Store Prices'!$C$5:$C$304,MATCH(1,INDEX(('Store Prices'!$B$5:$B$304=B7)*('Store Prices'!$I$5:$I$304=M7),0),0)),""))</f>
        <v>0</v>
      </c>
      <c r="O7" s="25">
        <f>IF(OR(M7="",J7=""),"",MAX(0,(J7-M7)*100))</f>
        <v>0</v>
      </c>
      <c r="P7" s="41">
        <v>137</v>
      </c>
      <c r="Q7" s="38">
        <v>21</v>
      </c>
      <c r="R7" s="38">
        <v>0</v>
      </c>
      <c r="S7" s="38">
        <v>5</v>
      </c>
      <c r="T7" s="38">
        <v>0</v>
      </c>
      <c r="U7" s="38">
        <v>0</v>
      </c>
      <c r="V7" s="41">
        <v>109</v>
      </c>
      <c r="W7" s="32" t="s">
        <v>372</v>
      </c>
      <c r="X7" s="32" t="s">
        <v>396</v>
      </c>
      <c r="Y7" s="32" t="s">
        <v>572</v>
      </c>
      <c r="Z7" s="35">
        <v>3</v>
      </c>
      <c r="AA7" s="32" t="s">
        <v>444</v>
      </c>
      <c r="AB7" s="32" t="s">
        <v>157</v>
      </c>
      <c r="AC7" s="15">
        <v>46299</v>
      </c>
      <c r="AD7" s="45">
        <f>IF(B7="","",SUMIFS(Pantry!$G$5:$G$304,Pantry!$B$5:$B$304,B7))</f>
        <v>0</v>
      </c>
      <c r="AE7" s="25">
        <f>IF(OR(AD7="",J7=""),"",AD7*J7)</f>
        <v>0</v>
      </c>
      <c r="AF7" s="18">
        <f>IF(B7="","",COUNTIFS('Recipe Ingredients'!$D$5:$D$1204,B7))</f>
        <v>0</v>
      </c>
      <c r="AG7" s="45">
        <f>IF(B7="","",SUMIFS('Recipe Ingredients'!$Y$5:$Y$1204,'Recipe Ingredients'!$D$5:$D$1204,B7))</f>
        <v>0</v>
      </c>
      <c r="AH7" s="30">
        <f>IF(B7="",0,IFERROR(K7*1,0)*IFERROR(AF7*1,0))</f>
        <v>0</v>
      </c>
      <c r="AI7" s="18">
        <f>IF(B7="","",COUNTIFS($AH$5:$AH$304,"&gt;"&amp;AH7)+COUNTIFS($AH$5:AH7,AH7))</f>
        <v>0</v>
      </c>
      <c r="AJ7" s="18">
        <f>IF(B7="",0,COUNTIFS('Food Waste'!$E$5:$E$154,B7))</f>
        <v>0</v>
      </c>
      <c r="AK7" s="18">
        <f>IF(B7="","",COUNTIFS($AJ$5:$AJ$304,"&gt;"&amp;AJ7)+COUNTIFS($AJ$5:AJ7,AJ7))</f>
        <v>0</v>
      </c>
      <c r="AL7" s="18">
        <f>IF(B7="","",IF(AG7&gt;0,COUNTIF(AG$5:AG7,"&gt;0"),""))</f>
        <v>0</v>
      </c>
      <c r="AM7" s="45">
        <f>IF(B7="","",SUMIFS('Grocery List'!$Q$5:$Q$304,'Grocery List'!$B$5:$B$304,B7))</f>
        <v>0</v>
      </c>
      <c r="AN7" s="31">
        <f>IF(B7="","",IF(I7="","Add - no price yet",IF(H7="","Add - no pack size",IF(COUNTIFS($B$5:$B$304,B7)&gt;1,"Duplicate - same name twice",IF(AF7=0,"Check - no recipe uses it","OK")))))</f>
        <v>0</v>
      </c>
      <c r="AO7" s="43" t="s">
        <v>157</v>
      </c>
    </row>
    <row r="8" spans="1:41">
      <c r="A8" s="39">
        <f>IF(B8="","",IngredientPrefix&amp;TEXT(ROW()-4,"0000"))</f>
        <v>0</v>
      </c>
      <c r="B8" s="32" t="s">
        <v>916</v>
      </c>
      <c r="C8" s="32" t="s">
        <v>414</v>
      </c>
      <c r="D8" s="32" t="s">
        <v>429</v>
      </c>
      <c r="E8" s="32" t="s">
        <v>1011</v>
      </c>
      <c r="F8" s="32" t="s">
        <v>1012</v>
      </c>
      <c r="G8" s="32" t="s">
        <v>668</v>
      </c>
      <c r="H8" s="38">
        <v>240</v>
      </c>
      <c r="I8" s="36">
        <v>5.2</v>
      </c>
      <c r="J8" s="25">
        <f>IF(OR(H8="",I8=""),"",IF(H8=0,"",I8/H8))</f>
        <v>0</v>
      </c>
      <c r="K8" s="25">
        <f>IF(J8="","",J8*100)</f>
        <v>0</v>
      </c>
      <c r="L8" s="25">
        <f>IF(B8="","",IFERROR(AVERAGEIFS('Grocery Spending'!$L$5:$L$404,'Grocery Spending'!$H$5:$H$404,B8,'Grocery Spending'!$L$5:$L$404,"&gt;0"),""))</f>
        <v>0</v>
      </c>
      <c r="M8" s="25">
        <f>IF(B8="","",IF(COUNTIFS('Store Prices'!$B$5:$B$304,B8)=0,"",IF(SUMPRODUCT(MIN((('Store Prices'!$B$5:$B$304=B8)*(IFERROR('Store Prices'!$I$5:$I$304*1,0)&gt;0))*IFERROR('Store Prices'!$I$5:$I$304*1,0)+(1-(('Store Prices'!$B$5:$B$304=B8)*(IFERROR('Store Prices'!$I$5:$I$304*1,0)&gt;0)))*999999))&gt;=999999,"",SUMPRODUCT(MIN((('Store Prices'!$B$5:$B$304=B8)*(IFERROR('Store Prices'!$I$5:$I$304*1,0)&gt;0))*IFERROR('Store Prices'!$I$5:$I$304*1,0)+(1-(('Store Prices'!$B$5:$B$304=B8)*(IFERROR('Store Prices'!$I$5:$I$304*1,0)&gt;0)))*999999)))))</f>
        <v>0</v>
      </c>
      <c r="N8" s="17">
        <f>IF(M8="","",IFERROR(INDEX('Store Prices'!$C$5:$C$304,MATCH(1,INDEX(('Store Prices'!$B$5:$B$304=B8)*('Store Prices'!$I$5:$I$304=M8),0),0)),""))</f>
        <v>0</v>
      </c>
      <c r="O8" s="25">
        <f>IF(OR(M8="",J8=""),"",MAX(0,(J8-M8)*100))</f>
        <v>0</v>
      </c>
      <c r="P8" s="41">
        <v>208</v>
      </c>
      <c r="Q8" s="38">
        <v>20</v>
      </c>
      <c r="R8" s="38">
        <v>0</v>
      </c>
      <c r="S8" s="38">
        <v>13</v>
      </c>
      <c r="T8" s="38">
        <v>0</v>
      </c>
      <c r="U8" s="38">
        <v>0</v>
      </c>
      <c r="V8" s="41">
        <v>166</v>
      </c>
      <c r="W8" s="32" t="s">
        <v>402</v>
      </c>
      <c r="X8" s="32" t="s">
        <v>384</v>
      </c>
      <c r="Y8" s="32" t="s">
        <v>572</v>
      </c>
      <c r="Z8" s="35">
        <v>2</v>
      </c>
      <c r="AA8" s="32" t="s">
        <v>444</v>
      </c>
      <c r="AB8" s="32" t="s">
        <v>157</v>
      </c>
      <c r="AC8" s="15">
        <v>46299</v>
      </c>
      <c r="AD8" s="45">
        <f>IF(B8="","",SUMIFS(Pantry!$G$5:$G$304,Pantry!$B$5:$B$304,B8))</f>
        <v>0</v>
      </c>
      <c r="AE8" s="25">
        <f>IF(OR(AD8="",J8=""),"",AD8*J8)</f>
        <v>0</v>
      </c>
      <c r="AF8" s="18">
        <f>IF(B8="","",COUNTIFS('Recipe Ingredients'!$D$5:$D$1204,B8))</f>
        <v>0</v>
      </c>
      <c r="AG8" s="45">
        <f>IF(B8="","",SUMIFS('Recipe Ingredients'!$Y$5:$Y$1204,'Recipe Ingredients'!$D$5:$D$1204,B8))</f>
        <v>0</v>
      </c>
      <c r="AH8" s="30">
        <f>IF(B8="",0,IFERROR(K8*1,0)*IFERROR(AF8*1,0))</f>
        <v>0</v>
      </c>
      <c r="AI8" s="18">
        <f>IF(B8="","",COUNTIFS($AH$5:$AH$304,"&gt;"&amp;AH8)+COUNTIFS($AH$5:AH8,AH8))</f>
        <v>0</v>
      </c>
      <c r="AJ8" s="18">
        <f>IF(B8="",0,COUNTIFS('Food Waste'!$E$5:$E$154,B8))</f>
        <v>0</v>
      </c>
      <c r="AK8" s="18">
        <f>IF(B8="","",COUNTIFS($AJ$5:$AJ$304,"&gt;"&amp;AJ8)+COUNTIFS($AJ$5:AJ8,AJ8))</f>
        <v>0</v>
      </c>
      <c r="AL8" s="18">
        <f>IF(B8="","",IF(AG8&gt;0,COUNTIF(AG$5:AG8,"&gt;0"),""))</f>
        <v>0</v>
      </c>
      <c r="AM8" s="45">
        <f>IF(B8="","",SUMIFS('Grocery List'!$Q$5:$Q$304,'Grocery List'!$B$5:$B$304,B8))</f>
        <v>0</v>
      </c>
      <c r="AN8" s="31">
        <f>IF(B8="","",IF(I8="","Add - no price yet",IF(H8="","Add - no pack size",IF(COUNTIFS($B$5:$B$304,B8)&gt;1,"Duplicate - same name twice",IF(AF8=0,"Check - no recipe uses it","OK")))))</f>
        <v>0</v>
      </c>
      <c r="AO8" s="43" t="s">
        <v>157</v>
      </c>
    </row>
    <row r="9" spans="1:41">
      <c r="A9" s="39">
        <f>IF(B9="","",IngredientPrefix&amp;TEXT(ROW()-4,"0000"))</f>
        <v>0</v>
      </c>
      <c r="B9" s="32" t="s">
        <v>401</v>
      </c>
      <c r="C9" s="32" t="s">
        <v>415</v>
      </c>
      <c r="D9" s="32" t="s">
        <v>430</v>
      </c>
      <c r="E9" s="32" t="s">
        <v>1011</v>
      </c>
      <c r="F9" s="32" t="s">
        <v>157</v>
      </c>
      <c r="G9" s="32" t="s">
        <v>685</v>
      </c>
      <c r="H9" s="38">
        <v>12</v>
      </c>
      <c r="I9" s="36">
        <v>3.6</v>
      </c>
      <c r="J9" s="25">
        <f>IF(OR(H9="",I9=""),"",IF(H9=0,"",I9/H9))</f>
        <v>0</v>
      </c>
      <c r="K9" s="25">
        <f>IF(J9="","",J9*100)</f>
        <v>0</v>
      </c>
      <c r="L9" s="25">
        <f>IF(B9="","",IFERROR(AVERAGEIFS('Grocery Spending'!$L$5:$L$404,'Grocery Spending'!$H$5:$H$404,B9,'Grocery Spending'!$L$5:$L$404,"&gt;0"),""))</f>
        <v>0</v>
      </c>
      <c r="M9" s="25">
        <f>IF(B9="","",IF(COUNTIFS('Store Prices'!$B$5:$B$304,B9)=0,"",IF(SUMPRODUCT(MIN((('Store Prices'!$B$5:$B$304=B9)*(IFERROR('Store Prices'!$I$5:$I$304*1,0)&gt;0))*IFERROR('Store Prices'!$I$5:$I$304*1,0)+(1-(('Store Prices'!$B$5:$B$304=B9)*(IFERROR('Store Prices'!$I$5:$I$304*1,0)&gt;0)))*999999))&gt;=999999,"",SUMPRODUCT(MIN((('Store Prices'!$B$5:$B$304=B9)*(IFERROR('Store Prices'!$I$5:$I$304*1,0)&gt;0))*IFERROR('Store Prices'!$I$5:$I$304*1,0)+(1-(('Store Prices'!$B$5:$B$304=B9)*(IFERROR('Store Prices'!$I$5:$I$304*1,0)&gt;0)))*999999)))))</f>
        <v>0</v>
      </c>
      <c r="N9" s="17">
        <f>IF(M9="","",IFERROR(INDEX('Store Prices'!$C$5:$C$304,MATCH(1,INDEX(('Store Prices'!$B$5:$B$304=B9)*('Store Prices'!$I$5:$I$304=M9),0),0)),""))</f>
        <v>0</v>
      </c>
      <c r="O9" s="25">
        <f>IF(OR(M9="",J9=""),"",MAX(0,(J9-M9)*100))</f>
        <v>0</v>
      </c>
      <c r="P9" s="41">
        <v>72</v>
      </c>
      <c r="Q9" s="38">
        <v>6.3</v>
      </c>
      <c r="R9" s="38">
        <v>0.4</v>
      </c>
      <c r="S9" s="38">
        <v>4.8</v>
      </c>
      <c r="T9" s="38">
        <v>0</v>
      </c>
      <c r="U9" s="38">
        <v>0.1</v>
      </c>
      <c r="V9" s="41">
        <v>57</v>
      </c>
      <c r="W9" s="32" t="s">
        <v>401</v>
      </c>
      <c r="X9" s="32" t="s">
        <v>382</v>
      </c>
      <c r="Y9" s="32" t="s">
        <v>572</v>
      </c>
      <c r="Z9" s="35">
        <v>21</v>
      </c>
      <c r="AA9" s="32" t="s">
        <v>444</v>
      </c>
      <c r="AB9" s="32" t="s">
        <v>157</v>
      </c>
      <c r="AC9" s="15">
        <v>46294</v>
      </c>
      <c r="AD9" s="45">
        <f>IF(B9="","",SUMIFS(Pantry!$G$5:$G$304,Pantry!$B$5:$B$304,B9))</f>
        <v>0</v>
      </c>
      <c r="AE9" s="25">
        <f>IF(OR(AD9="",J9=""),"",AD9*J9)</f>
        <v>0</v>
      </c>
      <c r="AF9" s="18">
        <f>IF(B9="","",COUNTIFS('Recipe Ingredients'!$D$5:$D$1204,B9))</f>
        <v>0</v>
      </c>
      <c r="AG9" s="45">
        <f>IF(B9="","",SUMIFS('Recipe Ingredients'!$Y$5:$Y$1204,'Recipe Ingredients'!$D$5:$D$1204,B9))</f>
        <v>0</v>
      </c>
      <c r="AH9" s="30">
        <f>IF(B9="",0,IFERROR(K9*1,0)*IFERROR(AF9*1,0))</f>
        <v>0</v>
      </c>
      <c r="AI9" s="18">
        <f>IF(B9="","",COUNTIFS($AH$5:$AH$304,"&gt;"&amp;AH9)+COUNTIFS($AH$5:AH9,AH9))</f>
        <v>0</v>
      </c>
      <c r="AJ9" s="18">
        <f>IF(B9="",0,COUNTIFS('Food Waste'!$E$5:$E$154,B9))</f>
        <v>0</v>
      </c>
      <c r="AK9" s="18">
        <f>IF(B9="","",COUNTIFS($AJ$5:$AJ$304,"&gt;"&amp;AJ9)+COUNTIFS($AJ$5:AJ9,AJ9))</f>
        <v>0</v>
      </c>
      <c r="AL9" s="18">
        <f>IF(B9="","",IF(AG9&gt;0,COUNTIF(AG$5:AG9,"&gt;0"),""))</f>
        <v>0</v>
      </c>
      <c r="AM9" s="45">
        <f>IF(B9="","",SUMIFS('Grocery List'!$Q$5:$Q$304,'Grocery List'!$B$5:$B$304,B9))</f>
        <v>0</v>
      </c>
      <c r="AN9" s="31">
        <f>IF(B9="","",IF(I9="","Add - no price yet",IF(H9="","Add - no pack size",IF(COUNTIFS($B$5:$B$304,B9)&gt;1,"Duplicate - same name twice",IF(AF9=0,"Check - no recipe uses it","OK")))))</f>
        <v>0</v>
      </c>
      <c r="AO9" s="43" t="s">
        <v>157</v>
      </c>
    </row>
    <row r="10" spans="1:41">
      <c r="A10" s="39">
        <f>IF(B10="","",IngredientPrefix&amp;TEXT(ROW()-4,"0000"))</f>
        <v>0</v>
      </c>
      <c r="B10" s="32" t="s">
        <v>404</v>
      </c>
      <c r="C10" s="32" t="s">
        <v>415</v>
      </c>
      <c r="D10" s="32" t="s">
        <v>430</v>
      </c>
      <c r="E10" s="32" t="s">
        <v>1013</v>
      </c>
      <c r="F10" s="32" t="s">
        <v>157</v>
      </c>
      <c r="G10" s="32" t="s">
        <v>674</v>
      </c>
      <c r="H10" s="38">
        <v>2272</v>
      </c>
      <c r="I10" s="36">
        <v>1.65</v>
      </c>
      <c r="J10" s="25">
        <f>IF(OR(H10="",I10=""),"",IF(H10=0,"",I10/H10))</f>
        <v>0</v>
      </c>
      <c r="K10" s="25">
        <f>IF(J10="","",J10*100)</f>
        <v>0</v>
      </c>
      <c r="L10" s="25">
        <f>IF(B10="","",IFERROR(AVERAGEIFS('Grocery Spending'!$L$5:$L$404,'Grocery Spending'!$H$5:$H$404,B10,'Grocery Spending'!$L$5:$L$404,"&gt;0"),""))</f>
        <v>0</v>
      </c>
      <c r="M10" s="25">
        <f>IF(B10="","",IF(COUNTIFS('Store Prices'!$B$5:$B$304,B10)=0,"",IF(SUMPRODUCT(MIN((('Store Prices'!$B$5:$B$304=B10)*(IFERROR('Store Prices'!$I$5:$I$304*1,0)&gt;0))*IFERROR('Store Prices'!$I$5:$I$304*1,0)+(1-(('Store Prices'!$B$5:$B$304=B10)*(IFERROR('Store Prices'!$I$5:$I$304*1,0)&gt;0)))*999999))&gt;=999999,"",SUMPRODUCT(MIN((('Store Prices'!$B$5:$B$304=B10)*(IFERROR('Store Prices'!$I$5:$I$304*1,0)&gt;0))*IFERROR('Store Prices'!$I$5:$I$304*1,0)+(1-(('Store Prices'!$B$5:$B$304=B10)*(IFERROR('Store Prices'!$I$5:$I$304*1,0)&gt;0)))*999999)))))</f>
        <v>0</v>
      </c>
      <c r="N10" s="17">
        <f>IF(M10="","",IFERROR(INDEX('Store Prices'!$C$5:$C$304,MATCH(1,INDEX(('Store Prices'!$B$5:$B$304=B10)*('Store Prices'!$I$5:$I$304=M10),0),0)),""))</f>
        <v>0</v>
      </c>
      <c r="O10" s="25">
        <f>IF(OR(M10="",J10=""),"",MAX(0,(J10-M10)*100))</f>
        <v>0</v>
      </c>
      <c r="P10" s="41">
        <v>42</v>
      </c>
      <c r="Q10" s="38">
        <v>3.4</v>
      </c>
      <c r="R10" s="38">
        <v>4.8</v>
      </c>
      <c r="S10" s="38">
        <v>1</v>
      </c>
      <c r="T10" s="38">
        <v>0</v>
      </c>
      <c r="U10" s="38">
        <v>1.2</v>
      </c>
      <c r="V10" s="41">
        <v>33</v>
      </c>
      <c r="W10" s="32" t="s">
        <v>404</v>
      </c>
      <c r="X10" s="32" t="s">
        <v>382</v>
      </c>
      <c r="Y10" s="32" t="s">
        <v>572</v>
      </c>
      <c r="Z10" s="35">
        <v>7</v>
      </c>
      <c r="AA10" s="32" t="s">
        <v>444</v>
      </c>
      <c r="AB10" s="32" t="s">
        <v>157</v>
      </c>
      <c r="AC10" s="15">
        <v>46290</v>
      </c>
      <c r="AD10" s="45">
        <f>IF(B10="","",SUMIFS(Pantry!$G$5:$G$304,Pantry!$B$5:$B$304,B10))</f>
        <v>0</v>
      </c>
      <c r="AE10" s="25">
        <f>IF(OR(AD10="",J10=""),"",AD10*J10)</f>
        <v>0</v>
      </c>
      <c r="AF10" s="18">
        <f>IF(B10="","",COUNTIFS('Recipe Ingredients'!$D$5:$D$1204,B10))</f>
        <v>0</v>
      </c>
      <c r="AG10" s="45">
        <f>IF(B10="","",SUMIFS('Recipe Ingredients'!$Y$5:$Y$1204,'Recipe Ingredients'!$D$5:$D$1204,B10))</f>
        <v>0</v>
      </c>
      <c r="AH10" s="30">
        <f>IF(B10="",0,IFERROR(K10*1,0)*IFERROR(AF10*1,0))</f>
        <v>0</v>
      </c>
      <c r="AI10" s="18">
        <f>IF(B10="","",COUNTIFS($AH$5:$AH$304,"&gt;"&amp;AH10)+COUNTIFS($AH$5:AH10,AH10))</f>
        <v>0</v>
      </c>
      <c r="AJ10" s="18">
        <f>IF(B10="",0,COUNTIFS('Food Waste'!$E$5:$E$154,B10))</f>
        <v>0</v>
      </c>
      <c r="AK10" s="18">
        <f>IF(B10="","",COUNTIFS($AJ$5:$AJ$304,"&gt;"&amp;AJ10)+COUNTIFS($AJ$5:AJ10,AJ10))</f>
        <v>0</v>
      </c>
      <c r="AL10" s="18">
        <f>IF(B10="","",IF(AG10&gt;0,COUNTIF(AG$5:AG10,"&gt;0"),""))</f>
        <v>0</v>
      </c>
      <c r="AM10" s="45">
        <f>IF(B10="","",SUMIFS('Grocery List'!$Q$5:$Q$304,'Grocery List'!$B$5:$B$304,B10))</f>
        <v>0</v>
      </c>
      <c r="AN10" s="31">
        <f>IF(B10="","",IF(I10="","Add - no price yet",IF(H10="","Add - no pack size",IF(COUNTIFS($B$5:$B$304,B10)&gt;1,"Duplicate - same name twice",IF(AF10=0,"Check - no recipe uses it","OK")))))</f>
        <v>0</v>
      </c>
      <c r="AO10" s="43" t="s">
        <v>157</v>
      </c>
    </row>
    <row r="11" spans="1:41">
      <c r="A11" s="39">
        <f>IF(B11="","",IngredientPrefix&amp;TEXT(ROW()-4,"0000"))</f>
        <v>0</v>
      </c>
      <c r="B11" s="32" t="s">
        <v>928</v>
      </c>
      <c r="C11" s="32" t="s">
        <v>415</v>
      </c>
      <c r="D11" s="32" t="s">
        <v>430</v>
      </c>
      <c r="E11" s="32" t="s">
        <v>214</v>
      </c>
      <c r="F11" s="32" t="s">
        <v>157</v>
      </c>
      <c r="G11" s="32" t="s">
        <v>668</v>
      </c>
      <c r="H11" s="38">
        <v>400</v>
      </c>
      <c r="I11" s="36">
        <v>3.4</v>
      </c>
      <c r="J11" s="25">
        <f>IF(OR(H11="",I11=""),"",IF(H11=0,"",I11/H11))</f>
        <v>0</v>
      </c>
      <c r="K11" s="25">
        <f>IF(J11="","",J11*100)</f>
        <v>0</v>
      </c>
      <c r="L11" s="25">
        <f>IF(B11="","",IFERROR(AVERAGEIFS('Grocery Spending'!$L$5:$L$404,'Grocery Spending'!$H$5:$H$404,B11,'Grocery Spending'!$L$5:$L$404,"&gt;0"),""))</f>
        <v>0</v>
      </c>
      <c r="M11" s="25">
        <f>IF(B11="","",IF(COUNTIFS('Store Prices'!$B$5:$B$304,B11)=0,"",IF(SUMPRODUCT(MIN((('Store Prices'!$B$5:$B$304=B11)*(IFERROR('Store Prices'!$I$5:$I$304*1,0)&gt;0))*IFERROR('Store Prices'!$I$5:$I$304*1,0)+(1-(('Store Prices'!$B$5:$B$304=B11)*(IFERROR('Store Prices'!$I$5:$I$304*1,0)&gt;0)))*999999))&gt;=999999,"",SUMPRODUCT(MIN((('Store Prices'!$B$5:$B$304=B11)*(IFERROR('Store Prices'!$I$5:$I$304*1,0)&gt;0))*IFERROR('Store Prices'!$I$5:$I$304*1,0)+(1-(('Store Prices'!$B$5:$B$304=B11)*(IFERROR('Store Prices'!$I$5:$I$304*1,0)&gt;0)))*999999)))))</f>
        <v>0</v>
      </c>
      <c r="N11" s="17">
        <f>IF(M11="","",IFERROR(INDEX('Store Prices'!$C$5:$C$304,MATCH(1,INDEX(('Store Prices'!$B$5:$B$304=B11)*('Store Prices'!$I$5:$I$304=M11),0),0)),""))</f>
        <v>0</v>
      </c>
      <c r="O11" s="25">
        <f>IF(OR(M11="",J11=""),"",MAX(0,(J11-M11)*100))</f>
        <v>0</v>
      </c>
      <c r="P11" s="41">
        <v>402</v>
      </c>
      <c r="Q11" s="38">
        <v>25</v>
      </c>
      <c r="R11" s="38">
        <v>1.3</v>
      </c>
      <c r="S11" s="38">
        <v>33</v>
      </c>
      <c r="T11" s="38">
        <v>0</v>
      </c>
      <c r="U11" s="38">
        <v>0.3</v>
      </c>
      <c r="V11" s="41">
        <v>321</v>
      </c>
      <c r="W11" s="32" t="s">
        <v>404</v>
      </c>
      <c r="X11" s="32" t="s">
        <v>382</v>
      </c>
      <c r="Y11" s="32" t="s">
        <v>572</v>
      </c>
      <c r="Z11" s="35">
        <v>21</v>
      </c>
      <c r="AA11" s="32" t="s">
        <v>444</v>
      </c>
      <c r="AB11" s="32" t="s">
        <v>157</v>
      </c>
      <c r="AC11" s="15">
        <v>46297</v>
      </c>
      <c r="AD11" s="45">
        <f>IF(B11="","",SUMIFS(Pantry!$G$5:$G$304,Pantry!$B$5:$B$304,B11))</f>
        <v>0</v>
      </c>
      <c r="AE11" s="25">
        <f>IF(OR(AD11="",J11=""),"",AD11*J11)</f>
        <v>0</v>
      </c>
      <c r="AF11" s="18">
        <f>IF(B11="","",COUNTIFS('Recipe Ingredients'!$D$5:$D$1204,B11))</f>
        <v>0</v>
      </c>
      <c r="AG11" s="45">
        <f>IF(B11="","",SUMIFS('Recipe Ingredients'!$Y$5:$Y$1204,'Recipe Ingredients'!$D$5:$D$1204,B11))</f>
        <v>0</v>
      </c>
      <c r="AH11" s="30">
        <f>IF(B11="",0,IFERROR(K11*1,0)*IFERROR(AF11*1,0))</f>
        <v>0</v>
      </c>
      <c r="AI11" s="18">
        <f>IF(B11="","",COUNTIFS($AH$5:$AH$304,"&gt;"&amp;AH11)+COUNTIFS($AH$5:AH11,AH11))</f>
        <v>0</v>
      </c>
      <c r="AJ11" s="18">
        <f>IF(B11="",0,COUNTIFS('Food Waste'!$E$5:$E$154,B11))</f>
        <v>0</v>
      </c>
      <c r="AK11" s="18">
        <f>IF(B11="","",COUNTIFS($AJ$5:$AJ$304,"&gt;"&amp;AJ11)+COUNTIFS($AJ$5:AJ11,AJ11))</f>
        <v>0</v>
      </c>
      <c r="AL11" s="18">
        <f>IF(B11="","",IF(AG11&gt;0,COUNTIF(AG$5:AG11,"&gt;0"),""))</f>
        <v>0</v>
      </c>
      <c r="AM11" s="45">
        <f>IF(B11="","",SUMIFS('Grocery List'!$Q$5:$Q$304,'Grocery List'!$B$5:$B$304,B11))</f>
        <v>0</v>
      </c>
      <c r="AN11" s="31">
        <f>IF(B11="","",IF(I11="","Add - no price yet",IF(H11="","Add - no pack size",IF(COUNTIFS($B$5:$B$304,B11)&gt;1,"Duplicate - same name twice",IF(AF11=0,"Check - no recipe uses it","OK")))))</f>
        <v>0</v>
      </c>
      <c r="AO11" s="43" t="s">
        <v>157</v>
      </c>
    </row>
    <row r="12" spans="1:41">
      <c r="A12" s="39">
        <f>IF(B12="","",IngredientPrefix&amp;TEXT(ROW()-4,"0000"))</f>
        <v>0</v>
      </c>
      <c r="B12" s="32" t="s">
        <v>944</v>
      </c>
      <c r="C12" s="32" t="s">
        <v>415</v>
      </c>
      <c r="D12" s="32" t="s">
        <v>430</v>
      </c>
      <c r="E12" s="32" t="s">
        <v>214</v>
      </c>
      <c r="F12" s="32" t="s">
        <v>157</v>
      </c>
      <c r="G12" s="32" t="s">
        <v>668</v>
      </c>
      <c r="H12" s="38">
        <v>500</v>
      </c>
      <c r="I12" s="36">
        <v>2.1</v>
      </c>
      <c r="J12" s="25">
        <f>IF(OR(H12="",I12=""),"",IF(H12=0,"",I12/H12))</f>
        <v>0</v>
      </c>
      <c r="K12" s="25">
        <f>IF(J12="","",J12*100)</f>
        <v>0</v>
      </c>
      <c r="L12" s="25">
        <f>IF(B12="","",IFERROR(AVERAGEIFS('Grocery Spending'!$L$5:$L$404,'Grocery Spending'!$H$5:$H$404,B12,'Grocery Spending'!$L$5:$L$404,"&gt;0"),""))</f>
        <v>0</v>
      </c>
      <c r="M12" s="25">
        <f>IF(B12="","",IF(COUNTIFS('Store Prices'!$B$5:$B$304,B12)=0,"",IF(SUMPRODUCT(MIN((('Store Prices'!$B$5:$B$304=B12)*(IFERROR('Store Prices'!$I$5:$I$304*1,0)&gt;0))*IFERROR('Store Prices'!$I$5:$I$304*1,0)+(1-(('Store Prices'!$B$5:$B$304=B12)*(IFERROR('Store Prices'!$I$5:$I$304*1,0)&gt;0)))*999999))&gt;=999999,"",SUMPRODUCT(MIN((('Store Prices'!$B$5:$B$304=B12)*(IFERROR('Store Prices'!$I$5:$I$304*1,0)&gt;0))*IFERROR('Store Prices'!$I$5:$I$304*1,0)+(1-(('Store Prices'!$B$5:$B$304=B12)*(IFERROR('Store Prices'!$I$5:$I$304*1,0)&gt;0)))*999999)))))</f>
        <v>0</v>
      </c>
      <c r="N12" s="17">
        <f>IF(M12="","",IFERROR(INDEX('Store Prices'!$C$5:$C$304,MATCH(1,INDEX(('Store Prices'!$B$5:$B$304=B12)*('Store Prices'!$I$5:$I$304=M12),0),0)),""))</f>
        <v>0</v>
      </c>
      <c r="O12" s="25">
        <f>IF(OR(M12="",J12=""),"",MAX(0,(J12-M12)*100))</f>
        <v>0</v>
      </c>
      <c r="P12" s="41">
        <v>97</v>
      </c>
      <c r="Q12" s="38">
        <v>9</v>
      </c>
      <c r="R12" s="38">
        <v>4</v>
      </c>
      <c r="S12" s="38">
        <v>5</v>
      </c>
      <c r="T12" s="38">
        <v>0</v>
      </c>
      <c r="U12" s="38">
        <v>1</v>
      </c>
      <c r="V12" s="41">
        <v>77</v>
      </c>
      <c r="W12" s="32" t="s">
        <v>404</v>
      </c>
      <c r="X12" s="32" t="s">
        <v>382</v>
      </c>
      <c r="Y12" s="32" t="s">
        <v>572</v>
      </c>
      <c r="Z12" s="35">
        <v>10</v>
      </c>
      <c r="AA12" s="32" t="s">
        <v>444</v>
      </c>
      <c r="AB12" s="32" t="s">
        <v>157</v>
      </c>
      <c r="AC12" s="15">
        <v>46299</v>
      </c>
      <c r="AD12" s="45">
        <f>IF(B12="","",SUMIFS(Pantry!$G$5:$G$304,Pantry!$B$5:$B$304,B12))</f>
        <v>0</v>
      </c>
      <c r="AE12" s="25">
        <f>IF(OR(AD12="",J12=""),"",AD12*J12)</f>
        <v>0</v>
      </c>
      <c r="AF12" s="18">
        <f>IF(B12="","",COUNTIFS('Recipe Ingredients'!$D$5:$D$1204,B12))</f>
        <v>0</v>
      </c>
      <c r="AG12" s="45">
        <f>IF(B12="","",SUMIFS('Recipe Ingredients'!$Y$5:$Y$1204,'Recipe Ingredients'!$D$5:$D$1204,B12))</f>
        <v>0</v>
      </c>
      <c r="AH12" s="30">
        <f>IF(B12="",0,IFERROR(K12*1,0)*IFERROR(AF12*1,0))</f>
        <v>0</v>
      </c>
      <c r="AI12" s="18">
        <f>IF(B12="","",COUNTIFS($AH$5:$AH$304,"&gt;"&amp;AH12)+COUNTIFS($AH$5:AH12,AH12))</f>
        <v>0</v>
      </c>
      <c r="AJ12" s="18">
        <f>IF(B12="",0,COUNTIFS('Food Waste'!$E$5:$E$154,B12))</f>
        <v>0</v>
      </c>
      <c r="AK12" s="18">
        <f>IF(B12="","",COUNTIFS($AJ$5:$AJ$304,"&gt;"&amp;AJ12)+COUNTIFS($AJ$5:AJ12,AJ12))</f>
        <v>0</v>
      </c>
      <c r="AL12" s="18">
        <f>IF(B12="","",IF(AG12&gt;0,COUNTIF(AG$5:AG12,"&gt;0"),""))</f>
        <v>0</v>
      </c>
      <c r="AM12" s="45">
        <f>IF(B12="","",SUMIFS('Grocery List'!$Q$5:$Q$304,'Grocery List'!$B$5:$B$304,B12))</f>
        <v>0</v>
      </c>
      <c r="AN12" s="31">
        <f>IF(B12="","",IF(I12="","Add - no price yet",IF(H12="","Add - no pack size",IF(COUNTIFS($B$5:$B$304,B12)&gt;1,"Duplicate - same name twice",IF(AF12=0,"Check - no recipe uses it","OK")))))</f>
        <v>0</v>
      </c>
      <c r="AO12" s="43" t="s">
        <v>157</v>
      </c>
    </row>
    <row r="13" spans="1:41">
      <c r="A13" s="39">
        <f>IF(B13="","",IngredientPrefix&amp;TEXT(ROW()-4,"0000"))</f>
        <v>0</v>
      </c>
      <c r="B13" s="32" t="s">
        <v>937</v>
      </c>
      <c r="C13" s="32" t="s">
        <v>415</v>
      </c>
      <c r="D13" s="32" t="s">
        <v>430</v>
      </c>
      <c r="E13" s="32" t="s">
        <v>1010</v>
      </c>
      <c r="F13" s="32" t="s">
        <v>157</v>
      </c>
      <c r="G13" s="32" t="s">
        <v>668</v>
      </c>
      <c r="H13" s="38">
        <v>250</v>
      </c>
      <c r="I13" s="36">
        <v>2.25</v>
      </c>
      <c r="J13" s="25">
        <f>IF(OR(H13="",I13=""),"",IF(H13=0,"",I13/H13))</f>
        <v>0</v>
      </c>
      <c r="K13" s="25">
        <f>IF(J13="","",J13*100)</f>
        <v>0</v>
      </c>
      <c r="L13" s="25">
        <f>IF(B13="","",IFERROR(AVERAGEIFS('Grocery Spending'!$L$5:$L$404,'Grocery Spending'!$H$5:$H$404,B13,'Grocery Spending'!$L$5:$L$404,"&gt;0"),""))</f>
        <v>0</v>
      </c>
      <c r="M13" s="25">
        <f>IF(B13="","",IF(COUNTIFS('Store Prices'!$B$5:$B$304,B13)=0,"",IF(SUMPRODUCT(MIN((('Store Prices'!$B$5:$B$304=B13)*(IFERROR('Store Prices'!$I$5:$I$304*1,0)&gt;0))*IFERROR('Store Prices'!$I$5:$I$304*1,0)+(1-(('Store Prices'!$B$5:$B$304=B13)*(IFERROR('Store Prices'!$I$5:$I$304*1,0)&gt;0)))*999999))&gt;=999999,"",SUMPRODUCT(MIN((('Store Prices'!$B$5:$B$304=B13)*(IFERROR('Store Prices'!$I$5:$I$304*1,0)&gt;0))*IFERROR('Store Prices'!$I$5:$I$304*1,0)+(1-(('Store Prices'!$B$5:$B$304=B13)*(IFERROR('Store Prices'!$I$5:$I$304*1,0)&gt;0)))*999999)))))</f>
        <v>0</v>
      </c>
      <c r="N13" s="17">
        <f>IF(M13="","",IFERROR(INDEX('Store Prices'!$C$5:$C$304,MATCH(1,INDEX(('Store Prices'!$B$5:$B$304=B13)*('Store Prices'!$I$5:$I$304=M13),0),0)),""))</f>
        <v>0</v>
      </c>
      <c r="O13" s="25">
        <f>IF(OR(M13="",J13=""),"",MAX(0,(J13-M13)*100))</f>
        <v>0</v>
      </c>
      <c r="P13" s="41">
        <v>717</v>
      </c>
      <c r="Q13" s="38">
        <v>0.9</v>
      </c>
      <c r="R13" s="38">
        <v>0.1</v>
      </c>
      <c r="S13" s="38">
        <v>81</v>
      </c>
      <c r="T13" s="38">
        <v>0</v>
      </c>
      <c r="U13" s="38">
        <v>0</v>
      </c>
      <c r="V13" s="41">
        <v>573</v>
      </c>
      <c r="W13" s="32" t="s">
        <v>404</v>
      </c>
      <c r="X13" s="32" t="s">
        <v>382</v>
      </c>
      <c r="Y13" s="32" t="s">
        <v>572</v>
      </c>
      <c r="Z13" s="35">
        <v>40</v>
      </c>
      <c r="AA13" s="32" t="s">
        <v>444</v>
      </c>
      <c r="AB13" s="32" t="s">
        <v>157</v>
      </c>
      <c r="AC13" s="15">
        <v>46296</v>
      </c>
      <c r="AD13" s="45">
        <f>IF(B13="","",SUMIFS(Pantry!$G$5:$G$304,Pantry!$B$5:$B$304,B13))</f>
        <v>0</v>
      </c>
      <c r="AE13" s="25">
        <f>IF(OR(AD13="",J13=""),"",AD13*J13)</f>
        <v>0</v>
      </c>
      <c r="AF13" s="18">
        <f>IF(B13="","",COUNTIFS('Recipe Ingredients'!$D$5:$D$1204,B13))</f>
        <v>0</v>
      </c>
      <c r="AG13" s="45">
        <f>IF(B13="","",SUMIFS('Recipe Ingredients'!$Y$5:$Y$1204,'Recipe Ingredients'!$D$5:$D$1204,B13))</f>
        <v>0</v>
      </c>
      <c r="AH13" s="30">
        <f>IF(B13="",0,IFERROR(K13*1,0)*IFERROR(AF13*1,0))</f>
        <v>0</v>
      </c>
      <c r="AI13" s="18">
        <f>IF(B13="","",COUNTIFS($AH$5:$AH$304,"&gt;"&amp;AH13)+COUNTIFS($AH$5:AH13,AH13))</f>
        <v>0</v>
      </c>
      <c r="AJ13" s="18">
        <f>IF(B13="",0,COUNTIFS('Food Waste'!$E$5:$E$154,B13))</f>
        <v>0</v>
      </c>
      <c r="AK13" s="18">
        <f>IF(B13="","",COUNTIFS($AJ$5:$AJ$304,"&gt;"&amp;AJ13)+COUNTIFS($AJ$5:AJ13,AJ13))</f>
        <v>0</v>
      </c>
      <c r="AL13" s="18">
        <f>IF(B13="","",IF(AG13&gt;0,COUNTIF(AG$5:AG13,"&gt;0"),""))</f>
        <v>0</v>
      </c>
      <c r="AM13" s="45">
        <f>IF(B13="","",SUMIFS('Grocery List'!$Q$5:$Q$304,'Grocery List'!$B$5:$B$304,B13))</f>
        <v>0</v>
      </c>
      <c r="AN13" s="31">
        <f>IF(B13="","",IF(I13="","Add - no price yet",IF(H13="","Add - no pack size",IF(COUNTIFS($B$5:$B$304,B13)&gt;1,"Duplicate - same name twice",IF(AF13=0,"Check - no recipe uses it","OK")))))</f>
        <v>0</v>
      </c>
      <c r="AO13" s="43" t="s">
        <v>157</v>
      </c>
    </row>
    <row r="14" spans="1:41">
      <c r="A14" s="39">
        <f>IF(B14="","",IngredientPrefix&amp;TEXT(ROW()-4,"0000"))</f>
        <v>0</v>
      </c>
      <c r="B14" s="32" t="s">
        <v>907</v>
      </c>
      <c r="C14" s="32" t="s">
        <v>415</v>
      </c>
      <c r="D14" s="32" t="s">
        <v>428</v>
      </c>
      <c r="E14" s="32" t="s">
        <v>214</v>
      </c>
      <c r="F14" s="32" t="s">
        <v>1012</v>
      </c>
      <c r="G14" s="32" t="s">
        <v>668</v>
      </c>
      <c r="H14" s="38">
        <v>150</v>
      </c>
      <c r="I14" s="36">
        <v>3.2</v>
      </c>
      <c r="J14" s="25">
        <f>IF(OR(H14="",I14=""),"",IF(H14=0,"",I14/H14))</f>
        <v>0</v>
      </c>
      <c r="K14" s="25">
        <f>IF(J14="","",J14*100)</f>
        <v>0</v>
      </c>
      <c r="L14" s="25">
        <f>IF(B14="","",IFERROR(AVERAGEIFS('Grocery Spending'!$L$5:$L$404,'Grocery Spending'!$H$5:$H$404,B14,'Grocery Spending'!$L$5:$L$404,"&gt;0"),""))</f>
        <v>0</v>
      </c>
      <c r="M14" s="25">
        <f>IF(B14="","",IF(COUNTIFS('Store Prices'!$B$5:$B$304,B14)=0,"",IF(SUMPRODUCT(MIN((('Store Prices'!$B$5:$B$304=B14)*(IFERROR('Store Prices'!$I$5:$I$304*1,0)&gt;0))*IFERROR('Store Prices'!$I$5:$I$304*1,0)+(1-(('Store Prices'!$B$5:$B$304=B14)*(IFERROR('Store Prices'!$I$5:$I$304*1,0)&gt;0)))*999999))&gt;=999999,"",SUMPRODUCT(MIN((('Store Prices'!$B$5:$B$304=B14)*(IFERROR('Store Prices'!$I$5:$I$304*1,0)&gt;0))*IFERROR('Store Prices'!$I$5:$I$304*1,0)+(1-(('Store Prices'!$B$5:$B$304=B14)*(IFERROR('Store Prices'!$I$5:$I$304*1,0)&gt;0)))*999999)))))</f>
        <v>0</v>
      </c>
      <c r="N14" s="17">
        <f>IF(M14="","",IFERROR(INDEX('Store Prices'!$C$5:$C$304,MATCH(1,INDEX(('Store Prices'!$B$5:$B$304=B14)*('Store Prices'!$I$5:$I$304=M14),0),0)),""))</f>
        <v>0</v>
      </c>
      <c r="O14" s="25">
        <f>IF(OR(M14="",J14=""),"",MAX(0,(J14-M14)*100))</f>
        <v>0</v>
      </c>
      <c r="P14" s="41">
        <v>431</v>
      </c>
      <c r="Q14" s="38">
        <v>38</v>
      </c>
      <c r="R14" s="38">
        <v>4.1</v>
      </c>
      <c r="S14" s="38">
        <v>29</v>
      </c>
      <c r="T14" s="38">
        <v>0</v>
      </c>
      <c r="U14" s="38">
        <v>1</v>
      </c>
      <c r="V14" s="41">
        <v>344</v>
      </c>
      <c r="W14" s="32" t="s">
        <v>404</v>
      </c>
      <c r="X14" s="32" t="s">
        <v>382</v>
      </c>
      <c r="Y14" s="32" t="s">
        <v>572</v>
      </c>
      <c r="Z14" s="35">
        <v>60</v>
      </c>
      <c r="AA14" s="32" t="s">
        <v>444</v>
      </c>
      <c r="AB14" s="32" t="s">
        <v>157</v>
      </c>
      <c r="AC14" s="15">
        <v>46294</v>
      </c>
      <c r="AD14" s="45">
        <f>IF(B14="","",SUMIFS(Pantry!$G$5:$G$304,Pantry!$B$5:$B$304,B14))</f>
        <v>0</v>
      </c>
      <c r="AE14" s="25">
        <f>IF(OR(AD14="",J14=""),"",AD14*J14)</f>
        <v>0</v>
      </c>
      <c r="AF14" s="18">
        <f>IF(B14="","",COUNTIFS('Recipe Ingredients'!$D$5:$D$1204,B14))</f>
        <v>0</v>
      </c>
      <c r="AG14" s="45">
        <f>IF(B14="","",SUMIFS('Recipe Ingredients'!$Y$5:$Y$1204,'Recipe Ingredients'!$D$5:$D$1204,B14))</f>
        <v>0</v>
      </c>
      <c r="AH14" s="30">
        <f>IF(B14="",0,IFERROR(K14*1,0)*IFERROR(AF14*1,0))</f>
        <v>0</v>
      </c>
      <c r="AI14" s="18">
        <f>IF(B14="","",COUNTIFS($AH$5:$AH$304,"&gt;"&amp;AH14)+COUNTIFS($AH$5:AH14,AH14))</f>
        <v>0</v>
      </c>
      <c r="AJ14" s="18">
        <f>IF(B14="",0,COUNTIFS('Food Waste'!$E$5:$E$154,B14))</f>
        <v>0</v>
      </c>
      <c r="AK14" s="18">
        <f>IF(B14="","",COUNTIFS($AJ$5:$AJ$304,"&gt;"&amp;AJ14)+COUNTIFS($AJ$5:AJ14,AJ14))</f>
        <v>0</v>
      </c>
      <c r="AL14" s="18">
        <f>IF(B14="","",IF(AG14&gt;0,COUNTIF(AG$5:AG14,"&gt;0"),""))</f>
        <v>0</v>
      </c>
      <c r="AM14" s="45">
        <f>IF(B14="","",SUMIFS('Grocery List'!$Q$5:$Q$304,'Grocery List'!$B$5:$B$304,B14))</f>
        <v>0</v>
      </c>
      <c r="AN14" s="31">
        <f>IF(B14="","",IF(I14="","Add - no price yet",IF(H14="","Add - no pack size",IF(COUNTIFS($B$5:$B$304,B14)&gt;1,"Duplicate - same name twice",IF(AF14=0,"Check - no recipe uses it","OK")))))</f>
        <v>0</v>
      </c>
      <c r="AO14" s="43" t="s">
        <v>157</v>
      </c>
    </row>
    <row r="15" spans="1:41">
      <c r="A15" s="39">
        <f>IF(B15="","",IngredientPrefix&amp;TEXT(ROW()-4,"0000"))</f>
        <v>0</v>
      </c>
      <c r="B15" s="32" t="s">
        <v>894</v>
      </c>
      <c r="C15" s="32" t="s">
        <v>413</v>
      </c>
      <c r="D15" s="32" t="s">
        <v>426</v>
      </c>
      <c r="E15" s="32" t="s">
        <v>1010</v>
      </c>
      <c r="F15" s="32" t="s">
        <v>1012</v>
      </c>
      <c r="G15" s="32" t="s">
        <v>668</v>
      </c>
      <c r="H15" s="38">
        <v>1000</v>
      </c>
      <c r="I15" s="36">
        <v>0.95</v>
      </c>
      <c r="J15" s="25">
        <f>IF(OR(H15="",I15=""),"",IF(H15=0,"",I15/H15))</f>
        <v>0</v>
      </c>
      <c r="K15" s="25">
        <f>IF(J15="","",J15*100)</f>
        <v>0</v>
      </c>
      <c r="L15" s="25">
        <f>IF(B15="","",IFERROR(AVERAGEIFS('Grocery Spending'!$L$5:$L$404,'Grocery Spending'!$H$5:$H$404,B15,'Grocery Spending'!$L$5:$L$404,"&gt;0"),""))</f>
        <v>0</v>
      </c>
      <c r="M15" s="25">
        <f>IF(B15="","",IF(COUNTIFS('Store Prices'!$B$5:$B$304,B15)=0,"",IF(SUMPRODUCT(MIN((('Store Prices'!$B$5:$B$304=B15)*(IFERROR('Store Prices'!$I$5:$I$304*1,0)&gt;0))*IFERROR('Store Prices'!$I$5:$I$304*1,0)+(1-(('Store Prices'!$B$5:$B$304=B15)*(IFERROR('Store Prices'!$I$5:$I$304*1,0)&gt;0)))*999999))&gt;=999999,"",SUMPRODUCT(MIN((('Store Prices'!$B$5:$B$304=B15)*(IFERROR('Store Prices'!$I$5:$I$304*1,0)&gt;0))*IFERROR('Store Prices'!$I$5:$I$304*1,0)+(1-(('Store Prices'!$B$5:$B$304=B15)*(IFERROR('Store Prices'!$I$5:$I$304*1,0)&gt;0)))*999999)))))</f>
        <v>0</v>
      </c>
      <c r="N15" s="17">
        <f>IF(M15="","",IFERROR(INDEX('Store Prices'!$C$5:$C$304,MATCH(1,INDEX(('Store Prices'!$B$5:$B$304=B15)*('Store Prices'!$I$5:$I$304=M15),0),0)),""))</f>
        <v>0</v>
      </c>
      <c r="O15" s="25">
        <f>IF(OR(M15="",J15=""),"",MAX(0,(J15-M15)*100))</f>
        <v>0</v>
      </c>
      <c r="P15" s="41">
        <v>40</v>
      </c>
      <c r="Q15" s="38">
        <v>1.1</v>
      </c>
      <c r="R15" s="38">
        <v>9.3</v>
      </c>
      <c r="S15" s="38">
        <v>0.1</v>
      </c>
      <c r="T15" s="38">
        <v>1.7</v>
      </c>
      <c r="U15" s="38">
        <v>2.3</v>
      </c>
      <c r="V15" s="41">
        <v>32</v>
      </c>
      <c r="W15" s="32" t="s">
        <v>372</v>
      </c>
      <c r="X15" s="32" t="s">
        <v>383</v>
      </c>
      <c r="Y15" s="32" t="s">
        <v>572</v>
      </c>
      <c r="Z15" s="35">
        <v>30</v>
      </c>
      <c r="AA15" s="32" t="s">
        <v>443</v>
      </c>
      <c r="AB15" s="32" t="s">
        <v>157</v>
      </c>
      <c r="AC15" s="15">
        <v>46292</v>
      </c>
      <c r="AD15" s="45">
        <f>IF(B15="","",SUMIFS(Pantry!$G$5:$G$304,Pantry!$B$5:$B$304,B15))</f>
        <v>0</v>
      </c>
      <c r="AE15" s="25">
        <f>IF(OR(AD15="",J15=""),"",AD15*J15)</f>
        <v>0</v>
      </c>
      <c r="AF15" s="18">
        <f>IF(B15="","",COUNTIFS('Recipe Ingredients'!$D$5:$D$1204,B15))</f>
        <v>0</v>
      </c>
      <c r="AG15" s="45">
        <f>IF(B15="","",SUMIFS('Recipe Ingredients'!$Y$5:$Y$1204,'Recipe Ingredients'!$D$5:$D$1204,B15))</f>
        <v>0</v>
      </c>
      <c r="AH15" s="30">
        <f>IF(B15="",0,IFERROR(K15*1,0)*IFERROR(AF15*1,0))</f>
        <v>0</v>
      </c>
      <c r="AI15" s="18">
        <f>IF(B15="","",COUNTIFS($AH$5:$AH$304,"&gt;"&amp;AH15)+COUNTIFS($AH$5:AH15,AH15))</f>
        <v>0</v>
      </c>
      <c r="AJ15" s="18">
        <f>IF(B15="",0,COUNTIFS('Food Waste'!$E$5:$E$154,B15))</f>
        <v>0</v>
      </c>
      <c r="AK15" s="18">
        <f>IF(B15="","",COUNTIFS($AJ$5:$AJ$304,"&gt;"&amp;AJ15)+COUNTIFS($AJ$5:AJ15,AJ15))</f>
        <v>0</v>
      </c>
      <c r="AL15" s="18">
        <f>IF(B15="","",IF(AG15&gt;0,COUNTIF(AG$5:AG15,"&gt;0"),""))</f>
        <v>0</v>
      </c>
      <c r="AM15" s="45">
        <f>IF(B15="","",SUMIFS('Grocery List'!$Q$5:$Q$304,'Grocery List'!$B$5:$B$304,B15))</f>
        <v>0</v>
      </c>
      <c r="AN15" s="31">
        <f>IF(B15="","",IF(I15="","Add - no price yet",IF(H15="","Add - no pack size",IF(COUNTIFS($B$5:$B$304,B15)&gt;1,"Duplicate - same name twice",IF(AF15=0,"Check - no recipe uses it","OK")))))</f>
        <v>0</v>
      </c>
      <c r="AO15" s="43" t="s">
        <v>157</v>
      </c>
    </row>
    <row r="16" spans="1:41">
      <c r="A16" s="39">
        <f>IF(B16="","",IngredientPrefix&amp;TEXT(ROW()-4,"0000"))</f>
        <v>0</v>
      </c>
      <c r="B16" s="32" t="s">
        <v>903</v>
      </c>
      <c r="C16" s="32" t="s">
        <v>413</v>
      </c>
      <c r="D16" s="32" t="s">
        <v>426</v>
      </c>
      <c r="E16" s="32" t="s">
        <v>1010</v>
      </c>
      <c r="F16" s="32" t="s">
        <v>157</v>
      </c>
      <c r="G16" s="32" t="s">
        <v>685</v>
      </c>
      <c r="H16" s="38">
        <v>3</v>
      </c>
      <c r="I16" s="36">
        <v>0.7</v>
      </c>
      <c r="J16" s="25">
        <f>IF(OR(H16="",I16=""),"",IF(H16=0,"",I16/H16))</f>
        <v>0</v>
      </c>
      <c r="K16" s="25">
        <f>IF(J16="","",J16*100)</f>
        <v>0</v>
      </c>
      <c r="L16" s="25">
        <f>IF(B16="","",IFERROR(AVERAGEIFS('Grocery Spending'!$L$5:$L$404,'Grocery Spending'!$H$5:$H$404,B16,'Grocery Spending'!$L$5:$L$404,"&gt;0"),""))</f>
        <v>0</v>
      </c>
      <c r="M16" s="25">
        <f>IF(B16="","",IF(COUNTIFS('Store Prices'!$B$5:$B$304,B16)=0,"",IF(SUMPRODUCT(MIN((('Store Prices'!$B$5:$B$304=B16)*(IFERROR('Store Prices'!$I$5:$I$304*1,0)&gt;0))*IFERROR('Store Prices'!$I$5:$I$304*1,0)+(1-(('Store Prices'!$B$5:$B$304=B16)*(IFERROR('Store Prices'!$I$5:$I$304*1,0)&gt;0)))*999999))&gt;=999999,"",SUMPRODUCT(MIN((('Store Prices'!$B$5:$B$304=B16)*(IFERROR('Store Prices'!$I$5:$I$304*1,0)&gt;0))*IFERROR('Store Prices'!$I$5:$I$304*1,0)+(1-(('Store Prices'!$B$5:$B$304=B16)*(IFERROR('Store Prices'!$I$5:$I$304*1,0)&gt;0)))*999999)))))</f>
        <v>0</v>
      </c>
      <c r="N16" s="17">
        <f>IF(M16="","",IFERROR(INDEX('Store Prices'!$C$5:$C$304,MATCH(1,INDEX(('Store Prices'!$B$5:$B$304=B16)*('Store Prices'!$I$5:$I$304=M16),0),0)),""))</f>
        <v>0</v>
      </c>
      <c r="O16" s="25">
        <f>IF(OR(M16="",J16=""),"",MAX(0,(J16-M16)*100))</f>
        <v>0</v>
      </c>
      <c r="P16" s="41">
        <v>4</v>
      </c>
      <c r="Q16" s="38">
        <v>0.2</v>
      </c>
      <c r="R16" s="38">
        <v>1</v>
      </c>
      <c r="S16" s="38">
        <v>0</v>
      </c>
      <c r="T16" s="38">
        <v>0.1</v>
      </c>
      <c r="U16" s="38">
        <v>0.2</v>
      </c>
      <c r="V16" s="41">
        <v>3</v>
      </c>
      <c r="W16" s="32" t="s">
        <v>372</v>
      </c>
      <c r="X16" s="32" t="s">
        <v>383</v>
      </c>
      <c r="Y16" s="32" t="s">
        <v>572</v>
      </c>
      <c r="Z16" s="35">
        <v>60</v>
      </c>
      <c r="AA16" s="32" t="s">
        <v>443</v>
      </c>
      <c r="AB16" s="32" t="s">
        <v>157</v>
      </c>
      <c r="AC16" s="15">
        <v>46299</v>
      </c>
      <c r="AD16" s="45">
        <f>IF(B16="","",SUMIFS(Pantry!$G$5:$G$304,Pantry!$B$5:$B$304,B16))</f>
        <v>0</v>
      </c>
      <c r="AE16" s="25">
        <f>IF(OR(AD16="",J16=""),"",AD16*J16)</f>
        <v>0</v>
      </c>
      <c r="AF16" s="18">
        <f>IF(B16="","",COUNTIFS('Recipe Ingredients'!$D$5:$D$1204,B16))</f>
        <v>0</v>
      </c>
      <c r="AG16" s="45">
        <f>IF(B16="","",SUMIFS('Recipe Ingredients'!$Y$5:$Y$1204,'Recipe Ingredients'!$D$5:$D$1204,B16))</f>
        <v>0</v>
      </c>
      <c r="AH16" s="30">
        <f>IF(B16="",0,IFERROR(K16*1,0)*IFERROR(AF16*1,0))</f>
        <v>0</v>
      </c>
      <c r="AI16" s="18">
        <f>IF(B16="","",COUNTIFS($AH$5:$AH$304,"&gt;"&amp;AH16)+COUNTIFS($AH$5:AH16,AH16))</f>
        <v>0</v>
      </c>
      <c r="AJ16" s="18">
        <f>IF(B16="",0,COUNTIFS('Food Waste'!$E$5:$E$154,B16))</f>
        <v>0</v>
      </c>
      <c r="AK16" s="18">
        <f>IF(B16="","",COUNTIFS($AJ$5:$AJ$304,"&gt;"&amp;AJ16)+COUNTIFS($AJ$5:AJ16,AJ16))</f>
        <v>0</v>
      </c>
      <c r="AL16" s="18">
        <f>IF(B16="","",IF(AG16&gt;0,COUNTIF(AG$5:AG16,"&gt;0"),""))</f>
        <v>0</v>
      </c>
      <c r="AM16" s="45">
        <f>IF(B16="","",SUMIFS('Grocery List'!$Q$5:$Q$304,'Grocery List'!$B$5:$B$304,B16))</f>
        <v>0</v>
      </c>
      <c r="AN16" s="31">
        <f>IF(B16="","",IF(I16="","Add - no price yet",IF(H16="","Add - no pack size",IF(COUNTIFS($B$5:$B$304,B16)&gt;1,"Duplicate - same name twice",IF(AF16=0,"Check - no recipe uses it","OK")))))</f>
        <v>0</v>
      </c>
      <c r="AO16" s="43" t="s">
        <v>157</v>
      </c>
    </row>
    <row r="17" spans="1:41">
      <c r="A17" s="39">
        <f>IF(B17="","",IngredientPrefix&amp;TEXT(ROW()-4,"0000"))</f>
        <v>0</v>
      </c>
      <c r="B17" s="32" t="s">
        <v>901</v>
      </c>
      <c r="C17" s="32" t="s">
        <v>413</v>
      </c>
      <c r="D17" s="32" t="s">
        <v>426</v>
      </c>
      <c r="E17" s="32" t="s">
        <v>1011</v>
      </c>
      <c r="F17" s="32" t="s">
        <v>1012</v>
      </c>
      <c r="G17" s="32" t="s">
        <v>668</v>
      </c>
      <c r="H17" s="38">
        <v>1000</v>
      </c>
      <c r="I17" s="36">
        <v>0.8</v>
      </c>
      <c r="J17" s="25">
        <f>IF(OR(H17="",I17=""),"",IF(H17=0,"",I17/H17))</f>
        <v>0</v>
      </c>
      <c r="K17" s="25">
        <f>IF(J17="","",J17*100)</f>
        <v>0</v>
      </c>
      <c r="L17" s="25">
        <f>IF(B17="","",IFERROR(AVERAGEIFS('Grocery Spending'!$L$5:$L$404,'Grocery Spending'!$H$5:$H$404,B17,'Grocery Spending'!$L$5:$L$404,"&gt;0"),""))</f>
        <v>0</v>
      </c>
      <c r="M17" s="25">
        <f>IF(B17="","",IF(COUNTIFS('Store Prices'!$B$5:$B$304,B17)=0,"",IF(SUMPRODUCT(MIN((('Store Prices'!$B$5:$B$304=B17)*(IFERROR('Store Prices'!$I$5:$I$304*1,0)&gt;0))*IFERROR('Store Prices'!$I$5:$I$304*1,0)+(1-(('Store Prices'!$B$5:$B$304=B17)*(IFERROR('Store Prices'!$I$5:$I$304*1,0)&gt;0)))*999999))&gt;=999999,"",SUMPRODUCT(MIN((('Store Prices'!$B$5:$B$304=B17)*(IFERROR('Store Prices'!$I$5:$I$304*1,0)&gt;0))*IFERROR('Store Prices'!$I$5:$I$304*1,0)+(1-(('Store Prices'!$B$5:$B$304=B17)*(IFERROR('Store Prices'!$I$5:$I$304*1,0)&gt;0)))*999999)))))</f>
        <v>0</v>
      </c>
      <c r="N17" s="17">
        <f>IF(M17="","",IFERROR(INDEX('Store Prices'!$C$5:$C$304,MATCH(1,INDEX(('Store Prices'!$B$5:$B$304=B17)*('Store Prices'!$I$5:$I$304=M17),0),0)),""))</f>
        <v>0</v>
      </c>
      <c r="O17" s="25">
        <f>IF(OR(M17="",J17=""),"",MAX(0,(J17-M17)*100))</f>
        <v>0</v>
      </c>
      <c r="P17" s="41">
        <v>41</v>
      </c>
      <c r="Q17" s="38">
        <v>0.9</v>
      </c>
      <c r="R17" s="38">
        <v>9.6</v>
      </c>
      <c r="S17" s="38">
        <v>0.2</v>
      </c>
      <c r="T17" s="38">
        <v>2.8</v>
      </c>
      <c r="U17" s="38">
        <v>2.4</v>
      </c>
      <c r="V17" s="41">
        <v>32</v>
      </c>
      <c r="W17" s="32" t="s">
        <v>372</v>
      </c>
      <c r="X17" s="32" t="s">
        <v>383</v>
      </c>
      <c r="Y17" s="32" t="s">
        <v>572</v>
      </c>
      <c r="Z17" s="35">
        <v>21</v>
      </c>
      <c r="AA17" s="32" t="s">
        <v>444</v>
      </c>
      <c r="AB17" s="32" t="s">
        <v>157</v>
      </c>
      <c r="AC17" s="15">
        <v>46293</v>
      </c>
      <c r="AD17" s="45">
        <f>IF(B17="","",SUMIFS(Pantry!$G$5:$G$304,Pantry!$B$5:$B$304,B17))</f>
        <v>0</v>
      </c>
      <c r="AE17" s="25">
        <f>IF(OR(AD17="",J17=""),"",AD17*J17)</f>
        <v>0</v>
      </c>
      <c r="AF17" s="18">
        <f>IF(B17="","",COUNTIFS('Recipe Ingredients'!$D$5:$D$1204,B17))</f>
        <v>0</v>
      </c>
      <c r="AG17" s="45">
        <f>IF(B17="","",SUMIFS('Recipe Ingredients'!$Y$5:$Y$1204,'Recipe Ingredients'!$D$5:$D$1204,B17))</f>
        <v>0</v>
      </c>
      <c r="AH17" s="30">
        <f>IF(B17="",0,IFERROR(K17*1,0)*IFERROR(AF17*1,0))</f>
        <v>0</v>
      </c>
      <c r="AI17" s="18">
        <f>IF(B17="","",COUNTIFS($AH$5:$AH$304,"&gt;"&amp;AH17)+COUNTIFS($AH$5:AH17,AH17))</f>
        <v>0</v>
      </c>
      <c r="AJ17" s="18">
        <f>IF(B17="",0,COUNTIFS('Food Waste'!$E$5:$E$154,B17))</f>
        <v>0</v>
      </c>
      <c r="AK17" s="18">
        <f>IF(B17="","",COUNTIFS($AJ$5:$AJ$304,"&gt;"&amp;AJ17)+COUNTIFS($AJ$5:AJ17,AJ17))</f>
        <v>0</v>
      </c>
      <c r="AL17" s="18">
        <f>IF(B17="","",IF(AG17&gt;0,COUNTIF(AG$5:AG17,"&gt;0"),""))</f>
        <v>0</v>
      </c>
      <c r="AM17" s="45">
        <f>IF(B17="","",SUMIFS('Grocery List'!$Q$5:$Q$304,'Grocery List'!$B$5:$B$304,B17))</f>
        <v>0</v>
      </c>
      <c r="AN17" s="31">
        <f>IF(B17="","",IF(I17="","Add - no price yet",IF(H17="","Add - no pack size",IF(COUNTIFS($B$5:$B$304,B17)&gt;1,"Duplicate - same name twice",IF(AF17=0,"Check - no recipe uses it","OK")))))</f>
        <v>0</v>
      </c>
      <c r="AO17" s="43" t="s">
        <v>157</v>
      </c>
    </row>
    <row r="18" spans="1:41">
      <c r="A18" s="39">
        <f>IF(B18="","",IngredientPrefix&amp;TEXT(ROW()-4,"0000"))</f>
        <v>0</v>
      </c>
      <c r="B18" s="32" t="s">
        <v>890</v>
      </c>
      <c r="C18" s="32" t="s">
        <v>413</v>
      </c>
      <c r="D18" s="32" t="s">
        <v>426</v>
      </c>
      <c r="E18" s="32" t="s">
        <v>1011</v>
      </c>
      <c r="F18" s="32" t="s">
        <v>157</v>
      </c>
      <c r="G18" s="32" t="s">
        <v>668</v>
      </c>
      <c r="H18" s="38">
        <v>2500</v>
      </c>
      <c r="I18" s="36">
        <v>2.2</v>
      </c>
      <c r="J18" s="25">
        <f>IF(OR(H18="",I18=""),"",IF(H18=0,"",I18/H18))</f>
        <v>0</v>
      </c>
      <c r="K18" s="25">
        <f>IF(J18="","",J18*100)</f>
        <v>0</v>
      </c>
      <c r="L18" s="25">
        <f>IF(B18="","",IFERROR(AVERAGEIFS('Grocery Spending'!$L$5:$L$404,'Grocery Spending'!$H$5:$H$404,B18,'Grocery Spending'!$L$5:$L$404,"&gt;0"),""))</f>
        <v>0</v>
      </c>
      <c r="M18" s="25">
        <f>IF(B18="","",IF(COUNTIFS('Store Prices'!$B$5:$B$304,B18)=0,"",IF(SUMPRODUCT(MIN((('Store Prices'!$B$5:$B$304=B18)*(IFERROR('Store Prices'!$I$5:$I$304*1,0)&gt;0))*IFERROR('Store Prices'!$I$5:$I$304*1,0)+(1-(('Store Prices'!$B$5:$B$304=B18)*(IFERROR('Store Prices'!$I$5:$I$304*1,0)&gt;0)))*999999))&gt;=999999,"",SUMPRODUCT(MIN((('Store Prices'!$B$5:$B$304=B18)*(IFERROR('Store Prices'!$I$5:$I$304*1,0)&gt;0))*IFERROR('Store Prices'!$I$5:$I$304*1,0)+(1-(('Store Prices'!$B$5:$B$304=B18)*(IFERROR('Store Prices'!$I$5:$I$304*1,0)&gt;0)))*999999)))))</f>
        <v>0</v>
      </c>
      <c r="N18" s="17">
        <f>IF(M18="","",IFERROR(INDEX('Store Prices'!$C$5:$C$304,MATCH(1,INDEX(('Store Prices'!$B$5:$B$304=B18)*('Store Prices'!$I$5:$I$304=M18),0),0)),""))</f>
        <v>0</v>
      </c>
      <c r="O18" s="25">
        <f>IF(OR(M18="",J18=""),"",MAX(0,(J18-M18)*100))</f>
        <v>0</v>
      </c>
      <c r="P18" s="41">
        <v>77</v>
      </c>
      <c r="Q18" s="38">
        <v>2</v>
      </c>
      <c r="R18" s="38">
        <v>17</v>
      </c>
      <c r="S18" s="38">
        <v>0.1</v>
      </c>
      <c r="T18" s="38">
        <v>2.2</v>
      </c>
      <c r="U18" s="38">
        <v>4.2</v>
      </c>
      <c r="V18" s="41">
        <v>61</v>
      </c>
      <c r="W18" s="32" t="s">
        <v>372</v>
      </c>
      <c r="X18" s="32" t="s">
        <v>383</v>
      </c>
      <c r="Y18" s="32" t="s">
        <v>572</v>
      </c>
      <c r="Z18" s="35">
        <v>21</v>
      </c>
      <c r="AA18" s="32" t="s">
        <v>443</v>
      </c>
      <c r="AB18" s="32" t="s">
        <v>157</v>
      </c>
      <c r="AC18" s="15">
        <v>46296</v>
      </c>
      <c r="AD18" s="45">
        <f>IF(B18="","",SUMIFS(Pantry!$G$5:$G$304,Pantry!$B$5:$B$304,B18))</f>
        <v>0</v>
      </c>
      <c r="AE18" s="25">
        <f>IF(OR(AD18="",J18=""),"",AD18*J18)</f>
        <v>0</v>
      </c>
      <c r="AF18" s="18">
        <f>IF(B18="","",COUNTIFS('Recipe Ingredients'!$D$5:$D$1204,B18))</f>
        <v>0</v>
      </c>
      <c r="AG18" s="45">
        <f>IF(B18="","",SUMIFS('Recipe Ingredients'!$Y$5:$Y$1204,'Recipe Ingredients'!$D$5:$D$1204,B18))</f>
        <v>0</v>
      </c>
      <c r="AH18" s="30">
        <f>IF(B18="",0,IFERROR(K18*1,0)*IFERROR(AF18*1,0))</f>
        <v>0</v>
      </c>
      <c r="AI18" s="18">
        <f>IF(B18="","",COUNTIFS($AH$5:$AH$304,"&gt;"&amp;AH18)+COUNTIFS($AH$5:AH18,AH18))</f>
        <v>0</v>
      </c>
      <c r="AJ18" s="18">
        <f>IF(B18="",0,COUNTIFS('Food Waste'!$E$5:$E$154,B18))</f>
        <v>0</v>
      </c>
      <c r="AK18" s="18">
        <f>IF(B18="","",COUNTIFS($AJ$5:$AJ$304,"&gt;"&amp;AJ18)+COUNTIFS($AJ$5:AJ18,AJ18))</f>
        <v>0</v>
      </c>
      <c r="AL18" s="18">
        <f>IF(B18="","",IF(AG18&gt;0,COUNTIF(AG$5:AG18,"&gt;0"),""))</f>
        <v>0</v>
      </c>
      <c r="AM18" s="45">
        <f>IF(B18="","",SUMIFS('Grocery List'!$Q$5:$Q$304,'Grocery List'!$B$5:$B$304,B18))</f>
        <v>0</v>
      </c>
      <c r="AN18" s="31">
        <f>IF(B18="","",IF(I18="","Add - no price yet",IF(H18="","Add - no pack size",IF(COUNTIFS($B$5:$B$304,B18)&gt;1,"Duplicate - same name twice",IF(AF18=0,"Check - no recipe uses it","OK")))))</f>
        <v>0</v>
      </c>
      <c r="AO18" s="43" t="s">
        <v>157</v>
      </c>
    </row>
    <row r="19" spans="1:41">
      <c r="A19" s="39">
        <f>IF(B19="","",IngredientPrefix&amp;TEXT(ROW()-4,"0000"))</f>
        <v>0</v>
      </c>
      <c r="B19" s="32" t="s">
        <v>1014</v>
      </c>
      <c r="C19" s="32" t="s">
        <v>413</v>
      </c>
      <c r="D19" s="32" t="s">
        <v>426</v>
      </c>
      <c r="E19" s="32" t="s">
        <v>214</v>
      </c>
      <c r="F19" s="32" t="s">
        <v>157</v>
      </c>
      <c r="G19" s="32" t="s">
        <v>668</v>
      </c>
      <c r="H19" s="38">
        <v>1000</v>
      </c>
      <c r="I19" s="36">
        <v>1.9</v>
      </c>
      <c r="J19" s="25">
        <f>IF(OR(H19="",I19=""),"",IF(H19=0,"",I19/H19))</f>
        <v>0</v>
      </c>
      <c r="K19" s="25">
        <f>IF(J19="","",J19*100)</f>
        <v>0</v>
      </c>
      <c r="L19" s="25">
        <f>IF(B19="","",IFERROR(AVERAGEIFS('Grocery Spending'!$L$5:$L$404,'Grocery Spending'!$H$5:$H$404,B19,'Grocery Spending'!$L$5:$L$404,"&gt;0"),""))</f>
        <v>0</v>
      </c>
      <c r="M19" s="25">
        <f>IF(B19="","",IF(COUNTIFS('Store Prices'!$B$5:$B$304,B19)=0,"",IF(SUMPRODUCT(MIN((('Store Prices'!$B$5:$B$304=B19)*(IFERROR('Store Prices'!$I$5:$I$304*1,0)&gt;0))*IFERROR('Store Prices'!$I$5:$I$304*1,0)+(1-(('Store Prices'!$B$5:$B$304=B19)*(IFERROR('Store Prices'!$I$5:$I$304*1,0)&gt;0)))*999999))&gt;=999999,"",SUMPRODUCT(MIN((('Store Prices'!$B$5:$B$304=B19)*(IFERROR('Store Prices'!$I$5:$I$304*1,0)&gt;0))*IFERROR('Store Prices'!$I$5:$I$304*1,0)+(1-(('Store Prices'!$B$5:$B$304=B19)*(IFERROR('Store Prices'!$I$5:$I$304*1,0)&gt;0)))*999999)))))</f>
        <v>0</v>
      </c>
      <c r="N19" s="17">
        <f>IF(M19="","",IFERROR(INDEX('Store Prices'!$C$5:$C$304,MATCH(1,INDEX(('Store Prices'!$B$5:$B$304=B19)*('Store Prices'!$I$5:$I$304=M19),0),0)),""))</f>
        <v>0</v>
      </c>
      <c r="O19" s="25">
        <f>IF(OR(M19="",J19=""),"",MAX(0,(J19-M19)*100))</f>
        <v>0</v>
      </c>
      <c r="P19" s="41">
        <v>86</v>
      </c>
      <c r="Q19" s="38">
        <v>1.6</v>
      </c>
      <c r="R19" s="38">
        <v>20</v>
      </c>
      <c r="S19" s="38">
        <v>0.1</v>
      </c>
      <c r="T19" s="38">
        <v>3</v>
      </c>
      <c r="U19" s="38">
        <v>5</v>
      </c>
      <c r="V19" s="41">
        <v>68</v>
      </c>
      <c r="W19" s="32" t="s">
        <v>372</v>
      </c>
      <c r="X19" s="32" t="s">
        <v>383</v>
      </c>
      <c r="Y19" s="32" t="s">
        <v>572</v>
      </c>
      <c r="Z19" s="35">
        <v>14</v>
      </c>
      <c r="AA19" s="32" t="s">
        <v>443</v>
      </c>
      <c r="AB19" s="32" t="s">
        <v>157</v>
      </c>
      <c r="AC19" s="15">
        <v>46294</v>
      </c>
      <c r="AD19" s="45">
        <f>IF(B19="","",SUMIFS(Pantry!$G$5:$G$304,Pantry!$B$5:$B$304,B19))</f>
        <v>0</v>
      </c>
      <c r="AE19" s="25">
        <f>IF(OR(AD19="",J19=""),"",AD19*J19)</f>
        <v>0</v>
      </c>
      <c r="AF19" s="18">
        <f>IF(B19="","",COUNTIFS('Recipe Ingredients'!$D$5:$D$1204,B19))</f>
        <v>0</v>
      </c>
      <c r="AG19" s="45">
        <f>IF(B19="","",SUMIFS('Recipe Ingredients'!$Y$5:$Y$1204,'Recipe Ingredients'!$D$5:$D$1204,B19))</f>
        <v>0</v>
      </c>
      <c r="AH19" s="30">
        <f>IF(B19="",0,IFERROR(K19*1,0)*IFERROR(AF19*1,0))</f>
        <v>0</v>
      </c>
      <c r="AI19" s="18">
        <f>IF(B19="","",COUNTIFS($AH$5:$AH$304,"&gt;"&amp;AH19)+COUNTIFS($AH$5:AH19,AH19))</f>
        <v>0</v>
      </c>
      <c r="AJ19" s="18">
        <f>IF(B19="",0,COUNTIFS('Food Waste'!$E$5:$E$154,B19))</f>
        <v>0</v>
      </c>
      <c r="AK19" s="18">
        <f>IF(B19="","",COUNTIFS($AJ$5:$AJ$304,"&gt;"&amp;AJ19)+COUNTIFS($AJ$5:AJ19,AJ19))</f>
        <v>0</v>
      </c>
      <c r="AL19" s="18">
        <f>IF(B19="","",IF(AG19&gt;0,COUNTIF(AG$5:AG19,"&gt;0"),""))</f>
        <v>0</v>
      </c>
      <c r="AM19" s="45">
        <f>IF(B19="","",SUMIFS('Grocery List'!$Q$5:$Q$304,'Grocery List'!$B$5:$B$304,B19))</f>
        <v>0</v>
      </c>
      <c r="AN19" s="31">
        <f>IF(B19="","",IF(I19="","Add - no price yet",IF(H19="","Add - no pack size",IF(COUNTIFS($B$5:$B$304,B19)&gt;1,"Duplicate - same name twice",IF(AF19=0,"Check - no recipe uses it","OK")))))</f>
        <v>0</v>
      </c>
      <c r="AO19" s="43" t="s">
        <v>157</v>
      </c>
    </row>
    <row r="20" spans="1:41">
      <c r="A20" s="39">
        <f>IF(B20="","",IngredientPrefix&amp;TEXT(ROW()-4,"0000"))</f>
        <v>0</v>
      </c>
      <c r="B20" s="32" t="s">
        <v>918</v>
      </c>
      <c r="C20" s="32" t="s">
        <v>413</v>
      </c>
      <c r="D20" s="32" t="s">
        <v>426</v>
      </c>
      <c r="E20" s="32" t="s">
        <v>214</v>
      </c>
      <c r="F20" s="32" t="s">
        <v>1012</v>
      </c>
      <c r="G20" s="32" t="s">
        <v>668</v>
      </c>
      <c r="H20" s="38">
        <v>400</v>
      </c>
      <c r="I20" s="36">
        <v>1.1</v>
      </c>
      <c r="J20" s="25">
        <f>IF(OR(H20="",I20=""),"",IF(H20=0,"",I20/H20))</f>
        <v>0</v>
      </c>
      <c r="K20" s="25">
        <f>IF(J20="","",J20*100)</f>
        <v>0</v>
      </c>
      <c r="L20" s="25">
        <f>IF(B20="","",IFERROR(AVERAGEIFS('Grocery Spending'!$L$5:$L$404,'Grocery Spending'!$H$5:$H$404,B20,'Grocery Spending'!$L$5:$L$404,"&gt;0"),""))</f>
        <v>0</v>
      </c>
      <c r="M20" s="25">
        <f>IF(B20="","",IF(COUNTIFS('Store Prices'!$B$5:$B$304,B20)=0,"",IF(SUMPRODUCT(MIN((('Store Prices'!$B$5:$B$304=B20)*(IFERROR('Store Prices'!$I$5:$I$304*1,0)&gt;0))*IFERROR('Store Prices'!$I$5:$I$304*1,0)+(1-(('Store Prices'!$B$5:$B$304=B20)*(IFERROR('Store Prices'!$I$5:$I$304*1,0)&gt;0)))*999999))&gt;=999999,"",SUMPRODUCT(MIN((('Store Prices'!$B$5:$B$304=B20)*(IFERROR('Store Prices'!$I$5:$I$304*1,0)&gt;0))*IFERROR('Store Prices'!$I$5:$I$304*1,0)+(1-(('Store Prices'!$B$5:$B$304=B20)*(IFERROR('Store Prices'!$I$5:$I$304*1,0)&gt;0)))*999999)))))</f>
        <v>0</v>
      </c>
      <c r="N20" s="17">
        <f>IF(M20="","",IFERROR(INDEX('Store Prices'!$C$5:$C$304,MATCH(1,INDEX(('Store Prices'!$B$5:$B$304=B20)*('Store Prices'!$I$5:$I$304=M20),0),0)),""))</f>
        <v>0</v>
      </c>
      <c r="O20" s="25">
        <f>IF(OR(M20="",J20=""),"",MAX(0,(J20-M20)*100))</f>
        <v>0</v>
      </c>
      <c r="P20" s="41">
        <v>34</v>
      </c>
      <c r="Q20" s="38">
        <v>2.8</v>
      </c>
      <c r="R20" s="38">
        <v>7</v>
      </c>
      <c r="S20" s="38">
        <v>0.4</v>
      </c>
      <c r="T20" s="38">
        <v>2.6</v>
      </c>
      <c r="U20" s="38">
        <v>1.8</v>
      </c>
      <c r="V20" s="41">
        <v>27</v>
      </c>
      <c r="W20" s="32" t="s">
        <v>372</v>
      </c>
      <c r="X20" s="32" t="s">
        <v>383</v>
      </c>
      <c r="Y20" s="32" t="s">
        <v>572</v>
      </c>
      <c r="Z20" s="35">
        <v>6</v>
      </c>
      <c r="AA20" s="32" t="s">
        <v>444</v>
      </c>
      <c r="AB20" s="32" t="s">
        <v>157</v>
      </c>
      <c r="AC20" s="15">
        <v>46297</v>
      </c>
      <c r="AD20" s="45">
        <f>IF(B20="","",SUMIFS(Pantry!$G$5:$G$304,Pantry!$B$5:$B$304,B20))</f>
        <v>0</v>
      </c>
      <c r="AE20" s="25">
        <f>IF(OR(AD20="",J20=""),"",AD20*J20)</f>
        <v>0</v>
      </c>
      <c r="AF20" s="18">
        <f>IF(B20="","",COUNTIFS('Recipe Ingredients'!$D$5:$D$1204,B20))</f>
        <v>0</v>
      </c>
      <c r="AG20" s="45">
        <f>IF(B20="","",SUMIFS('Recipe Ingredients'!$Y$5:$Y$1204,'Recipe Ingredients'!$D$5:$D$1204,B20))</f>
        <v>0</v>
      </c>
      <c r="AH20" s="30">
        <f>IF(B20="",0,IFERROR(K20*1,0)*IFERROR(AF20*1,0))</f>
        <v>0</v>
      </c>
      <c r="AI20" s="18">
        <f>IF(B20="","",COUNTIFS($AH$5:$AH$304,"&gt;"&amp;AH20)+COUNTIFS($AH$5:AH20,AH20))</f>
        <v>0</v>
      </c>
      <c r="AJ20" s="18">
        <f>IF(B20="",0,COUNTIFS('Food Waste'!$E$5:$E$154,B20))</f>
        <v>0</v>
      </c>
      <c r="AK20" s="18">
        <f>IF(B20="","",COUNTIFS($AJ$5:$AJ$304,"&gt;"&amp;AJ20)+COUNTIFS($AJ$5:AJ20,AJ20))</f>
        <v>0</v>
      </c>
      <c r="AL20" s="18">
        <f>IF(B20="","",IF(AG20&gt;0,COUNTIF(AG$5:AG20,"&gt;0"),""))</f>
        <v>0</v>
      </c>
      <c r="AM20" s="45">
        <f>IF(B20="","",SUMIFS('Grocery List'!$Q$5:$Q$304,'Grocery List'!$B$5:$B$304,B20))</f>
        <v>0</v>
      </c>
      <c r="AN20" s="31">
        <f>IF(B20="","",IF(I20="","Add - no price yet",IF(H20="","Add - no pack size",IF(COUNTIFS($B$5:$B$304,B20)&gt;1,"Duplicate - same name twice",IF(AF20=0,"Check - no recipe uses it","OK")))))</f>
        <v>0</v>
      </c>
      <c r="AO20" s="43" t="s">
        <v>157</v>
      </c>
    </row>
    <row r="21" spans="1:41">
      <c r="A21" s="39">
        <f>IF(B21="","",IngredientPrefix&amp;TEXT(ROW()-4,"0000"))</f>
        <v>0</v>
      </c>
      <c r="B21" s="32" t="s">
        <v>892</v>
      </c>
      <c r="C21" s="32" t="s">
        <v>413</v>
      </c>
      <c r="D21" s="32" t="s">
        <v>426</v>
      </c>
      <c r="E21" s="32" t="s">
        <v>214</v>
      </c>
      <c r="F21" s="32" t="s">
        <v>1012</v>
      </c>
      <c r="G21" s="32" t="s">
        <v>685</v>
      </c>
      <c r="H21" s="38">
        <v>3</v>
      </c>
      <c r="I21" s="36">
        <v>1.75</v>
      </c>
      <c r="J21" s="25">
        <f>IF(OR(H21="",I21=""),"",IF(H21=0,"",I21/H21))</f>
        <v>0</v>
      </c>
      <c r="K21" s="25">
        <f>IF(J21="","",J21*100)</f>
        <v>0</v>
      </c>
      <c r="L21" s="25">
        <f>IF(B21="","",IFERROR(AVERAGEIFS('Grocery Spending'!$L$5:$L$404,'Grocery Spending'!$H$5:$H$404,B21,'Grocery Spending'!$L$5:$L$404,"&gt;0"),""))</f>
        <v>0</v>
      </c>
      <c r="M21" s="25">
        <f>IF(B21="","",IF(COUNTIFS('Store Prices'!$B$5:$B$304,B21)=0,"",IF(SUMPRODUCT(MIN((('Store Prices'!$B$5:$B$304=B21)*(IFERROR('Store Prices'!$I$5:$I$304*1,0)&gt;0))*IFERROR('Store Prices'!$I$5:$I$304*1,0)+(1-(('Store Prices'!$B$5:$B$304=B21)*(IFERROR('Store Prices'!$I$5:$I$304*1,0)&gt;0)))*999999))&gt;=999999,"",SUMPRODUCT(MIN((('Store Prices'!$B$5:$B$304=B21)*(IFERROR('Store Prices'!$I$5:$I$304*1,0)&gt;0))*IFERROR('Store Prices'!$I$5:$I$304*1,0)+(1-(('Store Prices'!$B$5:$B$304=B21)*(IFERROR('Store Prices'!$I$5:$I$304*1,0)&gt;0)))*999999)))))</f>
        <v>0</v>
      </c>
      <c r="N21" s="17">
        <f>IF(M21="","",IFERROR(INDEX('Store Prices'!$C$5:$C$304,MATCH(1,INDEX(('Store Prices'!$B$5:$B$304=B21)*('Store Prices'!$I$5:$I$304=M21),0),0)),""))</f>
        <v>0</v>
      </c>
      <c r="O21" s="25">
        <f>IF(OR(M21="",J21=""),"",MAX(0,(J21-M21)*100))</f>
        <v>0</v>
      </c>
      <c r="P21" s="41">
        <v>31</v>
      </c>
      <c r="Q21" s="38">
        <v>1</v>
      </c>
      <c r="R21" s="38">
        <v>6</v>
      </c>
      <c r="S21" s="38">
        <v>0.3</v>
      </c>
      <c r="T21" s="38">
        <v>2.1</v>
      </c>
      <c r="U21" s="38">
        <v>1.5</v>
      </c>
      <c r="V21" s="41">
        <v>24</v>
      </c>
      <c r="W21" s="32" t="s">
        <v>372</v>
      </c>
      <c r="X21" s="32" t="s">
        <v>383</v>
      </c>
      <c r="Y21" s="32" t="s">
        <v>572</v>
      </c>
      <c r="Z21" s="35">
        <v>8</v>
      </c>
      <c r="AA21" s="32" t="s">
        <v>444</v>
      </c>
      <c r="AB21" s="32" t="s">
        <v>157</v>
      </c>
      <c r="AC21" s="15">
        <v>46298</v>
      </c>
      <c r="AD21" s="45">
        <f>IF(B21="","",SUMIFS(Pantry!$G$5:$G$304,Pantry!$B$5:$B$304,B21))</f>
        <v>0</v>
      </c>
      <c r="AE21" s="25">
        <f>IF(OR(AD21="",J21=""),"",AD21*J21)</f>
        <v>0</v>
      </c>
      <c r="AF21" s="18">
        <f>IF(B21="","",COUNTIFS('Recipe Ingredients'!$D$5:$D$1204,B21))</f>
        <v>0</v>
      </c>
      <c r="AG21" s="45">
        <f>IF(B21="","",SUMIFS('Recipe Ingredients'!$Y$5:$Y$1204,'Recipe Ingredients'!$D$5:$D$1204,B21))</f>
        <v>0</v>
      </c>
      <c r="AH21" s="30">
        <f>IF(B21="",0,IFERROR(K21*1,0)*IFERROR(AF21*1,0))</f>
        <v>0</v>
      </c>
      <c r="AI21" s="18">
        <f>IF(B21="","",COUNTIFS($AH$5:$AH$304,"&gt;"&amp;AH21)+COUNTIFS($AH$5:AH21,AH21))</f>
        <v>0</v>
      </c>
      <c r="AJ21" s="18">
        <f>IF(B21="",0,COUNTIFS('Food Waste'!$E$5:$E$154,B21))</f>
        <v>0</v>
      </c>
      <c r="AK21" s="18">
        <f>IF(B21="","",COUNTIFS($AJ$5:$AJ$304,"&gt;"&amp;AJ21)+COUNTIFS($AJ$5:AJ21,AJ21))</f>
        <v>0</v>
      </c>
      <c r="AL21" s="18">
        <f>IF(B21="","",IF(AG21&gt;0,COUNTIF(AG$5:AG21,"&gt;0"),""))</f>
        <v>0</v>
      </c>
      <c r="AM21" s="45">
        <f>IF(B21="","",SUMIFS('Grocery List'!$Q$5:$Q$304,'Grocery List'!$B$5:$B$304,B21))</f>
        <v>0</v>
      </c>
      <c r="AN21" s="31">
        <f>IF(B21="","",IF(I21="","Add - no price yet",IF(H21="","Add - no pack size",IF(COUNTIFS($B$5:$B$304,B21)&gt;1,"Duplicate - same name twice",IF(AF21=0,"Check - no recipe uses it","OK")))))</f>
        <v>0</v>
      </c>
      <c r="AO21" s="43" t="s">
        <v>157</v>
      </c>
    </row>
    <row r="22" spans="1:41">
      <c r="A22" s="39">
        <f>IF(B22="","",IngredientPrefix&amp;TEXT(ROW()-4,"0000"))</f>
        <v>0</v>
      </c>
      <c r="B22" s="32" t="s">
        <v>957</v>
      </c>
      <c r="C22" s="32" t="s">
        <v>413</v>
      </c>
      <c r="D22" s="32" t="s">
        <v>426</v>
      </c>
      <c r="E22" s="32" t="s">
        <v>1011</v>
      </c>
      <c r="F22" s="32" t="s">
        <v>157</v>
      </c>
      <c r="G22" s="32" t="s">
        <v>685</v>
      </c>
      <c r="H22" s="38">
        <v>2</v>
      </c>
      <c r="I22" s="36">
        <v>1.1</v>
      </c>
      <c r="J22" s="25">
        <f>IF(OR(H22="",I22=""),"",IF(H22=0,"",I22/H22))</f>
        <v>0</v>
      </c>
      <c r="K22" s="25">
        <f>IF(J22="","",J22*100)</f>
        <v>0</v>
      </c>
      <c r="L22" s="25">
        <f>IF(B22="","",IFERROR(AVERAGEIFS('Grocery Spending'!$L$5:$L$404,'Grocery Spending'!$H$5:$H$404,B22,'Grocery Spending'!$L$5:$L$404,"&gt;0"),""))</f>
        <v>0</v>
      </c>
      <c r="M22" s="25">
        <f>IF(B22="","",IF(COUNTIFS('Store Prices'!$B$5:$B$304,B22)=0,"",IF(SUMPRODUCT(MIN((('Store Prices'!$B$5:$B$304=B22)*(IFERROR('Store Prices'!$I$5:$I$304*1,0)&gt;0))*IFERROR('Store Prices'!$I$5:$I$304*1,0)+(1-(('Store Prices'!$B$5:$B$304=B22)*(IFERROR('Store Prices'!$I$5:$I$304*1,0)&gt;0)))*999999))&gt;=999999,"",SUMPRODUCT(MIN((('Store Prices'!$B$5:$B$304=B22)*(IFERROR('Store Prices'!$I$5:$I$304*1,0)&gt;0))*IFERROR('Store Prices'!$I$5:$I$304*1,0)+(1-(('Store Prices'!$B$5:$B$304=B22)*(IFERROR('Store Prices'!$I$5:$I$304*1,0)&gt;0)))*999999)))))</f>
        <v>0</v>
      </c>
      <c r="N22" s="17">
        <f>IF(M22="","",IFERROR(INDEX('Store Prices'!$C$5:$C$304,MATCH(1,INDEX(('Store Prices'!$B$5:$B$304=B22)*('Store Prices'!$I$5:$I$304=M22),0),0)),""))</f>
        <v>0</v>
      </c>
      <c r="O22" s="25">
        <f>IF(OR(M22="",J22=""),"",MAX(0,(J22-M22)*100))</f>
        <v>0</v>
      </c>
      <c r="P22" s="41">
        <v>17</v>
      </c>
      <c r="Q22" s="38">
        <v>1.2</v>
      </c>
      <c r="R22" s="38">
        <v>3.1</v>
      </c>
      <c r="S22" s="38">
        <v>0.3</v>
      </c>
      <c r="T22" s="38">
        <v>1</v>
      </c>
      <c r="U22" s="38">
        <v>0.8</v>
      </c>
      <c r="V22" s="41">
        <v>13</v>
      </c>
      <c r="W22" s="32" t="s">
        <v>372</v>
      </c>
      <c r="X22" s="32" t="s">
        <v>383</v>
      </c>
      <c r="Y22" s="32" t="s">
        <v>572</v>
      </c>
      <c r="Z22" s="35">
        <v>7</v>
      </c>
      <c r="AA22" s="32" t="s">
        <v>444</v>
      </c>
      <c r="AB22" s="32" t="s">
        <v>157</v>
      </c>
      <c r="AC22" s="15">
        <v>46292</v>
      </c>
      <c r="AD22" s="45">
        <f>IF(B22="","",SUMIFS(Pantry!$G$5:$G$304,Pantry!$B$5:$B$304,B22))</f>
        <v>0</v>
      </c>
      <c r="AE22" s="25">
        <f>IF(OR(AD22="",J22=""),"",AD22*J22)</f>
        <v>0</v>
      </c>
      <c r="AF22" s="18">
        <f>IF(B22="","",COUNTIFS('Recipe Ingredients'!$D$5:$D$1204,B22))</f>
        <v>0</v>
      </c>
      <c r="AG22" s="45">
        <f>IF(B22="","",SUMIFS('Recipe Ingredients'!$Y$5:$Y$1204,'Recipe Ingredients'!$D$5:$D$1204,B22))</f>
        <v>0</v>
      </c>
      <c r="AH22" s="30">
        <f>IF(B22="",0,IFERROR(K22*1,0)*IFERROR(AF22*1,0))</f>
        <v>0</v>
      </c>
      <c r="AI22" s="18">
        <f>IF(B22="","",COUNTIFS($AH$5:$AH$304,"&gt;"&amp;AH22)+COUNTIFS($AH$5:AH22,AH22))</f>
        <v>0</v>
      </c>
      <c r="AJ22" s="18">
        <f>IF(B22="",0,COUNTIFS('Food Waste'!$E$5:$E$154,B22))</f>
        <v>0</v>
      </c>
      <c r="AK22" s="18">
        <f>IF(B22="","",COUNTIFS($AJ$5:$AJ$304,"&gt;"&amp;AJ22)+COUNTIFS($AJ$5:AJ22,AJ22))</f>
        <v>0</v>
      </c>
      <c r="AL22" s="18">
        <f>IF(B22="","",IF(AG22&gt;0,COUNTIF(AG$5:AG22,"&gt;0"),""))</f>
        <v>0</v>
      </c>
      <c r="AM22" s="45">
        <f>IF(B22="","",SUMIFS('Grocery List'!$Q$5:$Q$304,'Grocery List'!$B$5:$B$304,B22))</f>
        <v>0</v>
      </c>
      <c r="AN22" s="31">
        <f>IF(B22="","",IF(I22="","Add - no price yet",IF(H22="","Add - no pack size",IF(COUNTIFS($B$5:$B$304,B22)&gt;1,"Duplicate - same name twice",IF(AF22=0,"Check - no recipe uses it","OK")))))</f>
        <v>0</v>
      </c>
      <c r="AO22" s="43" t="s">
        <v>157</v>
      </c>
    </row>
    <row r="23" spans="1:41">
      <c r="A23" s="39">
        <f>IF(B23="","",IngredientPrefix&amp;TEXT(ROW()-4,"0000"))</f>
        <v>0</v>
      </c>
      <c r="B23" s="32" t="s">
        <v>914</v>
      </c>
      <c r="C23" s="32" t="s">
        <v>413</v>
      </c>
      <c r="D23" s="32" t="s">
        <v>426</v>
      </c>
      <c r="E23" s="32" t="s">
        <v>214</v>
      </c>
      <c r="F23" s="32" t="s">
        <v>157</v>
      </c>
      <c r="G23" s="32" t="s">
        <v>668</v>
      </c>
      <c r="H23" s="38">
        <v>250</v>
      </c>
      <c r="I23" s="36">
        <v>1.6</v>
      </c>
      <c r="J23" s="25">
        <f>IF(OR(H23="",I23=""),"",IF(H23=0,"",I23/H23))</f>
        <v>0</v>
      </c>
      <c r="K23" s="25">
        <f>IF(J23="","",J23*100)</f>
        <v>0</v>
      </c>
      <c r="L23" s="25">
        <f>IF(B23="","",IFERROR(AVERAGEIFS('Grocery Spending'!$L$5:$L$404,'Grocery Spending'!$H$5:$H$404,B23,'Grocery Spending'!$L$5:$L$404,"&gt;0"),""))</f>
        <v>0</v>
      </c>
      <c r="M23" s="25">
        <f>IF(B23="","",IF(COUNTIFS('Store Prices'!$B$5:$B$304,B23)=0,"",IF(SUMPRODUCT(MIN((('Store Prices'!$B$5:$B$304=B23)*(IFERROR('Store Prices'!$I$5:$I$304*1,0)&gt;0))*IFERROR('Store Prices'!$I$5:$I$304*1,0)+(1-(('Store Prices'!$B$5:$B$304=B23)*(IFERROR('Store Prices'!$I$5:$I$304*1,0)&gt;0)))*999999))&gt;=999999,"",SUMPRODUCT(MIN((('Store Prices'!$B$5:$B$304=B23)*(IFERROR('Store Prices'!$I$5:$I$304*1,0)&gt;0))*IFERROR('Store Prices'!$I$5:$I$304*1,0)+(1-(('Store Prices'!$B$5:$B$304=B23)*(IFERROR('Store Prices'!$I$5:$I$304*1,0)&gt;0)))*999999)))))</f>
        <v>0</v>
      </c>
      <c r="N23" s="17">
        <f>IF(M23="","",IFERROR(INDEX('Store Prices'!$C$5:$C$304,MATCH(1,INDEX(('Store Prices'!$B$5:$B$304=B23)*('Store Prices'!$I$5:$I$304=M23),0),0)),""))</f>
        <v>0</v>
      </c>
      <c r="O23" s="25">
        <f>IF(OR(M23="",J23=""),"",MAX(0,(J23-M23)*100))</f>
        <v>0</v>
      </c>
      <c r="P23" s="41">
        <v>23</v>
      </c>
      <c r="Q23" s="38">
        <v>2.9</v>
      </c>
      <c r="R23" s="38">
        <v>3.6</v>
      </c>
      <c r="S23" s="38">
        <v>0.4</v>
      </c>
      <c r="T23" s="38">
        <v>2.2</v>
      </c>
      <c r="U23" s="38">
        <v>0.9</v>
      </c>
      <c r="V23" s="41">
        <v>18</v>
      </c>
      <c r="W23" s="32" t="s">
        <v>372</v>
      </c>
      <c r="X23" s="32" t="s">
        <v>383</v>
      </c>
      <c r="Y23" s="32" t="s">
        <v>572</v>
      </c>
      <c r="Z23" s="35">
        <v>4</v>
      </c>
      <c r="AA23" s="32" t="s">
        <v>444</v>
      </c>
      <c r="AB23" s="32" t="s">
        <v>157</v>
      </c>
      <c r="AC23" s="15">
        <v>46294</v>
      </c>
      <c r="AD23" s="45">
        <f>IF(B23="","",SUMIFS(Pantry!$G$5:$G$304,Pantry!$B$5:$B$304,B23))</f>
        <v>0</v>
      </c>
      <c r="AE23" s="25">
        <f>IF(OR(AD23="",J23=""),"",AD23*J23)</f>
        <v>0</v>
      </c>
      <c r="AF23" s="18">
        <f>IF(B23="","",COUNTIFS('Recipe Ingredients'!$D$5:$D$1204,B23))</f>
        <v>0</v>
      </c>
      <c r="AG23" s="45">
        <f>IF(B23="","",SUMIFS('Recipe Ingredients'!$Y$5:$Y$1204,'Recipe Ingredients'!$D$5:$D$1204,B23))</f>
        <v>0</v>
      </c>
      <c r="AH23" s="30">
        <f>IF(B23="",0,IFERROR(K23*1,0)*IFERROR(AF23*1,0))</f>
        <v>0</v>
      </c>
      <c r="AI23" s="18">
        <f>IF(B23="","",COUNTIFS($AH$5:$AH$304,"&gt;"&amp;AH23)+COUNTIFS($AH$5:AH23,AH23))</f>
        <v>0</v>
      </c>
      <c r="AJ23" s="18">
        <f>IF(B23="",0,COUNTIFS('Food Waste'!$E$5:$E$154,B23))</f>
        <v>0</v>
      </c>
      <c r="AK23" s="18">
        <f>IF(B23="","",COUNTIFS($AJ$5:$AJ$304,"&gt;"&amp;AJ23)+COUNTIFS($AJ$5:AJ23,AJ23))</f>
        <v>0</v>
      </c>
      <c r="AL23" s="18">
        <f>IF(B23="","",IF(AG23&gt;0,COUNTIF(AG$5:AG23,"&gt;0"),""))</f>
        <v>0</v>
      </c>
      <c r="AM23" s="45">
        <f>IF(B23="","",SUMIFS('Grocery List'!$Q$5:$Q$304,'Grocery List'!$B$5:$B$304,B23))</f>
        <v>0</v>
      </c>
      <c r="AN23" s="31">
        <f>IF(B23="","",IF(I23="","Add - no price yet",IF(H23="","Add - no pack size",IF(COUNTIFS($B$5:$B$304,B23)&gt;1,"Duplicate - same name twice",IF(AF23=0,"Check - no recipe uses it","OK")))))</f>
        <v>0</v>
      </c>
      <c r="AO23" s="43" t="s">
        <v>157</v>
      </c>
    </row>
    <row r="24" spans="1:41">
      <c r="A24" s="39">
        <f>IF(B24="","",IngredientPrefix&amp;TEXT(ROW()-4,"0000"))</f>
        <v>0</v>
      </c>
      <c r="B24" s="32" t="s">
        <v>737</v>
      </c>
      <c r="C24" s="32" t="s">
        <v>413</v>
      </c>
      <c r="D24" s="32" t="s">
        <v>426</v>
      </c>
      <c r="E24" s="32" t="s">
        <v>214</v>
      </c>
      <c r="F24" s="32" t="s">
        <v>1012</v>
      </c>
      <c r="G24" s="32" t="s">
        <v>668</v>
      </c>
      <c r="H24" s="38">
        <v>300</v>
      </c>
      <c r="I24" s="36">
        <v>1.2</v>
      </c>
      <c r="J24" s="25">
        <f>IF(OR(H24="",I24=""),"",IF(H24=0,"",I24/H24))</f>
        <v>0</v>
      </c>
      <c r="K24" s="25">
        <f>IF(J24="","",J24*100)</f>
        <v>0</v>
      </c>
      <c r="L24" s="25">
        <f>IF(B24="","",IFERROR(AVERAGEIFS('Grocery Spending'!$L$5:$L$404,'Grocery Spending'!$H$5:$H$404,B24,'Grocery Spending'!$L$5:$L$404,"&gt;0"),""))</f>
        <v>0</v>
      </c>
      <c r="M24" s="25">
        <f>IF(B24="","",IF(COUNTIFS('Store Prices'!$B$5:$B$304,B24)=0,"",IF(SUMPRODUCT(MIN((('Store Prices'!$B$5:$B$304=B24)*(IFERROR('Store Prices'!$I$5:$I$304*1,0)&gt;0))*IFERROR('Store Prices'!$I$5:$I$304*1,0)+(1-(('Store Prices'!$B$5:$B$304=B24)*(IFERROR('Store Prices'!$I$5:$I$304*1,0)&gt;0)))*999999))&gt;=999999,"",SUMPRODUCT(MIN((('Store Prices'!$B$5:$B$304=B24)*(IFERROR('Store Prices'!$I$5:$I$304*1,0)&gt;0))*IFERROR('Store Prices'!$I$5:$I$304*1,0)+(1-(('Store Prices'!$B$5:$B$304=B24)*(IFERROR('Store Prices'!$I$5:$I$304*1,0)&gt;0)))*999999)))))</f>
        <v>0</v>
      </c>
      <c r="N24" s="17">
        <f>IF(M24="","",IFERROR(INDEX('Store Prices'!$C$5:$C$304,MATCH(1,INDEX(('Store Prices'!$B$5:$B$304=B24)*('Store Prices'!$I$5:$I$304=M24),0),0)),""))</f>
        <v>0</v>
      </c>
      <c r="O24" s="25">
        <f>IF(OR(M24="",J24=""),"",MAX(0,(J24-M24)*100))</f>
        <v>0</v>
      </c>
      <c r="P24" s="41">
        <v>22</v>
      </c>
      <c r="Q24" s="38">
        <v>3.1</v>
      </c>
      <c r="R24" s="38">
        <v>3.3</v>
      </c>
      <c r="S24" s="38">
        <v>0.3</v>
      </c>
      <c r="T24" s="38">
        <v>1</v>
      </c>
      <c r="U24" s="38">
        <v>0.8</v>
      </c>
      <c r="V24" s="41">
        <v>17</v>
      </c>
      <c r="W24" s="32" t="s">
        <v>372</v>
      </c>
      <c r="X24" s="32" t="s">
        <v>383</v>
      </c>
      <c r="Y24" s="32" t="s">
        <v>572</v>
      </c>
      <c r="Z24" s="35">
        <v>5</v>
      </c>
      <c r="AA24" s="32" t="s">
        <v>444</v>
      </c>
      <c r="AB24" s="32" t="s">
        <v>157</v>
      </c>
      <c r="AC24" s="15">
        <v>46292</v>
      </c>
      <c r="AD24" s="45">
        <f>IF(B24="","",SUMIFS(Pantry!$G$5:$G$304,Pantry!$B$5:$B$304,B24))</f>
        <v>0</v>
      </c>
      <c r="AE24" s="25">
        <f>IF(OR(AD24="",J24=""),"",AD24*J24)</f>
        <v>0</v>
      </c>
      <c r="AF24" s="18">
        <f>IF(B24="","",COUNTIFS('Recipe Ingredients'!$D$5:$D$1204,B24))</f>
        <v>0</v>
      </c>
      <c r="AG24" s="45">
        <f>IF(B24="","",SUMIFS('Recipe Ingredients'!$Y$5:$Y$1204,'Recipe Ingredients'!$D$5:$D$1204,B24))</f>
        <v>0</v>
      </c>
      <c r="AH24" s="30">
        <f>IF(B24="",0,IFERROR(K24*1,0)*IFERROR(AF24*1,0))</f>
        <v>0</v>
      </c>
      <c r="AI24" s="18">
        <f>IF(B24="","",COUNTIFS($AH$5:$AH$304,"&gt;"&amp;AH24)+COUNTIFS($AH$5:AH24,AH24))</f>
        <v>0</v>
      </c>
      <c r="AJ24" s="18">
        <f>IF(B24="",0,COUNTIFS('Food Waste'!$E$5:$E$154,B24))</f>
        <v>0</v>
      </c>
      <c r="AK24" s="18">
        <f>IF(B24="","",COUNTIFS($AJ$5:$AJ$304,"&gt;"&amp;AJ24)+COUNTIFS($AJ$5:AJ24,AJ24))</f>
        <v>0</v>
      </c>
      <c r="AL24" s="18">
        <f>IF(B24="","",IF(AG24&gt;0,COUNTIF(AG$5:AG24,"&gt;0"),""))</f>
        <v>0</v>
      </c>
      <c r="AM24" s="45">
        <f>IF(B24="","",SUMIFS('Grocery List'!$Q$5:$Q$304,'Grocery List'!$B$5:$B$304,B24))</f>
        <v>0</v>
      </c>
      <c r="AN24" s="31">
        <f>IF(B24="","",IF(I24="","Add - no price yet",IF(H24="","Add - no pack size",IF(COUNTIFS($B$5:$B$304,B24)&gt;1,"Duplicate - same name twice",IF(AF24=0,"Check - no recipe uses it","OK")))))</f>
        <v>0</v>
      </c>
      <c r="AO24" s="43" t="s">
        <v>157</v>
      </c>
    </row>
    <row r="25" spans="1:41">
      <c r="A25" s="39">
        <f>IF(B25="","",IngredientPrefix&amp;TEXT(ROW()-4,"0000"))</f>
        <v>0</v>
      </c>
      <c r="B25" s="32" t="s">
        <v>956</v>
      </c>
      <c r="C25" s="32" t="s">
        <v>413</v>
      </c>
      <c r="D25" s="32" t="s">
        <v>426</v>
      </c>
      <c r="E25" s="32" t="s">
        <v>1011</v>
      </c>
      <c r="F25" s="32" t="s">
        <v>157</v>
      </c>
      <c r="G25" s="32" t="s">
        <v>668</v>
      </c>
      <c r="H25" s="38">
        <v>500</v>
      </c>
      <c r="I25" s="36">
        <v>1.45</v>
      </c>
      <c r="J25" s="25">
        <f>IF(OR(H25="",I25=""),"",IF(H25=0,"",I25/H25))</f>
        <v>0</v>
      </c>
      <c r="K25" s="25">
        <f>IF(J25="","",J25*100)</f>
        <v>0</v>
      </c>
      <c r="L25" s="25">
        <f>IF(B25="","",IFERROR(AVERAGEIFS('Grocery Spending'!$L$5:$L$404,'Grocery Spending'!$H$5:$H$404,B25,'Grocery Spending'!$L$5:$L$404,"&gt;0"),""))</f>
        <v>0</v>
      </c>
      <c r="M25" s="25">
        <f>IF(B25="","",IF(COUNTIFS('Store Prices'!$B$5:$B$304,B25)=0,"",IF(SUMPRODUCT(MIN((('Store Prices'!$B$5:$B$304=B25)*(IFERROR('Store Prices'!$I$5:$I$304*1,0)&gt;0))*IFERROR('Store Prices'!$I$5:$I$304*1,0)+(1-(('Store Prices'!$B$5:$B$304=B25)*(IFERROR('Store Prices'!$I$5:$I$304*1,0)&gt;0)))*999999))&gt;=999999,"",SUMPRODUCT(MIN((('Store Prices'!$B$5:$B$304=B25)*(IFERROR('Store Prices'!$I$5:$I$304*1,0)&gt;0))*IFERROR('Store Prices'!$I$5:$I$304*1,0)+(1-(('Store Prices'!$B$5:$B$304=B25)*(IFERROR('Store Prices'!$I$5:$I$304*1,0)&gt;0)))*999999)))))</f>
        <v>0</v>
      </c>
      <c r="N25" s="17">
        <f>IF(M25="","",IFERROR(INDEX('Store Prices'!$C$5:$C$304,MATCH(1,INDEX(('Store Prices'!$B$5:$B$304=B25)*('Store Prices'!$I$5:$I$304=M25),0),0)),""))</f>
        <v>0</v>
      </c>
      <c r="O25" s="25">
        <f>IF(OR(M25="",J25=""),"",MAX(0,(J25-M25)*100))</f>
        <v>0</v>
      </c>
      <c r="P25" s="41">
        <v>18</v>
      </c>
      <c r="Q25" s="38">
        <v>0.9</v>
      </c>
      <c r="R25" s="38">
        <v>3.9</v>
      </c>
      <c r="S25" s="38">
        <v>0.2</v>
      </c>
      <c r="T25" s="38">
        <v>1.2</v>
      </c>
      <c r="U25" s="38">
        <v>1</v>
      </c>
      <c r="V25" s="41">
        <v>14</v>
      </c>
      <c r="W25" s="32" t="s">
        <v>372</v>
      </c>
      <c r="X25" s="32" t="s">
        <v>383</v>
      </c>
      <c r="Y25" s="32" t="s">
        <v>572</v>
      </c>
      <c r="Z25" s="35">
        <v>7</v>
      </c>
      <c r="AA25" s="32" t="s">
        <v>446</v>
      </c>
      <c r="AB25" s="32" t="s">
        <v>157</v>
      </c>
      <c r="AC25" s="15">
        <v>46296</v>
      </c>
      <c r="AD25" s="45">
        <f>IF(B25="","",SUMIFS(Pantry!$G$5:$G$304,Pantry!$B$5:$B$304,B25))</f>
        <v>0</v>
      </c>
      <c r="AE25" s="25">
        <f>IF(OR(AD25="",J25=""),"",AD25*J25)</f>
        <v>0</v>
      </c>
      <c r="AF25" s="18">
        <f>IF(B25="","",COUNTIFS('Recipe Ingredients'!$D$5:$D$1204,B25))</f>
        <v>0</v>
      </c>
      <c r="AG25" s="45">
        <f>IF(B25="","",SUMIFS('Recipe Ingredients'!$Y$5:$Y$1204,'Recipe Ingredients'!$D$5:$D$1204,B25))</f>
        <v>0</v>
      </c>
      <c r="AH25" s="30">
        <f>IF(B25="",0,IFERROR(K25*1,0)*IFERROR(AF25*1,0))</f>
        <v>0</v>
      </c>
      <c r="AI25" s="18">
        <f>IF(B25="","",COUNTIFS($AH$5:$AH$304,"&gt;"&amp;AH25)+COUNTIFS($AH$5:AH25,AH25))</f>
        <v>0</v>
      </c>
      <c r="AJ25" s="18">
        <f>IF(B25="",0,COUNTIFS('Food Waste'!$E$5:$E$154,B25))</f>
        <v>0</v>
      </c>
      <c r="AK25" s="18">
        <f>IF(B25="","",COUNTIFS($AJ$5:$AJ$304,"&gt;"&amp;AJ25)+COUNTIFS($AJ$5:AJ25,AJ25))</f>
        <v>0</v>
      </c>
      <c r="AL25" s="18">
        <f>IF(B25="","",IF(AG25&gt;0,COUNTIF(AG$5:AG25,"&gt;0"),""))</f>
        <v>0</v>
      </c>
      <c r="AM25" s="45">
        <f>IF(B25="","",SUMIFS('Grocery List'!$Q$5:$Q$304,'Grocery List'!$B$5:$B$304,B25))</f>
        <v>0</v>
      </c>
      <c r="AN25" s="31">
        <f>IF(B25="","",IF(I25="","Add - no price yet",IF(H25="","Add - no pack size",IF(COUNTIFS($B$5:$B$304,B25)&gt;1,"Duplicate - same name twice",IF(AF25=0,"Check - no recipe uses it","OK")))))</f>
        <v>0</v>
      </c>
      <c r="AO25" s="43" t="s">
        <v>157</v>
      </c>
    </row>
    <row r="26" spans="1:41">
      <c r="A26" s="39">
        <f>IF(B26="","",IngredientPrefix&amp;TEXT(ROW()-4,"0000"))</f>
        <v>0</v>
      </c>
      <c r="B26" s="32" t="s">
        <v>905</v>
      </c>
      <c r="C26" s="32" t="s">
        <v>417</v>
      </c>
      <c r="D26" s="32" t="s">
        <v>432</v>
      </c>
      <c r="E26" s="32" t="s">
        <v>1010</v>
      </c>
      <c r="F26" s="32" t="s">
        <v>157</v>
      </c>
      <c r="G26" s="32" t="s">
        <v>668</v>
      </c>
      <c r="H26" s="38">
        <v>400</v>
      </c>
      <c r="I26" s="36">
        <v>0.55</v>
      </c>
      <c r="J26" s="25">
        <f>IF(OR(H26="",I26=""),"",IF(H26=0,"",I26/H26))</f>
        <v>0</v>
      </c>
      <c r="K26" s="25">
        <f>IF(J26="","",J26*100)</f>
        <v>0</v>
      </c>
      <c r="L26" s="25">
        <f>IF(B26="","",IFERROR(AVERAGEIFS('Grocery Spending'!$L$5:$L$404,'Grocery Spending'!$H$5:$H$404,B26,'Grocery Spending'!$L$5:$L$404,"&gt;0"),""))</f>
        <v>0</v>
      </c>
      <c r="M26" s="25">
        <f>IF(B26="","",IF(COUNTIFS('Store Prices'!$B$5:$B$304,B26)=0,"",IF(SUMPRODUCT(MIN((('Store Prices'!$B$5:$B$304=B26)*(IFERROR('Store Prices'!$I$5:$I$304*1,0)&gt;0))*IFERROR('Store Prices'!$I$5:$I$304*1,0)+(1-(('Store Prices'!$B$5:$B$304=B26)*(IFERROR('Store Prices'!$I$5:$I$304*1,0)&gt;0)))*999999))&gt;=999999,"",SUMPRODUCT(MIN((('Store Prices'!$B$5:$B$304=B26)*(IFERROR('Store Prices'!$I$5:$I$304*1,0)&gt;0))*IFERROR('Store Prices'!$I$5:$I$304*1,0)+(1-(('Store Prices'!$B$5:$B$304=B26)*(IFERROR('Store Prices'!$I$5:$I$304*1,0)&gt;0)))*999999)))))</f>
        <v>0</v>
      </c>
      <c r="N26" s="17">
        <f>IF(M26="","",IFERROR(INDEX('Store Prices'!$C$5:$C$304,MATCH(1,INDEX(('Store Prices'!$B$5:$B$304=B26)*('Store Prices'!$I$5:$I$304=M26),0),0)),""))</f>
        <v>0</v>
      </c>
      <c r="O26" s="25">
        <f>IF(OR(M26="",J26=""),"",MAX(0,(J26-M26)*100))</f>
        <v>0</v>
      </c>
      <c r="P26" s="41">
        <v>32</v>
      </c>
      <c r="Q26" s="38">
        <v>1.6</v>
      </c>
      <c r="R26" s="38">
        <v>7</v>
      </c>
      <c r="S26" s="38">
        <v>0.3</v>
      </c>
      <c r="T26" s="38">
        <v>1.5</v>
      </c>
      <c r="U26" s="38">
        <v>1.8</v>
      </c>
      <c r="V26" s="41">
        <v>25</v>
      </c>
      <c r="W26" s="32" t="s">
        <v>372</v>
      </c>
      <c r="X26" s="32" t="s">
        <v>383</v>
      </c>
      <c r="Y26" s="32" t="s">
        <v>572</v>
      </c>
      <c r="Z26" s="35">
        <v>540</v>
      </c>
      <c r="AA26" s="32" t="s">
        <v>443</v>
      </c>
      <c r="AB26" s="32" t="s">
        <v>157</v>
      </c>
      <c r="AC26" s="15">
        <v>46291</v>
      </c>
      <c r="AD26" s="45">
        <f>IF(B26="","",SUMIFS(Pantry!$G$5:$G$304,Pantry!$B$5:$B$304,B26))</f>
        <v>0</v>
      </c>
      <c r="AE26" s="25">
        <f>IF(OR(AD26="",J26=""),"",AD26*J26)</f>
        <v>0</v>
      </c>
      <c r="AF26" s="18">
        <f>IF(B26="","",COUNTIFS('Recipe Ingredients'!$D$5:$D$1204,B26))</f>
        <v>0</v>
      </c>
      <c r="AG26" s="45">
        <f>IF(B26="","",SUMIFS('Recipe Ingredients'!$Y$5:$Y$1204,'Recipe Ingredients'!$D$5:$D$1204,B26))</f>
        <v>0</v>
      </c>
      <c r="AH26" s="30">
        <f>IF(B26="",0,IFERROR(K26*1,0)*IFERROR(AF26*1,0))</f>
        <v>0</v>
      </c>
      <c r="AI26" s="18">
        <f>IF(B26="","",COUNTIFS($AH$5:$AH$304,"&gt;"&amp;AH26)+COUNTIFS($AH$5:AH26,AH26))</f>
        <v>0</v>
      </c>
      <c r="AJ26" s="18">
        <f>IF(B26="",0,COUNTIFS('Food Waste'!$E$5:$E$154,B26))</f>
        <v>0</v>
      </c>
      <c r="AK26" s="18">
        <f>IF(B26="","",COUNTIFS($AJ$5:$AJ$304,"&gt;"&amp;AJ26)+COUNTIFS($AJ$5:AJ26,AJ26))</f>
        <v>0</v>
      </c>
      <c r="AL26" s="18">
        <f>IF(B26="","",IF(AG26&gt;0,COUNTIF(AG$5:AG26,"&gt;0"),""))</f>
        <v>0</v>
      </c>
      <c r="AM26" s="45">
        <f>IF(B26="","",SUMIFS('Grocery List'!$Q$5:$Q$304,'Grocery List'!$B$5:$B$304,B26))</f>
        <v>0</v>
      </c>
      <c r="AN26" s="31">
        <f>IF(B26="","",IF(I26="","Add - no price yet",IF(H26="","Add - no pack size",IF(COUNTIFS($B$5:$B$304,B26)&gt;1,"Duplicate - same name twice",IF(AF26=0,"Check - no recipe uses it","OK")))))</f>
        <v>0</v>
      </c>
      <c r="AO26" s="43" t="s">
        <v>157</v>
      </c>
    </row>
    <row r="27" spans="1:41">
      <c r="A27" s="39">
        <f>IF(B27="","",IngredientPrefix&amp;TEXT(ROW()-4,"0000"))</f>
        <v>0</v>
      </c>
      <c r="B27" s="32" t="s">
        <v>919</v>
      </c>
      <c r="C27" s="32" t="s">
        <v>413</v>
      </c>
      <c r="D27" s="32" t="s">
        <v>426</v>
      </c>
      <c r="E27" s="32" t="s">
        <v>214</v>
      </c>
      <c r="F27" s="32" t="s">
        <v>157</v>
      </c>
      <c r="G27" s="32" t="s">
        <v>685</v>
      </c>
      <c r="H27" s="38">
        <v>4</v>
      </c>
      <c r="I27" s="36">
        <v>1</v>
      </c>
      <c r="J27" s="25">
        <f>IF(OR(H27="",I27=""),"",IF(H27=0,"",I27/H27))</f>
        <v>0</v>
      </c>
      <c r="K27" s="25">
        <f>IF(J27="","",J27*100)</f>
        <v>0</v>
      </c>
      <c r="L27" s="25">
        <f>IF(B27="","",IFERROR(AVERAGEIFS('Grocery Spending'!$L$5:$L$404,'Grocery Spending'!$H$5:$H$404,B27,'Grocery Spending'!$L$5:$L$404,"&gt;0"),""))</f>
        <v>0</v>
      </c>
      <c r="M27" s="25">
        <f>IF(B27="","",IF(COUNTIFS('Store Prices'!$B$5:$B$304,B27)=0,"",IF(SUMPRODUCT(MIN((('Store Prices'!$B$5:$B$304=B27)*(IFERROR('Store Prices'!$I$5:$I$304*1,0)&gt;0))*IFERROR('Store Prices'!$I$5:$I$304*1,0)+(1-(('Store Prices'!$B$5:$B$304=B27)*(IFERROR('Store Prices'!$I$5:$I$304*1,0)&gt;0)))*999999))&gt;=999999,"",SUMPRODUCT(MIN((('Store Prices'!$B$5:$B$304=B27)*(IFERROR('Store Prices'!$I$5:$I$304*1,0)&gt;0))*IFERROR('Store Prices'!$I$5:$I$304*1,0)+(1-(('Store Prices'!$B$5:$B$304=B27)*(IFERROR('Store Prices'!$I$5:$I$304*1,0)&gt;0)))*999999)))))</f>
        <v>0</v>
      </c>
      <c r="N27" s="17">
        <f>IF(M27="","",IFERROR(INDEX('Store Prices'!$C$5:$C$304,MATCH(1,INDEX(('Store Prices'!$B$5:$B$304=B27)*('Store Prices'!$I$5:$I$304=M27),0),0)),""))</f>
        <v>0</v>
      </c>
      <c r="O27" s="25">
        <f>IF(OR(M27="",J27=""),"",MAX(0,(J27-M27)*100))</f>
        <v>0</v>
      </c>
      <c r="P27" s="41">
        <v>29</v>
      </c>
      <c r="Q27" s="38">
        <v>1.1</v>
      </c>
      <c r="R27" s="38">
        <v>9.3</v>
      </c>
      <c r="S27" s="38">
        <v>0.3</v>
      </c>
      <c r="T27" s="38">
        <v>2.8</v>
      </c>
      <c r="U27" s="38">
        <v>2.3</v>
      </c>
      <c r="V27" s="41">
        <v>23</v>
      </c>
      <c r="W27" s="32" t="s">
        <v>372</v>
      </c>
      <c r="X27" s="32" t="s">
        <v>383</v>
      </c>
      <c r="Y27" s="32" t="s">
        <v>572</v>
      </c>
      <c r="Z27" s="35">
        <v>14</v>
      </c>
      <c r="AA27" s="32" t="s">
        <v>446</v>
      </c>
      <c r="AB27" s="32" t="s">
        <v>157</v>
      </c>
      <c r="AC27" s="15">
        <v>46290</v>
      </c>
      <c r="AD27" s="45">
        <f>IF(B27="","",SUMIFS(Pantry!$G$5:$G$304,Pantry!$B$5:$B$304,B27))</f>
        <v>0</v>
      </c>
      <c r="AE27" s="25">
        <f>IF(OR(AD27="",J27=""),"",AD27*J27)</f>
        <v>0</v>
      </c>
      <c r="AF27" s="18">
        <f>IF(B27="","",COUNTIFS('Recipe Ingredients'!$D$5:$D$1204,B27))</f>
        <v>0</v>
      </c>
      <c r="AG27" s="45">
        <f>IF(B27="","",SUMIFS('Recipe Ingredients'!$Y$5:$Y$1204,'Recipe Ingredients'!$D$5:$D$1204,B27))</f>
        <v>0</v>
      </c>
      <c r="AH27" s="30">
        <f>IF(B27="",0,IFERROR(K27*1,0)*IFERROR(AF27*1,0))</f>
        <v>0</v>
      </c>
      <c r="AI27" s="18">
        <f>IF(B27="","",COUNTIFS($AH$5:$AH$304,"&gt;"&amp;AH27)+COUNTIFS($AH$5:AH27,AH27))</f>
        <v>0</v>
      </c>
      <c r="AJ27" s="18">
        <f>IF(B27="",0,COUNTIFS('Food Waste'!$E$5:$E$154,B27))</f>
        <v>0</v>
      </c>
      <c r="AK27" s="18">
        <f>IF(B27="","",COUNTIFS($AJ$5:$AJ$304,"&gt;"&amp;AJ27)+COUNTIFS($AJ$5:AJ27,AJ27))</f>
        <v>0</v>
      </c>
      <c r="AL27" s="18">
        <f>IF(B27="","",IF(AG27&gt;0,COUNTIF(AG$5:AG27,"&gt;0"),""))</f>
        <v>0</v>
      </c>
      <c r="AM27" s="45">
        <f>IF(B27="","",SUMIFS('Grocery List'!$Q$5:$Q$304,'Grocery List'!$B$5:$B$304,B27))</f>
        <v>0</v>
      </c>
      <c r="AN27" s="31">
        <f>IF(B27="","",IF(I27="","Add - no price yet",IF(H27="","Add - no pack size",IF(COUNTIFS($B$5:$B$304,B27)&gt;1,"Duplicate - same name twice",IF(AF27=0,"Check - no recipe uses it","OK")))))</f>
        <v>0</v>
      </c>
      <c r="AO27" s="43" t="s">
        <v>157</v>
      </c>
    </row>
    <row r="28" spans="1:41">
      <c r="A28" s="39">
        <f>IF(B28="","",IngredientPrefix&amp;TEXT(ROW()-4,"0000"))</f>
        <v>0</v>
      </c>
      <c r="B28" s="32" t="s">
        <v>952</v>
      </c>
      <c r="C28" s="32" t="s">
        <v>413</v>
      </c>
      <c r="D28" s="32" t="s">
        <v>426</v>
      </c>
      <c r="E28" s="32" t="s">
        <v>1010</v>
      </c>
      <c r="F28" s="32" t="s">
        <v>1012</v>
      </c>
      <c r="G28" s="32" t="s">
        <v>685</v>
      </c>
      <c r="H28" s="38">
        <v>6</v>
      </c>
      <c r="I28" s="36">
        <v>1.05</v>
      </c>
      <c r="J28" s="25">
        <f>IF(OR(H28="",I28=""),"",IF(H28=0,"",I28/H28))</f>
        <v>0</v>
      </c>
      <c r="K28" s="25">
        <f>IF(J28="","",J28*100)</f>
        <v>0</v>
      </c>
      <c r="L28" s="25">
        <f>IF(B28="","",IFERROR(AVERAGEIFS('Grocery Spending'!$L$5:$L$404,'Grocery Spending'!$H$5:$H$404,B28,'Grocery Spending'!$L$5:$L$404,"&gt;0"),""))</f>
        <v>0</v>
      </c>
      <c r="M28" s="25">
        <f>IF(B28="","",IF(COUNTIFS('Store Prices'!$B$5:$B$304,B28)=0,"",IF(SUMPRODUCT(MIN((('Store Prices'!$B$5:$B$304=B28)*(IFERROR('Store Prices'!$I$5:$I$304*1,0)&gt;0))*IFERROR('Store Prices'!$I$5:$I$304*1,0)+(1-(('Store Prices'!$B$5:$B$304=B28)*(IFERROR('Store Prices'!$I$5:$I$304*1,0)&gt;0)))*999999))&gt;=999999,"",SUMPRODUCT(MIN((('Store Prices'!$B$5:$B$304=B28)*(IFERROR('Store Prices'!$I$5:$I$304*1,0)&gt;0))*IFERROR('Store Prices'!$I$5:$I$304*1,0)+(1-(('Store Prices'!$B$5:$B$304=B28)*(IFERROR('Store Prices'!$I$5:$I$304*1,0)&gt;0)))*999999)))))</f>
        <v>0</v>
      </c>
      <c r="N28" s="17">
        <f>IF(M28="","",IFERROR(INDEX('Store Prices'!$C$5:$C$304,MATCH(1,INDEX(('Store Prices'!$B$5:$B$304=B28)*('Store Prices'!$I$5:$I$304=M28),0),0)),""))</f>
        <v>0</v>
      </c>
      <c r="O28" s="25">
        <f>IF(OR(M28="",J28=""),"",MAX(0,(J28-M28)*100))</f>
        <v>0</v>
      </c>
      <c r="P28" s="41">
        <v>89</v>
      </c>
      <c r="Q28" s="38">
        <v>1.1</v>
      </c>
      <c r="R28" s="38">
        <v>23</v>
      </c>
      <c r="S28" s="38">
        <v>0.3</v>
      </c>
      <c r="T28" s="38">
        <v>2.6</v>
      </c>
      <c r="U28" s="38">
        <v>5.8</v>
      </c>
      <c r="V28" s="41">
        <v>71</v>
      </c>
      <c r="W28" s="32" t="s">
        <v>372</v>
      </c>
      <c r="X28" s="32" t="s">
        <v>383</v>
      </c>
      <c r="Y28" s="32" t="s">
        <v>572</v>
      </c>
      <c r="Z28" s="35">
        <v>6</v>
      </c>
      <c r="AA28" s="32" t="s">
        <v>446</v>
      </c>
      <c r="AB28" s="32" t="s">
        <v>157</v>
      </c>
      <c r="AC28" s="15">
        <v>46293</v>
      </c>
      <c r="AD28" s="45">
        <f>IF(B28="","",SUMIFS(Pantry!$G$5:$G$304,Pantry!$B$5:$B$304,B28))</f>
        <v>0</v>
      </c>
      <c r="AE28" s="25">
        <f>IF(OR(AD28="",J28=""),"",AD28*J28)</f>
        <v>0</v>
      </c>
      <c r="AF28" s="18">
        <f>IF(B28="","",COUNTIFS('Recipe Ingredients'!$D$5:$D$1204,B28))</f>
        <v>0</v>
      </c>
      <c r="AG28" s="45">
        <f>IF(B28="","",SUMIFS('Recipe Ingredients'!$Y$5:$Y$1204,'Recipe Ingredients'!$D$5:$D$1204,B28))</f>
        <v>0</v>
      </c>
      <c r="AH28" s="30">
        <f>IF(B28="",0,IFERROR(K28*1,0)*IFERROR(AF28*1,0))</f>
        <v>0</v>
      </c>
      <c r="AI28" s="18">
        <f>IF(B28="","",COUNTIFS($AH$5:$AH$304,"&gt;"&amp;AH28)+COUNTIFS($AH$5:AH28,AH28))</f>
        <v>0</v>
      </c>
      <c r="AJ28" s="18">
        <f>IF(B28="",0,COUNTIFS('Food Waste'!$E$5:$E$154,B28))</f>
        <v>0</v>
      </c>
      <c r="AK28" s="18">
        <f>IF(B28="","",COUNTIFS($AJ$5:$AJ$304,"&gt;"&amp;AJ28)+COUNTIFS($AJ$5:AJ28,AJ28))</f>
        <v>0</v>
      </c>
      <c r="AL28" s="18">
        <f>IF(B28="","",IF(AG28&gt;0,COUNTIF(AG$5:AG28,"&gt;0"),""))</f>
        <v>0</v>
      </c>
      <c r="AM28" s="45">
        <f>IF(B28="","",SUMIFS('Grocery List'!$Q$5:$Q$304,'Grocery List'!$B$5:$B$304,B28))</f>
        <v>0</v>
      </c>
      <c r="AN28" s="31">
        <f>IF(B28="","",IF(I28="","Add - no price yet",IF(H28="","Add - no pack size",IF(COUNTIFS($B$5:$B$304,B28)&gt;1,"Duplicate - same name twice",IF(AF28=0,"Check - no recipe uses it","OK")))))</f>
        <v>0</v>
      </c>
      <c r="AO28" s="43" t="s">
        <v>157</v>
      </c>
    </row>
    <row r="29" spans="1:41">
      <c r="A29" s="39">
        <f>IF(B29="","",IngredientPrefix&amp;TEXT(ROW()-4,"0000"))</f>
        <v>0</v>
      </c>
      <c r="B29" s="32" t="s">
        <v>967</v>
      </c>
      <c r="C29" s="32" t="s">
        <v>413</v>
      </c>
      <c r="D29" s="32" t="s">
        <v>426</v>
      </c>
      <c r="E29" s="32" t="s">
        <v>1011</v>
      </c>
      <c r="F29" s="32" t="s">
        <v>157</v>
      </c>
      <c r="G29" s="32" t="s">
        <v>685</v>
      </c>
      <c r="H29" s="38">
        <v>6</v>
      </c>
      <c r="I29" s="36">
        <v>1.8</v>
      </c>
      <c r="J29" s="25">
        <f>IF(OR(H29="",I29=""),"",IF(H29=0,"",I29/H29))</f>
        <v>0</v>
      </c>
      <c r="K29" s="25">
        <f>IF(J29="","",J29*100)</f>
        <v>0</v>
      </c>
      <c r="L29" s="25">
        <f>IF(B29="","",IFERROR(AVERAGEIFS('Grocery Spending'!$L$5:$L$404,'Grocery Spending'!$H$5:$H$404,B29,'Grocery Spending'!$L$5:$L$404,"&gt;0"),""))</f>
        <v>0</v>
      </c>
      <c r="M29" s="25">
        <f>IF(B29="","",IF(COUNTIFS('Store Prices'!$B$5:$B$304,B29)=0,"",IF(SUMPRODUCT(MIN((('Store Prices'!$B$5:$B$304=B29)*(IFERROR('Store Prices'!$I$5:$I$304*1,0)&gt;0))*IFERROR('Store Prices'!$I$5:$I$304*1,0)+(1-(('Store Prices'!$B$5:$B$304=B29)*(IFERROR('Store Prices'!$I$5:$I$304*1,0)&gt;0)))*999999))&gt;=999999,"",SUMPRODUCT(MIN((('Store Prices'!$B$5:$B$304=B29)*(IFERROR('Store Prices'!$I$5:$I$304*1,0)&gt;0))*IFERROR('Store Prices'!$I$5:$I$304*1,0)+(1-(('Store Prices'!$B$5:$B$304=B29)*(IFERROR('Store Prices'!$I$5:$I$304*1,0)&gt;0)))*999999)))))</f>
        <v>0</v>
      </c>
      <c r="N29" s="17">
        <f>IF(M29="","",IFERROR(INDEX('Store Prices'!$C$5:$C$304,MATCH(1,INDEX(('Store Prices'!$B$5:$B$304=B29)*('Store Prices'!$I$5:$I$304=M29),0),0)),""))</f>
        <v>0</v>
      </c>
      <c r="O29" s="25">
        <f>IF(OR(M29="",J29=""),"",MAX(0,(J29-M29)*100))</f>
        <v>0</v>
      </c>
      <c r="P29" s="41">
        <v>52</v>
      </c>
      <c r="Q29" s="38">
        <v>0.3</v>
      </c>
      <c r="R29" s="38">
        <v>14</v>
      </c>
      <c r="S29" s="38">
        <v>0.2</v>
      </c>
      <c r="T29" s="38">
        <v>2.4</v>
      </c>
      <c r="U29" s="38">
        <v>3.5</v>
      </c>
      <c r="V29" s="41">
        <v>41</v>
      </c>
      <c r="W29" s="32" t="s">
        <v>372</v>
      </c>
      <c r="X29" s="32" t="s">
        <v>383</v>
      </c>
      <c r="Y29" s="32" t="s">
        <v>572</v>
      </c>
      <c r="Z29" s="35">
        <v>14</v>
      </c>
      <c r="AA29" s="32" t="s">
        <v>446</v>
      </c>
      <c r="AB29" s="32" t="s">
        <v>157</v>
      </c>
      <c r="AC29" s="15">
        <v>46297</v>
      </c>
      <c r="AD29" s="45">
        <f>IF(B29="","",SUMIFS(Pantry!$G$5:$G$304,Pantry!$B$5:$B$304,B29))</f>
        <v>0</v>
      </c>
      <c r="AE29" s="25">
        <f>IF(OR(AD29="",J29=""),"",AD29*J29)</f>
        <v>0</v>
      </c>
      <c r="AF29" s="18">
        <f>IF(B29="","",COUNTIFS('Recipe Ingredients'!$D$5:$D$1204,B29))</f>
        <v>0</v>
      </c>
      <c r="AG29" s="45">
        <f>IF(B29="","",SUMIFS('Recipe Ingredients'!$Y$5:$Y$1204,'Recipe Ingredients'!$D$5:$D$1204,B29))</f>
        <v>0</v>
      </c>
      <c r="AH29" s="30">
        <f>IF(B29="",0,IFERROR(K29*1,0)*IFERROR(AF29*1,0))</f>
        <v>0</v>
      </c>
      <c r="AI29" s="18">
        <f>IF(B29="","",COUNTIFS($AH$5:$AH$304,"&gt;"&amp;AH29)+COUNTIFS($AH$5:AH29,AH29))</f>
        <v>0</v>
      </c>
      <c r="AJ29" s="18">
        <f>IF(B29="",0,COUNTIFS('Food Waste'!$E$5:$E$154,B29))</f>
        <v>0</v>
      </c>
      <c r="AK29" s="18">
        <f>IF(B29="","",COUNTIFS($AJ$5:$AJ$304,"&gt;"&amp;AJ29)+COUNTIFS($AJ$5:AJ29,AJ29))</f>
        <v>0</v>
      </c>
      <c r="AL29" s="18">
        <f>IF(B29="","",IF(AG29&gt;0,COUNTIF(AG$5:AG29,"&gt;0"),""))</f>
        <v>0</v>
      </c>
      <c r="AM29" s="45">
        <f>IF(B29="","",SUMIFS('Grocery List'!$Q$5:$Q$304,'Grocery List'!$B$5:$B$304,B29))</f>
        <v>0</v>
      </c>
      <c r="AN29" s="31">
        <f>IF(B29="","",IF(I29="","Add - no price yet",IF(H29="","Add - no pack size",IF(COUNTIFS($B$5:$B$304,B29)&gt;1,"Duplicate - same name twice",IF(AF29=0,"Check - no recipe uses it","OK")))))</f>
        <v>0</v>
      </c>
      <c r="AO29" s="43" t="s">
        <v>157</v>
      </c>
    </row>
    <row r="30" spans="1:41">
      <c r="A30" s="39">
        <f>IF(B30="","",IngredientPrefix&amp;TEXT(ROW()-4,"0000"))</f>
        <v>0</v>
      </c>
      <c r="B30" s="32" t="s">
        <v>935</v>
      </c>
      <c r="C30" s="32" t="s">
        <v>418</v>
      </c>
      <c r="D30" s="32" t="s">
        <v>431</v>
      </c>
      <c r="E30" s="32" t="s">
        <v>1010</v>
      </c>
      <c r="F30" s="32" t="s">
        <v>1012</v>
      </c>
      <c r="G30" s="32" t="s">
        <v>668</v>
      </c>
      <c r="H30" s="38">
        <v>900</v>
      </c>
      <c r="I30" s="36">
        <v>1.4</v>
      </c>
      <c r="J30" s="25">
        <f>IF(OR(H30="",I30=""),"",IF(H30=0,"",I30/H30))</f>
        <v>0</v>
      </c>
      <c r="K30" s="25">
        <f>IF(J30="","",J30*100)</f>
        <v>0</v>
      </c>
      <c r="L30" s="25">
        <f>IF(B30="","",IFERROR(AVERAGEIFS('Grocery Spending'!$L$5:$L$404,'Grocery Spending'!$H$5:$H$404,B30,'Grocery Spending'!$L$5:$L$404,"&gt;0"),""))</f>
        <v>0</v>
      </c>
      <c r="M30" s="25">
        <f>IF(B30="","",IF(COUNTIFS('Store Prices'!$B$5:$B$304,B30)=0,"",IF(SUMPRODUCT(MIN((('Store Prices'!$B$5:$B$304=B30)*(IFERROR('Store Prices'!$I$5:$I$304*1,0)&gt;0))*IFERROR('Store Prices'!$I$5:$I$304*1,0)+(1-(('Store Prices'!$B$5:$B$304=B30)*(IFERROR('Store Prices'!$I$5:$I$304*1,0)&gt;0)))*999999))&gt;=999999,"",SUMPRODUCT(MIN((('Store Prices'!$B$5:$B$304=B30)*(IFERROR('Store Prices'!$I$5:$I$304*1,0)&gt;0))*IFERROR('Store Prices'!$I$5:$I$304*1,0)+(1-(('Store Prices'!$B$5:$B$304=B30)*(IFERROR('Store Prices'!$I$5:$I$304*1,0)&gt;0)))*999999)))))</f>
        <v>0</v>
      </c>
      <c r="N30" s="17">
        <f>IF(M30="","",IFERROR(INDEX('Store Prices'!$C$5:$C$304,MATCH(1,INDEX(('Store Prices'!$B$5:$B$304=B30)*('Store Prices'!$I$5:$I$304=M30),0),0)),""))</f>
        <v>0</v>
      </c>
      <c r="O30" s="25">
        <f>IF(OR(M30="",J30=""),"",MAX(0,(J30-M30)*100))</f>
        <v>0</v>
      </c>
      <c r="P30" s="41">
        <v>81</v>
      </c>
      <c r="Q30" s="38">
        <v>5.4</v>
      </c>
      <c r="R30" s="38">
        <v>14</v>
      </c>
      <c r="S30" s="38">
        <v>0.4</v>
      </c>
      <c r="T30" s="38">
        <v>5.1</v>
      </c>
      <c r="U30" s="38">
        <v>3.5</v>
      </c>
      <c r="V30" s="41">
        <v>64</v>
      </c>
      <c r="W30" s="32" t="s">
        <v>372</v>
      </c>
      <c r="X30" s="32" t="s">
        <v>383</v>
      </c>
      <c r="Y30" s="32" t="s">
        <v>572</v>
      </c>
      <c r="Z30" s="35">
        <v>365</v>
      </c>
      <c r="AA30" s="32" t="s">
        <v>445</v>
      </c>
      <c r="AB30" s="32" t="s">
        <v>157</v>
      </c>
      <c r="AC30" s="15">
        <v>46295</v>
      </c>
      <c r="AD30" s="45">
        <f>IF(B30="","",SUMIFS(Pantry!$G$5:$G$304,Pantry!$B$5:$B$304,B30))</f>
        <v>0</v>
      </c>
      <c r="AE30" s="25">
        <f>IF(OR(AD30="",J30=""),"",AD30*J30)</f>
        <v>0</v>
      </c>
      <c r="AF30" s="18">
        <f>IF(B30="","",COUNTIFS('Recipe Ingredients'!$D$5:$D$1204,B30))</f>
        <v>0</v>
      </c>
      <c r="AG30" s="45">
        <f>IF(B30="","",SUMIFS('Recipe Ingredients'!$Y$5:$Y$1204,'Recipe Ingredients'!$D$5:$D$1204,B30))</f>
        <v>0</v>
      </c>
      <c r="AH30" s="30">
        <f>IF(B30="",0,IFERROR(K30*1,0)*IFERROR(AF30*1,0))</f>
        <v>0</v>
      </c>
      <c r="AI30" s="18">
        <f>IF(B30="","",COUNTIFS($AH$5:$AH$304,"&gt;"&amp;AH30)+COUNTIFS($AH$5:AH30,AH30))</f>
        <v>0</v>
      </c>
      <c r="AJ30" s="18">
        <f>IF(B30="",0,COUNTIFS('Food Waste'!$E$5:$E$154,B30))</f>
        <v>0</v>
      </c>
      <c r="AK30" s="18">
        <f>IF(B30="","",COUNTIFS($AJ$5:$AJ$304,"&gt;"&amp;AJ30)+COUNTIFS($AJ$5:AJ30,AJ30))</f>
        <v>0</v>
      </c>
      <c r="AL30" s="18">
        <f>IF(B30="","",IF(AG30&gt;0,COUNTIF(AG$5:AG30,"&gt;0"),""))</f>
        <v>0</v>
      </c>
      <c r="AM30" s="45">
        <f>IF(B30="","",SUMIFS('Grocery List'!$Q$5:$Q$304,'Grocery List'!$B$5:$B$304,B30))</f>
        <v>0</v>
      </c>
      <c r="AN30" s="31">
        <f>IF(B30="","",IF(I30="","Add - no price yet",IF(H30="","Add - no pack size",IF(COUNTIFS($B$5:$B$304,B30)&gt;1,"Duplicate - same name twice",IF(AF30=0,"Check - no recipe uses it","OK")))))</f>
        <v>0</v>
      </c>
      <c r="AO30" s="43" t="s">
        <v>157</v>
      </c>
    </row>
    <row r="31" spans="1:41">
      <c r="A31" s="39">
        <f>IF(B31="","",IngredientPrefix&amp;TEXT(ROW()-4,"0000"))</f>
        <v>0</v>
      </c>
      <c r="B31" s="32" t="s">
        <v>945</v>
      </c>
      <c r="C31" s="32" t="s">
        <v>418</v>
      </c>
      <c r="D31" s="32" t="s">
        <v>431</v>
      </c>
      <c r="E31" s="32" t="s">
        <v>214</v>
      </c>
      <c r="F31" s="32" t="s">
        <v>157</v>
      </c>
      <c r="G31" s="32" t="s">
        <v>668</v>
      </c>
      <c r="H31" s="38">
        <v>500</v>
      </c>
      <c r="I31" s="36">
        <v>2.75</v>
      </c>
      <c r="J31" s="25">
        <f>IF(OR(H31="",I31=""),"",IF(H31=0,"",I31/H31))</f>
        <v>0</v>
      </c>
      <c r="K31" s="25">
        <f>IF(J31="","",J31*100)</f>
        <v>0</v>
      </c>
      <c r="L31" s="25">
        <f>IF(B31="","",IFERROR(AVERAGEIFS('Grocery Spending'!$L$5:$L$404,'Grocery Spending'!$H$5:$H$404,B31,'Grocery Spending'!$L$5:$L$404,"&gt;0"),""))</f>
        <v>0</v>
      </c>
      <c r="M31" s="25">
        <f>IF(B31="","",IF(COUNTIFS('Store Prices'!$B$5:$B$304,B31)=0,"",IF(SUMPRODUCT(MIN((('Store Prices'!$B$5:$B$304=B31)*(IFERROR('Store Prices'!$I$5:$I$304*1,0)&gt;0))*IFERROR('Store Prices'!$I$5:$I$304*1,0)+(1-(('Store Prices'!$B$5:$B$304=B31)*(IFERROR('Store Prices'!$I$5:$I$304*1,0)&gt;0)))*999999))&gt;=999999,"",SUMPRODUCT(MIN((('Store Prices'!$B$5:$B$304=B31)*(IFERROR('Store Prices'!$I$5:$I$304*1,0)&gt;0))*IFERROR('Store Prices'!$I$5:$I$304*1,0)+(1-(('Store Prices'!$B$5:$B$304=B31)*(IFERROR('Store Prices'!$I$5:$I$304*1,0)&gt;0)))*999999)))))</f>
        <v>0</v>
      </c>
      <c r="N31" s="17">
        <f>IF(M31="","",IFERROR(INDEX('Store Prices'!$C$5:$C$304,MATCH(1,INDEX(('Store Prices'!$B$5:$B$304=B31)*('Store Prices'!$I$5:$I$304=M31),0),0)),""))</f>
        <v>0</v>
      </c>
      <c r="O31" s="25">
        <f>IF(OR(M31="",J31=""),"",MAX(0,(J31-M31)*100))</f>
        <v>0</v>
      </c>
      <c r="P31" s="41">
        <v>58</v>
      </c>
      <c r="Q31" s="38">
        <v>0.8</v>
      </c>
      <c r="R31" s="38">
        <v>12</v>
      </c>
      <c r="S31" s="38">
        <v>0.4</v>
      </c>
      <c r="T31" s="38">
        <v>3.5</v>
      </c>
      <c r="U31" s="38">
        <v>3</v>
      </c>
      <c r="V31" s="41">
        <v>46</v>
      </c>
      <c r="W31" s="32" t="s">
        <v>372</v>
      </c>
      <c r="X31" s="32" t="s">
        <v>383</v>
      </c>
      <c r="Y31" s="32" t="s">
        <v>572</v>
      </c>
      <c r="Z31" s="35">
        <v>365</v>
      </c>
      <c r="AA31" s="32" t="s">
        <v>445</v>
      </c>
      <c r="AB31" s="32" t="s">
        <v>157</v>
      </c>
      <c r="AC31" s="15">
        <v>46295</v>
      </c>
      <c r="AD31" s="45">
        <f>IF(B31="","",SUMIFS(Pantry!$G$5:$G$304,Pantry!$B$5:$B$304,B31))</f>
        <v>0</v>
      </c>
      <c r="AE31" s="25">
        <f>IF(OR(AD31="",J31=""),"",AD31*J31)</f>
        <v>0</v>
      </c>
      <c r="AF31" s="18">
        <f>IF(B31="","",COUNTIFS('Recipe Ingredients'!$D$5:$D$1204,B31))</f>
        <v>0</v>
      </c>
      <c r="AG31" s="45">
        <f>IF(B31="","",SUMIFS('Recipe Ingredients'!$Y$5:$Y$1204,'Recipe Ingredients'!$D$5:$D$1204,B31))</f>
        <v>0</v>
      </c>
      <c r="AH31" s="30">
        <f>IF(B31="",0,IFERROR(K31*1,0)*IFERROR(AF31*1,0))</f>
        <v>0</v>
      </c>
      <c r="AI31" s="18">
        <f>IF(B31="","",COUNTIFS($AH$5:$AH$304,"&gt;"&amp;AH31)+COUNTIFS($AH$5:AH31,AH31))</f>
        <v>0</v>
      </c>
      <c r="AJ31" s="18">
        <f>IF(B31="",0,COUNTIFS('Food Waste'!$E$5:$E$154,B31))</f>
        <v>0</v>
      </c>
      <c r="AK31" s="18">
        <f>IF(B31="","",COUNTIFS($AJ$5:$AJ$304,"&gt;"&amp;AJ31)+COUNTIFS($AJ$5:AJ31,AJ31))</f>
        <v>0</v>
      </c>
      <c r="AL31" s="18">
        <f>IF(B31="","",IF(AG31&gt;0,COUNTIF(AG$5:AG31,"&gt;0"),""))</f>
        <v>0</v>
      </c>
      <c r="AM31" s="45">
        <f>IF(B31="","",SUMIFS('Grocery List'!$Q$5:$Q$304,'Grocery List'!$B$5:$B$304,B31))</f>
        <v>0</v>
      </c>
      <c r="AN31" s="31">
        <f>IF(B31="","",IF(I31="","Add - no price yet",IF(H31="","Add - no pack size",IF(COUNTIFS($B$5:$B$304,B31)&gt;1,"Duplicate - same name twice",IF(AF31=0,"Check - no recipe uses it","OK")))))</f>
        <v>0</v>
      </c>
      <c r="AO31" s="43" t="s">
        <v>157</v>
      </c>
    </row>
    <row r="32" spans="1:41">
      <c r="A32" s="39">
        <f>IF(B32="","",IngredientPrefix&amp;TEXT(ROW()-4,"0000"))</f>
        <v>0</v>
      </c>
      <c r="B32" s="32" t="s">
        <v>906</v>
      </c>
      <c r="C32" s="32" t="s">
        <v>417</v>
      </c>
      <c r="D32" s="32" t="s">
        <v>433</v>
      </c>
      <c r="E32" s="32" t="s">
        <v>1010</v>
      </c>
      <c r="F32" s="32" t="s">
        <v>1012</v>
      </c>
      <c r="G32" s="32" t="s">
        <v>668</v>
      </c>
      <c r="H32" s="38">
        <v>1000</v>
      </c>
      <c r="I32" s="36">
        <v>1.15</v>
      </c>
      <c r="J32" s="25">
        <f>IF(OR(H32="",I32=""),"",IF(H32=0,"",I32/H32))</f>
        <v>0</v>
      </c>
      <c r="K32" s="25">
        <f>IF(J32="","",J32*100)</f>
        <v>0</v>
      </c>
      <c r="L32" s="25">
        <f>IF(B32="","",IFERROR(AVERAGEIFS('Grocery Spending'!$L$5:$L$404,'Grocery Spending'!$H$5:$H$404,B32,'Grocery Spending'!$L$5:$L$404,"&gt;0"),""))</f>
        <v>0</v>
      </c>
      <c r="M32" s="25">
        <f>IF(B32="","",IF(COUNTIFS('Store Prices'!$B$5:$B$304,B32)=0,"",IF(SUMPRODUCT(MIN((('Store Prices'!$B$5:$B$304=B32)*(IFERROR('Store Prices'!$I$5:$I$304*1,0)&gt;0))*IFERROR('Store Prices'!$I$5:$I$304*1,0)+(1-(('Store Prices'!$B$5:$B$304=B32)*(IFERROR('Store Prices'!$I$5:$I$304*1,0)&gt;0)))*999999))&gt;=999999,"",SUMPRODUCT(MIN((('Store Prices'!$B$5:$B$304=B32)*(IFERROR('Store Prices'!$I$5:$I$304*1,0)&gt;0))*IFERROR('Store Prices'!$I$5:$I$304*1,0)+(1-(('Store Prices'!$B$5:$B$304=B32)*(IFERROR('Store Prices'!$I$5:$I$304*1,0)&gt;0)))*999999)))))</f>
        <v>0</v>
      </c>
      <c r="N32" s="17">
        <f>IF(M32="","",IFERROR(INDEX('Store Prices'!$C$5:$C$304,MATCH(1,INDEX(('Store Prices'!$B$5:$B$304=B32)*('Store Prices'!$I$5:$I$304=M32),0),0)),""))</f>
        <v>0</v>
      </c>
      <c r="O32" s="25">
        <f>IF(OR(M32="",J32=""),"",MAX(0,(J32-M32)*100))</f>
        <v>0</v>
      </c>
      <c r="P32" s="41">
        <v>371</v>
      </c>
      <c r="Q32" s="38">
        <v>13</v>
      </c>
      <c r="R32" s="38">
        <v>75</v>
      </c>
      <c r="S32" s="38">
        <v>1.5</v>
      </c>
      <c r="T32" s="38">
        <v>3.2</v>
      </c>
      <c r="U32" s="38">
        <v>18.8</v>
      </c>
      <c r="V32" s="41">
        <v>296</v>
      </c>
      <c r="W32" s="32" t="s">
        <v>399</v>
      </c>
      <c r="X32" s="32" t="s">
        <v>383</v>
      </c>
      <c r="Y32" s="32" t="s">
        <v>572</v>
      </c>
      <c r="Z32" s="35">
        <v>540</v>
      </c>
      <c r="AA32" s="32" t="s">
        <v>443</v>
      </c>
      <c r="AB32" s="32" t="s">
        <v>157</v>
      </c>
      <c r="AC32" s="15">
        <v>46296</v>
      </c>
      <c r="AD32" s="45">
        <f>IF(B32="","",SUMIFS(Pantry!$G$5:$G$304,Pantry!$B$5:$B$304,B32))</f>
        <v>0</v>
      </c>
      <c r="AE32" s="25">
        <f>IF(OR(AD32="",J32=""),"",AD32*J32)</f>
        <v>0</v>
      </c>
      <c r="AF32" s="18">
        <f>IF(B32="","",COUNTIFS('Recipe Ingredients'!$D$5:$D$1204,B32))</f>
        <v>0</v>
      </c>
      <c r="AG32" s="45">
        <f>IF(B32="","",SUMIFS('Recipe Ingredients'!$Y$5:$Y$1204,'Recipe Ingredients'!$D$5:$D$1204,B32))</f>
        <v>0</v>
      </c>
      <c r="AH32" s="30">
        <f>IF(B32="",0,IFERROR(K32*1,0)*IFERROR(AF32*1,0))</f>
        <v>0</v>
      </c>
      <c r="AI32" s="18">
        <f>IF(B32="","",COUNTIFS($AH$5:$AH$304,"&gt;"&amp;AH32)+COUNTIFS($AH$5:AH32,AH32))</f>
        <v>0</v>
      </c>
      <c r="AJ32" s="18">
        <f>IF(B32="",0,COUNTIFS('Food Waste'!$E$5:$E$154,B32))</f>
        <v>0</v>
      </c>
      <c r="AK32" s="18">
        <f>IF(B32="","",COUNTIFS($AJ$5:$AJ$304,"&gt;"&amp;AJ32)+COUNTIFS($AJ$5:AJ32,AJ32))</f>
        <v>0</v>
      </c>
      <c r="AL32" s="18">
        <f>IF(B32="","",IF(AG32&gt;0,COUNTIF(AG$5:AG32,"&gt;0"),""))</f>
        <v>0</v>
      </c>
      <c r="AM32" s="45">
        <f>IF(B32="","",SUMIFS('Grocery List'!$Q$5:$Q$304,'Grocery List'!$B$5:$B$304,B32))</f>
        <v>0</v>
      </c>
      <c r="AN32" s="31">
        <f>IF(B32="","",IF(I32="","Add - no price yet",IF(H32="","Add - no pack size",IF(COUNTIFS($B$5:$B$304,B32)&gt;1,"Duplicate - same name twice",IF(AF32=0,"Check - no recipe uses it","OK")))))</f>
        <v>0</v>
      </c>
      <c r="AO32" s="43" t="s">
        <v>157</v>
      </c>
    </row>
    <row r="33" spans="1:41">
      <c r="A33" s="39">
        <f>IF(B33="","",IngredientPrefix&amp;TEXT(ROW()-4,"0000"))</f>
        <v>0</v>
      </c>
      <c r="B33" s="32" t="s">
        <v>923</v>
      </c>
      <c r="C33" s="32" t="s">
        <v>417</v>
      </c>
      <c r="D33" s="32" t="s">
        <v>433</v>
      </c>
      <c r="E33" s="32" t="s">
        <v>1010</v>
      </c>
      <c r="F33" s="32" t="s">
        <v>157</v>
      </c>
      <c r="G33" s="32" t="s">
        <v>668</v>
      </c>
      <c r="H33" s="38">
        <v>2000</v>
      </c>
      <c r="I33" s="36">
        <v>2.6</v>
      </c>
      <c r="J33" s="25">
        <f>IF(OR(H33="",I33=""),"",IF(H33=0,"",I33/H33))</f>
        <v>0</v>
      </c>
      <c r="K33" s="25">
        <f>IF(J33="","",J33*100)</f>
        <v>0</v>
      </c>
      <c r="L33" s="25">
        <f>IF(B33="","",IFERROR(AVERAGEIFS('Grocery Spending'!$L$5:$L$404,'Grocery Spending'!$H$5:$H$404,B33,'Grocery Spending'!$L$5:$L$404,"&gt;0"),""))</f>
        <v>0</v>
      </c>
      <c r="M33" s="25">
        <f>IF(B33="","",IF(COUNTIFS('Store Prices'!$B$5:$B$304,B33)=0,"",IF(SUMPRODUCT(MIN((('Store Prices'!$B$5:$B$304=B33)*(IFERROR('Store Prices'!$I$5:$I$304*1,0)&gt;0))*IFERROR('Store Prices'!$I$5:$I$304*1,0)+(1-(('Store Prices'!$B$5:$B$304=B33)*(IFERROR('Store Prices'!$I$5:$I$304*1,0)&gt;0)))*999999))&gt;=999999,"",SUMPRODUCT(MIN((('Store Prices'!$B$5:$B$304=B33)*(IFERROR('Store Prices'!$I$5:$I$304*1,0)&gt;0))*IFERROR('Store Prices'!$I$5:$I$304*1,0)+(1-(('Store Prices'!$B$5:$B$304=B33)*(IFERROR('Store Prices'!$I$5:$I$304*1,0)&gt;0)))*999999)))))</f>
        <v>0</v>
      </c>
      <c r="N33" s="17">
        <f>IF(M33="","",IFERROR(INDEX('Store Prices'!$C$5:$C$304,MATCH(1,INDEX(('Store Prices'!$B$5:$B$304=B33)*('Store Prices'!$I$5:$I$304=M33),0),0)),""))</f>
        <v>0</v>
      </c>
      <c r="O33" s="25">
        <f>IF(OR(M33="",J33=""),"",MAX(0,(J33-M33)*100))</f>
        <v>0</v>
      </c>
      <c r="P33" s="41">
        <v>356</v>
      </c>
      <c r="Q33" s="38">
        <v>7.5</v>
      </c>
      <c r="R33" s="38">
        <v>78</v>
      </c>
      <c r="S33" s="38">
        <v>0.9</v>
      </c>
      <c r="T33" s="38">
        <v>1.4</v>
      </c>
      <c r="U33" s="38">
        <v>19.5</v>
      </c>
      <c r="V33" s="41">
        <v>284</v>
      </c>
      <c r="W33" s="32" t="s">
        <v>372</v>
      </c>
      <c r="X33" s="32" t="s">
        <v>383</v>
      </c>
      <c r="Y33" s="32" t="s">
        <v>572</v>
      </c>
      <c r="Z33" s="35">
        <v>720</v>
      </c>
      <c r="AA33" s="32" t="s">
        <v>443</v>
      </c>
      <c r="AB33" s="32" t="s">
        <v>157</v>
      </c>
      <c r="AC33" s="15">
        <v>46294</v>
      </c>
      <c r="AD33" s="45">
        <f>IF(B33="","",SUMIFS(Pantry!$G$5:$G$304,Pantry!$B$5:$B$304,B33))</f>
        <v>0</v>
      </c>
      <c r="AE33" s="25">
        <f>IF(OR(AD33="",J33=""),"",AD33*J33)</f>
        <v>0</v>
      </c>
      <c r="AF33" s="18">
        <f>IF(B33="","",COUNTIFS('Recipe Ingredients'!$D$5:$D$1204,B33))</f>
        <v>0</v>
      </c>
      <c r="AG33" s="45">
        <f>IF(B33="","",SUMIFS('Recipe Ingredients'!$Y$5:$Y$1204,'Recipe Ingredients'!$D$5:$D$1204,B33))</f>
        <v>0</v>
      </c>
      <c r="AH33" s="30">
        <f>IF(B33="",0,IFERROR(K33*1,0)*IFERROR(AF33*1,0))</f>
        <v>0</v>
      </c>
      <c r="AI33" s="18">
        <f>IF(B33="","",COUNTIFS($AH$5:$AH$304,"&gt;"&amp;AH33)+COUNTIFS($AH$5:AH33,AH33))</f>
        <v>0</v>
      </c>
      <c r="AJ33" s="18">
        <f>IF(B33="",0,COUNTIFS('Food Waste'!$E$5:$E$154,B33))</f>
        <v>0</v>
      </c>
      <c r="AK33" s="18">
        <f>IF(B33="","",COUNTIFS($AJ$5:$AJ$304,"&gt;"&amp;AJ33)+COUNTIFS($AJ$5:AJ33,AJ33))</f>
        <v>0</v>
      </c>
      <c r="AL33" s="18">
        <f>IF(B33="","",IF(AG33&gt;0,COUNTIF(AG$5:AG33,"&gt;0"),""))</f>
        <v>0</v>
      </c>
      <c r="AM33" s="45">
        <f>IF(B33="","",SUMIFS('Grocery List'!$Q$5:$Q$304,'Grocery List'!$B$5:$B$304,B33))</f>
        <v>0</v>
      </c>
      <c r="AN33" s="31">
        <f>IF(B33="","",IF(I33="","Add - no price yet",IF(H33="","Add - no pack size",IF(COUNTIFS($B$5:$B$304,B33)&gt;1,"Duplicate - same name twice",IF(AF33=0,"Check - no recipe uses it","OK")))))</f>
        <v>0</v>
      </c>
      <c r="AO33" s="43" t="s">
        <v>157</v>
      </c>
    </row>
    <row r="34" spans="1:41">
      <c r="A34" s="39">
        <f>IF(B34="","",IngredientPrefix&amp;TEXT(ROW()-4,"0000"))</f>
        <v>0</v>
      </c>
      <c r="B34" s="32" t="s">
        <v>955</v>
      </c>
      <c r="C34" s="32" t="s">
        <v>417</v>
      </c>
      <c r="D34" s="32" t="s">
        <v>433</v>
      </c>
      <c r="E34" s="32" t="s">
        <v>214</v>
      </c>
      <c r="F34" s="32" t="s">
        <v>157</v>
      </c>
      <c r="G34" s="32" t="s">
        <v>668</v>
      </c>
      <c r="H34" s="38">
        <v>500</v>
      </c>
      <c r="I34" s="36">
        <v>1.4</v>
      </c>
      <c r="J34" s="25">
        <f>IF(OR(H34="",I34=""),"",IF(H34=0,"",I34/H34))</f>
        <v>0</v>
      </c>
      <c r="K34" s="25">
        <f>IF(J34="","",J34*100)</f>
        <v>0</v>
      </c>
      <c r="L34" s="25">
        <f>IF(B34="","",IFERROR(AVERAGEIFS('Grocery Spending'!$L$5:$L$404,'Grocery Spending'!$H$5:$H$404,B34,'Grocery Spending'!$L$5:$L$404,"&gt;0"),""))</f>
        <v>0</v>
      </c>
      <c r="M34" s="25">
        <f>IF(B34="","",IF(COUNTIFS('Store Prices'!$B$5:$B$304,B34)=0,"",IF(SUMPRODUCT(MIN((('Store Prices'!$B$5:$B$304=B34)*(IFERROR('Store Prices'!$I$5:$I$304*1,0)&gt;0))*IFERROR('Store Prices'!$I$5:$I$304*1,0)+(1-(('Store Prices'!$B$5:$B$304=B34)*(IFERROR('Store Prices'!$I$5:$I$304*1,0)&gt;0)))*999999))&gt;=999999,"",SUMPRODUCT(MIN((('Store Prices'!$B$5:$B$304=B34)*(IFERROR('Store Prices'!$I$5:$I$304*1,0)&gt;0))*IFERROR('Store Prices'!$I$5:$I$304*1,0)+(1-(('Store Prices'!$B$5:$B$304=B34)*(IFERROR('Store Prices'!$I$5:$I$304*1,0)&gt;0)))*999999)))))</f>
        <v>0</v>
      </c>
      <c r="N34" s="17">
        <f>IF(M34="","",IFERROR(INDEX('Store Prices'!$C$5:$C$304,MATCH(1,INDEX(('Store Prices'!$B$5:$B$304=B34)*('Store Prices'!$I$5:$I$304=M34),0),0)),""))</f>
        <v>0</v>
      </c>
      <c r="O34" s="25">
        <f>IF(OR(M34="",J34=""),"",MAX(0,(J34-M34)*100))</f>
        <v>0</v>
      </c>
      <c r="P34" s="41">
        <v>376</v>
      </c>
      <c r="Q34" s="38">
        <v>13</v>
      </c>
      <c r="R34" s="38">
        <v>77</v>
      </c>
      <c r="S34" s="38">
        <v>0.6</v>
      </c>
      <c r="T34" s="38">
        <v>5</v>
      </c>
      <c r="U34" s="38">
        <v>19.2</v>
      </c>
      <c r="V34" s="41">
        <v>300</v>
      </c>
      <c r="W34" s="32" t="s">
        <v>399</v>
      </c>
      <c r="X34" s="32" t="s">
        <v>383</v>
      </c>
      <c r="Y34" s="32" t="s">
        <v>572</v>
      </c>
      <c r="Z34" s="35">
        <v>540</v>
      </c>
      <c r="AA34" s="32" t="s">
        <v>443</v>
      </c>
      <c r="AB34" s="32" t="s">
        <v>157</v>
      </c>
      <c r="AC34" s="15">
        <v>46295</v>
      </c>
      <c r="AD34" s="45">
        <f>IF(B34="","",SUMIFS(Pantry!$G$5:$G$304,Pantry!$B$5:$B$304,B34))</f>
        <v>0</v>
      </c>
      <c r="AE34" s="25">
        <f>IF(OR(AD34="",J34=""),"",AD34*J34)</f>
        <v>0</v>
      </c>
      <c r="AF34" s="18">
        <f>IF(B34="","",COUNTIFS('Recipe Ingredients'!$D$5:$D$1204,B34))</f>
        <v>0</v>
      </c>
      <c r="AG34" s="45">
        <f>IF(B34="","",SUMIFS('Recipe Ingredients'!$Y$5:$Y$1204,'Recipe Ingredients'!$D$5:$D$1204,B34))</f>
        <v>0</v>
      </c>
      <c r="AH34" s="30">
        <f>IF(B34="",0,IFERROR(K34*1,0)*IFERROR(AF34*1,0))</f>
        <v>0</v>
      </c>
      <c r="AI34" s="18">
        <f>IF(B34="","",COUNTIFS($AH$5:$AH$304,"&gt;"&amp;AH34)+COUNTIFS($AH$5:AH34,AH34))</f>
        <v>0</v>
      </c>
      <c r="AJ34" s="18">
        <f>IF(B34="",0,COUNTIFS('Food Waste'!$E$5:$E$154,B34))</f>
        <v>0</v>
      </c>
      <c r="AK34" s="18">
        <f>IF(B34="","",COUNTIFS($AJ$5:$AJ$304,"&gt;"&amp;AJ34)+COUNTIFS($AJ$5:AJ34,AJ34))</f>
        <v>0</v>
      </c>
      <c r="AL34" s="18">
        <f>IF(B34="","",IF(AG34&gt;0,COUNTIF(AG$5:AG34,"&gt;0"),""))</f>
        <v>0</v>
      </c>
      <c r="AM34" s="45">
        <f>IF(B34="","",SUMIFS('Grocery List'!$Q$5:$Q$304,'Grocery List'!$B$5:$B$304,B34))</f>
        <v>0</v>
      </c>
      <c r="AN34" s="31">
        <f>IF(B34="","",IF(I34="","Add - no price yet",IF(H34="","Add - no pack size",IF(COUNTIFS($B$5:$B$304,B34)&gt;1,"Duplicate - same name twice",IF(AF34=0,"Check - no recipe uses it","OK")))))</f>
        <v>0</v>
      </c>
      <c r="AO34" s="43" t="s">
        <v>157</v>
      </c>
    </row>
    <row r="35" spans="1:41">
      <c r="A35" s="39">
        <f>IF(B35="","",IngredientPrefix&amp;TEXT(ROW()-4,"0000"))</f>
        <v>0</v>
      </c>
      <c r="B35" s="32" t="s">
        <v>909</v>
      </c>
      <c r="C35" s="32" t="s">
        <v>417</v>
      </c>
      <c r="D35" s="32" t="s">
        <v>432</v>
      </c>
      <c r="E35" s="32" t="s">
        <v>1010</v>
      </c>
      <c r="F35" s="32" t="s">
        <v>157</v>
      </c>
      <c r="G35" s="32" t="s">
        <v>668</v>
      </c>
      <c r="H35" s="38">
        <v>500</v>
      </c>
      <c r="I35" s="36">
        <v>1.2</v>
      </c>
      <c r="J35" s="25">
        <f>IF(OR(H35="",I35=""),"",IF(H35=0,"",I35/H35))</f>
        <v>0</v>
      </c>
      <c r="K35" s="25">
        <f>IF(J35="","",J35*100)</f>
        <v>0</v>
      </c>
      <c r="L35" s="25">
        <f>IF(B35="","",IFERROR(AVERAGEIFS('Grocery Spending'!$L$5:$L$404,'Grocery Spending'!$H$5:$H$404,B35,'Grocery Spending'!$L$5:$L$404,"&gt;0"),""))</f>
        <v>0</v>
      </c>
      <c r="M35" s="25">
        <f>IF(B35="","",IF(COUNTIFS('Store Prices'!$B$5:$B$304,B35)=0,"",IF(SUMPRODUCT(MIN((('Store Prices'!$B$5:$B$304=B35)*(IFERROR('Store Prices'!$I$5:$I$304*1,0)&gt;0))*IFERROR('Store Prices'!$I$5:$I$304*1,0)+(1-(('Store Prices'!$B$5:$B$304=B35)*(IFERROR('Store Prices'!$I$5:$I$304*1,0)&gt;0)))*999999))&gt;=999999,"",SUMPRODUCT(MIN((('Store Prices'!$B$5:$B$304=B35)*(IFERROR('Store Prices'!$I$5:$I$304*1,0)&gt;0))*IFERROR('Store Prices'!$I$5:$I$304*1,0)+(1-(('Store Prices'!$B$5:$B$304=B35)*(IFERROR('Store Prices'!$I$5:$I$304*1,0)&gt;0)))*999999)))))</f>
        <v>0</v>
      </c>
      <c r="N35" s="17">
        <f>IF(M35="","",IFERROR(INDEX('Store Prices'!$C$5:$C$304,MATCH(1,INDEX(('Store Prices'!$B$5:$B$304=B35)*('Store Prices'!$I$5:$I$304=M35),0),0)),""))</f>
        <v>0</v>
      </c>
      <c r="O35" s="25">
        <f>IF(OR(M35="",J35=""),"",MAX(0,(J35-M35)*100))</f>
        <v>0</v>
      </c>
      <c r="P35" s="41">
        <v>352</v>
      </c>
      <c r="Q35" s="38">
        <v>24</v>
      </c>
      <c r="R35" s="38">
        <v>60</v>
      </c>
      <c r="S35" s="38">
        <v>1.1</v>
      </c>
      <c r="T35" s="38">
        <v>11</v>
      </c>
      <c r="U35" s="38">
        <v>15</v>
      </c>
      <c r="V35" s="41">
        <v>281</v>
      </c>
      <c r="W35" s="32" t="s">
        <v>372</v>
      </c>
      <c r="X35" s="32" t="s">
        <v>383</v>
      </c>
      <c r="Y35" s="32" t="s">
        <v>572</v>
      </c>
      <c r="Z35" s="35">
        <v>720</v>
      </c>
      <c r="AA35" s="32" t="s">
        <v>443</v>
      </c>
      <c r="AB35" s="32" t="s">
        <v>157</v>
      </c>
      <c r="AC35" s="15">
        <v>46290</v>
      </c>
      <c r="AD35" s="45">
        <f>IF(B35="","",SUMIFS(Pantry!$G$5:$G$304,Pantry!$B$5:$B$304,B35))</f>
        <v>0</v>
      </c>
      <c r="AE35" s="25">
        <f>IF(OR(AD35="",J35=""),"",AD35*J35)</f>
        <v>0</v>
      </c>
      <c r="AF35" s="18">
        <f>IF(B35="","",COUNTIFS('Recipe Ingredients'!$D$5:$D$1204,B35))</f>
        <v>0</v>
      </c>
      <c r="AG35" s="45">
        <f>IF(B35="","",SUMIFS('Recipe Ingredients'!$Y$5:$Y$1204,'Recipe Ingredients'!$D$5:$D$1204,B35))</f>
        <v>0</v>
      </c>
      <c r="AH35" s="30">
        <f>IF(B35="",0,IFERROR(K35*1,0)*IFERROR(AF35*1,0))</f>
        <v>0</v>
      </c>
      <c r="AI35" s="18">
        <f>IF(B35="","",COUNTIFS($AH$5:$AH$304,"&gt;"&amp;AH35)+COUNTIFS($AH$5:AH35,AH35))</f>
        <v>0</v>
      </c>
      <c r="AJ35" s="18">
        <f>IF(B35="",0,COUNTIFS('Food Waste'!$E$5:$E$154,B35))</f>
        <v>0</v>
      </c>
      <c r="AK35" s="18">
        <f>IF(B35="","",COUNTIFS($AJ$5:$AJ$304,"&gt;"&amp;AJ35)+COUNTIFS($AJ$5:AJ35,AJ35))</f>
        <v>0</v>
      </c>
      <c r="AL35" s="18">
        <f>IF(B35="","",IF(AG35&gt;0,COUNTIF(AG$5:AG35,"&gt;0"),""))</f>
        <v>0</v>
      </c>
      <c r="AM35" s="45">
        <f>IF(B35="","",SUMIFS('Grocery List'!$Q$5:$Q$304,'Grocery List'!$B$5:$B$304,B35))</f>
        <v>0</v>
      </c>
      <c r="AN35" s="31">
        <f>IF(B35="","",IF(I35="","Add - no price yet",IF(H35="","Add - no pack size",IF(COUNTIFS($B$5:$B$304,B35)&gt;1,"Duplicate - same name twice",IF(AF35=0,"Check - no recipe uses it","OK")))))</f>
        <v>0</v>
      </c>
      <c r="AO35" s="43" t="s">
        <v>157</v>
      </c>
    </row>
    <row r="36" spans="1:41">
      <c r="A36" s="39">
        <f>IF(B36="","",IngredientPrefix&amp;TEXT(ROW()-4,"0000"))</f>
        <v>0</v>
      </c>
      <c r="B36" s="32" t="s">
        <v>921</v>
      </c>
      <c r="C36" s="32" t="s">
        <v>417</v>
      </c>
      <c r="D36" s="32" t="s">
        <v>432</v>
      </c>
      <c r="E36" s="32" t="s">
        <v>1010</v>
      </c>
      <c r="F36" s="32" t="s">
        <v>157</v>
      </c>
      <c r="G36" s="32" t="s">
        <v>668</v>
      </c>
      <c r="H36" s="38">
        <v>400</v>
      </c>
      <c r="I36" s="36">
        <v>0.6</v>
      </c>
      <c r="J36" s="25">
        <f>IF(OR(H36="",I36=""),"",IF(H36=0,"",I36/H36))</f>
        <v>0</v>
      </c>
      <c r="K36" s="25">
        <f>IF(J36="","",J36*100)</f>
        <v>0</v>
      </c>
      <c r="L36" s="25">
        <f>IF(B36="","",IFERROR(AVERAGEIFS('Grocery Spending'!$L$5:$L$404,'Grocery Spending'!$H$5:$H$404,B36,'Grocery Spending'!$L$5:$L$404,"&gt;0"),""))</f>
        <v>0</v>
      </c>
      <c r="M36" s="25">
        <f>IF(B36="","",IF(COUNTIFS('Store Prices'!$B$5:$B$304,B36)=0,"",IF(SUMPRODUCT(MIN((('Store Prices'!$B$5:$B$304=B36)*(IFERROR('Store Prices'!$I$5:$I$304*1,0)&gt;0))*IFERROR('Store Prices'!$I$5:$I$304*1,0)+(1-(('Store Prices'!$B$5:$B$304=B36)*(IFERROR('Store Prices'!$I$5:$I$304*1,0)&gt;0)))*999999))&gt;=999999,"",SUMPRODUCT(MIN((('Store Prices'!$B$5:$B$304=B36)*(IFERROR('Store Prices'!$I$5:$I$304*1,0)&gt;0))*IFERROR('Store Prices'!$I$5:$I$304*1,0)+(1-(('Store Prices'!$B$5:$B$304=B36)*(IFERROR('Store Prices'!$I$5:$I$304*1,0)&gt;0)))*999999)))))</f>
        <v>0</v>
      </c>
      <c r="N36" s="17">
        <f>IF(M36="","",IFERROR(INDEX('Store Prices'!$C$5:$C$304,MATCH(1,INDEX(('Store Prices'!$B$5:$B$304=B36)*('Store Prices'!$I$5:$I$304=M36),0),0)),""))</f>
        <v>0</v>
      </c>
      <c r="O36" s="25">
        <f>IF(OR(M36="",J36=""),"",MAX(0,(J36-M36)*100))</f>
        <v>0</v>
      </c>
      <c r="P36" s="41">
        <v>139</v>
      </c>
      <c r="Q36" s="38">
        <v>7.5</v>
      </c>
      <c r="R36" s="38">
        <v>21</v>
      </c>
      <c r="S36" s="38">
        <v>2.4</v>
      </c>
      <c r="T36" s="38">
        <v>6.4</v>
      </c>
      <c r="U36" s="38">
        <v>5.2</v>
      </c>
      <c r="V36" s="41">
        <v>111</v>
      </c>
      <c r="W36" s="32" t="s">
        <v>372</v>
      </c>
      <c r="X36" s="32" t="s">
        <v>383</v>
      </c>
      <c r="Y36" s="32" t="s">
        <v>572</v>
      </c>
      <c r="Z36" s="35">
        <v>720</v>
      </c>
      <c r="AA36" s="32" t="s">
        <v>443</v>
      </c>
      <c r="AB36" s="32" t="s">
        <v>157</v>
      </c>
      <c r="AC36" s="15">
        <v>46298</v>
      </c>
      <c r="AD36" s="45">
        <f>IF(B36="","",SUMIFS(Pantry!$G$5:$G$304,Pantry!$B$5:$B$304,B36))</f>
        <v>0</v>
      </c>
      <c r="AE36" s="25">
        <f>IF(OR(AD36="",J36=""),"",AD36*J36)</f>
        <v>0</v>
      </c>
      <c r="AF36" s="18">
        <f>IF(B36="","",COUNTIFS('Recipe Ingredients'!$D$5:$D$1204,B36))</f>
        <v>0</v>
      </c>
      <c r="AG36" s="45">
        <f>IF(B36="","",SUMIFS('Recipe Ingredients'!$Y$5:$Y$1204,'Recipe Ingredients'!$D$5:$D$1204,B36))</f>
        <v>0</v>
      </c>
      <c r="AH36" s="30">
        <f>IF(B36="",0,IFERROR(K36*1,0)*IFERROR(AF36*1,0))</f>
        <v>0</v>
      </c>
      <c r="AI36" s="18">
        <f>IF(B36="","",COUNTIFS($AH$5:$AH$304,"&gt;"&amp;AH36)+COUNTIFS($AH$5:AH36,AH36))</f>
        <v>0</v>
      </c>
      <c r="AJ36" s="18">
        <f>IF(B36="",0,COUNTIFS('Food Waste'!$E$5:$E$154,B36))</f>
        <v>0</v>
      </c>
      <c r="AK36" s="18">
        <f>IF(B36="","",COUNTIFS($AJ$5:$AJ$304,"&gt;"&amp;AJ36)+COUNTIFS($AJ$5:AJ36,AJ36))</f>
        <v>0</v>
      </c>
      <c r="AL36" s="18">
        <f>IF(B36="","",IF(AG36&gt;0,COUNTIF(AG$5:AG36,"&gt;0"),""))</f>
        <v>0</v>
      </c>
      <c r="AM36" s="45">
        <f>IF(B36="","",SUMIFS('Grocery List'!$Q$5:$Q$304,'Grocery List'!$B$5:$B$304,B36))</f>
        <v>0</v>
      </c>
      <c r="AN36" s="31">
        <f>IF(B36="","",IF(I36="","Add - no price yet",IF(H36="","Add - no pack size",IF(COUNTIFS($B$5:$B$304,B36)&gt;1,"Duplicate - same name twice",IF(AF36=0,"Check - no recipe uses it","OK")))))</f>
        <v>0</v>
      </c>
      <c r="AO36" s="43" t="s">
        <v>157</v>
      </c>
    </row>
    <row r="37" spans="1:41">
      <c r="A37" s="39">
        <f>IF(B37="","",IngredientPrefix&amp;TEXT(ROW()-4,"0000"))</f>
        <v>0</v>
      </c>
      <c r="B37" s="32" t="s">
        <v>930</v>
      </c>
      <c r="C37" s="32" t="s">
        <v>417</v>
      </c>
      <c r="D37" s="32" t="s">
        <v>432</v>
      </c>
      <c r="E37" s="32" t="s">
        <v>1010</v>
      </c>
      <c r="F37" s="32" t="s">
        <v>157</v>
      </c>
      <c r="G37" s="32" t="s">
        <v>668</v>
      </c>
      <c r="H37" s="38">
        <v>400</v>
      </c>
      <c r="I37" s="36">
        <v>0.75</v>
      </c>
      <c r="J37" s="25">
        <f>IF(OR(H37="",I37=""),"",IF(H37=0,"",I37/H37))</f>
        <v>0</v>
      </c>
      <c r="K37" s="25">
        <f>IF(J37="","",J37*100)</f>
        <v>0</v>
      </c>
      <c r="L37" s="25">
        <f>IF(B37="","",IFERROR(AVERAGEIFS('Grocery Spending'!$L$5:$L$404,'Grocery Spending'!$H$5:$H$404,B37,'Grocery Spending'!$L$5:$L$404,"&gt;0"),""))</f>
        <v>0</v>
      </c>
      <c r="M37" s="25">
        <f>IF(B37="","",IF(COUNTIFS('Store Prices'!$B$5:$B$304,B37)=0,"",IF(SUMPRODUCT(MIN((('Store Prices'!$B$5:$B$304=B37)*(IFERROR('Store Prices'!$I$5:$I$304*1,0)&gt;0))*IFERROR('Store Prices'!$I$5:$I$304*1,0)+(1-(('Store Prices'!$B$5:$B$304=B37)*(IFERROR('Store Prices'!$I$5:$I$304*1,0)&gt;0)))*999999))&gt;=999999,"",SUMPRODUCT(MIN((('Store Prices'!$B$5:$B$304=B37)*(IFERROR('Store Prices'!$I$5:$I$304*1,0)&gt;0))*IFERROR('Store Prices'!$I$5:$I$304*1,0)+(1-(('Store Prices'!$B$5:$B$304=B37)*(IFERROR('Store Prices'!$I$5:$I$304*1,0)&gt;0)))*999999)))))</f>
        <v>0</v>
      </c>
      <c r="N37" s="17">
        <f>IF(M37="","",IFERROR(INDEX('Store Prices'!$C$5:$C$304,MATCH(1,INDEX(('Store Prices'!$B$5:$B$304=B37)*('Store Prices'!$I$5:$I$304=M37),0),0)),""))</f>
        <v>0</v>
      </c>
      <c r="O37" s="25">
        <f>IF(OR(M37="",J37=""),"",MAX(0,(J37-M37)*100))</f>
        <v>0</v>
      </c>
      <c r="P37" s="41">
        <v>132</v>
      </c>
      <c r="Q37" s="38">
        <v>8.9</v>
      </c>
      <c r="R37" s="38">
        <v>24</v>
      </c>
      <c r="S37" s="38">
        <v>0.5</v>
      </c>
      <c r="T37" s="38">
        <v>8.7</v>
      </c>
      <c r="U37" s="38">
        <v>6</v>
      </c>
      <c r="V37" s="41">
        <v>105</v>
      </c>
      <c r="W37" s="32" t="s">
        <v>372</v>
      </c>
      <c r="X37" s="32" t="s">
        <v>383</v>
      </c>
      <c r="Y37" s="32" t="s">
        <v>572</v>
      </c>
      <c r="Z37" s="35">
        <v>720</v>
      </c>
      <c r="AA37" s="32" t="s">
        <v>443</v>
      </c>
      <c r="AB37" s="32" t="s">
        <v>157</v>
      </c>
      <c r="AC37" s="15">
        <v>46290</v>
      </c>
      <c r="AD37" s="45">
        <f>IF(B37="","",SUMIFS(Pantry!$G$5:$G$304,Pantry!$B$5:$B$304,B37))</f>
        <v>0</v>
      </c>
      <c r="AE37" s="25">
        <f>IF(OR(AD37="",J37=""),"",AD37*J37)</f>
        <v>0</v>
      </c>
      <c r="AF37" s="18">
        <f>IF(B37="","",COUNTIFS('Recipe Ingredients'!$D$5:$D$1204,B37))</f>
        <v>0</v>
      </c>
      <c r="AG37" s="45">
        <f>IF(B37="","",SUMIFS('Recipe Ingredients'!$Y$5:$Y$1204,'Recipe Ingredients'!$D$5:$D$1204,B37))</f>
        <v>0</v>
      </c>
      <c r="AH37" s="30">
        <f>IF(B37="",0,IFERROR(K37*1,0)*IFERROR(AF37*1,0))</f>
        <v>0</v>
      </c>
      <c r="AI37" s="18">
        <f>IF(B37="","",COUNTIFS($AH$5:$AH$304,"&gt;"&amp;AH37)+COUNTIFS($AH$5:AH37,AH37))</f>
        <v>0</v>
      </c>
      <c r="AJ37" s="18">
        <f>IF(B37="",0,COUNTIFS('Food Waste'!$E$5:$E$154,B37))</f>
        <v>0</v>
      </c>
      <c r="AK37" s="18">
        <f>IF(B37="","",COUNTIFS($AJ$5:$AJ$304,"&gt;"&amp;AJ37)+COUNTIFS($AJ$5:AJ37,AJ37))</f>
        <v>0</v>
      </c>
      <c r="AL37" s="18">
        <f>IF(B37="","",IF(AG37&gt;0,COUNTIF(AG$5:AG37,"&gt;0"),""))</f>
        <v>0</v>
      </c>
      <c r="AM37" s="45">
        <f>IF(B37="","",SUMIFS('Grocery List'!$Q$5:$Q$304,'Grocery List'!$B$5:$B$304,B37))</f>
        <v>0</v>
      </c>
      <c r="AN37" s="31">
        <f>IF(B37="","",IF(I37="","Add - no price yet",IF(H37="","Add - no pack size",IF(COUNTIFS($B$5:$B$304,B37)&gt;1,"Duplicate - same name twice",IF(AF37=0,"Check - no recipe uses it","OK")))))</f>
        <v>0</v>
      </c>
      <c r="AO37" s="43" t="s">
        <v>157</v>
      </c>
    </row>
    <row r="38" spans="1:41">
      <c r="A38" s="39">
        <f>IF(B38="","",IngredientPrefix&amp;TEXT(ROW()-4,"0000"))</f>
        <v>0</v>
      </c>
      <c r="B38" s="32" t="s">
        <v>913</v>
      </c>
      <c r="C38" s="32" t="s">
        <v>417</v>
      </c>
      <c r="D38" s="32" t="s">
        <v>432</v>
      </c>
      <c r="E38" s="32" t="s">
        <v>1015</v>
      </c>
      <c r="F38" s="32" t="s">
        <v>1012</v>
      </c>
      <c r="G38" s="32" t="s">
        <v>674</v>
      </c>
      <c r="H38" s="38">
        <v>400</v>
      </c>
      <c r="I38" s="36">
        <v>1.3</v>
      </c>
      <c r="J38" s="25">
        <f>IF(OR(H38="",I38=""),"",IF(H38=0,"",I38/H38))</f>
        <v>0</v>
      </c>
      <c r="K38" s="25">
        <f>IF(J38="","",J38*100)</f>
        <v>0</v>
      </c>
      <c r="L38" s="25">
        <f>IF(B38="","",IFERROR(AVERAGEIFS('Grocery Spending'!$L$5:$L$404,'Grocery Spending'!$H$5:$H$404,B38,'Grocery Spending'!$L$5:$L$404,"&gt;0"),""))</f>
        <v>0</v>
      </c>
      <c r="M38" s="25">
        <f>IF(B38="","",IF(COUNTIFS('Store Prices'!$B$5:$B$304,B38)=0,"",IF(SUMPRODUCT(MIN((('Store Prices'!$B$5:$B$304=B38)*(IFERROR('Store Prices'!$I$5:$I$304*1,0)&gt;0))*IFERROR('Store Prices'!$I$5:$I$304*1,0)+(1-(('Store Prices'!$B$5:$B$304=B38)*(IFERROR('Store Prices'!$I$5:$I$304*1,0)&gt;0)))*999999))&gt;=999999,"",SUMPRODUCT(MIN((('Store Prices'!$B$5:$B$304=B38)*(IFERROR('Store Prices'!$I$5:$I$304*1,0)&gt;0))*IFERROR('Store Prices'!$I$5:$I$304*1,0)+(1-(('Store Prices'!$B$5:$B$304=B38)*(IFERROR('Store Prices'!$I$5:$I$304*1,0)&gt;0)))*999999)))))</f>
        <v>0</v>
      </c>
      <c r="N38" s="17">
        <f>IF(M38="","",IFERROR(INDEX('Store Prices'!$C$5:$C$304,MATCH(1,INDEX(('Store Prices'!$B$5:$B$304=B38)*('Store Prices'!$I$5:$I$304=M38),0),0)),""))</f>
        <v>0</v>
      </c>
      <c r="O38" s="25">
        <f>IF(OR(M38="",J38=""),"",MAX(0,(J38-M38)*100))</f>
        <v>0</v>
      </c>
      <c r="P38" s="41">
        <v>197</v>
      </c>
      <c r="Q38" s="38">
        <v>2</v>
      </c>
      <c r="R38" s="38">
        <v>3</v>
      </c>
      <c r="S38" s="38">
        <v>20</v>
      </c>
      <c r="T38" s="38">
        <v>0</v>
      </c>
      <c r="U38" s="38">
        <v>0.8</v>
      </c>
      <c r="V38" s="41">
        <v>157</v>
      </c>
      <c r="W38" s="32" t="s">
        <v>372</v>
      </c>
      <c r="X38" s="32" t="s">
        <v>383</v>
      </c>
      <c r="Y38" s="32" t="s">
        <v>572</v>
      </c>
      <c r="Z38" s="35">
        <v>540</v>
      </c>
      <c r="AA38" s="32" t="s">
        <v>443</v>
      </c>
      <c r="AB38" s="32" t="s">
        <v>157</v>
      </c>
      <c r="AC38" s="15">
        <v>46291</v>
      </c>
      <c r="AD38" s="45">
        <f>IF(B38="","",SUMIFS(Pantry!$G$5:$G$304,Pantry!$B$5:$B$304,B38))</f>
        <v>0</v>
      </c>
      <c r="AE38" s="25">
        <f>IF(OR(AD38="",J38=""),"",AD38*J38)</f>
        <v>0</v>
      </c>
      <c r="AF38" s="18">
        <f>IF(B38="","",COUNTIFS('Recipe Ingredients'!$D$5:$D$1204,B38))</f>
        <v>0</v>
      </c>
      <c r="AG38" s="45">
        <f>IF(B38="","",SUMIFS('Recipe Ingredients'!$Y$5:$Y$1204,'Recipe Ingredients'!$D$5:$D$1204,B38))</f>
        <v>0</v>
      </c>
      <c r="AH38" s="30">
        <f>IF(B38="",0,IFERROR(K38*1,0)*IFERROR(AF38*1,0))</f>
        <v>0</v>
      </c>
      <c r="AI38" s="18">
        <f>IF(B38="","",COUNTIFS($AH$5:$AH$304,"&gt;"&amp;AH38)+COUNTIFS($AH$5:AH38,AH38))</f>
        <v>0</v>
      </c>
      <c r="AJ38" s="18">
        <f>IF(B38="",0,COUNTIFS('Food Waste'!$E$5:$E$154,B38))</f>
        <v>0</v>
      </c>
      <c r="AK38" s="18">
        <f>IF(B38="","",COUNTIFS($AJ$5:$AJ$304,"&gt;"&amp;AJ38)+COUNTIFS($AJ$5:AJ38,AJ38))</f>
        <v>0</v>
      </c>
      <c r="AL38" s="18">
        <f>IF(B38="","",IF(AG38&gt;0,COUNTIF(AG$5:AG38,"&gt;0"),""))</f>
        <v>0</v>
      </c>
      <c r="AM38" s="45">
        <f>IF(B38="","",SUMIFS('Grocery List'!$Q$5:$Q$304,'Grocery List'!$B$5:$B$304,B38))</f>
        <v>0</v>
      </c>
      <c r="AN38" s="31">
        <f>IF(B38="","",IF(I38="","Add - no price yet",IF(H38="","Add - no pack size",IF(COUNTIFS($B$5:$B$304,B38)&gt;1,"Duplicate - same name twice",IF(AF38=0,"Check - no recipe uses it","OK")))))</f>
        <v>0</v>
      </c>
      <c r="AO38" s="43" t="s">
        <v>157</v>
      </c>
    </row>
    <row r="39" spans="1:41">
      <c r="A39" s="39">
        <f>IF(B39="","",IngredientPrefix&amp;TEXT(ROW()-4,"0000"))</f>
        <v>0</v>
      </c>
      <c r="B39" s="32" t="s">
        <v>896</v>
      </c>
      <c r="C39" s="32" t="s">
        <v>417</v>
      </c>
      <c r="D39" s="32" t="s">
        <v>435</v>
      </c>
      <c r="E39" s="32" t="s">
        <v>214</v>
      </c>
      <c r="F39" s="32" t="s">
        <v>157</v>
      </c>
      <c r="G39" s="32" t="s">
        <v>674</v>
      </c>
      <c r="H39" s="38">
        <v>500</v>
      </c>
      <c r="I39" s="36">
        <v>4.5</v>
      </c>
      <c r="J39" s="25">
        <f>IF(OR(H39="",I39=""),"",IF(H39=0,"",I39/H39))</f>
        <v>0</v>
      </c>
      <c r="K39" s="25">
        <f>IF(J39="","",J39*100)</f>
        <v>0</v>
      </c>
      <c r="L39" s="25">
        <f>IF(B39="","",IFERROR(AVERAGEIFS('Grocery Spending'!$L$5:$L$404,'Grocery Spending'!$H$5:$H$404,B39,'Grocery Spending'!$L$5:$L$404,"&gt;0"),""))</f>
        <v>0</v>
      </c>
      <c r="M39" s="25">
        <f>IF(B39="","",IF(COUNTIFS('Store Prices'!$B$5:$B$304,B39)=0,"",IF(SUMPRODUCT(MIN((('Store Prices'!$B$5:$B$304=B39)*(IFERROR('Store Prices'!$I$5:$I$304*1,0)&gt;0))*IFERROR('Store Prices'!$I$5:$I$304*1,0)+(1-(('Store Prices'!$B$5:$B$304=B39)*(IFERROR('Store Prices'!$I$5:$I$304*1,0)&gt;0)))*999999))&gt;=999999,"",SUMPRODUCT(MIN((('Store Prices'!$B$5:$B$304=B39)*(IFERROR('Store Prices'!$I$5:$I$304*1,0)&gt;0))*IFERROR('Store Prices'!$I$5:$I$304*1,0)+(1-(('Store Prices'!$B$5:$B$304=B39)*(IFERROR('Store Prices'!$I$5:$I$304*1,0)&gt;0)))*999999)))))</f>
        <v>0</v>
      </c>
      <c r="N39" s="17">
        <f>IF(M39="","",IFERROR(INDEX('Store Prices'!$C$5:$C$304,MATCH(1,INDEX(('Store Prices'!$B$5:$B$304=B39)*('Store Prices'!$I$5:$I$304=M39),0),0)),""))</f>
        <v>0</v>
      </c>
      <c r="O39" s="25">
        <f>IF(OR(M39="",J39=""),"",MAX(0,(J39-M39)*100))</f>
        <v>0</v>
      </c>
      <c r="P39" s="41">
        <v>884</v>
      </c>
      <c r="Q39" s="38">
        <v>0</v>
      </c>
      <c r="R39" s="38">
        <v>0</v>
      </c>
      <c r="S39" s="38">
        <v>100</v>
      </c>
      <c r="T39" s="38">
        <v>0</v>
      </c>
      <c r="U39" s="38">
        <v>0</v>
      </c>
      <c r="V39" s="41">
        <v>707</v>
      </c>
      <c r="W39" s="32" t="s">
        <v>372</v>
      </c>
      <c r="X39" s="32" t="s">
        <v>383</v>
      </c>
      <c r="Y39" s="32" t="s">
        <v>572</v>
      </c>
      <c r="Z39" s="35">
        <v>540</v>
      </c>
      <c r="AA39" s="32" t="s">
        <v>443</v>
      </c>
      <c r="AB39" s="32" t="s">
        <v>157</v>
      </c>
      <c r="AC39" s="15">
        <v>46291</v>
      </c>
      <c r="AD39" s="45">
        <f>IF(B39="","",SUMIFS(Pantry!$G$5:$G$304,Pantry!$B$5:$B$304,B39))</f>
        <v>0</v>
      </c>
      <c r="AE39" s="25">
        <f>IF(OR(AD39="",J39=""),"",AD39*J39)</f>
        <v>0</v>
      </c>
      <c r="AF39" s="18">
        <f>IF(B39="","",COUNTIFS('Recipe Ingredients'!$D$5:$D$1204,B39))</f>
        <v>0</v>
      </c>
      <c r="AG39" s="45">
        <f>IF(B39="","",SUMIFS('Recipe Ingredients'!$Y$5:$Y$1204,'Recipe Ingredients'!$D$5:$D$1204,B39))</f>
        <v>0</v>
      </c>
      <c r="AH39" s="30">
        <f>IF(B39="",0,IFERROR(K39*1,0)*IFERROR(AF39*1,0))</f>
        <v>0</v>
      </c>
      <c r="AI39" s="18">
        <f>IF(B39="","",COUNTIFS($AH$5:$AH$304,"&gt;"&amp;AH39)+COUNTIFS($AH$5:AH39,AH39))</f>
        <v>0</v>
      </c>
      <c r="AJ39" s="18">
        <f>IF(B39="",0,COUNTIFS('Food Waste'!$E$5:$E$154,B39))</f>
        <v>0</v>
      </c>
      <c r="AK39" s="18">
        <f>IF(B39="","",COUNTIFS($AJ$5:$AJ$304,"&gt;"&amp;AJ39)+COUNTIFS($AJ$5:AJ39,AJ39))</f>
        <v>0</v>
      </c>
      <c r="AL39" s="18">
        <f>IF(B39="","",IF(AG39&gt;0,COUNTIF(AG$5:AG39,"&gt;0"),""))</f>
        <v>0</v>
      </c>
      <c r="AM39" s="45">
        <f>IF(B39="","",SUMIFS('Grocery List'!$Q$5:$Q$304,'Grocery List'!$B$5:$B$304,B39))</f>
        <v>0</v>
      </c>
      <c r="AN39" s="31">
        <f>IF(B39="","",IF(I39="","Add - no price yet",IF(H39="","Add - no pack size",IF(COUNTIFS($B$5:$B$304,B39)&gt;1,"Duplicate - same name twice",IF(AF39=0,"Check - no recipe uses it","OK")))))</f>
        <v>0</v>
      </c>
      <c r="AO39" s="43" t="s">
        <v>157</v>
      </c>
    </row>
    <row r="40" spans="1:41">
      <c r="A40" s="39">
        <f>IF(B40="","",IngredientPrefix&amp;TEXT(ROW()-4,"0000"))</f>
        <v>0</v>
      </c>
      <c r="B40" s="32" t="s">
        <v>940</v>
      </c>
      <c r="C40" s="32" t="s">
        <v>417</v>
      </c>
      <c r="D40" s="32" t="s">
        <v>435</v>
      </c>
      <c r="E40" s="32" t="s">
        <v>1015</v>
      </c>
      <c r="F40" s="32" t="s">
        <v>1012</v>
      </c>
      <c r="G40" s="32" t="s">
        <v>674</v>
      </c>
      <c r="H40" s="38">
        <v>250</v>
      </c>
      <c r="I40" s="36">
        <v>1.85</v>
      </c>
      <c r="J40" s="25">
        <f>IF(OR(H40="",I40=""),"",IF(H40=0,"",I40/H40))</f>
        <v>0</v>
      </c>
      <c r="K40" s="25">
        <f>IF(J40="","",J40*100)</f>
        <v>0</v>
      </c>
      <c r="L40" s="25">
        <f>IF(B40="","",IFERROR(AVERAGEIFS('Grocery Spending'!$L$5:$L$404,'Grocery Spending'!$H$5:$H$404,B40,'Grocery Spending'!$L$5:$L$404,"&gt;0"),""))</f>
        <v>0</v>
      </c>
      <c r="M40" s="25">
        <f>IF(B40="","",IF(COUNTIFS('Store Prices'!$B$5:$B$304,B40)=0,"",IF(SUMPRODUCT(MIN((('Store Prices'!$B$5:$B$304=B40)*(IFERROR('Store Prices'!$I$5:$I$304*1,0)&gt;0))*IFERROR('Store Prices'!$I$5:$I$304*1,0)+(1-(('Store Prices'!$B$5:$B$304=B40)*(IFERROR('Store Prices'!$I$5:$I$304*1,0)&gt;0)))*999999))&gt;=999999,"",SUMPRODUCT(MIN((('Store Prices'!$B$5:$B$304=B40)*(IFERROR('Store Prices'!$I$5:$I$304*1,0)&gt;0))*IFERROR('Store Prices'!$I$5:$I$304*1,0)+(1-(('Store Prices'!$B$5:$B$304=B40)*(IFERROR('Store Prices'!$I$5:$I$304*1,0)&gt;0)))*999999)))))</f>
        <v>0</v>
      </c>
      <c r="N40" s="17">
        <f>IF(M40="","",IFERROR(INDEX('Store Prices'!$C$5:$C$304,MATCH(1,INDEX(('Store Prices'!$B$5:$B$304=B40)*('Store Prices'!$I$5:$I$304=M40),0),0)),""))</f>
        <v>0</v>
      </c>
      <c r="O40" s="25">
        <f>IF(OR(M40="",J40=""),"",MAX(0,(J40-M40)*100))</f>
        <v>0</v>
      </c>
      <c r="P40" s="41">
        <v>53</v>
      </c>
      <c r="Q40" s="38">
        <v>8</v>
      </c>
      <c r="R40" s="38">
        <v>4.9</v>
      </c>
      <c r="S40" s="38">
        <v>0.1</v>
      </c>
      <c r="T40" s="38">
        <v>0.8</v>
      </c>
      <c r="U40" s="38">
        <v>1.2</v>
      </c>
      <c r="V40" s="41">
        <v>42</v>
      </c>
      <c r="W40" s="32" t="s">
        <v>410</v>
      </c>
      <c r="X40" s="32" t="s">
        <v>383</v>
      </c>
      <c r="Y40" s="32" t="s">
        <v>572</v>
      </c>
      <c r="Z40" s="35">
        <v>720</v>
      </c>
      <c r="AA40" s="32" t="s">
        <v>443</v>
      </c>
      <c r="AB40" s="32" t="s">
        <v>157</v>
      </c>
      <c r="AC40" s="15">
        <v>46297</v>
      </c>
      <c r="AD40" s="45">
        <f>IF(B40="","",SUMIFS(Pantry!$G$5:$G$304,Pantry!$B$5:$B$304,B40))</f>
        <v>0</v>
      </c>
      <c r="AE40" s="25">
        <f>IF(OR(AD40="",J40=""),"",AD40*J40)</f>
        <v>0</v>
      </c>
      <c r="AF40" s="18">
        <f>IF(B40="","",COUNTIFS('Recipe Ingredients'!$D$5:$D$1204,B40))</f>
        <v>0</v>
      </c>
      <c r="AG40" s="45">
        <f>IF(B40="","",SUMIFS('Recipe Ingredients'!$Y$5:$Y$1204,'Recipe Ingredients'!$D$5:$D$1204,B40))</f>
        <v>0</v>
      </c>
      <c r="AH40" s="30">
        <f>IF(B40="",0,IFERROR(K40*1,0)*IFERROR(AF40*1,0))</f>
        <v>0</v>
      </c>
      <c r="AI40" s="18">
        <f>IF(B40="","",COUNTIFS($AH$5:$AH$304,"&gt;"&amp;AH40)+COUNTIFS($AH$5:AH40,AH40))</f>
        <v>0</v>
      </c>
      <c r="AJ40" s="18">
        <f>IF(B40="",0,COUNTIFS('Food Waste'!$E$5:$E$154,B40))</f>
        <v>0</v>
      </c>
      <c r="AK40" s="18">
        <f>IF(B40="","",COUNTIFS($AJ$5:$AJ$304,"&gt;"&amp;AJ40)+COUNTIFS($AJ$5:AJ40,AJ40))</f>
        <v>0</v>
      </c>
      <c r="AL40" s="18">
        <f>IF(B40="","",IF(AG40&gt;0,COUNTIF(AG$5:AG40,"&gt;0"),""))</f>
        <v>0</v>
      </c>
      <c r="AM40" s="45">
        <f>IF(B40="","",SUMIFS('Grocery List'!$Q$5:$Q$304,'Grocery List'!$B$5:$B$304,B40))</f>
        <v>0</v>
      </c>
      <c r="AN40" s="31">
        <f>IF(B40="","",IF(I40="","Add - no price yet",IF(H40="","Add - no pack size",IF(COUNTIFS($B$5:$B$304,B40)&gt;1,"Duplicate - same name twice",IF(AF40=0,"Check - no recipe uses it","OK")))))</f>
        <v>0</v>
      </c>
      <c r="AO40" s="43" t="s">
        <v>157</v>
      </c>
    </row>
    <row r="41" spans="1:41">
      <c r="A41" s="39">
        <f>IF(B41="","",IngredientPrefix&amp;TEXT(ROW()-4,"0000"))</f>
        <v>0</v>
      </c>
      <c r="B41" s="32" t="s">
        <v>912</v>
      </c>
      <c r="C41" s="32" t="s">
        <v>417</v>
      </c>
      <c r="D41" s="32" t="s">
        <v>435</v>
      </c>
      <c r="E41" s="32" t="s">
        <v>214</v>
      </c>
      <c r="F41" s="32" t="s">
        <v>1012</v>
      </c>
      <c r="G41" s="32" t="s">
        <v>668</v>
      </c>
      <c r="H41" s="38">
        <v>180</v>
      </c>
      <c r="I41" s="36">
        <v>2.3</v>
      </c>
      <c r="J41" s="25">
        <f>IF(OR(H41="",I41=""),"",IF(H41=0,"",I41/H41))</f>
        <v>0</v>
      </c>
      <c r="K41" s="25">
        <f>IF(J41="","",J41*100)</f>
        <v>0</v>
      </c>
      <c r="L41" s="25">
        <f>IF(B41="","",IFERROR(AVERAGEIFS('Grocery Spending'!$L$5:$L$404,'Grocery Spending'!$H$5:$H$404,B41,'Grocery Spending'!$L$5:$L$404,"&gt;0"),""))</f>
        <v>0</v>
      </c>
      <c r="M41" s="25">
        <f>IF(B41="","",IF(COUNTIFS('Store Prices'!$B$5:$B$304,B41)=0,"",IF(SUMPRODUCT(MIN((('Store Prices'!$B$5:$B$304=B41)*(IFERROR('Store Prices'!$I$5:$I$304*1,0)&gt;0))*IFERROR('Store Prices'!$I$5:$I$304*1,0)+(1-(('Store Prices'!$B$5:$B$304=B41)*(IFERROR('Store Prices'!$I$5:$I$304*1,0)&gt;0)))*999999))&gt;=999999,"",SUMPRODUCT(MIN((('Store Prices'!$B$5:$B$304=B41)*(IFERROR('Store Prices'!$I$5:$I$304*1,0)&gt;0))*IFERROR('Store Prices'!$I$5:$I$304*1,0)+(1-(('Store Prices'!$B$5:$B$304=B41)*(IFERROR('Store Prices'!$I$5:$I$304*1,0)&gt;0)))*999999)))))</f>
        <v>0</v>
      </c>
      <c r="N41" s="17">
        <f>IF(M41="","",IFERROR(INDEX('Store Prices'!$C$5:$C$304,MATCH(1,INDEX(('Store Prices'!$B$5:$B$304=B41)*('Store Prices'!$I$5:$I$304=M41),0),0)),""))</f>
        <v>0</v>
      </c>
      <c r="O41" s="25">
        <f>IF(OR(M41="",J41=""),"",MAX(0,(J41-M41)*100))</f>
        <v>0</v>
      </c>
      <c r="P41" s="41">
        <v>180</v>
      </c>
      <c r="Q41" s="38">
        <v>3</v>
      </c>
      <c r="R41" s="38">
        <v>12</v>
      </c>
      <c r="S41" s="38">
        <v>13</v>
      </c>
      <c r="T41" s="38">
        <v>3</v>
      </c>
      <c r="U41" s="38">
        <v>3</v>
      </c>
      <c r="V41" s="41">
        <v>144</v>
      </c>
      <c r="W41" s="32" t="s">
        <v>372</v>
      </c>
      <c r="X41" s="32" t="s">
        <v>382</v>
      </c>
      <c r="Y41" s="32" t="s">
        <v>572</v>
      </c>
      <c r="Z41" s="35">
        <v>365</v>
      </c>
      <c r="AA41" s="32" t="s">
        <v>443</v>
      </c>
      <c r="AB41" s="32" t="s">
        <v>157</v>
      </c>
      <c r="AC41" s="15">
        <v>46298</v>
      </c>
      <c r="AD41" s="45">
        <f>IF(B41="","",SUMIFS(Pantry!$G$5:$G$304,Pantry!$B$5:$B$304,B41))</f>
        <v>0</v>
      </c>
      <c r="AE41" s="25">
        <f>IF(OR(AD41="",J41=""),"",AD41*J41)</f>
        <v>0</v>
      </c>
      <c r="AF41" s="18">
        <f>IF(B41="","",COUNTIFS('Recipe Ingredients'!$D$5:$D$1204,B41))</f>
        <v>0</v>
      </c>
      <c r="AG41" s="45">
        <f>IF(B41="","",SUMIFS('Recipe Ingredients'!$Y$5:$Y$1204,'Recipe Ingredients'!$D$5:$D$1204,B41))</f>
        <v>0</v>
      </c>
      <c r="AH41" s="30">
        <f>IF(B41="",0,IFERROR(K41*1,0)*IFERROR(AF41*1,0))</f>
        <v>0</v>
      </c>
      <c r="AI41" s="18">
        <f>IF(B41="","",COUNTIFS($AH$5:$AH$304,"&gt;"&amp;AH41)+COUNTIFS($AH$5:AH41,AH41))</f>
        <v>0</v>
      </c>
      <c r="AJ41" s="18">
        <f>IF(B41="",0,COUNTIFS('Food Waste'!$E$5:$E$154,B41))</f>
        <v>0</v>
      </c>
      <c r="AK41" s="18">
        <f>IF(B41="","",COUNTIFS($AJ$5:$AJ$304,"&gt;"&amp;AJ41)+COUNTIFS($AJ$5:AJ41,AJ41))</f>
        <v>0</v>
      </c>
      <c r="AL41" s="18">
        <f>IF(B41="","",IF(AG41&gt;0,COUNTIF(AG$5:AG41,"&gt;0"),""))</f>
        <v>0</v>
      </c>
      <c r="AM41" s="45">
        <f>IF(B41="","",SUMIFS('Grocery List'!$Q$5:$Q$304,'Grocery List'!$B$5:$B$304,B41))</f>
        <v>0</v>
      </c>
      <c r="AN41" s="31">
        <f>IF(B41="","",IF(I41="","Add - no price yet",IF(H41="","Add - no pack size",IF(COUNTIFS($B$5:$B$304,B41)&gt;1,"Duplicate - same name twice",IF(AF41=0,"Check - no recipe uses it","OK")))))</f>
        <v>0</v>
      </c>
      <c r="AO41" s="43" t="s">
        <v>157</v>
      </c>
    </row>
    <row r="42" spans="1:41">
      <c r="A42" s="39">
        <f>IF(B42="","",IngredientPrefix&amp;TEXT(ROW()-4,"0000"))</f>
        <v>0</v>
      </c>
      <c r="B42" s="32" t="s">
        <v>936</v>
      </c>
      <c r="C42" s="32" t="s">
        <v>417</v>
      </c>
      <c r="D42" s="32" t="s">
        <v>435</v>
      </c>
      <c r="E42" s="32" t="s">
        <v>1010</v>
      </c>
      <c r="F42" s="32" t="s">
        <v>157</v>
      </c>
      <c r="G42" s="32" t="s">
        <v>685</v>
      </c>
      <c r="H42" s="38">
        <v>12</v>
      </c>
      <c r="I42" s="36">
        <v>1.1</v>
      </c>
      <c r="J42" s="25">
        <f>IF(OR(H42="",I42=""),"",IF(H42=0,"",I42/H42))</f>
        <v>0</v>
      </c>
      <c r="K42" s="25">
        <f>IF(J42="","",J42*100)</f>
        <v>0</v>
      </c>
      <c r="L42" s="25">
        <f>IF(B42="","",IFERROR(AVERAGEIFS('Grocery Spending'!$L$5:$L$404,'Grocery Spending'!$H$5:$H$404,B42,'Grocery Spending'!$L$5:$L$404,"&gt;0"),""))</f>
        <v>0</v>
      </c>
      <c r="M42" s="25">
        <f>IF(B42="","",IF(COUNTIFS('Store Prices'!$B$5:$B$304,B42)=0,"",IF(SUMPRODUCT(MIN((('Store Prices'!$B$5:$B$304=B42)*(IFERROR('Store Prices'!$I$5:$I$304*1,0)&gt;0))*IFERROR('Store Prices'!$I$5:$I$304*1,0)+(1-(('Store Prices'!$B$5:$B$304=B42)*(IFERROR('Store Prices'!$I$5:$I$304*1,0)&gt;0)))*999999))&gt;=999999,"",SUMPRODUCT(MIN((('Store Prices'!$B$5:$B$304=B42)*(IFERROR('Store Prices'!$I$5:$I$304*1,0)&gt;0))*IFERROR('Store Prices'!$I$5:$I$304*1,0)+(1-(('Store Prices'!$B$5:$B$304=B42)*(IFERROR('Store Prices'!$I$5:$I$304*1,0)&gt;0)))*999999)))))</f>
        <v>0</v>
      </c>
      <c r="N42" s="17">
        <f>IF(M42="","",IFERROR(INDEX('Store Prices'!$C$5:$C$304,MATCH(1,INDEX(('Store Prices'!$B$5:$B$304=B42)*('Store Prices'!$I$5:$I$304=M42),0),0)),""))</f>
        <v>0</v>
      </c>
      <c r="O42" s="25">
        <f>IF(OR(M42="",J42=""),"",MAX(0,(J42-M42)*100))</f>
        <v>0</v>
      </c>
      <c r="P42" s="41">
        <v>6</v>
      </c>
      <c r="Q42" s="38">
        <v>0.3</v>
      </c>
      <c r="R42" s="38">
        <v>0.9</v>
      </c>
      <c r="S42" s="38">
        <v>0.1</v>
      </c>
      <c r="T42" s="38">
        <v>0</v>
      </c>
      <c r="U42" s="38">
        <v>0.2</v>
      </c>
      <c r="V42" s="41">
        <v>4</v>
      </c>
      <c r="W42" s="32" t="s">
        <v>372</v>
      </c>
      <c r="X42" s="32" t="s">
        <v>383</v>
      </c>
      <c r="Y42" s="32" t="s">
        <v>572</v>
      </c>
      <c r="Z42" s="35">
        <v>540</v>
      </c>
      <c r="AA42" s="32" t="s">
        <v>443</v>
      </c>
      <c r="AB42" s="32" t="s">
        <v>157</v>
      </c>
      <c r="AC42" s="15">
        <v>46290</v>
      </c>
      <c r="AD42" s="45">
        <f>IF(B42="","",SUMIFS(Pantry!$G$5:$G$304,Pantry!$B$5:$B$304,B42))</f>
        <v>0</v>
      </c>
      <c r="AE42" s="25">
        <f>IF(OR(AD42="",J42=""),"",AD42*J42)</f>
        <v>0</v>
      </c>
      <c r="AF42" s="18">
        <f>IF(B42="","",COUNTIFS('Recipe Ingredients'!$D$5:$D$1204,B42))</f>
        <v>0</v>
      </c>
      <c r="AG42" s="45">
        <f>IF(B42="","",SUMIFS('Recipe Ingredients'!$Y$5:$Y$1204,'Recipe Ingredients'!$D$5:$D$1204,B42))</f>
        <v>0</v>
      </c>
      <c r="AH42" s="30">
        <f>IF(B42="",0,IFERROR(K42*1,0)*IFERROR(AF42*1,0))</f>
        <v>0</v>
      </c>
      <c r="AI42" s="18">
        <f>IF(B42="","",COUNTIFS($AH$5:$AH$304,"&gt;"&amp;AH42)+COUNTIFS($AH$5:AH42,AH42))</f>
        <v>0</v>
      </c>
      <c r="AJ42" s="18">
        <f>IF(B42="",0,COUNTIFS('Food Waste'!$E$5:$E$154,B42))</f>
        <v>0</v>
      </c>
      <c r="AK42" s="18">
        <f>IF(B42="","",COUNTIFS($AJ$5:$AJ$304,"&gt;"&amp;AJ42)+COUNTIFS($AJ$5:AJ42,AJ42))</f>
        <v>0</v>
      </c>
      <c r="AL42" s="18">
        <f>IF(B42="","",IF(AG42&gt;0,COUNTIF(AG$5:AG42,"&gt;0"),""))</f>
        <v>0</v>
      </c>
      <c r="AM42" s="45">
        <f>IF(B42="","",SUMIFS('Grocery List'!$Q$5:$Q$304,'Grocery List'!$B$5:$B$304,B42))</f>
        <v>0</v>
      </c>
      <c r="AN42" s="31">
        <f>IF(B42="","",IF(I42="","Add - no price yet",IF(H42="","Add - no pack size",IF(COUNTIFS($B$5:$B$304,B42)&gt;1,"Duplicate - same name twice",IF(AF42=0,"Check - no recipe uses it","OK")))))</f>
        <v>0</v>
      </c>
      <c r="AO42" s="43" t="s">
        <v>157</v>
      </c>
    </row>
    <row r="43" spans="1:41">
      <c r="A43" s="39">
        <f>IF(B43="","",IngredientPrefix&amp;TEXT(ROW()-4,"0000"))</f>
        <v>0</v>
      </c>
      <c r="B43" s="32" t="s">
        <v>897</v>
      </c>
      <c r="C43" s="32" t="s">
        <v>420</v>
      </c>
      <c r="D43" s="32" t="s">
        <v>435</v>
      </c>
      <c r="E43" s="32" t="s">
        <v>214</v>
      </c>
      <c r="F43" s="32" t="s">
        <v>1012</v>
      </c>
      <c r="G43" s="32" t="s">
        <v>668</v>
      </c>
      <c r="H43" s="38">
        <v>50</v>
      </c>
      <c r="I43" s="36">
        <v>1.25</v>
      </c>
      <c r="J43" s="25">
        <f>IF(OR(H43="",I43=""),"",IF(H43=0,"",I43/H43))</f>
        <v>0</v>
      </c>
      <c r="K43" s="25">
        <f>IF(J43="","",J43*100)</f>
        <v>0</v>
      </c>
      <c r="L43" s="25">
        <f>IF(B43="","",IFERROR(AVERAGEIFS('Grocery Spending'!$L$5:$L$404,'Grocery Spending'!$H$5:$H$404,B43,'Grocery Spending'!$L$5:$L$404,"&gt;0"),""))</f>
        <v>0</v>
      </c>
      <c r="M43" s="25">
        <f>IF(B43="","",IF(COUNTIFS('Store Prices'!$B$5:$B$304,B43)=0,"",IF(SUMPRODUCT(MIN((('Store Prices'!$B$5:$B$304=B43)*(IFERROR('Store Prices'!$I$5:$I$304*1,0)&gt;0))*IFERROR('Store Prices'!$I$5:$I$304*1,0)+(1-(('Store Prices'!$B$5:$B$304=B43)*(IFERROR('Store Prices'!$I$5:$I$304*1,0)&gt;0)))*999999))&gt;=999999,"",SUMPRODUCT(MIN((('Store Prices'!$B$5:$B$304=B43)*(IFERROR('Store Prices'!$I$5:$I$304*1,0)&gt;0))*IFERROR('Store Prices'!$I$5:$I$304*1,0)+(1-(('Store Prices'!$B$5:$B$304=B43)*(IFERROR('Store Prices'!$I$5:$I$304*1,0)&gt;0)))*999999)))))</f>
        <v>0</v>
      </c>
      <c r="N43" s="17">
        <f>IF(M43="","",IFERROR(INDEX('Store Prices'!$C$5:$C$304,MATCH(1,INDEX(('Store Prices'!$B$5:$B$304=B43)*('Store Prices'!$I$5:$I$304=M43),0),0)),""))</f>
        <v>0</v>
      </c>
      <c r="O43" s="25">
        <f>IF(OR(M43="",J43=""),"",MAX(0,(J43-M43)*100))</f>
        <v>0</v>
      </c>
      <c r="P43" s="41">
        <v>282</v>
      </c>
      <c r="Q43" s="38">
        <v>14</v>
      </c>
      <c r="R43" s="38">
        <v>54</v>
      </c>
      <c r="S43" s="38">
        <v>13</v>
      </c>
      <c r="T43" s="38">
        <v>35</v>
      </c>
      <c r="U43" s="38">
        <v>13.5</v>
      </c>
      <c r="V43" s="41">
        <v>225</v>
      </c>
      <c r="W43" s="32" t="s">
        <v>372</v>
      </c>
      <c r="X43" s="32" t="s">
        <v>383</v>
      </c>
      <c r="Y43" s="32" t="s">
        <v>572</v>
      </c>
      <c r="Z43" s="35">
        <v>720</v>
      </c>
      <c r="AA43" s="32" t="s">
        <v>447</v>
      </c>
      <c r="AB43" s="32" t="s">
        <v>157</v>
      </c>
      <c r="AC43" s="15">
        <v>46294</v>
      </c>
      <c r="AD43" s="45">
        <f>IF(B43="","",SUMIFS(Pantry!$G$5:$G$304,Pantry!$B$5:$B$304,B43))</f>
        <v>0</v>
      </c>
      <c r="AE43" s="25">
        <f>IF(OR(AD43="",J43=""),"",AD43*J43)</f>
        <v>0</v>
      </c>
      <c r="AF43" s="18">
        <f>IF(B43="","",COUNTIFS('Recipe Ingredients'!$D$5:$D$1204,B43))</f>
        <v>0</v>
      </c>
      <c r="AG43" s="45">
        <f>IF(B43="","",SUMIFS('Recipe Ingredients'!$Y$5:$Y$1204,'Recipe Ingredients'!$D$5:$D$1204,B43))</f>
        <v>0</v>
      </c>
      <c r="AH43" s="30">
        <f>IF(B43="",0,IFERROR(K43*1,0)*IFERROR(AF43*1,0))</f>
        <v>0</v>
      </c>
      <c r="AI43" s="18">
        <f>IF(B43="","",COUNTIFS($AH$5:$AH$304,"&gt;"&amp;AH43)+COUNTIFS($AH$5:AH43,AH43))</f>
        <v>0</v>
      </c>
      <c r="AJ43" s="18">
        <f>IF(B43="",0,COUNTIFS('Food Waste'!$E$5:$E$154,B43))</f>
        <v>0</v>
      </c>
      <c r="AK43" s="18">
        <f>IF(B43="","",COUNTIFS($AJ$5:$AJ$304,"&gt;"&amp;AJ43)+COUNTIFS($AJ$5:AJ43,AJ43))</f>
        <v>0</v>
      </c>
      <c r="AL43" s="18">
        <f>IF(B43="","",IF(AG43&gt;0,COUNTIF(AG$5:AG43,"&gt;0"),""))</f>
        <v>0</v>
      </c>
      <c r="AM43" s="45">
        <f>IF(B43="","",SUMIFS('Grocery List'!$Q$5:$Q$304,'Grocery List'!$B$5:$B$304,B43))</f>
        <v>0</v>
      </c>
      <c r="AN43" s="31">
        <f>IF(B43="","",IF(I43="","Add - no price yet",IF(H43="","Add - no pack size",IF(COUNTIFS($B$5:$B$304,B43)&gt;1,"Duplicate - same name twice",IF(AF43=0,"Check - no recipe uses it","OK")))))</f>
        <v>0</v>
      </c>
      <c r="AO43" s="43" t="s">
        <v>157</v>
      </c>
    </row>
    <row r="44" spans="1:41">
      <c r="A44" s="39">
        <f>IF(B44="","",IngredientPrefix&amp;TEXT(ROW()-4,"0000"))</f>
        <v>0</v>
      </c>
      <c r="B44" s="32" t="s">
        <v>932</v>
      </c>
      <c r="C44" s="32" t="s">
        <v>420</v>
      </c>
      <c r="D44" s="32" t="s">
        <v>435</v>
      </c>
      <c r="E44" s="32" t="s">
        <v>214</v>
      </c>
      <c r="F44" s="32" t="s">
        <v>157</v>
      </c>
      <c r="G44" s="32" t="s">
        <v>668</v>
      </c>
      <c r="H44" s="38">
        <v>45</v>
      </c>
      <c r="I44" s="36">
        <v>1.2</v>
      </c>
      <c r="J44" s="25">
        <f>IF(OR(H44="",I44=""),"",IF(H44=0,"",I44/H44))</f>
        <v>0</v>
      </c>
      <c r="K44" s="25">
        <f>IF(J44="","",J44*100)</f>
        <v>0</v>
      </c>
      <c r="L44" s="25">
        <f>IF(B44="","",IFERROR(AVERAGEIFS('Grocery Spending'!$L$5:$L$404,'Grocery Spending'!$H$5:$H$404,B44,'Grocery Spending'!$L$5:$L$404,"&gt;0"),""))</f>
        <v>0</v>
      </c>
      <c r="M44" s="25">
        <f>IF(B44="","",IF(COUNTIFS('Store Prices'!$B$5:$B$304,B44)=0,"",IF(SUMPRODUCT(MIN((('Store Prices'!$B$5:$B$304=B44)*(IFERROR('Store Prices'!$I$5:$I$304*1,0)&gt;0))*IFERROR('Store Prices'!$I$5:$I$304*1,0)+(1-(('Store Prices'!$B$5:$B$304=B44)*(IFERROR('Store Prices'!$I$5:$I$304*1,0)&gt;0)))*999999))&gt;=999999,"",SUMPRODUCT(MIN((('Store Prices'!$B$5:$B$304=B44)*(IFERROR('Store Prices'!$I$5:$I$304*1,0)&gt;0))*IFERROR('Store Prices'!$I$5:$I$304*1,0)+(1-(('Store Prices'!$B$5:$B$304=B44)*(IFERROR('Store Prices'!$I$5:$I$304*1,0)&gt;0)))*999999)))))</f>
        <v>0</v>
      </c>
      <c r="N44" s="17">
        <f>IF(M44="","",IFERROR(INDEX('Store Prices'!$C$5:$C$304,MATCH(1,INDEX(('Store Prices'!$B$5:$B$304=B44)*('Store Prices'!$I$5:$I$304=M44),0),0)),""))</f>
        <v>0</v>
      </c>
      <c r="O44" s="25">
        <f>IF(OR(M44="",J44=""),"",MAX(0,(J44-M44)*100))</f>
        <v>0</v>
      </c>
      <c r="P44" s="41">
        <v>375</v>
      </c>
      <c r="Q44" s="38">
        <v>18</v>
      </c>
      <c r="R44" s="38">
        <v>44</v>
      </c>
      <c r="S44" s="38">
        <v>22</v>
      </c>
      <c r="T44" s="38">
        <v>11</v>
      </c>
      <c r="U44" s="38">
        <v>11</v>
      </c>
      <c r="V44" s="41">
        <v>300</v>
      </c>
      <c r="W44" s="32" t="s">
        <v>372</v>
      </c>
      <c r="X44" s="32" t="s">
        <v>383</v>
      </c>
      <c r="Y44" s="32" t="s">
        <v>572</v>
      </c>
      <c r="Z44" s="35">
        <v>720</v>
      </c>
      <c r="AA44" s="32" t="s">
        <v>447</v>
      </c>
      <c r="AB44" s="32" t="s">
        <v>157</v>
      </c>
      <c r="AC44" s="15">
        <v>46296</v>
      </c>
      <c r="AD44" s="45">
        <f>IF(B44="","",SUMIFS(Pantry!$G$5:$G$304,Pantry!$B$5:$B$304,B44))</f>
        <v>0</v>
      </c>
      <c r="AE44" s="25">
        <f>IF(OR(AD44="",J44=""),"",AD44*J44)</f>
        <v>0</v>
      </c>
      <c r="AF44" s="18">
        <f>IF(B44="","",COUNTIFS('Recipe Ingredients'!$D$5:$D$1204,B44))</f>
        <v>0</v>
      </c>
      <c r="AG44" s="45">
        <f>IF(B44="","",SUMIFS('Recipe Ingredients'!$Y$5:$Y$1204,'Recipe Ingredients'!$D$5:$D$1204,B44))</f>
        <v>0</v>
      </c>
      <c r="AH44" s="30">
        <f>IF(B44="",0,IFERROR(K44*1,0)*IFERROR(AF44*1,0))</f>
        <v>0</v>
      </c>
      <c r="AI44" s="18">
        <f>IF(B44="","",COUNTIFS($AH$5:$AH$304,"&gt;"&amp;AH44)+COUNTIFS($AH$5:AH44,AH44))</f>
        <v>0</v>
      </c>
      <c r="AJ44" s="18">
        <f>IF(B44="",0,COUNTIFS('Food Waste'!$E$5:$E$154,B44))</f>
        <v>0</v>
      </c>
      <c r="AK44" s="18">
        <f>IF(B44="","",COUNTIFS($AJ$5:$AJ$304,"&gt;"&amp;AJ44)+COUNTIFS($AJ$5:AJ44,AJ44))</f>
        <v>0</v>
      </c>
      <c r="AL44" s="18">
        <f>IF(B44="","",IF(AG44&gt;0,COUNTIF(AG$5:AG44,"&gt;0"),""))</f>
        <v>0</v>
      </c>
      <c r="AM44" s="45">
        <f>IF(B44="","",SUMIFS('Grocery List'!$Q$5:$Q$304,'Grocery List'!$B$5:$B$304,B44))</f>
        <v>0</v>
      </c>
      <c r="AN44" s="31">
        <f>IF(B44="","",IF(I44="","Add - no price yet",IF(H44="","Add - no pack size",IF(COUNTIFS($B$5:$B$304,B44)&gt;1,"Duplicate - same name twice",IF(AF44=0,"Check - no recipe uses it","OK")))))</f>
        <v>0</v>
      </c>
      <c r="AO44" s="43" t="s">
        <v>157</v>
      </c>
    </row>
    <row r="45" spans="1:41">
      <c r="A45" s="39">
        <f>IF(B45="","",IngredientPrefix&amp;TEXT(ROW()-4,"0000"))</f>
        <v>0</v>
      </c>
      <c r="B45" s="32" t="s">
        <v>948</v>
      </c>
      <c r="C45" s="32" t="s">
        <v>416</v>
      </c>
      <c r="D45" s="32" t="s">
        <v>427</v>
      </c>
      <c r="E45" s="32" t="s">
        <v>1013</v>
      </c>
      <c r="F45" s="32" t="s">
        <v>157</v>
      </c>
      <c r="G45" s="32" t="s">
        <v>668</v>
      </c>
      <c r="H45" s="38">
        <v>800</v>
      </c>
      <c r="I45" s="36">
        <v>1.35</v>
      </c>
      <c r="J45" s="25">
        <f>IF(OR(H45="",I45=""),"",IF(H45=0,"",I45/H45))</f>
        <v>0</v>
      </c>
      <c r="K45" s="25">
        <f>IF(J45="","",J45*100)</f>
        <v>0</v>
      </c>
      <c r="L45" s="25">
        <f>IF(B45="","",IFERROR(AVERAGEIFS('Grocery Spending'!$L$5:$L$404,'Grocery Spending'!$H$5:$H$404,B45,'Grocery Spending'!$L$5:$L$404,"&gt;0"),""))</f>
        <v>0</v>
      </c>
      <c r="M45" s="25">
        <f>IF(B45="","",IF(COUNTIFS('Store Prices'!$B$5:$B$304,B45)=0,"",IF(SUMPRODUCT(MIN((('Store Prices'!$B$5:$B$304=B45)*(IFERROR('Store Prices'!$I$5:$I$304*1,0)&gt;0))*IFERROR('Store Prices'!$I$5:$I$304*1,0)+(1-(('Store Prices'!$B$5:$B$304=B45)*(IFERROR('Store Prices'!$I$5:$I$304*1,0)&gt;0)))*999999))&gt;=999999,"",SUMPRODUCT(MIN((('Store Prices'!$B$5:$B$304=B45)*(IFERROR('Store Prices'!$I$5:$I$304*1,0)&gt;0))*IFERROR('Store Prices'!$I$5:$I$304*1,0)+(1-(('Store Prices'!$B$5:$B$304=B45)*(IFERROR('Store Prices'!$I$5:$I$304*1,0)&gt;0)))*999999)))))</f>
        <v>0</v>
      </c>
      <c r="N45" s="17">
        <f>IF(M45="","",IFERROR(INDEX('Store Prices'!$C$5:$C$304,MATCH(1,INDEX(('Store Prices'!$B$5:$B$304=B45)*('Store Prices'!$I$5:$I$304=M45),0),0)),""))</f>
        <v>0</v>
      </c>
      <c r="O45" s="25">
        <f>IF(OR(M45="",J45=""),"",MAX(0,(J45-M45)*100))</f>
        <v>0</v>
      </c>
      <c r="P45" s="41">
        <v>265</v>
      </c>
      <c r="Q45" s="38">
        <v>9</v>
      </c>
      <c r="R45" s="38">
        <v>49</v>
      </c>
      <c r="S45" s="38">
        <v>3.2</v>
      </c>
      <c r="T45" s="38">
        <v>2.7</v>
      </c>
      <c r="U45" s="38">
        <v>12.2</v>
      </c>
      <c r="V45" s="41">
        <v>212</v>
      </c>
      <c r="W45" s="32" t="s">
        <v>399</v>
      </c>
      <c r="X45" s="32" t="s">
        <v>383</v>
      </c>
      <c r="Y45" s="32" t="s">
        <v>572</v>
      </c>
      <c r="Z45" s="35">
        <v>5</v>
      </c>
      <c r="AA45" s="32" t="s">
        <v>443</v>
      </c>
      <c r="AB45" s="32" t="s">
        <v>157</v>
      </c>
      <c r="AC45" s="15">
        <v>46299</v>
      </c>
      <c r="AD45" s="45">
        <f>IF(B45="","",SUMIFS(Pantry!$G$5:$G$304,Pantry!$B$5:$B$304,B45))</f>
        <v>0</v>
      </c>
      <c r="AE45" s="25">
        <f>IF(OR(AD45="",J45=""),"",AD45*J45)</f>
        <v>0</v>
      </c>
      <c r="AF45" s="18">
        <f>IF(B45="","",COUNTIFS('Recipe Ingredients'!$D$5:$D$1204,B45))</f>
        <v>0</v>
      </c>
      <c r="AG45" s="45">
        <f>IF(B45="","",SUMIFS('Recipe Ingredients'!$Y$5:$Y$1204,'Recipe Ingredients'!$D$5:$D$1204,B45))</f>
        <v>0</v>
      </c>
      <c r="AH45" s="30">
        <f>IF(B45="",0,IFERROR(K45*1,0)*IFERROR(AF45*1,0))</f>
        <v>0</v>
      </c>
      <c r="AI45" s="18">
        <f>IF(B45="","",COUNTIFS($AH$5:$AH$304,"&gt;"&amp;AH45)+COUNTIFS($AH$5:AH45,AH45))</f>
        <v>0</v>
      </c>
      <c r="AJ45" s="18">
        <f>IF(B45="",0,COUNTIFS('Food Waste'!$E$5:$E$154,B45))</f>
        <v>0</v>
      </c>
      <c r="AK45" s="18">
        <f>IF(B45="","",COUNTIFS($AJ$5:$AJ$304,"&gt;"&amp;AJ45)+COUNTIFS($AJ$5:AJ45,AJ45))</f>
        <v>0</v>
      </c>
      <c r="AL45" s="18">
        <f>IF(B45="","",IF(AG45&gt;0,COUNTIF(AG$5:AG45,"&gt;0"),""))</f>
        <v>0</v>
      </c>
      <c r="AM45" s="45">
        <f>IF(B45="","",SUMIFS('Grocery List'!$Q$5:$Q$304,'Grocery List'!$B$5:$B$304,B45))</f>
        <v>0</v>
      </c>
      <c r="AN45" s="31">
        <f>IF(B45="","",IF(I45="","Add - no price yet",IF(H45="","Add - no pack size",IF(COUNTIFS($B$5:$B$304,B45)&gt;1,"Duplicate - same name twice",IF(AF45=0,"Check - no recipe uses it","OK")))))</f>
        <v>0</v>
      </c>
      <c r="AO45" s="43" t="s">
        <v>157</v>
      </c>
    </row>
    <row r="46" spans="1:41">
      <c r="A46" s="39">
        <f>IF(B46="","",IngredientPrefix&amp;TEXT(ROW()-4,"0000"))</f>
        <v>0</v>
      </c>
      <c r="B46" s="32" t="s">
        <v>927</v>
      </c>
      <c r="C46" s="32" t="s">
        <v>416</v>
      </c>
      <c r="D46" s="32" t="s">
        <v>427</v>
      </c>
      <c r="E46" s="32" t="s">
        <v>214</v>
      </c>
      <c r="F46" s="32" t="s">
        <v>157</v>
      </c>
      <c r="G46" s="32" t="s">
        <v>685</v>
      </c>
      <c r="H46" s="38">
        <v>8</v>
      </c>
      <c r="I46" s="36">
        <v>1.5</v>
      </c>
      <c r="J46" s="25">
        <f>IF(OR(H46="",I46=""),"",IF(H46=0,"",I46/H46))</f>
        <v>0</v>
      </c>
      <c r="K46" s="25">
        <f>IF(J46="","",J46*100)</f>
        <v>0</v>
      </c>
      <c r="L46" s="25">
        <f>IF(B46="","",IFERROR(AVERAGEIFS('Grocery Spending'!$L$5:$L$404,'Grocery Spending'!$H$5:$H$404,B46,'Grocery Spending'!$L$5:$L$404,"&gt;0"),""))</f>
        <v>0</v>
      </c>
      <c r="M46" s="25">
        <f>IF(B46="","",IF(COUNTIFS('Store Prices'!$B$5:$B$304,B46)=0,"",IF(SUMPRODUCT(MIN((('Store Prices'!$B$5:$B$304=B46)*(IFERROR('Store Prices'!$I$5:$I$304*1,0)&gt;0))*IFERROR('Store Prices'!$I$5:$I$304*1,0)+(1-(('Store Prices'!$B$5:$B$304=B46)*(IFERROR('Store Prices'!$I$5:$I$304*1,0)&gt;0)))*999999))&gt;=999999,"",SUMPRODUCT(MIN((('Store Prices'!$B$5:$B$304=B46)*(IFERROR('Store Prices'!$I$5:$I$304*1,0)&gt;0))*IFERROR('Store Prices'!$I$5:$I$304*1,0)+(1-(('Store Prices'!$B$5:$B$304=B46)*(IFERROR('Store Prices'!$I$5:$I$304*1,0)&gt;0)))*999999)))))</f>
        <v>0</v>
      </c>
      <c r="N46" s="17">
        <f>IF(M46="","",IFERROR(INDEX('Store Prices'!$C$5:$C$304,MATCH(1,INDEX(('Store Prices'!$B$5:$B$304=B46)*('Store Prices'!$I$5:$I$304=M46),0),0)),""))</f>
        <v>0</v>
      </c>
      <c r="O46" s="25">
        <f>IF(OR(M46="",J46=""),"",MAX(0,(J46-M46)*100))</f>
        <v>0</v>
      </c>
      <c r="P46" s="41">
        <v>218</v>
      </c>
      <c r="Q46" s="38">
        <v>7</v>
      </c>
      <c r="R46" s="38">
        <v>36</v>
      </c>
      <c r="S46" s="38">
        <v>5</v>
      </c>
      <c r="T46" s="38">
        <v>2</v>
      </c>
      <c r="U46" s="38">
        <v>9</v>
      </c>
      <c r="V46" s="41">
        <v>174</v>
      </c>
      <c r="W46" s="32" t="s">
        <v>399</v>
      </c>
      <c r="X46" s="32" t="s">
        <v>383</v>
      </c>
      <c r="Y46" s="32" t="s">
        <v>572</v>
      </c>
      <c r="Z46" s="35">
        <v>14</v>
      </c>
      <c r="AA46" s="32" t="s">
        <v>443</v>
      </c>
      <c r="AB46" s="32" t="s">
        <v>157</v>
      </c>
      <c r="AC46" s="15">
        <v>46292</v>
      </c>
      <c r="AD46" s="45">
        <f>IF(B46="","",SUMIFS(Pantry!$G$5:$G$304,Pantry!$B$5:$B$304,B46))</f>
        <v>0</v>
      </c>
      <c r="AE46" s="25">
        <f>IF(OR(AD46="",J46=""),"",AD46*J46)</f>
        <v>0</v>
      </c>
      <c r="AF46" s="18">
        <f>IF(B46="","",COUNTIFS('Recipe Ingredients'!$D$5:$D$1204,B46))</f>
        <v>0</v>
      </c>
      <c r="AG46" s="45">
        <f>IF(B46="","",SUMIFS('Recipe Ingredients'!$Y$5:$Y$1204,'Recipe Ingredients'!$D$5:$D$1204,B46))</f>
        <v>0</v>
      </c>
      <c r="AH46" s="30">
        <f>IF(B46="",0,IFERROR(K46*1,0)*IFERROR(AF46*1,0))</f>
        <v>0</v>
      </c>
      <c r="AI46" s="18">
        <f>IF(B46="","",COUNTIFS($AH$5:$AH$304,"&gt;"&amp;AH46)+COUNTIFS($AH$5:AH46,AH46))</f>
        <v>0</v>
      </c>
      <c r="AJ46" s="18">
        <f>IF(B46="",0,COUNTIFS('Food Waste'!$E$5:$E$154,B46))</f>
        <v>0</v>
      </c>
      <c r="AK46" s="18">
        <f>IF(B46="","",COUNTIFS($AJ$5:$AJ$304,"&gt;"&amp;AJ46)+COUNTIFS($AJ$5:AJ46,AJ46))</f>
        <v>0</v>
      </c>
      <c r="AL46" s="18">
        <f>IF(B46="","",IF(AG46&gt;0,COUNTIF(AG$5:AG46,"&gt;0"),""))</f>
        <v>0</v>
      </c>
      <c r="AM46" s="45">
        <f>IF(B46="","",SUMIFS('Grocery List'!$Q$5:$Q$304,'Grocery List'!$B$5:$B$304,B46))</f>
        <v>0</v>
      </c>
      <c r="AN46" s="31">
        <f>IF(B46="","",IF(I46="","Add - no price yet",IF(H46="","Add - no pack size",IF(COUNTIFS($B$5:$B$304,B46)&gt;1,"Duplicate - same name twice",IF(AF46=0,"Check - no recipe uses it","OK")))))</f>
        <v>0</v>
      </c>
      <c r="AO46" s="43" t="s">
        <v>157</v>
      </c>
    </row>
    <row r="47" spans="1:41">
      <c r="A47" s="39">
        <f>IF(B47="","",IngredientPrefix&amp;TEXT(ROW()-4,"0000"))</f>
        <v>0</v>
      </c>
      <c r="B47" s="32" t="s">
        <v>943</v>
      </c>
      <c r="C47" s="32" t="s">
        <v>417</v>
      </c>
      <c r="D47" s="32" t="s">
        <v>433</v>
      </c>
      <c r="E47" s="32" t="s">
        <v>1010</v>
      </c>
      <c r="F47" s="32" t="s">
        <v>1012</v>
      </c>
      <c r="G47" s="32" t="s">
        <v>668</v>
      </c>
      <c r="H47" s="38">
        <v>1000</v>
      </c>
      <c r="I47" s="36">
        <v>1.3</v>
      </c>
      <c r="J47" s="25">
        <f>IF(OR(H47="",I47=""),"",IF(H47=0,"",I47/H47))</f>
        <v>0</v>
      </c>
      <c r="K47" s="25">
        <f>IF(J47="","",J47*100)</f>
        <v>0</v>
      </c>
      <c r="L47" s="25">
        <f>IF(B47="","",IFERROR(AVERAGEIFS('Grocery Spending'!$L$5:$L$404,'Grocery Spending'!$H$5:$H$404,B47,'Grocery Spending'!$L$5:$L$404,"&gt;0"),""))</f>
        <v>0</v>
      </c>
      <c r="M47" s="25">
        <f>IF(B47="","",IF(COUNTIFS('Store Prices'!$B$5:$B$304,B47)=0,"",IF(SUMPRODUCT(MIN((('Store Prices'!$B$5:$B$304=B47)*(IFERROR('Store Prices'!$I$5:$I$304*1,0)&gt;0))*IFERROR('Store Prices'!$I$5:$I$304*1,0)+(1-(('Store Prices'!$B$5:$B$304=B47)*(IFERROR('Store Prices'!$I$5:$I$304*1,0)&gt;0)))*999999))&gt;=999999,"",SUMPRODUCT(MIN((('Store Prices'!$B$5:$B$304=B47)*(IFERROR('Store Prices'!$I$5:$I$304*1,0)&gt;0))*IFERROR('Store Prices'!$I$5:$I$304*1,0)+(1-(('Store Prices'!$B$5:$B$304=B47)*(IFERROR('Store Prices'!$I$5:$I$304*1,0)&gt;0)))*999999)))))</f>
        <v>0</v>
      </c>
      <c r="N47" s="17">
        <f>IF(M47="","",IFERROR(INDEX('Store Prices'!$C$5:$C$304,MATCH(1,INDEX(('Store Prices'!$B$5:$B$304=B47)*('Store Prices'!$I$5:$I$304=M47),0),0)),""))</f>
        <v>0</v>
      </c>
      <c r="O47" s="25">
        <f>IF(OR(M47="",J47=""),"",MAX(0,(J47-M47)*100))</f>
        <v>0</v>
      </c>
      <c r="P47" s="41">
        <v>379</v>
      </c>
      <c r="Q47" s="38">
        <v>13</v>
      </c>
      <c r="R47" s="38">
        <v>67</v>
      </c>
      <c r="S47" s="38">
        <v>6.5</v>
      </c>
      <c r="T47" s="38">
        <v>10</v>
      </c>
      <c r="U47" s="38">
        <v>16.8</v>
      </c>
      <c r="V47" s="41">
        <v>303</v>
      </c>
      <c r="W47" s="32" t="s">
        <v>372</v>
      </c>
      <c r="X47" s="32" t="s">
        <v>383</v>
      </c>
      <c r="Y47" s="32" t="s">
        <v>572</v>
      </c>
      <c r="Z47" s="35">
        <v>365</v>
      </c>
      <c r="AA47" s="32" t="s">
        <v>443</v>
      </c>
      <c r="AB47" s="32" t="s">
        <v>157</v>
      </c>
      <c r="AC47" s="15">
        <v>46297</v>
      </c>
      <c r="AD47" s="45">
        <f>IF(B47="","",SUMIFS(Pantry!$G$5:$G$304,Pantry!$B$5:$B$304,B47))</f>
        <v>0</v>
      </c>
      <c r="AE47" s="25">
        <f>IF(OR(AD47="",J47=""),"",AD47*J47)</f>
        <v>0</v>
      </c>
      <c r="AF47" s="18">
        <f>IF(B47="","",COUNTIFS('Recipe Ingredients'!$D$5:$D$1204,B47))</f>
        <v>0</v>
      </c>
      <c r="AG47" s="45">
        <f>IF(B47="","",SUMIFS('Recipe Ingredients'!$Y$5:$Y$1204,'Recipe Ingredients'!$D$5:$D$1204,B47))</f>
        <v>0</v>
      </c>
      <c r="AH47" s="30">
        <f>IF(B47="",0,IFERROR(K47*1,0)*IFERROR(AF47*1,0))</f>
        <v>0</v>
      </c>
      <c r="AI47" s="18">
        <f>IF(B47="","",COUNTIFS($AH$5:$AH$304,"&gt;"&amp;AH47)+COUNTIFS($AH$5:AH47,AH47))</f>
        <v>0</v>
      </c>
      <c r="AJ47" s="18">
        <f>IF(B47="",0,COUNTIFS('Food Waste'!$E$5:$E$154,B47))</f>
        <v>0</v>
      </c>
      <c r="AK47" s="18">
        <f>IF(B47="","",COUNTIFS($AJ$5:$AJ$304,"&gt;"&amp;AJ47)+COUNTIFS($AJ$5:AJ47,AJ47))</f>
        <v>0</v>
      </c>
      <c r="AL47" s="18">
        <f>IF(B47="","",IF(AG47&gt;0,COUNTIF(AG$5:AG47,"&gt;0"),""))</f>
        <v>0</v>
      </c>
      <c r="AM47" s="45">
        <f>IF(B47="","",SUMIFS('Grocery List'!$Q$5:$Q$304,'Grocery List'!$B$5:$B$304,B47))</f>
        <v>0</v>
      </c>
      <c r="AN47" s="31">
        <f>IF(B47="","",IF(I47="","Add - no price yet",IF(H47="","Add - no pack size",IF(COUNTIFS($B$5:$B$304,B47)&gt;1,"Duplicate - same name twice",IF(AF47=0,"Check - no recipe uses it","OK")))))</f>
        <v>0</v>
      </c>
      <c r="AO47" s="43" t="s">
        <v>157</v>
      </c>
    </row>
    <row r="48" spans="1:41">
      <c r="A48" s="39">
        <f>IF(B48="","",IngredientPrefix&amp;TEXT(ROW()-4,"0000"))</f>
        <v>0</v>
      </c>
      <c r="B48" s="32" t="s">
        <v>1016</v>
      </c>
      <c r="C48" s="32" t="s">
        <v>417</v>
      </c>
      <c r="D48" s="32" t="s">
        <v>434</v>
      </c>
      <c r="E48" s="32" t="s">
        <v>1015</v>
      </c>
      <c r="F48" s="32" t="s">
        <v>1012</v>
      </c>
      <c r="G48" s="32" t="s">
        <v>668</v>
      </c>
      <c r="H48" s="38">
        <v>340</v>
      </c>
      <c r="I48" s="36">
        <v>2.95</v>
      </c>
      <c r="J48" s="25">
        <f>IF(OR(H48="",I48=""),"",IF(H48=0,"",I48/H48))</f>
        <v>0</v>
      </c>
      <c r="K48" s="25">
        <f>IF(J48="","",J48*100)</f>
        <v>0</v>
      </c>
      <c r="L48" s="25">
        <f>IF(B48="","",IFERROR(AVERAGEIFS('Grocery Spending'!$L$5:$L$404,'Grocery Spending'!$H$5:$H$404,B48,'Grocery Spending'!$L$5:$L$404,"&gt;0"),""))</f>
        <v>0</v>
      </c>
      <c r="M48" s="25">
        <f>IF(B48="","",IF(COUNTIFS('Store Prices'!$B$5:$B$304,B48)=0,"",IF(SUMPRODUCT(MIN((('Store Prices'!$B$5:$B$304=B48)*(IFERROR('Store Prices'!$I$5:$I$304*1,0)&gt;0))*IFERROR('Store Prices'!$I$5:$I$304*1,0)+(1-(('Store Prices'!$B$5:$B$304=B48)*(IFERROR('Store Prices'!$I$5:$I$304*1,0)&gt;0)))*999999))&gt;=999999,"",SUMPRODUCT(MIN((('Store Prices'!$B$5:$B$304=B48)*(IFERROR('Store Prices'!$I$5:$I$304*1,0)&gt;0))*IFERROR('Store Prices'!$I$5:$I$304*1,0)+(1-(('Store Prices'!$B$5:$B$304=B48)*(IFERROR('Store Prices'!$I$5:$I$304*1,0)&gt;0)))*999999)))))</f>
        <v>0</v>
      </c>
      <c r="N48" s="17">
        <f>IF(M48="","",IFERROR(INDEX('Store Prices'!$C$5:$C$304,MATCH(1,INDEX(('Store Prices'!$B$5:$B$304=B48)*('Store Prices'!$I$5:$I$304=M48),0),0)),""))</f>
        <v>0</v>
      </c>
      <c r="O48" s="25">
        <f>IF(OR(M48="",J48=""),"",MAX(0,(J48-M48)*100))</f>
        <v>0</v>
      </c>
      <c r="P48" s="41">
        <v>588</v>
      </c>
      <c r="Q48" s="38">
        <v>25</v>
      </c>
      <c r="R48" s="38">
        <v>20</v>
      </c>
      <c r="S48" s="38">
        <v>50</v>
      </c>
      <c r="T48" s="38">
        <v>6</v>
      </c>
      <c r="U48" s="38">
        <v>5</v>
      </c>
      <c r="V48" s="41">
        <v>470</v>
      </c>
      <c r="W48" s="32" t="s">
        <v>408</v>
      </c>
      <c r="X48" s="32" t="s">
        <v>383</v>
      </c>
      <c r="Y48" s="32" t="s">
        <v>572</v>
      </c>
      <c r="Z48" s="35">
        <v>365</v>
      </c>
      <c r="AA48" s="32" t="s">
        <v>443</v>
      </c>
      <c r="AB48" s="32" t="s">
        <v>157</v>
      </c>
      <c r="AC48" s="15">
        <v>46292</v>
      </c>
      <c r="AD48" s="45">
        <f>IF(B48="","",SUMIFS(Pantry!$G$5:$G$304,Pantry!$B$5:$B$304,B48))</f>
        <v>0</v>
      </c>
      <c r="AE48" s="25">
        <f>IF(OR(AD48="",J48=""),"",AD48*J48)</f>
        <v>0</v>
      </c>
      <c r="AF48" s="18">
        <f>IF(B48="","",COUNTIFS('Recipe Ingredients'!$D$5:$D$1204,B48))</f>
        <v>0</v>
      </c>
      <c r="AG48" s="45">
        <f>IF(B48="","",SUMIFS('Recipe Ingredients'!$Y$5:$Y$1204,'Recipe Ingredients'!$D$5:$D$1204,B48))</f>
        <v>0</v>
      </c>
      <c r="AH48" s="30">
        <f>IF(B48="",0,IFERROR(K48*1,0)*IFERROR(AF48*1,0))</f>
        <v>0</v>
      </c>
      <c r="AI48" s="18">
        <f>IF(B48="","",COUNTIFS($AH$5:$AH$304,"&gt;"&amp;AH48)+COUNTIFS($AH$5:AH48,AH48))</f>
        <v>0</v>
      </c>
      <c r="AJ48" s="18">
        <f>IF(B48="",0,COUNTIFS('Food Waste'!$E$5:$E$154,B48))</f>
        <v>0</v>
      </c>
      <c r="AK48" s="18">
        <f>IF(B48="","",COUNTIFS($AJ$5:$AJ$304,"&gt;"&amp;AJ48)+COUNTIFS($AJ$5:AJ48,AJ48))</f>
        <v>0</v>
      </c>
      <c r="AL48" s="18">
        <f>IF(B48="","",IF(AG48&gt;0,COUNTIF(AG$5:AG48,"&gt;0"),""))</f>
        <v>0</v>
      </c>
      <c r="AM48" s="45">
        <f>IF(B48="","",SUMIFS('Grocery List'!$Q$5:$Q$304,'Grocery List'!$B$5:$B$304,B48))</f>
        <v>0</v>
      </c>
      <c r="AN48" s="31">
        <f>IF(B48="","",IF(I48="","Add - no price yet",IF(H48="","Add - no pack size",IF(COUNTIFS($B$5:$B$304,B48)&gt;1,"Duplicate - same name twice",IF(AF48=0,"Check - no recipe uses it","OK")))))</f>
        <v>0</v>
      </c>
      <c r="AO48" s="43" t="s">
        <v>157</v>
      </c>
    </row>
    <row r="49" spans="1:41">
      <c r="A49" s="39">
        <f>IF(B49="","",IngredientPrefix&amp;TEXT(ROW()-4,"0000"))</f>
        <v>0</v>
      </c>
      <c r="B49" s="32" t="s">
        <v>941</v>
      </c>
      <c r="C49" s="32" t="s">
        <v>417</v>
      </c>
      <c r="D49" s="32" t="s">
        <v>434</v>
      </c>
      <c r="E49" s="32" t="s">
        <v>1011</v>
      </c>
      <c r="F49" s="32" t="s">
        <v>1012</v>
      </c>
      <c r="G49" s="32" t="s">
        <v>668</v>
      </c>
      <c r="H49" s="38">
        <v>340</v>
      </c>
      <c r="I49" s="36">
        <v>3.8</v>
      </c>
      <c r="J49" s="25">
        <f>IF(OR(H49="",I49=""),"",IF(H49=0,"",I49/H49))</f>
        <v>0</v>
      </c>
      <c r="K49" s="25">
        <f>IF(J49="","",J49*100)</f>
        <v>0</v>
      </c>
      <c r="L49" s="25">
        <f>IF(B49="","",IFERROR(AVERAGEIFS('Grocery Spending'!$L$5:$L$404,'Grocery Spending'!$H$5:$H$404,B49,'Grocery Spending'!$L$5:$L$404,"&gt;0"),""))</f>
        <v>0</v>
      </c>
      <c r="M49" s="25">
        <f>IF(B49="","",IF(COUNTIFS('Store Prices'!$B$5:$B$304,B49)=0,"",IF(SUMPRODUCT(MIN((('Store Prices'!$B$5:$B$304=B49)*(IFERROR('Store Prices'!$I$5:$I$304*1,0)&gt;0))*IFERROR('Store Prices'!$I$5:$I$304*1,0)+(1-(('Store Prices'!$B$5:$B$304=B49)*(IFERROR('Store Prices'!$I$5:$I$304*1,0)&gt;0)))*999999))&gt;=999999,"",SUMPRODUCT(MIN((('Store Prices'!$B$5:$B$304=B49)*(IFERROR('Store Prices'!$I$5:$I$304*1,0)&gt;0))*IFERROR('Store Prices'!$I$5:$I$304*1,0)+(1-(('Store Prices'!$B$5:$B$304=B49)*(IFERROR('Store Prices'!$I$5:$I$304*1,0)&gt;0)))*999999)))))</f>
        <v>0</v>
      </c>
      <c r="N49" s="17">
        <f>IF(M49="","",IFERROR(INDEX('Store Prices'!$C$5:$C$304,MATCH(1,INDEX(('Store Prices'!$B$5:$B$304=B49)*('Store Prices'!$I$5:$I$304=M49),0),0)),""))</f>
        <v>0</v>
      </c>
      <c r="O49" s="25">
        <f>IF(OR(M49="",J49=""),"",MAX(0,(J49-M49)*100))</f>
        <v>0</v>
      </c>
      <c r="P49" s="41">
        <v>304</v>
      </c>
      <c r="Q49" s="38">
        <v>0.3</v>
      </c>
      <c r="R49" s="38">
        <v>82</v>
      </c>
      <c r="S49" s="38">
        <v>0</v>
      </c>
      <c r="T49" s="38">
        <v>0.2</v>
      </c>
      <c r="U49" s="38">
        <v>20.5</v>
      </c>
      <c r="V49" s="41">
        <v>243</v>
      </c>
      <c r="W49" s="32" t="s">
        <v>372</v>
      </c>
      <c r="X49" s="32" t="s">
        <v>382</v>
      </c>
      <c r="Y49" s="32" t="s">
        <v>572</v>
      </c>
      <c r="Z49" s="35">
        <v>720</v>
      </c>
      <c r="AA49" s="32" t="s">
        <v>443</v>
      </c>
      <c r="AB49" s="32" t="s">
        <v>157</v>
      </c>
      <c r="AC49" s="15">
        <v>46299</v>
      </c>
      <c r="AD49" s="45">
        <f>IF(B49="","",SUMIFS(Pantry!$G$5:$G$304,Pantry!$B$5:$B$304,B49))</f>
        <v>0</v>
      </c>
      <c r="AE49" s="25">
        <f>IF(OR(AD49="",J49=""),"",AD49*J49)</f>
        <v>0</v>
      </c>
      <c r="AF49" s="18">
        <f>IF(B49="","",COUNTIFS('Recipe Ingredients'!$D$5:$D$1204,B49))</f>
        <v>0</v>
      </c>
      <c r="AG49" s="45">
        <f>IF(B49="","",SUMIFS('Recipe Ingredients'!$Y$5:$Y$1204,'Recipe Ingredients'!$D$5:$D$1204,B49))</f>
        <v>0</v>
      </c>
      <c r="AH49" s="30">
        <f>IF(B49="",0,IFERROR(K49*1,0)*IFERROR(AF49*1,0))</f>
        <v>0</v>
      </c>
      <c r="AI49" s="18">
        <f>IF(B49="","",COUNTIFS($AH$5:$AH$304,"&gt;"&amp;AH49)+COUNTIFS($AH$5:AH49,AH49))</f>
        <v>0</v>
      </c>
      <c r="AJ49" s="18">
        <f>IF(B49="",0,COUNTIFS('Food Waste'!$E$5:$E$154,B49))</f>
        <v>0</v>
      </c>
      <c r="AK49" s="18">
        <f>IF(B49="","",COUNTIFS($AJ$5:$AJ$304,"&gt;"&amp;AJ49)+COUNTIFS($AJ$5:AJ49,AJ49))</f>
        <v>0</v>
      </c>
      <c r="AL49" s="18">
        <f>IF(B49="","",IF(AG49&gt;0,COUNTIF(AG$5:AG49,"&gt;0"),""))</f>
        <v>0</v>
      </c>
      <c r="AM49" s="45">
        <f>IF(B49="","",SUMIFS('Grocery List'!$Q$5:$Q$304,'Grocery List'!$B$5:$B$304,B49))</f>
        <v>0</v>
      </c>
      <c r="AN49" s="31">
        <f>IF(B49="","",IF(I49="","Add - no price yet",IF(H49="","Add - no pack size",IF(COUNTIFS($B$5:$B$304,B49)&gt;1,"Duplicate - same name twice",IF(AF49=0,"Check - no recipe uses it","OK")))))</f>
        <v>0</v>
      </c>
      <c r="AO49" s="43" t="s">
        <v>157</v>
      </c>
    </row>
    <row r="50" spans="1:41">
      <c r="A50" s="39">
        <f>IF(B50="","",IngredientPrefix&amp;TEXT(ROW()-4,"0000"))</f>
        <v>0</v>
      </c>
      <c r="B50" s="32" t="s">
        <v>951</v>
      </c>
      <c r="C50" s="32" t="s">
        <v>417</v>
      </c>
      <c r="D50" s="32" t="s">
        <v>434</v>
      </c>
      <c r="E50" s="32" t="s">
        <v>1010</v>
      </c>
      <c r="F50" s="32" t="s">
        <v>157</v>
      </c>
      <c r="G50" s="32" t="s">
        <v>668</v>
      </c>
      <c r="H50" s="38">
        <v>1500</v>
      </c>
      <c r="I50" s="36">
        <v>0.9</v>
      </c>
      <c r="J50" s="25">
        <f>IF(OR(H50="",I50=""),"",IF(H50=0,"",I50/H50))</f>
        <v>0</v>
      </c>
      <c r="K50" s="25">
        <f>IF(J50="","",J50*100)</f>
        <v>0</v>
      </c>
      <c r="L50" s="25">
        <f>IF(B50="","",IFERROR(AVERAGEIFS('Grocery Spending'!$L$5:$L$404,'Grocery Spending'!$H$5:$H$404,B50,'Grocery Spending'!$L$5:$L$404,"&gt;0"),""))</f>
        <v>0</v>
      </c>
      <c r="M50" s="25">
        <f>IF(B50="","",IF(COUNTIFS('Store Prices'!$B$5:$B$304,B50)=0,"",IF(SUMPRODUCT(MIN((('Store Prices'!$B$5:$B$304=B50)*(IFERROR('Store Prices'!$I$5:$I$304*1,0)&gt;0))*IFERROR('Store Prices'!$I$5:$I$304*1,0)+(1-(('Store Prices'!$B$5:$B$304=B50)*(IFERROR('Store Prices'!$I$5:$I$304*1,0)&gt;0)))*999999))&gt;=999999,"",SUMPRODUCT(MIN((('Store Prices'!$B$5:$B$304=B50)*(IFERROR('Store Prices'!$I$5:$I$304*1,0)&gt;0))*IFERROR('Store Prices'!$I$5:$I$304*1,0)+(1-(('Store Prices'!$B$5:$B$304=B50)*(IFERROR('Store Prices'!$I$5:$I$304*1,0)&gt;0)))*999999)))))</f>
        <v>0</v>
      </c>
      <c r="N50" s="17">
        <f>IF(M50="","",IFERROR(INDEX('Store Prices'!$C$5:$C$304,MATCH(1,INDEX(('Store Prices'!$B$5:$B$304=B50)*('Store Prices'!$I$5:$I$304=M50),0),0)),""))</f>
        <v>0</v>
      </c>
      <c r="O50" s="25">
        <f>IF(OR(M50="",J50=""),"",MAX(0,(J50-M50)*100))</f>
        <v>0</v>
      </c>
      <c r="P50" s="41">
        <v>364</v>
      </c>
      <c r="Q50" s="38">
        <v>10</v>
      </c>
      <c r="R50" s="38">
        <v>76</v>
      </c>
      <c r="S50" s="38">
        <v>1</v>
      </c>
      <c r="T50" s="38">
        <v>2.7</v>
      </c>
      <c r="U50" s="38">
        <v>19</v>
      </c>
      <c r="V50" s="41">
        <v>291</v>
      </c>
      <c r="W50" s="32" t="s">
        <v>399</v>
      </c>
      <c r="X50" s="32" t="s">
        <v>383</v>
      </c>
      <c r="Y50" s="32" t="s">
        <v>572</v>
      </c>
      <c r="Z50" s="35">
        <v>365</v>
      </c>
      <c r="AA50" s="32" t="s">
        <v>443</v>
      </c>
      <c r="AB50" s="32" t="s">
        <v>157</v>
      </c>
      <c r="AC50" s="15">
        <v>46296</v>
      </c>
      <c r="AD50" s="45">
        <f>IF(B50="","",SUMIFS(Pantry!$G$5:$G$304,Pantry!$B$5:$B$304,B50))</f>
        <v>0</v>
      </c>
      <c r="AE50" s="25">
        <f>IF(OR(AD50="",J50=""),"",AD50*J50)</f>
        <v>0</v>
      </c>
      <c r="AF50" s="18">
        <f>IF(B50="","",COUNTIFS('Recipe Ingredients'!$D$5:$D$1204,B50))</f>
        <v>0</v>
      </c>
      <c r="AG50" s="45">
        <f>IF(B50="","",SUMIFS('Recipe Ingredients'!$Y$5:$Y$1204,'Recipe Ingredients'!$D$5:$D$1204,B50))</f>
        <v>0</v>
      </c>
      <c r="AH50" s="30">
        <f>IF(B50="",0,IFERROR(K50*1,0)*IFERROR(AF50*1,0))</f>
        <v>0</v>
      </c>
      <c r="AI50" s="18">
        <f>IF(B50="","",COUNTIFS($AH$5:$AH$304,"&gt;"&amp;AH50)+COUNTIFS($AH$5:AH50,AH50))</f>
        <v>0</v>
      </c>
      <c r="AJ50" s="18">
        <f>IF(B50="",0,COUNTIFS('Food Waste'!$E$5:$E$154,B50))</f>
        <v>0</v>
      </c>
      <c r="AK50" s="18">
        <f>IF(B50="","",COUNTIFS($AJ$5:$AJ$304,"&gt;"&amp;AJ50)+COUNTIFS($AJ$5:AJ50,AJ50))</f>
        <v>0</v>
      </c>
      <c r="AL50" s="18">
        <f>IF(B50="","",IF(AG50&gt;0,COUNTIF(AG$5:AG50,"&gt;0"),""))</f>
        <v>0</v>
      </c>
      <c r="AM50" s="45">
        <f>IF(B50="","",SUMIFS('Grocery List'!$Q$5:$Q$304,'Grocery List'!$B$5:$B$304,B50))</f>
        <v>0</v>
      </c>
      <c r="AN50" s="31">
        <f>IF(B50="","",IF(I50="","Add - no price yet",IF(H50="","Add - no pack size",IF(COUNTIFS($B$5:$B$304,B50)&gt;1,"Duplicate - same name twice",IF(AF50=0,"Check - no recipe uses it","OK")))))</f>
        <v>0</v>
      </c>
      <c r="AO50" s="43" t="s">
        <v>157</v>
      </c>
    </row>
    <row r="51" spans="1:41">
      <c r="A51" s="39">
        <f>IF(B51="","",IngredientPrefix&amp;TEXT(ROW()-4,"0000"))</f>
        <v>0</v>
      </c>
      <c r="B51" s="32" t="s">
        <v>963</v>
      </c>
      <c r="C51" s="32" t="s">
        <v>417</v>
      </c>
      <c r="D51" s="32" t="s">
        <v>430</v>
      </c>
      <c r="E51" s="32" t="s">
        <v>1015</v>
      </c>
      <c r="F51" s="32" t="s">
        <v>1012</v>
      </c>
      <c r="G51" s="32" t="s">
        <v>668</v>
      </c>
      <c r="H51" s="38">
        <v>396</v>
      </c>
      <c r="I51" s="36">
        <v>2.2</v>
      </c>
      <c r="J51" s="25">
        <f>IF(OR(H51="",I51=""),"",IF(H51=0,"",I51/H51))</f>
        <v>0</v>
      </c>
      <c r="K51" s="25">
        <f>IF(J51="","",J51*100)</f>
        <v>0</v>
      </c>
      <c r="L51" s="25">
        <f>IF(B51="","",IFERROR(AVERAGEIFS('Grocery Spending'!$L$5:$L$404,'Grocery Spending'!$H$5:$H$404,B51,'Grocery Spending'!$L$5:$L$404,"&gt;0"),""))</f>
        <v>0</v>
      </c>
      <c r="M51" s="25">
        <f>IF(B51="","",IF(COUNTIFS('Store Prices'!$B$5:$B$304,B51)=0,"",IF(SUMPRODUCT(MIN((('Store Prices'!$B$5:$B$304=B51)*(IFERROR('Store Prices'!$I$5:$I$304*1,0)&gt;0))*IFERROR('Store Prices'!$I$5:$I$304*1,0)+(1-(('Store Prices'!$B$5:$B$304=B51)*(IFERROR('Store Prices'!$I$5:$I$304*1,0)&gt;0)))*999999))&gt;=999999,"",SUMPRODUCT(MIN((('Store Prices'!$B$5:$B$304=B51)*(IFERROR('Store Prices'!$I$5:$I$304*1,0)&gt;0))*IFERROR('Store Prices'!$I$5:$I$304*1,0)+(1-(('Store Prices'!$B$5:$B$304=B51)*(IFERROR('Store Prices'!$I$5:$I$304*1,0)&gt;0)))*999999)))))</f>
        <v>0</v>
      </c>
      <c r="N51" s="17">
        <f>IF(M51="","",IFERROR(INDEX('Store Prices'!$C$5:$C$304,MATCH(1,INDEX(('Store Prices'!$B$5:$B$304=B51)*('Store Prices'!$I$5:$I$304=M51),0),0)),""))</f>
        <v>0</v>
      </c>
      <c r="O51" s="25">
        <f>IF(OR(M51="",J51=""),"",MAX(0,(J51-M51)*100))</f>
        <v>0</v>
      </c>
      <c r="P51" s="41">
        <v>76</v>
      </c>
      <c r="Q51" s="38">
        <v>8</v>
      </c>
      <c r="R51" s="38">
        <v>1.9</v>
      </c>
      <c r="S51" s="38">
        <v>4.8</v>
      </c>
      <c r="T51" s="38">
        <v>0.3</v>
      </c>
      <c r="U51" s="38">
        <v>0.5</v>
      </c>
      <c r="V51" s="41">
        <v>60</v>
      </c>
      <c r="W51" s="32" t="s">
        <v>410</v>
      </c>
      <c r="X51" s="32" t="s">
        <v>383</v>
      </c>
      <c r="Y51" s="32" t="s">
        <v>572</v>
      </c>
      <c r="Z51" s="35">
        <v>14</v>
      </c>
      <c r="AA51" s="32" t="s">
        <v>444</v>
      </c>
      <c r="AB51" s="32" t="s">
        <v>157</v>
      </c>
      <c r="AC51" s="15">
        <v>46295</v>
      </c>
      <c r="AD51" s="45">
        <f>IF(B51="","",SUMIFS(Pantry!$G$5:$G$304,Pantry!$B$5:$B$304,B51))</f>
        <v>0</v>
      </c>
      <c r="AE51" s="25">
        <f>IF(OR(AD51="",J51=""),"",AD51*J51)</f>
        <v>0</v>
      </c>
      <c r="AF51" s="18">
        <f>IF(B51="","",COUNTIFS('Recipe Ingredients'!$D$5:$D$1204,B51))</f>
        <v>0</v>
      </c>
      <c r="AG51" s="45">
        <f>IF(B51="","",SUMIFS('Recipe Ingredients'!$Y$5:$Y$1204,'Recipe Ingredients'!$D$5:$D$1204,B51))</f>
        <v>0</v>
      </c>
      <c r="AH51" s="30">
        <f>IF(B51="",0,IFERROR(K51*1,0)*IFERROR(AF51*1,0))</f>
        <v>0</v>
      </c>
      <c r="AI51" s="18">
        <f>IF(B51="","",COUNTIFS($AH$5:$AH$304,"&gt;"&amp;AH51)+COUNTIFS($AH$5:AH51,AH51))</f>
        <v>0</v>
      </c>
      <c r="AJ51" s="18">
        <f>IF(B51="",0,COUNTIFS('Food Waste'!$E$5:$E$154,B51))</f>
        <v>0</v>
      </c>
      <c r="AK51" s="18">
        <f>IF(B51="","",COUNTIFS($AJ$5:$AJ$304,"&gt;"&amp;AJ51)+COUNTIFS($AJ$5:AJ51,AJ51))</f>
        <v>0</v>
      </c>
      <c r="AL51" s="18">
        <f>IF(B51="","",IF(AG51&gt;0,COUNTIF(AG$5:AG51,"&gt;0"),""))</f>
        <v>0</v>
      </c>
      <c r="AM51" s="45">
        <f>IF(B51="","",SUMIFS('Grocery List'!$Q$5:$Q$304,'Grocery List'!$B$5:$B$304,B51))</f>
        <v>0</v>
      </c>
      <c r="AN51" s="31">
        <f>IF(B51="","",IF(I51="","Add - no price yet",IF(H51="","Add - no pack size",IF(COUNTIFS($B$5:$B$304,B51)&gt;1,"Duplicate - same name twice",IF(AF51=0,"Check - no recipe uses it","OK")))))</f>
        <v>0</v>
      </c>
      <c r="AO51" s="43" t="s">
        <v>157</v>
      </c>
    </row>
    <row r="52" spans="1:41">
      <c r="A52" s="39">
        <f>IF(B52="","",IngredientPrefix&amp;TEXT(ROW()-4,"0000"))</f>
        <v>0</v>
      </c>
      <c r="J52" s="25">
        <f>IF(OR(H52="",I52=""),"",IF(H52=0,"",I52/H52))</f>
        <v>0</v>
      </c>
      <c r="K52" s="25">
        <f>IF(J52="","",J52*100)</f>
        <v>0</v>
      </c>
      <c r="L52" s="25">
        <f>IF(B52="","",IFERROR(AVERAGEIFS('Grocery Spending'!$L$5:$L$404,'Grocery Spending'!$H$5:$H$404,B52,'Grocery Spending'!$L$5:$L$404,"&gt;0"),""))</f>
        <v>0</v>
      </c>
      <c r="M52" s="25">
        <f>IF(B52="","",IF(COUNTIFS('Store Prices'!$B$5:$B$304,B52)=0,"",IF(SUMPRODUCT(MIN((('Store Prices'!$B$5:$B$304=B52)*(IFERROR('Store Prices'!$I$5:$I$304*1,0)&gt;0))*IFERROR('Store Prices'!$I$5:$I$304*1,0)+(1-(('Store Prices'!$B$5:$B$304=B52)*(IFERROR('Store Prices'!$I$5:$I$304*1,0)&gt;0)))*999999))&gt;=999999,"",SUMPRODUCT(MIN((('Store Prices'!$B$5:$B$304=B52)*(IFERROR('Store Prices'!$I$5:$I$304*1,0)&gt;0))*IFERROR('Store Prices'!$I$5:$I$304*1,0)+(1-(('Store Prices'!$B$5:$B$304=B52)*(IFERROR('Store Prices'!$I$5:$I$304*1,0)&gt;0)))*999999)))))</f>
        <v>0</v>
      </c>
      <c r="N52" s="17">
        <f>IF(M52="","",IFERROR(INDEX('Store Prices'!$C$5:$C$304,MATCH(1,INDEX(('Store Prices'!$B$5:$B$304=B52)*('Store Prices'!$I$5:$I$304=M52),0),0)),""))</f>
        <v>0</v>
      </c>
      <c r="O52" s="25">
        <f>IF(OR(M52="",J52=""),"",MAX(0,(J52-M52)*100))</f>
        <v>0</v>
      </c>
      <c r="AD52" s="45">
        <f>IF(B52="","",SUMIFS(Pantry!$G$5:$G$304,Pantry!$B$5:$B$304,B52))</f>
        <v>0</v>
      </c>
      <c r="AE52" s="25">
        <f>IF(OR(AD52="",J52=""),"",AD52*J52)</f>
        <v>0</v>
      </c>
      <c r="AF52" s="18">
        <f>IF(B52="","",COUNTIFS('Recipe Ingredients'!$D$5:$D$1204,B52))</f>
        <v>0</v>
      </c>
      <c r="AG52" s="45">
        <f>IF(B52="","",SUMIFS('Recipe Ingredients'!$Y$5:$Y$1204,'Recipe Ingredients'!$D$5:$D$1204,B52))</f>
        <v>0</v>
      </c>
      <c r="AH52" s="30">
        <f>IF(B52="",0,IFERROR(K52*1,0)*IFERROR(AF52*1,0))</f>
        <v>0</v>
      </c>
      <c r="AI52" s="18">
        <f>IF(B52="","",COUNTIFS($AH$5:$AH$304,"&gt;"&amp;AH52)+COUNTIFS($AH$5:AH52,AH52))</f>
        <v>0</v>
      </c>
      <c r="AJ52" s="18">
        <f>IF(B52="",0,COUNTIFS('Food Waste'!$E$5:$E$154,B52))</f>
        <v>0</v>
      </c>
      <c r="AK52" s="18">
        <f>IF(B52="","",COUNTIFS($AJ$5:$AJ$304,"&gt;"&amp;AJ52)+COUNTIFS($AJ$5:AJ52,AJ52))</f>
        <v>0</v>
      </c>
      <c r="AL52" s="18">
        <f>IF(B52="","",IF(AG52&gt;0,COUNTIF(AG$5:AG52,"&gt;0"),""))</f>
        <v>0</v>
      </c>
      <c r="AM52" s="45">
        <f>IF(B52="","",SUMIFS('Grocery List'!$Q$5:$Q$304,'Grocery List'!$B$5:$B$304,B52))</f>
        <v>0</v>
      </c>
      <c r="AN52" s="31">
        <f>IF(B52="","",IF(I52="","Add - no price yet",IF(H52="","Add - no pack size",IF(COUNTIFS($B$5:$B$304,B52)&gt;1,"Duplicate - same name twice",IF(AF52=0,"Check - no recipe uses it","OK")))))</f>
        <v>0</v>
      </c>
    </row>
    <row r="53" spans="1:41">
      <c r="A53" s="39">
        <f>IF(B53="","",IngredientPrefix&amp;TEXT(ROW()-4,"0000"))</f>
        <v>0</v>
      </c>
      <c r="J53" s="25">
        <f>IF(OR(H53="",I53=""),"",IF(H53=0,"",I53/H53))</f>
        <v>0</v>
      </c>
      <c r="K53" s="25">
        <f>IF(J53="","",J53*100)</f>
        <v>0</v>
      </c>
      <c r="L53" s="25">
        <f>IF(B53="","",IFERROR(AVERAGEIFS('Grocery Spending'!$L$5:$L$404,'Grocery Spending'!$H$5:$H$404,B53,'Grocery Spending'!$L$5:$L$404,"&gt;0"),""))</f>
        <v>0</v>
      </c>
      <c r="M53" s="25">
        <f>IF(B53="","",IF(COUNTIFS('Store Prices'!$B$5:$B$304,B53)=0,"",IF(SUMPRODUCT(MIN((('Store Prices'!$B$5:$B$304=B53)*(IFERROR('Store Prices'!$I$5:$I$304*1,0)&gt;0))*IFERROR('Store Prices'!$I$5:$I$304*1,0)+(1-(('Store Prices'!$B$5:$B$304=B53)*(IFERROR('Store Prices'!$I$5:$I$304*1,0)&gt;0)))*999999))&gt;=999999,"",SUMPRODUCT(MIN((('Store Prices'!$B$5:$B$304=B53)*(IFERROR('Store Prices'!$I$5:$I$304*1,0)&gt;0))*IFERROR('Store Prices'!$I$5:$I$304*1,0)+(1-(('Store Prices'!$B$5:$B$304=B53)*(IFERROR('Store Prices'!$I$5:$I$304*1,0)&gt;0)))*999999)))))</f>
        <v>0</v>
      </c>
      <c r="N53" s="17">
        <f>IF(M53="","",IFERROR(INDEX('Store Prices'!$C$5:$C$304,MATCH(1,INDEX(('Store Prices'!$B$5:$B$304=B53)*('Store Prices'!$I$5:$I$304=M53),0),0)),""))</f>
        <v>0</v>
      </c>
      <c r="O53" s="25">
        <f>IF(OR(M53="",J53=""),"",MAX(0,(J53-M53)*100))</f>
        <v>0</v>
      </c>
      <c r="AD53" s="45">
        <f>IF(B53="","",SUMIFS(Pantry!$G$5:$G$304,Pantry!$B$5:$B$304,B53))</f>
        <v>0</v>
      </c>
      <c r="AE53" s="25">
        <f>IF(OR(AD53="",J53=""),"",AD53*J53)</f>
        <v>0</v>
      </c>
      <c r="AF53" s="18">
        <f>IF(B53="","",COUNTIFS('Recipe Ingredients'!$D$5:$D$1204,B53))</f>
        <v>0</v>
      </c>
      <c r="AG53" s="45">
        <f>IF(B53="","",SUMIFS('Recipe Ingredients'!$Y$5:$Y$1204,'Recipe Ingredients'!$D$5:$D$1204,B53))</f>
        <v>0</v>
      </c>
      <c r="AH53" s="30">
        <f>IF(B53="",0,IFERROR(K53*1,0)*IFERROR(AF53*1,0))</f>
        <v>0</v>
      </c>
      <c r="AI53" s="18">
        <f>IF(B53="","",COUNTIFS($AH$5:$AH$304,"&gt;"&amp;AH53)+COUNTIFS($AH$5:AH53,AH53))</f>
        <v>0</v>
      </c>
      <c r="AJ53" s="18">
        <f>IF(B53="",0,COUNTIFS('Food Waste'!$E$5:$E$154,B53))</f>
        <v>0</v>
      </c>
      <c r="AK53" s="18">
        <f>IF(B53="","",COUNTIFS($AJ$5:$AJ$304,"&gt;"&amp;AJ53)+COUNTIFS($AJ$5:AJ53,AJ53))</f>
        <v>0</v>
      </c>
      <c r="AL53" s="18">
        <f>IF(B53="","",IF(AG53&gt;0,COUNTIF(AG$5:AG53,"&gt;0"),""))</f>
        <v>0</v>
      </c>
      <c r="AM53" s="45">
        <f>IF(B53="","",SUMIFS('Grocery List'!$Q$5:$Q$304,'Grocery List'!$B$5:$B$304,B53))</f>
        <v>0</v>
      </c>
      <c r="AN53" s="31">
        <f>IF(B53="","",IF(I53="","Add - no price yet",IF(H53="","Add - no pack size",IF(COUNTIFS($B$5:$B$304,B53)&gt;1,"Duplicate - same name twice",IF(AF53=0,"Check - no recipe uses it","OK")))))</f>
        <v>0</v>
      </c>
    </row>
    <row r="54" spans="1:41">
      <c r="A54" s="39">
        <f>IF(B54="","",IngredientPrefix&amp;TEXT(ROW()-4,"0000"))</f>
        <v>0</v>
      </c>
      <c r="J54" s="25">
        <f>IF(OR(H54="",I54=""),"",IF(H54=0,"",I54/H54))</f>
        <v>0</v>
      </c>
      <c r="K54" s="25">
        <f>IF(J54="","",J54*100)</f>
        <v>0</v>
      </c>
      <c r="L54" s="25">
        <f>IF(B54="","",IFERROR(AVERAGEIFS('Grocery Spending'!$L$5:$L$404,'Grocery Spending'!$H$5:$H$404,B54,'Grocery Spending'!$L$5:$L$404,"&gt;0"),""))</f>
        <v>0</v>
      </c>
      <c r="M54" s="25">
        <f>IF(B54="","",IF(COUNTIFS('Store Prices'!$B$5:$B$304,B54)=0,"",IF(SUMPRODUCT(MIN((('Store Prices'!$B$5:$B$304=B54)*(IFERROR('Store Prices'!$I$5:$I$304*1,0)&gt;0))*IFERROR('Store Prices'!$I$5:$I$304*1,0)+(1-(('Store Prices'!$B$5:$B$304=B54)*(IFERROR('Store Prices'!$I$5:$I$304*1,0)&gt;0)))*999999))&gt;=999999,"",SUMPRODUCT(MIN((('Store Prices'!$B$5:$B$304=B54)*(IFERROR('Store Prices'!$I$5:$I$304*1,0)&gt;0))*IFERROR('Store Prices'!$I$5:$I$304*1,0)+(1-(('Store Prices'!$B$5:$B$304=B54)*(IFERROR('Store Prices'!$I$5:$I$304*1,0)&gt;0)))*999999)))))</f>
        <v>0</v>
      </c>
      <c r="N54" s="17">
        <f>IF(M54="","",IFERROR(INDEX('Store Prices'!$C$5:$C$304,MATCH(1,INDEX(('Store Prices'!$B$5:$B$304=B54)*('Store Prices'!$I$5:$I$304=M54),0),0)),""))</f>
        <v>0</v>
      </c>
      <c r="O54" s="25">
        <f>IF(OR(M54="",J54=""),"",MAX(0,(J54-M54)*100))</f>
        <v>0</v>
      </c>
      <c r="AD54" s="45">
        <f>IF(B54="","",SUMIFS(Pantry!$G$5:$G$304,Pantry!$B$5:$B$304,B54))</f>
        <v>0</v>
      </c>
      <c r="AE54" s="25">
        <f>IF(OR(AD54="",J54=""),"",AD54*J54)</f>
        <v>0</v>
      </c>
      <c r="AF54" s="18">
        <f>IF(B54="","",COUNTIFS('Recipe Ingredients'!$D$5:$D$1204,B54))</f>
        <v>0</v>
      </c>
      <c r="AG54" s="45">
        <f>IF(B54="","",SUMIFS('Recipe Ingredients'!$Y$5:$Y$1204,'Recipe Ingredients'!$D$5:$D$1204,B54))</f>
        <v>0</v>
      </c>
      <c r="AH54" s="30">
        <f>IF(B54="",0,IFERROR(K54*1,0)*IFERROR(AF54*1,0))</f>
        <v>0</v>
      </c>
      <c r="AI54" s="18">
        <f>IF(B54="","",COUNTIFS($AH$5:$AH$304,"&gt;"&amp;AH54)+COUNTIFS($AH$5:AH54,AH54))</f>
        <v>0</v>
      </c>
      <c r="AJ54" s="18">
        <f>IF(B54="",0,COUNTIFS('Food Waste'!$E$5:$E$154,B54))</f>
        <v>0</v>
      </c>
      <c r="AK54" s="18">
        <f>IF(B54="","",COUNTIFS($AJ$5:$AJ$304,"&gt;"&amp;AJ54)+COUNTIFS($AJ$5:AJ54,AJ54))</f>
        <v>0</v>
      </c>
      <c r="AL54" s="18">
        <f>IF(B54="","",IF(AG54&gt;0,COUNTIF(AG$5:AG54,"&gt;0"),""))</f>
        <v>0</v>
      </c>
      <c r="AM54" s="45">
        <f>IF(B54="","",SUMIFS('Grocery List'!$Q$5:$Q$304,'Grocery List'!$B$5:$B$304,B54))</f>
        <v>0</v>
      </c>
      <c r="AN54" s="31">
        <f>IF(B54="","",IF(I54="","Add - no price yet",IF(H54="","Add - no pack size",IF(COUNTIFS($B$5:$B$304,B54)&gt;1,"Duplicate - same name twice",IF(AF54=0,"Check - no recipe uses it","OK")))))</f>
        <v>0</v>
      </c>
    </row>
    <row r="55" spans="1:41">
      <c r="A55" s="39">
        <f>IF(B55="","",IngredientPrefix&amp;TEXT(ROW()-4,"0000"))</f>
        <v>0</v>
      </c>
      <c r="J55" s="25">
        <f>IF(OR(H55="",I55=""),"",IF(H55=0,"",I55/H55))</f>
        <v>0</v>
      </c>
      <c r="K55" s="25">
        <f>IF(J55="","",J55*100)</f>
        <v>0</v>
      </c>
      <c r="L55" s="25">
        <f>IF(B55="","",IFERROR(AVERAGEIFS('Grocery Spending'!$L$5:$L$404,'Grocery Spending'!$H$5:$H$404,B55,'Grocery Spending'!$L$5:$L$404,"&gt;0"),""))</f>
        <v>0</v>
      </c>
      <c r="M55" s="25">
        <f>IF(B55="","",IF(COUNTIFS('Store Prices'!$B$5:$B$304,B55)=0,"",IF(SUMPRODUCT(MIN((('Store Prices'!$B$5:$B$304=B55)*(IFERROR('Store Prices'!$I$5:$I$304*1,0)&gt;0))*IFERROR('Store Prices'!$I$5:$I$304*1,0)+(1-(('Store Prices'!$B$5:$B$304=B55)*(IFERROR('Store Prices'!$I$5:$I$304*1,0)&gt;0)))*999999))&gt;=999999,"",SUMPRODUCT(MIN((('Store Prices'!$B$5:$B$304=B55)*(IFERROR('Store Prices'!$I$5:$I$304*1,0)&gt;0))*IFERROR('Store Prices'!$I$5:$I$304*1,0)+(1-(('Store Prices'!$B$5:$B$304=B55)*(IFERROR('Store Prices'!$I$5:$I$304*1,0)&gt;0)))*999999)))))</f>
        <v>0</v>
      </c>
      <c r="N55" s="17">
        <f>IF(M55="","",IFERROR(INDEX('Store Prices'!$C$5:$C$304,MATCH(1,INDEX(('Store Prices'!$B$5:$B$304=B55)*('Store Prices'!$I$5:$I$304=M55),0),0)),""))</f>
        <v>0</v>
      </c>
      <c r="O55" s="25">
        <f>IF(OR(M55="",J55=""),"",MAX(0,(J55-M55)*100))</f>
        <v>0</v>
      </c>
      <c r="AD55" s="45">
        <f>IF(B55="","",SUMIFS(Pantry!$G$5:$G$304,Pantry!$B$5:$B$304,B55))</f>
        <v>0</v>
      </c>
      <c r="AE55" s="25">
        <f>IF(OR(AD55="",J55=""),"",AD55*J55)</f>
        <v>0</v>
      </c>
      <c r="AF55" s="18">
        <f>IF(B55="","",COUNTIFS('Recipe Ingredients'!$D$5:$D$1204,B55))</f>
        <v>0</v>
      </c>
      <c r="AG55" s="45">
        <f>IF(B55="","",SUMIFS('Recipe Ingredients'!$Y$5:$Y$1204,'Recipe Ingredients'!$D$5:$D$1204,B55))</f>
        <v>0</v>
      </c>
      <c r="AH55" s="30">
        <f>IF(B55="",0,IFERROR(K55*1,0)*IFERROR(AF55*1,0))</f>
        <v>0</v>
      </c>
      <c r="AI55" s="18">
        <f>IF(B55="","",COUNTIFS($AH$5:$AH$304,"&gt;"&amp;AH55)+COUNTIFS($AH$5:AH55,AH55))</f>
        <v>0</v>
      </c>
      <c r="AJ55" s="18">
        <f>IF(B55="",0,COUNTIFS('Food Waste'!$E$5:$E$154,B55))</f>
        <v>0</v>
      </c>
      <c r="AK55" s="18">
        <f>IF(B55="","",COUNTIFS($AJ$5:$AJ$304,"&gt;"&amp;AJ55)+COUNTIFS($AJ$5:AJ55,AJ55))</f>
        <v>0</v>
      </c>
      <c r="AL55" s="18">
        <f>IF(B55="","",IF(AG55&gt;0,COUNTIF(AG$5:AG55,"&gt;0"),""))</f>
        <v>0</v>
      </c>
      <c r="AM55" s="45">
        <f>IF(B55="","",SUMIFS('Grocery List'!$Q$5:$Q$304,'Grocery List'!$B$5:$B$304,B55))</f>
        <v>0</v>
      </c>
      <c r="AN55" s="31">
        <f>IF(B55="","",IF(I55="","Add - no price yet",IF(H55="","Add - no pack size",IF(COUNTIFS($B$5:$B$304,B55)&gt;1,"Duplicate - same name twice",IF(AF55=0,"Check - no recipe uses it","OK")))))</f>
        <v>0</v>
      </c>
    </row>
    <row r="56" spans="1:41">
      <c r="A56" s="39">
        <f>IF(B56="","",IngredientPrefix&amp;TEXT(ROW()-4,"0000"))</f>
        <v>0</v>
      </c>
      <c r="J56" s="25">
        <f>IF(OR(H56="",I56=""),"",IF(H56=0,"",I56/H56))</f>
        <v>0</v>
      </c>
      <c r="K56" s="25">
        <f>IF(J56="","",J56*100)</f>
        <v>0</v>
      </c>
      <c r="L56" s="25">
        <f>IF(B56="","",IFERROR(AVERAGEIFS('Grocery Spending'!$L$5:$L$404,'Grocery Spending'!$H$5:$H$404,B56,'Grocery Spending'!$L$5:$L$404,"&gt;0"),""))</f>
        <v>0</v>
      </c>
      <c r="M56" s="25">
        <f>IF(B56="","",IF(COUNTIFS('Store Prices'!$B$5:$B$304,B56)=0,"",IF(SUMPRODUCT(MIN((('Store Prices'!$B$5:$B$304=B56)*(IFERROR('Store Prices'!$I$5:$I$304*1,0)&gt;0))*IFERROR('Store Prices'!$I$5:$I$304*1,0)+(1-(('Store Prices'!$B$5:$B$304=B56)*(IFERROR('Store Prices'!$I$5:$I$304*1,0)&gt;0)))*999999))&gt;=999999,"",SUMPRODUCT(MIN((('Store Prices'!$B$5:$B$304=B56)*(IFERROR('Store Prices'!$I$5:$I$304*1,0)&gt;0))*IFERROR('Store Prices'!$I$5:$I$304*1,0)+(1-(('Store Prices'!$B$5:$B$304=B56)*(IFERROR('Store Prices'!$I$5:$I$304*1,0)&gt;0)))*999999)))))</f>
        <v>0</v>
      </c>
      <c r="N56" s="17">
        <f>IF(M56="","",IFERROR(INDEX('Store Prices'!$C$5:$C$304,MATCH(1,INDEX(('Store Prices'!$B$5:$B$304=B56)*('Store Prices'!$I$5:$I$304=M56),0),0)),""))</f>
        <v>0</v>
      </c>
      <c r="O56" s="25">
        <f>IF(OR(M56="",J56=""),"",MAX(0,(J56-M56)*100))</f>
        <v>0</v>
      </c>
      <c r="AD56" s="45">
        <f>IF(B56="","",SUMIFS(Pantry!$G$5:$G$304,Pantry!$B$5:$B$304,B56))</f>
        <v>0</v>
      </c>
      <c r="AE56" s="25">
        <f>IF(OR(AD56="",J56=""),"",AD56*J56)</f>
        <v>0</v>
      </c>
      <c r="AF56" s="18">
        <f>IF(B56="","",COUNTIFS('Recipe Ingredients'!$D$5:$D$1204,B56))</f>
        <v>0</v>
      </c>
      <c r="AG56" s="45">
        <f>IF(B56="","",SUMIFS('Recipe Ingredients'!$Y$5:$Y$1204,'Recipe Ingredients'!$D$5:$D$1204,B56))</f>
        <v>0</v>
      </c>
      <c r="AH56" s="30">
        <f>IF(B56="",0,IFERROR(K56*1,0)*IFERROR(AF56*1,0))</f>
        <v>0</v>
      </c>
      <c r="AI56" s="18">
        <f>IF(B56="","",COUNTIFS($AH$5:$AH$304,"&gt;"&amp;AH56)+COUNTIFS($AH$5:AH56,AH56))</f>
        <v>0</v>
      </c>
      <c r="AJ56" s="18">
        <f>IF(B56="",0,COUNTIFS('Food Waste'!$E$5:$E$154,B56))</f>
        <v>0</v>
      </c>
      <c r="AK56" s="18">
        <f>IF(B56="","",COUNTIFS($AJ$5:$AJ$304,"&gt;"&amp;AJ56)+COUNTIFS($AJ$5:AJ56,AJ56))</f>
        <v>0</v>
      </c>
      <c r="AL56" s="18">
        <f>IF(B56="","",IF(AG56&gt;0,COUNTIF(AG$5:AG56,"&gt;0"),""))</f>
        <v>0</v>
      </c>
      <c r="AM56" s="45">
        <f>IF(B56="","",SUMIFS('Grocery List'!$Q$5:$Q$304,'Grocery List'!$B$5:$B$304,B56))</f>
        <v>0</v>
      </c>
      <c r="AN56" s="31">
        <f>IF(B56="","",IF(I56="","Add - no price yet",IF(H56="","Add - no pack size",IF(COUNTIFS($B$5:$B$304,B56)&gt;1,"Duplicate - same name twice",IF(AF56=0,"Check - no recipe uses it","OK")))))</f>
        <v>0</v>
      </c>
    </row>
    <row r="57" spans="1:41">
      <c r="A57" s="39">
        <f>IF(B57="","",IngredientPrefix&amp;TEXT(ROW()-4,"0000"))</f>
        <v>0</v>
      </c>
      <c r="J57" s="25">
        <f>IF(OR(H57="",I57=""),"",IF(H57=0,"",I57/H57))</f>
        <v>0</v>
      </c>
      <c r="K57" s="25">
        <f>IF(J57="","",J57*100)</f>
        <v>0</v>
      </c>
      <c r="L57" s="25">
        <f>IF(B57="","",IFERROR(AVERAGEIFS('Grocery Spending'!$L$5:$L$404,'Grocery Spending'!$H$5:$H$404,B57,'Grocery Spending'!$L$5:$L$404,"&gt;0"),""))</f>
        <v>0</v>
      </c>
      <c r="M57" s="25">
        <f>IF(B57="","",IF(COUNTIFS('Store Prices'!$B$5:$B$304,B57)=0,"",IF(SUMPRODUCT(MIN((('Store Prices'!$B$5:$B$304=B57)*(IFERROR('Store Prices'!$I$5:$I$304*1,0)&gt;0))*IFERROR('Store Prices'!$I$5:$I$304*1,0)+(1-(('Store Prices'!$B$5:$B$304=B57)*(IFERROR('Store Prices'!$I$5:$I$304*1,0)&gt;0)))*999999))&gt;=999999,"",SUMPRODUCT(MIN((('Store Prices'!$B$5:$B$304=B57)*(IFERROR('Store Prices'!$I$5:$I$304*1,0)&gt;0))*IFERROR('Store Prices'!$I$5:$I$304*1,0)+(1-(('Store Prices'!$B$5:$B$304=B57)*(IFERROR('Store Prices'!$I$5:$I$304*1,0)&gt;0)))*999999)))))</f>
        <v>0</v>
      </c>
      <c r="N57" s="17">
        <f>IF(M57="","",IFERROR(INDEX('Store Prices'!$C$5:$C$304,MATCH(1,INDEX(('Store Prices'!$B$5:$B$304=B57)*('Store Prices'!$I$5:$I$304=M57),0),0)),""))</f>
        <v>0</v>
      </c>
      <c r="O57" s="25">
        <f>IF(OR(M57="",J57=""),"",MAX(0,(J57-M57)*100))</f>
        <v>0</v>
      </c>
      <c r="AD57" s="45">
        <f>IF(B57="","",SUMIFS(Pantry!$G$5:$G$304,Pantry!$B$5:$B$304,B57))</f>
        <v>0</v>
      </c>
      <c r="AE57" s="25">
        <f>IF(OR(AD57="",J57=""),"",AD57*J57)</f>
        <v>0</v>
      </c>
      <c r="AF57" s="18">
        <f>IF(B57="","",COUNTIFS('Recipe Ingredients'!$D$5:$D$1204,B57))</f>
        <v>0</v>
      </c>
      <c r="AG57" s="45">
        <f>IF(B57="","",SUMIFS('Recipe Ingredients'!$Y$5:$Y$1204,'Recipe Ingredients'!$D$5:$D$1204,B57))</f>
        <v>0</v>
      </c>
      <c r="AH57" s="30">
        <f>IF(B57="",0,IFERROR(K57*1,0)*IFERROR(AF57*1,0))</f>
        <v>0</v>
      </c>
      <c r="AI57" s="18">
        <f>IF(B57="","",COUNTIFS($AH$5:$AH$304,"&gt;"&amp;AH57)+COUNTIFS($AH$5:AH57,AH57))</f>
        <v>0</v>
      </c>
      <c r="AJ57" s="18">
        <f>IF(B57="",0,COUNTIFS('Food Waste'!$E$5:$E$154,B57))</f>
        <v>0</v>
      </c>
      <c r="AK57" s="18">
        <f>IF(B57="","",COUNTIFS($AJ$5:$AJ$304,"&gt;"&amp;AJ57)+COUNTIFS($AJ$5:AJ57,AJ57))</f>
        <v>0</v>
      </c>
      <c r="AL57" s="18">
        <f>IF(B57="","",IF(AG57&gt;0,COUNTIF(AG$5:AG57,"&gt;0"),""))</f>
        <v>0</v>
      </c>
      <c r="AM57" s="45">
        <f>IF(B57="","",SUMIFS('Grocery List'!$Q$5:$Q$304,'Grocery List'!$B$5:$B$304,B57))</f>
        <v>0</v>
      </c>
      <c r="AN57" s="31">
        <f>IF(B57="","",IF(I57="","Add - no price yet",IF(H57="","Add - no pack size",IF(COUNTIFS($B$5:$B$304,B57)&gt;1,"Duplicate - same name twice",IF(AF57=0,"Check - no recipe uses it","OK")))))</f>
        <v>0</v>
      </c>
    </row>
    <row r="58" spans="1:41">
      <c r="A58" s="39">
        <f>IF(B58="","",IngredientPrefix&amp;TEXT(ROW()-4,"0000"))</f>
        <v>0</v>
      </c>
      <c r="J58" s="25">
        <f>IF(OR(H58="",I58=""),"",IF(H58=0,"",I58/H58))</f>
        <v>0</v>
      </c>
      <c r="K58" s="25">
        <f>IF(J58="","",J58*100)</f>
        <v>0</v>
      </c>
      <c r="L58" s="25">
        <f>IF(B58="","",IFERROR(AVERAGEIFS('Grocery Spending'!$L$5:$L$404,'Grocery Spending'!$H$5:$H$404,B58,'Grocery Spending'!$L$5:$L$404,"&gt;0"),""))</f>
        <v>0</v>
      </c>
      <c r="M58" s="25">
        <f>IF(B58="","",IF(COUNTIFS('Store Prices'!$B$5:$B$304,B58)=0,"",IF(SUMPRODUCT(MIN((('Store Prices'!$B$5:$B$304=B58)*(IFERROR('Store Prices'!$I$5:$I$304*1,0)&gt;0))*IFERROR('Store Prices'!$I$5:$I$304*1,0)+(1-(('Store Prices'!$B$5:$B$304=B58)*(IFERROR('Store Prices'!$I$5:$I$304*1,0)&gt;0)))*999999))&gt;=999999,"",SUMPRODUCT(MIN((('Store Prices'!$B$5:$B$304=B58)*(IFERROR('Store Prices'!$I$5:$I$304*1,0)&gt;0))*IFERROR('Store Prices'!$I$5:$I$304*1,0)+(1-(('Store Prices'!$B$5:$B$304=B58)*(IFERROR('Store Prices'!$I$5:$I$304*1,0)&gt;0)))*999999)))))</f>
        <v>0</v>
      </c>
      <c r="N58" s="17">
        <f>IF(M58="","",IFERROR(INDEX('Store Prices'!$C$5:$C$304,MATCH(1,INDEX(('Store Prices'!$B$5:$B$304=B58)*('Store Prices'!$I$5:$I$304=M58),0),0)),""))</f>
        <v>0</v>
      </c>
      <c r="O58" s="25">
        <f>IF(OR(M58="",J58=""),"",MAX(0,(J58-M58)*100))</f>
        <v>0</v>
      </c>
      <c r="AD58" s="45">
        <f>IF(B58="","",SUMIFS(Pantry!$G$5:$G$304,Pantry!$B$5:$B$304,B58))</f>
        <v>0</v>
      </c>
      <c r="AE58" s="25">
        <f>IF(OR(AD58="",J58=""),"",AD58*J58)</f>
        <v>0</v>
      </c>
      <c r="AF58" s="18">
        <f>IF(B58="","",COUNTIFS('Recipe Ingredients'!$D$5:$D$1204,B58))</f>
        <v>0</v>
      </c>
      <c r="AG58" s="45">
        <f>IF(B58="","",SUMIFS('Recipe Ingredients'!$Y$5:$Y$1204,'Recipe Ingredients'!$D$5:$D$1204,B58))</f>
        <v>0</v>
      </c>
      <c r="AH58" s="30">
        <f>IF(B58="",0,IFERROR(K58*1,0)*IFERROR(AF58*1,0))</f>
        <v>0</v>
      </c>
      <c r="AI58" s="18">
        <f>IF(B58="","",COUNTIFS($AH$5:$AH$304,"&gt;"&amp;AH58)+COUNTIFS($AH$5:AH58,AH58))</f>
        <v>0</v>
      </c>
      <c r="AJ58" s="18">
        <f>IF(B58="",0,COUNTIFS('Food Waste'!$E$5:$E$154,B58))</f>
        <v>0</v>
      </c>
      <c r="AK58" s="18">
        <f>IF(B58="","",COUNTIFS($AJ$5:$AJ$304,"&gt;"&amp;AJ58)+COUNTIFS($AJ$5:AJ58,AJ58))</f>
        <v>0</v>
      </c>
      <c r="AL58" s="18">
        <f>IF(B58="","",IF(AG58&gt;0,COUNTIF(AG$5:AG58,"&gt;0"),""))</f>
        <v>0</v>
      </c>
      <c r="AM58" s="45">
        <f>IF(B58="","",SUMIFS('Grocery List'!$Q$5:$Q$304,'Grocery List'!$B$5:$B$304,B58))</f>
        <v>0</v>
      </c>
      <c r="AN58" s="31">
        <f>IF(B58="","",IF(I58="","Add - no price yet",IF(H58="","Add - no pack size",IF(COUNTIFS($B$5:$B$304,B58)&gt;1,"Duplicate - same name twice",IF(AF58=0,"Check - no recipe uses it","OK")))))</f>
        <v>0</v>
      </c>
    </row>
    <row r="59" spans="1:41">
      <c r="A59" s="39">
        <f>IF(B59="","",IngredientPrefix&amp;TEXT(ROW()-4,"0000"))</f>
        <v>0</v>
      </c>
      <c r="J59" s="25">
        <f>IF(OR(H59="",I59=""),"",IF(H59=0,"",I59/H59))</f>
        <v>0</v>
      </c>
      <c r="K59" s="25">
        <f>IF(J59="","",J59*100)</f>
        <v>0</v>
      </c>
      <c r="L59" s="25">
        <f>IF(B59="","",IFERROR(AVERAGEIFS('Grocery Spending'!$L$5:$L$404,'Grocery Spending'!$H$5:$H$404,B59,'Grocery Spending'!$L$5:$L$404,"&gt;0"),""))</f>
        <v>0</v>
      </c>
      <c r="M59" s="25">
        <f>IF(B59="","",IF(COUNTIFS('Store Prices'!$B$5:$B$304,B59)=0,"",IF(SUMPRODUCT(MIN((('Store Prices'!$B$5:$B$304=B59)*(IFERROR('Store Prices'!$I$5:$I$304*1,0)&gt;0))*IFERROR('Store Prices'!$I$5:$I$304*1,0)+(1-(('Store Prices'!$B$5:$B$304=B59)*(IFERROR('Store Prices'!$I$5:$I$304*1,0)&gt;0)))*999999))&gt;=999999,"",SUMPRODUCT(MIN((('Store Prices'!$B$5:$B$304=B59)*(IFERROR('Store Prices'!$I$5:$I$304*1,0)&gt;0))*IFERROR('Store Prices'!$I$5:$I$304*1,0)+(1-(('Store Prices'!$B$5:$B$304=B59)*(IFERROR('Store Prices'!$I$5:$I$304*1,0)&gt;0)))*999999)))))</f>
        <v>0</v>
      </c>
      <c r="N59" s="17">
        <f>IF(M59="","",IFERROR(INDEX('Store Prices'!$C$5:$C$304,MATCH(1,INDEX(('Store Prices'!$B$5:$B$304=B59)*('Store Prices'!$I$5:$I$304=M59),0),0)),""))</f>
        <v>0</v>
      </c>
      <c r="O59" s="25">
        <f>IF(OR(M59="",J59=""),"",MAX(0,(J59-M59)*100))</f>
        <v>0</v>
      </c>
      <c r="AD59" s="45">
        <f>IF(B59="","",SUMIFS(Pantry!$G$5:$G$304,Pantry!$B$5:$B$304,B59))</f>
        <v>0</v>
      </c>
      <c r="AE59" s="25">
        <f>IF(OR(AD59="",J59=""),"",AD59*J59)</f>
        <v>0</v>
      </c>
      <c r="AF59" s="18">
        <f>IF(B59="","",COUNTIFS('Recipe Ingredients'!$D$5:$D$1204,B59))</f>
        <v>0</v>
      </c>
      <c r="AG59" s="45">
        <f>IF(B59="","",SUMIFS('Recipe Ingredients'!$Y$5:$Y$1204,'Recipe Ingredients'!$D$5:$D$1204,B59))</f>
        <v>0</v>
      </c>
      <c r="AH59" s="30">
        <f>IF(B59="",0,IFERROR(K59*1,0)*IFERROR(AF59*1,0))</f>
        <v>0</v>
      </c>
      <c r="AI59" s="18">
        <f>IF(B59="","",COUNTIFS($AH$5:$AH$304,"&gt;"&amp;AH59)+COUNTIFS($AH$5:AH59,AH59))</f>
        <v>0</v>
      </c>
      <c r="AJ59" s="18">
        <f>IF(B59="",0,COUNTIFS('Food Waste'!$E$5:$E$154,B59))</f>
        <v>0</v>
      </c>
      <c r="AK59" s="18">
        <f>IF(B59="","",COUNTIFS($AJ$5:$AJ$304,"&gt;"&amp;AJ59)+COUNTIFS($AJ$5:AJ59,AJ59))</f>
        <v>0</v>
      </c>
      <c r="AL59" s="18">
        <f>IF(B59="","",IF(AG59&gt;0,COUNTIF(AG$5:AG59,"&gt;0"),""))</f>
        <v>0</v>
      </c>
      <c r="AM59" s="45">
        <f>IF(B59="","",SUMIFS('Grocery List'!$Q$5:$Q$304,'Grocery List'!$B$5:$B$304,B59))</f>
        <v>0</v>
      </c>
      <c r="AN59" s="31">
        <f>IF(B59="","",IF(I59="","Add - no price yet",IF(H59="","Add - no pack size",IF(COUNTIFS($B$5:$B$304,B59)&gt;1,"Duplicate - same name twice",IF(AF59=0,"Check - no recipe uses it","OK")))))</f>
        <v>0</v>
      </c>
    </row>
    <row r="60" spans="1:41">
      <c r="A60" s="39">
        <f>IF(B60="","",IngredientPrefix&amp;TEXT(ROW()-4,"0000"))</f>
        <v>0</v>
      </c>
      <c r="J60" s="25">
        <f>IF(OR(H60="",I60=""),"",IF(H60=0,"",I60/H60))</f>
        <v>0</v>
      </c>
      <c r="K60" s="25">
        <f>IF(J60="","",J60*100)</f>
        <v>0</v>
      </c>
      <c r="L60" s="25">
        <f>IF(B60="","",IFERROR(AVERAGEIFS('Grocery Spending'!$L$5:$L$404,'Grocery Spending'!$H$5:$H$404,B60,'Grocery Spending'!$L$5:$L$404,"&gt;0"),""))</f>
        <v>0</v>
      </c>
      <c r="M60" s="25">
        <f>IF(B60="","",IF(COUNTIFS('Store Prices'!$B$5:$B$304,B60)=0,"",IF(SUMPRODUCT(MIN((('Store Prices'!$B$5:$B$304=B60)*(IFERROR('Store Prices'!$I$5:$I$304*1,0)&gt;0))*IFERROR('Store Prices'!$I$5:$I$304*1,0)+(1-(('Store Prices'!$B$5:$B$304=B60)*(IFERROR('Store Prices'!$I$5:$I$304*1,0)&gt;0)))*999999))&gt;=999999,"",SUMPRODUCT(MIN((('Store Prices'!$B$5:$B$304=B60)*(IFERROR('Store Prices'!$I$5:$I$304*1,0)&gt;0))*IFERROR('Store Prices'!$I$5:$I$304*1,0)+(1-(('Store Prices'!$B$5:$B$304=B60)*(IFERROR('Store Prices'!$I$5:$I$304*1,0)&gt;0)))*999999)))))</f>
        <v>0</v>
      </c>
      <c r="N60" s="17">
        <f>IF(M60="","",IFERROR(INDEX('Store Prices'!$C$5:$C$304,MATCH(1,INDEX(('Store Prices'!$B$5:$B$304=B60)*('Store Prices'!$I$5:$I$304=M60),0),0)),""))</f>
        <v>0</v>
      </c>
      <c r="O60" s="25">
        <f>IF(OR(M60="",J60=""),"",MAX(0,(J60-M60)*100))</f>
        <v>0</v>
      </c>
      <c r="AD60" s="45">
        <f>IF(B60="","",SUMIFS(Pantry!$G$5:$G$304,Pantry!$B$5:$B$304,B60))</f>
        <v>0</v>
      </c>
      <c r="AE60" s="25">
        <f>IF(OR(AD60="",J60=""),"",AD60*J60)</f>
        <v>0</v>
      </c>
      <c r="AF60" s="18">
        <f>IF(B60="","",COUNTIFS('Recipe Ingredients'!$D$5:$D$1204,B60))</f>
        <v>0</v>
      </c>
      <c r="AG60" s="45">
        <f>IF(B60="","",SUMIFS('Recipe Ingredients'!$Y$5:$Y$1204,'Recipe Ingredients'!$D$5:$D$1204,B60))</f>
        <v>0</v>
      </c>
      <c r="AH60" s="30">
        <f>IF(B60="",0,IFERROR(K60*1,0)*IFERROR(AF60*1,0))</f>
        <v>0</v>
      </c>
      <c r="AI60" s="18">
        <f>IF(B60="","",COUNTIFS($AH$5:$AH$304,"&gt;"&amp;AH60)+COUNTIFS($AH$5:AH60,AH60))</f>
        <v>0</v>
      </c>
      <c r="AJ60" s="18">
        <f>IF(B60="",0,COUNTIFS('Food Waste'!$E$5:$E$154,B60))</f>
        <v>0</v>
      </c>
      <c r="AK60" s="18">
        <f>IF(B60="","",COUNTIFS($AJ$5:$AJ$304,"&gt;"&amp;AJ60)+COUNTIFS($AJ$5:AJ60,AJ60))</f>
        <v>0</v>
      </c>
      <c r="AL60" s="18">
        <f>IF(B60="","",IF(AG60&gt;0,COUNTIF(AG$5:AG60,"&gt;0"),""))</f>
        <v>0</v>
      </c>
      <c r="AM60" s="45">
        <f>IF(B60="","",SUMIFS('Grocery List'!$Q$5:$Q$304,'Grocery List'!$B$5:$B$304,B60))</f>
        <v>0</v>
      </c>
      <c r="AN60" s="31">
        <f>IF(B60="","",IF(I60="","Add - no price yet",IF(H60="","Add - no pack size",IF(COUNTIFS($B$5:$B$304,B60)&gt;1,"Duplicate - same name twice",IF(AF60=0,"Check - no recipe uses it","OK")))))</f>
        <v>0</v>
      </c>
    </row>
    <row r="61" spans="1:41">
      <c r="A61" s="39">
        <f>IF(B61="","",IngredientPrefix&amp;TEXT(ROW()-4,"0000"))</f>
        <v>0</v>
      </c>
      <c r="J61" s="25">
        <f>IF(OR(H61="",I61=""),"",IF(H61=0,"",I61/H61))</f>
        <v>0</v>
      </c>
      <c r="K61" s="25">
        <f>IF(J61="","",J61*100)</f>
        <v>0</v>
      </c>
      <c r="L61" s="25">
        <f>IF(B61="","",IFERROR(AVERAGEIFS('Grocery Spending'!$L$5:$L$404,'Grocery Spending'!$H$5:$H$404,B61,'Grocery Spending'!$L$5:$L$404,"&gt;0"),""))</f>
        <v>0</v>
      </c>
      <c r="M61" s="25">
        <f>IF(B61="","",IF(COUNTIFS('Store Prices'!$B$5:$B$304,B61)=0,"",IF(SUMPRODUCT(MIN((('Store Prices'!$B$5:$B$304=B61)*(IFERROR('Store Prices'!$I$5:$I$304*1,0)&gt;0))*IFERROR('Store Prices'!$I$5:$I$304*1,0)+(1-(('Store Prices'!$B$5:$B$304=B61)*(IFERROR('Store Prices'!$I$5:$I$304*1,0)&gt;0)))*999999))&gt;=999999,"",SUMPRODUCT(MIN((('Store Prices'!$B$5:$B$304=B61)*(IFERROR('Store Prices'!$I$5:$I$304*1,0)&gt;0))*IFERROR('Store Prices'!$I$5:$I$304*1,0)+(1-(('Store Prices'!$B$5:$B$304=B61)*(IFERROR('Store Prices'!$I$5:$I$304*1,0)&gt;0)))*999999)))))</f>
        <v>0</v>
      </c>
      <c r="N61" s="17">
        <f>IF(M61="","",IFERROR(INDEX('Store Prices'!$C$5:$C$304,MATCH(1,INDEX(('Store Prices'!$B$5:$B$304=B61)*('Store Prices'!$I$5:$I$304=M61),0),0)),""))</f>
        <v>0</v>
      </c>
      <c r="O61" s="25">
        <f>IF(OR(M61="",J61=""),"",MAX(0,(J61-M61)*100))</f>
        <v>0</v>
      </c>
      <c r="AD61" s="45">
        <f>IF(B61="","",SUMIFS(Pantry!$G$5:$G$304,Pantry!$B$5:$B$304,B61))</f>
        <v>0</v>
      </c>
      <c r="AE61" s="25">
        <f>IF(OR(AD61="",J61=""),"",AD61*J61)</f>
        <v>0</v>
      </c>
      <c r="AF61" s="18">
        <f>IF(B61="","",COUNTIFS('Recipe Ingredients'!$D$5:$D$1204,B61))</f>
        <v>0</v>
      </c>
      <c r="AG61" s="45">
        <f>IF(B61="","",SUMIFS('Recipe Ingredients'!$Y$5:$Y$1204,'Recipe Ingredients'!$D$5:$D$1204,B61))</f>
        <v>0</v>
      </c>
      <c r="AH61" s="30">
        <f>IF(B61="",0,IFERROR(K61*1,0)*IFERROR(AF61*1,0))</f>
        <v>0</v>
      </c>
      <c r="AI61" s="18">
        <f>IF(B61="","",COUNTIFS($AH$5:$AH$304,"&gt;"&amp;AH61)+COUNTIFS($AH$5:AH61,AH61))</f>
        <v>0</v>
      </c>
      <c r="AJ61" s="18">
        <f>IF(B61="",0,COUNTIFS('Food Waste'!$E$5:$E$154,B61))</f>
        <v>0</v>
      </c>
      <c r="AK61" s="18">
        <f>IF(B61="","",COUNTIFS($AJ$5:$AJ$304,"&gt;"&amp;AJ61)+COUNTIFS($AJ$5:AJ61,AJ61))</f>
        <v>0</v>
      </c>
      <c r="AL61" s="18">
        <f>IF(B61="","",IF(AG61&gt;0,COUNTIF(AG$5:AG61,"&gt;0"),""))</f>
        <v>0</v>
      </c>
      <c r="AM61" s="45">
        <f>IF(B61="","",SUMIFS('Grocery List'!$Q$5:$Q$304,'Grocery List'!$B$5:$B$304,B61))</f>
        <v>0</v>
      </c>
      <c r="AN61" s="31">
        <f>IF(B61="","",IF(I61="","Add - no price yet",IF(H61="","Add - no pack size",IF(COUNTIFS($B$5:$B$304,B61)&gt;1,"Duplicate - same name twice",IF(AF61=0,"Check - no recipe uses it","OK")))))</f>
        <v>0</v>
      </c>
    </row>
    <row r="62" spans="1:41">
      <c r="A62" s="39">
        <f>IF(B62="","",IngredientPrefix&amp;TEXT(ROW()-4,"0000"))</f>
        <v>0</v>
      </c>
      <c r="J62" s="25">
        <f>IF(OR(H62="",I62=""),"",IF(H62=0,"",I62/H62))</f>
        <v>0</v>
      </c>
      <c r="K62" s="25">
        <f>IF(J62="","",J62*100)</f>
        <v>0</v>
      </c>
      <c r="L62" s="25">
        <f>IF(B62="","",IFERROR(AVERAGEIFS('Grocery Spending'!$L$5:$L$404,'Grocery Spending'!$H$5:$H$404,B62,'Grocery Spending'!$L$5:$L$404,"&gt;0"),""))</f>
        <v>0</v>
      </c>
      <c r="M62" s="25">
        <f>IF(B62="","",IF(COUNTIFS('Store Prices'!$B$5:$B$304,B62)=0,"",IF(SUMPRODUCT(MIN((('Store Prices'!$B$5:$B$304=B62)*(IFERROR('Store Prices'!$I$5:$I$304*1,0)&gt;0))*IFERROR('Store Prices'!$I$5:$I$304*1,0)+(1-(('Store Prices'!$B$5:$B$304=B62)*(IFERROR('Store Prices'!$I$5:$I$304*1,0)&gt;0)))*999999))&gt;=999999,"",SUMPRODUCT(MIN((('Store Prices'!$B$5:$B$304=B62)*(IFERROR('Store Prices'!$I$5:$I$304*1,0)&gt;0))*IFERROR('Store Prices'!$I$5:$I$304*1,0)+(1-(('Store Prices'!$B$5:$B$304=B62)*(IFERROR('Store Prices'!$I$5:$I$304*1,0)&gt;0)))*999999)))))</f>
        <v>0</v>
      </c>
      <c r="N62" s="17">
        <f>IF(M62="","",IFERROR(INDEX('Store Prices'!$C$5:$C$304,MATCH(1,INDEX(('Store Prices'!$B$5:$B$304=B62)*('Store Prices'!$I$5:$I$304=M62),0),0)),""))</f>
        <v>0</v>
      </c>
      <c r="O62" s="25">
        <f>IF(OR(M62="",J62=""),"",MAX(0,(J62-M62)*100))</f>
        <v>0</v>
      </c>
      <c r="AD62" s="45">
        <f>IF(B62="","",SUMIFS(Pantry!$G$5:$G$304,Pantry!$B$5:$B$304,B62))</f>
        <v>0</v>
      </c>
      <c r="AE62" s="25">
        <f>IF(OR(AD62="",J62=""),"",AD62*J62)</f>
        <v>0</v>
      </c>
      <c r="AF62" s="18">
        <f>IF(B62="","",COUNTIFS('Recipe Ingredients'!$D$5:$D$1204,B62))</f>
        <v>0</v>
      </c>
      <c r="AG62" s="45">
        <f>IF(B62="","",SUMIFS('Recipe Ingredients'!$Y$5:$Y$1204,'Recipe Ingredients'!$D$5:$D$1204,B62))</f>
        <v>0</v>
      </c>
      <c r="AH62" s="30">
        <f>IF(B62="",0,IFERROR(K62*1,0)*IFERROR(AF62*1,0))</f>
        <v>0</v>
      </c>
      <c r="AI62" s="18">
        <f>IF(B62="","",COUNTIFS($AH$5:$AH$304,"&gt;"&amp;AH62)+COUNTIFS($AH$5:AH62,AH62))</f>
        <v>0</v>
      </c>
      <c r="AJ62" s="18">
        <f>IF(B62="",0,COUNTIFS('Food Waste'!$E$5:$E$154,B62))</f>
        <v>0</v>
      </c>
      <c r="AK62" s="18">
        <f>IF(B62="","",COUNTIFS($AJ$5:$AJ$304,"&gt;"&amp;AJ62)+COUNTIFS($AJ$5:AJ62,AJ62))</f>
        <v>0</v>
      </c>
      <c r="AL62" s="18">
        <f>IF(B62="","",IF(AG62&gt;0,COUNTIF(AG$5:AG62,"&gt;0"),""))</f>
        <v>0</v>
      </c>
      <c r="AM62" s="45">
        <f>IF(B62="","",SUMIFS('Grocery List'!$Q$5:$Q$304,'Grocery List'!$B$5:$B$304,B62))</f>
        <v>0</v>
      </c>
      <c r="AN62" s="31">
        <f>IF(B62="","",IF(I62="","Add - no price yet",IF(H62="","Add - no pack size",IF(COUNTIFS($B$5:$B$304,B62)&gt;1,"Duplicate - same name twice",IF(AF62=0,"Check - no recipe uses it","OK")))))</f>
        <v>0</v>
      </c>
    </row>
    <row r="63" spans="1:41">
      <c r="A63" s="39">
        <f>IF(B63="","",IngredientPrefix&amp;TEXT(ROW()-4,"0000"))</f>
        <v>0</v>
      </c>
      <c r="J63" s="25">
        <f>IF(OR(H63="",I63=""),"",IF(H63=0,"",I63/H63))</f>
        <v>0</v>
      </c>
      <c r="K63" s="25">
        <f>IF(J63="","",J63*100)</f>
        <v>0</v>
      </c>
      <c r="L63" s="25">
        <f>IF(B63="","",IFERROR(AVERAGEIFS('Grocery Spending'!$L$5:$L$404,'Grocery Spending'!$H$5:$H$404,B63,'Grocery Spending'!$L$5:$L$404,"&gt;0"),""))</f>
        <v>0</v>
      </c>
      <c r="M63" s="25">
        <f>IF(B63="","",IF(COUNTIFS('Store Prices'!$B$5:$B$304,B63)=0,"",IF(SUMPRODUCT(MIN((('Store Prices'!$B$5:$B$304=B63)*(IFERROR('Store Prices'!$I$5:$I$304*1,0)&gt;0))*IFERROR('Store Prices'!$I$5:$I$304*1,0)+(1-(('Store Prices'!$B$5:$B$304=B63)*(IFERROR('Store Prices'!$I$5:$I$304*1,0)&gt;0)))*999999))&gt;=999999,"",SUMPRODUCT(MIN((('Store Prices'!$B$5:$B$304=B63)*(IFERROR('Store Prices'!$I$5:$I$304*1,0)&gt;0))*IFERROR('Store Prices'!$I$5:$I$304*1,0)+(1-(('Store Prices'!$B$5:$B$304=B63)*(IFERROR('Store Prices'!$I$5:$I$304*1,0)&gt;0)))*999999)))))</f>
        <v>0</v>
      </c>
      <c r="N63" s="17">
        <f>IF(M63="","",IFERROR(INDEX('Store Prices'!$C$5:$C$304,MATCH(1,INDEX(('Store Prices'!$B$5:$B$304=B63)*('Store Prices'!$I$5:$I$304=M63),0),0)),""))</f>
        <v>0</v>
      </c>
      <c r="O63" s="25">
        <f>IF(OR(M63="",J63=""),"",MAX(0,(J63-M63)*100))</f>
        <v>0</v>
      </c>
      <c r="AD63" s="45">
        <f>IF(B63="","",SUMIFS(Pantry!$G$5:$G$304,Pantry!$B$5:$B$304,B63))</f>
        <v>0</v>
      </c>
      <c r="AE63" s="25">
        <f>IF(OR(AD63="",J63=""),"",AD63*J63)</f>
        <v>0</v>
      </c>
      <c r="AF63" s="18">
        <f>IF(B63="","",COUNTIFS('Recipe Ingredients'!$D$5:$D$1204,B63))</f>
        <v>0</v>
      </c>
      <c r="AG63" s="45">
        <f>IF(B63="","",SUMIFS('Recipe Ingredients'!$Y$5:$Y$1204,'Recipe Ingredients'!$D$5:$D$1204,B63))</f>
        <v>0</v>
      </c>
      <c r="AH63" s="30">
        <f>IF(B63="",0,IFERROR(K63*1,0)*IFERROR(AF63*1,0))</f>
        <v>0</v>
      </c>
      <c r="AI63" s="18">
        <f>IF(B63="","",COUNTIFS($AH$5:$AH$304,"&gt;"&amp;AH63)+COUNTIFS($AH$5:AH63,AH63))</f>
        <v>0</v>
      </c>
      <c r="AJ63" s="18">
        <f>IF(B63="",0,COUNTIFS('Food Waste'!$E$5:$E$154,B63))</f>
        <v>0</v>
      </c>
      <c r="AK63" s="18">
        <f>IF(B63="","",COUNTIFS($AJ$5:$AJ$304,"&gt;"&amp;AJ63)+COUNTIFS($AJ$5:AJ63,AJ63))</f>
        <v>0</v>
      </c>
      <c r="AL63" s="18">
        <f>IF(B63="","",IF(AG63&gt;0,COUNTIF(AG$5:AG63,"&gt;0"),""))</f>
        <v>0</v>
      </c>
      <c r="AM63" s="45">
        <f>IF(B63="","",SUMIFS('Grocery List'!$Q$5:$Q$304,'Grocery List'!$B$5:$B$304,B63))</f>
        <v>0</v>
      </c>
      <c r="AN63" s="31">
        <f>IF(B63="","",IF(I63="","Add - no price yet",IF(H63="","Add - no pack size",IF(COUNTIFS($B$5:$B$304,B63)&gt;1,"Duplicate - same name twice",IF(AF63=0,"Check - no recipe uses it","OK")))))</f>
        <v>0</v>
      </c>
    </row>
    <row r="64" spans="1:41">
      <c r="A64" s="39">
        <f>IF(B64="","",IngredientPrefix&amp;TEXT(ROW()-4,"0000"))</f>
        <v>0</v>
      </c>
      <c r="J64" s="25">
        <f>IF(OR(H64="",I64=""),"",IF(H64=0,"",I64/H64))</f>
        <v>0</v>
      </c>
      <c r="K64" s="25">
        <f>IF(J64="","",J64*100)</f>
        <v>0</v>
      </c>
      <c r="L64" s="25">
        <f>IF(B64="","",IFERROR(AVERAGEIFS('Grocery Spending'!$L$5:$L$404,'Grocery Spending'!$H$5:$H$404,B64,'Grocery Spending'!$L$5:$L$404,"&gt;0"),""))</f>
        <v>0</v>
      </c>
      <c r="M64" s="25">
        <f>IF(B64="","",IF(COUNTIFS('Store Prices'!$B$5:$B$304,B64)=0,"",IF(SUMPRODUCT(MIN((('Store Prices'!$B$5:$B$304=B64)*(IFERROR('Store Prices'!$I$5:$I$304*1,0)&gt;0))*IFERROR('Store Prices'!$I$5:$I$304*1,0)+(1-(('Store Prices'!$B$5:$B$304=B64)*(IFERROR('Store Prices'!$I$5:$I$304*1,0)&gt;0)))*999999))&gt;=999999,"",SUMPRODUCT(MIN((('Store Prices'!$B$5:$B$304=B64)*(IFERROR('Store Prices'!$I$5:$I$304*1,0)&gt;0))*IFERROR('Store Prices'!$I$5:$I$304*1,0)+(1-(('Store Prices'!$B$5:$B$304=B64)*(IFERROR('Store Prices'!$I$5:$I$304*1,0)&gt;0)))*999999)))))</f>
        <v>0</v>
      </c>
      <c r="N64" s="17">
        <f>IF(M64="","",IFERROR(INDEX('Store Prices'!$C$5:$C$304,MATCH(1,INDEX(('Store Prices'!$B$5:$B$304=B64)*('Store Prices'!$I$5:$I$304=M64),0),0)),""))</f>
        <v>0</v>
      </c>
      <c r="O64" s="25">
        <f>IF(OR(M64="",J64=""),"",MAX(0,(J64-M64)*100))</f>
        <v>0</v>
      </c>
      <c r="AD64" s="45">
        <f>IF(B64="","",SUMIFS(Pantry!$G$5:$G$304,Pantry!$B$5:$B$304,B64))</f>
        <v>0</v>
      </c>
      <c r="AE64" s="25">
        <f>IF(OR(AD64="",J64=""),"",AD64*J64)</f>
        <v>0</v>
      </c>
      <c r="AF64" s="18">
        <f>IF(B64="","",COUNTIFS('Recipe Ingredients'!$D$5:$D$1204,B64))</f>
        <v>0</v>
      </c>
      <c r="AG64" s="45">
        <f>IF(B64="","",SUMIFS('Recipe Ingredients'!$Y$5:$Y$1204,'Recipe Ingredients'!$D$5:$D$1204,B64))</f>
        <v>0</v>
      </c>
      <c r="AH64" s="30">
        <f>IF(B64="",0,IFERROR(K64*1,0)*IFERROR(AF64*1,0))</f>
        <v>0</v>
      </c>
      <c r="AI64" s="18">
        <f>IF(B64="","",COUNTIFS($AH$5:$AH$304,"&gt;"&amp;AH64)+COUNTIFS($AH$5:AH64,AH64))</f>
        <v>0</v>
      </c>
      <c r="AJ64" s="18">
        <f>IF(B64="",0,COUNTIFS('Food Waste'!$E$5:$E$154,B64))</f>
        <v>0</v>
      </c>
      <c r="AK64" s="18">
        <f>IF(B64="","",COUNTIFS($AJ$5:$AJ$304,"&gt;"&amp;AJ64)+COUNTIFS($AJ$5:AJ64,AJ64))</f>
        <v>0</v>
      </c>
      <c r="AL64" s="18">
        <f>IF(B64="","",IF(AG64&gt;0,COUNTIF(AG$5:AG64,"&gt;0"),""))</f>
        <v>0</v>
      </c>
      <c r="AM64" s="45">
        <f>IF(B64="","",SUMIFS('Grocery List'!$Q$5:$Q$304,'Grocery List'!$B$5:$B$304,B64))</f>
        <v>0</v>
      </c>
      <c r="AN64" s="31">
        <f>IF(B64="","",IF(I64="","Add - no price yet",IF(H64="","Add - no pack size",IF(COUNTIFS($B$5:$B$304,B64)&gt;1,"Duplicate - same name twice",IF(AF64=0,"Check - no recipe uses it","OK")))))</f>
        <v>0</v>
      </c>
    </row>
    <row r="65" spans="1:40">
      <c r="A65" s="39">
        <f>IF(B65="","",IngredientPrefix&amp;TEXT(ROW()-4,"0000"))</f>
        <v>0</v>
      </c>
      <c r="J65" s="25">
        <f>IF(OR(H65="",I65=""),"",IF(H65=0,"",I65/H65))</f>
        <v>0</v>
      </c>
      <c r="K65" s="25">
        <f>IF(J65="","",J65*100)</f>
        <v>0</v>
      </c>
      <c r="L65" s="25">
        <f>IF(B65="","",IFERROR(AVERAGEIFS('Grocery Spending'!$L$5:$L$404,'Grocery Spending'!$H$5:$H$404,B65,'Grocery Spending'!$L$5:$L$404,"&gt;0"),""))</f>
        <v>0</v>
      </c>
      <c r="M65" s="25">
        <f>IF(B65="","",IF(COUNTIFS('Store Prices'!$B$5:$B$304,B65)=0,"",IF(SUMPRODUCT(MIN((('Store Prices'!$B$5:$B$304=B65)*(IFERROR('Store Prices'!$I$5:$I$304*1,0)&gt;0))*IFERROR('Store Prices'!$I$5:$I$304*1,0)+(1-(('Store Prices'!$B$5:$B$304=B65)*(IFERROR('Store Prices'!$I$5:$I$304*1,0)&gt;0)))*999999))&gt;=999999,"",SUMPRODUCT(MIN((('Store Prices'!$B$5:$B$304=B65)*(IFERROR('Store Prices'!$I$5:$I$304*1,0)&gt;0))*IFERROR('Store Prices'!$I$5:$I$304*1,0)+(1-(('Store Prices'!$B$5:$B$304=B65)*(IFERROR('Store Prices'!$I$5:$I$304*1,0)&gt;0)))*999999)))))</f>
        <v>0</v>
      </c>
      <c r="N65" s="17">
        <f>IF(M65="","",IFERROR(INDEX('Store Prices'!$C$5:$C$304,MATCH(1,INDEX(('Store Prices'!$B$5:$B$304=B65)*('Store Prices'!$I$5:$I$304=M65),0),0)),""))</f>
        <v>0</v>
      </c>
      <c r="O65" s="25">
        <f>IF(OR(M65="",J65=""),"",MAX(0,(J65-M65)*100))</f>
        <v>0</v>
      </c>
      <c r="AD65" s="45">
        <f>IF(B65="","",SUMIFS(Pantry!$G$5:$G$304,Pantry!$B$5:$B$304,B65))</f>
        <v>0</v>
      </c>
      <c r="AE65" s="25">
        <f>IF(OR(AD65="",J65=""),"",AD65*J65)</f>
        <v>0</v>
      </c>
      <c r="AF65" s="18">
        <f>IF(B65="","",COUNTIFS('Recipe Ingredients'!$D$5:$D$1204,B65))</f>
        <v>0</v>
      </c>
      <c r="AG65" s="45">
        <f>IF(B65="","",SUMIFS('Recipe Ingredients'!$Y$5:$Y$1204,'Recipe Ingredients'!$D$5:$D$1204,B65))</f>
        <v>0</v>
      </c>
      <c r="AH65" s="30">
        <f>IF(B65="",0,IFERROR(K65*1,0)*IFERROR(AF65*1,0))</f>
        <v>0</v>
      </c>
      <c r="AI65" s="18">
        <f>IF(B65="","",COUNTIFS($AH$5:$AH$304,"&gt;"&amp;AH65)+COUNTIFS($AH$5:AH65,AH65))</f>
        <v>0</v>
      </c>
      <c r="AJ65" s="18">
        <f>IF(B65="",0,COUNTIFS('Food Waste'!$E$5:$E$154,B65))</f>
        <v>0</v>
      </c>
      <c r="AK65" s="18">
        <f>IF(B65="","",COUNTIFS($AJ$5:$AJ$304,"&gt;"&amp;AJ65)+COUNTIFS($AJ$5:AJ65,AJ65))</f>
        <v>0</v>
      </c>
      <c r="AL65" s="18">
        <f>IF(B65="","",IF(AG65&gt;0,COUNTIF(AG$5:AG65,"&gt;0"),""))</f>
        <v>0</v>
      </c>
      <c r="AM65" s="45">
        <f>IF(B65="","",SUMIFS('Grocery List'!$Q$5:$Q$304,'Grocery List'!$B$5:$B$304,B65))</f>
        <v>0</v>
      </c>
      <c r="AN65" s="31">
        <f>IF(B65="","",IF(I65="","Add - no price yet",IF(H65="","Add - no pack size",IF(COUNTIFS($B$5:$B$304,B65)&gt;1,"Duplicate - same name twice",IF(AF65=0,"Check - no recipe uses it","OK")))))</f>
        <v>0</v>
      </c>
    </row>
    <row r="66" spans="1:40">
      <c r="A66" s="39">
        <f>IF(B66="","",IngredientPrefix&amp;TEXT(ROW()-4,"0000"))</f>
        <v>0</v>
      </c>
      <c r="J66" s="25">
        <f>IF(OR(H66="",I66=""),"",IF(H66=0,"",I66/H66))</f>
        <v>0</v>
      </c>
      <c r="K66" s="25">
        <f>IF(J66="","",J66*100)</f>
        <v>0</v>
      </c>
      <c r="L66" s="25">
        <f>IF(B66="","",IFERROR(AVERAGEIFS('Grocery Spending'!$L$5:$L$404,'Grocery Spending'!$H$5:$H$404,B66,'Grocery Spending'!$L$5:$L$404,"&gt;0"),""))</f>
        <v>0</v>
      </c>
      <c r="M66" s="25">
        <f>IF(B66="","",IF(COUNTIFS('Store Prices'!$B$5:$B$304,B66)=0,"",IF(SUMPRODUCT(MIN((('Store Prices'!$B$5:$B$304=B66)*(IFERROR('Store Prices'!$I$5:$I$304*1,0)&gt;0))*IFERROR('Store Prices'!$I$5:$I$304*1,0)+(1-(('Store Prices'!$B$5:$B$304=B66)*(IFERROR('Store Prices'!$I$5:$I$304*1,0)&gt;0)))*999999))&gt;=999999,"",SUMPRODUCT(MIN((('Store Prices'!$B$5:$B$304=B66)*(IFERROR('Store Prices'!$I$5:$I$304*1,0)&gt;0))*IFERROR('Store Prices'!$I$5:$I$304*1,0)+(1-(('Store Prices'!$B$5:$B$304=B66)*(IFERROR('Store Prices'!$I$5:$I$304*1,0)&gt;0)))*999999)))))</f>
        <v>0</v>
      </c>
      <c r="N66" s="17">
        <f>IF(M66="","",IFERROR(INDEX('Store Prices'!$C$5:$C$304,MATCH(1,INDEX(('Store Prices'!$B$5:$B$304=B66)*('Store Prices'!$I$5:$I$304=M66),0),0)),""))</f>
        <v>0</v>
      </c>
      <c r="O66" s="25">
        <f>IF(OR(M66="",J66=""),"",MAX(0,(J66-M66)*100))</f>
        <v>0</v>
      </c>
      <c r="AD66" s="45">
        <f>IF(B66="","",SUMIFS(Pantry!$G$5:$G$304,Pantry!$B$5:$B$304,B66))</f>
        <v>0</v>
      </c>
      <c r="AE66" s="25">
        <f>IF(OR(AD66="",J66=""),"",AD66*J66)</f>
        <v>0</v>
      </c>
      <c r="AF66" s="18">
        <f>IF(B66="","",COUNTIFS('Recipe Ingredients'!$D$5:$D$1204,B66))</f>
        <v>0</v>
      </c>
      <c r="AG66" s="45">
        <f>IF(B66="","",SUMIFS('Recipe Ingredients'!$Y$5:$Y$1204,'Recipe Ingredients'!$D$5:$D$1204,B66))</f>
        <v>0</v>
      </c>
      <c r="AH66" s="30">
        <f>IF(B66="",0,IFERROR(K66*1,0)*IFERROR(AF66*1,0))</f>
        <v>0</v>
      </c>
      <c r="AI66" s="18">
        <f>IF(B66="","",COUNTIFS($AH$5:$AH$304,"&gt;"&amp;AH66)+COUNTIFS($AH$5:AH66,AH66))</f>
        <v>0</v>
      </c>
      <c r="AJ66" s="18">
        <f>IF(B66="",0,COUNTIFS('Food Waste'!$E$5:$E$154,B66))</f>
        <v>0</v>
      </c>
      <c r="AK66" s="18">
        <f>IF(B66="","",COUNTIFS($AJ$5:$AJ$304,"&gt;"&amp;AJ66)+COUNTIFS($AJ$5:AJ66,AJ66))</f>
        <v>0</v>
      </c>
      <c r="AL66" s="18">
        <f>IF(B66="","",IF(AG66&gt;0,COUNTIF(AG$5:AG66,"&gt;0"),""))</f>
        <v>0</v>
      </c>
      <c r="AM66" s="45">
        <f>IF(B66="","",SUMIFS('Grocery List'!$Q$5:$Q$304,'Grocery List'!$B$5:$B$304,B66))</f>
        <v>0</v>
      </c>
      <c r="AN66" s="31">
        <f>IF(B66="","",IF(I66="","Add - no price yet",IF(H66="","Add - no pack size",IF(COUNTIFS($B$5:$B$304,B66)&gt;1,"Duplicate - same name twice",IF(AF66=0,"Check - no recipe uses it","OK")))))</f>
        <v>0</v>
      </c>
    </row>
    <row r="67" spans="1:40">
      <c r="A67" s="39">
        <f>IF(B67="","",IngredientPrefix&amp;TEXT(ROW()-4,"0000"))</f>
        <v>0</v>
      </c>
      <c r="J67" s="25">
        <f>IF(OR(H67="",I67=""),"",IF(H67=0,"",I67/H67))</f>
        <v>0</v>
      </c>
      <c r="K67" s="25">
        <f>IF(J67="","",J67*100)</f>
        <v>0</v>
      </c>
      <c r="L67" s="25">
        <f>IF(B67="","",IFERROR(AVERAGEIFS('Grocery Spending'!$L$5:$L$404,'Grocery Spending'!$H$5:$H$404,B67,'Grocery Spending'!$L$5:$L$404,"&gt;0"),""))</f>
        <v>0</v>
      </c>
      <c r="M67" s="25">
        <f>IF(B67="","",IF(COUNTIFS('Store Prices'!$B$5:$B$304,B67)=0,"",IF(SUMPRODUCT(MIN((('Store Prices'!$B$5:$B$304=B67)*(IFERROR('Store Prices'!$I$5:$I$304*1,0)&gt;0))*IFERROR('Store Prices'!$I$5:$I$304*1,0)+(1-(('Store Prices'!$B$5:$B$304=B67)*(IFERROR('Store Prices'!$I$5:$I$304*1,0)&gt;0)))*999999))&gt;=999999,"",SUMPRODUCT(MIN((('Store Prices'!$B$5:$B$304=B67)*(IFERROR('Store Prices'!$I$5:$I$304*1,0)&gt;0))*IFERROR('Store Prices'!$I$5:$I$304*1,0)+(1-(('Store Prices'!$B$5:$B$304=B67)*(IFERROR('Store Prices'!$I$5:$I$304*1,0)&gt;0)))*999999)))))</f>
        <v>0</v>
      </c>
      <c r="N67" s="17">
        <f>IF(M67="","",IFERROR(INDEX('Store Prices'!$C$5:$C$304,MATCH(1,INDEX(('Store Prices'!$B$5:$B$304=B67)*('Store Prices'!$I$5:$I$304=M67),0),0)),""))</f>
        <v>0</v>
      </c>
      <c r="O67" s="25">
        <f>IF(OR(M67="",J67=""),"",MAX(0,(J67-M67)*100))</f>
        <v>0</v>
      </c>
      <c r="AD67" s="45">
        <f>IF(B67="","",SUMIFS(Pantry!$G$5:$G$304,Pantry!$B$5:$B$304,B67))</f>
        <v>0</v>
      </c>
      <c r="AE67" s="25">
        <f>IF(OR(AD67="",J67=""),"",AD67*J67)</f>
        <v>0</v>
      </c>
      <c r="AF67" s="18">
        <f>IF(B67="","",COUNTIFS('Recipe Ingredients'!$D$5:$D$1204,B67))</f>
        <v>0</v>
      </c>
      <c r="AG67" s="45">
        <f>IF(B67="","",SUMIFS('Recipe Ingredients'!$Y$5:$Y$1204,'Recipe Ingredients'!$D$5:$D$1204,B67))</f>
        <v>0</v>
      </c>
      <c r="AH67" s="30">
        <f>IF(B67="",0,IFERROR(K67*1,0)*IFERROR(AF67*1,0))</f>
        <v>0</v>
      </c>
      <c r="AI67" s="18">
        <f>IF(B67="","",COUNTIFS($AH$5:$AH$304,"&gt;"&amp;AH67)+COUNTIFS($AH$5:AH67,AH67))</f>
        <v>0</v>
      </c>
      <c r="AJ67" s="18">
        <f>IF(B67="",0,COUNTIFS('Food Waste'!$E$5:$E$154,B67))</f>
        <v>0</v>
      </c>
      <c r="AK67" s="18">
        <f>IF(B67="","",COUNTIFS($AJ$5:$AJ$304,"&gt;"&amp;AJ67)+COUNTIFS($AJ$5:AJ67,AJ67))</f>
        <v>0</v>
      </c>
      <c r="AL67" s="18">
        <f>IF(B67="","",IF(AG67&gt;0,COUNTIF(AG$5:AG67,"&gt;0"),""))</f>
        <v>0</v>
      </c>
      <c r="AM67" s="45">
        <f>IF(B67="","",SUMIFS('Grocery List'!$Q$5:$Q$304,'Grocery List'!$B$5:$B$304,B67))</f>
        <v>0</v>
      </c>
      <c r="AN67" s="31">
        <f>IF(B67="","",IF(I67="","Add - no price yet",IF(H67="","Add - no pack size",IF(COUNTIFS($B$5:$B$304,B67)&gt;1,"Duplicate - same name twice",IF(AF67=0,"Check - no recipe uses it","OK")))))</f>
        <v>0</v>
      </c>
    </row>
    <row r="68" spans="1:40">
      <c r="A68" s="39">
        <f>IF(B68="","",IngredientPrefix&amp;TEXT(ROW()-4,"0000"))</f>
        <v>0</v>
      </c>
      <c r="J68" s="25">
        <f>IF(OR(H68="",I68=""),"",IF(H68=0,"",I68/H68))</f>
        <v>0</v>
      </c>
      <c r="K68" s="25">
        <f>IF(J68="","",J68*100)</f>
        <v>0</v>
      </c>
      <c r="L68" s="25">
        <f>IF(B68="","",IFERROR(AVERAGEIFS('Grocery Spending'!$L$5:$L$404,'Grocery Spending'!$H$5:$H$404,B68,'Grocery Spending'!$L$5:$L$404,"&gt;0"),""))</f>
        <v>0</v>
      </c>
      <c r="M68" s="25">
        <f>IF(B68="","",IF(COUNTIFS('Store Prices'!$B$5:$B$304,B68)=0,"",IF(SUMPRODUCT(MIN((('Store Prices'!$B$5:$B$304=B68)*(IFERROR('Store Prices'!$I$5:$I$304*1,0)&gt;0))*IFERROR('Store Prices'!$I$5:$I$304*1,0)+(1-(('Store Prices'!$B$5:$B$304=B68)*(IFERROR('Store Prices'!$I$5:$I$304*1,0)&gt;0)))*999999))&gt;=999999,"",SUMPRODUCT(MIN((('Store Prices'!$B$5:$B$304=B68)*(IFERROR('Store Prices'!$I$5:$I$304*1,0)&gt;0))*IFERROR('Store Prices'!$I$5:$I$304*1,0)+(1-(('Store Prices'!$B$5:$B$304=B68)*(IFERROR('Store Prices'!$I$5:$I$304*1,0)&gt;0)))*999999)))))</f>
        <v>0</v>
      </c>
      <c r="N68" s="17">
        <f>IF(M68="","",IFERROR(INDEX('Store Prices'!$C$5:$C$304,MATCH(1,INDEX(('Store Prices'!$B$5:$B$304=B68)*('Store Prices'!$I$5:$I$304=M68),0),0)),""))</f>
        <v>0</v>
      </c>
      <c r="O68" s="25">
        <f>IF(OR(M68="",J68=""),"",MAX(0,(J68-M68)*100))</f>
        <v>0</v>
      </c>
      <c r="AD68" s="45">
        <f>IF(B68="","",SUMIFS(Pantry!$G$5:$G$304,Pantry!$B$5:$B$304,B68))</f>
        <v>0</v>
      </c>
      <c r="AE68" s="25">
        <f>IF(OR(AD68="",J68=""),"",AD68*J68)</f>
        <v>0</v>
      </c>
      <c r="AF68" s="18">
        <f>IF(B68="","",COUNTIFS('Recipe Ingredients'!$D$5:$D$1204,B68))</f>
        <v>0</v>
      </c>
      <c r="AG68" s="45">
        <f>IF(B68="","",SUMIFS('Recipe Ingredients'!$Y$5:$Y$1204,'Recipe Ingredients'!$D$5:$D$1204,B68))</f>
        <v>0</v>
      </c>
      <c r="AH68" s="30">
        <f>IF(B68="",0,IFERROR(K68*1,0)*IFERROR(AF68*1,0))</f>
        <v>0</v>
      </c>
      <c r="AI68" s="18">
        <f>IF(B68="","",COUNTIFS($AH$5:$AH$304,"&gt;"&amp;AH68)+COUNTIFS($AH$5:AH68,AH68))</f>
        <v>0</v>
      </c>
      <c r="AJ68" s="18">
        <f>IF(B68="",0,COUNTIFS('Food Waste'!$E$5:$E$154,B68))</f>
        <v>0</v>
      </c>
      <c r="AK68" s="18">
        <f>IF(B68="","",COUNTIFS($AJ$5:$AJ$304,"&gt;"&amp;AJ68)+COUNTIFS($AJ$5:AJ68,AJ68))</f>
        <v>0</v>
      </c>
      <c r="AL68" s="18">
        <f>IF(B68="","",IF(AG68&gt;0,COUNTIF(AG$5:AG68,"&gt;0"),""))</f>
        <v>0</v>
      </c>
      <c r="AM68" s="45">
        <f>IF(B68="","",SUMIFS('Grocery List'!$Q$5:$Q$304,'Grocery List'!$B$5:$B$304,B68))</f>
        <v>0</v>
      </c>
      <c r="AN68" s="31">
        <f>IF(B68="","",IF(I68="","Add - no price yet",IF(H68="","Add - no pack size",IF(COUNTIFS($B$5:$B$304,B68)&gt;1,"Duplicate - same name twice",IF(AF68=0,"Check - no recipe uses it","OK")))))</f>
        <v>0</v>
      </c>
    </row>
    <row r="69" spans="1:40">
      <c r="A69" s="39">
        <f>IF(B69="","",IngredientPrefix&amp;TEXT(ROW()-4,"0000"))</f>
        <v>0</v>
      </c>
      <c r="J69" s="25">
        <f>IF(OR(H69="",I69=""),"",IF(H69=0,"",I69/H69))</f>
        <v>0</v>
      </c>
      <c r="K69" s="25">
        <f>IF(J69="","",J69*100)</f>
        <v>0</v>
      </c>
      <c r="L69" s="25">
        <f>IF(B69="","",IFERROR(AVERAGEIFS('Grocery Spending'!$L$5:$L$404,'Grocery Spending'!$H$5:$H$404,B69,'Grocery Spending'!$L$5:$L$404,"&gt;0"),""))</f>
        <v>0</v>
      </c>
      <c r="M69" s="25">
        <f>IF(B69="","",IF(COUNTIFS('Store Prices'!$B$5:$B$304,B69)=0,"",IF(SUMPRODUCT(MIN((('Store Prices'!$B$5:$B$304=B69)*(IFERROR('Store Prices'!$I$5:$I$304*1,0)&gt;0))*IFERROR('Store Prices'!$I$5:$I$304*1,0)+(1-(('Store Prices'!$B$5:$B$304=B69)*(IFERROR('Store Prices'!$I$5:$I$304*1,0)&gt;0)))*999999))&gt;=999999,"",SUMPRODUCT(MIN((('Store Prices'!$B$5:$B$304=B69)*(IFERROR('Store Prices'!$I$5:$I$304*1,0)&gt;0))*IFERROR('Store Prices'!$I$5:$I$304*1,0)+(1-(('Store Prices'!$B$5:$B$304=B69)*(IFERROR('Store Prices'!$I$5:$I$304*1,0)&gt;0)))*999999)))))</f>
        <v>0</v>
      </c>
      <c r="N69" s="17">
        <f>IF(M69="","",IFERROR(INDEX('Store Prices'!$C$5:$C$304,MATCH(1,INDEX(('Store Prices'!$B$5:$B$304=B69)*('Store Prices'!$I$5:$I$304=M69),0),0)),""))</f>
        <v>0</v>
      </c>
      <c r="O69" s="25">
        <f>IF(OR(M69="",J69=""),"",MAX(0,(J69-M69)*100))</f>
        <v>0</v>
      </c>
      <c r="AD69" s="45">
        <f>IF(B69="","",SUMIFS(Pantry!$G$5:$G$304,Pantry!$B$5:$B$304,B69))</f>
        <v>0</v>
      </c>
      <c r="AE69" s="25">
        <f>IF(OR(AD69="",J69=""),"",AD69*J69)</f>
        <v>0</v>
      </c>
      <c r="AF69" s="18">
        <f>IF(B69="","",COUNTIFS('Recipe Ingredients'!$D$5:$D$1204,B69))</f>
        <v>0</v>
      </c>
      <c r="AG69" s="45">
        <f>IF(B69="","",SUMIFS('Recipe Ingredients'!$Y$5:$Y$1204,'Recipe Ingredients'!$D$5:$D$1204,B69))</f>
        <v>0</v>
      </c>
      <c r="AH69" s="30">
        <f>IF(B69="",0,IFERROR(K69*1,0)*IFERROR(AF69*1,0))</f>
        <v>0</v>
      </c>
      <c r="AI69" s="18">
        <f>IF(B69="","",COUNTIFS($AH$5:$AH$304,"&gt;"&amp;AH69)+COUNTIFS($AH$5:AH69,AH69))</f>
        <v>0</v>
      </c>
      <c r="AJ69" s="18">
        <f>IF(B69="",0,COUNTIFS('Food Waste'!$E$5:$E$154,B69))</f>
        <v>0</v>
      </c>
      <c r="AK69" s="18">
        <f>IF(B69="","",COUNTIFS($AJ$5:$AJ$304,"&gt;"&amp;AJ69)+COUNTIFS($AJ$5:AJ69,AJ69))</f>
        <v>0</v>
      </c>
      <c r="AL69" s="18">
        <f>IF(B69="","",IF(AG69&gt;0,COUNTIF(AG$5:AG69,"&gt;0"),""))</f>
        <v>0</v>
      </c>
      <c r="AM69" s="45">
        <f>IF(B69="","",SUMIFS('Grocery List'!$Q$5:$Q$304,'Grocery List'!$B$5:$B$304,B69))</f>
        <v>0</v>
      </c>
      <c r="AN69" s="31">
        <f>IF(B69="","",IF(I69="","Add - no price yet",IF(H69="","Add - no pack size",IF(COUNTIFS($B$5:$B$304,B69)&gt;1,"Duplicate - same name twice",IF(AF69=0,"Check - no recipe uses it","OK")))))</f>
        <v>0</v>
      </c>
    </row>
    <row r="70" spans="1:40">
      <c r="A70" s="39">
        <f>IF(B70="","",IngredientPrefix&amp;TEXT(ROW()-4,"0000"))</f>
        <v>0</v>
      </c>
      <c r="J70" s="25">
        <f>IF(OR(H70="",I70=""),"",IF(H70=0,"",I70/H70))</f>
        <v>0</v>
      </c>
      <c r="K70" s="25">
        <f>IF(J70="","",J70*100)</f>
        <v>0</v>
      </c>
      <c r="L70" s="25">
        <f>IF(B70="","",IFERROR(AVERAGEIFS('Grocery Spending'!$L$5:$L$404,'Grocery Spending'!$H$5:$H$404,B70,'Grocery Spending'!$L$5:$L$404,"&gt;0"),""))</f>
        <v>0</v>
      </c>
      <c r="M70" s="25">
        <f>IF(B70="","",IF(COUNTIFS('Store Prices'!$B$5:$B$304,B70)=0,"",IF(SUMPRODUCT(MIN((('Store Prices'!$B$5:$B$304=B70)*(IFERROR('Store Prices'!$I$5:$I$304*1,0)&gt;0))*IFERROR('Store Prices'!$I$5:$I$304*1,0)+(1-(('Store Prices'!$B$5:$B$304=B70)*(IFERROR('Store Prices'!$I$5:$I$304*1,0)&gt;0)))*999999))&gt;=999999,"",SUMPRODUCT(MIN((('Store Prices'!$B$5:$B$304=B70)*(IFERROR('Store Prices'!$I$5:$I$304*1,0)&gt;0))*IFERROR('Store Prices'!$I$5:$I$304*1,0)+(1-(('Store Prices'!$B$5:$B$304=B70)*(IFERROR('Store Prices'!$I$5:$I$304*1,0)&gt;0)))*999999)))))</f>
        <v>0</v>
      </c>
      <c r="N70" s="17">
        <f>IF(M70="","",IFERROR(INDEX('Store Prices'!$C$5:$C$304,MATCH(1,INDEX(('Store Prices'!$B$5:$B$304=B70)*('Store Prices'!$I$5:$I$304=M70),0),0)),""))</f>
        <v>0</v>
      </c>
      <c r="O70" s="25">
        <f>IF(OR(M70="",J70=""),"",MAX(0,(J70-M70)*100))</f>
        <v>0</v>
      </c>
      <c r="AD70" s="45">
        <f>IF(B70="","",SUMIFS(Pantry!$G$5:$G$304,Pantry!$B$5:$B$304,B70))</f>
        <v>0</v>
      </c>
      <c r="AE70" s="25">
        <f>IF(OR(AD70="",J70=""),"",AD70*J70)</f>
        <v>0</v>
      </c>
      <c r="AF70" s="18">
        <f>IF(B70="","",COUNTIFS('Recipe Ingredients'!$D$5:$D$1204,B70))</f>
        <v>0</v>
      </c>
      <c r="AG70" s="45">
        <f>IF(B70="","",SUMIFS('Recipe Ingredients'!$Y$5:$Y$1204,'Recipe Ingredients'!$D$5:$D$1204,B70))</f>
        <v>0</v>
      </c>
      <c r="AH70" s="30">
        <f>IF(B70="",0,IFERROR(K70*1,0)*IFERROR(AF70*1,0))</f>
        <v>0</v>
      </c>
      <c r="AI70" s="18">
        <f>IF(B70="","",COUNTIFS($AH$5:$AH$304,"&gt;"&amp;AH70)+COUNTIFS($AH$5:AH70,AH70))</f>
        <v>0</v>
      </c>
      <c r="AJ70" s="18">
        <f>IF(B70="",0,COUNTIFS('Food Waste'!$E$5:$E$154,B70))</f>
        <v>0</v>
      </c>
      <c r="AK70" s="18">
        <f>IF(B70="","",COUNTIFS($AJ$5:$AJ$304,"&gt;"&amp;AJ70)+COUNTIFS($AJ$5:AJ70,AJ70))</f>
        <v>0</v>
      </c>
      <c r="AL70" s="18">
        <f>IF(B70="","",IF(AG70&gt;0,COUNTIF(AG$5:AG70,"&gt;0"),""))</f>
        <v>0</v>
      </c>
      <c r="AM70" s="45">
        <f>IF(B70="","",SUMIFS('Grocery List'!$Q$5:$Q$304,'Grocery List'!$B$5:$B$304,B70))</f>
        <v>0</v>
      </c>
      <c r="AN70" s="31">
        <f>IF(B70="","",IF(I70="","Add - no price yet",IF(H70="","Add - no pack size",IF(COUNTIFS($B$5:$B$304,B70)&gt;1,"Duplicate - same name twice",IF(AF70=0,"Check - no recipe uses it","OK")))))</f>
        <v>0</v>
      </c>
    </row>
    <row r="71" spans="1:40">
      <c r="A71" s="39">
        <f>IF(B71="","",IngredientPrefix&amp;TEXT(ROW()-4,"0000"))</f>
        <v>0</v>
      </c>
      <c r="J71" s="25">
        <f>IF(OR(H71="",I71=""),"",IF(H71=0,"",I71/H71))</f>
        <v>0</v>
      </c>
      <c r="K71" s="25">
        <f>IF(J71="","",J71*100)</f>
        <v>0</v>
      </c>
      <c r="L71" s="25">
        <f>IF(B71="","",IFERROR(AVERAGEIFS('Grocery Spending'!$L$5:$L$404,'Grocery Spending'!$H$5:$H$404,B71,'Grocery Spending'!$L$5:$L$404,"&gt;0"),""))</f>
        <v>0</v>
      </c>
      <c r="M71" s="25">
        <f>IF(B71="","",IF(COUNTIFS('Store Prices'!$B$5:$B$304,B71)=0,"",IF(SUMPRODUCT(MIN((('Store Prices'!$B$5:$B$304=B71)*(IFERROR('Store Prices'!$I$5:$I$304*1,0)&gt;0))*IFERROR('Store Prices'!$I$5:$I$304*1,0)+(1-(('Store Prices'!$B$5:$B$304=B71)*(IFERROR('Store Prices'!$I$5:$I$304*1,0)&gt;0)))*999999))&gt;=999999,"",SUMPRODUCT(MIN((('Store Prices'!$B$5:$B$304=B71)*(IFERROR('Store Prices'!$I$5:$I$304*1,0)&gt;0))*IFERROR('Store Prices'!$I$5:$I$304*1,0)+(1-(('Store Prices'!$B$5:$B$304=B71)*(IFERROR('Store Prices'!$I$5:$I$304*1,0)&gt;0)))*999999)))))</f>
        <v>0</v>
      </c>
      <c r="N71" s="17">
        <f>IF(M71="","",IFERROR(INDEX('Store Prices'!$C$5:$C$304,MATCH(1,INDEX(('Store Prices'!$B$5:$B$304=B71)*('Store Prices'!$I$5:$I$304=M71),0),0)),""))</f>
        <v>0</v>
      </c>
      <c r="O71" s="25">
        <f>IF(OR(M71="",J71=""),"",MAX(0,(J71-M71)*100))</f>
        <v>0</v>
      </c>
      <c r="AD71" s="45">
        <f>IF(B71="","",SUMIFS(Pantry!$G$5:$G$304,Pantry!$B$5:$B$304,B71))</f>
        <v>0</v>
      </c>
      <c r="AE71" s="25">
        <f>IF(OR(AD71="",J71=""),"",AD71*J71)</f>
        <v>0</v>
      </c>
      <c r="AF71" s="18">
        <f>IF(B71="","",COUNTIFS('Recipe Ingredients'!$D$5:$D$1204,B71))</f>
        <v>0</v>
      </c>
      <c r="AG71" s="45">
        <f>IF(B71="","",SUMIFS('Recipe Ingredients'!$Y$5:$Y$1204,'Recipe Ingredients'!$D$5:$D$1204,B71))</f>
        <v>0</v>
      </c>
      <c r="AH71" s="30">
        <f>IF(B71="",0,IFERROR(K71*1,0)*IFERROR(AF71*1,0))</f>
        <v>0</v>
      </c>
      <c r="AI71" s="18">
        <f>IF(B71="","",COUNTIFS($AH$5:$AH$304,"&gt;"&amp;AH71)+COUNTIFS($AH$5:AH71,AH71))</f>
        <v>0</v>
      </c>
      <c r="AJ71" s="18">
        <f>IF(B71="",0,COUNTIFS('Food Waste'!$E$5:$E$154,B71))</f>
        <v>0</v>
      </c>
      <c r="AK71" s="18">
        <f>IF(B71="","",COUNTIFS($AJ$5:$AJ$304,"&gt;"&amp;AJ71)+COUNTIFS($AJ$5:AJ71,AJ71))</f>
        <v>0</v>
      </c>
      <c r="AL71" s="18">
        <f>IF(B71="","",IF(AG71&gt;0,COUNTIF(AG$5:AG71,"&gt;0"),""))</f>
        <v>0</v>
      </c>
      <c r="AM71" s="45">
        <f>IF(B71="","",SUMIFS('Grocery List'!$Q$5:$Q$304,'Grocery List'!$B$5:$B$304,B71))</f>
        <v>0</v>
      </c>
      <c r="AN71" s="31">
        <f>IF(B71="","",IF(I71="","Add - no price yet",IF(H71="","Add - no pack size",IF(COUNTIFS($B$5:$B$304,B71)&gt;1,"Duplicate - same name twice",IF(AF71=0,"Check - no recipe uses it","OK")))))</f>
        <v>0</v>
      </c>
    </row>
    <row r="72" spans="1:40">
      <c r="A72" s="39">
        <f>IF(B72="","",IngredientPrefix&amp;TEXT(ROW()-4,"0000"))</f>
        <v>0</v>
      </c>
      <c r="J72" s="25">
        <f>IF(OR(H72="",I72=""),"",IF(H72=0,"",I72/H72))</f>
        <v>0</v>
      </c>
      <c r="K72" s="25">
        <f>IF(J72="","",J72*100)</f>
        <v>0</v>
      </c>
      <c r="L72" s="25">
        <f>IF(B72="","",IFERROR(AVERAGEIFS('Grocery Spending'!$L$5:$L$404,'Grocery Spending'!$H$5:$H$404,B72,'Grocery Spending'!$L$5:$L$404,"&gt;0"),""))</f>
        <v>0</v>
      </c>
      <c r="M72" s="25">
        <f>IF(B72="","",IF(COUNTIFS('Store Prices'!$B$5:$B$304,B72)=0,"",IF(SUMPRODUCT(MIN((('Store Prices'!$B$5:$B$304=B72)*(IFERROR('Store Prices'!$I$5:$I$304*1,0)&gt;0))*IFERROR('Store Prices'!$I$5:$I$304*1,0)+(1-(('Store Prices'!$B$5:$B$304=B72)*(IFERROR('Store Prices'!$I$5:$I$304*1,0)&gt;0)))*999999))&gt;=999999,"",SUMPRODUCT(MIN((('Store Prices'!$B$5:$B$304=B72)*(IFERROR('Store Prices'!$I$5:$I$304*1,0)&gt;0))*IFERROR('Store Prices'!$I$5:$I$304*1,0)+(1-(('Store Prices'!$B$5:$B$304=B72)*(IFERROR('Store Prices'!$I$5:$I$304*1,0)&gt;0)))*999999)))))</f>
        <v>0</v>
      </c>
      <c r="N72" s="17">
        <f>IF(M72="","",IFERROR(INDEX('Store Prices'!$C$5:$C$304,MATCH(1,INDEX(('Store Prices'!$B$5:$B$304=B72)*('Store Prices'!$I$5:$I$304=M72),0),0)),""))</f>
        <v>0</v>
      </c>
      <c r="O72" s="25">
        <f>IF(OR(M72="",J72=""),"",MAX(0,(J72-M72)*100))</f>
        <v>0</v>
      </c>
      <c r="AD72" s="45">
        <f>IF(B72="","",SUMIFS(Pantry!$G$5:$G$304,Pantry!$B$5:$B$304,B72))</f>
        <v>0</v>
      </c>
      <c r="AE72" s="25">
        <f>IF(OR(AD72="",J72=""),"",AD72*J72)</f>
        <v>0</v>
      </c>
      <c r="AF72" s="18">
        <f>IF(B72="","",COUNTIFS('Recipe Ingredients'!$D$5:$D$1204,B72))</f>
        <v>0</v>
      </c>
      <c r="AG72" s="45">
        <f>IF(B72="","",SUMIFS('Recipe Ingredients'!$Y$5:$Y$1204,'Recipe Ingredients'!$D$5:$D$1204,B72))</f>
        <v>0</v>
      </c>
      <c r="AH72" s="30">
        <f>IF(B72="",0,IFERROR(K72*1,0)*IFERROR(AF72*1,0))</f>
        <v>0</v>
      </c>
      <c r="AI72" s="18">
        <f>IF(B72="","",COUNTIFS($AH$5:$AH$304,"&gt;"&amp;AH72)+COUNTIFS($AH$5:AH72,AH72))</f>
        <v>0</v>
      </c>
      <c r="AJ72" s="18">
        <f>IF(B72="",0,COUNTIFS('Food Waste'!$E$5:$E$154,B72))</f>
        <v>0</v>
      </c>
      <c r="AK72" s="18">
        <f>IF(B72="","",COUNTIFS($AJ$5:$AJ$304,"&gt;"&amp;AJ72)+COUNTIFS($AJ$5:AJ72,AJ72))</f>
        <v>0</v>
      </c>
      <c r="AL72" s="18">
        <f>IF(B72="","",IF(AG72&gt;0,COUNTIF(AG$5:AG72,"&gt;0"),""))</f>
        <v>0</v>
      </c>
      <c r="AM72" s="45">
        <f>IF(B72="","",SUMIFS('Grocery List'!$Q$5:$Q$304,'Grocery List'!$B$5:$B$304,B72))</f>
        <v>0</v>
      </c>
      <c r="AN72" s="31">
        <f>IF(B72="","",IF(I72="","Add - no price yet",IF(H72="","Add - no pack size",IF(COUNTIFS($B$5:$B$304,B72)&gt;1,"Duplicate - same name twice",IF(AF72=0,"Check - no recipe uses it","OK")))))</f>
        <v>0</v>
      </c>
    </row>
    <row r="73" spans="1:40">
      <c r="A73" s="39">
        <f>IF(B73="","",IngredientPrefix&amp;TEXT(ROW()-4,"0000"))</f>
        <v>0</v>
      </c>
      <c r="J73" s="25">
        <f>IF(OR(H73="",I73=""),"",IF(H73=0,"",I73/H73))</f>
        <v>0</v>
      </c>
      <c r="K73" s="25">
        <f>IF(J73="","",J73*100)</f>
        <v>0</v>
      </c>
      <c r="L73" s="25">
        <f>IF(B73="","",IFERROR(AVERAGEIFS('Grocery Spending'!$L$5:$L$404,'Grocery Spending'!$H$5:$H$404,B73,'Grocery Spending'!$L$5:$L$404,"&gt;0"),""))</f>
        <v>0</v>
      </c>
      <c r="M73" s="25">
        <f>IF(B73="","",IF(COUNTIFS('Store Prices'!$B$5:$B$304,B73)=0,"",IF(SUMPRODUCT(MIN((('Store Prices'!$B$5:$B$304=B73)*(IFERROR('Store Prices'!$I$5:$I$304*1,0)&gt;0))*IFERROR('Store Prices'!$I$5:$I$304*1,0)+(1-(('Store Prices'!$B$5:$B$304=B73)*(IFERROR('Store Prices'!$I$5:$I$304*1,0)&gt;0)))*999999))&gt;=999999,"",SUMPRODUCT(MIN((('Store Prices'!$B$5:$B$304=B73)*(IFERROR('Store Prices'!$I$5:$I$304*1,0)&gt;0))*IFERROR('Store Prices'!$I$5:$I$304*1,0)+(1-(('Store Prices'!$B$5:$B$304=B73)*(IFERROR('Store Prices'!$I$5:$I$304*1,0)&gt;0)))*999999)))))</f>
        <v>0</v>
      </c>
      <c r="N73" s="17">
        <f>IF(M73="","",IFERROR(INDEX('Store Prices'!$C$5:$C$304,MATCH(1,INDEX(('Store Prices'!$B$5:$B$304=B73)*('Store Prices'!$I$5:$I$304=M73),0),0)),""))</f>
        <v>0</v>
      </c>
      <c r="O73" s="25">
        <f>IF(OR(M73="",J73=""),"",MAX(0,(J73-M73)*100))</f>
        <v>0</v>
      </c>
      <c r="AD73" s="45">
        <f>IF(B73="","",SUMIFS(Pantry!$G$5:$G$304,Pantry!$B$5:$B$304,B73))</f>
        <v>0</v>
      </c>
      <c r="AE73" s="25">
        <f>IF(OR(AD73="",J73=""),"",AD73*J73)</f>
        <v>0</v>
      </c>
      <c r="AF73" s="18">
        <f>IF(B73="","",COUNTIFS('Recipe Ingredients'!$D$5:$D$1204,B73))</f>
        <v>0</v>
      </c>
      <c r="AG73" s="45">
        <f>IF(B73="","",SUMIFS('Recipe Ingredients'!$Y$5:$Y$1204,'Recipe Ingredients'!$D$5:$D$1204,B73))</f>
        <v>0</v>
      </c>
      <c r="AH73" s="30">
        <f>IF(B73="",0,IFERROR(K73*1,0)*IFERROR(AF73*1,0))</f>
        <v>0</v>
      </c>
      <c r="AI73" s="18">
        <f>IF(B73="","",COUNTIFS($AH$5:$AH$304,"&gt;"&amp;AH73)+COUNTIFS($AH$5:AH73,AH73))</f>
        <v>0</v>
      </c>
      <c r="AJ73" s="18">
        <f>IF(B73="",0,COUNTIFS('Food Waste'!$E$5:$E$154,B73))</f>
        <v>0</v>
      </c>
      <c r="AK73" s="18">
        <f>IF(B73="","",COUNTIFS($AJ$5:$AJ$304,"&gt;"&amp;AJ73)+COUNTIFS($AJ$5:AJ73,AJ73))</f>
        <v>0</v>
      </c>
      <c r="AL73" s="18">
        <f>IF(B73="","",IF(AG73&gt;0,COUNTIF(AG$5:AG73,"&gt;0"),""))</f>
        <v>0</v>
      </c>
      <c r="AM73" s="45">
        <f>IF(B73="","",SUMIFS('Grocery List'!$Q$5:$Q$304,'Grocery List'!$B$5:$B$304,B73))</f>
        <v>0</v>
      </c>
      <c r="AN73" s="31">
        <f>IF(B73="","",IF(I73="","Add - no price yet",IF(H73="","Add - no pack size",IF(COUNTIFS($B$5:$B$304,B73)&gt;1,"Duplicate - same name twice",IF(AF73=0,"Check - no recipe uses it","OK")))))</f>
        <v>0</v>
      </c>
    </row>
    <row r="74" spans="1:40">
      <c r="A74" s="39">
        <f>IF(B74="","",IngredientPrefix&amp;TEXT(ROW()-4,"0000"))</f>
        <v>0</v>
      </c>
      <c r="J74" s="25">
        <f>IF(OR(H74="",I74=""),"",IF(H74=0,"",I74/H74))</f>
        <v>0</v>
      </c>
      <c r="K74" s="25">
        <f>IF(J74="","",J74*100)</f>
        <v>0</v>
      </c>
      <c r="L74" s="25">
        <f>IF(B74="","",IFERROR(AVERAGEIFS('Grocery Spending'!$L$5:$L$404,'Grocery Spending'!$H$5:$H$404,B74,'Grocery Spending'!$L$5:$L$404,"&gt;0"),""))</f>
        <v>0</v>
      </c>
      <c r="M74" s="25">
        <f>IF(B74="","",IF(COUNTIFS('Store Prices'!$B$5:$B$304,B74)=0,"",IF(SUMPRODUCT(MIN((('Store Prices'!$B$5:$B$304=B74)*(IFERROR('Store Prices'!$I$5:$I$304*1,0)&gt;0))*IFERROR('Store Prices'!$I$5:$I$304*1,0)+(1-(('Store Prices'!$B$5:$B$304=B74)*(IFERROR('Store Prices'!$I$5:$I$304*1,0)&gt;0)))*999999))&gt;=999999,"",SUMPRODUCT(MIN((('Store Prices'!$B$5:$B$304=B74)*(IFERROR('Store Prices'!$I$5:$I$304*1,0)&gt;0))*IFERROR('Store Prices'!$I$5:$I$304*1,0)+(1-(('Store Prices'!$B$5:$B$304=B74)*(IFERROR('Store Prices'!$I$5:$I$304*1,0)&gt;0)))*999999)))))</f>
        <v>0</v>
      </c>
      <c r="N74" s="17">
        <f>IF(M74="","",IFERROR(INDEX('Store Prices'!$C$5:$C$304,MATCH(1,INDEX(('Store Prices'!$B$5:$B$304=B74)*('Store Prices'!$I$5:$I$304=M74),0),0)),""))</f>
        <v>0</v>
      </c>
      <c r="O74" s="25">
        <f>IF(OR(M74="",J74=""),"",MAX(0,(J74-M74)*100))</f>
        <v>0</v>
      </c>
      <c r="AD74" s="45">
        <f>IF(B74="","",SUMIFS(Pantry!$G$5:$G$304,Pantry!$B$5:$B$304,B74))</f>
        <v>0</v>
      </c>
      <c r="AE74" s="25">
        <f>IF(OR(AD74="",J74=""),"",AD74*J74)</f>
        <v>0</v>
      </c>
      <c r="AF74" s="18">
        <f>IF(B74="","",COUNTIFS('Recipe Ingredients'!$D$5:$D$1204,B74))</f>
        <v>0</v>
      </c>
      <c r="AG74" s="45">
        <f>IF(B74="","",SUMIFS('Recipe Ingredients'!$Y$5:$Y$1204,'Recipe Ingredients'!$D$5:$D$1204,B74))</f>
        <v>0</v>
      </c>
      <c r="AH74" s="30">
        <f>IF(B74="",0,IFERROR(K74*1,0)*IFERROR(AF74*1,0))</f>
        <v>0</v>
      </c>
      <c r="AI74" s="18">
        <f>IF(B74="","",COUNTIFS($AH$5:$AH$304,"&gt;"&amp;AH74)+COUNTIFS($AH$5:AH74,AH74))</f>
        <v>0</v>
      </c>
      <c r="AJ74" s="18">
        <f>IF(B74="",0,COUNTIFS('Food Waste'!$E$5:$E$154,B74))</f>
        <v>0</v>
      </c>
      <c r="AK74" s="18">
        <f>IF(B74="","",COUNTIFS($AJ$5:$AJ$304,"&gt;"&amp;AJ74)+COUNTIFS($AJ$5:AJ74,AJ74))</f>
        <v>0</v>
      </c>
      <c r="AL74" s="18">
        <f>IF(B74="","",IF(AG74&gt;0,COUNTIF(AG$5:AG74,"&gt;0"),""))</f>
        <v>0</v>
      </c>
      <c r="AM74" s="45">
        <f>IF(B74="","",SUMIFS('Grocery List'!$Q$5:$Q$304,'Grocery List'!$B$5:$B$304,B74))</f>
        <v>0</v>
      </c>
      <c r="AN74" s="31">
        <f>IF(B74="","",IF(I74="","Add - no price yet",IF(H74="","Add - no pack size",IF(COUNTIFS($B$5:$B$304,B74)&gt;1,"Duplicate - same name twice",IF(AF74=0,"Check - no recipe uses it","OK")))))</f>
        <v>0</v>
      </c>
    </row>
    <row r="75" spans="1:40">
      <c r="A75" s="39">
        <f>IF(B75="","",IngredientPrefix&amp;TEXT(ROW()-4,"0000"))</f>
        <v>0</v>
      </c>
      <c r="J75" s="25">
        <f>IF(OR(H75="",I75=""),"",IF(H75=0,"",I75/H75))</f>
        <v>0</v>
      </c>
      <c r="K75" s="25">
        <f>IF(J75="","",J75*100)</f>
        <v>0</v>
      </c>
      <c r="L75" s="25">
        <f>IF(B75="","",IFERROR(AVERAGEIFS('Grocery Spending'!$L$5:$L$404,'Grocery Spending'!$H$5:$H$404,B75,'Grocery Spending'!$L$5:$L$404,"&gt;0"),""))</f>
        <v>0</v>
      </c>
      <c r="M75" s="25">
        <f>IF(B75="","",IF(COUNTIFS('Store Prices'!$B$5:$B$304,B75)=0,"",IF(SUMPRODUCT(MIN((('Store Prices'!$B$5:$B$304=B75)*(IFERROR('Store Prices'!$I$5:$I$304*1,0)&gt;0))*IFERROR('Store Prices'!$I$5:$I$304*1,0)+(1-(('Store Prices'!$B$5:$B$304=B75)*(IFERROR('Store Prices'!$I$5:$I$304*1,0)&gt;0)))*999999))&gt;=999999,"",SUMPRODUCT(MIN((('Store Prices'!$B$5:$B$304=B75)*(IFERROR('Store Prices'!$I$5:$I$304*1,0)&gt;0))*IFERROR('Store Prices'!$I$5:$I$304*1,0)+(1-(('Store Prices'!$B$5:$B$304=B75)*(IFERROR('Store Prices'!$I$5:$I$304*1,0)&gt;0)))*999999)))))</f>
        <v>0</v>
      </c>
      <c r="N75" s="17">
        <f>IF(M75="","",IFERROR(INDEX('Store Prices'!$C$5:$C$304,MATCH(1,INDEX(('Store Prices'!$B$5:$B$304=B75)*('Store Prices'!$I$5:$I$304=M75),0),0)),""))</f>
        <v>0</v>
      </c>
      <c r="O75" s="25">
        <f>IF(OR(M75="",J75=""),"",MAX(0,(J75-M75)*100))</f>
        <v>0</v>
      </c>
      <c r="AD75" s="45">
        <f>IF(B75="","",SUMIFS(Pantry!$G$5:$G$304,Pantry!$B$5:$B$304,B75))</f>
        <v>0</v>
      </c>
      <c r="AE75" s="25">
        <f>IF(OR(AD75="",J75=""),"",AD75*J75)</f>
        <v>0</v>
      </c>
      <c r="AF75" s="18">
        <f>IF(B75="","",COUNTIFS('Recipe Ingredients'!$D$5:$D$1204,B75))</f>
        <v>0</v>
      </c>
      <c r="AG75" s="45">
        <f>IF(B75="","",SUMIFS('Recipe Ingredients'!$Y$5:$Y$1204,'Recipe Ingredients'!$D$5:$D$1204,B75))</f>
        <v>0</v>
      </c>
      <c r="AH75" s="30">
        <f>IF(B75="",0,IFERROR(K75*1,0)*IFERROR(AF75*1,0))</f>
        <v>0</v>
      </c>
      <c r="AI75" s="18">
        <f>IF(B75="","",COUNTIFS($AH$5:$AH$304,"&gt;"&amp;AH75)+COUNTIFS($AH$5:AH75,AH75))</f>
        <v>0</v>
      </c>
      <c r="AJ75" s="18">
        <f>IF(B75="",0,COUNTIFS('Food Waste'!$E$5:$E$154,B75))</f>
        <v>0</v>
      </c>
      <c r="AK75" s="18">
        <f>IF(B75="","",COUNTIFS($AJ$5:$AJ$304,"&gt;"&amp;AJ75)+COUNTIFS($AJ$5:AJ75,AJ75))</f>
        <v>0</v>
      </c>
      <c r="AL75" s="18">
        <f>IF(B75="","",IF(AG75&gt;0,COUNTIF(AG$5:AG75,"&gt;0"),""))</f>
        <v>0</v>
      </c>
      <c r="AM75" s="45">
        <f>IF(B75="","",SUMIFS('Grocery List'!$Q$5:$Q$304,'Grocery List'!$B$5:$B$304,B75))</f>
        <v>0</v>
      </c>
      <c r="AN75" s="31">
        <f>IF(B75="","",IF(I75="","Add - no price yet",IF(H75="","Add - no pack size",IF(COUNTIFS($B$5:$B$304,B75)&gt;1,"Duplicate - same name twice",IF(AF75=0,"Check - no recipe uses it","OK")))))</f>
        <v>0</v>
      </c>
    </row>
    <row r="76" spans="1:40">
      <c r="A76" s="39">
        <f>IF(B76="","",IngredientPrefix&amp;TEXT(ROW()-4,"0000"))</f>
        <v>0</v>
      </c>
      <c r="J76" s="25">
        <f>IF(OR(H76="",I76=""),"",IF(H76=0,"",I76/H76))</f>
        <v>0</v>
      </c>
      <c r="K76" s="25">
        <f>IF(J76="","",J76*100)</f>
        <v>0</v>
      </c>
      <c r="L76" s="25">
        <f>IF(B76="","",IFERROR(AVERAGEIFS('Grocery Spending'!$L$5:$L$404,'Grocery Spending'!$H$5:$H$404,B76,'Grocery Spending'!$L$5:$L$404,"&gt;0"),""))</f>
        <v>0</v>
      </c>
      <c r="M76" s="25">
        <f>IF(B76="","",IF(COUNTIFS('Store Prices'!$B$5:$B$304,B76)=0,"",IF(SUMPRODUCT(MIN((('Store Prices'!$B$5:$B$304=B76)*(IFERROR('Store Prices'!$I$5:$I$304*1,0)&gt;0))*IFERROR('Store Prices'!$I$5:$I$304*1,0)+(1-(('Store Prices'!$B$5:$B$304=B76)*(IFERROR('Store Prices'!$I$5:$I$304*1,0)&gt;0)))*999999))&gt;=999999,"",SUMPRODUCT(MIN((('Store Prices'!$B$5:$B$304=B76)*(IFERROR('Store Prices'!$I$5:$I$304*1,0)&gt;0))*IFERROR('Store Prices'!$I$5:$I$304*1,0)+(1-(('Store Prices'!$B$5:$B$304=B76)*(IFERROR('Store Prices'!$I$5:$I$304*1,0)&gt;0)))*999999)))))</f>
        <v>0</v>
      </c>
      <c r="N76" s="17">
        <f>IF(M76="","",IFERROR(INDEX('Store Prices'!$C$5:$C$304,MATCH(1,INDEX(('Store Prices'!$B$5:$B$304=B76)*('Store Prices'!$I$5:$I$304=M76),0),0)),""))</f>
        <v>0</v>
      </c>
      <c r="O76" s="25">
        <f>IF(OR(M76="",J76=""),"",MAX(0,(J76-M76)*100))</f>
        <v>0</v>
      </c>
      <c r="AD76" s="45">
        <f>IF(B76="","",SUMIFS(Pantry!$G$5:$G$304,Pantry!$B$5:$B$304,B76))</f>
        <v>0</v>
      </c>
      <c r="AE76" s="25">
        <f>IF(OR(AD76="",J76=""),"",AD76*J76)</f>
        <v>0</v>
      </c>
      <c r="AF76" s="18">
        <f>IF(B76="","",COUNTIFS('Recipe Ingredients'!$D$5:$D$1204,B76))</f>
        <v>0</v>
      </c>
      <c r="AG76" s="45">
        <f>IF(B76="","",SUMIFS('Recipe Ingredients'!$Y$5:$Y$1204,'Recipe Ingredients'!$D$5:$D$1204,B76))</f>
        <v>0</v>
      </c>
      <c r="AH76" s="30">
        <f>IF(B76="",0,IFERROR(K76*1,0)*IFERROR(AF76*1,0))</f>
        <v>0</v>
      </c>
      <c r="AI76" s="18">
        <f>IF(B76="","",COUNTIFS($AH$5:$AH$304,"&gt;"&amp;AH76)+COUNTIFS($AH$5:AH76,AH76))</f>
        <v>0</v>
      </c>
      <c r="AJ76" s="18">
        <f>IF(B76="",0,COUNTIFS('Food Waste'!$E$5:$E$154,B76))</f>
        <v>0</v>
      </c>
      <c r="AK76" s="18">
        <f>IF(B76="","",COUNTIFS($AJ$5:$AJ$304,"&gt;"&amp;AJ76)+COUNTIFS($AJ$5:AJ76,AJ76))</f>
        <v>0</v>
      </c>
      <c r="AL76" s="18">
        <f>IF(B76="","",IF(AG76&gt;0,COUNTIF(AG$5:AG76,"&gt;0"),""))</f>
        <v>0</v>
      </c>
      <c r="AM76" s="45">
        <f>IF(B76="","",SUMIFS('Grocery List'!$Q$5:$Q$304,'Grocery List'!$B$5:$B$304,B76))</f>
        <v>0</v>
      </c>
      <c r="AN76" s="31">
        <f>IF(B76="","",IF(I76="","Add - no price yet",IF(H76="","Add - no pack size",IF(COUNTIFS($B$5:$B$304,B76)&gt;1,"Duplicate - same name twice",IF(AF76=0,"Check - no recipe uses it","OK")))))</f>
        <v>0</v>
      </c>
    </row>
    <row r="77" spans="1:40">
      <c r="A77" s="39">
        <f>IF(B77="","",IngredientPrefix&amp;TEXT(ROW()-4,"0000"))</f>
        <v>0</v>
      </c>
      <c r="J77" s="25">
        <f>IF(OR(H77="",I77=""),"",IF(H77=0,"",I77/H77))</f>
        <v>0</v>
      </c>
      <c r="K77" s="25">
        <f>IF(J77="","",J77*100)</f>
        <v>0</v>
      </c>
      <c r="L77" s="25">
        <f>IF(B77="","",IFERROR(AVERAGEIFS('Grocery Spending'!$L$5:$L$404,'Grocery Spending'!$H$5:$H$404,B77,'Grocery Spending'!$L$5:$L$404,"&gt;0"),""))</f>
        <v>0</v>
      </c>
      <c r="M77" s="25">
        <f>IF(B77="","",IF(COUNTIFS('Store Prices'!$B$5:$B$304,B77)=0,"",IF(SUMPRODUCT(MIN((('Store Prices'!$B$5:$B$304=B77)*(IFERROR('Store Prices'!$I$5:$I$304*1,0)&gt;0))*IFERROR('Store Prices'!$I$5:$I$304*1,0)+(1-(('Store Prices'!$B$5:$B$304=B77)*(IFERROR('Store Prices'!$I$5:$I$304*1,0)&gt;0)))*999999))&gt;=999999,"",SUMPRODUCT(MIN((('Store Prices'!$B$5:$B$304=B77)*(IFERROR('Store Prices'!$I$5:$I$304*1,0)&gt;0))*IFERROR('Store Prices'!$I$5:$I$304*1,0)+(1-(('Store Prices'!$B$5:$B$304=B77)*(IFERROR('Store Prices'!$I$5:$I$304*1,0)&gt;0)))*999999)))))</f>
        <v>0</v>
      </c>
      <c r="N77" s="17">
        <f>IF(M77="","",IFERROR(INDEX('Store Prices'!$C$5:$C$304,MATCH(1,INDEX(('Store Prices'!$B$5:$B$304=B77)*('Store Prices'!$I$5:$I$304=M77),0),0)),""))</f>
        <v>0</v>
      </c>
      <c r="O77" s="25">
        <f>IF(OR(M77="",J77=""),"",MAX(0,(J77-M77)*100))</f>
        <v>0</v>
      </c>
      <c r="AD77" s="45">
        <f>IF(B77="","",SUMIFS(Pantry!$G$5:$G$304,Pantry!$B$5:$B$304,B77))</f>
        <v>0</v>
      </c>
      <c r="AE77" s="25">
        <f>IF(OR(AD77="",J77=""),"",AD77*J77)</f>
        <v>0</v>
      </c>
      <c r="AF77" s="18">
        <f>IF(B77="","",COUNTIFS('Recipe Ingredients'!$D$5:$D$1204,B77))</f>
        <v>0</v>
      </c>
      <c r="AG77" s="45">
        <f>IF(B77="","",SUMIFS('Recipe Ingredients'!$Y$5:$Y$1204,'Recipe Ingredients'!$D$5:$D$1204,B77))</f>
        <v>0</v>
      </c>
      <c r="AH77" s="30">
        <f>IF(B77="",0,IFERROR(K77*1,0)*IFERROR(AF77*1,0))</f>
        <v>0</v>
      </c>
      <c r="AI77" s="18">
        <f>IF(B77="","",COUNTIFS($AH$5:$AH$304,"&gt;"&amp;AH77)+COUNTIFS($AH$5:AH77,AH77))</f>
        <v>0</v>
      </c>
      <c r="AJ77" s="18">
        <f>IF(B77="",0,COUNTIFS('Food Waste'!$E$5:$E$154,B77))</f>
        <v>0</v>
      </c>
      <c r="AK77" s="18">
        <f>IF(B77="","",COUNTIFS($AJ$5:$AJ$304,"&gt;"&amp;AJ77)+COUNTIFS($AJ$5:AJ77,AJ77))</f>
        <v>0</v>
      </c>
      <c r="AL77" s="18">
        <f>IF(B77="","",IF(AG77&gt;0,COUNTIF(AG$5:AG77,"&gt;0"),""))</f>
        <v>0</v>
      </c>
      <c r="AM77" s="45">
        <f>IF(B77="","",SUMIFS('Grocery List'!$Q$5:$Q$304,'Grocery List'!$B$5:$B$304,B77))</f>
        <v>0</v>
      </c>
      <c r="AN77" s="31">
        <f>IF(B77="","",IF(I77="","Add - no price yet",IF(H77="","Add - no pack size",IF(COUNTIFS($B$5:$B$304,B77)&gt;1,"Duplicate - same name twice",IF(AF77=0,"Check - no recipe uses it","OK")))))</f>
        <v>0</v>
      </c>
    </row>
    <row r="78" spans="1:40">
      <c r="A78" s="39">
        <f>IF(B78="","",IngredientPrefix&amp;TEXT(ROW()-4,"0000"))</f>
        <v>0</v>
      </c>
      <c r="J78" s="25">
        <f>IF(OR(H78="",I78=""),"",IF(H78=0,"",I78/H78))</f>
        <v>0</v>
      </c>
      <c r="K78" s="25">
        <f>IF(J78="","",J78*100)</f>
        <v>0</v>
      </c>
      <c r="L78" s="25">
        <f>IF(B78="","",IFERROR(AVERAGEIFS('Grocery Spending'!$L$5:$L$404,'Grocery Spending'!$H$5:$H$404,B78,'Grocery Spending'!$L$5:$L$404,"&gt;0"),""))</f>
        <v>0</v>
      </c>
      <c r="M78" s="25">
        <f>IF(B78="","",IF(COUNTIFS('Store Prices'!$B$5:$B$304,B78)=0,"",IF(SUMPRODUCT(MIN((('Store Prices'!$B$5:$B$304=B78)*(IFERROR('Store Prices'!$I$5:$I$304*1,0)&gt;0))*IFERROR('Store Prices'!$I$5:$I$304*1,0)+(1-(('Store Prices'!$B$5:$B$304=B78)*(IFERROR('Store Prices'!$I$5:$I$304*1,0)&gt;0)))*999999))&gt;=999999,"",SUMPRODUCT(MIN((('Store Prices'!$B$5:$B$304=B78)*(IFERROR('Store Prices'!$I$5:$I$304*1,0)&gt;0))*IFERROR('Store Prices'!$I$5:$I$304*1,0)+(1-(('Store Prices'!$B$5:$B$304=B78)*(IFERROR('Store Prices'!$I$5:$I$304*1,0)&gt;0)))*999999)))))</f>
        <v>0</v>
      </c>
      <c r="N78" s="17">
        <f>IF(M78="","",IFERROR(INDEX('Store Prices'!$C$5:$C$304,MATCH(1,INDEX(('Store Prices'!$B$5:$B$304=B78)*('Store Prices'!$I$5:$I$304=M78),0),0)),""))</f>
        <v>0</v>
      </c>
      <c r="O78" s="25">
        <f>IF(OR(M78="",J78=""),"",MAX(0,(J78-M78)*100))</f>
        <v>0</v>
      </c>
      <c r="AD78" s="45">
        <f>IF(B78="","",SUMIFS(Pantry!$G$5:$G$304,Pantry!$B$5:$B$304,B78))</f>
        <v>0</v>
      </c>
      <c r="AE78" s="25">
        <f>IF(OR(AD78="",J78=""),"",AD78*J78)</f>
        <v>0</v>
      </c>
      <c r="AF78" s="18">
        <f>IF(B78="","",COUNTIFS('Recipe Ingredients'!$D$5:$D$1204,B78))</f>
        <v>0</v>
      </c>
      <c r="AG78" s="45">
        <f>IF(B78="","",SUMIFS('Recipe Ingredients'!$Y$5:$Y$1204,'Recipe Ingredients'!$D$5:$D$1204,B78))</f>
        <v>0</v>
      </c>
      <c r="AH78" s="30">
        <f>IF(B78="",0,IFERROR(K78*1,0)*IFERROR(AF78*1,0))</f>
        <v>0</v>
      </c>
      <c r="AI78" s="18">
        <f>IF(B78="","",COUNTIFS($AH$5:$AH$304,"&gt;"&amp;AH78)+COUNTIFS($AH$5:AH78,AH78))</f>
        <v>0</v>
      </c>
      <c r="AJ78" s="18">
        <f>IF(B78="",0,COUNTIFS('Food Waste'!$E$5:$E$154,B78))</f>
        <v>0</v>
      </c>
      <c r="AK78" s="18">
        <f>IF(B78="","",COUNTIFS($AJ$5:$AJ$304,"&gt;"&amp;AJ78)+COUNTIFS($AJ$5:AJ78,AJ78))</f>
        <v>0</v>
      </c>
      <c r="AL78" s="18">
        <f>IF(B78="","",IF(AG78&gt;0,COUNTIF(AG$5:AG78,"&gt;0"),""))</f>
        <v>0</v>
      </c>
      <c r="AM78" s="45">
        <f>IF(B78="","",SUMIFS('Grocery List'!$Q$5:$Q$304,'Grocery List'!$B$5:$B$304,B78))</f>
        <v>0</v>
      </c>
      <c r="AN78" s="31">
        <f>IF(B78="","",IF(I78="","Add - no price yet",IF(H78="","Add - no pack size",IF(COUNTIFS($B$5:$B$304,B78)&gt;1,"Duplicate - same name twice",IF(AF78=0,"Check - no recipe uses it","OK")))))</f>
        <v>0</v>
      </c>
    </row>
    <row r="79" spans="1:40">
      <c r="A79" s="39">
        <f>IF(B79="","",IngredientPrefix&amp;TEXT(ROW()-4,"0000"))</f>
        <v>0</v>
      </c>
      <c r="J79" s="25">
        <f>IF(OR(H79="",I79=""),"",IF(H79=0,"",I79/H79))</f>
        <v>0</v>
      </c>
      <c r="K79" s="25">
        <f>IF(J79="","",J79*100)</f>
        <v>0</v>
      </c>
      <c r="L79" s="25">
        <f>IF(B79="","",IFERROR(AVERAGEIFS('Grocery Spending'!$L$5:$L$404,'Grocery Spending'!$H$5:$H$404,B79,'Grocery Spending'!$L$5:$L$404,"&gt;0"),""))</f>
        <v>0</v>
      </c>
      <c r="M79" s="25">
        <f>IF(B79="","",IF(COUNTIFS('Store Prices'!$B$5:$B$304,B79)=0,"",IF(SUMPRODUCT(MIN((('Store Prices'!$B$5:$B$304=B79)*(IFERROR('Store Prices'!$I$5:$I$304*1,0)&gt;0))*IFERROR('Store Prices'!$I$5:$I$304*1,0)+(1-(('Store Prices'!$B$5:$B$304=B79)*(IFERROR('Store Prices'!$I$5:$I$304*1,0)&gt;0)))*999999))&gt;=999999,"",SUMPRODUCT(MIN((('Store Prices'!$B$5:$B$304=B79)*(IFERROR('Store Prices'!$I$5:$I$304*1,0)&gt;0))*IFERROR('Store Prices'!$I$5:$I$304*1,0)+(1-(('Store Prices'!$B$5:$B$304=B79)*(IFERROR('Store Prices'!$I$5:$I$304*1,0)&gt;0)))*999999)))))</f>
        <v>0</v>
      </c>
      <c r="N79" s="17">
        <f>IF(M79="","",IFERROR(INDEX('Store Prices'!$C$5:$C$304,MATCH(1,INDEX(('Store Prices'!$B$5:$B$304=B79)*('Store Prices'!$I$5:$I$304=M79),0),0)),""))</f>
        <v>0</v>
      </c>
      <c r="O79" s="25">
        <f>IF(OR(M79="",J79=""),"",MAX(0,(J79-M79)*100))</f>
        <v>0</v>
      </c>
      <c r="AD79" s="45">
        <f>IF(B79="","",SUMIFS(Pantry!$G$5:$G$304,Pantry!$B$5:$B$304,B79))</f>
        <v>0</v>
      </c>
      <c r="AE79" s="25">
        <f>IF(OR(AD79="",J79=""),"",AD79*J79)</f>
        <v>0</v>
      </c>
      <c r="AF79" s="18">
        <f>IF(B79="","",COUNTIFS('Recipe Ingredients'!$D$5:$D$1204,B79))</f>
        <v>0</v>
      </c>
      <c r="AG79" s="45">
        <f>IF(B79="","",SUMIFS('Recipe Ingredients'!$Y$5:$Y$1204,'Recipe Ingredients'!$D$5:$D$1204,B79))</f>
        <v>0</v>
      </c>
      <c r="AH79" s="30">
        <f>IF(B79="",0,IFERROR(K79*1,0)*IFERROR(AF79*1,0))</f>
        <v>0</v>
      </c>
      <c r="AI79" s="18">
        <f>IF(B79="","",COUNTIFS($AH$5:$AH$304,"&gt;"&amp;AH79)+COUNTIFS($AH$5:AH79,AH79))</f>
        <v>0</v>
      </c>
      <c r="AJ79" s="18">
        <f>IF(B79="",0,COUNTIFS('Food Waste'!$E$5:$E$154,B79))</f>
        <v>0</v>
      </c>
      <c r="AK79" s="18">
        <f>IF(B79="","",COUNTIFS($AJ$5:$AJ$304,"&gt;"&amp;AJ79)+COUNTIFS($AJ$5:AJ79,AJ79))</f>
        <v>0</v>
      </c>
      <c r="AL79" s="18">
        <f>IF(B79="","",IF(AG79&gt;0,COUNTIF(AG$5:AG79,"&gt;0"),""))</f>
        <v>0</v>
      </c>
      <c r="AM79" s="45">
        <f>IF(B79="","",SUMIFS('Grocery List'!$Q$5:$Q$304,'Grocery List'!$B$5:$B$304,B79))</f>
        <v>0</v>
      </c>
      <c r="AN79" s="31">
        <f>IF(B79="","",IF(I79="","Add - no price yet",IF(H79="","Add - no pack size",IF(COUNTIFS($B$5:$B$304,B79)&gt;1,"Duplicate - same name twice",IF(AF79=0,"Check - no recipe uses it","OK")))))</f>
        <v>0</v>
      </c>
    </row>
    <row r="80" spans="1:40">
      <c r="A80" s="39">
        <f>IF(B80="","",IngredientPrefix&amp;TEXT(ROW()-4,"0000"))</f>
        <v>0</v>
      </c>
      <c r="J80" s="25">
        <f>IF(OR(H80="",I80=""),"",IF(H80=0,"",I80/H80))</f>
        <v>0</v>
      </c>
      <c r="K80" s="25">
        <f>IF(J80="","",J80*100)</f>
        <v>0</v>
      </c>
      <c r="L80" s="25">
        <f>IF(B80="","",IFERROR(AVERAGEIFS('Grocery Spending'!$L$5:$L$404,'Grocery Spending'!$H$5:$H$404,B80,'Grocery Spending'!$L$5:$L$404,"&gt;0"),""))</f>
        <v>0</v>
      </c>
      <c r="M80" s="25">
        <f>IF(B80="","",IF(COUNTIFS('Store Prices'!$B$5:$B$304,B80)=0,"",IF(SUMPRODUCT(MIN((('Store Prices'!$B$5:$B$304=B80)*(IFERROR('Store Prices'!$I$5:$I$304*1,0)&gt;0))*IFERROR('Store Prices'!$I$5:$I$304*1,0)+(1-(('Store Prices'!$B$5:$B$304=B80)*(IFERROR('Store Prices'!$I$5:$I$304*1,0)&gt;0)))*999999))&gt;=999999,"",SUMPRODUCT(MIN((('Store Prices'!$B$5:$B$304=B80)*(IFERROR('Store Prices'!$I$5:$I$304*1,0)&gt;0))*IFERROR('Store Prices'!$I$5:$I$304*1,0)+(1-(('Store Prices'!$B$5:$B$304=B80)*(IFERROR('Store Prices'!$I$5:$I$304*1,0)&gt;0)))*999999)))))</f>
        <v>0</v>
      </c>
      <c r="N80" s="17">
        <f>IF(M80="","",IFERROR(INDEX('Store Prices'!$C$5:$C$304,MATCH(1,INDEX(('Store Prices'!$B$5:$B$304=B80)*('Store Prices'!$I$5:$I$304=M80),0),0)),""))</f>
        <v>0</v>
      </c>
      <c r="O80" s="25">
        <f>IF(OR(M80="",J80=""),"",MAX(0,(J80-M80)*100))</f>
        <v>0</v>
      </c>
      <c r="AD80" s="45">
        <f>IF(B80="","",SUMIFS(Pantry!$G$5:$G$304,Pantry!$B$5:$B$304,B80))</f>
        <v>0</v>
      </c>
      <c r="AE80" s="25">
        <f>IF(OR(AD80="",J80=""),"",AD80*J80)</f>
        <v>0</v>
      </c>
      <c r="AF80" s="18">
        <f>IF(B80="","",COUNTIFS('Recipe Ingredients'!$D$5:$D$1204,B80))</f>
        <v>0</v>
      </c>
      <c r="AG80" s="45">
        <f>IF(B80="","",SUMIFS('Recipe Ingredients'!$Y$5:$Y$1204,'Recipe Ingredients'!$D$5:$D$1204,B80))</f>
        <v>0</v>
      </c>
      <c r="AH80" s="30">
        <f>IF(B80="",0,IFERROR(K80*1,0)*IFERROR(AF80*1,0))</f>
        <v>0</v>
      </c>
      <c r="AI80" s="18">
        <f>IF(B80="","",COUNTIFS($AH$5:$AH$304,"&gt;"&amp;AH80)+COUNTIFS($AH$5:AH80,AH80))</f>
        <v>0</v>
      </c>
      <c r="AJ80" s="18">
        <f>IF(B80="",0,COUNTIFS('Food Waste'!$E$5:$E$154,B80))</f>
        <v>0</v>
      </c>
      <c r="AK80" s="18">
        <f>IF(B80="","",COUNTIFS($AJ$5:$AJ$304,"&gt;"&amp;AJ80)+COUNTIFS($AJ$5:AJ80,AJ80))</f>
        <v>0</v>
      </c>
      <c r="AL80" s="18">
        <f>IF(B80="","",IF(AG80&gt;0,COUNTIF(AG$5:AG80,"&gt;0"),""))</f>
        <v>0</v>
      </c>
      <c r="AM80" s="45">
        <f>IF(B80="","",SUMIFS('Grocery List'!$Q$5:$Q$304,'Grocery List'!$B$5:$B$304,B80))</f>
        <v>0</v>
      </c>
      <c r="AN80" s="31">
        <f>IF(B80="","",IF(I80="","Add - no price yet",IF(H80="","Add - no pack size",IF(COUNTIFS($B$5:$B$304,B80)&gt;1,"Duplicate - same name twice",IF(AF80=0,"Check - no recipe uses it","OK")))))</f>
        <v>0</v>
      </c>
    </row>
    <row r="81" spans="1:40">
      <c r="A81" s="39">
        <f>IF(B81="","",IngredientPrefix&amp;TEXT(ROW()-4,"0000"))</f>
        <v>0</v>
      </c>
      <c r="J81" s="25">
        <f>IF(OR(H81="",I81=""),"",IF(H81=0,"",I81/H81))</f>
        <v>0</v>
      </c>
      <c r="K81" s="25">
        <f>IF(J81="","",J81*100)</f>
        <v>0</v>
      </c>
      <c r="L81" s="25">
        <f>IF(B81="","",IFERROR(AVERAGEIFS('Grocery Spending'!$L$5:$L$404,'Grocery Spending'!$H$5:$H$404,B81,'Grocery Spending'!$L$5:$L$404,"&gt;0"),""))</f>
        <v>0</v>
      </c>
      <c r="M81" s="25">
        <f>IF(B81="","",IF(COUNTIFS('Store Prices'!$B$5:$B$304,B81)=0,"",IF(SUMPRODUCT(MIN((('Store Prices'!$B$5:$B$304=B81)*(IFERROR('Store Prices'!$I$5:$I$304*1,0)&gt;0))*IFERROR('Store Prices'!$I$5:$I$304*1,0)+(1-(('Store Prices'!$B$5:$B$304=B81)*(IFERROR('Store Prices'!$I$5:$I$304*1,0)&gt;0)))*999999))&gt;=999999,"",SUMPRODUCT(MIN((('Store Prices'!$B$5:$B$304=B81)*(IFERROR('Store Prices'!$I$5:$I$304*1,0)&gt;0))*IFERROR('Store Prices'!$I$5:$I$304*1,0)+(1-(('Store Prices'!$B$5:$B$304=B81)*(IFERROR('Store Prices'!$I$5:$I$304*1,0)&gt;0)))*999999)))))</f>
        <v>0</v>
      </c>
      <c r="N81" s="17">
        <f>IF(M81="","",IFERROR(INDEX('Store Prices'!$C$5:$C$304,MATCH(1,INDEX(('Store Prices'!$B$5:$B$304=B81)*('Store Prices'!$I$5:$I$304=M81),0),0)),""))</f>
        <v>0</v>
      </c>
      <c r="O81" s="25">
        <f>IF(OR(M81="",J81=""),"",MAX(0,(J81-M81)*100))</f>
        <v>0</v>
      </c>
      <c r="AD81" s="45">
        <f>IF(B81="","",SUMIFS(Pantry!$G$5:$G$304,Pantry!$B$5:$B$304,B81))</f>
        <v>0</v>
      </c>
      <c r="AE81" s="25">
        <f>IF(OR(AD81="",J81=""),"",AD81*J81)</f>
        <v>0</v>
      </c>
      <c r="AF81" s="18">
        <f>IF(B81="","",COUNTIFS('Recipe Ingredients'!$D$5:$D$1204,B81))</f>
        <v>0</v>
      </c>
      <c r="AG81" s="45">
        <f>IF(B81="","",SUMIFS('Recipe Ingredients'!$Y$5:$Y$1204,'Recipe Ingredients'!$D$5:$D$1204,B81))</f>
        <v>0</v>
      </c>
      <c r="AH81" s="30">
        <f>IF(B81="",0,IFERROR(K81*1,0)*IFERROR(AF81*1,0))</f>
        <v>0</v>
      </c>
      <c r="AI81" s="18">
        <f>IF(B81="","",COUNTIFS($AH$5:$AH$304,"&gt;"&amp;AH81)+COUNTIFS($AH$5:AH81,AH81))</f>
        <v>0</v>
      </c>
      <c r="AJ81" s="18">
        <f>IF(B81="",0,COUNTIFS('Food Waste'!$E$5:$E$154,B81))</f>
        <v>0</v>
      </c>
      <c r="AK81" s="18">
        <f>IF(B81="","",COUNTIFS($AJ$5:$AJ$304,"&gt;"&amp;AJ81)+COUNTIFS($AJ$5:AJ81,AJ81))</f>
        <v>0</v>
      </c>
      <c r="AL81" s="18">
        <f>IF(B81="","",IF(AG81&gt;0,COUNTIF(AG$5:AG81,"&gt;0"),""))</f>
        <v>0</v>
      </c>
      <c r="AM81" s="45">
        <f>IF(B81="","",SUMIFS('Grocery List'!$Q$5:$Q$304,'Grocery List'!$B$5:$B$304,B81))</f>
        <v>0</v>
      </c>
      <c r="AN81" s="31">
        <f>IF(B81="","",IF(I81="","Add - no price yet",IF(H81="","Add - no pack size",IF(COUNTIFS($B$5:$B$304,B81)&gt;1,"Duplicate - same name twice",IF(AF81=0,"Check - no recipe uses it","OK")))))</f>
        <v>0</v>
      </c>
    </row>
    <row r="82" spans="1:40">
      <c r="A82" s="39">
        <f>IF(B82="","",IngredientPrefix&amp;TEXT(ROW()-4,"0000"))</f>
        <v>0</v>
      </c>
      <c r="J82" s="25">
        <f>IF(OR(H82="",I82=""),"",IF(H82=0,"",I82/H82))</f>
        <v>0</v>
      </c>
      <c r="K82" s="25">
        <f>IF(J82="","",J82*100)</f>
        <v>0</v>
      </c>
      <c r="L82" s="25">
        <f>IF(B82="","",IFERROR(AVERAGEIFS('Grocery Spending'!$L$5:$L$404,'Grocery Spending'!$H$5:$H$404,B82,'Grocery Spending'!$L$5:$L$404,"&gt;0"),""))</f>
        <v>0</v>
      </c>
      <c r="M82" s="25">
        <f>IF(B82="","",IF(COUNTIFS('Store Prices'!$B$5:$B$304,B82)=0,"",IF(SUMPRODUCT(MIN((('Store Prices'!$B$5:$B$304=B82)*(IFERROR('Store Prices'!$I$5:$I$304*1,0)&gt;0))*IFERROR('Store Prices'!$I$5:$I$304*1,0)+(1-(('Store Prices'!$B$5:$B$304=B82)*(IFERROR('Store Prices'!$I$5:$I$304*1,0)&gt;0)))*999999))&gt;=999999,"",SUMPRODUCT(MIN((('Store Prices'!$B$5:$B$304=B82)*(IFERROR('Store Prices'!$I$5:$I$304*1,0)&gt;0))*IFERROR('Store Prices'!$I$5:$I$304*1,0)+(1-(('Store Prices'!$B$5:$B$304=B82)*(IFERROR('Store Prices'!$I$5:$I$304*1,0)&gt;0)))*999999)))))</f>
        <v>0</v>
      </c>
      <c r="N82" s="17">
        <f>IF(M82="","",IFERROR(INDEX('Store Prices'!$C$5:$C$304,MATCH(1,INDEX(('Store Prices'!$B$5:$B$304=B82)*('Store Prices'!$I$5:$I$304=M82),0),0)),""))</f>
        <v>0</v>
      </c>
      <c r="O82" s="25">
        <f>IF(OR(M82="",J82=""),"",MAX(0,(J82-M82)*100))</f>
        <v>0</v>
      </c>
      <c r="AD82" s="45">
        <f>IF(B82="","",SUMIFS(Pantry!$G$5:$G$304,Pantry!$B$5:$B$304,B82))</f>
        <v>0</v>
      </c>
      <c r="AE82" s="25">
        <f>IF(OR(AD82="",J82=""),"",AD82*J82)</f>
        <v>0</v>
      </c>
      <c r="AF82" s="18">
        <f>IF(B82="","",COUNTIFS('Recipe Ingredients'!$D$5:$D$1204,B82))</f>
        <v>0</v>
      </c>
      <c r="AG82" s="45">
        <f>IF(B82="","",SUMIFS('Recipe Ingredients'!$Y$5:$Y$1204,'Recipe Ingredients'!$D$5:$D$1204,B82))</f>
        <v>0</v>
      </c>
      <c r="AH82" s="30">
        <f>IF(B82="",0,IFERROR(K82*1,0)*IFERROR(AF82*1,0))</f>
        <v>0</v>
      </c>
      <c r="AI82" s="18">
        <f>IF(B82="","",COUNTIFS($AH$5:$AH$304,"&gt;"&amp;AH82)+COUNTIFS($AH$5:AH82,AH82))</f>
        <v>0</v>
      </c>
      <c r="AJ82" s="18">
        <f>IF(B82="",0,COUNTIFS('Food Waste'!$E$5:$E$154,B82))</f>
        <v>0</v>
      </c>
      <c r="AK82" s="18">
        <f>IF(B82="","",COUNTIFS($AJ$5:$AJ$304,"&gt;"&amp;AJ82)+COUNTIFS($AJ$5:AJ82,AJ82))</f>
        <v>0</v>
      </c>
      <c r="AL82" s="18">
        <f>IF(B82="","",IF(AG82&gt;0,COUNTIF(AG$5:AG82,"&gt;0"),""))</f>
        <v>0</v>
      </c>
      <c r="AM82" s="45">
        <f>IF(B82="","",SUMIFS('Grocery List'!$Q$5:$Q$304,'Grocery List'!$B$5:$B$304,B82))</f>
        <v>0</v>
      </c>
      <c r="AN82" s="31">
        <f>IF(B82="","",IF(I82="","Add - no price yet",IF(H82="","Add - no pack size",IF(COUNTIFS($B$5:$B$304,B82)&gt;1,"Duplicate - same name twice",IF(AF82=0,"Check - no recipe uses it","OK")))))</f>
        <v>0</v>
      </c>
    </row>
    <row r="83" spans="1:40">
      <c r="A83" s="39">
        <f>IF(B83="","",IngredientPrefix&amp;TEXT(ROW()-4,"0000"))</f>
        <v>0</v>
      </c>
      <c r="J83" s="25">
        <f>IF(OR(H83="",I83=""),"",IF(H83=0,"",I83/H83))</f>
        <v>0</v>
      </c>
      <c r="K83" s="25">
        <f>IF(J83="","",J83*100)</f>
        <v>0</v>
      </c>
      <c r="L83" s="25">
        <f>IF(B83="","",IFERROR(AVERAGEIFS('Grocery Spending'!$L$5:$L$404,'Grocery Spending'!$H$5:$H$404,B83,'Grocery Spending'!$L$5:$L$404,"&gt;0"),""))</f>
        <v>0</v>
      </c>
      <c r="M83" s="25">
        <f>IF(B83="","",IF(COUNTIFS('Store Prices'!$B$5:$B$304,B83)=0,"",IF(SUMPRODUCT(MIN((('Store Prices'!$B$5:$B$304=B83)*(IFERROR('Store Prices'!$I$5:$I$304*1,0)&gt;0))*IFERROR('Store Prices'!$I$5:$I$304*1,0)+(1-(('Store Prices'!$B$5:$B$304=B83)*(IFERROR('Store Prices'!$I$5:$I$304*1,0)&gt;0)))*999999))&gt;=999999,"",SUMPRODUCT(MIN((('Store Prices'!$B$5:$B$304=B83)*(IFERROR('Store Prices'!$I$5:$I$304*1,0)&gt;0))*IFERROR('Store Prices'!$I$5:$I$304*1,0)+(1-(('Store Prices'!$B$5:$B$304=B83)*(IFERROR('Store Prices'!$I$5:$I$304*1,0)&gt;0)))*999999)))))</f>
        <v>0</v>
      </c>
      <c r="N83" s="17">
        <f>IF(M83="","",IFERROR(INDEX('Store Prices'!$C$5:$C$304,MATCH(1,INDEX(('Store Prices'!$B$5:$B$304=B83)*('Store Prices'!$I$5:$I$304=M83),0),0)),""))</f>
        <v>0</v>
      </c>
      <c r="O83" s="25">
        <f>IF(OR(M83="",J83=""),"",MAX(0,(J83-M83)*100))</f>
        <v>0</v>
      </c>
      <c r="AD83" s="45">
        <f>IF(B83="","",SUMIFS(Pantry!$G$5:$G$304,Pantry!$B$5:$B$304,B83))</f>
        <v>0</v>
      </c>
      <c r="AE83" s="25">
        <f>IF(OR(AD83="",J83=""),"",AD83*J83)</f>
        <v>0</v>
      </c>
      <c r="AF83" s="18">
        <f>IF(B83="","",COUNTIFS('Recipe Ingredients'!$D$5:$D$1204,B83))</f>
        <v>0</v>
      </c>
      <c r="AG83" s="45">
        <f>IF(B83="","",SUMIFS('Recipe Ingredients'!$Y$5:$Y$1204,'Recipe Ingredients'!$D$5:$D$1204,B83))</f>
        <v>0</v>
      </c>
      <c r="AH83" s="30">
        <f>IF(B83="",0,IFERROR(K83*1,0)*IFERROR(AF83*1,0))</f>
        <v>0</v>
      </c>
      <c r="AI83" s="18">
        <f>IF(B83="","",COUNTIFS($AH$5:$AH$304,"&gt;"&amp;AH83)+COUNTIFS($AH$5:AH83,AH83))</f>
        <v>0</v>
      </c>
      <c r="AJ83" s="18">
        <f>IF(B83="",0,COUNTIFS('Food Waste'!$E$5:$E$154,B83))</f>
        <v>0</v>
      </c>
      <c r="AK83" s="18">
        <f>IF(B83="","",COUNTIFS($AJ$5:$AJ$304,"&gt;"&amp;AJ83)+COUNTIFS($AJ$5:AJ83,AJ83))</f>
        <v>0</v>
      </c>
      <c r="AL83" s="18">
        <f>IF(B83="","",IF(AG83&gt;0,COUNTIF(AG$5:AG83,"&gt;0"),""))</f>
        <v>0</v>
      </c>
      <c r="AM83" s="45">
        <f>IF(B83="","",SUMIFS('Grocery List'!$Q$5:$Q$304,'Grocery List'!$B$5:$B$304,B83))</f>
        <v>0</v>
      </c>
      <c r="AN83" s="31">
        <f>IF(B83="","",IF(I83="","Add - no price yet",IF(H83="","Add - no pack size",IF(COUNTIFS($B$5:$B$304,B83)&gt;1,"Duplicate - same name twice",IF(AF83=0,"Check - no recipe uses it","OK")))))</f>
        <v>0</v>
      </c>
    </row>
    <row r="84" spans="1:40">
      <c r="A84" s="39">
        <f>IF(B84="","",IngredientPrefix&amp;TEXT(ROW()-4,"0000"))</f>
        <v>0</v>
      </c>
      <c r="J84" s="25">
        <f>IF(OR(H84="",I84=""),"",IF(H84=0,"",I84/H84))</f>
        <v>0</v>
      </c>
      <c r="K84" s="25">
        <f>IF(J84="","",J84*100)</f>
        <v>0</v>
      </c>
      <c r="L84" s="25">
        <f>IF(B84="","",IFERROR(AVERAGEIFS('Grocery Spending'!$L$5:$L$404,'Grocery Spending'!$H$5:$H$404,B84,'Grocery Spending'!$L$5:$L$404,"&gt;0"),""))</f>
        <v>0</v>
      </c>
      <c r="M84" s="25">
        <f>IF(B84="","",IF(COUNTIFS('Store Prices'!$B$5:$B$304,B84)=0,"",IF(SUMPRODUCT(MIN((('Store Prices'!$B$5:$B$304=B84)*(IFERROR('Store Prices'!$I$5:$I$304*1,0)&gt;0))*IFERROR('Store Prices'!$I$5:$I$304*1,0)+(1-(('Store Prices'!$B$5:$B$304=B84)*(IFERROR('Store Prices'!$I$5:$I$304*1,0)&gt;0)))*999999))&gt;=999999,"",SUMPRODUCT(MIN((('Store Prices'!$B$5:$B$304=B84)*(IFERROR('Store Prices'!$I$5:$I$304*1,0)&gt;0))*IFERROR('Store Prices'!$I$5:$I$304*1,0)+(1-(('Store Prices'!$B$5:$B$304=B84)*(IFERROR('Store Prices'!$I$5:$I$304*1,0)&gt;0)))*999999)))))</f>
        <v>0</v>
      </c>
      <c r="N84" s="17">
        <f>IF(M84="","",IFERROR(INDEX('Store Prices'!$C$5:$C$304,MATCH(1,INDEX(('Store Prices'!$B$5:$B$304=B84)*('Store Prices'!$I$5:$I$304=M84),0),0)),""))</f>
        <v>0</v>
      </c>
      <c r="O84" s="25">
        <f>IF(OR(M84="",J84=""),"",MAX(0,(J84-M84)*100))</f>
        <v>0</v>
      </c>
      <c r="AD84" s="45">
        <f>IF(B84="","",SUMIFS(Pantry!$G$5:$G$304,Pantry!$B$5:$B$304,B84))</f>
        <v>0</v>
      </c>
      <c r="AE84" s="25">
        <f>IF(OR(AD84="",J84=""),"",AD84*J84)</f>
        <v>0</v>
      </c>
      <c r="AF84" s="18">
        <f>IF(B84="","",COUNTIFS('Recipe Ingredients'!$D$5:$D$1204,B84))</f>
        <v>0</v>
      </c>
      <c r="AG84" s="45">
        <f>IF(B84="","",SUMIFS('Recipe Ingredients'!$Y$5:$Y$1204,'Recipe Ingredients'!$D$5:$D$1204,B84))</f>
        <v>0</v>
      </c>
      <c r="AH84" s="30">
        <f>IF(B84="",0,IFERROR(K84*1,0)*IFERROR(AF84*1,0))</f>
        <v>0</v>
      </c>
      <c r="AI84" s="18">
        <f>IF(B84="","",COUNTIFS($AH$5:$AH$304,"&gt;"&amp;AH84)+COUNTIFS($AH$5:AH84,AH84))</f>
        <v>0</v>
      </c>
      <c r="AJ84" s="18">
        <f>IF(B84="",0,COUNTIFS('Food Waste'!$E$5:$E$154,B84))</f>
        <v>0</v>
      </c>
      <c r="AK84" s="18">
        <f>IF(B84="","",COUNTIFS($AJ$5:$AJ$304,"&gt;"&amp;AJ84)+COUNTIFS($AJ$5:AJ84,AJ84))</f>
        <v>0</v>
      </c>
      <c r="AL84" s="18">
        <f>IF(B84="","",IF(AG84&gt;0,COUNTIF(AG$5:AG84,"&gt;0"),""))</f>
        <v>0</v>
      </c>
      <c r="AM84" s="45">
        <f>IF(B84="","",SUMIFS('Grocery List'!$Q$5:$Q$304,'Grocery List'!$B$5:$B$304,B84))</f>
        <v>0</v>
      </c>
      <c r="AN84" s="31">
        <f>IF(B84="","",IF(I84="","Add - no price yet",IF(H84="","Add - no pack size",IF(COUNTIFS($B$5:$B$304,B84)&gt;1,"Duplicate - same name twice",IF(AF84=0,"Check - no recipe uses it","OK")))))</f>
        <v>0</v>
      </c>
    </row>
    <row r="85" spans="1:40">
      <c r="A85" s="39">
        <f>IF(B85="","",IngredientPrefix&amp;TEXT(ROW()-4,"0000"))</f>
        <v>0</v>
      </c>
      <c r="J85" s="25">
        <f>IF(OR(H85="",I85=""),"",IF(H85=0,"",I85/H85))</f>
        <v>0</v>
      </c>
      <c r="K85" s="25">
        <f>IF(J85="","",J85*100)</f>
        <v>0</v>
      </c>
      <c r="L85" s="25">
        <f>IF(B85="","",IFERROR(AVERAGEIFS('Grocery Spending'!$L$5:$L$404,'Grocery Spending'!$H$5:$H$404,B85,'Grocery Spending'!$L$5:$L$404,"&gt;0"),""))</f>
        <v>0</v>
      </c>
      <c r="M85" s="25">
        <f>IF(B85="","",IF(COUNTIFS('Store Prices'!$B$5:$B$304,B85)=0,"",IF(SUMPRODUCT(MIN((('Store Prices'!$B$5:$B$304=B85)*(IFERROR('Store Prices'!$I$5:$I$304*1,0)&gt;0))*IFERROR('Store Prices'!$I$5:$I$304*1,0)+(1-(('Store Prices'!$B$5:$B$304=B85)*(IFERROR('Store Prices'!$I$5:$I$304*1,0)&gt;0)))*999999))&gt;=999999,"",SUMPRODUCT(MIN((('Store Prices'!$B$5:$B$304=B85)*(IFERROR('Store Prices'!$I$5:$I$304*1,0)&gt;0))*IFERROR('Store Prices'!$I$5:$I$304*1,0)+(1-(('Store Prices'!$B$5:$B$304=B85)*(IFERROR('Store Prices'!$I$5:$I$304*1,0)&gt;0)))*999999)))))</f>
        <v>0</v>
      </c>
      <c r="N85" s="17">
        <f>IF(M85="","",IFERROR(INDEX('Store Prices'!$C$5:$C$304,MATCH(1,INDEX(('Store Prices'!$B$5:$B$304=B85)*('Store Prices'!$I$5:$I$304=M85),0),0)),""))</f>
        <v>0</v>
      </c>
      <c r="O85" s="25">
        <f>IF(OR(M85="",J85=""),"",MAX(0,(J85-M85)*100))</f>
        <v>0</v>
      </c>
      <c r="AD85" s="45">
        <f>IF(B85="","",SUMIFS(Pantry!$G$5:$G$304,Pantry!$B$5:$B$304,B85))</f>
        <v>0</v>
      </c>
      <c r="AE85" s="25">
        <f>IF(OR(AD85="",J85=""),"",AD85*J85)</f>
        <v>0</v>
      </c>
      <c r="AF85" s="18">
        <f>IF(B85="","",COUNTIFS('Recipe Ingredients'!$D$5:$D$1204,B85))</f>
        <v>0</v>
      </c>
      <c r="AG85" s="45">
        <f>IF(B85="","",SUMIFS('Recipe Ingredients'!$Y$5:$Y$1204,'Recipe Ingredients'!$D$5:$D$1204,B85))</f>
        <v>0</v>
      </c>
      <c r="AH85" s="30">
        <f>IF(B85="",0,IFERROR(K85*1,0)*IFERROR(AF85*1,0))</f>
        <v>0</v>
      </c>
      <c r="AI85" s="18">
        <f>IF(B85="","",COUNTIFS($AH$5:$AH$304,"&gt;"&amp;AH85)+COUNTIFS($AH$5:AH85,AH85))</f>
        <v>0</v>
      </c>
      <c r="AJ85" s="18">
        <f>IF(B85="",0,COUNTIFS('Food Waste'!$E$5:$E$154,B85))</f>
        <v>0</v>
      </c>
      <c r="AK85" s="18">
        <f>IF(B85="","",COUNTIFS($AJ$5:$AJ$304,"&gt;"&amp;AJ85)+COUNTIFS($AJ$5:AJ85,AJ85))</f>
        <v>0</v>
      </c>
      <c r="AL85" s="18">
        <f>IF(B85="","",IF(AG85&gt;0,COUNTIF(AG$5:AG85,"&gt;0"),""))</f>
        <v>0</v>
      </c>
      <c r="AM85" s="45">
        <f>IF(B85="","",SUMIFS('Grocery List'!$Q$5:$Q$304,'Grocery List'!$B$5:$B$304,B85))</f>
        <v>0</v>
      </c>
      <c r="AN85" s="31">
        <f>IF(B85="","",IF(I85="","Add - no price yet",IF(H85="","Add - no pack size",IF(COUNTIFS($B$5:$B$304,B85)&gt;1,"Duplicate - same name twice",IF(AF85=0,"Check - no recipe uses it","OK")))))</f>
        <v>0</v>
      </c>
    </row>
    <row r="86" spans="1:40">
      <c r="A86" s="39">
        <f>IF(B86="","",IngredientPrefix&amp;TEXT(ROW()-4,"0000"))</f>
        <v>0</v>
      </c>
      <c r="J86" s="25">
        <f>IF(OR(H86="",I86=""),"",IF(H86=0,"",I86/H86))</f>
        <v>0</v>
      </c>
      <c r="K86" s="25">
        <f>IF(J86="","",J86*100)</f>
        <v>0</v>
      </c>
      <c r="L86" s="25">
        <f>IF(B86="","",IFERROR(AVERAGEIFS('Grocery Spending'!$L$5:$L$404,'Grocery Spending'!$H$5:$H$404,B86,'Grocery Spending'!$L$5:$L$404,"&gt;0"),""))</f>
        <v>0</v>
      </c>
      <c r="M86" s="25">
        <f>IF(B86="","",IF(COUNTIFS('Store Prices'!$B$5:$B$304,B86)=0,"",IF(SUMPRODUCT(MIN((('Store Prices'!$B$5:$B$304=B86)*(IFERROR('Store Prices'!$I$5:$I$304*1,0)&gt;0))*IFERROR('Store Prices'!$I$5:$I$304*1,0)+(1-(('Store Prices'!$B$5:$B$304=B86)*(IFERROR('Store Prices'!$I$5:$I$304*1,0)&gt;0)))*999999))&gt;=999999,"",SUMPRODUCT(MIN((('Store Prices'!$B$5:$B$304=B86)*(IFERROR('Store Prices'!$I$5:$I$304*1,0)&gt;0))*IFERROR('Store Prices'!$I$5:$I$304*1,0)+(1-(('Store Prices'!$B$5:$B$304=B86)*(IFERROR('Store Prices'!$I$5:$I$304*1,0)&gt;0)))*999999)))))</f>
        <v>0</v>
      </c>
      <c r="N86" s="17">
        <f>IF(M86="","",IFERROR(INDEX('Store Prices'!$C$5:$C$304,MATCH(1,INDEX(('Store Prices'!$B$5:$B$304=B86)*('Store Prices'!$I$5:$I$304=M86),0),0)),""))</f>
        <v>0</v>
      </c>
      <c r="O86" s="25">
        <f>IF(OR(M86="",J86=""),"",MAX(0,(J86-M86)*100))</f>
        <v>0</v>
      </c>
      <c r="AD86" s="45">
        <f>IF(B86="","",SUMIFS(Pantry!$G$5:$G$304,Pantry!$B$5:$B$304,B86))</f>
        <v>0</v>
      </c>
      <c r="AE86" s="25">
        <f>IF(OR(AD86="",J86=""),"",AD86*J86)</f>
        <v>0</v>
      </c>
      <c r="AF86" s="18">
        <f>IF(B86="","",COUNTIFS('Recipe Ingredients'!$D$5:$D$1204,B86))</f>
        <v>0</v>
      </c>
      <c r="AG86" s="45">
        <f>IF(B86="","",SUMIFS('Recipe Ingredients'!$Y$5:$Y$1204,'Recipe Ingredients'!$D$5:$D$1204,B86))</f>
        <v>0</v>
      </c>
      <c r="AH86" s="30">
        <f>IF(B86="",0,IFERROR(K86*1,0)*IFERROR(AF86*1,0))</f>
        <v>0</v>
      </c>
      <c r="AI86" s="18">
        <f>IF(B86="","",COUNTIFS($AH$5:$AH$304,"&gt;"&amp;AH86)+COUNTIFS($AH$5:AH86,AH86))</f>
        <v>0</v>
      </c>
      <c r="AJ86" s="18">
        <f>IF(B86="",0,COUNTIFS('Food Waste'!$E$5:$E$154,B86))</f>
        <v>0</v>
      </c>
      <c r="AK86" s="18">
        <f>IF(B86="","",COUNTIFS($AJ$5:$AJ$304,"&gt;"&amp;AJ86)+COUNTIFS($AJ$5:AJ86,AJ86))</f>
        <v>0</v>
      </c>
      <c r="AL86" s="18">
        <f>IF(B86="","",IF(AG86&gt;0,COUNTIF(AG$5:AG86,"&gt;0"),""))</f>
        <v>0</v>
      </c>
      <c r="AM86" s="45">
        <f>IF(B86="","",SUMIFS('Grocery List'!$Q$5:$Q$304,'Grocery List'!$B$5:$B$304,B86))</f>
        <v>0</v>
      </c>
      <c r="AN86" s="31">
        <f>IF(B86="","",IF(I86="","Add - no price yet",IF(H86="","Add - no pack size",IF(COUNTIFS($B$5:$B$304,B86)&gt;1,"Duplicate - same name twice",IF(AF86=0,"Check - no recipe uses it","OK")))))</f>
        <v>0</v>
      </c>
    </row>
    <row r="87" spans="1:40">
      <c r="A87" s="39">
        <f>IF(B87="","",IngredientPrefix&amp;TEXT(ROW()-4,"0000"))</f>
        <v>0</v>
      </c>
      <c r="J87" s="25">
        <f>IF(OR(H87="",I87=""),"",IF(H87=0,"",I87/H87))</f>
        <v>0</v>
      </c>
      <c r="K87" s="25">
        <f>IF(J87="","",J87*100)</f>
        <v>0</v>
      </c>
      <c r="L87" s="25">
        <f>IF(B87="","",IFERROR(AVERAGEIFS('Grocery Spending'!$L$5:$L$404,'Grocery Spending'!$H$5:$H$404,B87,'Grocery Spending'!$L$5:$L$404,"&gt;0"),""))</f>
        <v>0</v>
      </c>
      <c r="M87" s="25">
        <f>IF(B87="","",IF(COUNTIFS('Store Prices'!$B$5:$B$304,B87)=0,"",IF(SUMPRODUCT(MIN((('Store Prices'!$B$5:$B$304=B87)*(IFERROR('Store Prices'!$I$5:$I$304*1,0)&gt;0))*IFERROR('Store Prices'!$I$5:$I$304*1,0)+(1-(('Store Prices'!$B$5:$B$304=B87)*(IFERROR('Store Prices'!$I$5:$I$304*1,0)&gt;0)))*999999))&gt;=999999,"",SUMPRODUCT(MIN((('Store Prices'!$B$5:$B$304=B87)*(IFERROR('Store Prices'!$I$5:$I$304*1,0)&gt;0))*IFERROR('Store Prices'!$I$5:$I$304*1,0)+(1-(('Store Prices'!$B$5:$B$304=B87)*(IFERROR('Store Prices'!$I$5:$I$304*1,0)&gt;0)))*999999)))))</f>
        <v>0</v>
      </c>
      <c r="N87" s="17">
        <f>IF(M87="","",IFERROR(INDEX('Store Prices'!$C$5:$C$304,MATCH(1,INDEX(('Store Prices'!$B$5:$B$304=B87)*('Store Prices'!$I$5:$I$304=M87),0),0)),""))</f>
        <v>0</v>
      </c>
      <c r="O87" s="25">
        <f>IF(OR(M87="",J87=""),"",MAX(0,(J87-M87)*100))</f>
        <v>0</v>
      </c>
      <c r="AD87" s="45">
        <f>IF(B87="","",SUMIFS(Pantry!$G$5:$G$304,Pantry!$B$5:$B$304,B87))</f>
        <v>0</v>
      </c>
      <c r="AE87" s="25">
        <f>IF(OR(AD87="",J87=""),"",AD87*J87)</f>
        <v>0</v>
      </c>
      <c r="AF87" s="18">
        <f>IF(B87="","",COUNTIFS('Recipe Ingredients'!$D$5:$D$1204,B87))</f>
        <v>0</v>
      </c>
      <c r="AG87" s="45">
        <f>IF(B87="","",SUMIFS('Recipe Ingredients'!$Y$5:$Y$1204,'Recipe Ingredients'!$D$5:$D$1204,B87))</f>
        <v>0</v>
      </c>
      <c r="AH87" s="30">
        <f>IF(B87="",0,IFERROR(K87*1,0)*IFERROR(AF87*1,0))</f>
        <v>0</v>
      </c>
      <c r="AI87" s="18">
        <f>IF(B87="","",COUNTIFS($AH$5:$AH$304,"&gt;"&amp;AH87)+COUNTIFS($AH$5:AH87,AH87))</f>
        <v>0</v>
      </c>
      <c r="AJ87" s="18">
        <f>IF(B87="",0,COUNTIFS('Food Waste'!$E$5:$E$154,B87))</f>
        <v>0</v>
      </c>
      <c r="AK87" s="18">
        <f>IF(B87="","",COUNTIFS($AJ$5:$AJ$304,"&gt;"&amp;AJ87)+COUNTIFS($AJ$5:AJ87,AJ87))</f>
        <v>0</v>
      </c>
      <c r="AL87" s="18">
        <f>IF(B87="","",IF(AG87&gt;0,COUNTIF(AG$5:AG87,"&gt;0"),""))</f>
        <v>0</v>
      </c>
      <c r="AM87" s="45">
        <f>IF(B87="","",SUMIFS('Grocery List'!$Q$5:$Q$304,'Grocery List'!$B$5:$B$304,B87))</f>
        <v>0</v>
      </c>
      <c r="AN87" s="31">
        <f>IF(B87="","",IF(I87="","Add - no price yet",IF(H87="","Add - no pack size",IF(COUNTIFS($B$5:$B$304,B87)&gt;1,"Duplicate - same name twice",IF(AF87=0,"Check - no recipe uses it","OK")))))</f>
        <v>0</v>
      </c>
    </row>
    <row r="88" spans="1:40">
      <c r="A88" s="39">
        <f>IF(B88="","",IngredientPrefix&amp;TEXT(ROW()-4,"0000"))</f>
        <v>0</v>
      </c>
      <c r="J88" s="25">
        <f>IF(OR(H88="",I88=""),"",IF(H88=0,"",I88/H88))</f>
        <v>0</v>
      </c>
      <c r="K88" s="25">
        <f>IF(J88="","",J88*100)</f>
        <v>0</v>
      </c>
      <c r="L88" s="25">
        <f>IF(B88="","",IFERROR(AVERAGEIFS('Grocery Spending'!$L$5:$L$404,'Grocery Spending'!$H$5:$H$404,B88,'Grocery Spending'!$L$5:$L$404,"&gt;0"),""))</f>
        <v>0</v>
      </c>
      <c r="M88" s="25">
        <f>IF(B88="","",IF(COUNTIFS('Store Prices'!$B$5:$B$304,B88)=0,"",IF(SUMPRODUCT(MIN((('Store Prices'!$B$5:$B$304=B88)*(IFERROR('Store Prices'!$I$5:$I$304*1,0)&gt;0))*IFERROR('Store Prices'!$I$5:$I$304*1,0)+(1-(('Store Prices'!$B$5:$B$304=B88)*(IFERROR('Store Prices'!$I$5:$I$304*1,0)&gt;0)))*999999))&gt;=999999,"",SUMPRODUCT(MIN((('Store Prices'!$B$5:$B$304=B88)*(IFERROR('Store Prices'!$I$5:$I$304*1,0)&gt;0))*IFERROR('Store Prices'!$I$5:$I$304*1,0)+(1-(('Store Prices'!$B$5:$B$304=B88)*(IFERROR('Store Prices'!$I$5:$I$304*1,0)&gt;0)))*999999)))))</f>
        <v>0</v>
      </c>
      <c r="N88" s="17">
        <f>IF(M88="","",IFERROR(INDEX('Store Prices'!$C$5:$C$304,MATCH(1,INDEX(('Store Prices'!$B$5:$B$304=B88)*('Store Prices'!$I$5:$I$304=M88),0),0)),""))</f>
        <v>0</v>
      </c>
      <c r="O88" s="25">
        <f>IF(OR(M88="",J88=""),"",MAX(0,(J88-M88)*100))</f>
        <v>0</v>
      </c>
      <c r="AD88" s="45">
        <f>IF(B88="","",SUMIFS(Pantry!$G$5:$G$304,Pantry!$B$5:$B$304,B88))</f>
        <v>0</v>
      </c>
      <c r="AE88" s="25">
        <f>IF(OR(AD88="",J88=""),"",AD88*J88)</f>
        <v>0</v>
      </c>
      <c r="AF88" s="18">
        <f>IF(B88="","",COUNTIFS('Recipe Ingredients'!$D$5:$D$1204,B88))</f>
        <v>0</v>
      </c>
      <c r="AG88" s="45">
        <f>IF(B88="","",SUMIFS('Recipe Ingredients'!$Y$5:$Y$1204,'Recipe Ingredients'!$D$5:$D$1204,B88))</f>
        <v>0</v>
      </c>
      <c r="AH88" s="30">
        <f>IF(B88="",0,IFERROR(K88*1,0)*IFERROR(AF88*1,0))</f>
        <v>0</v>
      </c>
      <c r="AI88" s="18">
        <f>IF(B88="","",COUNTIFS($AH$5:$AH$304,"&gt;"&amp;AH88)+COUNTIFS($AH$5:AH88,AH88))</f>
        <v>0</v>
      </c>
      <c r="AJ88" s="18">
        <f>IF(B88="",0,COUNTIFS('Food Waste'!$E$5:$E$154,B88))</f>
        <v>0</v>
      </c>
      <c r="AK88" s="18">
        <f>IF(B88="","",COUNTIFS($AJ$5:$AJ$304,"&gt;"&amp;AJ88)+COUNTIFS($AJ$5:AJ88,AJ88))</f>
        <v>0</v>
      </c>
      <c r="AL88" s="18">
        <f>IF(B88="","",IF(AG88&gt;0,COUNTIF(AG$5:AG88,"&gt;0"),""))</f>
        <v>0</v>
      </c>
      <c r="AM88" s="45">
        <f>IF(B88="","",SUMIFS('Grocery List'!$Q$5:$Q$304,'Grocery List'!$B$5:$B$304,B88))</f>
        <v>0</v>
      </c>
      <c r="AN88" s="31">
        <f>IF(B88="","",IF(I88="","Add - no price yet",IF(H88="","Add - no pack size",IF(COUNTIFS($B$5:$B$304,B88)&gt;1,"Duplicate - same name twice",IF(AF88=0,"Check - no recipe uses it","OK")))))</f>
        <v>0</v>
      </c>
    </row>
    <row r="89" spans="1:40">
      <c r="A89" s="39">
        <f>IF(B89="","",IngredientPrefix&amp;TEXT(ROW()-4,"0000"))</f>
        <v>0</v>
      </c>
      <c r="J89" s="25">
        <f>IF(OR(H89="",I89=""),"",IF(H89=0,"",I89/H89))</f>
        <v>0</v>
      </c>
      <c r="K89" s="25">
        <f>IF(J89="","",J89*100)</f>
        <v>0</v>
      </c>
      <c r="L89" s="25">
        <f>IF(B89="","",IFERROR(AVERAGEIFS('Grocery Spending'!$L$5:$L$404,'Grocery Spending'!$H$5:$H$404,B89,'Grocery Spending'!$L$5:$L$404,"&gt;0"),""))</f>
        <v>0</v>
      </c>
      <c r="M89" s="25">
        <f>IF(B89="","",IF(COUNTIFS('Store Prices'!$B$5:$B$304,B89)=0,"",IF(SUMPRODUCT(MIN((('Store Prices'!$B$5:$B$304=B89)*(IFERROR('Store Prices'!$I$5:$I$304*1,0)&gt;0))*IFERROR('Store Prices'!$I$5:$I$304*1,0)+(1-(('Store Prices'!$B$5:$B$304=B89)*(IFERROR('Store Prices'!$I$5:$I$304*1,0)&gt;0)))*999999))&gt;=999999,"",SUMPRODUCT(MIN((('Store Prices'!$B$5:$B$304=B89)*(IFERROR('Store Prices'!$I$5:$I$304*1,0)&gt;0))*IFERROR('Store Prices'!$I$5:$I$304*1,0)+(1-(('Store Prices'!$B$5:$B$304=B89)*(IFERROR('Store Prices'!$I$5:$I$304*1,0)&gt;0)))*999999)))))</f>
        <v>0</v>
      </c>
      <c r="N89" s="17">
        <f>IF(M89="","",IFERROR(INDEX('Store Prices'!$C$5:$C$304,MATCH(1,INDEX(('Store Prices'!$B$5:$B$304=B89)*('Store Prices'!$I$5:$I$304=M89),0),0)),""))</f>
        <v>0</v>
      </c>
      <c r="O89" s="25">
        <f>IF(OR(M89="",J89=""),"",MAX(0,(J89-M89)*100))</f>
        <v>0</v>
      </c>
      <c r="AD89" s="45">
        <f>IF(B89="","",SUMIFS(Pantry!$G$5:$G$304,Pantry!$B$5:$B$304,B89))</f>
        <v>0</v>
      </c>
      <c r="AE89" s="25">
        <f>IF(OR(AD89="",J89=""),"",AD89*J89)</f>
        <v>0</v>
      </c>
      <c r="AF89" s="18">
        <f>IF(B89="","",COUNTIFS('Recipe Ingredients'!$D$5:$D$1204,B89))</f>
        <v>0</v>
      </c>
      <c r="AG89" s="45">
        <f>IF(B89="","",SUMIFS('Recipe Ingredients'!$Y$5:$Y$1204,'Recipe Ingredients'!$D$5:$D$1204,B89))</f>
        <v>0</v>
      </c>
      <c r="AH89" s="30">
        <f>IF(B89="",0,IFERROR(K89*1,0)*IFERROR(AF89*1,0))</f>
        <v>0</v>
      </c>
      <c r="AI89" s="18">
        <f>IF(B89="","",COUNTIFS($AH$5:$AH$304,"&gt;"&amp;AH89)+COUNTIFS($AH$5:AH89,AH89))</f>
        <v>0</v>
      </c>
      <c r="AJ89" s="18">
        <f>IF(B89="",0,COUNTIFS('Food Waste'!$E$5:$E$154,B89))</f>
        <v>0</v>
      </c>
      <c r="AK89" s="18">
        <f>IF(B89="","",COUNTIFS($AJ$5:$AJ$304,"&gt;"&amp;AJ89)+COUNTIFS($AJ$5:AJ89,AJ89))</f>
        <v>0</v>
      </c>
      <c r="AL89" s="18">
        <f>IF(B89="","",IF(AG89&gt;0,COUNTIF(AG$5:AG89,"&gt;0"),""))</f>
        <v>0</v>
      </c>
      <c r="AM89" s="45">
        <f>IF(B89="","",SUMIFS('Grocery List'!$Q$5:$Q$304,'Grocery List'!$B$5:$B$304,B89))</f>
        <v>0</v>
      </c>
      <c r="AN89" s="31">
        <f>IF(B89="","",IF(I89="","Add - no price yet",IF(H89="","Add - no pack size",IF(COUNTIFS($B$5:$B$304,B89)&gt;1,"Duplicate - same name twice",IF(AF89=0,"Check - no recipe uses it","OK")))))</f>
        <v>0</v>
      </c>
    </row>
    <row r="90" spans="1:40">
      <c r="A90" s="39">
        <f>IF(B90="","",IngredientPrefix&amp;TEXT(ROW()-4,"0000"))</f>
        <v>0</v>
      </c>
      <c r="J90" s="25">
        <f>IF(OR(H90="",I90=""),"",IF(H90=0,"",I90/H90))</f>
        <v>0</v>
      </c>
      <c r="K90" s="25">
        <f>IF(J90="","",J90*100)</f>
        <v>0</v>
      </c>
      <c r="L90" s="25">
        <f>IF(B90="","",IFERROR(AVERAGEIFS('Grocery Spending'!$L$5:$L$404,'Grocery Spending'!$H$5:$H$404,B90,'Grocery Spending'!$L$5:$L$404,"&gt;0"),""))</f>
        <v>0</v>
      </c>
      <c r="M90" s="25">
        <f>IF(B90="","",IF(COUNTIFS('Store Prices'!$B$5:$B$304,B90)=0,"",IF(SUMPRODUCT(MIN((('Store Prices'!$B$5:$B$304=B90)*(IFERROR('Store Prices'!$I$5:$I$304*1,0)&gt;0))*IFERROR('Store Prices'!$I$5:$I$304*1,0)+(1-(('Store Prices'!$B$5:$B$304=B90)*(IFERROR('Store Prices'!$I$5:$I$304*1,0)&gt;0)))*999999))&gt;=999999,"",SUMPRODUCT(MIN((('Store Prices'!$B$5:$B$304=B90)*(IFERROR('Store Prices'!$I$5:$I$304*1,0)&gt;0))*IFERROR('Store Prices'!$I$5:$I$304*1,0)+(1-(('Store Prices'!$B$5:$B$304=B90)*(IFERROR('Store Prices'!$I$5:$I$304*1,0)&gt;0)))*999999)))))</f>
        <v>0</v>
      </c>
      <c r="N90" s="17">
        <f>IF(M90="","",IFERROR(INDEX('Store Prices'!$C$5:$C$304,MATCH(1,INDEX(('Store Prices'!$B$5:$B$304=B90)*('Store Prices'!$I$5:$I$304=M90),0),0)),""))</f>
        <v>0</v>
      </c>
      <c r="O90" s="25">
        <f>IF(OR(M90="",J90=""),"",MAX(0,(J90-M90)*100))</f>
        <v>0</v>
      </c>
      <c r="AD90" s="45">
        <f>IF(B90="","",SUMIFS(Pantry!$G$5:$G$304,Pantry!$B$5:$B$304,B90))</f>
        <v>0</v>
      </c>
      <c r="AE90" s="25">
        <f>IF(OR(AD90="",J90=""),"",AD90*J90)</f>
        <v>0</v>
      </c>
      <c r="AF90" s="18">
        <f>IF(B90="","",COUNTIFS('Recipe Ingredients'!$D$5:$D$1204,B90))</f>
        <v>0</v>
      </c>
      <c r="AG90" s="45">
        <f>IF(B90="","",SUMIFS('Recipe Ingredients'!$Y$5:$Y$1204,'Recipe Ingredients'!$D$5:$D$1204,B90))</f>
        <v>0</v>
      </c>
      <c r="AH90" s="30">
        <f>IF(B90="",0,IFERROR(K90*1,0)*IFERROR(AF90*1,0))</f>
        <v>0</v>
      </c>
      <c r="AI90" s="18">
        <f>IF(B90="","",COUNTIFS($AH$5:$AH$304,"&gt;"&amp;AH90)+COUNTIFS($AH$5:AH90,AH90))</f>
        <v>0</v>
      </c>
      <c r="AJ90" s="18">
        <f>IF(B90="",0,COUNTIFS('Food Waste'!$E$5:$E$154,B90))</f>
        <v>0</v>
      </c>
      <c r="AK90" s="18">
        <f>IF(B90="","",COUNTIFS($AJ$5:$AJ$304,"&gt;"&amp;AJ90)+COUNTIFS($AJ$5:AJ90,AJ90))</f>
        <v>0</v>
      </c>
      <c r="AL90" s="18">
        <f>IF(B90="","",IF(AG90&gt;0,COUNTIF(AG$5:AG90,"&gt;0"),""))</f>
        <v>0</v>
      </c>
      <c r="AM90" s="45">
        <f>IF(B90="","",SUMIFS('Grocery List'!$Q$5:$Q$304,'Grocery List'!$B$5:$B$304,B90))</f>
        <v>0</v>
      </c>
      <c r="AN90" s="31">
        <f>IF(B90="","",IF(I90="","Add - no price yet",IF(H90="","Add - no pack size",IF(COUNTIFS($B$5:$B$304,B90)&gt;1,"Duplicate - same name twice",IF(AF90=0,"Check - no recipe uses it","OK")))))</f>
        <v>0</v>
      </c>
    </row>
    <row r="91" spans="1:40">
      <c r="A91" s="39">
        <f>IF(B91="","",IngredientPrefix&amp;TEXT(ROW()-4,"0000"))</f>
        <v>0</v>
      </c>
      <c r="J91" s="25">
        <f>IF(OR(H91="",I91=""),"",IF(H91=0,"",I91/H91))</f>
        <v>0</v>
      </c>
      <c r="K91" s="25">
        <f>IF(J91="","",J91*100)</f>
        <v>0</v>
      </c>
      <c r="L91" s="25">
        <f>IF(B91="","",IFERROR(AVERAGEIFS('Grocery Spending'!$L$5:$L$404,'Grocery Spending'!$H$5:$H$404,B91,'Grocery Spending'!$L$5:$L$404,"&gt;0"),""))</f>
        <v>0</v>
      </c>
      <c r="M91" s="25">
        <f>IF(B91="","",IF(COUNTIFS('Store Prices'!$B$5:$B$304,B91)=0,"",IF(SUMPRODUCT(MIN((('Store Prices'!$B$5:$B$304=B91)*(IFERROR('Store Prices'!$I$5:$I$304*1,0)&gt;0))*IFERROR('Store Prices'!$I$5:$I$304*1,0)+(1-(('Store Prices'!$B$5:$B$304=B91)*(IFERROR('Store Prices'!$I$5:$I$304*1,0)&gt;0)))*999999))&gt;=999999,"",SUMPRODUCT(MIN((('Store Prices'!$B$5:$B$304=B91)*(IFERROR('Store Prices'!$I$5:$I$304*1,0)&gt;0))*IFERROR('Store Prices'!$I$5:$I$304*1,0)+(1-(('Store Prices'!$B$5:$B$304=B91)*(IFERROR('Store Prices'!$I$5:$I$304*1,0)&gt;0)))*999999)))))</f>
        <v>0</v>
      </c>
      <c r="N91" s="17">
        <f>IF(M91="","",IFERROR(INDEX('Store Prices'!$C$5:$C$304,MATCH(1,INDEX(('Store Prices'!$B$5:$B$304=B91)*('Store Prices'!$I$5:$I$304=M91),0),0)),""))</f>
        <v>0</v>
      </c>
      <c r="O91" s="25">
        <f>IF(OR(M91="",J91=""),"",MAX(0,(J91-M91)*100))</f>
        <v>0</v>
      </c>
      <c r="AD91" s="45">
        <f>IF(B91="","",SUMIFS(Pantry!$G$5:$G$304,Pantry!$B$5:$B$304,B91))</f>
        <v>0</v>
      </c>
      <c r="AE91" s="25">
        <f>IF(OR(AD91="",J91=""),"",AD91*J91)</f>
        <v>0</v>
      </c>
      <c r="AF91" s="18">
        <f>IF(B91="","",COUNTIFS('Recipe Ingredients'!$D$5:$D$1204,B91))</f>
        <v>0</v>
      </c>
      <c r="AG91" s="45">
        <f>IF(B91="","",SUMIFS('Recipe Ingredients'!$Y$5:$Y$1204,'Recipe Ingredients'!$D$5:$D$1204,B91))</f>
        <v>0</v>
      </c>
      <c r="AH91" s="30">
        <f>IF(B91="",0,IFERROR(K91*1,0)*IFERROR(AF91*1,0))</f>
        <v>0</v>
      </c>
      <c r="AI91" s="18">
        <f>IF(B91="","",COUNTIFS($AH$5:$AH$304,"&gt;"&amp;AH91)+COUNTIFS($AH$5:AH91,AH91))</f>
        <v>0</v>
      </c>
      <c r="AJ91" s="18">
        <f>IF(B91="",0,COUNTIFS('Food Waste'!$E$5:$E$154,B91))</f>
        <v>0</v>
      </c>
      <c r="AK91" s="18">
        <f>IF(B91="","",COUNTIFS($AJ$5:$AJ$304,"&gt;"&amp;AJ91)+COUNTIFS($AJ$5:AJ91,AJ91))</f>
        <v>0</v>
      </c>
      <c r="AL91" s="18">
        <f>IF(B91="","",IF(AG91&gt;0,COUNTIF(AG$5:AG91,"&gt;0"),""))</f>
        <v>0</v>
      </c>
      <c r="AM91" s="45">
        <f>IF(B91="","",SUMIFS('Grocery List'!$Q$5:$Q$304,'Grocery List'!$B$5:$B$304,B91))</f>
        <v>0</v>
      </c>
      <c r="AN91" s="31">
        <f>IF(B91="","",IF(I91="","Add - no price yet",IF(H91="","Add - no pack size",IF(COUNTIFS($B$5:$B$304,B91)&gt;1,"Duplicate - same name twice",IF(AF91=0,"Check - no recipe uses it","OK")))))</f>
        <v>0</v>
      </c>
    </row>
    <row r="92" spans="1:40">
      <c r="A92" s="39">
        <f>IF(B92="","",IngredientPrefix&amp;TEXT(ROW()-4,"0000"))</f>
        <v>0</v>
      </c>
      <c r="J92" s="25">
        <f>IF(OR(H92="",I92=""),"",IF(H92=0,"",I92/H92))</f>
        <v>0</v>
      </c>
      <c r="K92" s="25">
        <f>IF(J92="","",J92*100)</f>
        <v>0</v>
      </c>
      <c r="L92" s="25">
        <f>IF(B92="","",IFERROR(AVERAGEIFS('Grocery Spending'!$L$5:$L$404,'Grocery Spending'!$H$5:$H$404,B92,'Grocery Spending'!$L$5:$L$404,"&gt;0"),""))</f>
        <v>0</v>
      </c>
      <c r="M92" s="25">
        <f>IF(B92="","",IF(COUNTIFS('Store Prices'!$B$5:$B$304,B92)=0,"",IF(SUMPRODUCT(MIN((('Store Prices'!$B$5:$B$304=B92)*(IFERROR('Store Prices'!$I$5:$I$304*1,0)&gt;0))*IFERROR('Store Prices'!$I$5:$I$304*1,0)+(1-(('Store Prices'!$B$5:$B$304=B92)*(IFERROR('Store Prices'!$I$5:$I$304*1,0)&gt;0)))*999999))&gt;=999999,"",SUMPRODUCT(MIN((('Store Prices'!$B$5:$B$304=B92)*(IFERROR('Store Prices'!$I$5:$I$304*1,0)&gt;0))*IFERROR('Store Prices'!$I$5:$I$304*1,0)+(1-(('Store Prices'!$B$5:$B$304=B92)*(IFERROR('Store Prices'!$I$5:$I$304*1,0)&gt;0)))*999999)))))</f>
        <v>0</v>
      </c>
      <c r="N92" s="17">
        <f>IF(M92="","",IFERROR(INDEX('Store Prices'!$C$5:$C$304,MATCH(1,INDEX(('Store Prices'!$B$5:$B$304=B92)*('Store Prices'!$I$5:$I$304=M92),0),0)),""))</f>
        <v>0</v>
      </c>
      <c r="O92" s="25">
        <f>IF(OR(M92="",J92=""),"",MAX(0,(J92-M92)*100))</f>
        <v>0</v>
      </c>
      <c r="AD92" s="45">
        <f>IF(B92="","",SUMIFS(Pantry!$G$5:$G$304,Pantry!$B$5:$B$304,B92))</f>
        <v>0</v>
      </c>
      <c r="AE92" s="25">
        <f>IF(OR(AD92="",J92=""),"",AD92*J92)</f>
        <v>0</v>
      </c>
      <c r="AF92" s="18">
        <f>IF(B92="","",COUNTIFS('Recipe Ingredients'!$D$5:$D$1204,B92))</f>
        <v>0</v>
      </c>
      <c r="AG92" s="45">
        <f>IF(B92="","",SUMIFS('Recipe Ingredients'!$Y$5:$Y$1204,'Recipe Ingredients'!$D$5:$D$1204,B92))</f>
        <v>0</v>
      </c>
      <c r="AH92" s="30">
        <f>IF(B92="",0,IFERROR(K92*1,0)*IFERROR(AF92*1,0))</f>
        <v>0</v>
      </c>
      <c r="AI92" s="18">
        <f>IF(B92="","",COUNTIFS($AH$5:$AH$304,"&gt;"&amp;AH92)+COUNTIFS($AH$5:AH92,AH92))</f>
        <v>0</v>
      </c>
      <c r="AJ92" s="18">
        <f>IF(B92="",0,COUNTIFS('Food Waste'!$E$5:$E$154,B92))</f>
        <v>0</v>
      </c>
      <c r="AK92" s="18">
        <f>IF(B92="","",COUNTIFS($AJ$5:$AJ$304,"&gt;"&amp;AJ92)+COUNTIFS($AJ$5:AJ92,AJ92))</f>
        <v>0</v>
      </c>
      <c r="AL92" s="18">
        <f>IF(B92="","",IF(AG92&gt;0,COUNTIF(AG$5:AG92,"&gt;0"),""))</f>
        <v>0</v>
      </c>
      <c r="AM92" s="45">
        <f>IF(B92="","",SUMIFS('Grocery List'!$Q$5:$Q$304,'Grocery List'!$B$5:$B$304,B92))</f>
        <v>0</v>
      </c>
      <c r="AN92" s="31">
        <f>IF(B92="","",IF(I92="","Add - no price yet",IF(H92="","Add - no pack size",IF(COUNTIFS($B$5:$B$304,B92)&gt;1,"Duplicate - same name twice",IF(AF92=0,"Check - no recipe uses it","OK")))))</f>
        <v>0</v>
      </c>
    </row>
    <row r="93" spans="1:40">
      <c r="A93" s="39">
        <f>IF(B93="","",IngredientPrefix&amp;TEXT(ROW()-4,"0000"))</f>
        <v>0</v>
      </c>
      <c r="J93" s="25">
        <f>IF(OR(H93="",I93=""),"",IF(H93=0,"",I93/H93))</f>
        <v>0</v>
      </c>
      <c r="K93" s="25">
        <f>IF(J93="","",J93*100)</f>
        <v>0</v>
      </c>
      <c r="L93" s="25">
        <f>IF(B93="","",IFERROR(AVERAGEIFS('Grocery Spending'!$L$5:$L$404,'Grocery Spending'!$H$5:$H$404,B93,'Grocery Spending'!$L$5:$L$404,"&gt;0"),""))</f>
        <v>0</v>
      </c>
      <c r="M93" s="25">
        <f>IF(B93="","",IF(COUNTIFS('Store Prices'!$B$5:$B$304,B93)=0,"",IF(SUMPRODUCT(MIN((('Store Prices'!$B$5:$B$304=B93)*(IFERROR('Store Prices'!$I$5:$I$304*1,0)&gt;0))*IFERROR('Store Prices'!$I$5:$I$304*1,0)+(1-(('Store Prices'!$B$5:$B$304=B93)*(IFERROR('Store Prices'!$I$5:$I$304*1,0)&gt;0)))*999999))&gt;=999999,"",SUMPRODUCT(MIN((('Store Prices'!$B$5:$B$304=B93)*(IFERROR('Store Prices'!$I$5:$I$304*1,0)&gt;0))*IFERROR('Store Prices'!$I$5:$I$304*1,0)+(1-(('Store Prices'!$B$5:$B$304=B93)*(IFERROR('Store Prices'!$I$5:$I$304*1,0)&gt;0)))*999999)))))</f>
        <v>0</v>
      </c>
      <c r="N93" s="17">
        <f>IF(M93="","",IFERROR(INDEX('Store Prices'!$C$5:$C$304,MATCH(1,INDEX(('Store Prices'!$B$5:$B$304=B93)*('Store Prices'!$I$5:$I$304=M93),0),0)),""))</f>
        <v>0</v>
      </c>
      <c r="O93" s="25">
        <f>IF(OR(M93="",J93=""),"",MAX(0,(J93-M93)*100))</f>
        <v>0</v>
      </c>
      <c r="AD93" s="45">
        <f>IF(B93="","",SUMIFS(Pantry!$G$5:$G$304,Pantry!$B$5:$B$304,B93))</f>
        <v>0</v>
      </c>
      <c r="AE93" s="25">
        <f>IF(OR(AD93="",J93=""),"",AD93*J93)</f>
        <v>0</v>
      </c>
      <c r="AF93" s="18">
        <f>IF(B93="","",COUNTIFS('Recipe Ingredients'!$D$5:$D$1204,B93))</f>
        <v>0</v>
      </c>
      <c r="AG93" s="45">
        <f>IF(B93="","",SUMIFS('Recipe Ingredients'!$Y$5:$Y$1204,'Recipe Ingredients'!$D$5:$D$1204,B93))</f>
        <v>0</v>
      </c>
      <c r="AH93" s="30">
        <f>IF(B93="",0,IFERROR(K93*1,0)*IFERROR(AF93*1,0))</f>
        <v>0</v>
      </c>
      <c r="AI93" s="18">
        <f>IF(B93="","",COUNTIFS($AH$5:$AH$304,"&gt;"&amp;AH93)+COUNTIFS($AH$5:AH93,AH93))</f>
        <v>0</v>
      </c>
      <c r="AJ93" s="18">
        <f>IF(B93="",0,COUNTIFS('Food Waste'!$E$5:$E$154,B93))</f>
        <v>0</v>
      </c>
      <c r="AK93" s="18">
        <f>IF(B93="","",COUNTIFS($AJ$5:$AJ$304,"&gt;"&amp;AJ93)+COUNTIFS($AJ$5:AJ93,AJ93))</f>
        <v>0</v>
      </c>
      <c r="AL93" s="18">
        <f>IF(B93="","",IF(AG93&gt;0,COUNTIF(AG$5:AG93,"&gt;0"),""))</f>
        <v>0</v>
      </c>
      <c r="AM93" s="45">
        <f>IF(B93="","",SUMIFS('Grocery List'!$Q$5:$Q$304,'Grocery List'!$B$5:$B$304,B93))</f>
        <v>0</v>
      </c>
      <c r="AN93" s="31">
        <f>IF(B93="","",IF(I93="","Add - no price yet",IF(H93="","Add - no pack size",IF(COUNTIFS($B$5:$B$304,B93)&gt;1,"Duplicate - same name twice",IF(AF93=0,"Check - no recipe uses it","OK")))))</f>
        <v>0</v>
      </c>
    </row>
    <row r="94" spans="1:40">
      <c r="A94" s="39">
        <f>IF(B94="","",IngredientPrefix&amp;TEXT(ROW()-4,"0000"))</f>
        <v>0</v>
      </c>
      <c r="J94" s="25">
        <f>IF(OR(H94="",I94=""),"",IF(H94=0,"",I94/H94))</f>
        <v>0</v>
      </c>
      <c r="K94" s="25">
        <f>IF(J94="","",J94*100)</f>
        <v>0</v>
      </c>
      <c r="L94" s="25">
        <f>IF(B94="","",IFERROR(AVERAGEIFS('Grocery Spending'!$L$5:$L$404,'Grocery Spending'!$H$5:$H$404,B94,'Grocery Spending'!$L$5:$L$404,"&gt;0"),""))</f>
        <v>0</v>
      </c>
      <c r="M94" s="25">
        <f>IF(B94="","",IF(COUNTIFS('Store Prices'!$B$5:$B$304,B94)=0,"",IF(SUMPRODUCT(MIN((('Store Prices'!$B$5:$B$304=B94)*(IFERROR('Store Prices'!$I$5:$I$304*1,0)&gt;0))*IFERROR('Store Prices'!$I$5:$I$304*1,0)+(1-(('Store Prices'!$B$5:$B$304=B94)*(IFERROR('Store Prices'!$I$5:$I$304*1,0)&gt;0)))*999999))&gt;=999999,"",SUMPRODUCT(MIN((('Store Prices'!$B$5:$B$304=B94)*(IFERROR('Store Prices'!$I$5:$I$304*1,0)&gt;0))*IFERROR('Store Prices'!$I$5:$I$304*1,0)+(1-(('Store Prices'!$B$5:$B$304=B94)*(IFERROR('Store Prices'!$I$5:$I$304*1,0)&gt;0)))*999999)))))</f>
        <v>0</v>
      </c>
      <c r="N94" s="17">
        <f>IF(M94="","",IFERROR(INDEX('Store Prices'!$C$5:$C$304,MATCH(1,INDEX(('Store Prices'!$B$5:$B$304=B94)*('Store Prices'!$I$5:$I$304=M94),0),0)),""))</f>
        <v>0</v>
      </c>
      <c r="O94" s="25">
        <f>IF(OR(M94="",J94=""),"",MAX(0,(J94-M94)*100))</f>
        <v>0</v>
      </c>
      <c r="AD94" s="45">
        <f>IF(B94="","",SUMIFS(Pantry!$G$5:$G$304,Pantry!$B$5:$B$304,B94))</f>
        <v>0</v>
      </c>
      <c r="AE94" s="25">
        <f>IF(OR(AD94="",J94=""),"",AD94*J94)</f>
        <v>0</v>
      </c>
      <c r="AF94" s="18">
        <f>IF(B94="","",COUNTIFS('Recipe Ingredients'!$D$5:$D$1204,B94))</f>
        <v>0</v>
      </c>
      <c r="AG94" s="45">
        <f>IF(B94="","",SUMIFS('Recipe Ingredients'!$Y$5:$Y$1204,'Recipe Ingredients'!$D$5:$D$1204,B94))</f>
        <v>0</v>
      </c>
      <c r="AH94" s="30">
        <f>IF(B94="",0,IFERROR(K94*1,0)*IFERROR(AF94*1,0))</f>
        <v>0</v>
      </c>
      <c r="AI94" s="18">
        <f>IF(B94="","",COUNTIFS($AH$5:$AH$304,"&gt;"&amp;AH94)+COUNTIFS($AH$5:AH94,AH94))</f>
        <v>0</v>
      </c>
      <c r="AJ94" s="18">
        <f>IF(B94="",0,COUNTIFS('Food Waste'!$E$5:$E$154,B94))</f>
        <v>0</v>
      </c>
      <c r="AK94" s="18">
        <f>IF(B94="","",COUNTIFS($AJ$5:$AJ$304,"&gt;"&amp;AJ94)+COUNTIFS($AJ$5:AJ94,AJ94))</f>
        <v>0</v>
      </c>
      <c r="AL94" s="18">
        <f>IF(B94="","",IF(AG94&gt;0,COUNTIF(AG$5:AG94,"&gt;0"),""))</f>
        <v>0</v>
      </c>
      <c r="AM94" s="45">
        <f>IF(B94="","",SUMIFS('Grocery List'!$Q$5:$Q$304,'Grocery List'!$B$5:$B$304,B94))</f>
        <v>0</v>
      </c>
      <c r="AN94" s="31">
        <f>IF(B94="","",IF(I94="","Add - no price yet",IF(H94="","Add - no pack size",IF(COUNTIFS($B$5:$B$304,B94)&gt;1,"Duplicate - same name twice",IF(AF94=0,"Check - no recipe uses it","OK")))))</f>
        <v>0</v>
      </c>
    </row>
    <row r="95" spans="1:40">
      <c r="A95" s="39">
        <f>IF(B95="","",IngredientPrefix&amp;TEXT(ROW()-4,"0000"))</f>
        <v>0</v>
      </c>
      <c r="J95" s="25">
        <f>IF(OR(H95="",I95=""),"",IF(H95=0,"",I95/H95))</f>
        <v>0</v>
      </c>
      <c r="K95" s="25">
        <f>IF(J95="","",J95*100)</f>
        <v>0</v>
      </c>
      <c r="L95" s="25">
        <f>IF(B95="","",IFERROR(AVERAGEIFS('Grocery Spending'!$L$5:$L$404,'Grocery Spending'!$H$5:$H$404,B95,'Grocery Spending'!$L$5:$L$404,"&gt;0"),""))</f>
        <v>0</v>
      </c>
      <c r="M95" s="25">
        <f>IF(B95="","",IF(COUNTIFS('Store Prices'!$B$5:$B$304,B95)=0,"",IF(SUMPRODUCT(MIN((('Store Prices'!$B$5:$B$304=B95)*(IFERROR('Store Prices'!$I$5:$I$304*1,0)&gt;0))*IFERROR('Store Prices'!$I$5:$I$304*1,0)+(1-(('Store Prices'!$B$5:$B$304=B95)*(IFERROR('Store Prices'!$I$5:$I$304*1,0)&gt;0)))*999999))&gt;=999999,"",SUMPRODUCT(MIN((('Store Prices'!$B$5:$B$304=B95)*(IFERROR('Store Prices'!$I$5:$I$304*1,0)&gt;0))*IFERROR('Store Prices'!$I$5:$I$304*1,0)+(1-(('Store Prices'!$B$5:$B$304=B95)*(IFERROR('Store Prices'!$I$5:$I$304*1,0)&gt;0)))*999999)))))</f>
        <v>0</v>
      </c>
      <c r="N95" s="17">
        <f>IF(M95="","",IFERROR(INDEX('Store Prices'!$C$5:$C$304,MATCH(1,INDEX(('Store Prices'!$B$5:$B$304=B95)*('Store Prices'!$I$5:$I$304=M95),0),0)),""))</f>
        <v>0</v>
      </c>
      <c r="O95" s="25">
        <f>IF(OR(M95="",J95=""),"",MAX(0,(J95-M95)*100))</f>
        <v>0</v>
      </c>
      <c r="AD95" s="45">
        <f>IF(B95="","",SUMIFS(Pantry!$G$5:$G$304,Pantry!$B$5:$B$304,B95))</f>
        <v>0</v>
      </c>
      <c r="AE95" s="25">
        <f>IF(OR(AD95="",J95=""),"",AD95*J95)</f>
        <v>0</v>
      </c>
      <c r="AF95" s="18">
        <f>IF(B95="","",COUNTIFS('Recipe Ingredients'!$D$5:$D$1204,B95))</f>
        <v>0</v>
      </c>
      <c r="AG95" s="45">
        <f>IF(B95="","",SUMIFS('Recipe Ingredients'!$Y$5:$Y$1204,'Recipe Ingredients'!$D$5:$D$1204,B95))</f>
        <v>0</v>
      </c>
      <c r="AH95" s="30">
        <f>IF(B95="",0,IFERROR(K95*1,0)*IFERROR(AF95*1,0))</f>
        <v>0</v>
      </c>
      <c r="AI95" s="18">
        <f>IF(B95="","",COUNTIFS($AH$5:$AH$304,"&gt;"&amp;AH95)+COUNTIFS($AH$5:AH95,AH95))</f>
        <v>0</v>
      </c>
      <c r="AJ95" s="18">
        <f>IF(B95="",0,COUNTIFS('Food Waste'!$E$5:$E$154,B95))</f>
        <v>0</v>
      </c>
      <c r="AK95" s="18">
        <f>IF(B95="","",COUNTIFS($AJ$5:$AJ$304,"&gt;"&amp;AJ95)+COUNTIFS($AJ$5:AJ95,AJ95))</f>
        <v>0</v>
      </c>
      <c r="AL95" s="18">
        <f>IF(B95="","",IF(AG95&gt;0,COUNTIF(AG$5:AG95,"&gt;0"),""))</f>
        <v>0</v>
      </c>
      <c r="AM95" s="45">
        <f>IF(B95="","",SUMIFS('Grocery List'!$Q$5:$Q$304,'Grocery List'!$B$5:$B$304,B95))</f>
        <v>0</v>
      </c>
      <c r="AN95" s="31">
        <f>IF(B95="","",IF(I95="","Add - no price yet",IF(H95="","Add - no pack size",IF(COUNTIFS($B$5:$B$304,B95)&gt;1,"Duplicate - same name twice",IF(AF95=0,"Check - no recipe uses it","OK")))))</f>
        <v>0</v>
      </c>
    </row>
    <row r="96" spans="1:40">
      <c r="A96" s="39">
        <f>IF(B96="","",IngredientPrefix&amp;TEXT(ROW()-4,"0000"))</f>
        <v>0</v>
      </c>
      <c r="J96" s="25">
        <f>IF(OR(H96="",I96=""),"",IF(H96=0,"",I96/H96))</f>
        <v>0</v>
      </c>
      <c r="K96" s="25">
        <f>IF(J96="","",J96*100)</f>
        <v>0</v>
      </c>
      <c r="L96" s="25">
        <f>IF(B96="","",IFERROR(AVERAGEIFS('Grocery Spending'!$L$5:$L$404,'Grocery Spending'!$H$5:$H$404,B96,'Grocery Spending'!$L$5:$L$404,"&gt;0"),""))</f>
        <v>0</v>
      </c>
      <c r="M96" s="25">
        <f>IF(B96="","",IF(COUNTIFS('Store Prices'!$B$5:$B$304,B96)=0,"",IF(SUMPRODUCT(MIN((('Store Prices'!$B$5:$B$304=B96)*(IFERROR('Store Prices'!$I$5:$I$304*1,0)&gt;0))*IFERROR('Store Prices'!$I$5:$I$304*1,0)+(1-(('Store Prices'!$B$5:$B$304=B96)*(IFERROR('Store Prices'!$I$5:$I$304*1,0)&gt;0)))*999999))&gt;=999999,"",SUMPRODUCT(MIN((('Store Prices'!$B$5:$B$304=B96)*(IFERROR('Store Prices'!$I$5:$I$304*1,0)&gt;0))*IFERROR('Store Prices'!$I$5:$I$304*1,0)+(1-(('Store Prices'!$B$5:$B$304=B96)*(IFERROR('Store Prices'!$I$5:$I$304*1,0)&gt;0)))*999999)))))</f>
        <v>0</v>
      </c>
      <c r="N96" s="17">
        <f>IF(M96="","",IFERROR(INDEX('Store Prices'!$C$5:$C$304,MATCH(1,INDEX(('Store Prices'!$B$5:$B$304=B96)*('Store Prices'!$I$5:$I$304=M96),0),0)),""))</f>
        <v>0</v>
      </c>
      <c r="O96" s="25">
        <f>IF(OR(M96="",J96=""),"",MAX(0,(J96-M96)*100))</f>
        <v>0</v>
      </c>
      <c r="AD96" s="45">
        <f>IF(B96="","",SUMIFS(Pantry!$G$5:$G$304,Pantry!$B$5:$B$304,B96))</f>
        <v>0</v>
      </c>
      <c r="AE96" s="25">
        <f>IF(OR(AD96="",J96=""),"",AD96*J96)</f>
        <v>0</v>
      </c>
      <c r="AF96" s="18">
        <f>IF(B96="","",COUNTIFS('Recipe Ingredients'!$D$5:$D$1204,B96))</f>
        <v>0</v>
      </c>
      <c r="AG96" s="45">
        <f>IF(B96="","",SUMIFS('Recipe Ingredients'!$Y$5:$Y$1204,'Recipe Ingredients'!$D$5:$D$1204,B96))</f>
        <v>0</v>
      </c>
      <c r="AH96" s="30">
        <f>IF(B96="",0,IFERROR(K96*1,0)*IFERROR(AF96*1,0))</f>
        <v>0</v>
      </c>
      <c r="AI96" s="18">
        <f>IF(B96="","",COUNTIFS($AH$5:$AH$304,"&gt;"&amp;AH96)+COUNTIFS($AH$5:AH96,AH96))</f>
        <v>0</v>
      </c>
      <c r="AJ96" s="18">
        <f>IF(B96="",0,COUNTIFS('Food Waste'!$E$5:$E$154,B96))</f>
        <v>0</v>
      </c>
      <c r="AK96" s="18">
        <f>IF(B96="","",COUNTIFS($AJ$5:$AJ$304,"&gt;"&amp;AJ96)+COUNTIFS($AJ$5:AJ96,AJ96))</f>
        <v>0</v>
      </c>
      <c r="AL96" s="18">
        <f>IF(B96="","",IF(AG96&gt;0,COUNTIF(AG$5:AG96,"&gt;0"),""))</f>
        <v>0</v>
      </c>
      <c r="AM96" s="45">
        <f>IF(B96="","",SUMIFS('Grocery List'!$Q$5:$Q$304,'Grocery List'!$B$5:$B$304,B96))</f>
        <v>0</v>
      </c>
      <c r="AN96" s="31">
        <f>IF(B96="","",IF(I96="","Add - no price yet",IF(H96="","Add - no pack size",IF(COUNTIFS($B$5:$B$304,B96)&gt;1,"Duplicate - same name twice",IF(AF96=0,"Check - no recipe uses it","OK")))))</f>
        <v>0</v>
      </c>
    </row>
    <row r="97" spans="1:40">
      <c r="A97" s="39">
        <f>IF(B97="","",IngredientPrefix&amp;TEXT(ROW()-4,"0000"))</f>
        <v>0</v>
      </c>
      <c r="J97" s="25">
        <f>IF(OR(H97="",I97=""),"",IF(H97=0,"",I97/H97))</f>
        <v>0</v>
      </c>
      <c r="K97" s="25">
        <f>IF(J97="","",J97*100)</f>
        <v>0</v>
      </c>
      <c r="L97" s="25">
        <f>IF(B97="","",IFERROR(AVERAGEIFS('Grocery Spending'!$L$5:$L$404,'Grocery Spending'!$H$5:$H$404,B97,'Grocery Spending'!$L$5:$L$404,"&gt;0"),""))</f>
        <v>0</v>
      </c>
      <c r="M97" s="25">
        <f>IF(B97="","",IF(COUNTIFS('Store Prices'!$B$5:$B$304,B97)=0,"",IF(SUMPRODUCT(MIN((('Store Prices'!$B$5:$B$304=B97)*(IFERROR('Store Prices'!$I$5:$I$304*1,0)&gt;0))*IFERROR('Store Prices'!$I$5:$I$304*1,0)+(1-(('Store Prices'!$B$5:$B$304=B97)*(IFERROR('Store Prices'!$I$5:$I$304*1,0)&gt;0)))*999999))&gt;=999999,"",SUMPRODUCT(MIN((('Store Prices'!$B$5:$B$304=B97)*(IFERROR('Store Prices'!$I$5:$I$304*1,0)&gt;0))*IFERROR('Store Prices'!$I$5:$I$304*1,0)+(1-(('Store Prices'!$B$5:$B$304=B97)*(IFERROR('Store Prices'!$I$5:$I$304*1,0)&gt;0)))*999999)))))</f>
        <v>0</v>
      </c>
      <c r="N97" s="17">
        <f>IF(M97="","",IFERROR(INDEX('Store Prices'!$C$5:$C$304,MATCH(1,INDEX(('Store Prices'!$B$5:$B$304=B97)*('Store Prices'!$I$5:$I$304=M97),0),0)),""))</f>
        <v>0</v>
      </c>
      <c r="O97" s="25">
        <f>IF(OR(M97="",J97=""),"",MAX(0,(J97-M97)*100))</f>
        <v>0</v>
      </c>
      <c r="AD97" s="45">
        <f>IF(B97="","",SUMIFS(Pantry!$G$5:$G$304,Pantry!$B$5:$B$304,B97))</f>
        <v>0</v>
      </c>
      <c r="AE97" s="25">
        <f>IF(OR(AD97="",J97=""),"",AD97*J97)</f>
        <v>0</v>
      </c>
      <c r="AF97" s="18">
        <f>IF(B97="","",COUNTIFS('Recipe Ingredients'!$D$5:$D$1204,B97))</f>
        <v>0</v>
      </c>
      <c r="AG97" s="45">
        <f>IF(B97="","",SUMIFS('Recipe Ingredients'!$Y$5:$Y$1204,'Recipe Ingredients'!$D$5:$D$1204,B97))</f>
        <v>0</v>
      </c>
      <c r="AH97" s="30">
        <f>IF(B97="",0,IFERROR(K97*1,0)*IFERROR(AF97*1,0))</f>
        <v>0</v>
      </c>
      <c r="AI97" s="18">
        <f>IF(B97="","",COUNTIFS($AH$5:$AH$304,"&gt;"&amp;AH97)+COUNTIFS($AH$5:AH97,AH97))</f>
        <v>0</v>
      </c>
      <c r="AJ97" s="18">
        <f>IF(B97="",0,COUNTIFS('Food Waste'!$E$5:$E$154,B97))</f>
        <v>0</v>
      </c>
      <c r="AK97" s="18">
        <f>IF(B97="","",COUNTIFS($AJ$5:$AJ$304,"&gt;"&amp;AJ97)+COUNTIFS($AJ$5:AJ97,AJ97))</f>
        <v>0</v>
      </c>
      <c r="AL97" s="18">
        <f>IF(B97="","",IF(AG97&gt;0,COUNTIF(AG$5:AG97,"&gt;0"),""))</f>
        <v>0</v>
      </c>
      <c r="AM97" s="45">
        <f>IF(B97="","",SUMIFS('Grocery List'!$Q$5:$Q$304,'Grocery List'!$B$5:$B$304,B97))</f>
        <v>0</v>
      </c>
      <c r="AN97" s="31">
        <f>IF(B97="","",IF(I97="","Add - no price yet",IF(H97="","Add - no pack size",IF(COUNTIFS($B$5:$B$304,B97)&gt;1,"Duplicate - same name twice",IF(AF97=0,"Check - no recipe uses it","OK")))))</f>
        <v>0</v>
      </c>
    </row>
    <row r="98" spans="1:40">
      <c r="A98" s="39">
        <f>IF(B98="","",IngredientPrefix&amp;TEXT(ROW()-4,"0000"))</f>
        <v>0</v>
      </c>
      <c r="J98" s="25">
        <f>IF(OR(H98="",I98=""),"",IF(H98=0,"",I98/H98))</f>
        <v>0</v>
      </c>
      <c r="K98" s="25">
        <f>IF(J98="","",J98*100)</f>
        <v>0</v>
      </c>
      <c r="L98" s="25">
        <f>IF(B98="","",IFERROR(AVERAGEIFS('Grocery Spending'!$L$5:$L$404,'Grocery Spending'!$H$5:$H$404,B98,'Grocery Spending'!$L$5:$L$404,"&gt;0"),""))</f>
        <v>0</v>
      </c>
      <c r="M98" s="25">
        <f>IF(B98="","",IF(COUNTIFS('Store Prices'!$B$5:$B$304,B98)=0,"",IF(SUMPRODUCT(MIN((('Store Prices'!$B$5:$B$304=B98)*(IFERROR('Store Prices'!$I$5:$I$304*1,0)&gt;0))*IFERROR('Store Prices'!$I$5:$I$304*1,0)+(1-(('Store Prices'!$B$5:$B$304=B98)*(IFERROR('Store Prices'!$I$5:$I$304*1,0)&gt;0)))*999999))&gt;=999999,"",SUMPRODUCT(MIN((('Store Prices'!$B$5:$B$304=B98)*(IFERROR('Store Prices'!$I$5:$I$304*1,0)&gt;0))*IFERROR('Store Prices'!$I$5:$I$304*1,0)+(1-(('Store Prices'!$B$5:$B$304=B98)*(IFERROR('Store Prices'!$I$5:$I$304*1,0)&gt;0)))*999999)))))</f>
        <v>0</v>
      </c>
      <c r="N98" s="17">
        <f>IF(M98="","",IFERROR(INDEX('Store Prices'!$C$5:$C$304,MATCH(1,INDEX(('Store Prices'!$B$5:$B$304=B98)*('Store Prices'!$I$5:$I$304=M98),0),0)),""))</f>
        <v>0</v>
      </c>
      <c r="O98" s="25">
        <f>IF(OR(M98="",J98=""),"",MAX(0,(J98-M98)*100))</f>
        <v>0</v>
      </c>
      <c r="AD98" s="45">
        <f>IF(B98="","",SUMIFS(Pantry!$G$5:$G$304,Pantry!$B$5:$B$304,B98))</f>
        <v>0</v>
      </c>
      <c r="AE98" s="25">
        <f>IF(OR(AD98="",J98=""),"",AD98*J98)</f>
        <v>0</v>
      </c>
      <c r="AF98" s="18">
        <f>IF(B98="","",COUNTIFS('Recipe Ingredients'!$D$5:$D$1204,B98))</f>
        <v>0</v>
      </c>
      <c r="AG98" s="45">
        <f>IF(B98="","",SUMIFS('Recipe Ingredients'!$Y$5:$Y$1204,'Recipe Ingredients'!$D$5:$D$1204,B98))</f>
        <v>0</v>
      </c>
      <c r="AH98" s="30">
        <f>IF(B98="",0,IFERROR(K98*1,0)*IFERROR(AF98*1,0))</f>
        <v>0</v>
      </c>
      <c r="AI98" s="18">
        <f>IF(B98="","",COUNTIFS($AH$5:$AH$304,"&gt;"&amp;AH98)+COUNTIFS($AH$5:AH98,AH98))</f>
        <v>0</v>
      </c>
      <c r="AJ98" s="18">
        <f>IF(B98="",0,COUNTIFS('Food Waste'!$E$5:$E$154,B98))</f>
        <v>0</v>
      </c>
      <c r="AK98" s="18">
        <f>IF(B98="","",COUNTIFS($AJ$5:$AJ$304,"&gt;"&amp;AJ98)+COUNTIFS($AJ$5:AJ98,AJ98))</f>
        <v>0</v>
      </c>
      <c r="AL98" s="18">
        <f>IF(B98="","",IF(AG98&gt;0,COUNTIF(AG$5:AG98,"&gt;0"),""))</f>
        <v>0</v>
      </c>
      <c r="AM98" s="45">
        <f>IF(B98="","",SUMIFS('Grocery List'!$Q$5:$Q$304,'Grocery List'!$B$5:$B$304,B98))</f>
        <v>0</v>
      </c>
      <c r="AN98" s="31">
        <f>IF(B98="","",IF(I98="","Add - no price yet",IF(H98="","Add - no pack size",IF(COUNTIFS($B$5:$B$304,B98)&gt;1,"Duplicate - same name twice",IF(AF98=0,"Check - no recipe uses it","OK")))))</f>
        <v>0</v>
      </c>
    </row>
    <row r="99" spans="1:40">
      <c r="A99" s="39">
        <f>IF(B99="","",IngredientPrefix&amp;TEXT(ROW()-4,"0000"))</f>
        <v>0</v>
      </c>
      <c r="J99" s="25">
        <f>IF(OR(H99="",I99=""),"",IF(H99=0,"",I99/H99))</f>
        <v>0</v>
      </c>
      <c r="K99" s="25">
        <f>IF(J99="","",J99*100)</f>
        <v>0</v>
      </c>
      <c r="L99" s="25">
        <f>IF(B99="","",IFERROR(AVERAGEIFS('Grocery Spending'!$L$5:$L$404,'Grocery Spending'!$H$5:$H$404,B99,'Grocery Spending'!$L$5:$L$404,"&gt;0"),""))</f>
        <v>0</v>
      </c>
      <c r="M99" s="25">
        <f>IF(B99="","",IF(COUNTIFS('Store Prices'!$B$5:$B$304,B99)=0,"",IF(SUMPRODUCT(MIN((('Store Prices'!$B$5:$B$304=B99)*(IFERROR('Store Prices'!$I$5:$I$304*1,0)&gt;0))*IFERROR('Store Prices'!$I$5:$I$304*1,0)+(1-(('Store Prices'!$B$5:$B$304=B99)*(IFERROR('Store Prices'!$I$5:$I$304*1,0)&gt;0)))*999999))&gt;=999999,"",SUMPRODUCT(MIN((('Store Prices'!$B$5:$B$304=B99)*(IFERROR('Store Prices'!$I$5:$I$304*1,0)&gt;0))*IFERROR('Store Prices'!$I$5:$I$304*1,0)+(1-(('Store Prices'!$B$5:$B$304=B99)*(IFERROR('Store Prices'!$I$5:$I$304*1,0)&gt;0)))*999999)))))</f>
        <v>0</v>
      </c>
      <c r="N99" s="17">
        <f>IF(M99="","",IFERROR(INDEX('Store Prices'!$C$5:$C$304,MATCH(1,INDEX(('Store Prices'!$B$5:$B$304=B99)*('Store Prices'!$I$5:$I$304=M99),0),0)),""))</f>
        <v>0</v>
      </c>
      <c r="O99" s="25">
        <f>IF(OR(M99="",J99=""),"",MAX(0,(J99-M99)*100))</f>
        <v>0</v>
      </c>
      <c r="AD99" s="45">
        <f>IF(B99="","",SUMIFS(Pantry!$G$5:$G$304,Pantry!$B$5:$B$304,B99))</f>
        <v>0</v>
      </c>
      <c r="AE99" s="25">
        <f>IF(OR(AD99="",J99=""),"",AD99*J99)</f>
        <v>0</v>
      </c>
      <c r="AF99" s="18">
        <f>IF(B99="","",COUNTIFS('Recipe Ingredients'!$D$5:$D$1204,B99))</f>
        <v>0</v>
      </c>
      <c r="AG99" s="45">
        <f>IF(B99="","",SUMIFS('Recipe Ingredients'!$Y$5:$Y$1204,'Recipe Ingredients'!$D$5:$D$1204,B99))</f>
        <v>0</v>
      </c>
      <c r="AH99" s="30">
        <f>IF(B99="",0,IFERROR(K99*1,0)*IFERROR(AF99*1,0))</f>
        <v>0</v>
      </c>
      <c r="AI99" s="18">
        <f>IF(B99="","",COUNTIFS($AH$5:$AH$304,"&gt;"&amp;AH99)+COUNTIFS($AH$5:AH99,AH99))</f>
        <v>0</v>
      </c>
      <c r="AJ99" s="18">
        <f>IF(B99="",0,COUNTIFS('Food Waste'!$E$5:$E$154,B99))</f>
        <v>0</v>
      </c>
      <c r="AK99" s="18">
        <f>IF(B99="","",COUNTIFS($AJ$5:$AJ$304,"&gt;"&amp;AJ99)+COUNTIFS($AJ$5:AJ99,AJ99))</f>
        <v>0</v>
      </c>
      <c r="AL99" s="18">
        <f>IF(B99="","",IF(AG99&gt;0,COUNTIF(AG$5:AG99,"&gt;0"),""))</f>
        <v>0</v>
      </c>
      <c r="AM99" s="45">
        <f>IF(B99="","",SUMIFS('Grocery List'!$Q$5:$Q$304,'Grocery List'!$B$5:$B$304,B99))</f>
        <v>0</v>
      </c>
      <c r="AN99" s="31">
        <f>IF(B99="","",IF(I99="","Add - no price yet",IF(H99="","Add - no pack size",IF(COUNTIFS($B$5:$B$304,B99)&gt;1,"Duplicate - same name twice",IF(AF99=0,"Check - no recipe uses it","OK")))))</f>
        <v>0</v>
      </c>
    </row>
    <row r="100" spans="1:40">
      <c r="A100" s="39">
        <f>IF(B100="","",IngredientPrefix&amp;TEXT(ROW()-4,"0000"))</f>
        <v>0</v>
      </c>
      <c r="J100" s="25">
        <f>IF(OR(H100="",I100=""),"",IF(H100=0,"",I100/H100))</f>
        <v>0</v>
      </c>
      <c r="K100" s="25">
        <f>IF(J100="","",J100*100)</f>
        <v>0</v>
      </c>
      <c r="L100" s="25">
        <f>IF(B100="","",IFERROR(AVERAGEIFS('Grocery Spending'!$L$5:$L$404,'Grocery Spending'!$H$5:$H$404,B100,'Grocery Spending'!$L$5:$L$404,"&gt;0"),""))</f>
        <v>0</v>
      </c>
      <c r="M100" s="25">
        <f>IF(B100="","",IF(COUNTIFS('Store Prices'!$B$5:$B$304,B100)=0,"",IF(SUMPRODUCT(MIN((('Store Prices'!$B$5:$B$304=B100)*(IFERROR('Store Prices'!$I$5:$I$304*1,0)&gt;0))*IFERROR('Store Prices'!$I$5:$I$304*1,0)+(1-(('Store Prices'!$B$5:$B$304=B100)*(IFERROR('Store Prices'!$I$5:$I$304*1,0)&gt;0)))*999999))&gt;=999999,"",SUMPRODUCT(MIN((('Store Prices'!$B$5:$B$304=B100)*(IFERROR('Store Prices'!$I$5:$I$304*1,0)&gt;0))*IFERROR('Store Prices'!$I$5:$I$304*1,0)+(1-(('Store Prices'!$B$5:$B$304=B100)*(IFERROR('Store Prices'!$I$5:$I$304*1,0)&gt;0)))*999999)))))</f>
        <v>0</v>
      </c>
      <c r="N100" s="17">
        <f>IF(M100="","",IFERROR(INDEX('Store Prices'!$C$5:$C$304,MATCH(1,INDEX(('Store Prices'!$B$5:$B$304=B100)*('Store Prices'!$I$5:$I$304=M100),0),0)),""))</f>
        <v>0</v>
      </c>
      <c r="O100" s="25">
        <f>IF(OR(M100="",J100=""),"",MAX(0,(J100-M100)*100))</f>
        <v>0</v>
      </c>
      <c r="AD100" s="45">
        <f>IF(B100="","",SUMIFS(Pantry!$G$5:$G$304,Pantry!$B$5:$B$304,B100))</f>
        <v>0</v>
      </c>
      <c r="AE100" s="25">
        <f>IF(OR(AD100="",J100=""),"",AD100*J100)</f>
        <v>0</v>
      </c>
      <c r="AF100" s="18">
        <f>IF(B100="","",COUNTIFS('Recipe Ingredients'!$D$5:$D$1204,B100))</f>
        <v>0</v>
      </c>
      <c r="AG100" s="45">
        <f>IF(B100="","",SUMIFS('Recipe Ingredients'!$Y$5:$Y$1204,'Recipe Ingredients'!$D$5:$D$1204,B100))</f>
        <v>0</v>
      </c>
      <c r="AH100" s="30">
        <f>IF(B100="",0,IFERROR(K100*1,0)*IFERROR(AF100*1,0))</f>
        <v>0</v>
      </c>
      <c r="AI100" s="18">
        <f>IF(B100="","",COUNTIFS($AH$5:$AH$304,"&gt;"&amp;AH100)+COUNTIFS($AH$5:AH100,AH100))</f>
        <v>0</v>
      </c>
      <c r="AJ100" s="18">
        <f>IF(B100="",0,COUNTIFS('Food Waste'!$E$5:$E$154,B100))</f>
        <v>0</v>
      </c>
      <c r="AK100" s="18">
        <f>IF(B100="","",COUNTIFS($AJ$5:$AJ$304,"&gt;"&amp;AJ100)+COUNTIFS($AJ$5:AJ100,AJ100))</f>
        <v>0</v>
      </c>
      <c r="AL100" s="18">
        <f>IF(B100="","",IF(AG100&gt;0,COUNTIF(AG$5:AG100,"&gt;0"),""))</f>
        <v>0</v>
      </c>
      <c r="AM100" s="45">
        <f>IF(B100="","",SUMIFS('Grocery List'!$Q$5:$Q$304,'Grocery List'!$B$5:$B$304,B100))</f>
        <v>0</v>
      </c>
      <c r="AN100" s="31">
        <f>IF(B100="","",IF(I100="","Add - no price yet",IF(H100="","Add - no pack size",IF(COUNTIFS($B$5:$B$304,B100)&gt;1,"Duplicate - same name twice",IF(AF100=0,"Check - no recipe uses it","OK")))))</f>
        <v>0</v>
      </c>
    </row>
    <row r="101" spans="1:40">
      <c r="A101" s="39">
        <f>IF(B101="","",IngredientPrefix&amp;TEXT(ROW()-4,"0000"))</f>
        <v>0</v>
      </c>
      <c r="J101" s="25">
        <f>IF(OR(H101="",I101=""),"",IF(H101=0,"",I101/H101))</f>
        <v>0</v>
      </c>
      <c r="K101" s="25">
        <f>IF(J101="","",J101*100)</f>
        <v>0</v>
      </c>
      <c r="L101" s="25">
        <f>IF(B101="","",IFERROR(AVERAGEIFS('Grocery Spending'!$L$5:$L$404,'Grocery Spending'!$H$5:$H$404,B101,'Grocery Spending'!$L$5:$L$404,"&gt;0"),""))</f>
        <v>0</v>
      </c>
      <c r="M101" s="25">
        <f>IF(B101="","",IF(COUNTIFS('Store Prices'!$B$5:$B$304,B101)=0,"",IF(SUMPRODUCT(MIN((('Store Prices'!$B$5:$B$304=B101)*(IFERROR('Store Prices'!$I$5:$I$304*1,0)&gt;0))*IFERROR('Store Prices'!$I$5:$I$304*1,0)+(1-(('Store Prices'!$B$5:$B$304=B101)*(IFERROR('Store Prices'!$I$5:$I$304*1,0)&gt;0)))*999999))&gt;=999999,"",SUMPRODUCT(MIN((('Store Prices'!$B$5:$B$304=B101)*(IFERROR('Store Prices'!$I$5:$I$304*1,0)&gt;0))*IFERROR('Store Prices'!$I$5:$I$304*1,0)+(1-(('Store Prices'!$B$5:$B$304=B101)*(IFERROR('Store Prices'!$I$5:$I$304*1,0)&gt;0)))*999999)))))</f>
        <v>0</v>
      </c>
      <c r="N101" s="17">
        <f>IF(M101="","",IFERROR(INDEX('Store Prices'!$C$5:$C$304,MATCH(1,INDEX(('Store Prices'!$B$5:$B$304=B101)*('Store Prices'!$I$5:$I$304=M101),0),0)),""))</f>
        <v>0</v>
      </c>
      <c r="O101" s="25">
        <f>IF(OR(M101="",J101=""),"",MAX(0,(J101-M101)*100))</f>
        <v>0</v>
      </c>
      <c r="AD101" s="45">
        <f>IF(B101="","",SUMIFS(Pantry!$G$5:$G$304,Pantry!$B$5:$B$304,B101))</f>
        <v>0</v>
      </c>
      <c r="AE101" s="25">
        <f>IF(OR(AD101="",J101=""),"",AD101*J101)</f>
        <v>0</v>
      </c>
      <c r="AF101" s="18">
        <f>IF(B101="","",COUNTIFS('Recipe Ingredients'!$D$5:$D$1204,B101))</f>
        <v>0</v>
      </c>
      <c r="AG101" s="45">
        <f>IF(B101="","",SUMIFS('Recipe Ingredients'!$Y$5:$Y$1204,'Recipe Ingredients'!$D$5:$D$1204,B101))</f>
        <v>0</v>
      </c>
      <c r="AH101" s="30">
        <f>IF(B101="",0,IFERROR(K101*1,0)*IFERROR(AF101*1,0))</f>
        <v>0</v>
      </c>
      <c r="AI101" s="18">
        <f>IF(B101="","",COUNTIFS($AH$5:$AH$304,"&gt;"&amp;AH101)+COUNTIFS($AH$5:AH101,AH101))</f>
        <v>0</v>
      </c>
      <c r="AJ101" s="18">
        <f>IF(B101="",0,COUNTIFS('Food Waste'!$E$5:$E$154,B101))</f>
        <v>0</v>
      </c>
      <c r="AK101" s="18">
        <f>IF(B101="","",COUNTIFS($AJ$5:$AJ$304,"&gt;"&amp;AJ101)+COUNTIFS($AJ$5:AJ101,AJ101))</f>
        <v>0</v>
      </c>
      <c r="AL101" s="18">
        <f>IF(B101="","",IF(AG101&gt;0,COUNTIF(AG$5:AG101,"&gt;0"),""))</f>
        <v>0</v>
      </c>
      <c r="AM101" s="45">
        <f>IF(B101="","",SUMIFS('Grocery List'!$Q$5:$Q$304,'Grocery List'!$B$5:$B$304,B101))</f>
        <v>0</v>
      </c>
      <c r="AN101" s="31">
        <f>IF(B101="","",IF(I101="","Add - no price yet",IF(H101="","Add - no pack size",IF(COUNTIFS($B$5:$B$304,B101)&gt;1,"Duplicate - same name twice",IF(AF101=0,"Check - no recipe uses it","OK")))))</f>
        <v>0</v>
      </c>
    </row>
    <row r="102" spans="1:40">
      <c r="A102" s="39">
        <f>IF(B102="","",IngredientPrefix&amp;TEXT(ROW()-4,"0000"))</f>
        <v>0</v>
      </c>
      <c r="J102" s="25">
        <f>IF(OR(H102="",I102=""),"",IF(H102=0,"",I102/H102))</f>
        <v>0</v>
      </c>
      <c r="K102" s="25">
        <f>IF(J102="","",J102*100)</f>
        <v>0</v>
      </c>
      <c r="L102" s="25">
        <f>IF(B102="","",IFERROR(AVERAGEIFS('Grocery Spending'!$L$5:$L$404,'Grocery Spending'!$H$5:$H$404,B102,'Grocery Spending'!$L$5:$L$404,"&gt;0"),""))</f>
        <v>0</v>
      </c>
      <c r="M102" s="25">
        <f>IF(B102="","",IF(COUNTIFS('Store Prices'!$B$5:$B$304,B102)=0,"",IF(SUMPRODUCT(MIN((('Store Prices'!$B$5:$B$304=B102)*(IFERROR('Store Prices'!$I$5:$I$304*1,0)&gt;0))*IFERROR('Store Prices'!$I$5:$I$304*1,0)+(1-(('Store Prices'!$B$5:$B$304=B102)*(IFERROR('Store Prices'!$I$5:$I$304*1,0)&gt;0)))*999999))&gt;=999999,"",SUMPRODUCT(MIN((('Store Prices'!$B$5:$B$304=B102)*(IFERROR('Store Prices'!$I$5:$I$304*1,0)&gt;0))*IFERROR('Store Prices'!$I$5:$I$304*1,0)+(1-(('Store Prices'!$B$5:$B$304=B102)*(IFERROR('Store Prices'!$I$5:$I$304*1,0)&gt;0)))*999999)))))</f>
        <v>0</v>
      </c>
      <c r="N102" s="17">
        <f>IF(M102="","",IFERROR(INDEX('Store Prices'!$C$5:$C$304,MATCH(1,INDEX(('Store Prices'!$B$5:$B$304=B102)*('Store Prices'!$I$5:$I$304=M102),0),0)),""))</f>
        <v>0</v>
      </c>
      <c r="O102" s="25">
        <f>IF(OR(M102="",J102=""),"",MAX(0,(J102-M102)*100))</f>
        <v>0</v>
      </c>
      <c r="AD102" s="45">
        <f>IF(B102="","",SUMIFS(Pantry!$G$5:$G$304,Pantry!$B$5:$B$304,B102))</f>
        <v>0</v>
      </c>
      <c r="AE102" s="25">
        <f>IF(OR(AD102="",J102=""),"",AD102*J102)</f>
        <v>0</v>
      </c>
      <c r="AF102" s="18">
        <f>IF(B102="","",COUNTIFS('Recipe Ingredients'!$D$5:$D$1204,B102))</f>
        <v>0</v>
      </c>
      <c r="AG102" s="45">
        <f>IF(B102="","",SUMIFS('Recipe Ingredients'!$Y$5:$Y$1204,'Recipe Ingredients'!$D$5:$D$1204,B102))</f>
        <v>0</v>
      </c>
      <c r="AH102" s="30">
        <f>IF(B102="",0,IFERROR(K102*1,0)*IFERROR(AF102*1,0))</f>
        <v>0</v>
      </c>
      <c r="AI102" s="18">
        <f>IF(B102="","",COUNTIFS($AH$5:$AH$304,"&gt;"&amp;AH102)+COUNTIFS($AH$5:AH102,AH102))</f>
        <v>0</v>
      </c>
      <c r="AJ102" s="18">
        <f>IF(B102="",0,COUNTIFS('Food Waste'!$E$5:$E$154,B102))</f>
        <v>0</v>
      </c>
      <c r="AK102" s="18">
        <f>IF(B102="","",COUNTIFS($AJ$5:$AJ$304,"&gt;"&amp;AJ102)+COUNTIFS($AJ$5:AJ102,AJ102))</f>
        <v>0</v>
      </c>
      <c r="AL102" s="18">
        <f>IF(B102="","",IF(AG102&gt;0,COUNTIF(AG$5:AG102,"&gt;0"),""))</f>
        <v>0</v>
      </c>
      <c r="AM102" s="45">
        <f>IF(B102="","",SUMIFS('Grocery List'!$Q$5:$Q$304,'Grocery List'!$B$5:$B$304,B102))</f>
        <v>0</v>
      </c>
      <c r="AN102" s="31">
        <f>IF(B102="","",IF(I102="","Add - no price yet",IF(H102="","Add - no pack size",IF(COUNTIFS($B$5:$B$304,B102)&gt;1,"Duplicate - same name twice",IF(AF102=0,"Check - no recipe uses it","OK")))))</f>
        <v>0</v>
      </c>
    </row>
    <row r="103" spans="1:40">
      <c r="A103" s="39">
        <f>IF(B103="","",IngredientPrefix&amp;TEXT(ROW()-4,"0000"))</f>
        <v>0</v>
      </c>
      <c r="J103" s="25">
        <f>IF(OR(H103="",I103=""),"",IF(H103=0,"",I103/H103))</f>
        <v>0</v>
      </c>
      <c r="K103" s="25">
        <f>IF(J103="","",J103*100)</f>
        <v>0</v>
      </c>
      <c r="L103" s="25">
        <f>IF(B103="","",IFERROR(AVERAGEIFS('Grocery Spending'!$L$5:$L$404,'Grocery Spending'!$H$5:$H$404,B103,'Grocery Spending'!$L$5:$L$404,"&gt;0"),""))</f>
        <v>0</v>
      </c>
      <c r="M103" s="25">
        <f>IF(B103="","",IF(COUNTIFS('Store Prices'!$B$5:$B$304,B103)=0,"",IF(SUMPRODUCT(MIN((('Store Prices'!$B$5:$B$304=B103)*(IFERROR('Store Prices'!$I$5:$I$304*1,0)&gt;0))*IFERROR('Store Prices'!$I$5:$I$304*1,0)+(1-(('Store Prices'!$B$5:$B$304=B103)*(IFERROR('Store Prices'!$I$5:$I$304*1,0)&gt;0)))*999999))&gt;=999999,"",SUMPRODUCT(MIN((('Store Prices'!$B$5:$B$304=B103)*(IFERROR('Store Prices'!$I$5:$I$304*1,0)&gt;0))*IFERROR('Store Prices'!$I$5:$I$304*1,0)+(1-(('Store Prices'!$B$5:$B$304=B103)*(IFERROR('Store Prices'!$I$5:$I$304*1,0)&gt;0)))*999999)))))</f>
        <v>0</v>
      </c>
      <c r="N103" s="17">
        <f>IF(M103="","",IFERROR(INDEX('Store Prices'!$C$5:$C$304,MATCH(1,INDEX(('Store Prices'!$B$5:$B$304=B103)*('Store Prices'!$I$5:$I$304=M103),0),0)),""))</f>
        <v>0</v>
      </c>
      <c r="O103" s="25">
        <f>IF(OR(M103="",J103=""),"",MAX(0,(J103-M103)*100))</f>
        <v>0</v>
      </c>
      <c r="AD103" s="45">
        <f>IF(B103="","",SUMIFS(Pantry!$G$5:$G$304,Pantry!$B$5:$B$304,B103))</f>
        <v>0</v>
      </c>
      <c r="AE103" s="25">
        <f>IF(OR(AD103="",J103=""),"",AD103*J103)</f>
        <v>0</v>
      </c>
      <c r="AF103" s="18">
        <f>IF(B103="","",COUNTIFS('Recipe Ingredients'!$D$5:$D$1204,B103))</f>
        <v>0</v>
      </c>
      <c r="AG103" s="45">
        <f>IF(B103="","",SUMIFS('Recipe Ingredients'!$Y$5:$Y$1204,'Recipe Ingredients'!$D$5:$D$1204,B103))</f>
        <v>0</v>
      </c>
      <c r="AH103" s="30">
        <f>IF(B103="",0,IFERROR(K103*1,0)*IFERROR(AF103*1,0))</f>
        <v>0</v>
      </c>
      <c r="AI103" s="18">
        <f>IF(B103="","",COUNTIFS($AH$5:$AH$304,"&gt;"&amp;AH103)+COUNTIFS($AH$5:AH103,AH103))</f>
        <v>0</v>
      </c>
      <c r="AJ103" s="18">
        <f>IF(B103="",0,COUNTIFS('Food Waste'!$E$5:$E$154,B103))</f>
        <v>0</v>
      </c>
      <c r="AK103" s="18">
        <f>IF(B103="","",COUNTIFS($AJ$5:$AJ$304,"&gt;"&amp;AJ103)+COUNTIFS($AJ$5:AJ103,AJ103))</f>
        <v>0</v>
      </c>
      <c r="AL103" s="18">
        <f>IF(B103="","",IF(AG103&gt;0,COUNTIF(AG$5:AG103,"&gt;0"),""))</f>
        <v>0</v>
      </c>
      <c r="AM103" s="45">
        <f>IF(B103="","",SUMIFS('Grocery List'!$Q$5:$Q$304,'Grocery List'!$B$5:$B$304,B103))</f>
        <v>0</v>
      </c>
      <c r="AN103" s="31">
        <f>IF(B103="","",IF(I103="","Add - no price yet",IF(H103="","Add - no pack size",IF(COUNTIFS($B$5:$B$304,B103)&gt;1,"Duplicate - same name twice",IF(AF103=0,"Check - no recipe uses it","OK")))))</f>
        <v>0</v>
      </c>
    </row>
    <row r="104" spans="1:40">
      <c r="A104" s="39">
        <f>IF(B104="","",IngredientPrefix&amp;TEXT(ROW()-4,"0000"))</f>
        <v>0</v>
      </c>
      <c r="J104" s="25">
        <f>IF(OR(H104="",I104=""),"",IF(H104=0,"",I104/H104))</f>
        <v>0</v>
      </c>
      <c r="K104" s="25">
        <f>IF(J104="","",J104*100)</f>
        <v>0</v>
      </c>
      <c r="L104" s="25">
        <f>IF(B104="","",IFERROR(AVERAGEIFS('Grocery Spending'!$L$5:$L$404,'Grocery Spending'!$H$5:$H$404,B104,'Grocery Spending'!$L$5:$L$404,"&gt;0"),""))</f>
        <v>0</v>
      </c>
      <c r="M104" s="25">
        <f>IF(B104="","",IF(COUNTIFS('Store Prices'!$B$5:$B$304,B104)=0,"",IF(SUMPRODUCT(MIN((('Store Prices'!$B$5:$B$304=B104)*(IFERROR('Store Prices'!$I$5:$I$304*1,0)&gt;0))*IFERROR('Store Prices'!$I$5:$I$304*1,0)+(1-(('Store Prices'!$B$5:$B$304=B104)*(IFERROR('Store Prices'!$I$5:$I$304*1,0)&gt;0)))*999999))&gt;=999999,"",SUMPRODUCT(MIN((('Store Prices'!$B$5:$B$304=B104)*(IFERROR('Store Prices'!$I$5:$I$304*1,0)&gt;0))*IFERROR('Store Prices'!$I$5:$I$304*1,0)+(1-(('Store Prices'!$B$5:$B$304=B104)*(IFERROR('Store Prices'!$I$5:$I$304*1,0)&gt;0)))*999999)))))</f>
        <v>0</v>
      </c>
      <c r="N104" s="17">
        <f>IF(M104="","",IFERROR(INDEX('Store Prices'!$C$5:$C$304,MATCH(1,INDEX(('Store Prices'!$B$5:$B$304=B104)*('Store Prices'!$I$5:$I$304=M104),0),0)),""))</f>
        <v>0</v>
      </c>
      <c r="O104" s="25">
        <f>IF(OR(M104="",J104=""),"",MAX(0,(J104-M104)*100))</f>
        <v>0</v>
      </c>
      <c r="AD104" s="45">
        <f>IF(B104="","",SUMIFS(Pantry!$G$5:$G$304,Pantry!$B$5:$B$304,B104))</f>
        <v>0</v>
      </c>
      <c r="AE104" s="25">
        <f>IF(OR(AD104="",J104=""),"",AD104*J104)</f>
        <v>0</v>
      </c>
      <c r="AF104" s="18">
        <f>IF(B104="","",COUNTIFS('Recipe Ingredients'!$D$5:$D$1204,B104))</f>
        <v>0</v>
      </c>
      <c r="AG104" s="45">
        <f>IF(B104="","",SUMIFS('Recipe Ingredients'!$Y$5:$Y$1204,'Recipe Ingredients'!$D$5:$D$1204,B104))</f>
        <v>0</v>
      </c>
      <c r="AH104" s="30">
        <f>IF(B104="",0,IFERROR(K104*1,0)*IFERROR(AF104*1,0))</f>
        <v>0</v>
      </c>
      <c r="AI104" s="18">
        <f>IF(B104="","",COUNTIFS($AH$5:$AH$304,"&gt;"&amp;AH104)+COUNTIFS($AH$5:AH104,AH104))</f>
        <v>0</v>
      </c>
      <c r="AJ104" s="18">
        <f>IF(B104="",0,COUNTIFS('Food Waste'!$E$5:$E$154,B104))</f>
        <v>0</v>
      </c>
      <c r="AK104" s="18">
        <f>IF(B104="","",COUNTIFS($AJ$5:$AJ$304,"&gt;"&amp;AJ104)+COUNTIFS($AJ$5:AJ104,AJ104))</f>
        <v>0</v>
      </c>
      <c r="AL104" s="18">
        <f>IF(B104="","",IF(AG104&gt;0,COUNTIF(AG$5:AG104,"&gt;0"),""))</f>
        <v>0</v>
      </c>
      <c r="AM104" s="45">
        <f>IF(B104="","",SUMIFS('Grocery List'!$Q$5:$Q$304,'Grocery List'!$B$5:$B$304,B104))</f>
        <v>0</v>
      </c>
      <c r="AN104" s="31">
        <f>IF(B104="","",IF(I104="","Add - no price yet",IF(H104="","Add - no pack size",IF(COUNTIFS($B$5:$B$304,B104)&gt;1,"Duplicate - same name twice",IF(AF104=0,"Check - no recipe uses it","OK")))))</f>
        <v>0</v>
      </c>
    </row>
    <row r="105" spans="1:40">
      <c r="A105" s="39">
        <f>IF(B105="","",IngredientPrefix&amp;TEXT(ROW()-4,"0000"))</f>
        <v>0</v>
      </c>
      <c r="J105" s="25">
        <f>IF(OR(H105="",I105=""),"",IF(H105=0,"",I105/H105))</f>
        <v>0</v>
      </c>
      <c r="K105" s="25">
        <f>IF(J105="","",J105*100)</f>
        <v>0</v>
      </c>
      <c r="L105" s="25">
        <f>IF(B105="","",IFERROR(AVERAGEIFS('Grocery Spending'!$L$5:$L$404,'Grocery Spending'!$H$5:$H$404,B105,'Grocery Spending'!$L$5:$L$404,"&gt;0"),""))</f>
        <v>0</v>
      </c>
      <c r="M105" s="25">
        <f>IF(B105="","",IF(COUNTIFS('Store Prices'!$B$5:$B$304,B105)=0,"",IF(SUMPRODUCT(MIN((('Store Prices'!$B$5:$B$304=B105)*(IFERROR('Store Prices'!$I$5:$I$304*1,0)&gt;0))*IFERROR('Store Prices'!$I$5:$I$304*1,0)+(1-(('Store Prices'!$B$5:$B$304=B105)*(IFERROR('Store Prices'!$I$5:$I$304*1,0)&gt;0)))*999999))&gt;=999999,"",SUMPRODUCT(MIN((('Store Prices'!$B$5:$B$304=B105)*(IFERROR('Store Prices'!$I$5:$I$304*1,0)&gt;0))*IFERROR('Store Prices'!$I$5:$I$304*1,0)+(1-(('Store Prices'!$B$5:$B$304=B105)*(IFERROR('Store Prices'!$I$5:$I$304*1,0)&gt;0)))*999999)))))</f>
        <v>0</v>
      </c>
      <c r="N105" s="17">
        <f>IF(M105="","",IFERROR(INDEX('Store Prices'!$C$5:$C$304,MATCH(1,INDEX(('Store Prices'!$B$5:$B$304=B105)*('Store Prices'!$I$5:$I$304=M105),0),0)),""))</f>
        <v>0</v>
      </c>
      <c r="O105" s="25">
        <f>IF(OR(M105="",J105=""),"",MAX(0,(J105-M105)*100))</f>
        <v>0</v>
      </c>
      <c r="AD105" s="45">
        <f>IF(B105="","",SUMIFS(Pantry!$G$5:$G$304,Pantry!$B$5:$B$304,B105))</f>
        <v>0</v>
      </c>
      <c r="AE105" s="25">
        <f>IF(OR(AD105="",J105=""),"",AD105*J105)</f>
        <v>0</v>
      </c>
      <c r="AF105" s="18">
        <f>IF(B105="","",COUNTIFS('Recipe Ingredients'!$D$5:$D$1204,B105))</f>
        <v>0</v>
      </c>
      <c r="AG105" s="45">
        <f>IF(B105="","",SUMIFS('Recipe Ingredients'!$Y$5:$Y$1204,'Recipe Ingredients'!$D$5:$D$1204,B105))</f>
        <v>0</v>
      </c>
      <c r="AH105" s="30">
        <f>IF(B105="",0,IFERROR(K105*1,0)*IFERROR(AF105*1,0))</f>
        <v>0</v>
      </c>
      <c r="AI105" s="18">
        <f>IF(B105="","",COUNTIFS($AH$5:$AH$304,"&gt;"&amp;AH105)+COUNTIFS($AH$5:AH105,AH105))</f>
        <v>0</v>
      </c>
      <c r="AJ105" s="18">
        <f>IF(B105="",0,COUNTIFS('Food Waste'!$E$5:$E$154,B105))</f>
        <v>0</v>
      </c>
      <c r="AK105" s="18">
        <f>IF(B105="","",COUNTIFS($AJ$5:$AJ$304,"&gt;"&amp;AJ105)+COUNTIFS($AJ$5:AJ105,AJ105))</f>
        <v>0</v>
      </c>
      <c r="AL105" s="18">
        <f>IF(B105="","",IF(AG105&gt;0,COUNTIF(AG$5:AG105,"&gt;0"),""))</f>
        <v>0</v>
      </c>
      <c r="AM105" s="45">
        <f>IF(B105="","",SUMIFS('Grocery List'!$Q$5:$Q$304,'Grocery List'!$B$5:$B$304,B105))</f>
        <v>0</v>
      </c>
      <c r="AN105" s="31">
        <f>IF(B105="","",IF(I105="","Add - no price yet",IF(H105="","Add - no pack size",IF(COUNTIFS($B$5:$B$304,B105)&gt;1,"Duplicate - same name twice",IF(AF105=0,"Check - no recipe uses it","OK")))))</f>
        <v>0</v>
      </c>
    </row>
    <row r="106" spans="1:40">
      <c r="A106" s="39">
        <f>IF(B106="","",IngredientPrefix&amp;TEXT(ROW()-4,"0000"))</f>
        <v>0</v>
      </c>
      <c r="J106" s="25">
        <f>IF(OR(H106="",I106=""),"",IF(H106=0,"",I106/H106))</f>
        <v>0</v>
      </c>
      <c r="K106" s="25">
        <f>IF(J106="","",J106*100)</f>
        <v>0</v>
      </c>
      <c r="L106" s="25">
        <f>IF(B106="","",IFERROR(AVERAGEIFS('Grocery Spending'!$L$5:$L$404,'Grocery Spending'!$H$5:$H$404,B106,'Grocery Spending'!$L$5:$L$404,"&gt;0"),""))</f>
        <v>0</v>
      </c>
      <c r="M106" s="25">
        <f>IF(B106="","",IF(COUNTIFS('Store Prices'!$B$5:$B$304,B106)=0,"",IF(SUMPRODUCT(MIN((('Store Prices'!$B$5:$B$304=B106)*(IFERROR('Store Prices'!$I$5:$I$304*1,0)&gt;0))*IFERROR('Store Prices'!$I$5:$I$304*1,0)+(1-(('Store Prices'!$B$5:$B$304=B106)*(IFERROR('Store Prices'!$I$5:$I$304*1,0)&gt;0)))*999999))&gt;=999999,"",SUMPRODUCT(MIN((('Store Prices'!$B$5:$B$304=B106)*(IFERROR('Store Prices'!$I$5:$I$304*1,0)&gt;0))*IFERROR('Store Prices'!$I$5:$I$304*1,0)+(1-(('Store Prices'!$B$5:$B$304=B106)*(IFERROR('Store Prices'!$I$5:$I$304*1,0)&gt;0)))*999999)))))</f>
        <v>0</v>
      </c>
      <c r="N106" s="17">
        <f>IF(M106="","",IFERROR(INDEX('Store Prices'!$C$5:$C$304,MATCH(1,INDEX(('Store Prices'!$B$5:$B$304=B106)*('Store Prices'!$I$5:$I$304=M106),0),0)),""))</f>
        <v>0</v>
      </c>
      <c r="O106" s="25">
        <f>IF(OR(M106="",J106=""),"",MAX(0,(J106-M106)*100))</f>
        <v>0</v>
      </c>
      <c r="AD106" s="45">
        <f>IF(B106="","",SUMIFS(Pantry!$G$5:$G$304,Pantry!$B$5:$B$304,B106))</f>
        <v>0</v>
      </c>
      <c r="AE106" s="25">
        <f>IF(OR(AD106="",J106=""),"",AD106*J106)</f>
        <v>0</v>
      </c>
      <c r="AF106" s="18">
        <f>IF(B106="","",COUNTIFS('Recipe Ingredients'!$D$5:$D$1204,B106))</f>
        <v>0</v>
      </c>
      <c r="AG106" s="45">
        <f>IF(B106="","",SUMIFS('Recipe Ingredients'!$Y$5:$Y$1204,'Recipe Ingredients'!$D$5:$D$1204,B106))</f>
        <v>0</v>
      </c>
      <c r="AH106" s="30">
        <f>IF(B106="",0,IFERROR(K106*1,0)*IFERROR(AF106*1,0))</f>
        <v>0</v>
      </c>
      <c r="AI106" s="18">
        <f>IF(B106="","",COUNTIFS($AH$5:$AH$304,"&gt;"&amp;AH106)+COUNTIFS($AH$5:AH106,AH106))</f>
        <v>0</v>
      </c>
      <c r="AJ106" s="18">
        <f>IF(B106="",0,COUNTIFS('Food Waste'!$E$5:$E$154,B106))</f>
        <v>0</v>
      </c>
      <c r="AK106" s="18">
        <f>IF(B106="","",COUNTIFS($AJ$5:$AJ$304,"&gt;"&amp;AJ106)+COUNTIFS($AJ$5:AJ106,AJ106))</f>
        <v>0</v>
      </c>
      <c r="AL106" s="18">
        <f>IF(B106="","",IF(AG106&gt;0,COUNTIF(AG$5:AG106,"&gt;0"),""))</f>
        <v>0</v>
      </c>
      <c r="AM106" s="45">
        <f>IF(B106="","",SUMIFS('Grocery List'!$Q$5:$Q$304,'Grocery List'!$B$5:$B$304,B106))</f>
        <v>0</v>
      </c>
      <c r="AN106" s="31">
        <f>IF(B106="","",IF(I106="","Add - no price yet",IF(H106="","Add - no pack size",IF(COUNTIFS($B$5:$B$304,B106)&gt;1,"Duplicate - same name twice",IF(AF106=0,"Check - no recipe uses it","OK")))))</f>
        <v>0</v>
      </c>
    </row>
    <row r="107" spans="1:40">
      <c r="A107" s="39">
        <f>IF(B107="","",IngredientPrefix&amp;TEXT(ROW()-4,"0000"))</f>
        <v>0</v>
      </c>
      <c r="J107" s="25">
        <f>IF(OR(H107="",I107=""),"",IF(H107=0,"",I107/H107))</f>
        <v>0</v>
      </c>
      <c r="K107" s="25">
        <f>IF(J107="","",J107*100)</f>
        <v>0</v>
      </c>
      <c r="L107" s="25">
        <f>IF(B107="","",IFERROR(AVERAGEIFS('Grocery Spending'!$L$5:$L$404,'Grocery Spending'!$H$5:$H$404,B107,'Grocery Spending'!$L$5:$L$404,"&gt;0"),""))</f>
        <v>0</v>
      </c>
      <c r="M107" s="25">
        <f>IF(B107="","",IF(COUNTIFS('Store Prices'!$B$5:$B$304,B107)=0,"",IF(SUMPRODUCT(MIN((('Store Prices'!$B$5:$B$304=B107)*(IFERROR('Store Prices'!$I$5:$I$304*1,0)&gt;0))*IFERROR('Store Prices'!$I$5:$I$304*1,0)+(1-(('Store Prices'!$B$5:$B$304=B107)*(IFERROR('Store Prices'!$I$5:$I$304*1,0)&gt;0)))*999999))&gt;=999999,"",SUMPRODUCT(MIN((('Store Prices'!$B$5:$B$304=B107)*(IFERROR('Store Prices'!$I$5:$I$304*1,0)&gt;0))*IFERROR('Store Prices'!$I$5:$I$304*1,0)+(1-(('Store Prices'!$B$5:$B$304=B107)*(IFERROR('Store Prices'!$I$5:$I$304*1,0)&gt;0)))*999999)))))</f>
        <v>0</v>
      </c>
      <c r="N107" s="17">
        <f>IF(M107="","",IFERROR(INDEX('Store Prices'!$C$5:$C$304,MATCH(1,INDEX(('Store Prices'!$B$5:$B$304=B107)*('Store Prices'!$I$5:$I$304=M107),0),0)),""))</f>
        <v>0</v>
      </c>
      <c r="O107" s="25">
        <f>IF(OR(M107="",J107=""),"",MAX(0,(J107-M107)*100))</f>
        <v>0</v>
      </c>
      <c r="AD107" s="45">
        <f>IF(B107="","",SUMIFS(Pantry!$G$5:$G$304,Pantry!$B$5:$B$304,B107))</f>
        <v>0</v>
      </c>
      <c r="AE107" s="25">
        <f>IF(OR(AD107="",J107=""),"",AD107*J107)</f>
        <v>0</v>
      </c>
      <c r="AF107" s="18">
        <f>IF(B107="","",COUNTIFS('Recipe Ingredients'!$D$5:$D$1204,B107))</f>
        <v>0</v>
      </c>
      <c r="AG107" s="45">
        <f>IF(B107="","",SUMIFS('Recipe Ingredients'!$Y$5:$Y$1204,'Recipe Ingredients'!$D$5:$D$1204,B107))</f>
        <v>0</v>
      </c>
      <c r="AH107" s="30">
        <f>IF(B107="",0,IFERROR(K107*1,0)*IFERROR(AF107*1,0))</f>
        <v>0</v>
      </c>
      <c r="AI107" s="18">
        <f>IF(B107="","",COUNTIFS($AH$5:$AH$304,"&gt;"&amp;AH107)+COUNTIFS($AH$5:AH107,AH107))</f>
        <v>0</v>
      </c>
      <c r="AJ107" s="18">
        <f>IF(B107="",0,COUNTIFS('Food Waste'!$E$5:$E$154,B107))</f>
        <v>0</v>
      </c>
      <c r="AK107" s="18">
        <f>IF(B107="","",COUNTIFS($AJ$5:$AJ$304,"&gt;"&amp;AJ107)+COUNTIFS($AJ$5:AJ107,AJ107))</f>
        <v>0</v>
      </c>
      <c r="AL107" s="18">
        <f>IF(B107="","",IF(AG107&gt;0,COUNTIF(AG$5:AG107,"&gt;0"),""))</f>
        <v>0</v>
      </c>
      <c r="AM107" s="45">
        <f>IF(B107="","",SUMIFS('Grocery List'!$Q$5:$Q$304,'Grocery List'!$B$5:$B$304,B107))</f>
        <v>0</v>
      </c>
      <c r="AN107" s="31">
        <f>IF(B107="","",IF(I107="","Add - no price yet",IF(H107="","Add - no pack size",IF(COUNTIFS($B$5:$B$304,B107)&gt;1,"Duplicate - same name twice",IF(AF107=0,"Check - no recipe uses it","OK")))))</f>
        <v>0</v>
      </c>
    </row>
    <row r="108" spans="1:40">
      <c r="A108" s="39">
        <f>IF(B108="","",IngredientPrefix&amp;TEXT(ROW()-4,"0000"))</f>
        <v>0</v>
      </c>
      <c r="J108" s="25">
        <f>IF(OR(H108="",I108=""),"",IF(H108=0,"",I108/H108))</f>
        <v>0</v>
      </c>
      <c r="K108" s="25">
        <f>IF(J108="","",J108*100)</f>
        <v>0</v>
      </c>
      <c r="L108" s="25">
        <f>IF(B108="","",IFERROR(AVERAGEIFS('Grocery Spending'!$L$5:$L$404,'Grocery Spending'!$H$5:$H$404,B108,'Grocery Spending'!$L$5:$L$404,"&gt;0"),""))</f>
        <v>0</v>
      </c>
      <c r="M108" s="25">
        <f>IF(B108="","",IF(COUNTIFS('Store Prices'!$B$5:$B$304,B108)=0,"",IF(SUMPRODUCT(MIN((('Store Prices'!$B$5:$B$304=B108)*(IFERROR('Store Prices'!$I$5:$I$304*1,0)&gt;0))*IFERROR('Store Prices'!$I$5:$I$304*1,0)+(1-(('Store Prices'!$B$5:$B$304=B108)*(IFERROR('Store Prices'!$I$5:$I$304*1,0)&gt;0)))*999999))&gt;=999999,"",SUMPRODUCT(MIN((('Store Prices'!$B$5:$B$304=B108)*(IFERROR('Store Prices'!$I$5:$I$304*1,0)&gt;0))*IFERROR('Store Prices'!$I$5:$I$304*1,0)+(1-(('Store Prices'!$B$5:$B$304=B108)*(IFERROR('Store Prices'!$I$5:$I$304*1,0)&gt;0)))*999999)))))</f>
        <v>0</v>
      </c>
      <c r="N108" s="17">
        <f>IF(M108="","",IFERROR(INDEX('Store Prices'!$C$5:$C$304,MATCH(1,INDEX(('Store Prices'!$B$5:$B$304=B108)*('Store Prices'!$I$5:$I$304=M108),0),0)),""))</f>
        <v>0</v>
      </c>
      <c r="O108" s="25">
        <f>IF(OR(M108="",J108=""),"",MAX(0,(J108-M108)*100))</f>
        <v>0</v>
      </c>
      <c r="AD108" s="45">
        <f>IF(B108="","",SUMIFS(Pantry!$G$5:$G$304,Pantry!$B$5:$B$304,B108))</f>
        <v>0</v>
      </c>
      <c r="AE108" s="25">
        <f>IF(OR(AD108="",J108=""),"",AD108*J108)</f>
        <v>0</v>
      </c>
      <c r="AF108" s="18">
        <f>IF(B108="","",COUNTIFS('Recipe Ingredients'!$D$5:$D$1204,B108))</f>
        <v>0</v>
      </c>
      <c r="AG108" s="45">
        <f>IF(B108="","",SUMIFS('Recipe Ingredients'!$Y$5:$Y$1204,'Recipe Ingredients'!$D$5:$D$1204,B108))</f>
        <v>0</v>
      </c>
      <c r="AH108" s="30">
        <f>IF(B108="",0,IFERROR(K108*1,0)*IFERROR(AF108*1,0))</f>
        <v>0</v>
      </c>
      <c r="AI108" s="18">
        <f>IF(B108="","",COUNTIFS($AH$5:$AH$304,"&gt;"&amp;AH108)+COUNTIFS($AH$5:AH108,AH108))</f>
        <v>0</v>
      </c>
      <c r="AJ108" s="18">
        <f>IF(B108="",0,COUNTIFS('Food Waste'!$E$5:$E$154,B108))</f>
        <v>0</v>
      </c>
      <c r="AK108" s="18">
        <f>IF(B108="","",COUNTIFS($AJ$5:$AJ$304,"&gt;"&amp;AJ108)+COUNTIFS($AJ$5:AJ108,AJ108))</f>
        <v>0</v>
      </c>
      <c r="AL108" s="18">
        <f>IF(B108="","",IF(AG108&gt;0,COUNTIF(AG$5:AG108,"&gt;0"),""))</f>
        <v>0</v>
      </c>
      <c r="AM108" s="45">
        <f>IF(B108="","",SUMIFS('Grocery List'!$Q$5:$Q$304,'Grocery List'!$B$5:$B$304,B108))</f>
        <v>0</v>
      </c>
      <c r="AN108" s="31">
        <f>IF(B108="","",IF(I108="","Add - no price yet",IF(H108="","Add - no pack size",IF(COUNTIFS($B$5:$B$304,B108)&gt;1,"Duplicate - same name twice",IF(AF108=0,"Check - no recipe uses it","OK")))))</f>
        <v>0</v>
      </c>
    </row>
    <row r="109" spans="1:40">
      <c r="A109" s="39">
        <f>IF(B109="","",IngredientPrefix&amp;TEXT(ROW()-4,"0000"))</f>
        <v>0</v>
      </c>
      <c r="J109" s="25">
        <f>IF(OR(H109="",I109=""),"",IF(H109=0,"",I109/H109))</f>
        <v>0</v>
      </c>
      <c r="K109" s="25">
        <f>IF(J109="","",J109*100)</f>
        <v>0</v>
      </c>
      <c r="L109" s="25">
        <f>IF(B109="","",IFERROR(AVERAGEIFS('Grocery Spending'!$L$5:$L$404,'Grocery Spending'!$H$5:$H$404,B109,'Grocery Spending'!$L$5:$L$404,"&gt;0"),""))</f>
        <v>0</v>
      </c>
      <c r="M109" s="25">
        <f>IF(B109="","",IF(COUNTIFS('Store Prices'!$B$5:$B$304,B109)=0,"",IF(SUMPRODUCT(MIN((('Store Prices'!$B$5:$B$304=B109)*(IFERROR('Store Prices'!$I$5:$I$304*1,0)&gt;0))*IFERROR('Store Prices'!$I$5:$I$304*1,0)+(1-(('Store Prices'!$B$5:$B$304=B109)*(IFERROR('Store Prices'!$I$5:$I$304*1,0)&gt;0)))*999999))&gt;=999999,"",SUMPRODUCT(MIN((('Store Prices'!$B$5:$B$304=B109)*(IFERROR('Store Prices'!$I$5:$I$304*1,0)&gt;0))*IFERROR('Store Prices'!$I$5:$I$304*1,0)+(1-(('Store Prices'!$B$5:$B$304=B109)*(IFERROR('Store Prices'!$I$5:$I$304*1,0)&gt;0)))*999999)))))</f>
        <v>0</v>
      </c>
      <c r="N109" s="17">
        <f>IF(M109="","",IFERROR(INDEX('Store Prices'!$C$5:$C$304,MATCH(1,INDEX(('Store Prices'!$B$5:$B$304=B109)*('Store Prices'!$I$5:$I$304=M109),0),0)),""))</f>
        <v>0</v>
      </c>
      <c r="O109" s="25">
        <f>IF(OR(M109="",J109=""),"",MAX(0,(J109-M109)*100))</f>
        <v>0</v>
      </c>
      <c r="AD109" s="45">
        <f>IF(B109="","",SUMIFS(Pantry!$G$5:$G$304,Pantry!$B$5:$B$304,B109))</f>
        <v>0</v>
      </c>
      <c r="AE109" s="25">
        <f>IF(OR(AD109="",J109=""),"",AD109*J109)</f>
        <v>0</v>
      </c>
      <c r="AF109" s="18">
        <f>IF(B109="","",COUNTIFS('Recipe Ingredients'!$D$5:$D$1204,B109))</f>
        <v>0</v>
      </c>
      <c r="AG109" s="45">
        <f>IF(B109="","",SUMIFS('Recipe Ingredients'!$Y$5:$Y$1204,'Recipe Ingredients'!$D$5:$D$1204,B109))</f>
        <v>0</v>
      </c>
      <c r="AH109" s="30">
        <f>IF(B109="",0,IFERROR(K109*1,0)*IFERROR(AF109*1,0))</f>
        <v>0</v>
      </c>
      <c r="AI109" s="18">
        <f>IF(B109="","",COUNTIFS($AH$5:$AH$304,"&gt;"&amp;AH109)+COUNTIFS($AH$5:AH109,AH109))</f>
        <v>0</v>
      </c>
      <c r="AJ109" s="18">
        <f>IF(B109="",0,COUNTIFS('Food Waste'!$E$5:$E$154,B109))</f>
        <v>0</v>
      </c>
      <c r="AK109" s="18">
        <f>IF(B109="","",COUNTIFS($AJ$5:$AJ$304,"&gt;"&amp;AJ109)+COUNTIFS($AJ$5:AJ109,AJ109))</f>
        <v>0</v>
      </c>
      <c r="AL109" s="18">
        <f>IF(B109="","",IF(AG109&gt;0,COUNTIF(AG$5:AG109,"&gt;0"),""))</f>
        <v>0</v>
      </c>
      <c r="AM109" s="45">
        <f>IF(B109="","",SUMIFS('Grocery List'!$Q$5:$Q$304,'Grocery List'!$B$5:$B$304,B109))</f>
        <v>0</v>
      </c>
      <c r="AN109" s="31">
        <f>IF(B109="","",IF(I109="","Add - no price yet",IF(H109="","Add - no pack size",IF(COUNTIFS($B$5:$B$304,B109)&gt;1,"Duplicate - same name twice",IF(AF109=0,"Check - no recipe uses it","OK")))))</f>
        <v>0</v>
      </c>
    </row>
    <row r="110" spans="1:40">
      <c r="A110" s="39">
        <f>IF(B110="","",IngredientPrefix&amp;TEXT(ROW()-4,"0000"))</f>
        <v>0</v>
      </c>
      <c r="J110" s="25">
        <f>IF(OR(H110="",I110=""),"",IF(H110=0,"",I110/H110))</f>
        <v>0</v>
      </c>
      <c r="K110" s="25">
        <f>IF(J110="","",J110*100)</f>
        <v>0</v>
      </c>
      <c r="L110" s="25">
        <f>IF(B110="","",IFERROR(AVERAGEIFS('Grocery Spending'!$L$5:$L$404,'Grocery Spending'!$H$5:$H$404,B110,'Grocery Spending'!$L$5:$L$404,"&gt;0"),""))</f>
        <v>0</v>
      </c>
      <c r="M110" s="25">
        <f>IF(B110="","",IF(COUNTIFS('Store Prices'!$B$5:$B$304,B110)=0,"",IF(SUMPRODUCT(MIN((('Store Prices'!$B$5:$B$304=B110)*(IFERROR('Store Prices'!$I$5:$I$304*1,0)&gt;0))*IFERROR('Store Prices'!$I$5:$I$304*1,0)+(1-(('Store Prices'!$B$5:$B$304=B110)*(IFERROR('Store Prices'!$I$5:$I$304*1,0)&gt;0)))*999999))&gt;=999999,"",SUMPRODUCT(MIN((('Store Prices'!$B$5:$B$304=B110)*(IFERROR('Store Prices'!$I$5:$I$304*1,0)&gt;0))*IFERROR('Store Prices'!$I$5:$I$304*1,0)+(1-(('Store Prices'!$B$5:$B$304=B110)*(IFERROR('Store Prices'!$I$5:$I$304*1,0)&gt;0)))*999999)))))</f>
        <v>0</v>
      </c>
      <c r="N110" s="17">
        <f>IF(M110="","",IFERROR(INDEX('Store Prices'!$C$5:$C$304,MATCH(1,INDEX(('Store Prices'!$B$5:$B$304=B110)*('Store Prices'!$I$5:$I$304=M110),0),0)),""))</f>
        <v>0</v>
      </c>
      <c r="O110" s="25">
        <f>IF(OR(M110="",J110=""),"",MAX(0,(J110-M110)*100))</f>
        <v>0</v>
      </c>
      <c r="AD110" s="45">
        <f>IF(B110="","",SUMIFS(Pantry!$G$5:$G$304,Pantry!$B$5:$B$304,B110))</f>
        <v>0</v>
      </c>
      <c r="AE110" s="25">
        <f>IF(OR(AD110="",J110=""),"",AD110*J110)</f>
        <v>0</v>
      </c>
      <c r="AF110" s="18">
        <f>IF(B110="","",COUNTIFS('Recipe Ingredients'!$D$5:$D$1204,B110))</f>
        <v>0</v>
      </c>
      <c r="AG110" s="45">
        <f>IF(B110="","",SUMIFS('Recipe Ingredients'!$Y$5:$Y$1204,'Recipe Ingredients'!$D$5:$D$1204,B110))</f>
        <v>0</v>
      </c>
      <c r="AH110" s="30">
        <f>IF(B110="",0,IFERROR(K110*1,0)*IFERROR(AF110*1,0))</f>
        <v>0</v>
      </c>
      <c r="AI110" s="18">
        <f>IF(B110="","",COUNTIFS($AH$5:$AH$304,"&gt;"&amp;AH110)+COUNTIFS($AH$5:AH110,AH110))</f>
        <v>0</v>
      </c>
      <c r="AJ110" s="18">
        <f>IF(B110="",0,COUNTIFS('Food Waste'!$E$5:$E$154,B110))</f>
        <v>0</v>
      </c>
      <c r="AK110" s="18">
        <f>IF(B110="","",COUNTIFS($AJ$5:$AJ$304,"&gt;"&amp;AJ110)+COUNTIFS($AJ$5:AJ110,AJ110))</f>
        <v>0</v>
      </c>
      <c r="AL110" s="18">
        <f>IF(B110="","",IF(AG110&gt;0,COUNTIF(AG$5:AG110,"&gt;0"),""))</f>
        <v>0</v>
      </c>
      <c r="AM110" s="45">
        <f>IF(B110="","",SUMIFS('Grocery List'!$Q$5:$Q$304,'Grocery List'!$B$5:$B$304,B110))</f>
        <v>0</v>
      </c>
      <c r="AN110" s="31">
        <f>IF(B110="","",IF(I110="","Add - no price yet",IF(H110="","Add - no pack size",IF(COUNTIFS($B$5:$B$304,B110)&gt;1,"Duplicate - same name twice",IF(AF110=0,"Check - no recipe uses it","OK")))))</f>
        <v>0</v>
      </c>
    </row>
    <row r="111" spans="1:40">
      <c r="A111" s="39">
        <f>IF(B111="","",IngredientPrefix&amp;TEXT(ROW()-4,"0000"))</f>
        <v>0</v>
      </c>
      <c r="J111" s="25">
        <f>IF(OR(H111="",I111=""),"",IF(H111=0,"",I111/H111))</f>
        <v>0</v>
      </c>
      <c r="K111" s="25">
        <f>IF(J111="","",J111*100)</f>
        <v>0</v>
      </c>
      <c r="L111" s="25">
        <f>IF(B111="","",IFERROR(AVERAGEIFS('Grocery Spending'!$L$5:$L$404,'Grocery Spending'!$H$5:$H$404,B111,'Grocery Spending'!$L$5:$L$404,"&gt;0"),""))</f>
        <v>0</v>
      </c>
      <c r="M111" s="25">
        <f>IF(B111="","",IF(COUNTIFS('Store Prices'!$B$5:$B$304,B111)=0,"",IF(SUMPRODUCT(MIN((('Store Prices'!$B$5:$B$304=B111)*(IFERROR('Store Prices'!$I$5:$I$304*1,0)&gt;0))*IFERROR('Store Prices'!$I$5:$I$304*1,0)+(1-(('Store Prices'!$B$5:$B$304=B111)*(IFERROR('Store Prices'!$I$5:$I$304*1,0)&gt;0)))*999999))&gt;=999999,"",SUMPRODUCT(MIN((('Store Prices'!$B$5:$B$304=B111)*(IFERROR('Store Prices'!$I$5:$I$304*1,0)&gt;0))*IFERROR('Store Prices'!$I$5:$I$304*1,0)+(1-(('Store Prices'!$B$5:$B$304=B111)*(IFERROR('Store Prices'!$I$5:$I$304*1,0)&gt;0)))*999999)))))</f>
        <v>0</v>
      </c>
      <c r="N111" s="17">
        <f>IF(M111="","",IFERROR(INDEX('Store Prices'!$C$5:$C$304,MATCH(1,INDEX(('Store Prices'!$B$5:$B$304=B111)*('Store Prices'!$I$5:$I$304=M111),0),0)),""))</f>
        <v>0</v>
      </c>
      <c r="O111" s="25">
        <f>IF(OR(M111="",J111=""),"",MAX(0,(J111-M111)*100))</f>
        <v>0</v>
      </c>
      <c r="AD111" s="45">
        <f>IF(B111="","",SUMIFS(Pantry!$G$5:$G$304,Pantry!$B$5:$B$304,B111))</f>
        <v>0</v>
      </c>
      <c r="AE111" s="25">
        <f>IF(OR(AD111="",J111=""),"",AD111*J111)</f>
        <v>0</v>
      </c>
      <c r="AF111" s="18">
        <f>IF(B111="","",COUNTIFS('Recipe Ingredients'!$D$5:$D$1204,B111))</f>
        <v>0</v>
      </c>
      <c r="AG111" s="45">
        <f>IF(B111="","",SUMIFS('Recipe Ingredients'!$Y$5:$Y$1204,'Recipe Ingredients'!$D$5:$D$1204,B111))</f>
        <v>0</v>
      </c>
      <c r="AH111" s="30">
        <f>IF(B111="",0,IFERROR(K111*1,0)*IFERROR(AF111*1,0))</f>
        <v>0</v>
      </c>
      <c r="AI111" s="18">
        <f>IF(B111="","",COUNTIFS($AH$5:$AH$304,"&gt;"&amp;AH111)+COUNTIFS($AH$5:AH111,AH111))</f>
        <v>0</v>
      </c>
      <c r="AJ111" s="18">
        <f>IF(B111="",0,COUNTIFS('Food Waste'!$E$5:$E$154,B111))</f>
        <v>0</v>
      </c>
      <c r="AK111" s="18">
        <f>IF(B111="","",COUNTIFS($AJ$5:$AJ$304,"&gt;"&amp;AJ111)+COUNTIFS($AJ$5:AJ111,AJ111))</f>
        <v>0</v>
      </c>
      <c r="AL111" s="18">
        <f>IF(B111="","",IF(AG111&gt;0,COUNTIF(AG$5:AG111,"&gt;0"),""))</f>
        <v>0</v>
      </c>
      <c r="AM111" s="45">
        <f>IF(B111="","",SUMIFS('Grocery List'!$Q$5:$Q$304,'Grocery List'!$B$5:$B$304,B111))</f>
        <v>0</v>
      </c>
      <c r="AN111" s="31">
        <f>IF(B111="","",IF(I111="","Add - no price yet",IF(H111="","Add - no pack size",IF(COUNTIFS($B$5:$B$304,B111)&gt;1,"Duplicate - same name twice",IF(AF111=0,"Check - no recipe uses it","OK")))))</f>
        <v>0</v>
      </c>
    </row>
    <row r="112" spans="1:40">
      <c r="A112" s="39">
        <f>IF(B112="","",IngredientPrefix&amp;TEXT(ROW()-4,"0000"))</f>
        <v>0</v>
      </c>
      <c r="J112" s="25">
        <f>IF(OR(H112="",I112=""),"",IF(H112=0,"",I112/H112))</f>
        <v>0</v>
      </c>
      <c r="K112" s="25">
        <f>IF(J112="","",J112*100)</f>
        <v>0</v>
      </c>
      <c r="L112" s="25">
        <f>IF(B112="","",IFERROR(AVERAGEIFS('Grocery Spending'!$L$5:$L$404,'Grocery Spending'!$H$5:$H$404,B112,'Grocery Spending'!$L$5:$L$404,"&gt;0"),""))</f>
        <v>0</v>
      </c>
      <c r="M112" s="25">
        <f>IF(B112="","",IF(COUNTIFS('Store Prices'!$B$5:$B$304,B112)=0,"",IF(SUMPRODUCT(MIN((('Store Prices'!$B$5:$B$304=B112)*(IFERROR('Store Prices'!$I$5:$I$304*1,0)&gt;0))*IFERROR('Store Prices'!$I$5:$I$304*1,0)+(1-(('Store Prices'!$B$5:$B$304=B112)*(IFERROR('Store Prices'!$I$5:$I$304*1,0)&gt;0)))*999999))&gt;=999999,"",SUMPRODUCT(MIN((('Store Prices'!$B$5:$B$304=B112)*(IFERROR('Store Prices'!$I$5:$I$304*1,0)&gt;0))*IFERROR('Store Prices'!$I$5:$I$304*1,0)+(1-(('Store Prices'!$B$5:$B$304=B112)*(IFERROR('Store Prices'!$I$5:$I$304*1,0)&gt;0)))*999999)))))</f>
        <v>0</v>
      </c>
      <c r="N112" s="17">
        <f>IF(M112="","",IFERROR(INDEX('Store Prices'!$C$5:$C$304,MATCH(1,INDEX(('Store Prices'!$B$5:$B$304=B112)*('Store Prices'!$I$5:$I$304=M112),0),0)),""))</f>
        <v>0</v>
      </c>
      <c r="O112" s="25">
        <f>IF(OR(M112="",J112=""),"",MAX(0,(J112-M112)*100))</f>
        <v>0</v>
      </c>
      <c r="AD112" s="45">
        <f>IF(B112="","",SUMIFS(Pantry!$G$5:$G$304,Pantry!$B$5:$B$304,B112))</f>
        <v>0</v>
      </c>
      <c r="AE112" s="25">
        <f>IF(OR(AD112="",J112=""),"",AD112*J112)</f>
        <v>0</v>
      </c>
      <c r="AF112" s="18">
        <f>IF(B112="","",COUNTIFS('Recipe Ingredients'!$D$5:$D$1204,B112))</f>
        <v>0</v>
      </c>
      <c r="AG112" s="45">
        <f>IF(B112="","",SUMIFS('Recipe Ingredients'!$Y$5:$Y$1204,'Recipe Ingredients'!$D$5:$D$1204,B112))</f>
        <v>0</v>
      </c>
      <c r="AH112" s="30">
        <f>IF(B112="",0,IFERROR(K112*1,0)*IFERROR(AF112*1,0))</f>
        <v>0</v>
      </c>
      <c r="AI112" s="18">
        <f>IF(B112="","",COUNTIFS($AH$5:$AH$304,"&gt;"&amp;AH112)+COUNTIFS($AH$5:AH112,AH112))</f>
        <v>0</v>
      </c>
      <c r="AJ112" s="18">
        <f>IF(B112="",0,COUNTIFS('Food Waste'!$E$5:$E$154,B112))</f>
        <v>0</v>
      </c>
      <c r="AK112" s="18">
        <f>IF(B112="","",COUNTIFS($AJ$5:$AJ$304,"&gt;"&amp;AJ112)+COUNTIFS($AJ$5:AJ112,AJ112))</f>
        <v>0</v>
      </c>
      <c r="AL112" s="18">
        <f>IF(B112="","",IF(AG112&gt;0,COUNTIF(AG$5:AG112,"&gt;0"),""))</f>
        <v>0</v>
      </c>
      <c r="AM112" s="45">
        <f>IF(B112="","",SUMIFS('Grocery List'!$Q$5:$Q$304,'Grocery List'!$B$5:$B$304,B112))</f>
        <v>0</v>
      </c>
      <c r="AN112" s="31">
        <f>IF(B112="","",IF(I112="","Add - no price yet",IF(H112="","Add - no pack size",IF(COUNTIFS($B$5:$B$304,B112)&gt;1,"Duplicate - same name twice",IF(AF112=0,"Check - no recipe uses it","OK")))))</f>
        <v>0</v>
      </c>
    </row>
    <row r="113" spans="1:40">
      <c r="A113" s="39">
        <f>IF(B113="","",IngredientPrefix&amp;TEXT(ROW()-4,"0000"))</f>
        <v>0</v>
      </c>
      <c r="J113" s="25">
        <f>IF(OR(H113="",I113=""),"",IF(H113=0,"",I113/H113))</f>
        <v>0</v>
      </c>
      <c r="K113" s="25">
        <f>IF(J113="","",J113*100)</f>
        <v>0</v>
      </c>
      <c r="L113" s="25">
        <f>IF(B113="","",IFERROR(AVERAGEIFS('Grocery Spending'!$L$5:$L$404,'Grocery Spending'!$H$5:$H$404,B113,'Grocery Spending'!$L$5:$L$404,"&gt;0"),""))</f>
        <v>0</v>
      </c>
      <c r="M113" s="25">
        <f>IF(B113="","",IF(COUNTIFS('Store Prices'!$B$5:$B$304,B113)=0,"",IF(SUMPRODUCT(MIN((('Store Prices'!$B$5:$B$304=B113)*(IFERROR('Store Prices'!$I$5:$I$304*1,0)&gt;0))*IFERROR('Store Prices'!$I$5:$I$304*1,0)+(1-(('Store Prices'!$B$5:$B$304=B113)*(IFERROR('Store Prices'!$I$5:$I$304*1,0)&gt;0)))*999999))&gt;=999999,"",SUMPRODUCT(MIN((('Store Prices'!$B$5:$B$304=B113)*(IFERROR('Store Prices'!$I$5:$I$304*1,0)&gt;0))*IFERROR('Store Prices'!$I$5:$I$304*1,0)+(1-(('Store Prices'!$B$5:$B$304=B113)*(IFERROR('Store Prices'!$I$5:$I$304*1,0)&gt;0)))*999999)))))</f>
        <v>0</v>
      </c>
      <c r="N113" s="17">
        <f>IF(M113="","",IFERROR(INDEX('Store Prices'!$C$5:$C$304,MATCH(1,INDEX(('Store Prices'!$B$5:$B$304=B113)*('Store Prices'!$I$5:$I$304=M113),0),0)),""))</f>
        <v>0</v>
      </c>
      <c r="O113" s="25">
        <f>IF(OR(M113="",J113=""),"",MAX(0,(J113-M113)*100))</f>
        <v>0</v>
      </c>
      <c r="AD113" s="45">
        <f>IF(B113="","",SUMIFS(Pantry!$G$5:$G$304,Pantry!$B$5:$B$304,B113))</f>
        <v>0</v>
      </c>
      <c r="AE113" s="25">
        <f>IF(OR(AD113="",J113=""),"",AD113*J113)</f>
        <v>0</v>
      </c>
      <c r="AF113" s="18">
        <f>IF(B113="","",COUNTIFS('Recipe Ingredients'!$D$5:$D$1204,B113))</f>
        <v>0</v>
      </c>
      <c r="AG113" s="45">
        <f>IF(B113="","",SUMIFS('Recipe Ingredients'!$Y$5:$Y$1204,'Recipe Ingredients'!$D$5:$D$1204,B113))</f>
        <v>0</v>
      </c>
      <c r="AH113" s="30">
        <f>IF(B113="",0,IFERROR(K113*1,0)*IFERROR(AF113*1,0))</f>
        <v>0</v>
      </c>
      <c r="AI113" s="18">
        <f>IF(B113="","",COUNTIFS($AH$5:$AH$304,"&gt;"&amp;AH113)+COUNTIFS($AH$5:AH113,AH113))</f>
        <v>0</v>
      </c>
      <c r="AJ113" s="18">
        <f>IF(B113="",0,COUNTIFS('Food Waste'!$E$5:$E$154,B113))</f>
        <v>0</v>
      </c>
      <c r="AK113" s="18">
        <f>IF(B113="","",COUNTIFS($AJ$5:$AJ$304,"&gt;"&amp;AJ113)+COUNTIFS($AJ$5:AJ113,AJ113))</f>
        <v>0</v>
      </c>
      <c r="AL113" s="18">
        <f>IF(B113="","",IF(AG113&gt;0,COUNTIF(AG$5:AG113,"&gt;0"),""))</f>
        <v>0</v>
      </c>
      <c r="AM113" s="45">
        <f>IF(B113="","",SUMIFS('Grocery List'!$Q$5:$Q$304,'Grocery List'!$B$5:$B$304,B113))</f>
        <v>0</v>
      </c>
      <c r="AN113" s="31">
        <f>IF(B113="","",IF(I113="","Add - no price yet",IF(H113="","Add - no pack size",IF(COUNTIFS($B$5:$B$304,B113)&gt;1,"Duplicate - same name twice",IF(AF113=0,"Check - no recipe uses it","OK")))))</f>
        <v>0</v>
      </c>
    </row>
    <row r="114" spans="1:40">
      <c r="A114" s="39">
        <f>IF(B114="","",IngredientPrefix&amp;TEXT(ROW()-4,"0000"))</f>
        <v>0</v>
      </c>
      <c r="J114" s="25">
        <f>IF(OR(H114="",I114=""),"",IF(H114=0,"",I114/H114))</f>
        <v>0</v>
      </c>
      <c r="K114" s="25">
        <f>IF(J114="","",J114*100)</f>
        <v>0</v>
      </c>
      <c r="L114" s="25">
        <f>IF(B114="","",IFERROR(AVERAGEIFS('Grocery Spending'!$L$5:$L$404,'Grocery Spending'!$H$5:$H$404,B114,'Grocery Spending'!$L$5:$L$404,"&gt;0"),""))</f>
        <v>0</v>
      </c>
      <c r="M114" s="25">
        <f>IF(B114="","",IF(COUNTIFS('Store Prices'!$B$5:$B$304,B114)=0,"",IF(SUMPRODUCT(MIN((('Store Prices'!$B$5:$B$304=B114)*(IFERROR('Store Prices'!$I$5:$I$304*1,0)&gt;0))*IFERROR('Store Prices'!$I$5:$I$304*1,0)+(1-(('Store Prices'!$B$5:$B$304=B114)*(IFERROR('Store Prices'!$I$5:$I$304*1,0)&gt;0)))*999999))&gt;=999999,"",SUMPRODUCT(MIN((('Store Prices'!$B$5:$B$304=B114)*(IFERROR('Store Prices'!$I$5:$I$304*1,0)&gt;0))*IFERROR('Store Prices'!$I$5:$I$304*1,0)+(1-(('Store Prices'!$B$5:$B$304=B114)*(IFERROR('Store Prices'!$I$5:$I$304*1,0)&gt;0)))*999999)))))</f>
        <v>0</v>
      </c>
      <c r="N114" s="17">
        <f>IF(M114="","",IFERROR(INDEX('Store Prices'!$C$5:$C$304,MATCH(1,INDEX(('Store Prices'!$B$5:$B$304=B114)*('Store Prices'!$I$5:$I$304=M114),0),0)),""))</f>
        <v>0</v>
      </c>
      <c r="O114" s="25">
        <f>IF(OR(M114="",J114=""),"",MAX(0,(J114-M114)*100))</f>
        <v>0</v>
      </c>
      <c r="AD114" s="45">
        <f>IF(B114="","",SUMIFS(Pantry!$G$5:$G$304,Pantry!$B$5:$B$304,B114))</f>
        <v>0</v>
      </c>
      <c r="AE114" s="25">
        <f>IF(OR(AD114="",J114=""),"",AD114*J114)</f>
        <v>0</v>
      </c>
      <c r="AF114" s="18">
        <f>IF(B114="","",COUNTIFS('Recipe Ingredients'!$D$5:$D$1204,B114))</f>
        <v>0</v>
      </c>
      <c r="AG114" s="45">
        <f>IF(B114="","",SUMIFS('Recipe Ingredients'!$Y$5:$Y$1204,'Recipe Ingredients'!$D$5:$D$1204,B114))</f>
        <v>0</v>
      </c>
      <c r="AH114" s="30">
        <f>IF(B114="",0,IFERROR(K114*1,0)*IFERROR(AF114*1,0))</f>
        <v>0</v>
      </c>
      <c r="AI114" s="18">
        <f>IF(B114="","",COUNTIFS($AH$5:$AH$304,"&gt;"&amp;AH114)+COUNTIFS($AH$5:AH114,AH114))</f>
        <v>0</v>
      </c>
      <c r="AJ114" s="18">
        <f>IF(B114="",0,COUNTIFS('Food Waste'!$E$5:$E$154,B114))</f>
        <v>0</v>
      </c>
      <c r="AK114" s="18">
        <f>IF(B114="","",COUNTIFS($AJ$5:$AJ$304,"&gt;"&amp;AJ114)+COUNTIFS($AJ$5:AJ114,AJ114))</f>
        <v>0</v>
      </c>
      <c r="AL114" s="18">
        <f>IF(B114="","",IF(AG114&gt;0,COUNTIF(AG$5:AG114,"&gt;0"),""))</f>
        <v>0</v>
      </c>
      <c r="AM114" s="45">
        <f>IF(B114="","",SUMIFS('Grocery List'!$Q$5:$Q$304,'Grocery List'!$B$5:$B$304,B114))</f>
        <v>0</v>
      </c>
      <c r="AN114" s="31">
        <f>IF(B114="","",IF(I114="","Add - no price yet",IF(H114="","Add - no pack size",IF(COUNTIFS($B$5:$B$304,B114)&gt;1,"Duplicate - same name twice",IF(AF114=0,"Check - no recipe uses it","OK")))))</f>
        <v>0</v>
      </c>
    </row>
    <row r="115" spans="1:40">
      <c r="A115" s="39">
        <f>IF(B115="","",IngredientPrefix&amp;TEXT(ROW()-4,"0000"))</f>
        <v>0</v>
      </c>
      <c r="J115" s="25">
        <f>IF(OR(H115="",I115=""),"",IF(H115=0,"",I115/H115))</f>
        <v>0</v>
      </c>
      <c r="K115" s="25">
        <f>IF(J115="","",J115*100)</f>
        <v>0</v>
      </c>
      <c r="L115" s="25">
        <f>IF(B115="","",IFERROR(AVERAGEIFS('Grocery Spending'!$L$5:$L$404,'Grocery Spending'!$H$5:$H$404,B115,'Grocery Spending'!$L$5:$L$404,"&gt;0"),""))</f>
        <v>0</v>
      </c>
      <c r="M115" s="25">
        <f>IF(B115="","",IF(COUNTIFS('Store Prices'!$B$5:$B$304,B115)=0,"",IF(SUMPRODUCT(MIN((('Store Prices'!$B$5:$B$304=B115)*(IFERROR('Store Prices'!$I$5:$I$304*1,0)&gt;0))*IFERROR('Store Prices'!$I$5:$I$304*1,0)+(1-(('Store Prices'!$B$5:$B$304=B115)*(IFERROR('Store Prices'!$I$5:$I$304*1,0)&gt;0)))*999999))&gt;=999999,"",SUMPRODUCT(MIN((('Store Prices'!$B$5:$B$304=B115)*(IFERROR('Store Prices'!$I$5:$I$304*1,0)&gt;0))*IFERROR('Store Prices'!$I$5:$I$304*1,0)+(1-(('Store Prices'!$B$5:$B$304=B115)*(IFERROR('Store Prices'!$I$5:$I$304*1,0)&gt;0)))*999999)))))</f>
        <v>0</v>
      </c>
      <c r="N115" s="17">
        <f>IF(M115="","",IFERROR(INDEX('Store Prices'!$C$5:$C$304,MATCH(1,INDEX(('Store Prices'!$B$5:$B$304=B115)*('Store Prices'!$I$5:$I$304=M115),0),0)),""))</f>
        <v>0</v>
      </c>
      <c r="O115" s="25">
        <f>IF(OR(M115="",J115=""),"",MAX(0,(J115-M115)*100))</f>
        <v>0</v>
      </c>
      <c r="AD115" s="45">
        <f>IF(B115="","",SUMIFS(Pantry!$G$5:$G$304,Pantry!$B$5:$B$304,B115))</f>
        <v>0</v>
      </c>
      <c r="AE115" s="25">
        <f>IF(OR(AD115="",J115=""),"",AD115*J115)</f>
        <v>0</v>
      </c>
      <c r="AF115" s="18">
        <f>IF(B115="","",COUNTIFS('Recipe Ingredients'!$D$5:$D$1204,B115))</f>
        <v>0</v>
      </c>
      <c r="AG115" s="45">
        <f>IF(B115="","",SUMIFS('Recipe Ingredients'!$Y$5:$Y$1204,'Recipe Ingredients'!$D$5:$D$1204,B115))</f>
        <v>0</v>
      </c>
      <c r="AH115" s="30">
        <f>IF(B115="",0,IFERROR(K115*1,0)*IFERROR(AF115*1,0))</f>
        <v>0</v>
      </c>
      <c r="AI115" s="18">
        <f>IF(B115="","",COUNTIFS($AH$5:$AH$304,"&gt;"&amp;AH115)+COUNTIFS($AH$5:AH115,AH115))</f>
        <v>0</v>
      </c>
      <c r="AJ115" s="18">
        <f>IF(B115="",0,COUNTIFS('Food Waste'!$E$5:$E$154,B115))</f>
        <v>0</v>
      </c>
      <c r="AK115" s="18">
        <f>IF(B115="","",COUNTIFS($AJ$5:$AJ$304,"&gt;"&amp;AJ115)+COUNTIFS($AJ$5:AJ115,AJ115))</f>
        <v>0</v>
      </c>
      <c r="AL115" s="18">
        <f>IF(B115="","",IF(AG115&gt;0,COUNTIF(AG$5:AG115,"&gt;0"),""))</f>
        <v>0</v>
      </c>
      <c r="AM115" s="45">
        <f>IF(B115="","",SUMIFS('Grocery List'!$Q$5:$Q$304,'Grocery List'!$B$5:$B$304,B115))</f>
        <v>0</v>
      </c>
      <c r="AN115" s="31">
        <f>IF(B115="","",IF(I115="","Add - no price yet",IF(H115="","Add - no pack size",IF(COUNTIFS($B$5:$B$304,B115)&gt;1,"Duplicate - same name twice",IF(AF115=0,"Check - no recipe uses it","OK")))))</f>
        <v>0</v>
      </c>
    </row>
    <row r="116" spans="1:40">
      <c r="A116" s="39">
        <f>IF(B116="","",IngredientPrefix&amp;TEXT(ROW()-4,"0000"))</f>
        <v>0</v>
      </c>
      <c r="J116" s="25">
        <f>IF(OR(H116="",I116=""),"",IF(H116=0,"",I116/H116))</f>
        <v>0</v>
      </c>
      <c r="K116" s="25">
        <f>IF(J116="","",J116*100)</f>
        <v>0</v>
      </c>
      <c r="L116" s="25">
        <f>IF(B116="","",IFERROR(AVERAGEIFS('Grocery Spending'!$L$5:$L$404,'Grocery Spending'!$H$5:$H$404,B116,'Grocery Spending'!$L$5:$L$404,"&gt;0"),""))</f>
        <v>0</v>
      </c>
      <c r="M116" s="25">
        <f>IF(B116="","",IF(COUNTIFS('Store Prices'!$B$5:$B$304,B116)=0,"",IF(SUMPRODUCT(MIN((('Store Prices'!$B$5:$B$304=B116)*(IFERROR('Store Prices'!$I$5:$I$304*1,0)&gt;0))*IFERROR('Store Prices'!$I$5:$I$304*1,0)+(1-(('Store Prices'!$B$5:$B$304=B116)*(IFERROR('Store Prices'!$I$5:$I$304*1,0)&gt;0)))*999999))&gt;=999999,"",SUMPRODUCT(MIN((('Store Prices'!$B$5:$B$304=B116)*(IFERROR('Store Prices'!$I$5:$I$304*1,0)&gt;0))*IFERROR('Store Prices'!$I$5:$I$304*1,0)+(1-(('Store Prices'!$B$5:$B$304=B116)*(IFERROR('Store Prices'!$I$5:$I$304*1,0)&gt;0)))*999999)))))</f>
        <v>0</v>
      </c>
      <c r="N116" s="17">
        <f>IF(M116="","",IFERROR(INDEX('Store Prices'!$C$5:$C$304,MATCH(1,INDEX(('Store Prices'!$B$5:$B$304=B116)*('Store Prices'!$I$5:$I$304=M116),0),0)),""))</f>
        <v>0</v>
      </c>
      <c r="O116" s="25">
        <f>IF(OR(M116="",J116=""),"",MAX(0,(J116-M116)*100))</f>
        <v>0</v>
      </c>
      <c r="AD116" s="45">
        <f>IF(B116="","",SUMIFS(Pantry!$G$5:$G$304,Pantry!$B$5:$B$304,B116))</f>
        <v>0</v>
      </c>
      <c r="AE116" s="25">
        <f>IF(OR(AD116="",J116=""),"",AD116*J116)</f>
        <v>0</v>
      </c>
      <c r="AF116" s="18">
        <f>IF(B116="","",COUNTIFS('Recipe Ingredients'!$D$5:$D$1204,B116))</f>
        <v>0</v>
      </c>
      <c r="AG116" s="45">
        <f>IF(B116="","",SUMIFS('Recipe Ingredients'!$Y$5:$Y$1204,'Recipe Ingredients'!$D$5:$D$1204,B116))</f>
        <v>0</v>
      </c>
      <c r="AH116" s="30">
        <f>IF(B116="",0,IFERROR(K116*1,0)*IFERROR(AF116*1,0))</f>
        <v>0</v>
      </c>
      <c r="AI116" s="18">
        <f>IF(B116="","",COUNTIFS($AH$5:$AH$304,"&gt;"&amp;AH116)+COUNTIFS($AH$5:AH116,AH116))</f>
        <v>0</v>
      </c>
      <c r="AJ116" s="18">
        <f>IF(B116="",0,COUNTIFS('Food Waste'!$E$5:$E$154,B116))</f>
        <v>0</v>
      </c>
      <c r="AK116" s="18">
        <f>IF(B116="","",COUNTIFS($AJ$5:$AJ$304,"&gt;"&amp;AJ116)+COUNTIFS($AJ$5:AJ116,AJ116))</f>
        <v>0</v>
      </c>
      <c r="AL116" s="18">
        <f>IF(B116="","",IF(AG116&gt;0,COUNTIF(AG$5:AG116,"&gt;0"),""))</f>
        <v>0</v>
      </c>
      <c r="AM116" s="45">
        <f>IF(B116="","",SUMIFS('Grocery List'!$Q$5:$Q$304,'Grocery List'!$B$5:$B$304,B116))</f>
        <v>0</v>
      </c>
      <c r="AN116" s="31">
        <f>IF(B116="","",IF(I116="","Add - no price yet",IF(H116="","Add - no pack size",IF(COUNTIFS($B$5:$B$304,B116)&gt;1,"Duplicate - same name twice",IF(AF116=0,"Check - no recipe uses it","OK")))))</f>
        <v>0</v>
      </c>
    </row>
    <row r="117" spans="1:40">
      <c r="A117" s="39">
        <f>IF(B117="","",IngredientPrefix&amp;TEXT(ROW()-4,"0000"))</f>
        <v>0</v>
      </c>
      <c r="J117" s="25">
        <f>IF(OR(H117="",I117=""),"",IF(H117=0,"",I117/H117))</f>
        <v>0</v>
      </c>
      <c r="K117" s="25">
        <f>IF(J117="","",J117*100)</f>
        <v>0</v>
      </c>
      <c r="L117" s="25">
        <f>IF(B117="","",IFERROR(AVERAGEIFS('Grocery Spending'!$L$5:$L$404,'Grocery Spending'!$H$5:$H$404,B117,'Grocery Spending'!$L$5:$L$404,"&gt;0"),""))</f>
        <v>0</v>
      </c>
      <c r="M117" s="25">
        <f>IF(B117="","",IF(COUNTIFS('Store Prices'!$B$5:$B$304,B117)=0,"",IF(SUMPRODUCT(MIN((('Store Prices'!$B$5:$B$304=B117)*(IFERROR('Store Prices'!$I$5:$I$304*1,0)&gt;0))*IFERROR('Store Prices'!$I$5:$I$304*1,0)+(1-(('Store Prices'!$B$5:$B$304=B117)*(IFERROR('Store Prices'!$I$5:$I$304*1,0)&gt;0)))*999999))&gt;=999999,"",SUMPRODUCT(MIN((('Store Prices'!$B$5:$B$304=B117)*(IFERROR('Store Prices'!$I$5:$I$304*1,0)&gt;0))*IFERROR('Store Prices'!$I$5:$I$304*1,0)+(1-(('Store Prices'!$B$5:$B$304=B117)*(IFERROR('Store Prices'!$I$5:$I$304*1,0)&gt;0)))*999999)))))</f>
        <v>0</v>
      </c>
      <c r="N117" s="17">
        <f>IF(M117="","",IFERROR(INDEX('Store Prices'!$C$5:$C$304,MATCH(1,INDEX(('Store Prices'!$B$5:$B$304=B117)*('Store Prices'!$I$5:$I$304=M117),0),0)),""))</f>
        <v>0</v>
      </c>
      <c r="O117" s="25">
        <f>IF(OR(M117="",J117=""),"",MAX(0,(J117-M117)*100))</f>
        <v>0</v>
      </c>
      <c r="AD117" s="45">
        <f>IF(B117="","",SUMIFS(Pantry!$G$5:$G$304,Pantry!$B$5:$B$304,B117))</f>
        <v>0</v>
      </c>
      <c r="AE117" s="25">
        <f>IF(OR(AD117="",J117=""),"",AD117*J117)</f>
        <v>0</v>
      </c>
      <c r="AF117" s="18">
        <f>IF(B117="","",COUNTIFS('Recipe Ingredients'!$D$5:$D$1204,B117))</f>
        <v>0</v>
      </c>
      <c r="AG117" s="45">
        <f>IF(B117="","",SUMIFS('Recipe Ingredients'!$Y$5:$Y$1204,'Recipe Ingredients'!$D$5:$D$1204,B117))</f>
        <v>0</v>
      </c>
      <c r="AH117" s="30">
        <f>IF(B117="",0,IFERROR(K117*1,0)*IFERROR(AF117*1,0))</f>
        <v>0</v>
      </c>
      <c r="AI117" s="18">
        <f>IF(B117="","",COUNTIFS($AH$5:$AH$304,"&gt;"&amp;AH117)+COUNTIFS($AH$5:AH117,AH117))</f>
        <v>0</v>
      </c>
      <c r="AJ117" s="18">
        <f>IF(B117="",0,COUNTIFS('Food Waste'!$E$5:$E$154,B117))</f>
        <v>0</v>
      </c>
      <c r="AK117" s="18">
        <f>IF(B117="","",COUNTIFS($AJ$5:$AJ$304,"&gt;"&amp;AJ117)+COUNTIFS($AJ$5:AJ117,AJ117))</f>
        <v>0</v>
      </c>
      <c r="AL117" s="18">
        <f>IF(B117="","",IF(AG117&gt;0,COUNTIF(AG$5:AG117,"&gt;0"),""))</f>
        <v>0</v>
      </c>
      <c r="AM117" s="45">
        <f>IF(B117="","",SUMIFS('Grocery List'!$Q$5:$Q$304,'Grocery List'!$B$5:$B$304,B117))</f>
        <v>0</v>
      </c>
      <c r="AN117" s="31">
        <f>IF(B117="","",IF(I117="","Add - no price yet",IF(H117="","Add - no pack size",IF(COUNTIFS($B$5:$B$304,B117)&gt;1,"Duplicate - same name twice",IF(AF117=0,"Check - no recipe uses it","OK")))))</f>
        <v>0</v>
      </c>
    </row>
    <row r="118" spans="1:40">
      <c r="A118" s="39">
        <f>IF(B118="","",IngredientPrefix&amp;TEXT(ROW()-4,"0000"))</f>
        <v>0</v>
      </c>
      <c r="J118" s="25">
        <f>IF(OR(H118="",I118=""),"",IF(H118=0,"",I118/H118))</f>
        <v>0</v>
      </c>
      <c r="K118" s="25">
        <f>IF(J118="","",J118*100)</f>
        <v>0</v>
      </c>
      <c r="L118" s="25">
        <f>IF(B118="","",IFERROR(AVERAGEIFS('Grocery Spending'!$L$5:$L$404,'Grocery Spending'!$H$5:$H$404,B118,'Grocery Spending'!$L$5:$L$404,"&gt;0"),""))</f>
        <v>0</v>
      </c>
      <c r="M118" s="25">
        <f>IF(B118="","",IF(COUNTIFS('Store Prices'!$B$5:$B$304,B118)=0,"",IF(SUMPRODUCT(MIN((('Store Prices'!$B$5:$B$304=B118)*(IFERROR('Store Prices'!$I$5:$I$304*1,0)&gt;0))*IFERROR('Store Prices'!$I$5:$I$304*1,0)+(1-(('Store Prices'!$B$5:$B$304=B118)*(IFERROR('Store Prices'!$I$5:$I$304*1,0)&gt;0)))*999999))&gt;=999999,"",SUMPRODUCT(MIN((('Store Prices'!$B$5:$B$304=B118)*(IFERROR('Store Prices'!$I$5:$I$304*1,0)&gt;0))*IFERROR('Store Prices'!$I$5:$I$304*1,0)+(1-(('Store Prices'!$B$5:$B$304=B118)*(IFERROR('Store Prices'!$I$5:$I$304*1,0)&gt;0)))*999999)))))</f>
        <v>0</v>
      </c>
      <c r="N118" s="17">
        <f>IF(M118="","",IFERROR(INDEX('Store Prices'!$C$5:$C$304,MATCH(1,INDEX(('Store Prices'!$B$5:$B$304=B118)*('Store Prices'!$I$5:$I$304=M118),0),0)),""))</f>
        <v>0</v>
      </c>
      <c r="O118" s="25">
        <f>IF(OR(M118="",J118=""),"",MAX(0,(J118-M118)*100))</f>
        <v>0</v>
      </c>
      <c r="AD118" s="45">
        <f>IF(B118="","",SUMIFS(Pantry!$G$5:$G$304,Pantry!$B$5:$B$304,B118))</f>
        <v>0</v>
      </c>
      <c r="AE118" s="25">
        <f>IF(OR(AD118="",J118=""),"",AD118*J118)</f>
        <v>0</v>
      </c>
      <c r="AF118" s="18">
        <f>IF(B118="","",COUNTIFS('Recipe Ingredients'!$D$5:$D$1204,B118))</f>
        <v>0</v>
      </c>
      <c r="AG118" s="45">
        <f>IF(B118="","",SUMIFS('Recipe Ingredients'!$Y$5:$Y$1204,'Recipe Ingredients'!$D$5:$D$1204,B118))</f>
        <v>0</v>
      </c>
      <c r="AH118" s="30">
        <f>IF(B118="",0,IFERROR(K118*1,0)*IFERROR(AF118*1,0))</f>
        <v>0</v>
      </c>
      <c r="AI118" s="18">
        <f>IF(B118="","",COUNTIFS($AH$5:$AH$304,"&gt;"&amp;AH118)+COUNTIFS($AH$5:AH118,AH118))</f>
        <v>0</v>
      </c>
      <c r="AJ118" s="18">
        <f>IF(B118="",0,COUNTIFS('Food Waste'!$E$5:$E$154,B118))</f>
        <v>0</v>
      </c>
      <c r="AK118" s="18">
        <f>IF(B118="","",COUNTIFS($AJ$5:$AJ$304,"&gt;"&amp;AJ118)+COUNTIFS($AJ$5:AJ118,AJ118))</f>
        <v>0</v>
      </c>
      <c r="AL118" s="18">
        <f>IF(B118="","",IF(AG118&gt;0,COUNTIF(AG$5:AG118,"&gt;0"),""))</f>
        <v>0</v>
      </c>
      <c r="AM118" s="45">
        <f>IF(B118="","",SUMIFS('Grocery List'!$Q$5:$Q$304,'Grocery List'!$B$5:$B$304,B118))</f>
        <v>0</v>
      </c>
      <c r="AN118" s="31">
        <f>IF(B118="","",IF(I118="","Add - no price yet",IF(H118="","Add - no pack size",IF(COUNTIFS($B$5:$B$304,B118)&gt;1,"Duplicate - same name twice",IF(AF118=0,"Check - no recipe uses it","OK")))))</f>
        <v>0</v>
      </c>
    </row>
    <row r="119" spans="1:40">
      <c r="A119" s="39">
        <f>IF(B119="","",IngredientPrefix&amp;TEXT(ROW()-4,"0000"))</f>
        <v>0</v>
      </c>
      <c r="J119" s="25">
        <f>IF(OR(H119="",I119=""),"",IF(H119=0,"",I119/H119))</f>
        <v>0</v>
      </c>
      <c r="K119" s="25">
        <f>IF(J119="","",J119*100)</f>
        <v>0</v>
      </c>
      <c r="L119" s="25">
        <f>IF(B119="","",IFERROR(AVERAGEIFS('Grocery Spending'!$L$5:$L$404,'Grocery Spending'!$H$5:$H$404,B119,'Grocery Spending'!$L$5:$L$404,"&gt;0"),""))</f>
        <v>0</v>
      </c>
      <c r="M119" s="25">
        <f>IF(B119="","",IF(COUNTIFS('Store Prices'!$B$5:$B$304,B119)=0,"",IF(SUMPRODUCT(MIN((('Store Prices'!$B$5:$B$304=B119)*(IFERROR('Store Prices'!$I$5:$I$304*1,0)&gt;0))*IFERROR('Store Prices'!$I$5:$I$304*1,0)+(1-(('Store Prices'!$B$5:$B$304=B119)*(IFERROR('Store Prices'!$I$5:$I$304*1,0)&gt;0)))*999999))&gt;=999999,"",SUMPRODUCT(MIN((('Store Prices'!$B$5:$B$304=B119)*(IFERROR('Store Prices'!$I$5:$I$304*1,0)&gt;0))*IFERROR('Store Prices'!$I$5:$I$304*1,0)+(1-(('Store Prices'!$B$5:$B$304=B119)*(IFERROR('Store Prices'!$I$5:$I$304*1,0)&gt;0)))*999999)))))</f>
        <v>0</v>
      </c>
      <c r="N119" s="17">
        <f>IF(M119="","",IFERROR(INDEX('Store Prices'!$C$5:$C$304,MATCH(1,INDEX(('Store Prices'!$B$5:$B$304=B119)*('Store Prices'!$I$5:$I$304=M119),0),0)),""))</f>
        <v>0</v>
      </c>
      <c r="O119" s="25">
        <f>IF(OR(M119="",J119=""),"",MAX(0,(J119-M119)*100))</f>
        <v>0</v>
      </c>
      <c r="AD119" s="45">
        <f>IF(B119="","",SUMIFS(Pantry!$G$5:$G$304,Pantry!$B$5:$B$304,B119))</f>
        <v>0</v>
      </c>
      <c r="AE119" s="25">
        <f>IF(OR(AD119="",J119=""),"",AD119*J119)</f>
        <v>0</v>
      </c>
      <c r="AF119" s="18">
        <f>IF(B119="","",COUNTIFS('Recipe Ingredients'!$D$5:$D$1204,B119))</f>
        <v>0</v>
      </c>
      <c r="AG119" s="45">
        <f>IF(B119="","",SUMIFS('Recipe Ingredients'!$Y$5:$Y$1204,'Recipe Ingredients'!$D$5:$D$1204,B119))</f>
        <v>0</v>
      </c>
      <c r="AH119" s="30">
        <f>IF(B119="",0,IFERROR(K119*1,0)*IFERROR(AF119*1,0))</f>
        <v>0</v>
      </c>
      <c r="AI119" s="18">
        <f>IF(B119="","",COUNTIFS($AH$5:$AH$304,"&gt;"&amp;AH119)+COUNTIFS($AH$5:AH119,AH119))</f>
        <v>0</v>
      </c>
      <c r="AJ119" s="18">
        <f>IF(B119="",0,COUNTIFS('Food Waste'!$E$5:$E$154,B119))</f>
        <v>0</v>
      </c>
      <c r="AK119" s="18">
        <f>IF(B119="","",COUNTIFS($AJ$5:$AJ$304,"&gt;"&amp;AJ119)+COUNTIFS($AJ$5:AJ119,AJ119))</f>
        <v>0</v>
      </c>
      <c r="AL119" s="18">
        <f>IF(B119="","",IF(AG119&gt;0,COUNTIF(AG$5:AG119,"&gt;0"),""))</f>
        <v>0</v>
      </c>
      <c r="AM119" s="45">
        <f>IF(B119="","",SUMIFS('Grocery List'!$Q$5:$Q$304,'Grocery List'!$B$5:$B$304,B119))</f>
        <v>0</v>
      </c>
      <c r="AN119" s="31">
        <f>IF(B119="","",IF(I119="","Add - no price yet",IF(H119="","Add - no pack size",IF(COUNTIFS($B$5:$B$304,B119)&gt;1,"Duplicate - same name twice",IF(AF119=0,"Check - no recipe uses it","OK")))))</f>
        <v>0</v>
      </c>
    </row>
    <row r="120" spans="1:40">
      <c r="A120" s="39">
        <f>IF(B120="","",IngredientPrefix&amp;TEXT(ROW()-4,"0000"))</f>
        <v>0</v>
      </c>
      <c r="J120" s="25">
        <f>IF(OR(H120="",I120=""),"",IF(H120=0,"",I120/H120))</f>
        <v>0</v>
      </c>
      <c r="K120" s="25">
        <f>IF(J120="","",J120*100)</f>
        <v>0</v>
      </c>
      <c r="L120" s="25">
        <f>IF(B120="","",IFERROR(AVERAGEIFS('Grocery Spending'!$L$5:$L$404,'Grocery Spending'!$H$5:$H$404,B120,'Grocery Spending'!$L$5:$L$404,"&gt;0"),""))</f>
        <v>0</v>
      </c>
      <c r="M120" s="25">
        <f>IF(B120="","",IF(COUNTIFS('Store Prices'!$B$5:$B$304,B120)=0,"",IF(SUMPRODUCT(MIN((('Store Prices'!$B$5:$B$304=B120)*(IFERROR('Store Prices'!$I$5:$I$304*1,0)&gt;0))*IFERROR('Store Prices'!$I$5:$I$304*1,0)+(1-(('Store Prices'!$B$5:$B$304=B120)*(IFERROR('Store Prices'!$I$5:$I$304*1,0)&gt;0)))*999999))&gt;=999999,"",SUMPRODUCT(MIN((('Store Prices'!$B$5:$B$304=B120)*(IFERROR('Store Prices'!$I$5:$I$304*1,0)&gt;0))*IFERROR('Store Prices'!$I$5:$I$304*1,0)+(1-(('Store Prices'!$B$5:$B$304=B120)*(IFERROR('Store Prices'!$I$5:$I$304*1,0)&gt;0)))*999999)))))</f>
        <v>0</v>
      </c>
      <c r="N120" s="17">
        <f>IF(M120="","",IFERROR(INDEX('Store Prices'!$C$5:$C$304,MATCH(1,INDEX(('Store Prices'!$B$5:$B$304=B120)*('Store Prices'!$I$5:$I$304=M120),0),0)),""))</f>
        <v>0</v>
      </c>
      <c r="O120" s="25">
        <f>IF(OR(M120="",J120=""),"",MAX(0,(J120-M120)*100))</f>
        <v>0</v>
      </c>
      <c r="AD120" s="45">
        <f>IF(B120="","",SUMIFS(Pantry!$G$5:$G$304,Pantry!$B$5:$B$304,B120))</f>
        <v>0</v>
      </c>
      <c r="AE120" s="25">
        <f>IF(OR(AD120="",J120=""),"",AD120*J120)</f>
        <v>0</v>
      </c>
      <c r="AF120" s="18">
        <f>IF(B120="","",COUNTIFS('Recipe Ingredients'!$D$5:$D$1204,B120))</f>
        <v>0</v>
      </c>
      <c r="AG120" s="45">
        <f>IF(B120="","",SUMIFS('Recipe Ingredients'!$Y$5:$Y$1204,'Recipe Ingredients'!$D$5:$D$1204,B120))</f>
        <v>0</v>
      </c>
      <c r="AH120" s="30">
        <f>IF(B120="",0,IFERROR(K120*1,0)*IFERROR(AF120*1,0))</f>
        <v>0</v>
      </c>
      <c r="AI120" s="18">
        <f>IF(B120="","",COUNTIFS($AH$5:$AH$304,"&gt;"&amp;AH120)+COUNTIFS($AH$5:AH120,AH120))</f>
        <v>0</v>
      </c>
      <c r="AJ120" s="18">
        <f>IF(B120="",0,COUNTIFS('Food Waste'!$E$5:$E$154,B120))</f>
        <v>0</v>
      </c>
      <c r="AK120" s="18">
        <f>IF(B120="","",COUNTIFS($AJ$5:$AJ$304,"&gt;"&amp;AJ120)+COUNTIFS($AJ$5:AJ120,AJ120))</f>
        <v>0</v>
      </c>
      <c r="AL120" s="18">
        <f>IF(B120="","",IF(AG120&gt;0,COUNTIF(AG$5:AG120,"&gt;0"),""))</f>
        <v>0</v>
      </c>
      <c r="AM120" s="45">
        <f>IF(B120="","",SUMIFS('Grocery List'!$Q$5:$Q$304,'Grocery List'!$B$5:$B$304,B120))</f>
        <v>0</v>
      </c>
      <c r="AN120" s="31">
        <f>IF(B120="","",IF(I120="","Add - no price yet",IF(H120="","Add - no pack size",IF(COUNTIFS($B$5:$B$304,B120)&gt;1,"Duplicate - same name twice",IF(AF120=0,"Check - no recipe uses it","OK")))))</f>
        <v>0</v>
      </c>
    </row>
    <row r="121" spans="1:40">
      <c r="A121" s="39">
        <f>IF(B121="","",IngredientPrefix&amp;TEXT(ROW()-4,"0000"))</f>
        <v>0</v>
      </c>
      <c r="J121" s="25">
        <f>IF(OR(H121="",I121=""),"",IF(H121=0,"",I121/H121))</f>
        <v>0</v>
      </c>
      <c r="K121" s="25">
        <f>IF(J121="","",J121*100)</f>
        <v>0</v>
      </c>
      <c r="L121" s="25">
        <f>IF(B121="","",IFERROR(AVERAGEIFS('Grocery Spending'!$L$5:$L$404,'Grocery Spending'!$H$5:$H$404,B121,'Grocery Spending'!$L$5:$L$404,"&gt;0"),""))</f>
        <v>0</v>
      </c>
      <c r="M121" s="25">
        <f>IF(B121="","",IF(COUNTIFS('Store Prices'!$B$5:$B$304,B121)=0,"",IF(SUMPRODUCT(MIN((('Store Prices'!$B$5:$B$304=B121)*(IFERROR('Store Prices'!$I$5:$I$304*1,0)&gt;0))*IFERROR('Store Prices'!$I$5:$I$304*1,0)+(1-(('Store Prices'!$B$5:$B$304=B121)*(IFERROR('Store Prices'!$I$5:$I$304*1,0)&gt;0)))*999999))&gt;=999999,"",SUMPRODUCT(MIN((('Store Prices'!$B$5:$B$304=B121)*(IFERROR('Store Prices'!$I$5:$I$304*1,0)&gt;0))*IFERROR('Store Prices'!$I$5:$I$304*1,0)+(1-(('Store Prices'!$B$5:$B$304=B121)*(IFERROR('Store Prices'!$I$5:$I$304*1,0)&gt;0)))*999999)))))</f>
        <v>0</v>
      </c>
      <c r="N121" s="17">
        <f>IF(M121="","",IFERROR(INDEX('Store Prices'!$C$5:$C$304,MATCH(1,INDEX(('Store Prices'!$B$5:$B$304=B121)*('Store Prices'!$I$5:$I$304=M121),0),0)),""))</f>
        <v>0</v>
      </c>
      <c r="O121" s="25">
        <f>IF(OR(M121="",J121=""),"",MAX(0,(J121-M121)*100))</f>
        <v>0</v>
      </c>
      <c r="AD121" s="45">
        <f>IF(B121="","",SUMIFS(Pantry!$G$5:$G$304,Pantry!$B$5:$B$304,B121))</f>
        <v>0</v>
      </c>
      <c r="AE121" s="25">
        <f>IF(OR(AD121="",J121=""),"",AD121*J121)</f>
        <v>0</v>
      </c>
      <c r="AF121" s="18">
        <f>IF(B121="","",COUNTIFS('Recipe Ingredients'!$D$5:$D$1204,B121))</f>
        <v>0</v>
      </c>
      <c r="AG121" s="45">
        <f>IF(B121="","",SUMIFS('Recipe Ingredients'!$Y$5:$Y$1204,'Recipe Ingredients'!$D$5:$D$1204,B121))</f>
        <v>0</v>
      </c>
      <c r="AH121" s="30">
        <f>IF(B121="",0,IFERROR(K121*1,0)*IFERROR(AF121*1,0))</f>
        <v>0</v>
      </c>
      <c r="AI121" s="18">
        <f>IF(B121="","",COUNTIFS($AH$5:$AH$304,"&gt;"&amp;AH121)+COUNTIFS($AH$5:AH121,AH121))</f>
        <v>0</v>
      </c>
      <c r="AJ121" s="18">
        <f>IF(B121="",0,COUNTIFS('Food Waste'!$E$5:$E$154,B121))</f>
        <v>0</v>
      </c>
      <c r="AK121" s="18">
        <f>IF(B121="","",COUNTIFS($AJ$5:$AJ$304,"&gt;"&amp;AJ121)+COUNTIFS($AJ$5:AJ121,AJ121))</f>
        <v>0</v>
      </c>
      <c r="AL121" s="18">
        <f>IF(B121="","",IF(AG121&gt;0,COUNTIF(AG$5:AG121,"&gt;0"),""))</f>
        <v>0</v>
      </c>
      <c r="AM121" s="45">
        <f>IF(B121="","",SUMIFS('Grocery List'!$Q$5:$Q$304,'Grocery List'!$B$5:$B$304,B121))</f>
        <v>0</v>
      </c>
      <c r="AN121" s="31">
        <f>IF(B121="","",IF(I121="","Add - no price yet",IF(H121="","Add - no pack size",IF(COUNTIFS($B$5:$B$304,B121)&gt;1,"Duplicate - same name twice",IF(AF121=0,"Check - no recipe uses it","OK")))))</f>
        <v>0</v>
      </c>
    </row>
    <row r="122" spans="1:40">
      <c r="A122" s="39">
        <f>IF(B122="","",IngredientPrefix&amp;TEXT(ROW()-4,"0000"))</f>
        <v>0</v>
      </c>
      <c r="J122" s="25">
        <f>IF(OR(H122="",I122=""),"",IF(H122=0,"",I122/H122))</f>
        <v>0</v>
      </c>
      <c r="K122" s="25">
        <f>IF(J122="","",J122*100)</f>
        <v>0</v>
      </c>
      <c r="L122" s="25">
        <f>IF(B122="","",IFERROR(AVERAGEIFS('Grocery Spending'!$L$5:$L$404,'Grocery Spending'!$H$5:$H$404,B122,'Grocery Spending'!$L$5:$L$404,"&gt;0"),""))</f>
        <v>0</v>
      </c>
      <c r="M122" s="25">
        <f>IF(B122="","",IF(COUNTIFS('Store Prices'!$B$5:$B$304,B122)=0,"",IF(SUMPRODUCT(MIN((('Store Prices'!$B$5:$B$304=B122)*(IFERROR('Store Prices'!$I$5:$I$304*1,0)&gt;0))*IFERROR('Store Prices'!$I$5:$I$304*1,0)+(1-(('Store Prices'!$B$5:$B$304=B122)*(IFERROR('Store Prices'!$I$5:$I$304*1,0)&gt;0)))*999999))&gt;=999999,"",SUMPRODUCT(MIN((('Store Prices'!$B$5:$B$304=B122)*(IFERROR('Store Prices'!$I$5:$I$304*1,0)&gt;0))*IFERROR('Store Prices'!$I$5:$I$304*1,0)+(1-(('Store Prices'!$B$5:$B$304=B122)*(IFERROR('Store Prices'!$I$5:$I$304*1,0)&gt;0)))*999999)))))</f>
        <v>0</v>
      </c>
      <c r="N122" s="17">
        <f>IF(M122="","",IFERROR(INDEX('Store Prices'!$C$5:$C$304,MATCH(1,INDEX(('Store Prices'!$B$5:$B$304=B122)*('Store Prices'!$I$5:$I$304=M122),0),0)),""))</f>
        <v>0</v>
      </c>
      <c r="O122" s="25">
        <f>IF(OR(M122="",J122=""),"",MAX(0,(J122-M122)*100))</f>
        <v>0</v>
      </c>
      <c r="AD122" s="45">
        <f>IF(B122="","",SUMIFS(Pantry!$G$5:$G$304,Pantry!$B$5:$B$304,B122))</f>
        <v>0</v>
      </c>
      <c r="AE122" s="25">
        <f>IF(OR(AD122="",J122=""),"",AD122*J122)</f>
        <v>0</v>
      </c>
      <c r="AF122" s="18">
        <f>IF(B122="","",COUNTIFS('Recipe Ingredients'!$D$5:$D$1204,B122))</f>
        <v>0</v>
      </c>
      <c r="AG122" s="45">
        <f>IF(B122="","",SUMIFS('Recipe Ingredients'!$Y$5:$Y$1204,'Recipe Ingredients'!$D$5:$D$1204,B122))</f>
        <v>0</v>
      </c>
      <c r="AH122" s="30">
        <f>IF(B122="",0,IFERROR(K122*1,0)*IFERROR(AF122*1,0))</f>
        <v>0</v>
      </c>
      <c r="AI122" s="18">
        <f>IF(B122="","",COUNTIFS($AH$5:$AH$304,"&gt;"&amp;AH122)+COUNTIFS($AH$5:AH122,AH122))</f>
        <v>0</v>
      </c>
      <c r="AJ122" s="18">
        <f>IF(B122="",0,COUNTIFS('Food Waste'!$E$5:$E$154,B122))</f>
        <v>0</v>
      </c>
      <c r="AK122" s="18">
        <f>IF(B122="","",COUNTIFS($AJ$5:$AJ$304,"&gt;"&amp;AJ122)+COUNTIFS($AJ$5:AJ122,AJ122))</f>
        <v>0</v>
      </c>
      <c r="AL122" s="18">
        <f>IF(B122="","",IF(AG122&gt;0,COUNTIF(AG$5:AG122,"&gt;0"),""))</f>
        <v>0</v>
      </c>
      <c r="AM122" s="45">
        <f>IF(B122="","",SUMIFS('Grocery List'!$Q$5:$Q$304,'Grocery List'!$B$5:$B$304,B122))</f>
        <v>0</v>
      </c>
      <c r="AN122" s="31">
        <f>IF(B122="","",IF(I122="","Add - no price yet",IF(H122="","Add - no pack size",IF(COUNTIFS($B$5:$B$304,B122)&gt;1,"Duplicate - same name twice",IF(AF122=0,"Check - no recipe uses it","OK")))))</f>
        <v>0</v>
      </c>
    </row>
    <row r="123" spans="1:40">
      <c r="A123" s="39">
        <f>IF(B123="","",IngredientPrefix&amp;TEXT(ROW()-4,"0000"))</f>
        <v>0</v>
      </c>
      <c r="J123" s="25">
        <f>IF(OR(H123="",I123=""),"",IF(H123=0,"",I123/H123))</f>
        <v>0</v>
      </c>
      <c r="K123" s="25">
        <f>IF(J123="","",J123*100)</f>
        <v>0</v>
      </c>
      <c r="L123" s="25">
        <f>IF(B123="","",IFERROR(AVERAGEIFS('Grocery Spending'!$L$5:$L$404,'Grocery Spending'!$H$5:$H$404,B123,'Grocery Spending'!$L$5:$L$404,"&gt;0"),""))</f>
        <v>0</v>
      </c>
      <c r="M123" s="25">
        <f>IF(B123="","",IF(COUNTIFS('Store Prices'!$B$5:$B$304,B123)=0,"",IF(SUMPRODUCT(MIN((('Store Prices'!$B$5:$B$304=B123)*(IFERROR('Store Prices'!$I$5:$I$304*1,0)&gt;0))*IFERROR('Store Prices'!$I$5:$I$304*1,0)+(1-(('Store Prices'!$B$5:$B$304=B123)*(IFERROR('Store Prices'!$I$5:$I$304*1,0)&gt;0)))*999999))&gt;=999999,"",SUMPRODUCT(MIN((('Store Prices'!$B$5:$B$304=B123)*(IFERROR('Store Prices'!$I$5:$I$304*1,0)&gt;0))*IFERROR('Store Prices'!$I$5:$I$304*1,0)+(1-(('Store Prices'!$B$5:$B$304=B123)*(IFERROR('Store Prices'!$I$5:$I$304*1,0)&gt;0)))*999999)))))</f>
        <v>0</v>
      </c>
      <c r="N123" s="17">
        <f>IF(M123="","",IFERROR(INDEX('Store Prices'!$C$5:$C$304,MATCH(1,INDEX(('Store Prices'!$B$5:$B$304=B123)*('Store Prices'!$I$5:$I$304=M123),0),0)),""))</f>
        <v>0</v>
      </c>
      <c r="O123" s="25">
        <f>IF(OR(M123="",J123=""),"",MAX(0,(J123-M123)*100))</f>
        <v>0</v>
      </c>
      <c r="AD123" s="45">
        <f>IF(B123="","",SUMIFS(Pantry!$G$5:$G$304,Pantry!$B$5:$B$304,B123))</f>
        <v>0</v>
      </c>
      <c r="AE123" s="25">
        <f>IF(OR(AD123="",J123=""),"",AD123*J123)</f>
        <v>0</v>
      </c>
      <c r="AF123" s="18">
        <f>IF(B123="","",COUNTIFS('Recipe Ingredients'!$D$5:$D$1204,B123))</f>
        <v>0</v>
      </c>
      <c r="AG123" s="45">
        <f>IF(B123="","",SUMIFS('Recipe Ingredients'!$Y$5:$Y$1204,'Recipe Ingredients'!$D$5:$D$1204,B123))</f>
        <v>0</v>
      </c>
      <c r="AH123" s="30">
        <f>IF(B123="",0,IFERROR(K123*1,0)*IFERROR(AF123*1,0))</f>
        <v>0</v>
      </c>
      <c r="AI123" s="18">
        <f>IF(B123="","",COUNTIFS($AH$5:$AH$304,"&gt;"&amp;AH123)+COUNTIFS($AH$5:AH123,AH123))</f>
        <v>0</v>
      </c>
      <c r="AJ123" s="18">
        <f>IF(B123="",0,COUNTIFS('Food Waste'!$E$5:$E$154,B123))</f>
        <v>0</v>
      </c>
      <c r="AK123" s="18">
        <f>IF(B123="","",COUNTIFS($AJ$5:$AJ$304,"&gt;"&amp;AJ123)+COUNTIFS($AJ$5:AJ123,AJ123))</f>
        <v>0</v>
      </c>
      <c r="AL123" s="18">
        <f>IF(B123="","",IF(AG123&gt;0,COUNTIF(AG$5:AG123,"&gt;0"),""))</f>
        <v>0</v>
      </c>
      <c r="AM123" s="45">
        <f>IF(B123="","",SUMIFS('Grocery List'!$Q$5:$Q$304,'Grocery List'!$B$5:$B$304,B123))</f>
        <v>0</v>
      </c>
      <c r="AN123" s="31">
        <f>IF(B123="","",IF(I123="","Add - no price yet",IF(H123="","Add - no pack size",IF(COUNTIFS($B$5:$B$304,B123)&gt;1,"Duplicate - same name twice",IF(AF123=0,"Check - no recipe uses it","OK")))))</f>
        <v>0</v>
      </c>
    </row>
    <row r="124" spans="1:40">
      <c r="A124" s="39">
        <f>IF(B124="","",IngredientPrefix&amp;TEXT(ROW()-4,"0000"))</f>
        <v>0</v>
      </c>
      <c r="J124" s="25">
        <f>IF(OR(H124="",I124=""),"",IF(H124=0,"",I124/H124))</f>
        <v>0</v>
      </c>
      <c r="K124" s="25">
        <f>IF(J124="","",J124*100)</f>
        <v>0</v>
      </c>
      <c r="L124" s="25">
        <f>IF(B124="","",IFERROR(AVERAGEIFS('Grocery Spending'!$L$5:$L$404,'Grocery Spending'!$H$5:$H$404,B124,'Grocery Spending'!$L$5:$L$404,"&gt;0"),""))</f>
        <v>0</v>
      </c>
      <c r="M124" s="25">
        <f>IF(B124="","",IF(COUNTIFS('Store Prices'!$B$5:$B$304,B124)=0,"",IF(SUMPRODUCT(MIN((('Store Prices'!$B$5:$B$304=B124)*(IFERROR('Store Prices'!$I$5:$I$304*1,0)&gt;0))*IFERROR('Store Prices'!$I$5:$I$304*1,0)+(1-(('Store Prices'!$B$5:$B$304=B124)*(IFERROR('Store Prices'!$I$5:$I$304*1,0)&gt;0)))*999999))&gt;=999999,"",SUMPRODUCT(MIN((('Store Prices'!$B$5:$B$304=B124)*(IFERROR('Store Prices'!$I$5:$I$304*1,0)&gt;0))*IFERROR('Store Prices'!$I$5:$I$304*1,0)+(1-(('Store Prices'!$B$5:$B$304=B124)*(IFERROR('Store Prices'!$I$5:$I$304*1,0)&gt;0)))*999999)))))</f>
        <v>0</v>
      </c>
      <c r="N124" s="17">
        <f>IF(M124="","",IFERROR(INDEX('Store Prices'!$C$5:$C$304,MATCH(1,INDEX(('Store Prices'!$B$5:$B$304=B124)*('Store Prices'!$I$5:$I$304=M124),0),0)),""))</f>
        <v>0</v>
      </c>
      <c r="O124" s="25">
        <f>IF(OR(M124="",J124=""),"",MAX(0,(J124-M124)*100))</f>
        <v>0</v>
      </c>
      <c r="AD124" s="45">
        <f>IF(B124="","",SUMIFS(Pantry!$G$5:$G$304,Pantry!$B$5:$B$304,B124))</f>
        <v>0</v>
      </c>
      <c r="AE124" s="25">
        <f>IF(OR(AD124="",J124=""),"",AD124*J124)</f>
        <v>0</v>
      </c>
      <c r="AF124" s="18">
        <f>IF(B124="","",COUNTIFS('Recipe Ingredients'!$D$5:$D$1204,B124))</f>
        <v>0</v>
      </c>
      <c r="AG124" s="45">
        <f>IF(B124="","",SUMIFS('Recipe Ingredients'!$Y$5:$Y$1204,'Recipe Ingredients'!$D$5:$D$1204,B124))</f>
        <v>0</v>
      </c>
      <c r="AH124" s="30">
        <f>IF(B124="",0,IFERROR(K124*1,0)*IFERROR(AF124*1,0))</f>
        <v>0</v>
      </c>
      <c r="AI124" s="18">
        <f>IF(B124="","",COUNTIFS($AH$5:$AH$304,"&gt;"&amp;AH124)+COUNTIFS($AH$5:AH124,AH124))</f>
        <v>0</v>
      </c>
      <c r="AJ124" s="18">
        <f>IF(B124="",0,COUNTIFS('Food Waste'!$E$5:$E$154,B124))</f>
        <v>0</v>
      </c>
      <c r="AK124" s="18">
        <f>IF(B124="","",COUNTIFS($AJ$5:$AJ$304,"&gt;"&amp;AJ124)+COUNTIFS($AJ$5:AJ124,AJ124))</f>
        <v>0</v>
      </c>
      <c r="AL124" s="18">
        <f>IF(B124="","",IF(AG124&gt;0,COUNTIF(AG$5:AG124,"&gt;0"),""))</f>
        <v>0</v>
      </c>
      <c r="AM124" s="45">
        <f>IF(B124="","",SUMIFS('Grocery List'!$Q$5:$Q$304,'Grocery List'!$B$5:$B$304,B124))</f>
        <v>0</v>
      </c>
      <c r="AN124" s="31">
        <f>IF(B124="","",IF(I124="","Add - no price yet",IF(H124="","Add - no pack size",IF(COUNTIFS($B$5:$B$304,B124)&gt;1,"Duplicate - same name twice",IF(AF124=0,"Check - no recipe uses it","OK")))))</f>
        <v>0</v>
      </c>
    </row>
    <row r="125" spans="1:40">
      <c r="A125" s="39">
        <f>IF(B125="","",IngredientPrefix&amp;TEXT(ROW()-4,"0000"))</f>
        <v>0</v>
      </c>
      <c r="J125" s="25">
        <f>IF(OR(H125="",I125=""),"",IF(H125=0,"",I125/H125))</f>
        <v>0</v>
      </c>
      <c r="K125" s="25">
        <f>IF(J125="","",J125*100)</f>
        <v>0</v>
      </c>
      <c r="L125" s="25">
        <f>IF(B125="","",IFERROR(AVERAGEIFS('Grocery Spending'!$L$5:$L$404,'Grocery Spending'!$H$5:$H$404,B125,'Grocery Spending'!$L$5:$L$404,"&gt;0"),""))</f>
        <v>0</v>
      </c>
      <c r="M125" s="25">
        <f>IF(B125="","",IF(COUNTIFS('Store Prices'!$B$5:$B$304,B125)=0,"",IF(SUMPRODUCT(MIN((('Store Prices'!$B$5:$B$304=B125)*(IFERROR('Store Prices'!$I$5:$I$304*1,0)&gt;0))*IFERROR('Store Prices'!$I$5:$I$304*1,0)+(1-(('Store Prices'!$B$5:$B$304=B125)*(IFERROR('Store Prices'!$I$5:$I$304*1,0)&gt;0)))*999999))&gt;=999999,"",SUMPRODUCT(MIN((('Store Prices'!$B$5:$B$304=B125)*(IFERROR('Store Prices'!$I$5:$I$304*1,0)&gt;0))*IFERROR('Store Prices'!$I$5:$I$304*1,0)+(1-(('Store Prices'!$B$5:$B$304=B125)*(IFERROR('Store Prices'!$I$5:$I$304*1,0)&gt;0)))*999999)))))</f>
        <v>0</v>
      </c>
      <c r="N125" s="17">
        <f>IF(M125="","",IFERROR(INDEX('Store Prices'!$C$5:$C$304,MATCH(1,INDEX(('Store Prices'!$B$5:$B$304=B125)*('Store Prices'!$I$5:$I$304=M125),0),0)),""))</f>
        <v>0</v>
      </c>
      <c r="O125" s="25">
        <f>IF(OR(M125="",J125=""),"",MAX(0,(J125-M125)*100))</f>
        <v>0</v>
      </c>
      <c r="AD125" s="45">
        <f>IF(B125="","",SUMIFS(Pantry!$G$5:$G$304,Pantry!$B$5:$B$304,B125))</f>
        <v>0</v>
      </c>
      <c r="AE125" s="25">
        <f>IF(OR(AD125="",J125=""),"",AD125*J125)</f>
        <v>0</v>
      </c>
      <c r="AF125" s="18">
        <f>IF(B125="","",COUNTIFS('Recipe Ingredients'!$D$5:$D$1204,B125))</f>
        <v>0</v>
      </c>
      <c r="AG125" s="45">
        <f>IF(B125="","",SUMIFS('Recipe Ingredients'!$Y$5:$Y$1204,'Recipe Ingredients'!$D$5:$D$1204,B125))</f>
        <v>0</v>
      </c>
      <c r="AH125" s="30">
        <f>IF(B125="",0,IFERROR(K125*1,0)*IFERROR(AF125*1,0))</f>
        <v>0</v>
      </c>
      <c r="AI125" s="18">
        <f>IF(B125="","",COUNTIFS($AH$5:$AH$304,"&gt;"&amp;AH125)+COUNTIFS($AH$5:AH125,AH125))</f>
        <v>0</v>
      </c>
      <c r="AJ125" s="18">
        <f>IF(B125="",0,COUNTIFS('Food Waste'!$E$5:$E$154,B125))</f>
        <v>0</v>
      </c>
      <c r="AK125" s="18">
        <f>IF(B125="","",COUNTIFS($AJ$5:$AJ$304,"&gt;"&amp;AJ125)+COUNTIFS($AJ$5:AJ125,AJ125))</f>
        <v>0</v>
      </c>
      <c r="AL125" s="18">
        <f>IF(B125="","",IF(AG125&gt;0,COUNTIF(AG$5:AG125,"&gt;0"),""))</f>
        <v>0</v>
      </c>
      <c r="AM125" s="45">
        <f>IF(B125="","",SUMIFS('Grocery List'!$Q$5:$Q$304,'Grocery List'!$B$5:$B$304,B125))</f>
        <v>0</v>
      </c>
      <c r="AN125" s="31">
        <f>IF(B125="","",IF(I125="","Add - no price yet",IF(H125="","Add - no pack size",IF(COUNTIFS($B$5:$B$304,B125)&gt;1,"Duplicate - same name twice",IF(AF125=0,"Check - no recipe uses it","OK")))))</f>
        <v>0</v>
      </c>
    </row>
    <row r="126" spans="1:40">
      <c r="A126" s="39">
        <f>IF(B126="","",IngredientPrefix&amp;TEXT(ROW()-4,"0000"))</f>
        <v>0</v>
      </c>
      <c r="J126" s="25">
        <f>IF(OR(H126="",I126=""),"",IF(H126=0,"",I126/H126))</f>
        <v>0</v>
      </c>
      <c r="K126" s="25">
        <f>IF(J126="","",J126*100)</f>
        <v>0</v>
      </c>
      <c r="L126" s="25">
        <f>IF(B126="","",IFERROR(AVERAGEIFS('Grocery Spending'!$L$5:$L$404,'Grocery Spending'!$H$5:$H$404,B126,'Grocery Spending'!$L$5:$L$404,"&gt;0"),""))</f>
        <v>0</v>
      </c>
      <c r="M126" s="25">
        <f>IF(B126="","",IF(COUNTIFS('Store Prices'!$B$5:$B$304,B126)=0,"",IF(SUMPRODUCT(MIN((('Store Prices'!$B$5:$B$304=B126)*(IFERROR('Store Prices'!$I$5:$I$304*1,0)&gt;0))*IFERROR('Store Prices'!$I$5:$I$304*1,0)+(1-(('Store Prices'!$B$5:$B$304=B126)*(IFERROR('Store Prices'!$I$5:$I$304*1,0)&gt;0)))*999999))&gt;=999999,"",SUMPRODUCT(MIN((('Store Prices'!$B$5:$B$304=B126)*(IFERROR('Store Prices'!$I$5:$I$304*1,0)&gt;0))*IFERROR('Store Prices'!$I$5:$I$304*1,0)+(1-(('Store Prices'!$B$5:$B$304=B126)*(IFERROR('Store Prices'!$I$5:$I$304*1,0)&gt;0)))*999999)))))</f>
        <v>0</v>
      </c>
      <c r="N126" s="17">
        <f>IF(M126="","",IFERROR(INDEX('Store Prices'!$C$5:$C$304,MATCH(1,INDEX(('Store Prices'!$B$5:$B$304=B126)*('Store Prices'!$I$5:$I$304=M126),0),0)),""))</f>
        <v>0</v>
      </c>
      <c r="O126" s="25">
        <f>IF(OR(M126="",J126=""),"",MAX(0,(J126-M126)*100))</f>
        <v>0</v>
      </c>
      <c r="AD126" s="45">
        <f>IF(B126="","",SUMIFS(Pantry!$G$5:$G$304,Pantry!$B$5:$B$304,B126))</f>
        <v>0</v>
      </c>
      <c r="AE126" s="25">
        <f>IF(OR(AD126="",J126=""),"",AD126*J126)</f>
        <v>0</v>
      </c>
      <c r="AF126" s="18">
        <f>IF(B126="","",COUNTIFS('Recipe Ingredients'!$D$5:$D$1204,B126))</f>
        <v>0</v>
      </c>
      <c r="AG126" s="45">
        <f>IF(B126="","",SUMIFS('Recipe Ingredients'!$Y$5:$Y$1204,'Recipe Ingredients'!$D$5:$D$1204,B126))</f>
        <v>0</v>
      </c>
      <c r="AH126" s="30">
        <f>IF(B126="",0,IFERROR(K126*1,0)*IFERROR(AF126*1,0))</f>
        <v>0</v>
      </c>
      <c r="AI126" s="18">
        <f>IF(B126="","",COUNTIFS($AH$5:$AH$304,"&gt;"&amp;AH126)+COUNTIFS($AH$5:AH126,AH126))</f>
        <v>0</v>
      </c>
      <c r="AJ126" s="18">
        <f>IF(B126="",0,COUNTIFS('Food Waste'!$E$5:$E$154,B126))</f>
        <v>0</v>
      </c>
      <c r="AK126" s="18">
        <f>IF(B126="","",COUNTIFS($AJ$5:$AJ$304,"&gt;"&amp;AJ126)+COUNTIFS($AJ$5:AJ126,AJ126))</f>
        <v>0</v>
      </c>
      <c r="AL126" s="18">
        <f>IF(B126="","",IF(AG126&gt;0,COUNTIF(AG$5:AG126,"&gt;0"),""))</f>
        <v>0</v>
      </c>
      <c r="AM126" s="45">
        <f>IF(B126="","",SUMIFS('Grocery List'!$Q$5:$Q$304,'Grocery List'!$B$5:$B$304,B126))</f>
        <v>0</v>
      </c>
      <c r="AN126" s="31">
        <f>IF(B126="","",IF(I126="","Add - no price yet",IF(H126="","Add - no pack size",IF(COUNTIFS($B$5:$B$304,B126)&gt;1,"Duplicate - same name twice",IF(AF126=0,"Check - no recipe uses it","OK")))))</f>
        <v>0</v>
      </c>
    </row>
    <row r="127" spans="1:40">
      <c r="A127" s="39">
        <f>IF(B127="","",IngredientPrefix&amp;TEXT(ROW()-4,"0000"))</f>
        <v>0</v>
      </c>
      <c r="J127" s="25">
        <f>IF(OR(H127="",I127=""),"",IF(H127=0,"",I127/H127))</f>
        <v>0</v>
      </c>
      <c r="K127" s="25">
        <f>IF(J127="","",J127*100)</f>
        <v>0</v>
      </c>
      <c r="L127" s="25">
        <f>IF(B127="","",IFERROR(AVERAGEIFS('Grocery Spending'!$L$5:$L$404,'Grocery Spending'!$H$5:$H$404,B127,'Grocery Spending'!$L$5:$L$404,"&gt;0"),""))</f>
        <v>0</v>
      </c>
      <c r="M127" s="25">
        <f>IF(B127="","",IF(COUNTIFS('Store Prices'!$B$5:$B$304,B127)=0,"",IF(SUMPRODUCT(MIN((('Store Prices'!$B$5:$B$304=B127)*(IFERROR('Store Prices'!$I$5:$I$304*1,0)&gt;0))*IFERROR('Store Prices'!$I$5:$I$304*1,0)+(1-(('Store Prices'!$B$5:$B$304=B127)*(IFERROR('Store Prices'!$I$5:$I$304*1,0)&gt;0)))*999999))&gt;=999999,"",SUMPRODUCT(MIN((('Store Prices'!$B$5:$B$304=B127)*(IFERROR('Store Prices'!$I$5:$I$304*1,0)&gt;0))*IFERROR('Store Prices'!$I$5:$I$304*1,0)+(1-(('Store Prices'!$B$5:$B$304=B127)*(IFERROR('Store Prices'!$I$5:$I$304*1,0)&gt;0)))*999999)))))</f>
        <v>0</v>
      </c>
      <c r="N127" s="17">
        <f>IF(M127="","",IFERROR(INDEX('Store Prices'!$C$5:$C$304,MATCH(1,INDEX(('Store Prices'!$B$5:$B$304=B127)*('Store Prices'!$I$5:$I$304=M127),0),0)),""))</f>
        <v>0</v>
      </c>
      <c r="O127" s="25">
        <f>IF(OR(M127="",J127=""),"",MAX(0,(J127-M127)*100))</f>
        <v>0</v>
      </c>
      <c r="AD127" s="45">
        <f>IF(B127="","",SUMIFS(Pantry!$G$5:$G$304,Pantry!$B$5:$B$304,B127))</f>
        <v>0</v>
      </c>
      <c r="AE127" s="25">
        <f>IF(OR(AD127="",J127=""),"",AD127*J127)</f>
        <v>0</v>
      </c>
      <c r="AF127" s="18">
        <f>IF(B127="","",COUNTIFS('Recipe Ingredients'!$D$5:$D$1204,B127))</f>
        <v>0</v>
      </c>
      <c r="AG127" s="45">
        <f>IF(B127="","",SUMIFS('Recipe Ingredients'!$Y$5:$Y$1204,'Recipe Ingredients'!$D$5:$D$1204,B127))</f>
        <v>0</v>
      </c>
      <c r="AH127" s="30">
        <f>IF(B127="",0,IFERROR(K127*1,0)*IFERROR(AF127*1,0))</f>
        <v>0</v>
      </c>
      <c r="AI127" s="18">
        <f>IF(B127="","",COUNTIFS($AH$5:$AH$304,"&gt;"&amp;AH127)+COUNTIFS($AH$5:AH127,AH127))</f>
        <v>0</v>
      </c>
      <c r="AJ127" s="18">
        <f>IF(B127="",0,COUNTIFS('Food Waste'!$E$5:$E$154,B127))</f>
        <v>0</v>
      </c>
      <c r="AK127" s="18">
        <f>IF(B127="","",COUNTIFS($AJ$5:$AJ$304,"&gt;"&amp;AJ127)+COUNTIFS($AJ$5:AJ127,AJ127))</f>
        <v>0</v>
      </c>
      <c r="AL127" s="18">
        <f>IF(B127="","",IF(AG127&gt;0,COUNTIF(AG$5:AG127,"&gt;0"),""))</f>
        <v>0</v>
      </c>
      <c r="AM127" s="45">
        <f>IF(B127="","",SUMIFS('Grocery List'!$Q$5:$Q$304,'Grocery List'!$B$5:$B$304,B127))</f>
        <v>0</v>
      </c>
      <c r="AN127" s="31">
        <f>IF(B127="","",IF(I127="","Add - no price yet",IF(H127="","Add - no pack size",IF(COUNTIFS($B$5:$B$304,B127)&gt;1,"Duplicate - same name twice",IF(AF127=0,"Check - no recipe uses it","OK")))))</f>
        <v>0</v>
      </c>
    </row>
    <row r="128" spans="1:40">
      <c r="A128" s="39">
        <f>IF(B128="","",IngredientPrefix&amp;TEXT(ROW()-4,"0000"))</f>
        <v>0</v>
      </c>
      <c r="J128" s="25">
        <f>IF(OR(H128="",I128=""),"",IF(H128=0,"",I128/H128))</f>
        <v>0</v>
      </c>
      <c r="K128" s="25">
        <f>IF(J128="","",J128*100)</f>
        <v>0</v>
      </c>
      <c r="L128" s="25">
        <f>IF(B128="","",IFERROR(AVERAGEIFS('Grocery Spending'!$L$5:$L$404,'Grocery Spending'!$H$5:$H$404,B128,'Grocery Spending'!$L$5:$L$404,"&gt;0"),""))</f>
        <v>0</v>
      </c>
      <c r="M128" s="25">
        <f>IF(B128="","",IF(COUNTIFS('Store Prices'!$B$5:$B$304,B128)=0,"",IF(SUMPRODUCT(MIN((('Store Prices'!$B$5:$B$304=B128)*(IFERROR('Store Prices'!$I$5:$I$304*1,0)&gt;0))*IFERROR('Store Prices'!$I$5:$I$304*1,0)+(1-(('Store Prices'!$B$5:$B$304=B128)*(IFERROR('Store Prices'!$I$5:$I$304*1,0)&gt;0)))*999999))&gt;=999999,"",SUMPRODUCT(MIN((('Store Prices'!$B$5:$B$304=B128)*(IFERROR('Store Prices'!$I$5:$I$304*1,0)&gt;0))*IFERROR('Store Prices'!$I$5:$I$304*1,0)+(1-(('Store Prices'!$B$5:$B$304=B128)*(IFERROR('Store Prices'!$I$5:$I$304*1,0)&gt;0)))*999999)))))</f>
        <v>0</v>
      </c>
      <c r="N128" s="17">
        <f>IF(M128="","",IFERROR(INDEX('Store Prices'!$C$5:$C$304,MATCH(1,INDEX(('Store Prices'!$B$5:$B$304=B128)*('Store Prices'!$I$5:$I$304=M128),0),0)),""))</f>
        <v>0</v>
      </c>
      <c r="O128" s="25">
        <f>IF(OR(M128="",J128=""),"",MAX(0,(J128-M128)*100))</f>
        <v>0</v>
      </c>
      <c r="AD128" s="45">
        <f>IF(B128="","",SUMIFS(Pantry!$G$5:$G$304,Pantry!$B$5:$B$304,B128))</f>
        <v>0</v>
      </c>
      <c r="AE128" s="25">
        <f>IF(OR(AD128="",J128=""),"",AD128*J128)</f>
        <v>0</v>
      </c>
      <c r="AF128" s="18">
        <f>IF(B128="","",COUNTIFS('Recipe Ingredients'!$D$5:$D$1204,B128))</f>
        <v>0</v>
      </c>
      <c r="AG128" s="45">
        <f>IF(B128="","",SUMIFS('Recipe Ingredients'!$Y$5:$Y$1204,'Recipe Ingredients'!$D$5:$D$1204,B128))</f>
        <v>0</v>
      </c>
      <c r="AH128" s="30">
        <f>IF(B128="",0,IFERROR(K128*1,0)*IFERROR(AF128*1,0))</f>
        <v>0</v>
      </c>
      <c r="AI128" s="18">
        <f>IF(B128="","",COUNTIFS($AH$5:$AH$304,"&gt;"&amp;AH128)+COUNTIFS($AH$5:AH128,AH128))</f>
        <v>0</v>
      </c>
      <c r="AJ128" s="18">
        <f>IF(B128="",0,COUNTIFS('Food Waste'!$E$5:$E$154,B128))</f>
        <v>0</v>
      </c>
      <c r="AK128" s="18">
        <f>IF(B128="","",COUNTIFS($AJ$5:$AJ$304,"&gt;"&amp;AJ128)+COUNTIFS($AJ$5:AJ128,AJ128))</f>
        <v>0</v>
      </c>
      <c r="AL128" s="18">
        <f>IF(B128="","",IF(AG128&gt;0,COUNTIF(AG$5:AG128,"&gt;0"),""))</f>
        <v>0</v>
      </c>
      <c r="AM128" s="45">
        <f>IF(B128="","",SUMIFS('Grocery List'!$Q$5:$Q$304,'Grocery List'!$B$5:$B$304,B128))</f>
        <v>0</v>
      </c>
      <c r="AN128" s="31">
        <f>IF(B128="","",IF(I128="","Add - no price yet",IF(H128="","Add - no pack size",IF(COUNTIFS($B$5:$B$304,B128)&gt;1,"Duplicate - same name twice",IF(AF128=0,"Check - no recipe uses it","OK")))))</f>
        <v>0</v>
      </c>
    </row>
    <row r="129" spans="1:40">
      <c r="A129" s="39">
        <f>IF(B129="","",IngredientPrefix&amp;TEXT(ROW()-4,"0000"))</f>
        <v>0</v>
      </c>
      <c r="J129" s="25">
        <f>IF(OR(H129="",I129=""),"",IF(H129=0,"",I129/H129))</f>
        <v>0</v>
      </c>
      <c r="K129" s="25">
        <f>IF(J129="","",J129*100)</f>
        <v>0</v>
      </c>
      <c r="L129" s="25">
        <f>IF(B129="","",IFERROR(AVERAGEIFS('Grocery Spending'!$L$5:$L$404,'Grocery Spending'!$H$5:$H$404,B129,'Grocery Spending'!$L$5:$L$404,"&gt;0"),""))</f>
        <v>0</v>
      </c>
      <c r="M129" s="25">
        <f>IF(B129="","",IF(COUNTIFS('Store Prices'!$B$5:$B$304,B129)=0,"",IF(SUMPRODUCT(MIN((('Store Prices'!$B$5:$B$304=B129)*(IFERROR('Store Prices'!$I$5:$I$304*1,0)&gt;0))*IFERROR('Store Prices'!$I$5:$I$304*1,0)+(1-(('Store Prices'!$B$5:$B$304=B129)*(IFERROR('Store Prices'!$I$5:$I$304*1,0)&gt;0)))*999999))&gt;=999999,"",SUMPRODUCT(MIN((('Store Prices'!$B$5:$B$304=B129)*(IFERROR('Store Prices'!$I$5:$I$304*1,0)&gt;0))*IFERROR('Store Prices'!$I$5:$I$304*1,0)+(1-(('Store Prices'!$B$5:$B$304=B129)*(IFERROR('Store Prices'!$I$5:$I$304*1,0)&gt;0)))*999999)))))</f>
        <v>0</v>
      </c>
      <c r="N129" s="17">
        <f>IF(M129="","",IFERROR(INDEX('Store Prices'!$C$5:$C$304,MATCH(1,INDEX(('Store Prices'!$B$5:$B$304=B129)*('Store Prices'!$I$5:$I$304=M129),0),0)),""))</f>
        <v>0</v>
      </c>
      <c r="O129" s="25">
        <f>IF(OR(M129="",J129=""),"",MAX(0,(J129-M129)*100))</f>
        <v>0</v>
      </c>
      <c r="AD129" s="45">
        <f>IF(B129="","",SUMIFS(Pantry!$G$5:$G$304,Pantry!$B$5:$B$304,B129))</f>
        <v>0</v>
      </c>
      <c r="AE129" s="25">
        <f>IF(OR(AD129="",J129=""),"",AD129*J129)</f>
        <v>0</v>
      </c>
      <c r="AF129" s="18">
        <f>IF(B129="","",COUNTIFS('Recipe Ingredients'!$D$5:$D$1204,B129))</f>
        <v>0</v>
      </c>
      <c r="AG129" s="45">
        <f>IF(B129="","",SUMIFS('Recipe Ingredients'!$Y$5:$Y$1204,'Recipe Ingredients'!$D$5:$D$1204,B129))</f>
        <v>0</v>
      </c>
      <c r="AH129" s="30">
        <f>IF(B129="",0,IFERROR(K129*1,0)*IFERROR(AF129*1,0))</f>
        <v>0</v>
      </c>
      <c r="AI129" s="18">
        <f>IF(B129="","",COUNTIFS($AH$5:$AH$304,"&gt;"&amp;AH129)+COUNTIFS($AH$5:AH129,AH129))</f>
        <v>0</v>
      </c>
      <c r="AJ129" s="18">
        <f>IF(B129="",0,COUNTIFS('Food Waste'!$E$5:$E$154,B129))</f>
        <v>0</v>
      </c>
      <c r="AK129" s="18">
        <f>IF(B129="","",COUNTIFS($AJ$5:$AJ$304,"&gt;"&amp;AJ129)+COUNTIFS($AJ$5:AJ129,AJ129))</f>
        <v>0</v>
      </c>
      <c r="AL129" s="18">
        <f>IF(B129="","",IF(AG129&gt;0,COUNTIF(AG$5:AG129,"&gt;0"),""))</f>
        <v>0</v>
      </c>
      <c r="AM129" s="45">
        <f>IF(B129="","",SUMIFS('Grocery List'!$Q$5:$Q$304,'Grocery List'!$B$5:$B$304,B129))</f>
        <v>0</v>
      </c>
      <c r="AN129" s="31">
        <f>IF(B129="","",IF(I129="","Add - no price yet",IF(H129="","Add - no pack size",IF(COUNTIFS($B$5:$B$304,B129)&gt;1,"Duplicate - same name twice",IF(AF129=0,"Check - no recipe uses it","OK")))))</f>
        <v>0</v>
      </c>
    </row>
    <row r="130" spans="1:40">
      <c r="A130" s="39">
        <f>IF(B130="","",IngredientPrefix&amp;TEXT(ROW()-4,"0000"))</f>
        <v>0</v>
      </c>
      <c r="J130" s="25">
        <f>IF(OR(H130="",I130=""),"",IF(H130=0,"",I130/H130))</f>
        <v>0</v>
      </c>
      <c r="K130" s="25">
        <f>IF(J130="","",J130*100)</f>
        <v>0</v>
      </c>
      <c r="L130" s="25">
        <f>IF(B130="","",IFERROR(AVERAGEIFS('Grocery Spending'!$L$5:$L$404,'Grocery Spending'!$H$5:$H$404,B130,'Grocery Spending'!$L$5:$L$404,"&gt;0"),""))</f>
        <v>0</v>
      </c>
      <c r="M130" s="25">
        <f>IF(B130="","",IF(COUNTIFS('Store Prices'!$B$5:$B$304,B130)=0,"",IF(SUMPRODUCT(MIN((('Store Prices'!$B$5:$B$304=B130)*(IFERROR('Store Prices'!$I$5:$I$304*1,0)&gt;0))*IFERROR('Store Prices'!$I$5:$I$304*1,0)+(1-(('Store Prices'!$B$5:$B$304=B130)*(IFERROR('Store Prices'!$I$5:$I$304*1,0)&gt;0)))*999999))&gt;=999999,"",SUMPRODUCT(MIN((('Store Prices'!$B$5:$B$304=B130)*(IFERROR('Store Prices'!$I$5:$I$304*1,0)&gt;0))*IFERROR('Store Prices'!$I$5:$I$304*1,0)+(1-(('Store Prices'!$B$5:$B$304=B130)*(IFERROR('Store Prices'!$I$5:$I$304*1,0)&gt;0)))*999999)))))</f>
        <v>0</v>
      </c>
      <c r="N130" s="17">
        <f>IF(M130="","",IFERROR(INDEX('Store Prices'!$C$5:$C$304,MATCH(1,INDEX(('Store Prices'!$B$5:$B$304=B130)*('Store Prices'!$I$5:$I$304=M130),0),0)),""))</f>
        <v>0</v>
      </c>
      <c r="O130" s="25">
        <f>IF(OR(M130="",J130=""),"",MAX(0,(J130-M130)*100))</f>
        <v>0</v>
      </c>
      <c r="AD130" s="45">
        <f>IF(B130="","",SUMIFS(Pantry!$G$5:$G$304,Pantry!$B$5:$B$304,B130))</f>
        <v>0</v>
      </c>
      <c r="AE130" s="25">
        <f>IF(OR(AD130="",J130=""),"",AD130*J130)</f>
        <v>0</v>
      </c>
      <c r="AF130" s="18">
        <f>IF(B130="","",COUNTIFS('Recipe Ingredients'!$D$5:$D$1204,B130))</f>
        <v>0</v>
      </c>
      <c r="AG130" s="45">
        <f>IF(B130="","",SUMIFS('Recipe Ingredients'!$Y$5:$Y$1204,'Recipe Ingredients'!$D$5:$D$1204,B130))</f>
        <v>0</v>
      </c>
      <c r="AH130" s="30">
        <f>IF(B130="",0,IFERROR(K130*1,0)*IFERROR(AF130*1,0))</f>
        <v>0</v>
      </c>
      <c r="AI130" s="18">
        <f>IF(B130="","",COUNTIFS($AH$5:$AH$304,"&gt;"&amp;AH130)+COUNTIFS($AH$5:AH130,AH130))</f>
        <v>0</v>
      </c>
      <c r="AJ130" s="18">
        <f>IF(B130="",0,COUNTIFS('Food Waste'!$E$5:$E$154,B130))</f>
        <v>0</v>
      </c>
      <c r="AK130" s="18">
        <f>IF(B130="","",COUNTIFS($AJ$5:$AJ$304,"&gt;"&amp;AJ130)+COUNTIFS($AJ$5:AJ130,AJ130))</f>
        <v>0</v>
      </c>
      <c r="AL130" s="18">
        <f>IF(B130="","",IF(AG130&gt;0,COUNTIF(AG$5:AG130,"&gt;0"),""))</f>
        <v>0</v>
      </c>
      <c r="AM130" s="45">
        <f>IF(B130="","",SUMIFS('Grocery List'!$Q$5:$Q$304,'Grocery List'!$B$5:$B$304,B130))</f>
        <v>0</v>
      </c>
      <c r="AN130" s="31">
        <f>IF(B130="","",IF(I130="","Add - no price yet",IF(H130="","Add - no pack size",IF(COUNTIFS($B$5:$B$304,B130)&gt;1,"Duplicate - same name twice",IF(AF130=0,"Check - no recipe uses it","OK")))))</f>
        <v>0</v>
      </c>
    </row>
    <row r="131" spans="1:40">
      <c r="A131" s="39">
        <f>IF(B131="","",IngredientPrefix&amp;TEXT(ROW()-4,"0000"))</f>
        <v>0</v>
      </c>
      <c r="J131" s="25">
        <f>IF(OR(H131="",I131=""),"",IF(H131=0,"",I131/H131))</f>
        <v>0</v>
      </c>
      <c r="K131" s="25">
        <f>IF(J131="","",J131*100)</f>
        <v>0</v>
      </c>
      <c r="L131" s="25">
        <f>IF(B131="","",IFERROR(AVERAGEIFS('Grocery Spending'!$L$5:$L$404,'Grocery Spending'!$H$5:$H$404,B131,'Grocery Spending'!$L$5:$L$404,"&gt;0"),""))</f>
        <v>0</v>
      </c>
      <c r="M131" s="25">
        <f>IF(B131="","",IF(COUNTIFS('Store Prices'!$B$5:$B$304,B131)=0,"",IF(SUMPRODUCT(MIN((('Store Prices'!$B$5:$B$304=B131)*(IFERROR('Store Prices'!$I$5:$I$304*1,0)&gt;0))*IFERROR('Store Prices'!$I$5:$I$304*1,0)+(1-(('Store Prices'!$B$5:$B$304=B131)*(IFERROR('Store Prices'!$I$5:$I$304*1,0)&gt;0)))*999999))&gt;=999999,"",SUMPRODUCT(MIN((('Store Prices'!$B$5:$B$304=B131)*(IFERROR('Store Prices'!$I$5:$I$304*1,0)&gt;0))*IFERROR('Store Prices'!$I$5:$I$304*1,0)+(1-(('Store Prices'!$B$5:$B$304=B131)*(IFERROR('Store Prices'!$I$5:$I$304*1,0)&gt;0)))*999999)))))</f>
        <v>0</v>
      </c>
      <c r="N131" s="17">
        <f>IF(M131="","",IFERROR(INDEX('Store Prices'!$C$5:$C$304,MATCH(1,INDEX(('Store Prices'!$B$5:$B$304=B131)*('Store Prices'!$I$5:$I$304=M131),0),0)),""))</f>
        <v>0</v>
      </c>
      <c r="O131" s="25">
        <f>IF(OR(M131="",J131=""),"",MAX(0,(J131-M131)*100))</f>
        <v>0</v>
      </c>
      <c r="AD131" s="45">
        <f>IF(B131="","",SUMIFS(Pantry!$G$5:$G$304,Pantry!$B$5:$B$304,B131))</f>
        <v>0</v>
      </c>
      <c r="AE131" s="25">
        <f>IF(OR(AD131="",J131=""),"",AD131*J131)</f>
        <v>0</v>
      </c>
      <c r="AF131" s="18">
        <f>IF(B131="","",COUNTIFS('Recipe Ingredients'!$D$5:$D$1204,B131))</f>
        <v>0</v>
      </c>
      <c r="AG131" s="45">
        <f>IF(B131="","",SUMIFS('Recipe Ingredients'!$Y$5:$Y$1204,'Recipe Ingredients'!$D$5:$D$1204,B131))</f>
        <v>0</v>
      </c>
      <c r="AH131" s="30">
        <f>IF(B131="",0,IFERROR(K131*1,0)*IFERROR(AF131*1,0))</f>
        <v>0</v>
      </c>
      <c r="AI131" s="18">
        <f>IF(B131="","",COUNTIFS($AH$5:$AH$304,"&gt;"&amp;AH131)+COUNTIFS($AH$5:AH131,AH131))</f>
        <v>0</v>
      </c>
      <c r="AJ131" s="18">
        <f>IF(B131="",0,COUNTIFS('Food Waste'!$E$5:$E$154,B131))</f>
        <v>0</v>
      </c>
      <c r="AK131" s="18">
        <f>IF(B131="","",COUNTIFS($AJ$5:$AJ$304,"&gt;"&amp;AJ131)+COUNTIFS($AJ$5:AJ131,AJ131))</f>
        <v>0</v>
      </c>
      <c r="AL131" s="18">
        <f>IF(B131="","",IF(AG131&gt;0,COUNTIF(AG$5:AG131,"&gt;0"),""))</f>
        <v>0</v>
      </c>
      <c r="AM131" s="45">
        <f>IF(B131="","",SUMIFS('Grocery List'!$Q$5:$Q$304,'Grocery List'!$B$5:$B$304,B131))</f>
        <v>0</v>
      </c>
      <c r="AN131" s="31">
        <f>IF(B131="","",IF(I131="","Add - no price yet",IF(H131="","Add - no pack size",IF(COUNTIFS($B$5:$B$304,B131)&gt;1,"Duplicate - same name twice",IF(AF131=0,"Check - no recipe uses it","OK")))))</f>
        <v>0</v>
      </c>
    </row>
    <row r="132" spans="1:40">
      <c r="A132" s="39">
        <f>IF(B132="","",IngredientPrefix&amp;TEXT(ROW()-4,"0000"))</f>
        <v>0</v>
      </c>
      <c r="J132" s="25">
        <f>IF(OR(H132="",I132=""),"",IF(H132=0,"",I132/H132))</f>
        <v>0</v>
      </c>
      <c r="K132" s="25">
        <f>IF(J132="","",J132*100)</f>
        <v>0</v>
      </c>
      <c r="L132" s="25">
        <f>IF(B132="","",IFERROR(AVERAGEIFS('Grocery Spending'!$L$5:$L$404,'Grocery Spending'!$H$5:$H$404,B132,'Grocery Spending'!$L$5:$L$404,"&gt;0"),""))</f>
        <v>0</v>
      </c>
      <c r="M132" s="25">
        <f>IF(B132="","",IF(COUNTIFS('Store Prices'!$B$5:$B$304,B132)=0,"",IF(SUMPRODUCT(MIN((('Store Prices'!$B$5:$B$304=B132)*(IFERROR('Store Prices'!$I$5:$I$304*1,0)&gt;0))*IFERROR('Store Prices'!$I$5:$I$304*1,0)+(1-(('Store Prices'!$B$5:$B$304=B132)*(IFERROR('Store Prices'!$I$5:$I$304*1,0)&gt;0)))*999999))&gt;=999999,"",SUMPRODUCT(MIN((('Store Prices'!$B$5:$B$304=B132)*(IFERROR('Store Prices'!$I$5:$I$304*1,0)&gt;0))*IFERROR('Store Prices'!$I$5:$I$304*1,0)+(1-(('Store Prices'!$B$5:$B$304=B132)*(IFERROR('Store Prices'!$I$5:$I$304*1,0)&gt;0)))*999999)))))</f>
        <v>0</v>
      </c>
      <c r="N132" s="17">
        <f>IF(M132="","",IFERROR(INDEX('Store Prices'!$C$5:$C$304,MATCH(1,INDEX(('Store Prices'!$B$5:$B$304=B132)*('Store Prices'!$I$5:$I$304=M132),0),0)),""))</f>
        <v>0</v>
      </c>
      <c r="O132" s="25">
        <f>IF(OR(M132="",J132=""),"",MAX(0,(J132-M132)*100))</f>
        <v>0</v>
      </c>
      <c r="AD132" s="45">
        <f>IF(B132="","",SUMIFS(Pantry!$G$5:$G$304,Pantry!$B$5:$B$304,B132))</f>
        <v>0</v>
      </c>
      <c r="AE132" s="25">
        <f>IF(OR(AD132="",J132=""),"",AD132*J132)</f>
        <v>0</v>
      </c>
      <c r="AF132" s="18">
        <f>IF(B132="","",COUNTIFS('Recipe Ingredients'!$D$5:$D$1204,B132))</f>
        <v>0</v>
      </c>
      <c r="AG132" s="45">
        <f>IF(B132="","",SUMIFS('Recipe Ingredients'!$Y$5:$Y$1204,'Recipe Ingredients'!$D$5:$D$1204,B132))</f>
        <v>0</v>
      </c>
      <c r="AH132" s="30">
        <f>IF(B132="",0,IFERROR(K132*1,0)*IFERROR(AF132*1,0))</f>
        <v>0</v>
      </c>
      <c r="AI132" s="18">
        <f>IF(B132="","",COUNTIFS($AH$5:$AH$304,"&gt;"&amp;AH132)+COUNTIFS($AH$5:AH132,AH132))</f>
        <v>0</v>
      </c>
      <c r="AJ132" s="18">
        <f>IF(B132="",0,COUNTIFS('Food Waste'!$E$5:$E$154,B132))</f>
        <v>0</v>
      </c>
      <c r="AK132" s="18">
        <f>IF(B132="","",COUNTIFS($AJ$5:$AJ$304,"&gt;"&amp;AJ132)+COUNTIFS($AJ$5:AJ132,AJ132))</f>
        <v>0</v>
      </c>
      <c r="AL132" s="18">
        <f>IF(B132="","",IF(AG132&gt;0,COUNTIF(AG$5:AG132,"&gt;0"),""))</f>
        <v>0</v>
      </c>
      <c r="AM132" s="45">
        <f>IF(B132="","",SUMIFS('Grocery List'!$Q$5:$Q$304,'Grocery List'!$B$5:$B$304,B132))</f>
        <v>0</v>
      </c>
      <c r="AN132" s="31">
        <f>IF(B132="","",IF(I132="","Add - no price yet",IF(H132="","Add - no pack size",IF(COUNTIFS($B$5:$B$304,B132)&gt;1,"Duplicate - same name twice",IF(AF132=0,"Check - no recipe uses it","OK")))))</f>
        <v>0</v>
      </c>
    </row>
    <row r="133" spans="1:40">
      <c r="A133" s="39">
        <f>IF(B133="","",IngredientPrefix&amp;TEXT(ROW()-4,"0000"))</f>
        <v>0</v>
      </c>
      <c r="J133" s="25">
        <f>IF(OR(H133="",I133=""),"",IF(H133=0,"",I133/H133))</f>
        <v>0</v>
      </c>
      <c r="K133" s="25">
        <f>IF(J133="","",J133*100)</f>
        <v>0</v>
      </c>
      <c r="L133" s="25">
        <f>IF(B133="","",IFERROR(AVERAGEIFS('Grocery Spending'!$L$5:$L$404,'Grocery Spending'!$H$5:$H$404,B133,'Grocery Spending'!$L$5:$L$404,"&gt;0"),""))</f>
        <v>0</v>
      </c>
      <c r="M133" s="25">
        <f>IF(B133="","",IF(COUNTIFS('Store Prices'!$B$5:$B$304,B133)=0,"",IF(SUMPRODUCT(MIN((('Store Prices'!$B$5:$B$304=B133)*(IFERROR('Store Prices'!$I$5:$I$304*1,0)&gt;0))*IFERROR('Store Prices'!$I$5:$I$304*1,0)+(1-(('Store Prices'!$B$5:$B$304=B133)*(IFERROR('Store Prices'!$I$5:$I$304*1,0)&gt;0)))*999999))&gt;=999999,"",SUMPRODUCT(MIN((('Store Prices'!$B$5:$B$304=B133)*(IFERROR('Store Prices'!$I$5:$I$304*1,0)&gt;0))*IFERROR('Store Prices'!$I$5:$I$304*1,0)+(1-(('Store Prices'!$B$5:$B$304=B133)*(IFERROR('Store Prices'!$I$5:$I$304*1,0)&gt;0)))*999999)))))</f>
        <v>0</v>
      </c>
      <c r="N133" s="17">
        <f>IF(M133="","",IFERROR(INDEX('Store Prices'!$C$5:$C$304,MATCH(1,INDEX(('Store Prices'!$B$5:$B$304=B133)*('Store Prices'!$I$5:$I$304=M133),0),0)),""))</f>
        <v>0</v>
      </c>
      <c r="O133" s="25">
        <f>IF(OR(M133="",J133=""),"",MAX(0,(J133-M133)*100))</f>
        <v>0</v>
      </c>
      <c r="AD133" s="45">
        <f>IF(B133="","",SUMIFS(Pantry!$G$5:$G$304,Pantry!$B$5:$B$304,B133))</f>
        <v>0</v>
      </c>
      <c r="AE133" s="25">
        <f>IF(OR(AD133="",J133=""),"",AD133*J133)</f>
        <v>0</v>
      </c>
      <c r="AF133" s="18">
        <f>IF(B133="","",COUNTIFS('Recipe Ingredients'!$D$5:$D$1204,B133))</f>
        <v>0</v>
      </c>
      <c r="AG133" s="45">
        <f>IF(B133="","",SUMIFS('Recipe Ingredients'!$Y$5:$Y$1204,'Recipe Ingredients'!$D$5:$D$1204,B133))</f>
        <v>0</v>
      </c>
      <c r="AH133" s="30">
        <f>IF(B133="",0,IFERROR(K133*1,0)*IFERROR(AF133*1,0))</f>
        <v>0</v>
      </c>
      <c r="AI133" s="18">
        <f>IF(B133="","",COUNTIFS($AH$5:$AH$304,"&gt;"&amp;AH133)+COUNTIFS($AH$5:AH133,AH133))</f>
        <v>0</v>
      </c>
      <c r="AJ133" s="18">
        <f>IF(B133="",0,COUNTIFS('Food Waste'!$E$5:$E$154,B133))</f>
        <v>0</v>
      </c>
      <c r="AK133" s="18">
        <f>IF(B133="","",COUNTIFS($AJ$5:$AJ$304,"&gt;"&amp;AJ133)+COUNTIFS($AJ$5:AJ133,AJ133))</f>
        <v>0</v>
      </c>
      <c r="AL133" s="18">
        <f>IF(B133="","",IF(AG133&gt;0,COUNTIF(AG$5:AG133,"&gt;0"),""))</f>
        <v>0</v>
      </c>
      <c r="AM133" s="45">
        <f>IF(B133="","",SUMIFS('Grocery List'!$Q$5:$Q$304,'Grocery List'!$B$5:$B$304,B133))</f>
        <v>0</v>
      </c>
      <c r="AN133" s="31">
        <f>IF(B133="","",IF(I133="","Add - no price yet",IF(H133="","Add - no pack size",IF(COUNTIFS($B$5:$B$304,B133)&gt;1,"Duplicate - same name twice",IF(AF133=0,"Check - no recipe uses it","OK")))))</f>
        <v>0</v>
      </c>
    </row>
    <row r="134" spans="1:40">
      <c r="A134" s="39">
        <f>IF(B134="","",IngredientPrefix&amp;TEXT(ROW()-4,"0000"))</f>
        <v>0</v>
      </c>
      <c r="J134" s="25">
        <f>IF(OR(H134="",I134=""),"",IF(H134=0,"",I134/H134))</f>
        <v>0</v>
      </c>
      <c r="K134" s="25">
        <f>IF(J134="","",J134*100)</f>
        <v>0</v>
      </c>
      <c r="L134" s="25">
        <f>IF(B134="","",IFERROR(AVERAGEIFS('Grocery Spending'!$L$5:$L$404,'Grocery Spending'!$H$5:$H$404,B134,'Grocery Spending'!$L$5:$L$404,"&gt;0"),""))</f>
        <v>0</v>
      </c>
      <c r="M134" s="25">
        <f>IF(B134="","",IF(COUNTIFS('Store Prices'!$B$5:$B$304,B134)=0,"",IF(SUMPRODUCT(MIN((('Store Prices'!$B$5:$B$304=B134)*(IFERROR('Store Prices'!$I$5:$I$304*1,0)&gt;0))*IFERROR('Store Prices'!$I$5:$I$304*1,0)+(1-(('Store Prices'!$B$5:$B$304=B134)*(IFERROR('Store Prices'!$I$5:$I$304*1,0)&gt;0)))*999999))&gt;=999999,"",SUMPRODUCT(MIN((('Store Prices'!$B$5:$B$304=B134)*(IFERROR('Store Prices'!$I$5:$I$304*1,0)&gt;0))*IFERROR('Store Prices'!$I$5:$I$304*1,0)+(1-(('Store Prices'!$B$5:$B$304=B134)*(IFERROR('Store Prices'!$I$5:$I$304*1,0)&gt;0)))*999999)))))</f>
        <v>0</v>
      </c>
      <c r="N134" s="17">
        <f>IF(M134="","",IFERROR(INDEX('Store Prices'!$C$5:$C$304,MATCH(1,INDEX(('Store Prices'!$B$5:$B$304=B134)*('Store Prices'!$I$5:$I$304=M134),0),0)),""))</f>
        <v>0</v>
      </c>
      <c r="O134" s="25">
        <f>IF(OR(M134="",J134=""),"",MAX(0,(J134-M134)*100))</f>
        <v>0</v>
      </c>
      <c r="AD134" s="45">
        <f>IF(B134="","",SUMIFS(Pantry!$G$5:$G$304,Pantry!$B$5:$B$304,B134))</f>
        <v>0</v>
      </c>
      <c r="AE134" s="25">
        <f>IF(OR(AD134="",J134=""),"",AD134*J134)</f>
        <v>0</v>
      </c>
      <c r="AF134" s="18">
        <f>IF(B134="","",COUNTIFS('Recipe Ingredients'!$D$5:$D$1204,B134))</f>
        <v>0</v>
      </c>
      <c r="AG134" s="45">
        <f>IF(B134="","",SUMIFS('Recipe Ingredients'!$Y$5:$Y$1204,'Recipe Ingredients'!$D$5:$D$1204,B134))</f>
        <v>0</v>
      </c>
      <c r="AH134" s="30">
        <f>IF(B134="",0,IFERROR(K134*1,0)*IFERROR(AF134*1,0))</f>
        <v>0</v>
      </c>
      <c r="AI134" s="18">
        <f>IF(B134="","",COUNTIFS($AH$5:$AH$304,"&gt;"&amp;AH134)+COUNTIFS($AH$5:AH134,AH134))</f>
        <v>0</v>
      </c>
      <c r="AJ134" s="18">
        <f>IF(B134="",0,COUNTIFS('Food Waste'!$E$5:$E$154,B134))</f>
        <v>0</v>
      </c>
      <c r="AK134" s="18">
        <f>IF(B134="","",COUNTIFS($AJ$5:$AJ$304,"&gt;"&amp;AJ134)+COUNTIFS($AJ$5:AJ134,AJ134))</f>
        <v>0</v>
      </c>
      <c r="AL134" s="18">
        <f>IF(B134="","",IF(AG134&gt;0,COUNTIF(AG$5:AG134,"&gt;0"),""))</f>
        <v>0</v>
      </c>
      <c r="AM134" s="45">
        <f>IF(B134="","",SUMIFS('Grocery List'!$Q$5:$Q$304,'Grocery List'!$B$5:$B$304,B134))</f>
        <v>0</v>
      </c>
      <c r="AN134" s="31">
        <f>IF(B134="","",IF(I134="","Add - no price yet",IF(H134="","Add - no pack size",IF(COUNTIFS($B$5:$B$304,B134)&gt;1,"Duplicate - same name twice",IF(AF134=0,"Check - no recipe uses it","OK")))))</f>
        <v>0</v>
      </c>
    </row>
    <row r="135" spans="1:40">
      <c r="A135" s="39">
        <f>IF(B135="","",IngredientPrefix&amp;TEXT(ROW()-4,"0000"))</f>
        <v>0</v>
      </c>
      <c r="J135" s="25">
        <f>IF(OR(H135="",I135=""),"",IF(H135=0,"",I135/H135))</f>
        <v>0</v>
      </c>
      <c r="K135" s="25">
        <f>IF(J135="","",J135*100)</f>
        <v>0</v>
      </c>
      <c r="L135" s="25">
        <f>IF(B135="","",IFERROR(AVERAGEIFS('Grocery Spending'!$L$5:$L$404,'Grocery Spending'!$H$5:$H$404,B135,'Grocery Spending'!$L$5:$L$404,"&gt;0"),""))</f>
        <v>0</v>
      </c>
      <c r="M135" s="25">
        <f>IF(B135="","",IF(COUNTIFS('Store Prices'!$B$5:$B$304,B135)=0,"",IF(SUMPRODUCT(MIN((('Store Prices'!$B$5:$B$304=B135)*(IFERROR('Store Prices'!$I$5:$I$304*1,0)&gt;0))*IFERROR('Store Prices'!$I$5:$I$304*1,0)+(1-(('Store Prices'!$B$5:$B$304=B135)*(IFERROR('Store Prices'!$I$5:$I$304*1,0)&gt;0)))*999999))&gt;=999999,"",SUMPRODUCT(MIN((('Store Prices'!$B$5:$B$304=B135)*(IFERROR('Store Prices'!$I$5:$I$304*1,0)&gt;0))*IFERROR('Store Prices'!$I$5:$I$304*1,0)+(1-(('Store Prices'!$B$5:$B$304=B135)*(IFERROR('Store Prices'!$I$5:$I$304*1,0)&gt;0)))*999999)))))</f>
        <v>0</v>
      </c>
      <c r="N135" s="17">
        <f>IF(M135="","",IFERROR(INDEX('Store Prices'!$C$5:$C$304,MATCH(1,INDEX(('Store Prices'!$B$5:$B$304=B135)*('Store Prices'!$I$5:$I$304=M135),0),0)),""))</f>
        <v>0</v>
      </c>
      <c r="O135" s="25">
        <f>IF(OR(M135="",J135=""),"",MAX(0,(J135-M135)*100))</f>
        <v>0</v>
      </c>
      <c r="AD135" s="45">
        <f>IF(B135="","",SUMIFS(Pantry!$G$5:$G$304,Pantry!$B$5:$B$304,B135))</f>
        <v>0</v>
      </c>
      <c r="AE135" s="25">
        <f>IF(OR(AD135="",J135=""),"",AD135*J135)</f>
        <v>0</v>
      </c>
      <c r="AF135" s="18">
        <f>IF(B135="","",COUNTIFS('Recipe Ingredients'!$D$5:$D$1204,B135))</f>
        <v>0</v>
      </c>
      <c r="AG135" s="45">
        <f>IF(B135="","",SUMIFS('Recipe Ingredients'!$Y$5:$Y$1204,'Recipe Ingredients'!$D$5:$D$1204,B135))</f>
        <v>0</v>
      </c>
      <c r="AH135" s="30">
        <f>IF(B135="",0,IFERROR(K135*1,0)*IFERROR(AF135*1,0))</f>
        <v>0</v>
      </c>
      <c r="AI135" s="18">
        <f>IF(B135="","",COUNTIFS($AH$5:$AH$304,"&gt;"&amp;AH135)+COUNTIFS($AH$5:AH135,AH135))</f>
        <v>0</v>
      </c>
      <c r="AJ135" s="18">
        <f>IF(B135="",0,COUNTIFS('Food Waste'!$E$5:$E$154,B135))</f>
        <v>0</v>
      </c>
      <c r="AK135" s="18">
        <f>IF(B135="","",COUNTIFS($AJ$5:$AJ$304,"&gt;"&amp;AJ135)+COUNTIFS($AJ$5:AJ135,AJ135))</f>
        <v>0</v>
      </c>
      <c r="AL135" s="18">
        <f>IF(B135="","",IF(AG135&gt;0,COUNTIF(AG$5:AG135,"&gt;0"),""))</f>
        <v>0</v>
      </c>
      <c r="AM135" s="45">
        <f>IF(B135="","",SUMIFS('Grocery List'!$Q$5:$Q$304,'Grocery List'!$B$5:$B$304,B135))</f>
        <v>0</v>
      </c>
      <c r="AN135" s="31">
        <f>IF(B135="","",IF(I135="","Add - no price yet",IF(H135="","Add - no pack size",IF(COUNTIFS($B$5:$B$304,B135)&gt;1,"Duplicate - same name twice",IF(AF135=0,"Check - no recipe uses it","OK")))))</f>
        <v>0</v>
      </c>
    </row>
    <row r="136" spans="1:40">
      <c r="A136" s="39">
        <f>IF(B136="","",IngredientPrefix&amp;TEXT(ROW()-4,"0000"))</f>
        <v>0</v>
      </c>
      <c r="J136" s="25">
        <f>IF(OR(H136="",I136=""),"",IF(H136=0,"",I136/H136))</f>
        <v>0</v>
      </c>
      <c r="K136" s="25">
        <f>IF(J136="","",J136*100)</f>
        <v>0</v>
      </c>
      <c r="L136" s="25">
        <f>IF(B136="","",IFERROR(AVERAGEIFS('Grocery Spending'!$L$5:$L$404,'Grocery Spending'!$H$5:$H$404,B136,'Grocery Spending'!$L$5:$L$404,"&gt;0"),""))</f>
        <v>0</v>
      </c>
      <c r="M136" s="25">
        <f>IF(B136="","",IF(COUNTIFS('Store Prices'!$B$5:$B$304,B136)=0,"",IF(SUMPRODUCT(MIN((('Store Prices'!$B$5:$B$304=B136)*(IFERROR('Store Prices'!$I$5:$I$304*1,0)&gt;0))*IFERROR('Store Prices'!$I$5:$I$304*1,0)+(1-(('Store Prices'!$B$5:$B$304=B136)*(IFERROR('Store Prices'!$I$5:$I$304*1,0)&gt;0)))*999999))&gt;=999999,"",SUMPRODUCT(MIN((('Store Prices'!$B$5:$B$304=B136)*(IFERROR('Store Prices'!$I$5:$I$304*1,0)&gt;0))*IFERROR('Store Prices'!$I$5:$I$304*1,0)+(1-(('Store Prices'!$B$5:$B$304=B136)*(IFERROR('Store Prices'!$I$5:$I$304*1,0)&gt;0)))*999999)))))</f>
        <v>0</v>
      </c>
      <c r="N136" s="17">
        <f>IF(M136="","",IFERROR(INDEX('Store Prices'!$C$5:$C$304,MATCH(1,INDEX(('Store Prices'!$B$5:$B$304=B136)*('Store Prices'!$I$5:$I$304=M136),0),0)),""))</f>
        <v>0</v>
      </c>
      <c r="O136" s="25">
        <f>IF(OR(M136="",J136=""),"",MAX(0,(J136-M136)*100))</f>
        <v>0</v>
      </c>
      <c r="AD136" s="45">
        <f>IF(B136="","",SUMIFS(Pantry!$G$5:$G$304,Pantry!$B$5:$B$304,B136))</f>
        <v>0</v>
      </c>
      <c r="AE136" s="25">
        <f>IF(OR(AD136="",J136=""),"",AD136*J136)</f>
        <v>0</v>
      </c>
      <c r="AF136" s="18">
        <f>IF(B136="","",COUNTIFS('Recipe Ingredients'!$D$5:$D$1204,B136))</f>
        <v>0</v>
      </c>
      <c r="AG136" s="45">
        <f>IF(B136="","",SUMIFS('Recipe Ingredients'!$Y$5:$Y$1204,'Recipe Ingredients'!$D$5:$D$1204,B136))</f>
        <v>0</v>
      </c>
      <c r="AH136" s="30">
        <f>IF(B136="",0,IFERROR(K136*1,0)*IFERROR(AF136*1,0))</f>
        <v>0</v>
      </c>
      <c r="AI136" s="18">
        <f>IF(B136="","",COUNTIFS($AH$5:$AH$304,"&gt;"&amp;AH136)+COUNTIFS($AH$5:AH136,AH136))</f>
        <v>0</v>
      </c>
      <c r="AJ136" s="18">
        <f>IF(B136="",0,COUNTIFS('Food Waste'!$E$5:$E$154,B136))</f>
        <v>0</v>
      </c>
      <c r="AK136" s="18">
        <f>IF(B136="","",COUNTIFS($AJ$5:$AJ$304,"&gt;"&amp;AJ136)+COUNTIFS($AJ$5:AJ136,AJ136))</f>
        <v>0</v>
      </c>
      <c r="AL136" s="18">
        <f>IF(B136="","",IF(AG136&gt;0,COUNTIF(AG$5:AG136,"&gt;0"),""))</f>
        <v>0</v>
      </c>
      <c r="AM136" s="45">
        <f>IF(B136="","",SUMIFS('Grocery List'!$Q$5:$Q$304,'Grocery List'!$B$5:$B$304,B136))</f>
        <v>0</v>
      </c>
      <c r="AN136" s="31">
        <f>IF(B136="","",IF(I136="","Add - no price yet",IF(H136="","Add - no pack size",IF(COUNTIFS($B$5:$B$304,B136)&gt;1,"Duplicate - same name twice",IF(AF136=0,"Check - no recipe uses it","OK")))))</f>
        <v>0</v>
      </c>
    </row>
    <row r="137" spans="1:40">
      <c r="A137" s="39">
        <f>IF(B137="","",IngredientPrefix&amp;TEXT(ROW()-4,"0000"))</f>
        <v>0</v>
      </c>
      <c r="J137" s="25">
        <f>IF(OR(H137="",I137=""),"",IF(H137=0,"",I137/H137))</f>
        <v>0</v>
      </c>
      <c r="K137" s="25">
        <f>IF(J137="","",J137*100)</f>
        <v>0</v>
      </c>
      <c r="L137" s="25">
        <f>IF(B137="","",IFERROR(AVERAGEIFS('Grocery Spending'!$L$5:$L$404,'Grocery Spending'!$H$5:$H$404,B137,'Grocery Spending'!$L$5:$L$404,"&gt;0"),""))</f>
        <v>0</v>
      </c>
      <c r="M137" s="25">
        <f>IF(B137="","",IF(COUNTIFS('Store Prices'!$B$5:$B$304,B137)=0,"",IF(SUMPRODUCT(MIN((('Store Prices'!$B$5:$B$304=B137)*(IFERROR('Store Prices'!$I$5:$I$304*1,0)&gt;0))*IFERROR('Store Prices'!$I$5:$I$304*1,0)+(1-(('Store Prices'!$B$5:$B$304=B137)*(IFERROR('Store Prices'!$I$5:$I$304*1,0)&gt;0)))*999999))&gt;=999999,"",SUMPRODUCT(MIN((('Store Prices'!$B$5:$B$304=B137)*(IFERROR('Store Prices'!$I$5:$I$304*1,0)&gt;0))*IFERROR('Store Prices'!$I$5:$I$304*1,0)+(1-(('Store Prices'!$B$5:$B$304=B137)*(IFERROR('Store Prices'!$I$5:$I$304*1,0)&gt;0)))*999999)))))</f>
        <v>0</v>
      </c>
      <c r="N137" s="17">
        <f>IF(M137="","",IFERROR(INDEX('Store Prices'!$C$5:$C$304,MATCH(1,INDEX(('Store Prices'!$B$5:$B$304=B137)*('Store Prices'!$I$5:$I$304=M137),0),0)),""))</f>
        <v>0</v>
      </c>
      <c r="O137" s="25">
        <f>IF(OR(M137="",J137=""),"",MAX(0,(J137-M137)*100))</f>
        <v>0</v>
      </c>
      <c r="AD137" s="45">
        <f>IF(B137="","",SUMIFS(Pantry!$G$5:$G$304,Pantry!$B$5:$B$304,B137))</f>
        <v>0</v>
      </c>
      <c r="AE137" s="25">
        <f>IF(OR(AD137="",J137=""),"",AD137*J137)</f>
        <v>0</v>
      </c>
      <c r="AF137" s="18">
        <f>IF(B137="","",COUNTIFS('Recipe Ingredients'!$D$5:$D$1204,B137))</f>
        <v>0</v>
      </c>
      <c r="AG137" s="45">
        <f>IF(B137="","",SUMIFS('Recipe Ingredients'!$Y$5:$Y$1204,'Recipe Ingredients'!$D$5:$D$1204,B137))</f>
        <v>0</v>
      </c>
      <c r="AH137" s="30">
        <f>IF(B137="",0,IFERROR(K137*1,0)*IFERROR(AF137*1,0))</f>
        <v>0</v>
      </c>
      <c r="AI137" s="18">
        <f>IF(B137="","",COUNTIFS($AH$5:$AH$304,"&gt;"&amp;AH137)+COUNTIFS($AH$5:AH137,AH137))</f>
        <v>0</v>
      </c>
      <c r="AJ137" s="18">
        <f>IF(B137="",0,COUNTIFS('Food Waste'!$E$5:$E$154,B137))</f>
        <v>0</v>
      </c>
      <c r="AK137" s="18">
        <f>IF(B137="","",COUNTIFS($AJ$5:$AJ$304,"&gt;"&amp;AJ137)+COUNTIFS($AJ$5:AJ137,AJ137))</f>
        <v>0</v>
      </c>
      <c r="AL137" s="18">
        <f>IF(B137="","",IF(AG137&gt;0,COUNTIF(AG$5:AG137,"&gt;0"),""))</f>
        <v>0</v>
      </c>
      <c r="AM137" s="45">
        <f>IF(B137="","",SUMIFS('Grocery List'!$Q$5:$Q$304,'Grocery List'!$B$5:$B$304,B137))</f>
        <v>0</v>
      </c>
      <c r="AN137" s="31">
        <f>IF(B137="","",IF(I137="","Add - no price yet",IF(H137="","Add - no pack size",IF(COUNTIFS($B$5:$B$304,B137)&gt;1,"Duplicate - same name twice",IF(AF137=0,"Check - no recipe uses it","OK")))))</f>
        <v>0</v>
      </c>
    </row>
    <row r="138" spans="1:40">
      <c r="A138" s="39">
        <f>IF(B138="","",IngredientPrefix&amp;TEXT(ROW()-4,"0000"))</f>
        <v>0</v>
      </c>
      <c r="J138" s="25">
        <f>IF(OR(H138="",I138=""),"",IF(H138=0,"",I138/H138))</f>
        <v>0</v>
      </c>
      <c r="K138" s="25">
        <f>IF(J138="","",J138*100)</f>
        <v>0</v>
      </c>
      <c r="L138" s="25">
        <f>IF(B138="","",IFERROR(AVERAGEIFS('Grocery Spending'!$L$5:$L$404,'Grocery Spending'!$H$5:$H$404,B138,'Grocery Spending'!$L$5:$L$404,"&gt;0"),""))</f>
        <v>0</v>
      </c>
      <c r="M138" s="25">
        <f>IF(B138="","",IF(COUNTIFS('Store Prices'!$B$5:$B$304,B138)=0,"",IF(SUMPRODUCT(MIN((('Store Prices'!$B$5:$B$304=B138)*(IFERROR('Store Prices'!$I$5:$I$304*1,0)&gt;0))*IFERROR('Store Prices'!$I$5:$I$304*1,0)+(1-(('Store Prices'!$B$5:$B$304=B138)*(IFERROR('Store Prices'!$I$5:$I$304*1,0)&gt;0)))*999999))&gt;=999999,"",SUMPRODUCT(MIN((('Store Prices'!$B$5:$B$304=B138)*(IFERROR('Store Prices'!$I$5:$I$304*1,0)&gt;0))*IFERROR('Store Prices'!$I$5:$I$304*1,0)+(1-(('Store Prices'!$B$5:$B$304=B138)*(IFERROR('Store Prices'!$I$5:$I$304*1,0)&gt;0)))*999999)))))</f>
        <v>0</v>
      </c>
      <c r="N138" s="17">
        <f>IF(M138="","",IFERROR(INDEX('Store Prices'!$C$5:$C$304,MATCH(1,INDEX(('Store Prices'!$B$5:$B$304=B138)*('Store Prices'!$I$5:$I$304=M138),0),0)),""))</f>
        <v>0</v>
      </c>
      <c r="O138" s="25">
        <f>IF(OR(M138="",J138=""),"",MAX(0,(J138-M138)*100))</f>
        <v>0</v>
      </c>
      <c r="AD138" s="45">
        <f>IF(B138="","",SUMIFS(Pantry!$G$5:$G$304,Pantry!$B$5:$B$304,B138))</f>
        <v>0</v>
      </c>
      <c r="AE138" s="25">
        <f>IF(OR(AD138="",J138=""),"",AD138*J138)</f>
        <v>0</v>
      </c>
      <c r="AF138" s="18">
        <f>IF(B138="","",COUNTIFS('Recipe Ingredients'!$D$5:$D$1204,B138))</f>
        <v>0</v>
      </c>
      <c r="AG138" s="45">
        <f>IF(B138="","",SUMIFS('Recipe Ingredients'!$Y$5:$Y$1204,'Recipe Ingredients'!$D$5:$D$1204,B138))</f>
        <v>0</v>
      </c>
      <c r="AH138" s="30">
        <f>IF(B138="",0,IFERROR(K138*1,0)*IFERROR(AF138*1,0))</f>
        <v>0</v>
      </c>
      <c r="AI138" s="18">
        <f>IF(B138="","",COUNTIFS($AH$5:$AH$304,"&gt;"&amp;AH138)+COUNTIFS($AH$5:AH138,AH138))</f>
        <v>0</v>
      </c>
      <c r="AJ138" s="18">
        <f>IF(B138="",0,COUNTIFS('Food Waste'!$E$5:$E$154,B138))</f>
        <v>0</v>
      </c>
      <c r="AK138" s="18">
        <f>IF(B138="","",COUNTIFS($AJ$5:$AJ$304,"&gt;"&amp;AJ138)+COUNTIFS($AJ$5:AJ138,AJ138))</f>
        <v>0</v>
      </c>
      <c r="AL138" s="18">
        <f>IF(B138="","",IF(AG138&gt;0,COUNTIF(AG$5:AG138,"&gt;0"),""))</f>
        <v>0</v>
      </c>
      <c r="AM138" s="45">
        <f>IF(B138="","",SUMIFS('Grocery List'!$Q$5:$Q$304,'Grocery List'!$B$5:$B$304,B138))</f>
        <v>0</v>
      </c>
      <c r="AN138" s="31">
        <f>IF(B138="","",IF(I138="","Add - no price yet",IF(H138="","Add - no pack size",IF(COUNTIFS($B$5:$B$304,B138)&gt;1,"Duplicate - same name twice",IF(AF138=0,"Check - no recipe uses it","OK")))))</f>
        <v>0</v>
      </c>
    </row>
    <row r="139" spans="1:40">
      <c r="A139" s="39">
        <f>IF(B139="","",IngredientPrefix&amp;TEXT(ROW()-4,"0000"))</f>
        <v>0</v>
      </c>
      <c r="J139" s="25">
        <f>IF(OR(H139="",I139=""),"",IF(H139=0,"",I139/H139))</f>
        <v>0</v>
      </c>
      <c r="K139" s="25">
        <f>IF(J139="","",J139*100)</f>
        <v>0</v>
      </c>
      <c r="L139" s="25">
        <f>IF(B139="","",IFERROR(AVERAGEIFS('Grocery Spending'!$L$5:$L$404,'Grocery Spending'!$H$5:$H$404,B139,'Grocery Spending'!$L$5:$L$404,"&gt;0"),""))</f>
        <v>0</v>
      </c>
      <c r="M139" s="25">
        <f>IF(B139="","",IF(COUNTIFS('Store Prices'!$B$5:$B$304,B139)=0,"",IF(SUMPRODUCT(MIN((('Store Prices'!$B$5:$B$304=B139)*(IFERROR('Store Prices'!$I$5:$I$304*1,0)&gt;0))*IFERROR('Store Prices'!$I$5:$I$304*1,0)+(1-(('Store Prices'!$B$5:$B$304=B139)*(IFERROR('Store Prices'!$I$5:$I$304*1,0)&gt;0)))*999999))&gt;=999999,"",SUMPRODUCT(MIN((('Store Prices'!$B$5:$B$304=B139)*(IFERROR('Store Prices'!$I$5:$I$304*1,0)&gt;0))*IFERROR('Store Prices'!$I$5:$I$304*1,0)+(1-(('Store Prices'!$B$5:$B$304=B139)*(IFERROR('Store Prices'!$I$5:$I$304*1,0)&gt;0)))*999999)))))</f>
        <v>0</v>
      </c>
      <c r="N139" s="17">
        <f>IF(M139="","",IFERROR(INDEX('Store Prices'!$C$5:$C$304,MATCH(1,INDEX(('Store Prices'!$B$5:$B$304=B139)*('Store Prices'!$I$5:$I$304=M139),0),0)),""))</f>
        <v>0</v>
      </c>
      <c r="O139" s="25">
        <f>IF(OR(M139="",J139=""),"",MAX(0,(J139-M139)*100))</f>
        <v>0</v>
      </c>
      <c r="AD139" s="45">
        <f>IF(B139="","",SUMIFS(Pantry!$G$5:$G$304,Pantry!$B$5:$B$304,B139))</f>
        <v>0</v>
      </c>
      <c r="AE139" s="25">
        <f>IF(OR(AD139="",J139=""),"",AD139*J139)</f>
        <v>0</v>
      </c>
      <c r="AF139" s="18">
        <f>IF(B139="","",COUNTIFS('Recipe Ingredients'!$D$5:$D$1204,B139))</f>
        <v>0</v>
      </c>
      <c r="AG139" s="45">
        <f>IF(B139="","",SUMIFS('Recipe Ingredients'!$Y$5:$Y$1204,'Recipe Ingredients'!$D$5:$D$1204,B139))</f>
        <v>0</v>
      </c>
      <c r="AH139" s="30">
        <f>IF(B139="",0,IFERROR(K139*1,0)*IFERROR(AF139*1,0))</f>
        <v>0</v>
      </c>
      <c r="AI139" s="18">
        <f>IF(B139="","",COUNTIFS($AH$5:$AH$304,"&gt;"&amp;AH139)+COUNTIFS($AH$5:AH139,AH139))</f>
        <v>0</v>
      </c>
      <c r="AJ139" s="18">
        <f>IF(B139="",0,COUNTIFS('Food Waste'!$E$5:$E$154,B139))</f>
        <v>0</v>
      </c>
      <c r="AK139" s="18">
        <f>IF(B139="","",COUNTIFS($AJ$5:$AJ$304,"&gt;"&amp;AJ139)+COUNTIFS($AJ$5:AJ139,AJ139))</f>
        <v>0</v>
      </c>
      <c r="AL139" s="18">
        <f>IF(B139="","",IF(AG139&gt;0,COUNTIF(AG$5:AG139,"&gt;0"),""))</f>
        <v>0</v>
      </c>
      <c r="AM139" s="45">
        <f>IF(B139="","",SUMIFS('Grocery List'!$Q$5:$Q$304,'Grocery List'!$B$5:$B$304,B139))</f>
        <v>0</v>
      </c>
      <c r="AN139" s="31">
        <f>IF(B139="","",IF(I139="","Add - no price yet",IF(H139="","Add - no pack size",IF(COUNTIFS($B$5:$B$304,B139)&gt;1,"Duplicate - same name twice",IF(AF139=0,"Check - no recipe uses it","OK")))))</f>
        <v>0</v>
      </c>
    </row>
    <row r="140" spans="1:40">
      <c r="A140" s="39">
        <f>IF(B140="","",IngredientPrefix&amp;TEXT(ROW()-4,"0000"))</f>
        <v>0</v>
      </c>
      <c r="J140" s="25">
        <f>IF(OR(H140="",I140=""),"",IF(H140=0,"",I140/H140))</f>
        <v>0</v>
      </c>
      <c r="K140" s="25">
        <f>IF(J140="","",J140*100)</f>
        <v>0</v>
      </c>
      <c r="L140" s="25">
        <f>IF(B140="","",IFERROR(AVERAGEIFS('Grocery Spending'!$L$5:$L$404,'Grocery Spending'!$H$5:$H$404,B140,'Grocery Spending'!$L$5:$L$404,"&gt;0"),""))</f>
        <v>0</v>
      </c>
      <c r="M140" s="25">
        <f>IF(B140="","",IF(COUNTIFS('Store Prices'!$B$5:$B$304,B140)=0,"",IF(SUMPRODUCT(MIN((('Store Prices'!$B$5:$B$304=B140)*(IFERROR('Store Prices'!$I$5:$I$304*1,0)&gt;0))*IFERROR('Store Prices'!$I$5:$I$304*1,0)+(1-(('Store Prices'!$B$5:$B$304=B140)*(IFERROR('Store Prices'!$I$5:$I$304*1,0)&gt;0)))*999999))&gt;=999999,"",SUMPRODUCT(MIN((('Store Prices'!$B$5:$B$304=B140)*(IFERROR('Store Prices'!$I$5:$I$304*1,0)&gt;0))*IFERROR('Store Prices'!$I$5:$I$304*1,0)+(1-(('Store Prices'!$B$5:$B$304=B140)*(IFERROR('Store Prices'!$I$5:$I$304*1,0)&gt;0)))*999999)))))</f>
        <v>0</v>
      </c>
      <c r="N140" s="17">
        <f>IF(M140="","",IFERROR(INDEX('Store Prices'!$C$5:$C$304,MATCH(1,INDEX(('Store Prices'!$B$5:$B$304=B140)*('Store Prices'!$I$5:$I$304=M140),0),0)),""))</f>
        <v>0</v>
      </c>
      <c r="O140" s="25">
        <f>IF(OR(M140="",J140=""),"",MAX(0,(J140-M140)*100))</f>
        <v>0</v>
      </c>
      <c r="AD140" s="45">
        <f>IF(B140="","",SUMIFS(Pantry!$G$5:$G$304,Pantry!$B$5:$B$304,B140))</f>
        <v>0</v>
      </c>
      <c r="AE140" s="25">
        <f>IF(OR(AD140="",J140=""),"",AD140*J140)</f>
        <v>0</v>
      </c>
      <c r="AF140" s="18">
        <f>IF(B140="","",COUNTIFS('Recipe Ingredients'!$D$5:$D$1204,B140))</f>
        <v>0</v>
      </c>
      <c r="AG140" s="45">
        <f>IF(B140="","",SUMIFS('Recipe Ingredients'!$Y$5:$Y$1204,'Recipe Ingredients'!$D$5:$D$1204,B140))</f>
        <v>0</v>
      </c>
      <c r="AH140" s="30">
        <f>IF(B140="",0,IFERROR(K140*1,0)*IFERROR(AF140*1,0))</f>
        <v>0</v>
      </c>
      <c r="AI140" s="18">
        <f>IF(B140="","",COUNTIFS($AH$5:$AH$304,"&gt;"&amp;AH140)+COUNTIFS($AH$5:AH140,AH140))</f>
        <v>0</v>
      </c>
      <c r="AJ140" s="18">
        <f>IF(B140="",0,COUNTIFS('Food Waste'!$E$5:$E$154,B140))</f>
        <v>0</v>
      </c>
      <c r="AK140" s="18">
        <f>IF(B140="","",COUNTIFS($AJ$5:$AJ$304,"&gt;"&amp;AJ140)+COUNTIFS($AJ$5:AJ140,AJ140))</f>
        <v>0</v>
      </c>
      <c r="AL140" s="18">
        <f>IF(B140="","",IF(AG140&gt;0,COUNTIF(AG$5:AG140,"&gt;0"),""))</f>
        <v>0</v>
      </c>
      <c r="AM140" s="45">
        <f>IF(B140="","",SUMIFS('Grocery List'!$Q$5:$Q$304,'Grocery List'!$B$5:$B$304,B140))</f>
        <v>0</v>
      </c>
      <c r="AN140" s="31">
        <f>IF(B140="","",IF(I140="","Add - no price yet",IF(H140="","Add - no pack size",IF(COUNTIFS($B$5:$B$304,B140)&gt;1,"Duplicate - same name twice",IF(AF140=0,"Check - no recipe uses it","OK")))))</f>
        <v>0</v>
      </c>
    </row>
    <row r="141" spans="1:40">
      <c r="A141" s="39">
        <f>IF(B141="","",IngredientPrefix&amp;TEXT(ROW()-4,"0000"))</f>
        <v>0</v>
      </c>
      <c r="J141" s="25">
        <f>IF(OR(H141="",I141=""),"",IF(H141=0,"",I141/H141))</f>
        <v>0</v>
      </c>
      <c r="K141" s="25">
        <f>IF(J141="","",J141*100)</f>
        <v>0</v>
      </c>
      <c r="L141" s="25">
        <f>IF(B141="","",IFERROR(AVERAGEIFS('Grocery Spending'!$L$5:$L$404,'Grocery Spending'!$H$5:$H$404,B141,'Grocery Spending'!$L$5:$L$404,"&gt;0"),""))</f>
        <v>0</v>
      </c>
      <c r="M141" s="25">
        <f>IF(B141="","",IF(COUNTIFS('Store Prices'!$B$5:$B$304,B141)=0,"",IF(SUMPRODUCT(MIN((('Store Prices'!$B$5:$B$304=B141)*(IFERROR('Store Prices'!$I$5:$I$304*1,0)&gt;0))*IFERROR('Store Prices'!$I$5:$I$304*1,0)+(1-(('Store Prices'!$B$5:$B$304=B141)*(IFERROR('Store Prices'!$I$5:$I$304*1,0)&gt;0)))*999999))&gt;=999999,"",SUMPRODUCT(MIN((('Store Prices'!$B$5:$B$304=B141)*(IFERROR('Store Prices'!$I$5:$I$304*1,0)&gt;0))*IFERROR('Store Prices'!$I$5:$I$304*1,0)+(1-(('Store Prices'!$B$5:$B$304=B141)*(IFERROR('Store Prices'!$I$5:$I$304*1,0)&gt;0)))*999999)))))</f>
        <v>0</v>
      </c>
      <c r="N141" s="17">
        <f>IF(M141="","",IFERROR(INDEX('Store Prices'!$C$5:$C$304,MATCH(1,INDEX(('Store Prices'!$B$5:$B$304=B141)*('Store Prices'!$I$5:$I$304=M141),0),0)),""))</f>
        <v>0</v>
      </c>
      <c r="O141" s="25">
        <f>IF(OR(M141="",J141=""),"",MAX(0,(J141-M141)*100))</f>
        <v>0</v>
      </c>
      <c r="AD141" s="45">
        <f>IF(B141="","",SUMIFS(Pantry!$G$5:$G$304,Pantry!$B$5:$B$304,B141))</f>
        <v>0</v>
      </c>
      <c r="AE141" s="25">
        <f>IF(OR(AD141="",J141=""),"",AD141*J141)</f>
        <v>0</v>
      </c>
      <c r="AF141" s="18">
        <f>IF(B141="","",COUNTIFS('Recipe Ingredients'!$D$5:$D$1204,B141))</f>
        <v>0</v>
      </c>
      <c r="AG141" s="45">
        <f>IF(B141="","",SUMIFS('Recipe Ingredients'!$Y$5:$Y$1204,'Recipe Ingredients'!$D$5:$D$1204,B141))</f>
        <v>0</v>
      </c>
      <c r="AH141" s="30">
        <f>IF(B141="",0,IFERROR(K141*1,0)*IFERROR(AF141*1,0))</f>
        <v>0</v>
      </c>
      <c r="AI141" s="18">
        <f>IF(B141="","",COUNTIFS($AH$5:$AH$304,"&gt;"&amp;AH141)+COUNTIFS($AH$5:AH141,AH141))</f>
        <v>0</v>
      </c>
      <c r="AJ141" s="18">
        <f>IF(B141="",0,COUNTIFS('Food Waste'!$E$5:$E$154,B141))</f>
        <v>0</v>
      </c>
      <c r="AK141" s="18">
        <f>IF(B141="","",COUNTIFS($AJ$5:$AJ$304,"&gt;"&amp;AJ141)+COUNTIFS($AJ$5:AJ141,AJ141))</f>
        <v>0</v>
      </c>
      <c r="AL141" s="18">
        <f>IF(B141="","",IF(AG141&gt;0,COUNTIF(AG$5:AG141,"&gt;0"),""))</f>
        <v>0</v>
      </c>
      <c r="AM141" s="45">
        <f>IF(B141="","",SUMIFS('Grocery List'!$Q$5:$Q$304,'Grocery List'!$B$5:$B$304,B141))</f>
        <v>0</v>
      </c>
      <c r="AN141" s="31">
        <f>IF(B141="","",IF(I141="","Add - no price yet",IF(H141="","Add - no pack size",IF(COUNTIFS($B$5:$B$304,B141)&gt;1,"Duplicate - same name twice",IF(AF141=0,"Check - no recipe uses it","OK")))))</f>
        <v>0</v>
      </c>
    </row>
    <row r="142" spans="1:40">
      <c r="A142" s="39">
        <f>IF(B142="","",IngredientPrefix&amp;TEXT(ROW()-4,"0000"))</f>
        <v>0</v>
      </c>
      <c r="J142" s="25">
        <f>IF(OR(H142="",I142=""),"",IF(H142=0,"",I142/H142))</f>
        <v>0</v>
      </c>
      <c r="K142" s="25">
        <f>IF(J142="","",J142*100)</f>
        <v>0</v>
      </c>
      <c r="L142" s="25">
        <f>IF(B142="","",IFERROR(AVERAGEIFS('Grocery Spending'!$L$5:$L$404,'Grocery Spending'!$H$5:$H$404,B142,'Grocery Spending'!$L$5:$L$404,"&gt;0"),""))</f>
        <v>0</v>
      </c>
      <c r="M142" s="25">
        <f>IF(B142="","",IF(COUNTIFS('Store Prices'!$B$5:$B$304,B142)=0,"",IF(SUMPRODUCT(MIN((('Store Prices'!$B$5:$B$304=B142)*(IFERROR('Store Prices'!$I$5:$I$304*1,0)&gt;0))*IFERROR('Store Prices'!$I$5:$I$304*1,0)+(1-(('Store Prices'!$B$5:$B$304=B142)*(IFERROR('Store Prices'!$I$5:$I$304*1,0)&gt;0)))*999999))&gt;=999999,"",SUMPRODUCT(MIN((('Store Prices'!$B$5:$B$304=B142)*(IFERROR('Store Prices'!$I$5:$I$304*1,0)&gt;0))*IFERROR('Store Prices'!$I$5:$I$304*1,0)+(1-(('Store Prices'!$B$5:$B$304=B142)*(IFERROR('Store Prices'!$I$5:$I$304*1,0)&gt;0)))*999999)))))</f>
        <v>0</v>
      </c>
      <c r="N142" s="17">
        <f>IF(M142="","",IFERROR(INDEX('Store Prices'!$C$5:$C$304,MATCH(1,INDEX(('Store Prices'!$B$5:$B$304=B142)*('Store Prices'!$I$5:$I$304=M142),0),0)),""))</f>
        <v>0</v>
      </c>
      <c r="O142" s="25">
        <f>IF(OR(M142="",J142=""),"",MAX(0,(J142-M142)*100))</f>
        <v>0</v>
      </c>
      <c r="AD142" s="45">
        <f>IF(B142="","",SUMIFS(Pantry!$G$5:$G$304,Pantry!$B$5:$B$304,B142))</f>
        <v>0</v>
      </c>
      <c r="AE142" s="25">
        <f>IF(OR(AD142="",J142=""),"",AD142*J142)</f>
        <v>0</v>
      </c>
      <c r="AF142" s="18">
        <f>IF(B142="","",COUNTIFS('Recipe Ingredients'!$D$5:$D$1204,B142))</f>
        <v>0</v>
      </c>
      <c r="AG142" s="45">
        <f>IF(B142="","",SUMIFS('Recipe Ingredients'!$Y$5:$Y$1204,'Recipe Ingredients'!$D$5:$D$1204,B142))</f>
        <v>0</v>
      </c>
      <c r="AH142" s="30">
        <f>IF(B142="",0,IFERROR(K142*1,0)*IFERROR(AF142*1,0))</f>
        <v>0</v>
      </c>
      <c r="AI142" s="18">
        <f>IF(B142="","",COUNTIFS($AH$5:$AH$304,"&gt;"&amp;AH142)+COUNTIFS($AH$5:AH142,AH142))</f>
        <v>0</v>
      </c>
      <c r="AJ142" s="18">
        <f>IF(B142="",0,COUNTIFS('Food Waste'!$E$5:$E$154,B142))</f>
        <v>0</v>
      </c>
      <c r="AK142" s="18">
        <f>IF(B142="","",COUNTIFS($AJ$5:$AJ$304,"&gt;"&amp;AJ142)+COUNTIFS($AJ$5:AJ142,AJ142))</f>
        <v>0</v>
      </c>
      <c r="AL142" s="18">
        <f>IF(B142="","",IF(AG142&gt;0,COUNTIF(AG$5:AG142,"&gt;0"),""))</f>
        <v>0</v>
      </c>
      <c r="AM142" s="45">
        <f>IF(B142="","",SUMIFS('Grocery List'!$Q$5:$Q$304,'Grocery List'!$B$5:$B$304,B142))</f>
        <v>0</v>
      </c>
      <c r="AN142" s="31">
        <f>IF(B142="","",IF(I142="","Add - no price yet",IF(H142="","Add - no pack size",IF(COUNTIFS($B$5:$B$304,B142)&gt;1,"Duplicate - same name twice",IF(AF142=0,"Check - no recipe uses it","OK")))))</f>
        <v>0</v>
      </c>
    </row>
    <row r="143" spans="1:40">
      <c r="A143" s="39">
        <f>IF(B143="","",IngredientPrefix&amp;TEXT(ROW()-4,"0000"))</f>
        <v>0</v>
      </c>
      <c r="J143" s="25">
        <f>IF(OR(H143="",I143=""),"",IF(H143=0,"",I143/H143))</f>
        <v>0</v>
      </c>
      <c r="K143" s="25">
        <f>IF(J143="","",J143*100)</f>
        <v>0</v>
      </c>
      <c r="L143" s="25">
        <f>IF(B143="","",IFERROR(AVERAGEIFS('Grocery Spending'!$L$5:$L$404,'Grocery Spending'!$H$5:$H$404,B143,'Grocery Spending'!$L$5:$L$404,"&gt;0"),""))</f>
        <v>0</v>
      </c>
      <c r="M143" s="25">
        <f>IF(B143="","",IF(COUNTIFS('Store Prices'!$B$5:$B$304,B143)=0,"",IF(SUMPRODUCT(MIN((('Store Prices'!$B$5:$B$304=B143)*(IFERROR('Store Prices'!$I$5:$I$304*1,0)&gt;0))*IFERROR('Store Prices'!$I$5:$I$304*1,0)+(1-(('Store Prices'!$B$5:$B$304=B143)*(IFERROR('Store Prices'!$I$5:$I$304*1,0)&gt;0)))*999999))&gt;=999999,"",SUMPRODUCT(MIN((('Store Prices'!$B$5:$B$304=B143)*(IFERROR('Store Prices'!$I$5:$I$304*1,0)&gt;0))*IFERROR('Store Prices'!$I$5:$I$304*1,0)+(1-(('Store Prices'!$B$5:$B$304=B143)*(IFERROR('Store Prices'!$I$5:$I$304*1,0)&gt;0)))*999999)))))</f>
        <v>0</v>
      </c>
      <c r="N143" s="17">
        <f>IF(M143="","",IFERROR(INDEX('Store Prices'!$C$5:$C$304,MATCH(1,INDEX(('Store Prices'!$B$5:$B$304=B143)*('Store Prices'!$I$5:$I$304=M143),0),0)),""))</f>
        <v>0</v>
      </c>
      <c r="O143" s="25">
        <f>IF(OR(M143="",J143=""),"",MAX(0,(J143-M143)*100))</f>
        <v>0</v>
      </c>
      <c r="AD143" s="45">
        <f>IF(B143="","",SUMIFS(Pantry!$G$5:$G$304,Pantry!$B$5:$B$304,B143))</f>
        <v>0</v>
      </c>
      <c r="AE143" s="25">
        <f>IF(OR(AD143="",J143=""),"",AD143*J143)</f>
        <v>0</v>
      </c>
      <c r="AF143" s="18">
        <f>IF(B143="","",COUNTIFS('Recipe Ingredients'!$D$5:$D$1204,B143))</f>
        <v>0</v>
      </c>
      <c r="AG143" s="45">
        <f>IF(B143="","",SUMIFS('Recipe Ingredients'!$Y$5:$Y$1204,'Recipe Ingredients'!$D$5:$D$1204,B143))</f>
        <v>0</v>
      </c>
      <c r="AH143" s="30">
        <f>IF(B143="",0,IFERROR(K143*1,0)*IFERROR(AF143*1,0))</f>
        <v>0</v>
      </c>
      <c r="AI143" s="18">
        <f>IF(B143="","",COUNTIFS($AH$5:$AH$304,"&gt;"&amp;AH143)+COUNTIFS($AH$5:AH143,AH143))</f>
        <v>0</v>
      </c>
      <c r="AJ143" s="18">
        <f>IF(B143="",0,COUNTIFS('Food Waste'!$E$5:$E$154,B143))</f>
        <v>0</v>
      </c>
      <c r="AK143" s="18">
        <f>IF(B143="","",COUNTIFS($AJ$5:$AJ$304,"&gt;"&amp;AJ143)+COUNTIFS($AJ$5:AJ143,AJ143))</f>
        <v>0</v>
      </c>
      <c r="AL143" s="18">
        <f>IF(B143="","",IF(AG143&gt;0,COUNTIF(AG$5:AG143,"&gt;0"),""))</f>
        <v>0</v>
      </c>
      <c r="AM143" s="45">
        <f>IF(B143="","",SUMIFS('Grocery List'!$Q$5:$Q$304,'Grocery List'!$B$5:$B$304,B143))</f>
        <v>0</v>
      </c>
      <c r="AN143" s="31">
        <f>IF(B143="","",IF(I143="","Add - no price yet",IF(H143="","Add - no pack size",IF(COUNTIFS($B$5:$B$304,B143)&gt;1,"Duplicate - same name twice",IF(AF143=0,"Check - no recipe uses it","OK")))))</f>
        <v>0</v>
      </c>
    </row>
    <row r="144" spans="1:40">
      <c r="A144" s="39">
        <f>IF(B144="","",IngredientPrefix&amp;TEXT(ROW()-4,"0000"))</f>
        <v>0</v>
      </c>
      <c r="J144" s="25">
        <f>IF(OR(H144="",I144=""),"",IF(H144=0,"",I144/H144))</f>
        <v>0</v>
      </c>
      <c r="K144" s="25">
        <f>IF(J144="","",J144*100)</f>
        <v>0</v>
      </c>
      <c r="L144" s="25">
        <f>IF(B144="","",IFERROR(AVERAGEIFS('Grocery Spending'!$L$5:$L$404,'Grocery Spending'!$H$5:$H$404,B144,'Grocery Spending'!$L$5:$L$404,"&gt;0"),""))</f>
        <v>0</v>
      </c>
      <c r="M144" s="25">
        <f>IF(B144="","",IF(COUNTIFS('Store Prices'!$B$5:$B$304,B144)=0,"",IF(SUMPRODUCT(MIN((('Store Prices'!$B$5:$B$304=B144)*(IFERROR('Store Prices'!$I$5:$I$304*1,0)&gt;0))*IFERROR('Store Prices'!$I$5:$I$304*1,0)+(1-(('Store Prices'!$B$5:$B$304=B144)*(IFERROR('Store Prices'!$I$5:$I$304*1,0)&gt;0)))*999999))&gt;=999999,"",SUMPRODUCT(MIN((('Store Prices'!$B$5:$B$304=B144)*(IFERROR('Store Prices'!$I$5:$I$304*1,0)&gt;0))*IFERROR('Store Prices'!$I$5:$I$304*1,0)+(1-(('Store Prices'!$B$5:$B$304=B144)*(IFERROR('Store Prices'!$I$5:$I$304*1,0)&gt;0)))*999999)))))</f>
        <v>0</v>
      </c>
      <c r="N144" s="17">
        <f>IF(M144="","",IFERROR(INDEX('Store Prices'!$C$5:$C$304,MATCH(1,INDEX(('Store Prices'!$B$5:$B$304=B144)*('Store Prices'!$I$5:$I$304=M144),0),0)),""))</f>
        <v>0</v>
      </c>
      <c r="O144" s="25">
        <f>IF(OR(M144="",J144=""),"",MAX(0,(J144-M144)*100))</f>
        <v>0</v>
      </c>
      <c r="AD144" s="45">
        <f>IF(B144="","",SUMIFS(Pantry!$G$5:$G$304,Pantry!$B$5:$B$304,B144))</f>
        <v>0</v>
      </c>
      <c r="AE144" s="25">
        <f>IF(OR(AD144="",J144=""),"",AD144*J144)</f>
        <v>0</v>
      </c>
      <c r="AF144" s="18">
        <f>IF(B144="","",COUNTIFS('Recipe Ingredients'!$D$5:$D$1204,B144))</f>
        <v>0</v>
      </c>
      <c r="AG144" s="45">
        <f>IF(B144="","",SUMIFS('Recipe Ingredients'!$Y$5:$Y$1204,'Recipe Ingredients'!$D$5:$D$1204,B144))</f>
        <v>0</v>
      </c>
      <c r="AH144" s="30">
        <f>IF(B144="",0,IFERROR(K144*1,0)*IFERROR(AF144*1,0))</f>
        <v>0</v>
      </c>
      <c r="AI144" s="18">
        <f>IF(B144="","",COUNTIFS($AH$5:$AH$304,"&gt;"&amp;AH144)+COUNTIFS($AH$5:AH144,AH144))</f>
        <v>0</v>
      </c>
      <c r="AJ144" s="18">
        <f>IF(B144="",0,COUNTIFS('Food Waste'!$E$5:$E$154,B144))</f>
        <v>0</v>
      </c>
      <c r="AK144" s="18">
        <f>IF(B144="","",COUNTIFS($AJ$5:$AJ$304,"&gt;"&amp;AJ144)+COUNTIFS($AJ$5:AJ144,AJ144))</f>
        <v>0</v>
      </c>
      <c r="AL144" s="18">
        <f>IF(B144="","",IF(AG144&gt;0,COUNTIF(AG$5:AG144,"&gt;0"),""))</f>
        <v>0</v>
      </c>
      <c r="AM144" s="45">
        <f>IF(B144="","",SUMIFS('Grocery List'!$Q$5:$Q$304,'Grocery List'!$B$5:$B$304,B144))</f>
        <v>0</v>
      </c>
      <c r="AN144" s="31">
        <f>IF(B144="","",IF(I144="","Add - no price yet",IF(H144="","Add - no pack size",IF(COUNTIFS($B$5:$B$304,B144)&gt;1,"Duplicate - same name twice",IF(AF144=0,"Check - no recipe uses it","OK")))))</f>
        <v>0</v>
      </c>
    </row>
    <row r="145" spans="1:40">
      <c r="A145" s="39">
        <f>IF(B145="","",IngredientPrefix&amp;TEXT(ROW()-4,"0000"))</f>
        <v>0</v>
      </c>
      <c r="J145" s="25">
        <f>IF(OR(H145="",I145=""),"",IF(H145=0,"",I145/H145))</f>
        <v>0</v>
      </c>
      <c r="K145" s="25">
        <f>IF(J145="","",J145*100)</f>
        <v>0</v>
      </c>
      <c r="L145" s="25">
        <f>IF(B145="","",IFERROR(AVERAGEIFS('Grocery Spending'!$L$5:$L$404,'Grocery Spending'!$H$5:$H$404,B145,'Grocery Spending'!$L$5:$L$404,"&gt;0"),""))</f>
        <v>0</v>
      </c>
      <c r="M145" s="25">
        <f>IF(B145="","",IF(COUNTIFS('Store Prices'!$B$5:$B$304,B145)=0,"",IF(SUMPRODUCT(MIN((('Store Prices'!$B$5:$B$304=B145)*(IFERROR('Store Prices'!$I$5:$I$304*1,0)&gt;0))*IFERROR('Store Prices'!$I$5:$I$304*1,0)+(1-(('Store Prices'!$B$5:$B$304=B145)*(IFERROR('Store Prices'!$I$5:$I$304*1,0)&gt;0)))*999999))&gt;=999999,"",SUMPRODUCT(MIN((('Store Prices'!$B$5:$B$304=B145)*(IFERROR('Store Prices'!$I$5:$I$304*1,0)&gt;0))*IFERROR('Store Prices'!$I$5:$I$304*1,0)+(1-(('Store Prices'!$B$5:$B$304=B145)*(IFERROR('Store Prices'!$I$5:$I$304*1,0)&gt;0)))*999999)))))</f>
        <v>0</v>
      </c>
      <c r="N145" s="17">
        <f>IF(M145="","",IFERROR(INDEX('Store Prices'!$C$5:$C$304,MATCH(1,INDEX(('Store Prices'!$B$5:$B$304=B145)*('Store Prices'!$I$5:$I$304=M145),0),0)),""))</f>
        <v>0</v>
      </c>
      <c r="O145" s="25">
        <f>IF(OR(M145="",J145=""),"",MAX(0,(J145-M145)*100))</f>
        <v>0</v>
      </c>
      <c r="AD145" s="45">
        <f>IF(B145="","",SUMIFS(Pantry!$G$5:$G$304,Pantry!$B$5:$B$304,B145))</f>
        <v>0</v>
      </c>
      <c r="AE145" s="25">
        <f>IF(OR(AD145="",J145=""),"",AD145*J145)</f>
        <v>0</v>
      </c>
      <c r="AF145" s="18">
        <f>IF(B145="","",COUNTIFS('Recipe Ingredients'!$D$5:$D$1204,B145))</f>
        <v>0</v>
      </c>
      <c r="AG145" s="45">
        <f>IF(B145="","",SUMIFS('Recipe Ingredients'!$Y$5:$Y$1204,'Recipe Ingredients'!$D$5:$D$1204,B145))</f>
        <v>0</v>
      </c>
      <c r="AH145" s="30">
        <f>IF(B145="",0,IFERROR(K145*1,0)*IFERROR(AF145*1,0))</f>
        <v>0</v>
      </c>
      <c r="AI145" s="18">
        <f>IF(B145="","",COUNTIFS($AH$5:$AH$304,"&gt;"&amp;AH145)+COUNTIFS($AH$5:AH145,AH145))</f>
        <v>0</v>
      </c>
      <c r="AJ145" s="18">
        <f>IF(B145="",0,COUNTIFS('Food Waste'!$E$5:$E$154,B145))</f>
        <v>0</v>
      </c>
      <c r="AK145" s="18">
        <f>IF(B145="","",COUNTIFS($AJ$5:$AJ$304,"&gt;"&amp;AJ145)+COUNTIFS($AJ$5:AJ145,AJ145))</f>
        <v>0</v>
      </c>
      <c r="AL145" s="18">
        <f>IF(B145="","",IF(AG145&gt;0,COUNTIF(AG$5:AG145,"&gt;0"),""))</f>
        <v>0</v>
      </c>
      <c r="AM145" s="45">
        <f>IF(B145="","",SUMIFS('Grocery List'!$Q$5:$Q$304,'Grocery List'!$B$5:$B$304,B145))</f>
        <v>0</v>
      </c>
      <c r="AN145" s="31">
        <f>IF(B145="","",IF(I145="","Add - no price yet",IF(H145="","Add - no pack size",IF(COUNTIFS($B$5:$B$304,B145)&gt;1,"Duplicate - same name twice",IF(AF145=0,"Check - no recipe uses it","OK")))))</f>
        <v>0</v>
      </c>
    </row>
    <row r="146" spans="1:40">
      <c r="A146" s="39">
        <f>IF(B146="","",IngredientPrefix&amp;TEXT(ROW()-4,"0000"))</f>
        <v>0</v>
      </c>
      <c r="J146" s="25">
        <f>IF(OR(H146="",I146=""),"",IF(H146=0,"",I146/H146))</f>
        <v>0</v>
      </c>
      <c r="K146" s="25">
        <f>IF(J146="","",J146*100)</f>
        <v>0</v>
      </c>
      <c r="L146" s="25">
        <f>IF(B146="","",IFERROR(AVERAGEIFS('Grocery Spending'!$L$5:$L$404,'Grocery Spending'!$H$5:$H$404,B146,'Grocery Spending'!$L$5:$L$404,"&gt;0"),""))</f>
        <v>0</v>
      </c>
      <c r="M146" s="25">
        <f>IF(B146="","",IF(COUNTIFS('Store Prices'!$B$5:$B$304,B146)=0,"",IF(SUMPRODUCT(MIN((('Store Prices'!$B$5:$B$304=B146)*(IFERROR('Store Prices'!$I$5:$I$304*1,0)&gt;0))*IFERROR('Store Prices'!$I$5:$I$304*1,0)+(1-(('Store Prices'!$B$5:$B$304=B146)*(IFERROR('Store Prices'!$I$5:$I$304*1,0)&gt;0)))*999999))&gt;=999999,"",SUMPRODUCT(MIN((('Store Prices'!$B$5:$B$304=B146)*(IFERROR('Store Prices'!$I$5:$I$304*1,0)&gt;0))*IFERROR('Store Prices'!$I$5:$I$304*1,0)+(1-(('Store Prices'!$B$5:$B$304=B146)*(IFERROR('Store Prices'!$I$5:$I$304*1,0)&gt;0)))*999999)))))</f>
        <v>0</v>
      </c>
      <c r="N146" s="17">
        <f>IF(M146="","",IFERROR(INDEX('Store Prices'!$C$5:$C$304,MATCH(1,INDEX(('Store Prices'!$B$5:$B$304=B146)*('Store Prices'!$I$5:$I$304=M146),0),0)),""))</f>
        <v>0</v>
      </c>
      <c r="O146" s="25">
        <f>IF(OR(M146="",J146=""),"",MAX(0,(J146-M146)*100))</f>
        <v>0</v>
      </c>
      <c r="AD146" s="45">
        <f>IF(B146="","",SUMIFS(Pantry!$G$5:$G$304,Pantry!$B$5:$B$304,B146))</f>
        <v>0</v>
      </c>
      <c r="AE146" s="25">
        <f>IF(OR(AD146="",J146=""),"",AD146*J146)</f>
        <v>0</v>
      </c>
      <c r="AF146" s="18">
        <f>IF(B146="","",COUNTIFS('Recipe Ingredients'!$D$5:$D$1204,B146))</f>
        <v>0</v>
      </c>
      <c r="AG146" s="45">
        <f>IF(B146="","",SUMIFS('Recipe Ingredients'!$Y$5:$Y$1204,'Recipe Ingredients'!$D$5:$D$1204,B146))</f>
        <v>0</v>
      </c>
      <c r="AH146" s="30">
        <f>IF(B146="",0,IFERROR(K146*1,0)*IFERROR(AF146*1,0))</f>
        <v>0</v>
      </c>
      <c r="AI146" s="18">
        <f>IF(B146="","",COUNTIFS($AH$5:$AH$304,"&gt;"&amp;AH146)+COUNTIFS($AH$5:AH146,AH146))</f>
        <v>0</v>
      </c>
      <c r="AJ146" s="18">
        <f>IF(B146="",0,COUNTIFS('Food Waste'!$E$5:$E$154,B146))</f>
        <v>0</v>
      </c>
      <c r="AK146" s="18">
        <f>IF(B146="","",COUNTIFS($AJ$5:$AJ$304,"&gt;"&amp;AJ146)+COUNTIFS($AJ$5:AJ146,AJ146))</f>
        <v>0</v>
      </c>
      <c r="AL146" s="18">
        <f>IF(B146="","",IF(AG146&gt;0,COUNTIF(AG$5:AG146,"&gt;0"),""))</f>
        <v>0</v>
      </c>
      <c r="AM146" s="45">
        <f>IF(B146="","",SUMIFS('Grocery List'!$Q$5:$Q$304,'Grocery List'!$B$5:$B$304,B146))</f>
        <v>0</v>
      </c>
      <c r="AN146" s="31">
        <f>IF(B146="","",IF(I146="","Add - no price yet",IF(H146="","Add - no pack size",IF(COUNTIFS($B$5:$B$304,B146)&gt;1,"Duplicate - same name twice",IF(AF146=0,"Check - no recipe uses it","OK")))))</f>
        <v>0</v>
      </c>
    </row>
    <row r="147" spans="1:40">
      <c r="A147" s="39">
        <f>IF(B147="","",IngredientPrefix&amp;TEXT(ROW()-4,"0000"))</f>
        <v>0</v>
      </c>
      <c r="J147" s="25">
        <f>IF(OR(H147="",I147=""),"",IF(H147=0,"",I147/H147))</f>
        <v>0</v>
      </c>
      <c r="K147" s="25">
        <f>IF(J147="","",J147*100)</f>
        <v>0</v>
      </c>
      <c r="L147" s="25">
        <f>IF(B147="","",IFERROR(AVERAGEIFS('Grocery Spending'!$L$5:$L$404,'Grocery Spending'!$H$5:$H$404,B147,'Grocery Spending'!$L$5:$L$404,"&gt;0"),""))</f>
        <v>0</v>
      </c>
      <c r="M147" s="25">
        <f>IF(B147="","",IF(COUNTIFS('Store Prices'!$B$5:$B$304,B147)=0,"",IF(SUMPRODUCT(MIN((('Store Prices'!$B$5:$B$304=B147)*(IFERROR('Store Prices'!$I$5:$I$304*1,0)&gt;0))*IFERROR('Store Prices'!$I$5:$I$304*1,0)+(1-(('Store Prices'!$B$5:$B$304=B147)*(IFERROR('Store Prices'!$I$5:$I$304*1,0)&gt;0)))*999999))&gt;=999999,"",SUMPRODUCT(MIN((('Store Prices'!$B$5:$B$304=B147)*(IFERROR('Store Prices'!$I$5:$I$304*1,0)&gt;0))*IFERROR('Store Prices'!$I$5:$I$304*1,0)+(1-(('Store Prices'!$B$5:$B$304=B147)*(IFERROR('Store Prices'!$I$5:$I$304*1,0)&gt;0)))*999999)))))</f>
        <v>0</v>
      </c>
      <c r="N147" s="17">
        <f>IF(M147="","",IFERROR(INDEX('Store Prices'!$C$5:$C$304,MATCH(1,INDEX(('Store Prices'!$B$5:$B$304=B147)*('Store Prices'!$I$5:$I$304=M147),0),0)),""))</f>
        <v>0</v>
      </c>
      <c r="O147" s="25">
        <f>IF(OR(M147="",J147=""),"",MAX(0,(J147-M147)*100))</f>
        <v>0</v>
      </c>
      <c r="AD147" s="45">
        <f>IF(B147="","",SUMIFS(Pantry!$G$5:$G$304,Pantry!$B$5:$B$304,B147))</f>
        <v>0</v>
      </c>
      <c r="AE147" s="25">
        <f>IF(OR(AD147="",J147=""),"",AD147*J147)</f>
        <v>0</v>
      </c>
      <c r="AF147" s="18">
        <f>IF(B147="","",COUNTIFS('Recipe Ingredients'!$D$5:$D$1204,B147))</f>
        <v>0</v>
      </c>
      <c r="AG147" s="45">
        <f>IF(B147="","",SUMIFS('Recipe Ingredients'!$Y$5:$Y$1204,'Recipe Ingredients'!$D$5:$D$1204,B147))</f>
        <v>0</v>
      </c>
      <c r="AH147" s="30">
        <f>IF(B147="",0,IFERROR(K147*1,0)*IFERROR(AF147*1,0))</f>
        <v>0</v>
      </c>
      <c r="AI147" s="18">
        <f>IF(B147="","",COUNTIFS($AH$5:$AH$304,"&gt;"&amp;AH147)+COUNTIFS($AH$5:AH147,AH147))</f>
        <v>0</v>
      </c>
      <c r="AJ147" s="18">
        <f>IF(B147="",0,COUNTIFS('Food Waste'!$E$5:$E$154,B147))</f>
        <v>0</v>
      </c>
      <c r="AK147" s="18">
        <f>IF(B147="","",COUNTIFS($AJ$5:$AJ$304,"&gt;"&amp;AJ147)+COUNTIFS($AJ$5:AJ147,AJ147))</f>
        <v>0</v>
      </c>
      <c r="AL147" s="18">
        <f>IF(B147="","",IF(AG147&gt;0,COUNTIF(AG$5:AG147,"&gt;0"),""))</f>
        <v>0</v>
      </c>
      <c r="AM147" s="45">
        <f>IF(B147="","",SUMIFS('Grocery List'!$Q$5:$Q$304,'Grocery List'!$B$5:$B$304,B147))</f>
        <v>0</v>
      </c>
      <c r="AN147" s="31">
        <f>IF(B147="","",IF(I147="","Add - no price yet",IF(H147="","Add - no pack size",IF(COUNTIFS($B$5:$B$304,B147)&gt;1,"Duplicate - same name twice",IF(AF147=0,"Check - no recipe uses it","OK")))))</f>
        <v>0</v>
      </c>
    </row>
    <row r="148" spans="1:40">
      <c r="A148" s="39">
        <f>IF(B148="","",IngredientPrefix&amp;TEXT(ROW()-4,"0000"))</f>
        <v>0</v>
      </c>
      <c r="J148" s="25">
        <f>IF(OR(H148="",I148=""),"",IF(H148=0,"",I148/H148))</f>
        <v>0</v>
      </c>
      <c r="K148" s="25">
        <f>IF(J148="","",J148*100)</f>
        <v>0</v>
      </c>
      <c r="L148" s="25">
        <f>IF(B148="","",IFERROR(AVERAGEIFS('Grocery Spending'!$L$5:$L$404,'Grocery Spending'!$H$5:$H$404,B148,'Grocery Spending'!$L$5:$L$404,"&gt;0"),""))</f>
        <v>0</v>
      </c>
      <c r="M148" s="25">
        <f>IF(B148="","",IF(COUNTIFS('Store Prices'!$B$5:$B$304,B148)=0,"",IF(SUMPRODUCT(MIN((('Store Prices'!$B$5:$B$304=B148)*(IFERROR('Store Prices'!$I$5:$I$304*1,0)&gt;0))*IFERROR('Store Prices'!$I$5:$I$304*1,0)+(1-(('Store Prices'!$B$5:$B$304=B148)*(IFERROR('Store Prices'!$I$5:$I$304*1,0)&gt;0)))*999999))&gt;=999999,"",SUMPRODUCT(MIN((('Store Prices'!$B$5:$B$304=B148)*(IFERROR('Store Prices'!$I$5:$I$304*1,0)&gt;0))*IFERROR('Store Prices'!$I$5:$I$304*1,0)+(1-(('Store Prices'!$B$5:$B$304=B148)*(IFERROR('Store Prices'!$I$5:$I$304*1,0)&gt;0)))*999999)))))</f>
        <v>0</v>
      </c>
      <c r="N148" s="17">
        <f>IF(M148="","",IFERROR(INDEX('Store Prices'!$C$5:$C$304,MATCH(1,INDEX(('Store Prices'!$B$5:$B$304=B148)*('Store Prices'!$I$5:$I$304=M148),0),0)),""))</f>
        <v>0</v>
      </c>
      <c r="O148" s="25">
        <f>IF(OR(M148="",J148=""),"",MAX(0,(J148-M148)*100))</f>
        <v>0</v>
      </c>
      <c r="AD148" s="45">
        <f>IF(B148="","",SUMIFS(Pantry!$G$5:$G$304,Pantry!$B$5:$B$304,B148))</f>
        <v>0</v>
      </c>
      <c r="AE148" s="25">
        <f>IF(OR(AD148="",J148=""),"",AD148*J148)</f>
        <v>0</v>
      </c>
      <c r="AF148" s="18">
        <f>IF(B148="","",COUNTIFS('Recipe Ingredients'!$D$5:$D$1204,B148))</f>
        <v>0</v>
      </c>
      <c r="AG148" s="45">
        <f>IF(B148="","",SUMIFS('Recipe Ingredients'!$Y$5:$Y$1204,'Recipe Ingredients'!$D$5:$D$1204,B148))</f>
        <v>0</v>
      </c>
      <c r="AH148" s="30">
        <f>IF(B148="",0,IFERROR(K148*1,0)*IFERROR(AF148*1,0))</f>
        <v>0</v>
      </c>
      <c r="AI148" s="18">
        <f>IF(B148="","",COUNTIFS($AH$5:$AH$304,"&gt;"&amp;AH148)+COUNTIFS($AH$5:AH148,AH148))</f>
        <v>0</v>
      </c>
      <c r="AJ148" s="18">
        <f>IF(B148="",0,COUNTIFS('Food Waste'!$E$5:$E$154,B148))</f>
        <v>0</v>
      </c>
      <c r="AK148" s="18">
        <f>IF(B148="","",COUNTIFS($AJ$5:$AJ$304,"&gt;"&amp;AJ148)+COUNTIFS($AJ$5:AJ148,AJ148))</f>
        <v>0</v>
      </c>
      <c r="AL148" s="18">
        <f>IF(B148="","",IF(AG148&gt;0,COUNTIF(AG$5:AG148,"&gt;0"),""))</f>
        <v>0</v>
      </c>
      <c r="AM148" s="45">
        <f>IF(B148="","",SUMIFS('Grocery List'!$Q$5:$Q$304,'Grocery List'!$B$5:$B$304,B148))</f>
        <v>0</v>
      </c>
      <c r="AN148" s="31">
        <f>IF(B148="","",IF(I148="","Add - no price yet",IF(H148="","Add - no pack size",IF(COUNTIFS($B$5:$B$304,B148)&gt;1,"Duplicate - same name twice",IF(AF148=0,"Check - no recipe uses it","OK")))))</f>
        <v>0</v>
      </c>
    </row>
    <row r="149" spans="1:40">
      <c r="A149" s="39">
        <f>IF(B149="","",IngredientPrefix&amp;TEXT(ROW()-4,"0000"))</f>
        <v>0</v>
      </c>
      <c r="J149" s="25">
        <f>IF(OR(H149="",I149=""),"",IF(H149=0,"",I149/H149))</f>
        <v>0</v>
      </c>
      <c r="K149" s="25">
        <f>IF(J149="","",J149*100)</f>
        <v>0</v>
      </c>
      <c r="L149" s="25">
        <f>IF(B149="","",IFERROR(AVERAGEIFS('Grocery Spending'!$L$5:$L$404,'Grocery Spending'!$H$5:$H$404,B149,'Grocery Spending'!$L$5:$L$404,"&gt;0"),""))</f>
        <v>0</v>
      </c>
      <c r="M149" s="25">
        <f>IF(B149="","",IF(COUNTIFS('Store Prices'!$B$5:$B$304,B149)=0,"",IF(SUMPRODUCT(MIN((('Store Prices'!$B$5:$B$304=B149)*(IFERROR('Store Prices'!$I$5:$I$304*1,0)&gt;0))*IFERROR('Store Prices'!$I$5:$I$304*1,0)+(1-(('Store Prices'!$B$5:$B$304=B149)*(IFERROR('Store Prices'!$I$5:$I$304*1,0)&gt;0)))*999999))&gt;=999999,"",SUMPRODUCT(MIN((('Store Prices'!$B$5:$B$304=B149)*(IFERROR('Store Prices'!$I$5:$I$304*1,0)&gt;0))*IFERROR('Store Prices'!$I$5:$I$304*1,0)+(1-(('Store Prices'!$B$5:$B$304=B149)*(IFERROR('Store Prices'!$I$5:$I$304*1,0)&gt;0)))*999999)))))</f>
        <v>0</v>
      </c>
      <c r="N149" s="17">
        <f>IF(M149="","",IFERROR(INDEX('Store Prices'!$C$5:$C$304,MATCH(1,INDEX(('Store Prices'!$B$5:$B$304=B149)*('Store Prices'!$I$5:$I$304=M149),0),0)),""))</f>
        <v>0</v>
      </c>
      <c r="O149" s="25">
        <f>IF(OR(M149="",J149=""),"",MAX(0,(J149-M149)*100))</f>
        <v>0</v>
      </c>
      <c r="AD149" s="45">
        <f>IF(B149="","",SUMIFS(Pantry!$G$5:$G$304,Pantry!$B$5:$B$304,B149))</f>
        <v>0</v>
      </c>
      <c r="AE149" s="25">
        <f>IF(OR(AD149="",J149=""),"",AD149*J149)</f>
        <v>0</v>
      </c>
      <c r="AF149" s="18">
        <f>IF(B149="","",COUNTIFS('Recipe Ingredients'!$D$5:$D$1204,B149))</f>
        <v>0</v>
      </c>
      <c r="AG149" s="45">
        <f>IF(B149="","",SUMIFS('Recipe Ingredients'!$Y$5:$Y$1204,'Recipe Ingredients'!$D$5:$D$1204,B149))</f>
        <v>0</v>
      </c>
      <c r="AH149" s="30">
        <f>IF(B149="",0,IFERROR(K149*1,0)*IFERROR(AF149*1,0))</f>
        <v>0</v>
      </c>
      <c r="AI149" s="18">
        <f>IF(B149="","",COUNTIFS($AH$5:$AH$304,"&gt;"&amp;AH149)+COUNTIFS($AH$5:AH149,AH149))</f>
        <v>0</v>
      </c>
      <c r="AJ149" s="18">
        <f>IF(B149="",0,COUNTIFS('Food Waste'!$E$5:$E$154,B149))</f>
        <v>0</v>
      </c>
      <c r="AK149" s="18">
        <f>IF(B149="","",COUNTIFS($AJ$5:$AJ$304,"&gt;"&amp;AJ149)+COUNTIFS($AJ$5:AJ149,AJ149))</f>
        <v>0</v>
      </c>
      <c r="AL149" s="18">
        <f>IF(B149="","",IF(AG149&gt;0,COUNTIF(AG$5:AG149,"&gt;0"),""))</f>
        <v>0</v>
      </c>
      <c r="AM149" s="45">
        <f>IF(B149="","",SUMIFS('Grocery List'!$Q$5:$Q$304,'Grocery List'!$B$5:$B$304,B149))</f>
        <v>0</v>
      </c>
      <c r="AN149" s="31">
        <f>IF(B149="","",IF(I149="","Add - no price yet",IF(H149="","Add - no pack size",IF(COUNTIFS($B$5:$B$304,B149)&gt;1,"Duplicate - same name twice",IF(AF149=0,"Check - no recipe uses it","OK")))))</f>
        <v>0</v>
      </c>
    </row>
    <row r="150" spans="1:40">
      <c r="A150" s="39">
        <f>IF(B150="","",IngredientPrefix&amp;TEXT(ROW()-4,"0000"))</f>
        <v>0</v>
      </c>
      <c r="J150" s="25">
        <f>IF(OR(H150="",I150=""),"",IF(H150=0,"",I150/H150))</f>
        <v>0</v>
      </c>
      <c r="K150" s="25">
        <f>IF(J150="","",J150*100)</f>
        <v>0</v>
      </c>
      <c r="L150" s="25">
        <f>IF(B150="","",IFERROR(AVERAGEIFS('Grocery Spending'!$L$5:$L$404,'Grocery Spending'!$H$5:$H$404,B150,'Grocery Spending'!$L$5:$L$404,"&gt;0"),""))</f>
        <v>0</v>
      </c>
      <c r="M150" s="25">
        <f>IF(B150="","",IF(COUNTIFS('Store Prices'!$B$5:$B$304,B150)=0,"",IF(SUMPRODUCT(MIN((('Store Prices'!$B$5:$B$304=B150)*(IFERROR('Store Prices'!$I$5:$I$304*1,0)&gt;0))*IFERROR('Store Prices'!$I$5:$I$304*1,0)+(1-(('Store Prices'!$B$5:$B$304=B150)*(IFERROR('Store Prices'!$I$5:$I$304*1,0)&gt;0)))*999999))&gt;=999999,"",SUMPRODUCT(MIN((('Store Prices'!$B$5:$B$304=B150)*(IFERROR('Store Prices'!$I$5:$I$304*1,0)&gt;0))*IFERROR('Store Prices'!$I$5:$I$304*1,0)+(1-(('Store Prices'!$B$5:$B$304=B150)*(IFERROR('Store Prices'!$I$5:$I$304*1,0)&gt;0)))*999999)))))</f>
        <v>0</v>
      </c>
      <c r="N150" s="17">
        <f>IF(M150="","",IFERROR(INDEX('Store Prices'!$C$5:$C$304,MATCH(1,INDEX(('Store Prices'!$B$5:$B$304=B150)*('Store Prices'!$I$5:$I$304=M150),0),0)),""))</f>
        <v>0</v>
      </c>
      <c r="O150" s="25">
        <f>IF(OR(M150="",J150=""),"",MAX(0,(J150-M150)*100))</f>
        <v>0</v>
      </c>
      <c r="AD150" s="45">
        <f>IF(B150="","",SUMIFS(Pantry!$G$5:$G$304,Pantry!$B$5:$B$304,B150))</f>
        <v>0</v>
      </c>
      <c r="AE150" s="25">
        <f>IF(OR(AD150="",J150=""),"",AD150*J150)</f>
        <v>0</v>
      </c>
      <c r="AF150" s="18">
        <f>IF(B150="","",COUNTIFS('Recipe Ingredients'!$D$5:$D$1204,B150))</f>
        <v>0</v>
      </c>
      <c r="AG150" s="45">
        <f>IF(B150="","",SUMIFS('Recipe Ingredients'!$Y$5:$Y$1204,'Recipe Ingredients'!$D$5:$D$1204,B150))</f>
        <v>0</v>
      </c>
      <c r="AH150" s="30">
        <f>IF(B150="",0,IFERROR(K150*1,0)*IFERROR(AF150*1,0))</f>
        <v>0</v>
      </c>
      <c r="AI150" s="18">
        <f>IF(B150="","",COUNTIFS($AH$5:$AH$304,"&gt;"&amp;AH150)+COUNTIFS($AH$5:AH150,AH150))</f>
        <v>0</v>
      </c>
      <c r="AJ150" s="18">
        <f>IF(B150="",0,COUNTIFS('Food Waste'!$E$5:$E$154,B150))</f>
        <v>0</v>
      </c>
      <c r="AK150" s="18">
        <f>IF(B150="","",COUNTIFS($AJ$5:$AJ$304,"&gt;"&amp;AJ150)+COUNTIFS($AJ$5:AJ150,AJ150))</f>
        <v>0</v>
      </c>
      <c r="AL150" s="18">
        <f>IF(B150="","",IF(AG150&gt;0,COUNTIF(AG$5:AG150,"&gt;0"),""))</f>
        <v>0</v>
      </c>
      <c r="AM150" s="45">
        <f>IF(B150="","",SUMIFS('Grocery List'!$Q$5:$Q$304,'Grocery List'!$B$5:$B$304,B150))</f>
        <v>0</v>
      </c>
      <c r="AN150" s="31">
        <f>IF(B150="","",IF(I150="","Add - no price yet",IF(H150="","Add - no pack size",IF(COUNTIFS($B$5:$B$304,B150)&gt;1,"Duplicate - same name twice",IF(AF150=0,"Check - no recipe uses it","OK")))))</f>
        <v>0</v>
      </c>
    </row>
    <row r="151" spans="1:40">
      <c r="A151" s="39">
        <f>IF(B151="","",IngredientPrefix&amp;TEXT(ROW()-4,"0000"))</f>
        <v>0</v>
      </c>
      <c r="J151" s="25">
        <f>IF(OR(H151="",I151=""),"",IF(H151=0,"",I151/H151))</f>
        <v>0</v>
      </c>
      <c r="K151" s="25">
        <f>IF(J151="","",J151*100)</f>
        <v>0</v>
      </c>
      <c r="L151" s="25">
        <f>IF(B151="","",IFERROR(AVERAGEIFS('Grocery Spending'!$L$5:$L$404,'Grocery Spending'!$H$5:$H$404,B151,'Grocery Spending'!$L$5:$L$404,"&gt;0"),""))</f>
        <v>0</v>
      </c>
      <c r="M151" s="25">
        <f>IF(B151="","",IF(COUNTIFS('Store Prices'!$B$5:$B$304,B151)=0,"",IF(SUMPRODUCT(MIN((('Store Prices'!$B$5:$B$304=B151)*(IFERROR('Store Prices'!$I$5:$I$304*1,0)&gt;0))*IFERROR('Store Prices'!$I$5:$I$304*1,0)+(1-(('Store Prices'!$B$5:$B$304=B151)*(IFERROR('Store Prices'!$I$5:$I$304*1,0)&gt;0)))*999999))&gt;=999999,"",SUMPRODUCT(MIN((('Store Prices'!$B$5:$B$304=B151)*(IFERROR('Store Prices'!$I$5:$I$304*1,0)&gt;0))*IFERROR('Store Prices'!$I$5:$I$304*1,0)+(1-(('Store Prices'!$B$5:$B$304=B151)*(IFERROR('Store Prices'!$I$5:$I$304*1,0)&gt;0)))*999999)))))</f>
        <v>0</v>
      </c>
      <c r="N151" s="17">
        <f>IF(M151="","",IFERROR(INDEX('Store Prices'!$C$5:$C$304,MATCH(1,INDEX(('Store Prices'!$B$5:$B$304=B151)*('Store Prices'!$I$5:$I$304=M151),0),0)),""))</f>
        <v>0</v>
      </c>
      <c r="O151" s="25">
        <f>IF(OR(M151="",J151=""),"",MAX(0,(J151-M151)*100))</f>
        <v>0</v>
      </c>
      <c r="AD151" s="45">
        <f>IF(B151="","",SUMIFS(Pantry!$G$5:$G$304,Pantry!$B$5:$B$304,B151))</f>
        <v>0</v>
      </c>
      <c r="AE151" s="25">
        <f>IF(OR(AD151="",J151=""),"",AD151*J151)</f>
        <v>0</v>
      </c>
      <c r="AF151" s="18">
        <f>IF(B151="","",COUNTIFS('Recipe Ingredients'!$D$5:$D$1204,B151))</f>
        <v>0</v>
      </c>
      <c r="AG151" s="45">
        <f>IF(B151="","",SUMIFS('Recipe Ingredients'!$Y$5:$Y$1204,'Recipe Ingredients'!$D$5:$D$1204,B151))</f>
        <v>0</v>
      </c>
      <c r="AH151" s="30">
        <f>IF(B151="",0,IFERROR(K151*1,0)*IFERROR(AF151*1,0))</f>
        <v>0</v>
      </c>
      <c r="AI151" s="18">
        <f>IF(B151="","",COUNTIFS($AH$5:$AH$304,"&gt;"&amp;AH151)+COUNTIFS($AH$5:AH151,AH151))</f>
        <v>0</v>
      </c>
      <c r="AJ151" s="18">
        <f>IF(B151="",0,COUNTIFS('Food Waste'!$E$5:$E$154,B151))</f>
        <v>0</v>
      </c>
      <c r="AK151" s="18">
        <f>IF(B151="","",COUNTIFS($AJ$5:$AJ$304,"&gt;"&amp;AJ151)+COUNTIFS($AJ$5:AJ151,AJ151))</f>
        <v>0</v>
      </c>
      <c r="AL151" s="18">
        <f>IF(B151="","",IF(AG151&gt;0,COUNTIF(AG$5:AG151,"&gt;0"),""))</f>
        <v>0</v>
      </c>
      <c r="AM151" s="45">
        <f>IF(B151="","",SUMIFS('Grocery List'!$Q$5:$Q$304,'Grocery List'!$B$5:$B$304,B151))</f>
        <v>0</v>
      </c>
      <c r="AN151" s="31">
        <f>IF(B151="","",IF(I151="","Add - no price yet",IF(H151="","Add - no pack size",IF(COUNTIFS($B$5:$B$304,B151)&gt;1,"Duplicate - same name twice",IF(AF151=0,"Check - no recipe uses it","OK")))))</f>
        <v>0</v>
      </c>
    </row>
    <row r="152" spans="1:40">
      <c r="A152" s="39">
        <f>IF(B152="","",IngredientPrefix&amp;TEXT(ROW()-4,"0000"))</f>
        <v>0</v>
      </c>
      <c r="J152" s="25">
        <f>IF(OR(H152="",I152=""),"",IF(H152=0,"",I152/H152))</f>
        <v>0</v>
      </c>
      <c r="K152" s="25">
        <f>IF(J152="","",J152*100)</f>
        <v>0</v>
      </c>
      <c r="L152" s="25">
        <f>IF(B152="","",IFERROR(AVERAGEIFS('Grocery Spending'!$L$5:$L$404,'Grocery Spending'!$H$5:$H$404,B152,'Grocery Spending'!$L$5:$L$404,"&gt;0"),""))</f>
        <v>0</v>
      </c>
      <c r="M152" s="25">
        <f>IF(B152="","",IF(COUNTIFS('Store Prices'!$B$5:$B$304,B152)=0,"",IF(SUMPRODUCT(MIN((('Store Prices'!$B$5:$B$304=B152)*(IFERROR('Store Prices'!$I$5:$I$304*1,0)&gt;0))*IFERROR('Store Prices'!$I$5:$I$304*1,0)+(1-(('Store Prices'!$B$5:$B$304=B152)*(IFERROR('Store Prices'!$I$5:$I$304*1,0)&gt;0)))*999999))&gt;=999999,"",SUMPRODUCT(MIN((('Store Prices'!$B$5:$B$304=B152)*(IFERROR('Store Prices'!$I$5:$I$304*1,0)&gt;0))*IFERROR('Store Prices'!$I$5:$I$304*1,0)+(1-(('Store Prices'!$B$5:$B$304=B152)*(IFERROR('Store Prices'!$I$5:$I$304*1,0)&gt;0)))*999999)))))</f>
        <v>0</v>
      </c>
      <c r="N152" s="17">
        <f>IF(M152="","",IFERROR(INDEX('Store Prices'!$C$5:$C$304,MATCH(1,INDEX(('Store Prices'!$B$5:$B$304=B152)*('Store Prices'!$I$5:$I$304=M152),0),0)),""))</f>
        <v>0</v>
      </c>
      <c r="O152" s="25">
        <f>IF(OR(M152="",J152=""),"",MAX(0,(J152-M152)*100))</f>
        <v>0</v>
      </c>
      <c r="AD152" s="45">
        <f>IF(B152="","",SUMIFS(Pantry!$G$5:$G$304,Pantry!$B$5:$B$304,B152))</f>
        <v>0</v>
      </c>
      <c r="AE152" s="25">
        <f>IF(OR(AD152="",J152=""),"",AD152*J152)</f>
        <v>0</v>
      </c>
      <c r="AF152" s="18">
        <f>IF(B152="","",COUNTIFS('Recipe Ingredients'!$D$5:$D$1204,B152))</f>
        <v>0</v>
      </c>
      <c r="AG152" s="45">
        <f>IF(B152="","",SUMIFS('Recipe Ingredients'!$Y$5:$Y$1204,'Recipe Ingredients'!$D$5:$D$1204,B152))</f>
        <v>0</v>
      </c>
      <c r="AH152" s="30">
        <f>IF(B152="",0,IFERROR(K152*1,0)*IFERROR(AF152*1,0))</f>
        <v>0</v>
      </c>
      <c r="AI152" s="18">
        <f>IF(B152="","",COUNTIFS($AH$5:$AH$304,"&gt;"&amp;AH152)+COUNTIFS($AH$5:AH152,AH152))</f>
        <v>0</v>
      </c>
      <c r="AJ152" s="18">
        <f>IF(B152="",0,COUNTIFS('Food Waste'!$E$5:$E$154,B152))</f>
        <v>0</v>
      </c>
      <c r="AK152" s="18">
        <f>IF(B152="","",COUNTIFS($AJ$5:$AJ$304,"&gt;"&amp;AJ152)+COUNTIFS($AJ$5:AJ152,AJ152))</f>
        <v>0</v>
      </c>
      <c r="AL152" s="18">
        <f>IF(B152="","",IF(AG152&gt;0,COUNTIF(AG$5:AG152,"&gt;0"),""))</f>
        <v>0</v>
      </c>
      <c r="AM152" s="45">
        <f>IF(B152="","",SUMIFS('Grocery List'!$Q$5:$Q$304,'Grocery List'!$B$5:$B$304,B152))</f>
        <v>0</v>
      </c>
      <c r="AN152" s="31">
        <f>IF(B152="","",IF(I152="","Add - no price yet",IF(H152="","Add - no pack size",IF(COUNTIFS($B$5:$B$304,B152)&gt;1,"Duplicate - same name twice",IF(AF152=0,"Check - no recipe uses it","OK")))))</f>
        <v>0</v>
      </c>
    </row>
    <row r="153" spans="1:40">
      <c r="A153" s="39">
        <f>IF(B153="","",IngredientPrefix&amp;TEXT(ROW()-4,"0000"))</f>
        <v>0</v>
      </c>
      <c r="J153" s="25">
        <f>IF(OR(H153="",I153=""),"",IF(H153=0,"",I153/H153))</f>
        <v>0</v>
      </c>
      <c r="K153" s="25">
        <f>IF(J153="","",J153*100)</f>
        <v>0</v>
      </c>
      <c r="L153" s="25">
        <f>IF(B153="","",IFERROR(AVERAGEIFS('Grocery Spending'!$L$5:$L$404,'Grocery Spending'!$H$5:$H$404,B153,'Grocery Spending'!$L$5:$L$404,"&gt;0"),""))</f>
        <v>0</v>
      </c>
      <c r="M153" s="25">
        <f>IF(B153="","",IF(COUNTIFS('Store Prices'!$B$5:$B$304,B153)=0,"",IF(SUMPRODUCT(MIN((('Store Prices'!$B$5:$B$304=B153)*(IFERROR('Store Prices'!$I$5:$I$304*1,0)&gt;0))*IFERROR('Store Prices'!$I$5:$I$304*1,0)+(1-(('Store Prices'!$B$5:$B$304=B153)*(IFERROR('Store Prices'!$I$5:$I$304*1,0)&gt;0)))*999999))&gt;=999999,"",SUMPRODUCT(MIN((('Store Prices'!$B$5:$B$304=B153)*(IFERROR('Store Prices'!$I$5:$I$304*1,0)&gt;0))*IFERROR('Store Prices'!$I$5:$I$304*1,0)+(1-(('Store Prices'!$B$5:$B$304=B153)*(IFERROR('Store Prices'!$I$5:$I$304*1,0)&gt;0)))*999999)))))</f>
        <v>0</v>
      </c>
      <c r="N153" s="17">
        <f>IF(M153="","",IFERROR(INDEX('Store Prices'!$C$5:$C$304,MATCH(1,INDEX(('Store Prices'!$B$5:$B$304=B153)*('Store Prices'!$I$5:$I$304=M153),0),0)),""))</f>
        <v>0</v>
      </c>
      <c r="O153" s="25">
        <f>IF(OR(M153="",J153=""),"",MAX(0,(J153-M153)*100))</f>
        <v>0</v>
      </c>
      <c r="AD153" s="45">
        <f>IF(B153="","",SUMIFS(Pantry!$G$5:$G$304,Pantry!$B$5:$B$304,B153))</f>
        <v>0</v>
      </c>
      <c r="AE153" s="25">
        <f>IF(OR(AD153="",J153=""),"",AD153*J153)</f>
        <v>0</v>
      </c>
      <c r="AF153" s="18">
        <f>IF(B153="","",COUNTIFS('Recipe Ingredients'!$D$5:$D$1204,B153))</f>
        <v>0</v>
      </c>
      <c r="AG153" s="45">
        <f>IF(B153="","",SUMIFS('Recipe Ingredients'!$Y$5:$Y$1204,'Recipe Ingredients'!$D$5:$D$1204,B153))</f>
        <v>0</v>
      </c>
      <c r="AH153" s="30">
        <f>IF(B153="",0,IFERROR(K153*1,0)*IFERROR(AF153*1,0))</f>
        <v>0</v>
      </c>
      <c r="AI153" s="18">
        <f>IF(B153="","",COUNTIFS($AH$5:$AH$304,"&gt;"&amp;AH153)+COUNTIFS($AH$5:AH153,AH153))</f>
        <v>0</v>
      </c>
      <c r="AJ153" s="18">
        <f>IF(B153="",0,COUNTIFS('Food Waste'!$E$5:$E$154,B153))</f>
        <v>0</v>
      </c>
      <c r="AK153" s="18">
        <f>IF(B153="","",COUNTIFS($AJ$5:$AJ$304,"&gt;"&amp;AJ153)+COUNTIFS($AJ$5:AJ153,AJ153))</f>
        <v>0</v>
      </c>
      <c r="AL153" s="18">
        <f>IF(B153="","",IF(AG153&gt;0,COUNTIF(AG$5:AG153,"&gt;0"),""))</f>
        <v>0</v>
      </c>
      <c r="AM153" s="45">
        <f>IF(B153="","",SUMIFS('Grocery List'!$Q$5:$Q$304,'Grocery List'!$B$5:$B$304,B153))</f>
        <v>0</v>
      </c>
      <c r="AN153" s="31">
        <f>IF(B153="","",IF(I153="","Add - no price yet",IF(H153="","Add - no pack size",IF(COUNTIFS($B$5:$B$304,B153)&gt;1,"Duplicate - same name twice",IF(AF153=0,"Check - no recipe uses it","OK")))))</f>
        <v>0</v>
      </c>
    </row>
    <row r="154" spans="1:40">
      <c r="A154" s="39">
        <f>IF(B154="","",IngredientPrefix&amp;TEXT(ROW()-4,"0000"))</f>
        <v>0</v>
      </c>
      <c r="J154" s="25">
        <f>IF(OR(H154="",I154=""),"",IF(H154=0,"",I154/H154))</f>
        <v>0</v>
      </c>
      <c r="K154" s="25">
        <f>IF(J154="","",J154*100)</f>
        <v>0</v>
      </c>
      <c r="L154" s="25">
        <f>IF(B154="","",IFERROR(AVERAGEIFS('Grocery Spending'!$L$5:$L$404,'Grocery Spending'!$H$5:$H$404,B154,'Grocery Spending'!$L$5:$L$404,"&gt;0"),""))</f>
        <v>0</v>
      </c>
      <c r="M154" s="25">
        <f>IF(B154="","",IF(COUNTIFS('Store Prices'!$B$5:$B$304,B154)=0,"",IF(SUMPRODUCT(MIN((('Store Prices'!$B$5:$B$304=B154)*(IFERROR('Store Prices'!$I$5:$I$304*1,0)&gt;0))*IFERROR('Store Prices'!$I$5:$I$304*1,0)+(1-(('Store Prices'!$B$5:$B$304=B154)*(IFERROR('Store Prices'!$I$5:$I$304*1,0)&gt;0)))*999999))&gt;=999999,"",SUMPRODUCT(MIN((('Store Prices'!$B$5:$B$304=B154)*(IFERROR('Store Prices'!$I$5:$I$304*1,0)&gt;0))*IFERROR('Store Prices'!$I$5:$I$304*1,0)+(1-(('Store Prices'!$B$5:$B$304=B154)*(IFERROR('Store Prices'!$I$5:$I$304*1,0)&gt;0)))*999999)))))</f>
        <v>0</v>
      </c>
      <c r="N154" s="17">
        <f>IF(M154="","",IFERROR(INDEX('Store Prices'!$C$5:$C$304,MATCH(1,INDEX(('Store Prices'!$B$5:$B$304=B154)*('Store Prices'!$I$5:$I$304=M154),0),0)),""))</f>
        <v>0</v>
      </c>
      <c r="O154" s="25">
        <f>IF(OR(M154="",J154=""),"",MAX(0,(J154-M154)*100))</f>
        <v>0</v>
      </c>
      <c r="AD154" s="45">
        <f>IF(B154="","",SUMIFS(Pantry!$G$5:$G$304,Pantry!$B$5:$B$304,B154))</f>
        <v>0</v>
      </c>
      <c r="AE154" s="25">
        <f>IF(OR(AD154="",J154=""),"",AD154*J154)</f>
        <v>0</v>
      </c>
      <c r="AF154" s="18">
        <f>IF(B154="","",COUNTIFS('Recipe Ingredients'!$D$5:$D$1204,B154))</f>
        <v>0</v>
      </c>
      <c r="AG154" s="45">
        <f>IF(B154="","",SUMIFS('Recipe Ingredients'!$Y$5:$Y$1204,'Recipe Ingredients'!$D$5:$D$1204,B154))</f>
        <v>0</v>
      </c>
      <c r="AH154" s="30">
        <f>IF(B154="",0,IFERROR(K154*1,0)*IFERROR(AF154*1,0))</f>
        <v>0</v>
      </c>
      <c r="AI154" s="18">
        <f>IF(B154="","",COUNTIFS($AH$5:$AH$304,"&gt;"&amp;AH154)+COUNTIFS($AH$5:AH154,AH154))</f>
        <v>0</v>
      </c>
      <c r="AJ154" s="18">
        <f>IF(B154="",0,COUNTIFS('Food Waste'!$E$5:$E$154,B154))</f>
        <v>0</v>
      </c>
      <c r="AK154" s="18">
        <f>IF(B154="","",COUNTIFS($AJ$5:$AJ$304,"&gt;"&amp;AJ154)+COUNTIFS($AJ$5:AJ154,AJ154))</f>
        <v>0</v>
      </c>
      <c r="AL154" s="18">
        <f>IF(B154="","",IF(AG154&gt;0,COUNTIF(AG$5:AG154,"&gt;0"),""))</f>
        <v>0</v>
      </c>
      <c r="AM154" s="45">
        <f>IF(B154="","",SUMIFS('Grocery List'!$Q$5:$Q$304,'Grocery List'!$B$5:$B$304,B154))</f>
        <v>0</v>
      </c>
      <c r="AN154" s="31">
        <f>IF(B154="","",IF(I154="","Add - no price yet",IF(H154="","Add - no pack size",IF(COUNTIFS($B$5:$B$304,B154)&gt;1,"Duplicate - same name twice",IF(AF154=0,"Check - no recipe uses it","OK")))))</f>
        <v>0</v>
      </c>
    </row>
    <row r="155" spans="1:40">
      <c r="A155" s="39">
        <f>IF(B155="","",IngredientPrefix&amp;TEXT(ROW()-4,"0000"))</f>
        <v>0</v>
      </c>
      <c r="J155" s="25">
        <f>IF(OR(H155="",I155=""),"",IF(H155=0,"",I155/H155))</f>
        <v>0</v>
      </c>
      <c r="K155" s="25">
        <f>IF(J155="","",J155*100)</f>
        <v>0</v>
      </c>
      <c r="L155" s="25">
        <f>IF(B155="","",IFERROR(AVERAGEIFS('Grocery Spending'!$L$5:$L$404,'Grocery Spending'!$H$5:$H$404,B155,'Grocery Spending'!$L$5:$L$404,"&gt;0"),""))</f>
        <v>0</v>
      </c>
      <c r="M155" s="25">
        <f>IF(B155="","",IF(COUNTIFS('Store Prices'!$B$5:$B$304,B155)=0,"",IF(SUMPRODUCT(MIN((('Store Prices'!$B$5:$B$304=B155)*(IFERROR('Store Prices'!$I$5:$I$304*1,0)&gt;0))*IFERROR('Store Prices'!$I$5:$I$304*1,0)+(1-(('Store Prices'!$B$5:$B$304=B155)*(IFERROR('Store Prices'!$I$5:$I$304*1,0)&gt;0)))*999999))&gt;=999999,"",SUMPRODUCT(MIN((('Store Prices'!$B$5:$B$304=B155)*(IFERROR('Store Prices'!$I$5:$I$304*1,0)&gt;0))*IFERROR('Store Prices'!$I$5:$I$304*1,0)+(1-(('Store Prices'!$B$5:$B$304=B155)*(IFERROR('Store Prices'!$I$5:$I$304*1,0)&gt;0)))*999999)))))</f>
        <v>0</v>
      </c>
      <c r="N155" s="17">
        <f>IF(M155="","",IFERROR(INDEX('Store Prices'!$C$5:$C$304,MATCH(1,INDEX(('Store Prices'!$B$5:$B$304=B155)*('Store Prices'!$I$5:$I$304=M155),0),0)),""))</f>
        <v>0</v>
      </c>
      <c r="O155" s="25">
        <f>IF(OR(M155="",J155=""),"",MAX(0,(J155-M155)*100))</f>
        <v>0</v>
      </c>
      <c r="AD155" s="45">
        <f>IF(B155="","",SUMIFS(Pantry!$G$5:$G$304,Pantry!$B$5:$B$304,B155))</f>
        <v>0</v>
      </c>
      <c r="AE155" s="25">
        <f>IF(OR(AD155="",J155=""),"",AD155*J155)</f>
        <v>0</v>
      </c>
      <c r="AF155" s="18">
        <f>IF(B155="","",COUNTIFS('Recipe Ingredients'!$D$5:$D$1204,B155))</f>
        <v>0</v>
      </c>
      <c r="AG155" s="45">
        <f>IF(B155="","",SUMIFS('Recipe Ingredients'!$Y$5:$Y$1204,'Recipe Ingredients'!$D$5:$D$1204,B155))</f>
        <v>0</v>
      </c>
      <c r="AH155" s="30">
        <f>IF(B155="",0,IFERROR(K155*1,0)*IFERROR(AF155*1,0))</f>
        <v>0</v>
      </c>
      <c r="AI155" s="18">
        <f>IF(B155="","",COUNTIFS($AH$5:$AH$304,"&gt;"&amp;AH155)+COUNTIFS($AH$5:AH155,AH155))</f>
        <v>0</v>
      </c>
      <c r="AJ155" s="18">
        <f>IF(B155="",0,COUNTIFS('Food Waste'!$E$5:$E$154,B155))</f>
        <v>0</v>
      </c>
      <c r="AK155" s="18">
        <f>IF(B155="","",COUNTIFS($AJ$5:$AJ$304,"&gt;"&amp;AJ155)+COUNTIFS($AJ$5:AJ155,AJ155))</f>
        <v>0</v>
      </c>
      <c r="AL155" s="18">
        <f>IF(B155="","",IF(AG155&gt;0,COUNTIF(AG$5:AG155,"&gt;0"),""))</f>
        <v>0</v>
      </c>
      <c r="AM155" s="45">
        <f>IF(B155="","",SUMIFS('Grocery List'!$Q$5:$Q$304,'Grocery List'!$B$5:$B$304,B155))</f>
        <v>0</v>
      </c>
      <c r="AN155" s="31">
        <f>IF(B155="","",IF(I155="","Add - no price yet",IF(H155="","Add - no pack size",IF(COUNTIFS($B$5:$B$304,B155)&gt;1,"Duplicate - same name twice",IF(AF155=0,"Check - no recipe uses it","OK")))))</f>
        <v>0</v>
      </c>
    </row>
    <row r="156" spans="1:40">
      <c r="A156" s="39">
        <f>IF(B156="","",IngredientPrefix&amp;TEXT(ROW()-4,"0000"))</f>
        <v>0</v>
      </c>
      <c r="J156" s="25">
        <f>IF(OR(H156="",I156=""),"",IF(H156=0,"",I156/H156))</f>
        <v>0</v>
      </c>
      <c r="K156" s="25">
        <f>IF(J156="","",J156*100)</f>
        <v>0</v>
      </c>
      <c r="L156" s="25">
        <f>IF(B156="","",IFERROR(AVERAGEIFS('Grocery Spending'!$L$5:$L$404,'Grocery Spending'!$H$5:$H$404,B156,'Grocery Spending'!$L$5:$L$404,"&gt;0"),""))</f>
        <v>0</v>
      </c>
      <c r="M156" s="25">
        <f>IF(B156="","",IF(COUNTIFS('Store Prices'!$B$5:$B$304,B156)=0,"",IF(SUMPRODUCT(MIN((('Store Prices'!$B$5:$B$304=B156)*(IFERROR('Store Prices'!$I$5:$I$304*1,0)&gt;0))*IFERROR('Store Prices'!$I$5:$I$304*1,0)+(1-(('Store Prices'!$B$5:$B$304=B156)*(IFERROR('Store Prices'!$I$5:$I$304*1,0)&gt;0)))*999999))&gt;=999999,"",SUMPRODUCT(MIN((('Store Prices'!$B$5:$B$304=B156)*(IFERROR('Store Prices'!$I$5:$I$304*1,0)&gt;0))*IFERROR('Store Prices'!$I$5:$I$304*1,0)+(1-(('Store Prices'!$B$5:$B$304=B156)*(IFERROR('Store Prices'!$I$5:$I$304*1,0)&gt;0)))*999999)))))</f>
        <v>0</v>
      </c>
      <c r="N156" s="17">
        <f>IF(M156="","",IFERROR(INDEX('Store Prices'!$C$5:$C$304,MATCH(1,INDEX(('Store Prices'!$B$5:$B$304=B156)*('Store Prices'!$I$5:$I$304=M156),0),0)),""))</f>
        <v>0</v>
      </c>
      <c r="O156" s="25">
        <f>IF(OR(M156="",J156=""),"",MAX(0,(J156-M156)*100))</f>
        <v>0</v>
      </c>
      <c r="AD156" s="45">
        <f>IF(B156="","",SUMIFS(Pantry!$G$5:$G$304,Pantry!$B$5:$B$304,B156))</f>
        <v>0</v>
      </c>
      <c r="AE156" s="25">
        <f>IF(OR(AD156="",J156=""),"",AD156*J156)</f>
        <v>0</v>
      </c>
      <c r="AF156" s="18">
        <f>IF(B156="","",COUNTIFS('Recipe Ingredients'!$D$5:$D$1204,B156))</f>
        <v>0</v>
      </c>
      <c r="AG156" s="45">
        <f>IF(B156="","",SUMIFS('Recipe Ingredients'!$Y$5:$Y$1204,'Recipe Ingredients'!$D$5:$D$1204,B156))</f>
        <v>0</v>
      </c>
      <c r="AH156" s="30">
        <f>IF(B156="",0,IFERROR(K156*1,0)*IFERROR(AF156*1,0))</f>
        <v>0</v>
      </c>
      <c r="AI156" s="18">
        <f>IF(B156="","",COUNTIFS($AH$5:$AH$304,"&gt;"&amp;AH156)+COUNTIFS($AH$5:AH156,AH156))</f>
        <v>0</v>
      </c>
      <c r="AJ156" s="18">
        <f>IF(B156="",0,COUNTIFS('Food Waste'!$E$5:$E$154,B156))</f>
        <v>0</v>
      </c>
      <c r="AK156" s="18">
        <f>IF(B156="","",COUNTIFS($AJ$5:$AJ$304,"&gt;"&amp;AJ156)+COUNTIFS($AJ$5:AJ156,AJ156))</f>
        <v>0</v>
      </c>
      <c r="AL156" s="18">
        <f>IF(B156="","",IF(AG156&gt;0,COUNTIF(AG$5:AG156,"&gt;0"),""))</f>
        <v>0</v>
      </c>
      <c r="AM156" s="45">
        <f>IF(B156="","",SUMIFS('Grocery List'!$Q$5:$Q$304,'Grocery List'!$B$5:$B$304,B156))</f>
        <v>0</v>
      </c>
      <c r="AN156" s="31">
        <f>IF(B156="","",IF(I156="","Add - no price yet",IF(H156="","Add - no pack size",IF(COUNTIFS($B$5:$B$304,B156)&gt;1,"Duplicate - same name twice",IF(AF156=0,"Check - no recipe uses it","OK")))))</f>
        <v>0</v>
      </c>
    </row>
    <row r="157" spans="1:40">
      <c r="A157" s="39">
        <f>IF(B157="","",IngredientPrefix&amp;TEXT(ROW()-4,"0000"))</f>
        <v>0</v>
      </c>
      <c r="J157" s="25">
        <f>IF(OR(H157="",I157=""),"",IF(H157=0,"",I157/H157))</f>
        <v>0</v>
      </c>
      <c r="K157" s="25">
        <f>IF(J157="","",J157*100)</f>
        <v>0</v>
      </c>
      <c r="L157" s="25">
        <f>IF(B157="","",IFERROR(AVERAGEIFS('Grocery Spending'!$L$5:$L$404,'Grocery Spending'!$H$5:$H$404,B157,'Grocery Spending'!$L$5:$L$404,"&gt;0"),""))</f>
        <v>0</v>
      </c>
      <c r="M157" s="25">
        <f>IF(B157="","",IF(COUNTIFS('Store Prices'!$B$5:$B$304,B157)=0,"",IF(SUMPRODUCT(MIN((('Store Prices'!$B$5:$B$304=B157)*(IFERROR('Store Prices'!$I$5:$I$304*1,0)&gt;0))*IFERROR('Store Prices'!$I$5:$I$304*1,0)+(1-(('Store Prices'!$B$5:$B$304=B157)*(IFERROR('Store Prices'!$I$5:$I$304*1,0)&gt;0)))*999999))&gt;=999999,"",SUMPRODUCT(MIN((('Store Prices'!$B$5:$B$304=B157)*(IFERROR('Store Prices'!$I$5:$I$304*1,0)&gt;0))*IFERROR('Store Prices'!$I$5:$I$304*1,0)+(1-(('Store Prices'!$B$5:$B$304=B157)*(IFERROR('Store Prices'!$I$5:$I$304*1,0)&gt;0)))*999999)))))</f>
        <v>0</v>
      </c>
      <c r="N157" s="17">
        <f>IF(M157="","",IFERROR(INDEX('Store Prices'!$C$5:$C$304,MATCH(1,INDEX(('Store Prices'!$B$5:$B$304=B157)*('Store Prices'!$I$5:$I$304=M157),0),0)),""))</f>
        <v>0</v>
      </c>
      <c r="O157" s="25">
        <f>IF(OR(M157="",J157=""),"",MAX(0,(J157-M157)*100))</f>
        <v>0</v>
      </c>
      <c r="AD157" s="45">
        <f>IF(B157="","",SUMIFS(Pantry!$G$5:$G$304,Pantry!$B$5:$B$304,B157))</f>
        <v>0</v>
      </c>
      <c r="AE157" s="25">
        <f>IF(OR(AD157="",J157=""),"",AD157*J157)</f>
        <v>0</v>
      </c>
      <c r="AF157" s="18">
        <f>IF(B157="","",COUNTIFS('Recipe Ingredients'!$D$5:$D$1204,B157))</f>
        <v>0</v>
      </c>
      <c r="AG157" s="45">
        <f>IF(B157="","",SUMIFS('Recipe Ingredients'!$Y$5:$Y$1204,'Recipe Ingredients'!$D$5:$D$1204,B157))</f>
        <v>0</v>
      </c>
      <c r="AH157" s="30">
        <f>IF(B157="",0,IFERROR(K157*1,0)*IFERROR(AF157*1,0))</f>
        <v>0</v>
      </c>
      <c r="AI157" s="18">
        <f>IF(B157="","",COUNTIFS($AH$5:$AH$304,"&gt;"&amp;AH157)+COUNTIFS($AH$5:AH157,AH157))</f>
        <v>0</v>
      </c>
      <c r="AJ157" s="18">
        <f>IF(B157="",0,COUNTIFS('Food Waste'!$E$5:$E$154,B157))</f>
        <v>0</v>
      </c>
      <c r="AK157" s="18">
        <f>IF(B157="","",COUNTIFS($AJ$5:$AJ$304,"&gt;"&amp;AJ157)+COUNTIFS($AJ$5:AJ157,AJ157))</f>
        <v>0</v>
      </c>
      <c r="AL157" s="18">
        <f>IF(B157="","",IF(AG157&gt;0,COUNTIF(AG$5:AG157,"&gt;0"),""))</f>
        <v>0</v>
      </c>
      <c r="AM157" s="45">
        <f>IF(B157="","",SUMIFS('Grocery List'!$Q$5:$Q$304,'Grocery List'!$B$5:$B$304,B157))</f>
        <v>0</v>
      </c>
      <c r="AN157" s="31">
        <f>IF(B157="","",IF(I157="","Add - no price yet",IF(H157="","Add - no pack size",IF(COUNTIFS($B$5:$B$304,B157)&gt;1,"Duplicate - same name twice",IF(AF157=0,"Check - no recipe uses it","OK")))))</f>
        <v>0</v>
      </c>
    </row>
    <row r="158" spans="1:40">
      <c r="A158" s="39">
        <f>IF(B158="","",IngredientPrefix&amp;TEXT(ROW()-4,"0000"))</f>
        <v>0</v>
      </c>
      <c r="J158" s="25">
        <f>IF(OR(H158="",I158=""),"",IF(H158=0,"",I158/H158))</f>
        <v>0</v>
      </c>
      <c r="K158" s="25">
        <f>IF(J158="","",J158*100)</f>
        <v>0</v>
      </c>
      <c r="L158" s="25">
        <f>IF(B158="","",IFERROR(AVERAGEIFS('Grocery Spending'!$L$5:$L$404,'Grocery Spending'!$H$5:$H$404,B158,'Grocery Spending'!$L$5:$L$404,"&gt;0"),""))</f>
        <v>0</v>
      </c>
      <c r="M158" s="25">
        <f>IF(B158="","",IF(COUNTIFS('Store Prices'!$B$5:$B$304,B158)=0,"",IF(SUMPRODUCT(MIN((('Store Prices'!$B$5:$B$304=B158)*(IFERROR('Store Prices'!$I$5:$I$304*1,0)&gt;0))*IFERROR('Store Prices'!$I$5:$I$304*1,0)+(1-(('Store Prices'!$B$5:$B$304=B158)*(IFERROR('Store Prices'!$I$5:$I$304*1,0)&gt;0)))*999999))&gt;=999999,"",SUMPRODUCT(MIN((('Store Prices'!$B$5:$B$304=B158)*(IFERROR('Store Prices'!$I$5:$I$304*1,0)&gt;0))*IFERROR('Store Prices'!$I$5:$I$304*1,0)+(1-(('Store Prices'!$B$5:$B$304=B158)*(IFERROR('Store Prices'!$I$5:$I$304*1,0)&gt;0)))*999999)))))</f>
        <v>0</v>
      </c>
      <c r="N158" s="17">
        <f>IF(M158="","",IFERROR(INDEX('Store Prices'!$C$5:$C$304,MATCH(1,INDEX(('Store Prices'!$B$5:$B$304=B158)*('Store Prices'!$I$5:$I$304=M158),0),0)),""))</f>
        <v>0</v>
      </c>
      <c r="O158" s="25">
        <f>IF(OR(M158="",J158=""),"",MAX(0,(J158-M158)*100))</f>
        <v>0</v>
      </c>
      <c r="AD158" s="45">
        <f>IF(B158="","",SUMIFS(Pantry!$G$5:$G$304,Pantry!$B$5:$B$304,B158))</f>
        <v>0</v>
      </c>
      <c r="AE158" s="25">
        <f>IF(OR(AD158="",J158=""),"",AD158*J158)</f>
        <v>0</v>
      </c>
      <c r="AF158" s="18">
        <f>IF(B158="","",COUNTIFS('Recipe Ingredients'!$D$5:$D$1204,B158))</f>
        <v>0</v>
      </c>
      <c r="AG158" s="45">
        <f>IF(B158="","",SUMIFS('Recipe Ingredients'!$Y$5:$Y$1204,'Recipe Ingredients'!$D$5:$D$1204,B158))</f>
        <v>0</v>
      </c>
      <c r="AH158" s="30">
        <f>IF(B158="",0,IFERROR(K158*1,0)*IFERROR(AF158*1,0))</f>
        <v>0</v>
      </c>
      <c r="AI158" s="18">
        <f>IF(B158="","",COUNTIFS($AH$5:$AH$304,"&gt;"&amp;AH158)+COUNTIFS($AH$5:AH158,AH158))</f>
        <v>0</v>
      </c>
      <c r="AJ158" s="18">
        <f>IF(B158="",0,COUNTIFS('Food Waste'!$E$5:$E$154,B158))</f>
        <v>0</v>
      </c>
      <c r="AK158" s="18">
        <f>IF(B158="","",COUNTIFS($AJ$5:$AJ$304,"&gt;"&amp;AJ158)+COUNTIFS($AJ$5:AJ158,AJ158))</f>
        <v>0</v>
      </c>
      <c r="AL158" s="18">
        <f>IF(B158="","",IF(AG158&gt;0,COUNTIF(AG$5:AG158,"&gt;0"),""))</f>
        <v>0</v>
      </c>
      <c r="AM158" s="45">
        <f>IF(B158="","",SUMIFS('Grocery List'!$Q$5:$Q$304,'Grocery List'!$B$5:$B$304,B158))</f>
        <v>0</v>
      </c>
      <c r="AN158" s="31">
        <f>IF(B158="","",IF(I158="","Add - no price yet",IF(H158="","Add - no pack size",IF(COUNTIFS($B$5:$B$304,B158)&gt;1,"Duplicate - same name twice",IF(AF158=0,"Check - no recipe uses it","OK")))))</f>
        <v>0</v>
      </c>
    </row>
    <row r="159" spans="1:40">
      <c r="A159" s="39">
        <f>IF(B159="","",IngredientPrefix&amp;TEXT(ROW()-4,"0000"))</f>
        <v>0</v>
      </c>
      <c r="J159" s="25">
        <f>IF(OR(H159="",I159=""),"",IF(H159=0,"",I159/H159))</f>
        <v>0</v>
      </c>
      <c r="K159" s="25">
        <f>IF(J159="","",J159*100)</f>
        <v>0</v>
      </c>
      <c r="L159" s="25">
        <f>IF(B159="","",IFERROR(AVERAGEIFS('Grocery Spending'!$L$5:$L$404,'Grocery Spending'!$H$5:$H$404,B159,'Grocery Spending'!$L$5:$L$404,"&gt;0"),""))</f>
        <v>0</v>
      </c>
      <c r="M159" s="25">
        <f>IF(B159="","",IF(COUNTIFS('Store Prices'!$B$5:$B$304,B159)=0,"",IF(SUMPRODUCT(MIN((('Store Prices'!$B$5:$B$304=B159)*(IFERROR('Store Prices'!$I$5:$I$304*1,0)&gt;0))*IFERROR('Store Prices'!$I$5:$I$304*1,0)+(1-(('Store Prices'!$B$5:$B$304=B159)*(IFERROR('Store Prices'!$I$5:$I$304*1,0)&gt;0)))*999999))&gt;=999999,"",SUMPRODUCT(MIN((('Store Prices'!$B$5:$B$304=B159)*(IFERROR('Store Prices'!$I$5:$I$304*1,0)&gt;0))*IFERROR('Store Prices'!$I$5:$I$304*1,0)+(1-(('Store Prices'!$B$5:$B$304=B159)*(IFERROR('Store Prices'!$I$5:$I$304*1,0)&gt;0)))*999999)))))</f>
        <v>0</v>
      </c>
      <c r="N159" s="17">
        <f>IF(M159="","",IFERROR(INDEX('Store Prices'!$C$5:$C$304,MATCH(1,INDEX(('Store Prices'!$B$5:$B$304=B159)*('Store Prices'!$I$5:$I$304=M159),0),0)),""))</f>
        <v>0</v>
      </c>
      <c r="O159" s="25">
        <f>IF(OR(M159="",J159=""),"",MAX(0,(J159-M159)*100))</f>
        <v>0</v>
      </c>
      <c r="AD159" s="45">
        <f>IF(B159="","",SUMIFS(Pantry!$G$5:$G$304,Pantry!$B$5:$B$304,B159))</f>
        <v>0</v>
      </c>
      <c r="AE159" s="25">
        <f>IF(OR(AD159="",J159=""),"",AD159*J159)</f>
        <v>0</v>
      </c>
      <c r="AF159" s="18">
        <f>IF(B159="","",COUNTIFS('Recipe Ingredients'!$D$5:$D$1204,B159))</f>
        <v>0</v>
      </c>
      <c r="AG159" s="45">
        <f>IF(B159="","",SUMIFS('Recipe Ingredients'!$Y$5:$Y$1204,'Recipe Ingredients'!$D$5:$D$1204,B159))</f>
        <v>0</v>
      </c>
      <c r="AH159" s="30">
        <f>IF(B159="",0,IFERROR(K159*1,0)*IFERROR(AF159*1,0))</f>
        <v>0</v>
      </c>
      <c r="AI159" s="18">
        <f>IF(B159="","",COUNTIFS($AH$5:$AH$304,"&gt;"&amp;AH159)+COUNTIFS($AH$5:AH159,AH159))</f>
        <v>0</v>
      </c>
      <c r="AJ159" s="18">
        <f>IF(B159="",0,COUNTIFS('Food Waste'!$E$5:$E$154,B159))</f>
        <v>0</v>
      </c>
      <c r="AK159" s="18">
        <f>IF(B159="","",COUNTIFS($AJ$5:$AJ$304,"&gt;"&amp;AJ159)+COUNTIFS($AJ$5:AJ159,AJ159))</f>
        <v>0</v>
      </c>
      <c r="AL159" s="18">
        <f>IF(B159="","",IF(AG159&gt;0,COUNTIF(AG$5:AG159,"&gt;0"),""))</f>
        <v>0</v>
      </c>
      <c r="AM159" s="45">
        <f>IF(B159="","",SUMIFS('Grocery List'!$Q$5:$Q$304,'Grocery List'!$B$5:$B$304,B159))</f>
        <v>0</v>
      </c>
      <c r="AN159" s="31">
        <f>IF(B159="","",IF(I159="","Add - no price yet",IF(H159="","Add - no pack size",IF(COUNTIFS($B$5:$B$304,B159)&gt;1,"Duplicate - same name twice",IF(AF159=0,"Check - no recipe uses it","OK")))))</f>
        <v>0</v>
      </c>
    </row>
    <row r="160" spans="1:40">
      <c r="A160" s="39">
        <f>IF(B160="","",IngredientPrefix&amp;TEXT(ROW()-4,"0000"))</f>
        <v>0</v>
      </c>
      <c r="J160" s="25">
        <f>IF(OR(H160="",I160=""),"",IF(H160=0,"",I160/H160))</f>
        <v>0</v>
      </c>
      <c r="K160" s="25">
        <f>IF(J160="","",J160*100)</f>
        <v>0</v>
      </c>
      <c r="L160" s="25">
        <f>IF(B160="","",IFERROR(AVERAGEIFS('Grocery Spending'!$L$5:$L$404,'Grocery Spending'!$H$5:$H$404,B160,'Grocery Spending'!$L$5:$L$404,"&gt;0"),""))</f>
        <v>0</v>
      </c>
      <c r="M160" s="25">
        <f>IF(B160="","",IF(COUNTIFS('Store Prices'!$B$5:$B$304,B160)=0,"",IF(SUMPRODUCT(MIN((('Store Prices'!$B$5:$B$304=B160)*(IFERROR('Store Prices'!$I$5:$I$304*1,0)&gt;0))*IFERROR('Store Prices'!$I$5:$I$304*1,0)+(1-(('Store Prices'!$B$5:$B$304=B160)*(IFERROR('Store Prices'!$I$5:$I$304*1,0)&gt;0)))*999999))&gt;=999999,"",SUMPRODUCT(MIN((('Store Prices'!$B$5:$B$304=B160)*(IFERROR('Store Prices'!$I$5:$I$304*1,0)&gt;0))*IFERROR('Store Prices'!$I$5:$I$304*1,0)+(1-(('Store Prices'!$B$5:$B$304=B160)*(IFERROR('Store Prices'!$I$5:$I$304*1,0)&gt;0)))*999999)))))</f>
        <v>0</v>
      </c>
      <c r="N160" s="17">
        <f>IF(M160="","",IFERROR(INDEX('Store Prices'!$C$5:$C$304,MATCH(1,INDEX(('Store Prices'!$B$5:$B$304=B160)*('Store Prices'!$I$5:$I$304=M160),0),0)),""))</f>
        <v>0</v>
      </c>
      <c r="O160" s="25">
        <f>IF(OR(M160="",J160=""),"",MAX(0,(J160-M160)*100))</f>
        <v>0</v>
      </c>
      <c r="AD160" s="45">
        <f>IF(B160="","",SUMIFS(Pantry!$G$5:$G$304,Pantry!$B$5:$B$304,B160))</f>
        <v>0</v>
      </c>
      <c r="AE160" s="25">
        <f>IF(OR(AD160="",J160=""),"",AD160*J160)</f>
        <v>0</v>
      </c>
      <c r="AF160" s="18">
        <f>IF(B160="","",COUNTIFS('Recipe Ingredients'!$D$5:$D$1204,B160))</f>
        <v>0</v>
      </c>
      <c r="AG160" s="45">
        <f>IF(B160="","",SUMIFS('Recipe Ingredients'!$Y$5:$Y$1204,'Recipe Ingredients'!$D$5:$D$1204,B160))</f>
        <v>0</v>
      </c>
      <c r="AH160" s="30">
        <f>IF(B160="",0,IFERROR(K160*1,0)*IFERROR(AF160*1,0))</f>
        <v>0</v>
      </c>
      <c r="AI160" s="18">
        <f>IF(B160="","",COUNTIFS($AH$5:$AH$304,"&gt;"&amp;AH160)+COUNTIFS($AH$5:AH160,AH160))</f>
        <v>0</v>
      </c>
      <c r="AJ160" s="18">
        <f>IF(B160="",0,COUNTIFS('Food Waste'!$E$5:$E$154,B160))</f>
        <v>0</v>
      </c>
      <c r="AK160" s="18">
        <f>IF(B160="","",COUNTIFS($AJ$5:$AJ$304,"&gt;"&amp;AJ160)+COUNTIFS($AJ$5:AJ160,AJ160))</f>
        <v>0</v>
      </c>
      <c r="AL160" s="18">
        <f>IF(B160="","",IF(AG160&gt;0,COUNTIF(AG$5:AG160,"&gt;0"),""))</f>
        <v>0</v>
      </c>
      <c r="AM160" s="45">
        <f>IF(B160="","",SUMIFS('Grocery List'!$Q$5:$Q$304,'Grocery List'!$B$5:$B$304,B160))</f>
        <v>0</v>
      </c>
      <c r="AN160" s="31">
        <f>IF(B160="","",IF(I160="","Add - no price yet",IF(H160="","Add - no pack size",IF(COUNTIFS($B$5:$B$304,B160)&gt;1,"Duplicate - same name twice",IF(AF160=0,"Check - no recipe uses it","OK")))))</f>
        <v>0</v>
      </c>
    </row>
    <row r="161" spans="1:40">
      <c r="A161" s="39">
        <f>IF(B161="","",IngredientPrefix&amp;TEXT(ROW()-4,"0000"))</f>
        <v>0</v>
      </c>
      <c r="J161" s="25">
        <f>IF(OR(H161="",I161=""),"",IF(H161=0,"",I161/H161))</f>
        <v>0</v>
      </c>
      <c r="K161" s="25">
        <f>IF(J161="","",J161*100)</f>
        <v>0</v>
      </c>
      <c r="L161" s="25">
        <f>IF(B161="","",IFERROR(AVERAGEIFS('Grocery Spending'!$L$5:$L$404,'Grocery Spending'!$H$5:$H$404,B161,'Grocery Spending'!$L$5:$L$404,"&gt;0"),""))</f>
        <v>0</v>
      </c>
      <c r="M161" s="25">
        <f>IF(B161="","",IF(COUNTIFS('Store Prices'!$B$5:$B$304,B161)=0,"",IF(SUMPRODUCT(MIN((('Store Prices'!$B$5:$B$304=B161)*(IFERROR('Store Prices'!$I$5:$I$304*1,0)&gt;0))*IFERROR('Store Prices'!$I$5:$I$304*1,0)+(1-(('Store Prices'!$B$5:$B$304=B161)*(IFERROR('Store Prices'!$I$5:$I$304*1,0)&gt;0)))*999999))&gt;=999999,"",SUMPRODUCT(MIN((('Store Prices'!$B$5:$B$304=B161)*(IFERROR('Store Prices'!$I$5:$I$304*1,0)&gt;0))*IFERROR('Store Prices'!$I$5:$I$304*1,0)+(1-(('Store Prices'!$B$5:$B$304=B161)*(IFERROR('Store Prices'!$I$5:$I$304*1,0)&gt;0)))*999999)))))</f>
        <v>0</v>
      </c>
      <c r="N161" s="17">
        <f>IF(M161="","",IFERROR(INDEX('Store Prices'!$C$5:$C$304,MATCH(1,INDEX(('Store Prices'!$B$5:$B$304=B161)*('Store Prices'!$I$5:$I$304=M161),0),0)),""))</f>
        <v>0</v>
      </c>
      <c r="O161" s="25">
        <f>IF(OR(M161="",J161=""),"",MAX(0,(J161-M161)*100))</f>
        <v>0</v>
      </c>
      <c r="AD161" s="45">
        <f>IF(B161="","",SUMIFS(Pantry!$G$5:$G$304,Pantry!$B$5:$B$304,B161))</f>
        <v>0</v>
      </c>
      <c r="AE161" s="25">
        <f>IF(OR(AD161="",J161=""),"",AD161*J161)</f>
        <v>0</v>
      </c>
      <c r="AF161" s="18">
        <f>IF(B161="","",COUNTIFS('Recipe Ingredients'!$D$5:$D$1204,B161))</f>
        <v>0</v>
      </c>
      <c r="AG161" s="45">
        <f>IF(B161="","",SUMIFS('Recipe Ingredients'!$Y$5:$Y$1204,'Recipe Ingredients'!$D$5:$D$1204,B161))</f>
        <v>0</v>
      </c>
      <c r="AH161" s="30">
        <f>IF(B161="",0,IFERROR(K161*1,0)*IFERROR(AF161*1,0))</f>
        <v>0</v>
      </c>
      <c r="AI161" s="18">
        <f>IF(B161="","",COUNTIFS($AH$5:$AH$304,"&gt;"&amp;AH161)+COUNTIFS($AH$5:AH161,AH161))</f>
        <v>0</v>
      </c>
      <c r="AJ161" s="18">
        <f>IF(B161="",0,COUNTIFS('Food Waste'!$E$5:$E$154,B161))</f>
        <v>0</v>
      </c>
      <c r="AK161" s="18">
        <f>IF(B161="","",COUNTIFS($AJ$5:$AJ$304,"&gt;"&amp;AJ161)+COUNTIFS($AJ$5:AJ161,AJ161))</f>
        <v>0</v>
      </c>
      <c r="AL161" s="18">
        <f>IF(B161="","",IF(AG161&gt;0,COUNTIF(AG$5:AG161,"&gt;0"),""))</f>
        <v>0</v>
      </c>
      <c r="AM161" s="45">
        <f>IF(B161="","",SUMIFS('Grocery List'!$Q$5:$Q$304,'Grocery List'!$B$5:$B$304,B161))</f>
        <v>0</v>
      </c>
      <c r="AN161" s="31">
        <f>IF(B161="","",IF(I161="","Add - no price yet",IF(H161="","Add - no pack size",IF(COUNTIFS($B$5:$B$304,B161)&gt;1,"Duplicate - same name twice",IF(AF161=0,"Check - no recipe uses it","OK")))))</f>
        <v>0</v>
      </c>
    </row>
    <row r="162" spans="1:40">
      <c r="A162" s="39">
        <f>IF(B162="","",IngredientPrefix&amp;TEXT(ROW()-4,"0000"))</f>
        <v>0</v>
      </c>
      <c r="J162" s="25">
        <f>IF(OR(H162="",I162=""),"",IF(H162=0,"",I162/H162))</f>
        <v>0</v>
      </c>
      <c r="K162" s="25">
        <f>IF(J162="","",J162*100)</f>
        <v>0</v>
      </c>
      <c r="L162" s="25">
        <f>IF(B162="","",IFERROR(AVERAGEIFS('Grocery Spending'!$L$5:$L$404,'Grocery Spending'!$H$5:$H$404,B162,'Grocery Spending'!$L$5:$L$404,"&gt;0"),""))</f>
        <v>0</v>
      </c>
      <c r="M162" s="25">
        <f>IF(B162="","",IF(COUNTIFS('Store Prices'!$B$5:$B$304,B162)=0,"",IF(SUMPRODUCT(MIN((('Store Prices'!$B$5:$B$304=B162)*(IFERROR('Store Prices'!$I$5:$I$304*1,0)&gt;0))*IFERROR('Store Prices'!$I$5:$I$304*1,0)+(1-(('Store Prices'!$B$5:$B$304=B162)*(IFERROR('Store Prices'!$I$5:$I$304*1,0)&gt;0)))*999999))&gt;=999999,"",SUMPRODUCT(MIN((('Store Prices'!$B$5:$B$304=B162)*(IFERROR('Store Prices'!$I$5:$I$304*1,0)&gt;0))*IFERROR('Store Prices'!$I$5:$I$304*1,0)+(1-(('Store Prices'!$B$5:$B$304=B162)*(IFERROR('Store Prices'!$I$5:$I$304*1,0)&gt;0)))*999999)))))</f>
        <v>0</v>
      </c>
      <c r="N162" s="17">
        <f>IF(M162="","",IFERROR(INDEX('Store Prices'!$C$5:$C$304,MATCH(1,INDEX(('Store Prices'!$B$5:$B$304=B162)*('Store Prices'!$I$5:$I$304=M162),0),0)),""))</f>
        <v>0</v>
      </c>
      <c r="O162" s="25">
        <f>IF(OR(M162="",J162=""),"",MAX(0,(J162-M162)*100))</f>
        <v>0</v>
      </c>
      <c r="AD162" s="45">
        <f>IF(B162="","",SUMIFS(Pantry!$G$5:$G$304,Pantry!$B$5:$B$304,B162))</f>
        <v>0</v>
      </c>
      <c r="AE162" s="25">
        <f>IF(OR(AD162="",J162=""),"",AD162*J162)</f>
        <v>0</v>
      </c>
      <c r="AF162" s="18">
        <f>IF(B162="","",COUNTIFS('Recipe Ingredients'!$D$5:$D$1204,B162))</f>
        <v>0</v>
      </c>
      <c r="AG162" s="45">
        <f>IF(B162="","",SUMIFS('Recipe Ingredients'!$Y$5:$Y$1204,'Recipe Ingredients'!$D$5:$D$1204,B162))</f>
        <v>0</v>
      </c>
      <c r="AH162" s="30">
        <f>IF(B162="",0,IFERROR(K162*1,0)*IFERROR(AF162*1,0))</f>
        <v>0</v>
      </c>
      <c r="AI162" s="18">
        <f>IF(B162="","",COUNTIFS($AH$5:$AH$304,"&gt;"&amp;AH162)+COUNTIFS($AH$5:AH162,AH162))</f>
        <v>0</v>
      </c>
      <c r="AJ162" s="18">
        <f>IF(B162="",0,COUNTIFS('Food Waste'!$E$5:$E$154,B162))</f>
        <v>0</v>
      </c>
      <c r="AK162" s="18">
        <f>IF(B162="","",COUNTIFS($AJ$5:$AJ$304,"&gt;"&amp;AJ162)+COUNTIFS($AJ$5:AJ162,AJ162))</f>
        <v>0</v>
      </c>
      <c r="AL162" s="18">
        <f>IF(B162="","",IF(AG162&gt;0,COUNTIF(AG$5:AG162,"&gt;0"),""))</f>
        <v>0</v>
      </c>
      <c r="AM162" s="45">
        <f>IF(B162="","",SUMIFS('Grocery List'!$Q$5:$Q$304,'Grocery List'!$B$5:$B$304,B162))</f>
        <v>0</v>
      </c>
      <c r="AN162" s="31">
        <f>IF(B162="","",IF(I162="","Add - no price yet",IF(H162="","Add - no pack size",IF(COUNTIFS($B$5:$B$304,B162)&gt;1,"Duplicate - same name twice",IF(AF162=0,"Check - no recipe uses it","OK")))))</f>
        <v>0</v>
      </c>
    </row>
    <row r="163" spans="1:40">
      <c r="A163" s="39">
        <f>IF(B163="","",IngredientPrefix&amp;TEXT(ROW()-4,"0000"))</f>
        <v>0</v>
      </c>
      <c r="J163" s="25">
        <f>IF(OR(H163="",I163=""),"",IF(H163=0,"",I163/H163))</f>
        <v>0</v>
      </c>
      <c r="K163" s="25">
        <f>IF(J163="","",J163*100)</f>
        <v>0</v>
      </c>
      <c r="L163" s="25">
        <f>IF(B163="","",IFERROR(AVERAGEIFS('Grocery Spending'!$L$5:$L$404,'Grocery Spending'!$H$5:$H$404,B163,'Grocery Spending'!$L$5:$L$404,"&gt;0"),""))</f>
        <v>0</v>
      </c>
      <c r="M163" s="25">
        <f>IF(B163="","",IF(COUNTIFS('Store Prices'!$B$5:$B$304,B163)=0,"",IF(SUMPRODUCT(MIN((('Store Prices'!$B$5:$B$304=B163)*(IFERROR('Store Prices'!$I$5:$I$304*1,0)&gt;0))*IFERROR('Store Prices'!$I$5:$I$304*1,0)+(1-(('Store Prices'!$B$5:$B$304=B163)*(IFERROR('Store Prices'!$I$5:$I$304*1,0)&gt;0)))*999999))&gt;=999999,"",SUMPRODUCT(MIN((('Store Prices'!$B$5:$B$304=B163)*(IFERROR('Store Prices'!$I$5:$I$304*1,0)&gt;0))*IFERROR('Store Prices'!$I$5:$I$304*1,0)+(1-(('Store Prices'!$B$5:$B$304=B163)*(IFERROR('Store Prices'!$I$5:$I$304*1,0)&gt;0)))*999999)))))</f>
        <v>0</v>
      </c>
      <c r="N163" s="17">
        <f>IF(M163="","",IFERROR(INDEX('Store Prices'!$C$5:$C$304,MATCH(1,INDEX(('Store Prices'!$B$5:$B$304=B163)*('Store Prices'!$I$5:$I$304=M163),0),0)),""))</f>
        <v>0</v>
      </c>
      <c r="O163" s="25">
        <f>IF(OR(M163="",J163=""),"",MAX(0,(J163-M163)*100))</f>
        <v>0</v>
      </c>
      <c r="AD163" s="45">
        <f>IF(B163="","",SUMIFS(Pantry!$G$5:$G$304,Pantry!$B$5:$B$304,B163))</f>
        <v>0</v>
      </c>
      <c r="AE163" s="25">
        <f>IF(OR(AD163="",J163=""),"",AD163*J163)</f>
        <v>0</v>
      </c>
      <c r="AF163" s="18">
        <f>IF(B163="","",COUNTIFS('Recipe Ingredients'!$D$5:$D$1204,B163))</f>
        <v>0</v>
      </c>
      <c r="AG163" s="45">
        <f>IF(B163="","",SUMIFS('Recipe Ingredients'!$Y$5:$Y$1204,'Recipe Ingredients'!$D$5:$D$1204,B163))</f>
        <v>0</v>
      </c>
      <c r="AH163" s="30">
        <f>IF(B163="",0,IFERROR(K163*1,0)*IFERROR(AF163*1,0))</f>
        <v>0</v>
      </c>
      <c r="AI163" s="18">
        <f>IF(B163="","",COUNTIFS($AH$5:$AH$304,"&gt;"&amp;AH163)+COUNTIFS($AH$5:AH163,AH163))</f>
        <v>0</v>
      </c>
      <c r="AJ163" s="18">
        <f>IF(B163="",0,COUNTIFS('Food Waste'!$E$5:$E$154,B163))</f>
        <v>0</v>
      </c>
      <c r="AK163" s="18">
        <f>IF(B163="","",COUNTIFS($AJ$5:$AJ$304,"&gt;"&amp;AJ163)+COUNTIFS($AJ$5:AJ163,AJ163))</f>
        <v>0</v>
      </c>
      <c r="AL163" s="18">
        <f>IF(B163="","",IF(AG163&gt;0,COUNTIF(AG$5:AG163,"&gt;0"),""))</f>
        <v>0</v>
      </c>
      <c r="AM163" s="45">
        <f>IF(B163="","",SUMIFS('Grocery List'!$Q$5:$Q$304,'Grocery List'!$B$5:$B$304,B163))</f>
        <v>0</v>
      </c>
      <c r="AN163" s="31">
        <f>IF(B163="","",IF(I163="","Add - no price yet",IF(H163="","Add - no pack size",IF(COUNTIFS($B$5:$B$304,B163)&gt;1,"Duplicate - same name twice",IF(AF163=0,"Check - no recipe uses it","OK")))))</f>
        <v>0</v>
      </c>
    </row>
    <row r="164" spans="1:40">
      <c r="A164" s="39">
        <f>IF(B164="","",IngredientPrefix&amp;TEXT(ROW()-4,"0000"))</f>
        <v>0</v>
      </c>
      <c r="J164" s="25">
        <f>IF(OR(H164="",I164=""),"",IF(H164=0,"",I164/H164))</f>
        <v>0</v>
      </c>
      <c r="K164" s="25">
        <f>IF(J164="","",J164*100)</f>
        <v>0</v>
      </c>
      <c r="L164" s="25">
        <f>IF(B164="","",IFERROR(AVERAGEIFS('Grocery Spending'!$L$5:$L$404,'Grocery Spending'!$H$5:$H$404,B164,'Grocery Spending'!$L$5:$L$404,"&gt;0"),""))</f>
        <v>0</v>
      </c>
      <c r="M164" s="25">
        <f>IF(B164="","",IF(COUNTIFS('Store Prices'!$B$5:$B$304,B164)=0,"",IF(SUMPRODUCT(MIN((('Store Prices'!$B$5:$B$304=B164)*(IFERROR('Store Prices'!$I$5:$I$304*1,0)&gt;0))*IFERROR('Store Prices'!$I$5:$I$304*1,0)+(1-(('Store Prices'!$B$5:$B$304=B164)*(IFERROR('Store Prices'!$I$5:$I$304*1,0)&gt;0)))*999999))&gt;=999999,"",SUMPRODUCT(MIN((('Store Prices'!$B$5:$B$304=B164)*(IFERROR('Store Prices'!$I$5:$I$304*1,0)&gt;0))*IFERROR('Store Prices'!$I$5:$I$304*1,0)+(1-(('Store Prices'!$B$5:$B$304=B164)*(IFERROR('Store Prices'!$I$5:$I$304*1,0)&gt;0)))*999999)))))</f>
        <v>0</v>
      </c>
      <c r="N164" s="17">
        <f>IF(M164="","",IFERROR(INDEX('Store Prices'!$C$5:$C$304,MATCH(1,INDEX(('Store Prices'!$B$5:$B$304=B164)*('Store Prices'!$I$5:$I$304=M164),0),0)),""))</f>
        <v>0</v>
      </c>
      <c r="O164" s="25">
        <f>IF(OR(M164="",J164=""),"",MAX(0,(J164-M164)*100))</f>
        <v>0</v>
      </c>
      <c r="AD164" s="45">
        <f>IF(B164="","",SUMIFS(Pantry!$G$5:$G$304,Pantry!$B$5:$B$304,B164))</f>
        <v>0</v>
      </c>
      <c r="AE164" s="25">
        <f>IF(OR(AD164="",J164=""),"",AD164*J164)</f>
        <v>0</v>
      </c>
      <c r="AF164" s="18">
        <f>IF(B164="","",COUNTIFS('Recipe Ingredients'!$D$5:$D$1204,B164))</f>
        <v>0</v>
      </c>
      <c r="AG164" s="45">
        <f>IF(B164="","",SUMIFS('Recipe Ingredients'!$Y$5:$Y$1204,'Recipe Ingredients'!$D$5:$D$1204,B164))</f>
        <v>0</v>
      </c>
      <c r="AH164" s="30">
        <f>IF(B164="",0,IFERROR(K164*1,0)*IFERROR(AF164*1,0))</f>
        <v>0</v>
      </c>
      <c r="AI164" s="18">
        <f>IF(B164="","",COUNTIFS($AH$5:$AH$304,"&gt;"&amp;AH164)+COUNTIFS($AH$5:AH164,AH164))</f>
        <v>0</v>
      </c>
      <c r="AJ164" s="18">
        <f>IF(B164="",0,COUNTIFS('Food Waste'!$E$5:$E$154,B164))</f>
        <v>0</v>
      </c>
      <c r="AK164" s="18">
        <f>IF(B164="","",COUNTIFS($AJ$5:$AJ$304,"&gt;"&amp;AJ164)+COUNTIFS($AJ$5:AJ164,AJ164))</f>
        <v>0</v>
      </c>
      <c r="AL164" s="18">
        <f>IF(B164="","",IF(AG164&gt;0,COUNTIF(AG$5:AG164,"&gt;0"),""))</f>
        <v>0</v>
      </c>
      <c r="AM164" s="45">
        <f>IF(B164="","",SUMIFS('Grocery List'!$Q$5:$Q$304,'Grocery List'!$B$5:$B$304,B164))</f>
        <v>0</v>
      </c>
      <c r="AN164" s="31">
        <f>IF(B164="","",IF(I164="","Add - no price yet",IF(H164="","Add - no pack size",IF(COUNTIFS($B$5:$B$304,B164)&gt;1,"Duplicate - same name twice",IF(AF164=0,"Check - no recipe uses it","OK")))))</f>
        <v>0</v>
      </c>
    </row>
    <row r="165" spans="1:40">
      <c r="A165" s="39">
        <f>IF(B165="","",IngredientPrefix&amp;TEXT(ROW()-4,"0000"))</f>
        <v>0</v>
      </c>
      <c r="J165" s="25">
        <f>IF(OR(H165="",I165=""),"",IF(H165=0,"",I165/H165))</f>
        <v>0</v>
      </c>
      <c r="K165" s="25">
        <f>IF(J165="","",J165*100)</f>
        <v>0</v>
      </c>
      <c r="L165" s="25">
        <f>IF(B165="","",IFERROR(AVERAGEIFS('Grocery Spending'!$L$5:$L$404,'Grocery Spending'!$H$5:$H$404,B165,'Grocery Spending'!$L$5:$L$404,"&gt;0"),""))</f>
        <v>0</v>
      </c>
      <c r="M165" s="25">
        <f>IF(B165="","",IF(COUNTIFS('Store Prices'!$B$5:$B$304,B165)=0,"",IF(SUMPRODUCT(MIN((('Store Prices'!$B$5:$B$304=B165)*(IFERROR('Store Prices'!$I$5:$I$304*1,0)&gt;0))*IFERROR('Store Prices'!$I$5:$I$304*1,0)+(1-(('Store Prices'!$B$5:$B$304=B165)*(IFERROR('Store Prices'!$I$5:$I$304*1,0)&gt;0)))*999999))&gt;=999999,"",SUMPRODUCT(MIN((('Store Prices'!$B$5:$B$304=B165)*(IFERROR('Store Prices'!$I$5:$I$304*1,0)&gt;0))*IFERROR('Store Prices'!$I$5:$I$304*1,0)+(1-(('Store Prices'!$B$5:$B$304=B165)*(IFERROR('Store Prices'!$I$5:$I$304*1,0)&gt;0)))*999999)))))</f>
        <v>0</v>
      </c>
      <c r="N165" s="17">
        <f>IF(M165="","",IFERROR(INDEX('Store Prices'!$C$5:$C$304,MATCH(1,INDEX(('Store Prices'!$B$5:$B$304=B165)*('Store Prices'!$I$5:$I$304=M165),0),0)),""))</f>
        <v>0</v>
      </c>
      <c r="O165" s="25">
        <f>IF(OR(M165="",J165=""),"",MAX(0,(J165-M165)*100))</f>
        <v>0</v>
      </c>
      <c r="AD165" s="45">
        <f>IF(B165="","",SUMIFS(Pantry!$G$5:$G$304,Pantry!$B$5:$B$304,B165))</f>
        <v>0</v>
      </c>
      <c r="AE165" s="25">
        <f>IF(OR(AD165="",J165=""),"",AD165*J165)</f>
        <v>0</v>
      </c>
      <c r="AF165" s="18">
        <f>IF(B165="","",COUNTIFS('Recipe Ingredients'!$D$5:$D$1204,B165))</f>
        <v>0</v>
      </c>
      <c r="AG165" s="45">
        <f>IF(B165="","",SUMIFS('Recipe Ingredients'!$Y$5:$Y$1204,'Recipe Ingredients'!$D$5:$D$1204,B165))</f>
        <v>0</v>
      </c>
      <c r="AH165" s="30">
        <f>IF(B165="",0,IFERROR(K165*1,0)*IFERROR(AF165*1,0))</f>
        <v>0</v>
      </c>
      <c r="AI165" s="18">
        <f>IF(B165="","",COUNTIFS($AH$5:$AH$304,"&gt;"&amp;AH165)+COUNTIFS($AH$5:AH165,AH165))</f>
        <v>0</v>
      </c>
      <c r="AJ165" s="18">
        <f>IF(B165="",0,COUNTIFS('Food Waste'!$E$5:$E$154,B165))</f>
        <v>0</v>
      </c>
      <c r="AK165" s="18">
        <f>IF(B165="","",COUNTIFS($AJ$5:$AJ$304,"&gt;"&amp;AJ165)+COUNTIFS($AJ$5:AJ165,AJ165))</f>
        <v>0</v>
      </c>
      <c r="AL165" s="18">
        <f>IF(B165="","",IF(AG165&gt;0,COUNTIF(AG$5:AG165,"&gt;0"),""))</f>
        <v>0</v>
      </c>
      <c r="AM165" s="45">
        <f>IF(B165="","",SUMIFS('Grocery List'!$Q$5:$Q$304,'Grocery List'!$B$5:$B$304,B165))</f>
        <v>0</v>
      </c>
      <c r="AN165" s="31">
        <f>IF(B165="","",IF(I165="","Add - no price yet",IF(H165="","Add - no pack size",IF(COUNTIFS($B$5:$B$304,B165)&gt;1,"Duplicate - same name twice",IF(AF165=0,"Check - no recipe uses it","OK")))))</f>
        <v>0</v>
      </c>
    </row>
    <row r="166" spans="1:40">
      <c r="A166" s="39">
        <f>IF(B166="","",IngredientPrefix&amp;TEXT(ROW()-4,"0000"))</f>
        <v>0</v>
      </c>
      <c r="J166" s="25">
        <f>IF(OR(H166="",I166=""),"",IF(H166=0,"",I166/H166))</f>
        <v>0</v>
      </c>
      <c r="K166" s="25">
        <f>IF(J166="","",J166*100)</f>
        <v>0</v>
      </c>
      <c r="L166" s="25">
        <f>IF(B166="","",IFERROR(AVERAGEIFS('Grocery Spending'!$L$5:$L$404,'Grocery Spending'!$H$5:$H$404,B166,'Grocery Spending'!$L$5:$L$404,"&gt;0"),""))</f>
        <v>0</v>
      </c>
      <c r="M166" s="25">
        <f>IF(B166="","",IF(COUNTIFS('Store Prices'!$B$5:$B$304,B166)=0,"",IF(SUMPRODUCT(MIN((('Store Prices'!$B$5:$B$304=B166)*(IFERROR('Store Prices'!$I$5:$I$304*1,0)&gt;0))*IFERROR('Store Prices'!$I$5:$I$304*1,0)+(1-(('Store Prices'!$B$5:$B$304=B166)*(IFERROR('Store Prices'!$I$5:$I$304*1,0)&gt;0)))*999999))&gt;=999999,"",SUMPRODUCT(MIN((('Store Prices'!$B$5:$B$304=B166)*(IFERROR('Store Prices'!$I$5:$I$304*1,0)&gt;0))*IFERROR('Store Prices'!$I$5:$I$304*1,0)+(1-(('Store Prices'!$B$5:$B$304=B166)*(IFERROR('Store Prices'!$I$5:$I$304*1,0)&gt;0)))*999999)))))</f>
        <v>0</v>
      </c>
      <c r="N166" s="17">
        <f>IF(M166="","",IFERROR(INDEX('Store Prices'!$C$5:$C$304,MATCH(1,INDEX(('Store Prices'!$B$5:$B$304=B166)*('Store Prices'!$I$5:$I$304=M166),0),0)),""))</f>
        <v>0</v>
      </c>
      <c r="O166" s="25">
        <f>IF(OR(M166="",J166=""),"",MAX(0,(J166-M166)*100))</f>
        <v>0</v>
      </c>
      <c r="AD166" s="45">
        <f>IF(B166="","",SUMIFS(Pantry!$G$5:$G$304,Pantry!$B$5:$B$304,B166))</f>
        <v>0</v>
      </c>
      <c r="AE166" s="25">
        <f>IF(OR(AD166="",J166=""),"",AD166*J166)</f>
        <v>0</v>
      </c>
      <c r="AF166" s="18">
        <f>IF(B166="","",COUNTIFS('Recipe Ingredients'!$D$5:$D$1204,B166))</f>
        <v>0</v>
      </c>
      <c r="AG166" s="45">
        <f>IF(B166="","",SUMIFS('Recipe Ingredients'!$Y$5:$Y$1204,'Recipe Ingredients'!$D$5:$D$1204,B166))</f>
        <v>0</v>
      </c>
      <c r="AH166" s="30">
        <f>IF(B166="",0,IFERROR(K166*1,0)*IFERROR(AF166*1,0))</f>
        <v>0</v>
      </c>
      <c r="AI166" s="18">
        <f>IF(B166="","",COUNTIFS($AH$5:$AH$304,"&gt;"&amp;AH166)+COUNTIFS($AH$5:AH166,AH166))</f>
        <v>0</v>
      </c>
      <c r="AJ166" s="18">
        <f>IF(B166="",0,COUNTIFS('Food Waste'!$E$5:$E$154,B166))</f>
        <v>0</v>
      </c>
      <c r="AK166" s="18">
        <f>IF(B166="","",COUNTIFS($AJ$5:$AJ$304,"&gt;"&amp;AJ166)+COUNTIFS($AJ$5:AJ166,AJ166))</f>
        <v>0</v>
      </c>
      <c r="AL166" s="18">
        <f>IF(B166="","",IF(AG166&gt;0,COUNTIF(AG$5:AG166,"&gt;0"),""))</f>
        <v>0</v>
      </c>
      <c r="AM166" s="45">
        <f>IF(B166="","",SUMIFS('Grocery List'!$Q$5:$Q$304,'Grocery List'!$B$5:$B$304,B166))</f>
        <v>0</v>
      </c>
      <c r="AN166" s="31">
        <f>IF(B166="","",IF(I166="","Add - no price yet",IF(H166="","Add - no pack size",IF(COUNTIFS($B$5:$B$304,B166)&gt;1,"Duplicate - same name twice",IF(AF166=0,"Check - no recipe uses it","OK")))))</f>
        <v>0</v>
      </c>
    </row>
    <row r="167" spans="1:40">
      <c r="A167" s="39">
        <f>IF(B167="","",IngredientPrefix&amp;TEXT(ROW()-4,"0000"))</f>
        <v>0</v>
      </c>
      <c r="J167" s="25">
        <f>IF(OR(H167="",I167=""),"",IF(H167=0,"",I167/H167))</f>
        <v>0</v>
      </c>
      <c r="K167" s="25">
        <f>IF(J167="","",J167*100)</f>
        <v>0</v>
      </c>
      <c r="L167" s="25">
        <f>IF(B167="","",IFERROR(AVERAGEIFS('Grocery Spending'!$L$5:$L$404,'Grocery Spending'!$H$5:$H$404,B167,'Grocery Spending'!$L$5:$L$404,"&gt;0"),""))</f>
        <v>0</v>
      </c>
      <c r="M167" s="25">
        <f>IF(B167="","",IF(COUNTIFS('Store Prices'!$B$5:$B$304,B167)=0,"",IF(SUMPRODUCT(MIN((('Store Prices'!$B$5:$B$304=B167)*(IFERROR('Store Prices'!$I$5:$I$304*1,0)&gt;0))*IFERROR('Store Prices'!$I$5:$I$304*1,0)+(1-(('Store Prices'!$B$5:$B$304=B167)*(IFERROR('Store Prices'!$I$5:$I$304*1,0)&gt;0)))*999999))&gt;=999999,"",SUMPRODUCT(MIN((('Store Prices'!$B$5:$B$304=B167)*(IFERROR('Store Prices'!$I$5:$I$304*1,0)&gt;0))*IFERROR('Store Prices'!$I$5:$I$304*1,0)+(1-(('Store Prices'!$B$5:$B$304=B167)*(IFERROR('Store Prices'!$I$5:$I$304*1,0)&gt;0)))*999999)))))</f>
        <v>0</v>
      </c>
      <c r="N167" s="17">
        <f>IF(M167="","",IFERROR(INDEX('Store Prices'!$C$5:$C$304,MATCH(1,INDEX(('Store Prices'!$B$5:$B$304=B167)*('Store Prices'!$I$5:$I$304=M167),0),0)),""))</f>
        <v>0</v>
      </c>
      <c r="O167" s="25">
        <f>IF(OR(M167="",J167=""),"",MAX(0,(J167-M167)*100))</f>
        <v>0</v>
      </c>
      <c r="AD167" s="45">
        <f>IF(B167="","",SUMIFS(Pantry!$G$5:$G$304,Pantry!$B$5:$B$304,B167))</f>
        <v>0</v>
      </c>
      <c r="AE167" s="25">
        <f>IF(OR(AD167="",J167=""),"",AD167*J167)</f>
        <v>0</v>
      </c>
      <c r="AF167" s="18">
        <f>IF(B167="","",COUNTIFS('Recipe Ingredients'!$D$5:$D$1204,B167))</f>
        <v>0</v>
      </c>
      <c r="AG167" s="45">
        <f>IF(B167="","",SUMIFS('Recipe Ingredients'!$Y$5:$Y$1204,'Recipe Ingredients'!$D$5:$D$1204,B167))</f>
        <v>0</v>
      </c>
      <c r="AH167" s="30">
        <f>IF(B167="",0,IFERROR(K167*1,0)*IFERROR(AF167*1,0))</f>
        <v>0</v>
      </c>
      <c r="AI167" s="18">
        <f>IF(B167="","",COUNTIFS($AH$5:$AH$304,"&gt;"&amp;AH167)+COUNTIFS($AH$5:AH167,AH167))</f>
        <v>0</v>
      </c>
      <c r="AJ167" s="18">
        <f>IF(B167="",0,COUNTIFS('Food Waste'!$E$5:$E$154,B167))</f>
        <v>0</v>
      </c>
      <c r="AK167" s="18">
        <f>IF(B167="","",COUNTIFS($AJ$5:$AJ$304,"&gt;"&amp;AJ167)+COUNTIFS($AJ$5:AJ167,AJ167))</f>
        <v>0</v>
      </c>
      <c r="AL167" s="18">
        <f>IF(B167="","",IF(AG167&gt;0,COUNTIF(AG$5:AG167,"&gt;0"),""))</f>
        <v>0</v>
      </c>
      <c r="AM167" s="45">
        <f>IF(B167="","",SUMIFS('Grocery List'!$Q$5:$Q$304,'Grocery List'!$B$5:$B$304,B167))</f>
        <v>0</v>
      </c>
      <c r="AN167" s="31">
        <f>IF(B167="","",IF(I167="","Add - no price yet",IF(H167="","Add - no pack size",IF(COUNTIFS($B$5:$B$304,B167)&gt;1,"Duplicate - same name twice",IF(AF167=0,"Check - no recipe uses it","OK")))))</f>
        <v>0</v>
      </c>
    </row>
    <row r="168" spans="1:40">
      <c r="A168" s="39">
        <f>IF(B168="","",IngredientPrefix&amp;TEXT(ROW()-4,"0000"))</f>
        <v>0</v>
      </c>
      <c r="J168" s="25">
        <f>IF(OR(H168="",I168=""),"",IF(H168=0,"",I168/H168))</f>
        <v>0</v>
      </c>
      <c r="K168" s="25">
        <f>IF(J168="","",J168*100)</f>
        <v>0</v>
      </c>
      <c r="L168" s="25">
        <f>IF(B168="","",IFERROR(AVERAGEIFS('Grocery Spending'!$L$5:$L$404,'Grocery Spending'!$H$5:$H$404,B168,'Grocery Spending'!$L$5:$L$404,"&gt;0"),""))</f>
        <v>0</v>
      </c>
      <c r="M168" s="25">
        <f>IF(B168="","",IF(COUNTIFS('Store Prices'!$B$5:$B$304,B168)=0,"",IF(SUMPRODUCT(MIN((('Store Prices'!$B$5:$B$304=B168)*(IFERROR('Store Prices'!$I$5:$I$304*1,0)&gt;0))*IFERROR('Store Prices'!$I$5:$I$304*1,0)+(1-(('Store Prices'!$B$5:$B$304=B168)*(IFERROR('Store Prices'!$I$5:$I$304*1,0)&gt;0)))*999999))&gt;=999999,"",SUMPRODUCT(MIN((('Store Prices'!$B$5:$B$304=B168)*(IFERROR('Store Prices'!$I$5:$I$304*1,0)&gt;0))*IFERROR('Store Prices'!$I$5:$I$304*1,0)+(1-(('Store Prices'!$B$5:$B$304=B168)*(IFERROR('Store Prices'!$I$5:$I$304*1,0)&gt;0)))*999999)))))</f>
        <v>0</v>
      </c>
      <c r="N168" s="17">
        <f>IF(M168="","",IFERROR(INDEX('Store Prices'!$C$5:$C$304,MATCH(1,INDEX(('Store Prices'!$B$5:$B$304=B168)*('Store Prices'!$I$5:$I$304=M168),0),0)),""))</f>
        <v>0</v>
      </c>
      <c r="O168" s="25">
        <f>IF(OR(M168="",J168=""),"",MAX(0,(J168-M168)*100))</f>
        <v>0</v>
      </c>
      <c r="AD168" s="45">
        <f>IF(B168="","",SUMIFS(Pantry!$G$5:$G$304,Pantry!$B$5:$B$304,B168))</f>
        <v>0</v>
      </c>
      <c r="AE168" s="25">
        <f>IF(OR(AD168="",J168=""),"",AD168*J168)</f>
        <v>0</v>
      </c>
      <c r="AF168" s="18">
        <f>IF(B168="","",COUNTIFS('Recipe Ingredients'!$D$5:$D$1204,B168))</f>
        <v>0</v>
      </c>
      <c r="AG168" s="45">
        <f>IF(B168="","",SUMIFS('Recipe Ingredients'!$Y$5:$Y$1204,'Recipe Ingredients'!$D$5:$D$1204,B168))</f>
        <v>0</v>
      </c>
      <c r="AH168" s="30">
        <f>IF(B168="",0,IFERROR(K168*1,0)*IFERROR(AF168*1,0))</f>
        <v>0</v>
      </c>
      <c r="AI168" s="18">
        <f>IF(B168="","",COUNTIFS($AH$5:$AH$304,"&gt;"&amp;AH168)+COUNTIFS($AH$5:AH168,AH168))</f>
        <v>0</v>
      </c>
      <c r="AJ168" s="18">
        <f>IF(B168="",0,COUNTIFS('Food Waste'!$E$5:$E$154,B168))</f>
        <v>0</v>
      </c>
      <c r="AK168" s="18">
        <f>IF(B168="","",COUNTIFS($AJ$5:$AJ$304,"&gt;"&amp;AJ168)+COUNTIFS($AJ$5:AJ168,AJ168))</f>
        <v>0</v>
      </c>
      <c r="AL168" s="18">
        <f>IF(B168="","",IF(AG168&gt;0,COUNTIF(AG$5:AG168,"&gt;0"),""))</f>
        <v>0</v>
      </c>
      <c r="AM168" s="45">
        <f>IF(B168="","",SUMIFS('Grocery List'!$Q$5:$Q$304,'Grocery List'!$B$5:$B$304,B168))</f>
        <v>0</v>
      </c>
      <c r="AN168" s="31">
        <f>IF(B168="","",IF(I168="","Add - no price yet",IF(H168="","Add - no pack size",IF(COUNTIFS($B$5:$B$304,B168)&gt;1,"Duplicate - same name twice",IF(AF168=0,"Check - no recipe uses it","OK")))))</f>
        <v>0</v>
      </c>
    </row>
    <row r="169" spans="1:40">
      <c r="A169" s="39">
        <f>IF(B169="","",IngredientPrefix&amp;TEXT(ROW()-4,"0000"))</f>
        <v>0</v>
      </c>
      <c r="J169" s="25">
        <f>IF(OR(H169="",I169=""),"",IF(H169=0,"",I169/H169))</f>
        <v>0</v>
      </c>
      <c r="K169" s="25">
        <f>IF(J169="","",J169*100)</f>
        <v>0</v>
      </c>
      <c r="L169" s="25">
        <f>IF(B169="","",IFERROR(AVERAGEIFS('Grocery Spending'!$L$5:$L$404,'Grocery Spending'!$H$5:$H$404,B169,'Grocery Spending'!$L$5:$L$404,"&gt;0"),""))</f>
        <v>0</v>
      </c>
      <c r="M169" s="25">
        <f>IF(B169="","",IF(COUNTIFS('Store Prices'!$B$5:$B$304,B169)=0,"",IF(SUMPRODUCT(MIN((('Store Prices'!$B$5:$B$304=B169)*(IFERROR('Store Prices'!$I$5:$I$304*1,0)&gt;0))*IFERROR('Store Prices'!$I$5:$I$304*1,0)+(1-(('Store Prices'!$B$5:$B$304=B169)*(IFERROR('Store Prices'!$I$5:$I$304*1,0)&gt;0)))*999999))&gt;=999999,"",SUMPRODUCT(MIN((('Store Prices'!$B$5:$B$304=B169)*(IFERROR('Store Prices'!$I$5:$I$304*1,0)&gt;0))*IFERROR('Store Prices'!$I$5:$I$304*1,0)+(1-(('Store Prices'!$B$5:$B$304=B169)*(IFERROR('Store Prices'!$I$5:$I$304*1,0)&gt;0)))*999999)))))</f>
        <v>0</v>
      </c>
      <c r="N169" s="17">
        <f>IF(M169="","",IFERROR(INDEX('Store Prices'!$C$5:$C$304,MATCH(1,INDEX(('Store Prices'!$B$5:$B$304=B169)*('Store Prices'!$I$5:$I$304=M169),0),0)),""))</f>
        <v>0</v>
      </c>
      <c r="O169" s="25">
        <f>IF(OR(M169="",J169=""),"",MAX(0,(J169-M169)*100))</f>
        <v>0</v>
      </c>
      <c r="AD169" s="45">
        <f>IF(B169="","",SUMIFS(Pantry!$G$5:$G$304,Pantry!$B$5:$B$304,B169))</f>
        <v>0</v>
      </c>
      <c r="AE169" s="25">
        <f>IF(OR(AD169="",J169=""),"",AD169*J169)</f>
        <v>0</v>
      </c>
      <c r="AF169" s="18">
        <f>IF(B169="","",COUNTIFS('Recipe Ingredients'!$D$5:$D$1204,B169))</f>
        <v>0</v>
      </c>
      <c r="AG169" s="45">
        <f>IF(B169="","",SUMIFS('Recipe Ingredients'!$Y$5:$Y$1204,'Recipe Ingredients'!$D$5:$D$1204,B169))</f>
        <v>0</v>
      </c>
      <c r="AH169" s="30">
        <f>IF(B169="",0,IFERROR(K169*1,0)*IFERROR(AF169*1,0))</f>
        <v>0</v>
      </c>
      <c r="AI169" s="18">
        <f>IF(B169="","",COUNTIFS($AH$5:$AH$304,"&gt;"&amp;AH169)+COUNTIFS($AH$5:AH169,AH169))</f>
        <v>0</v>
      </c>
      <c r="AJ169" s="18">
        <f>IF(B169="",0,COUNTIFS('Food Waste'!$E$5:$E$154,B169))</f>
        <v>0</v>
      </c>
      <c r="AK169" s="18">
        <f>IF(B169="","",COUNTIFS($AJ$5:$AJ$304,"&gt;"&amp;AJ169)+COUNTIFS($AJ$5:AJ169,AJ169))</f>
        <v>0</v>
      </c>
      <c r="AL169" s="18">
        <f>IF(B169="","",IF(AG169&gt;0,COUNTIF(AG$5:AG169,"&gt;0"),""))</f>
        <v>0</v>
      </c>
      <c r="AM169" s="45">
        <f>IF(B169="","",SUMIFS('Grocery List'!$Q$5:$Q$304,'Grocery List'!$B$5:$B$304,B169))</f>
        <v>0</v>
      </c>
      <c r="AN169" s="31">
        <f>IF(B169="","",IF(I169="","Add - no price yet",IF(H169="","Add - no pack size",IF(COUNTIFS($B$5:$B$304,B169)&gt;1,"Duplicate - same name twice",IF(AF169=0,"Check - no recipe uses it","OK")))))</f>
        <v>0</v>
      </c>
    </row>
    <row r="170" spans="1:40">
      <c r="A170" s="39">
        <f>IF(B170="","",IngredientPrefix&amp;TEXT(ROW()-4,"0000"))</f>
        <v>0</v>
      </c>
      <c r="J170" s="25">
        <f>IF(OR(H170="",I170=""),"",IF(H170=0,"",I170/H170))</f>
        <v>0</v>
      </c>
      <c r="K170" s="25">
        <f>IF(J170="","",J170*100)</f>
        <v>0</v>
      </c>
      <c r="L170" s="25">
        <f>IF(B170="","",IFERROR(AVERAGEIFS('Grocery Spending'!$L$5:$L$404,'Grocery Spending'!$H$5:$H$404,B170,'Grocery Spending'!$L$5:$L$404,"&gt;0"),""))</f>
        <v>0</v>
      </c>
      <c r="M170" s="25">
        <f>IF(B170="","",IF(COUNTIFS('Store Prices'!$B$5:$B$304,B170)=0,"",IF(SUMPRODUCT(MIN((('Store Prices'!$B$5:$B$304=B170)*(IFERROR('Store Prices'!$I$5:$I$304*1,0)&gt;0))*IFERROR('Store Prices'!$I$5:$I$304*1,0)+(1-(('Store Prices'!$B$5:$B$304=B170)*(IFERROR('Store Prices'!$I$5:$I$304*1,0)&gt;0)))*999999))&gt;=999999,"",SUMPRODUCT(MIN((('Store Prices'!$B$5:$B$304=B170)*(IFERROR('Store Prices'!$I$5:$I$304*1,0)&gt;0))*IFERROR('Store Prices'!$I$5:$I$304*1,0)+(1-(('Store Prices'!$B$5:$B$304=B170)*(IFERROR('Store Prices'!$I$5:$I$304*1,0)&gt;0)))*999999)))))</f>
        <v>0</v>
      </c>
      <c r="N170" s="17">
        <f>IF(M170="","",IFERROR(INDEX('Store Prices'!$C$5:$C$304,MATCH(1,INDEX(('Store Prices'!$B$5:$B$304=B170)*('Store Prices'!$I$5:$I$304=M170),0),0)),""))</f>
        <v>0</v>
      </c>
      <c r="O170" s="25">
        <f>IF(OR(M170="",J170=""),"",MAX(0,(J170-M170)*100))</f>
        <v>0</v>
      </c>
      <c r="AD170" s="45">
        <f>IF(B170="","",SUMIFS(Pantry!$G$5:$G$304,Pantry!$B$5:$B$304,B170))</f>
        <v>0</v>
      </c>
      <c r="AE170" s="25">
        <f>IF(OR(AD170="",J170=""),"",AD170*J170)</f>
        <v>0</v>
      </c>
      <c r="AF170" s="18">
        <f>IF(B170="","",COUNTIFS('Recipe Ingredients'!$D$5:$D$1204,B170))</f>
        <v>0</v>
      </c>
      <c r="AG170" s="45">
        <f>IF(B170="","",SUMIFS('Recipe Ingredients'!$Y$5:$Y$1204,'Recipe Ingredients'!$D$5:$D$1204,B170))</f>
        <v>0</v>
      </c>
      <c r="AH170" s="30">
        <f>IF(B170="",0,IFERROR(K170*1,0)*IFERROR(AF170*1,0))</f>
        <v>0</v>
      </c>
      <c r="AI170" s="18">
        <f>IF(B170="","",COUNTIFS($AH$5:$AH$304,"&gt;"&amp;AH170)+COUNTIFS($AH$5:AH170,AH170))</f>
        <v>0</v>
      </c>
      <c r="AJ170" s="18">
        <f>IF(B170="",0,COUNTIFS('Food Waste'!$E$5:$E$154,B170))</f>
        <v>0</v>
      </c>
      <c r="AK170" s="18">
        <f>IF(B170="","",COUNTIFS($AJ$5:$AJ$304,"&gt;"&amp;AJ170)+COUNTIFS($AJ$5:AJ170,AJ170))</f>
        <v>0</v>
      </c>
      <c r="AL170" s="18">
        <f>IF(B170="","",IF(AG170&gt;0,COUNTIF(AG$5:AG170,"&gt;0"),""))</f>
        <v>0</v>
      </c>
      <c r="AM170" s="45">
        <f>IF(B170="","",SUMIFS('Grocery List'!$Q$5:$Q$304,'Grocery List'!$B$5:$B$304,B170))</f>
        <v>0</v>
      </c>
      <c r="AN170" s="31">
        <f>IF(B170="","",IF(I170="","Add - no price yet",IF(H170="","Add - no pack size",IF(COUNTIFS($B$5:$B$304,B170)&gt;1,"Duplicate - same name twice",IF(AF170=0,"Check - no recipe uses it","OK")))))</f>
        <v>0</v>
      </c>
    </row>
    <row r="171" spans="1:40">
      <c r="A171" s="39">
        <f>IF(B171="","",IngredientPrefix&amp;TEXT(ROW()-4,"0000"))</f>
        <v>0</v>
      </c>
      <c r="J171" s="25">
        <f>IF(OR(H171="",I171=""),"",IF(H171=0,"",I171/H171))</f>
        <v>0</v>
      </c>
      <c r="K171" s="25">
        <f>IF(J171="","",J171*100)</f>
        <v>0</v>
      </c>
      <c r="L171" s="25">
        <f>IF(B171="","",IFERROR(AVERAGEIFS('Grocery Spending'!$L$5:$L$404,'Grocery Spending'!$H$5:$H$404,B171,'Grocery Spending'!$L$5:$L$404,"&gt;0"),""))</f>
        <v>0</v>
      </c>
      <c r="M171" s="25">
        <f>IF(B171="","",IF(COUNTIFS('Store Prices'!$B$5:$B$304,B171)=0,"",IF(SUMPRODUCT(MIN((('Store Prices'!$B$5:$B$304=B171)*(IFERROR('Store Prices'!$I$5:$I$304*1,0)&gt;0))*IFERROR('Store Prices'!$I$5:$I$304*1,0)+(1-(('Store Prices'!$B$5:$B$304=B171)*(IFERROR('Store Prices'!$I$5:$I$304*1,0)&gt;0)))*999999))&gt;=999999,"",SUMPRODUCT(MIN((('Store Prices'!$B$5:$B$304=B171)*(IFERROR('Store Prices'!$I$5:$I$304*1,0)&gt;0))*IFERROR('Store Prices'!$I$5:$I$304*1,0)+(1-(('Store Prices'!$B$5:$B$304=B171)*(IFERROR('Store Prices'!$I$5:$I$304*1,0)&gt;0)))*999999)))))</f>
        <v>0</v>
      </c>
      <c r="N171" s="17">
        <f>IF(M171="","",IFERROR(INDEX('Store Prices'!$C$5:$C$304,MATCH(1,INDEX(('Store Prices'!$B$5:$B$304=B171)*('Store Prices'!$I$5:$I$304=M171),0),0)),""))</f>
        <v>0</v>
      </c>
      <c r="O171" s="25">
        <f>IF(OR(M171="",J171=""),"",MAX(0,(J171-M171)*100))</f>
        <v>0</v>
      </c>
      <c r="AD171" s="45">
        <f>IF(B171="","",SUMIFS(Pantry!$G$5:$G$304,Pantry!$B$5:$B$304,B171))</f>
        <v>0</v>
      </c>
      <c r="AE171" s="25">
        <f>IF(OR(AD171="",J171=""),"",AD171*J171)</f>
        <v>0</v>
      </c>
      <c r="AF171" s="18">
        <f>IF(B171="","",COUNTIFS('Recipe Ingredients'!$D$5:$D$1204,B171))</f>
        <v>0</v>
      </c>
      <c r="AG171" s="45">
        <f>IF(B171="","",SUMIFS('Recipe Ingredients'!$Y$5:$Y$1204,'Recipe Ingredients'!$D$5:$D$1204,B171))</f>
        <v>0</v>
      </c>
      <c r="AH171" s="30">
        <f>IF(B171="",0,IFERROR(K171*1,0)*IFERROR(AF171*1,0))</f>
        <v>0</v>
      </c>
      <c r="AI171" s="18">
        <f>IF(B171="","",COUNTIFS($AH$5:$AH$304,"&gt;"&amp;AH171)+COUNTIFS($AH$5:AH171,AH171))</f>
        <v>0</v>
      </c>
      <c r="AJ171" s="18">
        <f>IF(B171="",0,COUNTIFS('Food Waste'!$E$5:$E$154,B171))</f>
        <v>0</v>
      </c>
      <c r="AK171" s="18">
        <f>IF(B171="","",COUNTIFS($AJ$5:$AJ$304,"&gt;"&amp;AJ171)+COUNTIFS($AJ$5:AJ171,AJ171))</f>
        <v>0</v>
      </c>
      <c r="AL171" s="18">
        <f>IF(B171="","",IF(AG171&gt;0,COUNTIF(AG$5:AG171,"&gt;0"),""))</f>
        <v>0</v>
      </c>
      <c r="AM171" s="45">
        <f>IF(B171="","",SUMIFS('Grocery List'!$Q$5:$Q$304,'Grocery List'!$B$5:$B$304,B171))</f>
        <v>0</v>
      </c>
      <c r="AN171" s="31">
        <f>IF(B171="","",IF(I171="","Add - no price yet",IF(H171="","Add - no pack size",IF(COUNTIFS($B$5:$B$304,B171)&gt;1,"Duplicate - same name twice",IF(AF171=0,"Check - no recipe uses it","OK")))))</f>
        <v>0</v>
      </c>
    </row>
    <row r="172" spans="1:40">
      <c r="A172" s="39">
        <f>IF(B172="","",IngredientPrefix&amp;TEXT(ROW()-4,"0000"))</f>
        <v>0</v>
      </c>
      <c r="J172" s="25">
        <f>IF(OR(H172="",I172=""),"",IF(H172=0,"",I172/H172))</f>
        <v>0</v>
      </c>
      <c r="K172" s="25">
        <f>IF(J172="","",J172*100)</f>
        <v>0</v>
      </c>
      <c r="L172" s="25">
        <f>IF(B172="","",IFERROR(AVERAGEIFS('Grocery Spending'!$L$5:$L$404,'Grocery Spending'!$H$5:$H$404,B172,'Grocery Spending'!$L$5:$L$404,"&gt;0"),""))</f>
        <v>0</v>
      </c>
      <c r="M172" s="25">
        <f>IF(B172="","",IF(COUNTIFS('Store Prices'!$B$5:$B$304,B172)=0,"",IF(SUMPRODUCT(MIN((('Store Prices'!$B$5:$B$304=B172)*(IFERROR('Store Prices'!$I$5:$I$304*1,0)&gt;0))*IFERROR('Store Prices'!$I$5:$I$304*1,0)+(1-(('Store Prices'!$B$5:$B$304=B172)*(IFERROR('Store Prices'!$I$5:$I$304*1,0)&gt;0)))*999999))&gt;=999999,"",SUMPRODUCT(MIN((('Store Prices'!$B$5:$B$304=B172)*(IFERROR('Store Prices'!$I$5:$I$304*1,0)&gt;0))*IFERROR('Store Prices'!$I$5:$I$304*1,0)+(1-(('Store Prices'!$B$5:$B$304=B172)*(IFERROR('Store Prices'!$I$5:$I$304*1,0)&gt;0)))*999999)))))</f>
        <v>0</v>
      </c>
      <c r="N172" s="17">
        <f>IF(M172="","",IFERROR(INDEX('Store Prices'!$C$5:$C$304,MATCH(1,INDEX(('Store Prices'!$B$5:$B$304=B172)*('Store Prices'!$I$5:$I$304=M172),0),0)),""))</f>
        <v>0</v>
      </c>
      <c r="O172" s="25">
        <f>IF(OR(M172="",J172=""),"",MAX(0,(J172-M172)*100))</f>
        <v>0</v>
      </c>
      <c r="AD172" s="45">
        <f>IF(B172="","",SUMIFS(Pantry!$G$5:$G$304,Pantry!$B$5:$B$304,B172))</f>
        <v>0</v>
      </c>
      <c r="AE172" s="25">
        <f>IF(OR(AD172="",J172=""),"",AD172*J172)</f>
        <v>0</v>
      </c>
      <c r="AF172" s="18">
        <f>IF(B172="","",COUNTIFS('Recipe Ingredients'!$D$5:$D$1204,B172))</f>
        <v>0</v>
      </c>
      <c r="AG172" s="45">
        <f>IF(B172="","",SUMIFS('Recipe Ingredients'!$Y$5:$Y$1204,'Recipe Ingredients'!$D$5:$D$1204,B172))</f>
        <v>0</v>
      </c>
      <c r="AH172" s="30">
        <f>IF(B172="",0,IFERROR(K172*1,0)*IFERROR(AF172*1,0))</f>
        <v>0</v>
      </c>
      <c r="AI172" s="18">
        <f>IF(B172="","",COUNTIFS($AH$5:$AH$304,"&gt;"&amp;AH172)+COUNTIFS($AH$5:AH172,AH172))</f>
        <v>0</v>
      </c>
      <c r="AJ172" s="18">
        <f>IF(B172="",0,COUNTIFS('Food Waste'!$E$5:$E$154,B172))</f>
        <v>0</v>
      </c>
      <c r="AK172" s="18">
        <f>IF(B172="","",COUNTIFS($AJ$5:$AJ$304,"&gt;"&amp;AJ172)+COUNTIFS($AJ$5:AJ172,AJ172))</f>
        <v>0</v>
      </c>
      <c r="AL172" s="18">
        <f>IF(B172="","",IF(AG172&gt;0,COUNTIF(AG$5:AG172,"&gt;0"),""))</f>
        <v>0</v>
      </c>
      <c r="AM172" s="45">
        <f>IF(B172="","",SUMIFS('Grocery List'!$Q$5:$Q$304,'Grocery List'!$B$5:$B$304,B172))</f>
        <v>0</v>
      </c>
      <c r="AN172" s="31">
        <f>IF(B172="","",IF(I172="","Add - no price yet",IF(H172="","Add - no pack size",IF(COUNTIFS($B$5:$B$304,B172)&gt;1,"Duplicate - same name twice",IF(AF172=0,"Check - no recipe uses it","OK")))))</f>
        <v>0</v>
      </c>
    </row>
    <row r="173" spans="1:40">
      <c r="A173" s="39">
        <f>IF(B173="","",IngredientPrefix&amp;TEXT(ROW()-4,"0000"))</f>
        <v>0</v>
      </c>
      <c r="J173" s="25">
        <f>IF(OR(H173="",I173=""),"",IF(H173=0,"",I173/H173))</f>
        <v>0</v>
      </c>
      <c r="K173" s="25">
        <f>IF(J173="","",J173*100)</f>
        <v>0</v>
      </c>
      <c r="L173" s="25">
        <f>IF(B173="","",IFERROR(AVERAGEIFS('Grocery Spending'!$L$5:$L$404,'Grocery Spending'!$H$5:$H$404,B173,'Grocery Spending'!$L$5:$L$404,"&gt;0"),""))</f>
        <v>0</v>
      </c>
      <c r="M173" s="25">
        <f>IF(B173="","",IF(COUNTIFS('Store Prices'!$B$5:$B$304,B173)=0,"",IF(SUMPRODUCT(MIN((('Store Prices'!$B$5:$B$304=B173)*(IFERROR('Store Prices'!$I$5:$I$304*1,0)&gt;0))*IFERROR('Store Prices'!$I$5:$I$304*1,0)+(1-(('Store Prices'!$B$5:$B$304=B173)*(IFERROR('Store Prices'!$I$5:$I$304*1,0)&gt;0)))*999999))&gt;=999999,"",SUMPRODUCT(MIN((('Store Prices'!$B$5:$B$304=B173)*(IFERROR('Store Prices'!$I$5:$I$304*1,0)&gt;0))*IFERROR('Store Prices'!$I$5:$I$304*1,0)+(1-(('Store Prices'!$B$5:$B$304=B173)*(IFERROR('Store Prices'!$I$5:$I$304*1,0)&gt;0)))*999999)))))</f>
        <v>0</v>
      </c>
      <c r="N173" s="17">
        <f>IF(M173="","",IFERROR(INDEX('Store Prices'!$C$5:$C$304,MATCH(1,INDEX(('Store Prices'!$B$5:$B$304=B173)*('Store Prices'!$I$5:$I$304=M173),0),0)),""))</f>
        <v>0</v>
      </c>
      <c r="O173" s="25">
        <f>IF(OR(M173="",J173=""),"",MAX(0,(J173-M173)*100))</f>
        <v>0</v>
      </c>
      <c r="AD173" s="45">
        <f>IF(B173="","",SUMIFS(Pantry!$G$5:$G$304,Pantry!$B$5:$B$304,B173))</f>
        <v>0</v>
      </c>
      <c r="AE173" s="25">
        <f>IF(OR(AD173="",J173=""),"",AD173*J173)</f>
        <v>0</v>
      </c>
      <c r="AF173" s="18">
        <f>IF(B173="","",COUNTIFS('Recipe Ingredients'!$D$5:$D$1204,B173))</f>
        <v>0</v>
      </c>
      <c r="AG173" s="45">
        <f>IF(B173="","",SUMIFS('Recipe Ingredients'!$Y$5:$Y$1204,'Recipe Ingredients'!$D$5:$D$1204,B173))</f>
        <v>0</v>
      </c>
      <c r="AH173" s="30">
        <f>IF(B173="",0,IFERROR(K173*1,0)*IFERROR(AF173*1,0))</f>
        <v>0</v>
      </c>
      <c r="AI173" s="18">
        <f>IF(B173="","",COUNTIFS($AH$5:$AH$304,"&gt;"&amp;AH173)+COUNTIFS($AH$5:AH173,AH173))</f>
        <v>0</v>
      </c>
      <c r="AJ173" s="18">
        <f>IF(B173="",0,COUNTIFS('Food Waste'!$E$5:$E$154,B173))</f>
        <v>0</v>
      </c>
      <c r="AK173" s="18">
        <f>IF(B173="","",COUNTIFS($AJ$5:$AJ$304,"&gt;"&amp;AJ173)+COUNTIFS($AJ$5:AJ173,AJ173))</f>
        <v>0</v>
      </c>
      <c r="AL173" s="18">
        <f>IF(B173="","",IF(AG173&gt;0,COUNTIF(AG$5:AG173,"&gt;0"),""))</f>
        <v>0</v>
      </c>
      <c r="AM173" s="45">
        <f>IF(B173="","",SUMIFS('Grocery List'!$Q$5:$Q$304,'Grocery List'!$B$5:$B$304,B173))</f>
        <v>0</v>
      </c>
      <c r="AN173" s="31">
        <f>IF(B173="","",IF(I173="","Add - no price yet",IF(H173="","Add - no pack size",IF(COUNTIFS($B$5:$B$304,B173)&gt;1,"Duplicate - same name twice",IF(AF173=0,"Check - no recipe uses it","OK")))))</f>
        <v>0</v>
      </c>
    </row>
    <row r="174" spans="1:40">
      <c r="A174" s="39">
        <f>IF(B174="","",IngredientPrefix&amp;TEXT(ROW()-4,"0000"))</f>
        <v>0</v>
      </c>
      <c r="J174" s="25">
        <f>IF(OR(H174="",I174=""),"",IF(H174=0,"",I174/H174))</f>
        <v>0</v>
      </c>
      <c r="K174" s="25">
        <f>IF(J174="","",J174*100)</f>
        <v>0</v>
      </c>
      <c r="L174" s="25">
        <f>IF(B174="","",IFERROR(AVERAGEIFS('Grocery Spending'!$L$5:$L$404,'Grocery Spending'!$H$5:$H$404,B174,'Grocery Spending'!$L$5:$L$404,"&gt;0"),""))</f>
        <v>0</v>
      </c>
      <c r="M174" s="25">
        <f>IF(B174="","",IF(COUNTIFS('Store Prices'!$B$5:$B$304,B174)=0,"",IF(SUMPRODUCT(MIN((('Store Prices'!$B$5:$B$304=B174)*(IFERROR('Store Prices'!$I$5:$I$304*1,0)&gt;0))*IFERROR('Store Prices'!$I$5:$I$304*1,0)+(1-(('Store Prices'!$B$5:$B$304=B174)*(IFERROR('Store Prices'!$I$5:$I$304*1,0)&gt;0)))*999999))&gt;=999999,"",SUMPRODUCT(MIN((('Store Prices'!$B$5:$B$304=B174)*(IFERROR('Store Prices'!$I$5:$I$304*1,0)&gt;0))*IFERROR('Store Prices'!$I$5:$I$304*1,0)+(1-(('Store Prices'!$B$5:$B$304=B174)*(IFERROR('Store Prices'!$I$5:$I$304*1,0)&gt;0)))*999999)))))</f>
        <v>0</v>
      </c>
      <c r="N174" s="17">
        <f>IF(M174="","",IFERROR(INDEX('Store Prices'!$C$5:$C$304,MATCH(1,INDEX(('Store Prices'!$B$5:$B$304=B174)*('Store Prices'!$I$5:$I$304=M174),0),0)),""))</f>
        <v>0</v>
      </c>
      <c r="O174" s="25">
        <f>IF(OR(M174="",J174=""),"",MAX(0,(J174-M174)*100))</f>
        <v>0</v>
      </c>
      <c r="AD174" s="45">
        <f>IF(B174="","",SUMIFS(Pantry!$G$5:$G$304,Pantry!$B$5:$B$304,B174))</f>
        <v>0</v>
      </c>
      <c r="AE174" s="25">
        <f>IF(OR(AD174="",J174=""),"",AD174*J174)</f>
        <v>0</v>
      </c>
      <c r="AF174" s="18">
        <f>IF(B174="","",COUNTIFS('Recipe Ingredients'!$D$5:$D$1204,B174))</f>
        <v>0</v>
      </c>
      <c r="AG174" s="45">
        <f>IF(B174="","",SUMIFS('Recipe Ingredients'!$Y$5:$Y$1204,'Recipe Ingredients'!$D$5:$D$1204,B174))</f>
        <v>0</v>
      </c>
      <c r="AH174" s="30">
        <f>IF(B174="",0,IFERROR(K174*1,0)*IFERROR(AF174*1,0))</f>
        <v>0</v>
      </c>
      <c r="AI174" s="18">
        <f>IF(B174="","",COUNTIFS($AH$5:$AH$304,"&gt;"&amp;AH174)+COUNTIFS($AH$5:AH174,AH174))</f>
        <v>0</v>
      </c>
      <c r="AJ174" s="18">
        <f>IF(B174="",0,COUNTIFS('Food Waste'!$E$5:$E$154,B174))</f>
        <v>0</v>
      </c>
      <c r="AK174" s="18">
        <f>IF(B174="","",COUNTIFS($AJ$5:$AJ$304,"&gt;"&amp;AJ174)+COUNTIFS($AJ$5:AJ174,AJ174))</f>
        <v>0</v>
      </c>
      <c r="AL174" s="18">
        <f>IF(B174="","",IF(AG174&gt;0,COUNTIF(AG$5:AG174,"&gt;0"),""))</f>
        <v>0</v>
      </c>
      <c r="AM174" s="45">
        <f>IF(B174="","",SUMIFS('Grocery List'!$Q$5:$Q$304,'Grocery List'!$B$5:$B$304,B174))</f>
        <v>0</v>
      </c>
      <c r="AN174" s="31">
        <f>IF(B174="","",IF(I174="","Add - no price yet",IF(H174="","Add - no pack size",IF(COUNTIFS($B$5:$B$304,B174)&gt;1,"Duplicate - same name twice",IF(AF174=0,"Check - no recipe uses it","OK")))))</f>
        <v>0</v>
      </c>
    </row>
    <row r="175" spans="1:40">
      <c r="A175" s="39">
        <f>IF(B175="","",IngredientPrefix&amp;TEXT(ROW()-4,"0000"))</f>
        <v>0</v>
      </c>
      <c r="J175" s="25">
        <f>IF(OR(H175="",I175=""),"",IF(H175=0,"",I175/H175))</f>
        <v>0</v>
      </c>
      <c r="K175" s="25">
        <f>IF(J175="","",J175*100)</f>
        <v>0</v>
      </c>
      <c r="L175" s="25">
        <f>IF(B175="","",IFERROR(AVERAGEIFS('Grocery Spending'!$L$5:$L$404,'Grocery Spending'!$H$5:$H$404,B175,'Grocery Spending'!$L$5:$L$404,"&gt;0"),""))</f>
        <v>0</v>
      </c>
      <c r="M175" s="25">
        <f>IF(B175="","",IF(COUNTIFS('Store Prices'!$B$5:$B$304,B175)=0,"",IF(SUMPRODUCT(MIN((('Store Prices'!$B$5:$B$304=B175)*(IFERROR('Store Prices'!$I$5:$I$304*1,0)&gt;0))*IFERROR('Store Prices'!$I$5:$I$304*1,0)+(1-(('Store Prices'!$B$5:$B$304=B175)*(IFERROR('Store Prices'!$I$5:$I$304*1,0)&gt;0)))*999999))&gt;=999999,"",SUMPRODUCT(MIN((('Store Prices'!$B$5:$B$304=B175)*(IFERROR('Store Prices'!$I$5:$I$304*1,0)&gt;0))*IFERROR('Store Prices'!$I$5:$I$304*1,0)+(1-(('Store Prices'!$B$5:$B$304=B175)*(IFERROR('Store Prices'!$I$5:$I$304*1,0)&gt;0)))*999999)))))</f>
        <v>0</v>
      </c>
      <c r="N175" s="17">
        <f>IF(M175="","",IFERROR(INDEX('Store Prices'!$C$5:$C$304,MATCH(1,INDEX(('Store Prices'!$B$5:$B$304=B175)*('Store Prices'!$I$5:$I$304=M175),0),0)),""))</f>
        <v>0</v>
      </c>
      <c r="O175" s="25">
        <f>IF(OR(M175="",J175=""),"",MAX(0,(J175-M175)*100))</f>
        <v>0</v>
      </c>
      <c r="AD175" s="45">
        <f>IF(B175="","",SUMIFS(Pantry!$G$5:$G$304,Pantry!$B$5:$B$304,B175))</f>
        <v>0</v>
      </c>
      <c r="AE175" s="25">
        <f>IF(OR(AD175="",J175=""),"",AD175*J175)</f>
        <v>0</v>
      </c>
      <c r="AF175" s="18">
        <f>IF(B175="","",COUNTIFS('Recipe Ingredients'!$D$5:$D$1204,B175))</f>
        <v>0</v>
      </c>
      <c r="AG175" s="45">
        <f>IF(B175="","",SUMIFS('Recipe Ingredients'!$Y$5:$Y$1204,'Recipe Ingredients'!$D$5:$D$1204,B175))</f>
        <v>0</v>
      </c>
      <c r="AH175" s="30">
        <f>IF(B175="",0,IFERROR(K175*1,0)*IFERROR(AF175*1,0))</f>
        <v>0</v>
      </c>
      <c r="AI175" s="18">
        <f>IF(B175="","",COUNTIFS($AH$5:$AH$304,"&gt;"&amp;AH175)+COUNTIFS($AH$5:AH175,AH175))</f>
        <v>0</v>
      </c>
      <c r="AJ175" s="18">
        <f>IF(B175="",0,COUNTIFS('Food Waste'!$E$5:$E$154,B175))</f>
        <v>0</v>
      </c>
      <c r="AK175" s="18">
        <f>IF(B175="","",COUNTIFS($AJ$5:$AJ$304,"&gt;"&amp;AJ175)+COUNTIFS($AJ$5:AJ175,AJ175))</f>
        <v>0</v>
      </c>
      <c r="AL175" s="18">
        <f>IF(B175="","",IF(AG175&gt;0,COUNTIF(AG$5:AG175,"&gt;0"),""))</f>
        <v>0</v>
      </c>
      <c r="AM175" s="45">
        <f>IF(B175="","",SUMIFS('Grocery List'!$Q$5:$Q$304,'Grocery List'!$B$5:$B$304,B175))</f>
        <v>0</v>
      </c>
      <c r="AN175" s="31">
        <f>IF(B175="","",IF(I175="","Add - no price yet",IF(H175="","Add - no pack size",IF(COUNTIFS($B$5:$B$304,B175)&gt;1,"Duplicate - same name twice",IF(AF175=0,"Check - no recipe uses it","OK")))))</f>
        <v>0</v>
      </c>
    </row>
    <row r="176" spans="1:40">
      <c r="A176" s="39">
        <f>IF(B176="","",IngredientPrefix&amp;TEXT(ROW()-4,"0000"))</f>
        <v>0</v>
      </c>
      <c r="J176" s="25">
        <f>IF(OR(H176="",I176=""),"",IF(H176=0,"",I176/H176))</f>
        <v>0</v>
      </c>
      <c r="K176" s="25">
        <f>IF(J176="","",J176*100)</f>
        <v>0</v>
      </c>
      <c r="L176" s="25">
        <f>IF(B176="","",IFERROR(AVERAGEIFS('Grocery Spending'!$L$5:$L$404,'Grocery Spending'!$H$5:$H$404,B176,'Grocery Spending'!$L$5:$L$404,"&gt;0"),""))</f>
        <v>0</v>
      </c>
      <c r="M176" s="25">
        <f>IF(B176="","",IF(COUNTIFS('Store Prices'!$B$5:$B$304,B176)=0,"",IF(SUMPRODUCT(MIN((('Store Prices'!$B$5:$B$304=B176)*(IFERROR('Store Prices'!$I$5:$I$304*1,0)&gt;0))*IFERROR('Store Prices'!$I$5:$I$304*1,0)+(1-(('Store Prices'!$B$5:$B$304=B176)*(IFERROR('Store Prices'!$I$5:$I$304*1,0)&gt;0)))*999999))&gt;=999999,"",SUMPRODUCT(MIN((('Store Prices'!$B$5:$B$304=B176)*(IFERROR('Store Prices'!$I$5:$I$304*1,0)&gt;0))*IFERROR('Store Prices'!$I$5:$I$304*1,0)+(1-(('Store Prices'!$B$5:$B$304=B176)*(IFERROR('Store Prices'!$I$5:$I$304*1,0)&gt;0)))*999999)))))</f>
        <v>0</v>
      </c>
      <c r="N176" s="17">
        <f>IF(M176="","",IFERROR(INDEX('Store Prices'!$C$5:$C$304,MATCH(1,INDEX(('Store Prices'!$B$5:$B$304=B176)*('Store Prices'!$I$5:$I$304=M176),0),0)),""))</f>
        <v>0</v>
      </c>
      <c r="O176" s="25">
        <f>IF(OR(M176="",J176=""),"",MAX(0,(J176-M176)*100))</f>
        <v>0</v>
      </c>
      <c r="AD176" s="45">
        <f>IF(B176="","",SUMIFS(Pantry!$G$5:$G$304,Pantry!$B$5:$B$304,B176))</f>
        <v>0</v>
      </c>
      <c r="AE176" s="25">
        <f>IF(OR(AD176="",J176=""),"",AD176*J176)</f>
        <v>0</v>
      </c>
      <c r="AF176" s="18">
        <f>IF(B176="","",COUNTIFS('Recipe Ingredients'!$D$5:$D$1204,B176))</f>
        <v>0</v>
      </c>
      <c r="AG176" s="45">
        <f>IF(B176="","",SUMIFS('Recipe Ingredients'!$Y$5:$Y$1204,'Recipe Ingredients'!$D$5:$D$1204,B176))</f>
        <v>0</v>
      </c>
      <c r="AH176" s="30">
        <f>IF(B176="",0,IFERROR(K176*1,0)*IFERROR(AF176*1,0))</f>
        <v>0</v>
      </c>
      <c r="AI176" s="18">
        <f>IF(B176="","",COUNTIFS($AH$5:$AH$304,"&gt;"&amp;AH176)+COUNTIFS($AH$5:AH176,AH176))</f>
        <v>0</v>
      </c>
      <c r="AJ176" s="18">
        <f>IF(B176="",0,COUNTIFS('Food Waste'!$E$5:$E$154,B176))</f>
        <v>0</v>
      </c>
      <c r="AK176" s="18">
        <f>IF(B176="","",COUNTIFS($AJ$5:$AJ$304,"&gt;"&amp;AJ176)+COUNTIFS($AJ$5:AJ176,AJ176))</f>
        <v>0</v>
      </c>
      <c r="AL176" s="18">
        <f>IF(B176="","",IF(AG176&gt;0,COUNTIF(AG$5:AG176,"&gt;0"),""))</f>
        <v>0</v>
      </c>
      <c r="AM176" s="45">
        <f>IF(B176="","",SUMIFS('Grocery List'!$Q$5:$Q$304,'Grocery List'!$B$5:$B$304,B176))</f>
        <v>0</v>
      </c>
      <c r="AN176" s="31">
        <f>IF(B176="","",IF(I176="","Add - no price yet",IF(H176="","Add - no pack size",IF(COUNTIFS($B$5:$B$304,B176)&gt;1,"Duplicate - same name twice",IF(AF176=0,"Check - no recipe uses it","OK")))))</f>
        <v>0</v>
      </c>
    </row>
    <row r="177" spans="1:40">
      <c r="A177" s="39">
        <f>IF(B177="","",IngredientPrefix&amp;TEXT(ROW()-4,"0000"))</f>
        <v>0</v>
      </c>
      <c r="J177" s="25">
        <f>IF(OR(H177="",I177=""),"",IF(H177=0,"",I177/H177))</f>
        <v>0</v>
      </c>
      <c r="K177" s="25">
        <f>IF(J177="","",J177*100)</f>
        <v>0</v>
      </c>
      <c r="L177" s="25">
        <f>IF(B177="","",IFERROR(AVERAGEIFS('Grocery Spending'!$L$5:$L$404,'Grocery Spending'!$H$5:$H$404,B177,'Grocery Spending'!$L$5:$L$404,"&gt;0"),""))</f>
        <v>0</v>
      </c>
      <c r="M177" s="25">
        <f>IF(B177="","",IF(COUNTIFS('Store Prices'!$B$5:$B$304,B177)=0,"",IF(SUMPRODUCT(MIN((('Store Prices'!$B$5:$B$304=B177)*(IFERROR('Store Prices'!$I$5:$I$304*1,0)&gt;0))*IFERROR('Store Prices'!$I$5:$I$304*1,0)+(1-(('Store Prices'!$B$5:$B$304=B177)*(IFERROR('Store Prices'!$I$5:$I$304*1,0)&gt;0)))*999999))&gt;=999999,"",SUMPRODUCT(MIN((('Store Prices'!$B$5:$B$304=B177)*(IFERROR('Store Prices'!$I$5:$I$304*1,0)&gt;0))*IFERROR('Store Prices'!$I$5:$I$304*1,0)+(1-(('Store Prices'!$B$5:$B$304=B177)*(IFERROR('Store Prices'!$I$5:$I$304*1,0)&gt;0)))*999999)))))</f>
        <v>0</v>
      </c>
      <c r="N177" s="17">
        <f>IF(M177="","",IFERROR(INDEX('Store Prices'!$C$5:$C$304,MATCH(1,INDEX(('Store Prices'!$B$5:$B$304=B177)*('Store Prices'!$I$5:$I$304=M177),0),0)),""))</f>
        <v>0</v>
      </c>
      <c r="O177" s="25">
        <f>IF(OR(M177="",J177=""),"",MAX(0,(J177-M177)*100))</f>
        <v>0</v>
      </c>
      <c r="AD177" s="45">
        <f>IF(B177="","",SUMIFS(Pantry!$G$5:$G$304,Pantry!$B$5:$B$304,B177))</f>
        <v>0</v>
      </c>
      <c r="AE177" s="25">
        <f>IF(OR(AD177="",J177=""),"",AD177*J177)</f>
        <v>0</v>
      </c>
      <c r="AF177" s="18">
        <f>IF(B177="","",COUNTIFS('Recipe Ingredients'!$D$5:$D$1204,B177))</f>
        <v>0</v>
      </c>
      <c r="AG177" s="45">
        <f>IF(B177="","",SUMIFS('Recipe Ingredients'!$Y$5:$Y$1204,'Recipe Ingredients'!$D$5:$D$1204,B177))</f>
        <v>0</v>
      </c>
      <c r="AH177" s="30">
        <f>IF(B177="",0,IFERROR(K177*1,0)*IFERROR(AF177*1,0))</f>
        <v>0</v>
      </c>
      <c r="AI177" s="18">
        <f>IF(B177="","",COUNTIFS($AH$5:$AH$304,"&gt;"&amp;AH177)+COUNTIFS($AH$5:AH177,AH177))</f>
        <v>0</v>
      </c>
      <c r="AJ177" s="18">
        <f>IF(B177="",0,COUNTIFS('Food Waste'!$E$5:$E$154,B177))</f>
        <v>0</v>
      </c>
      <c r="AK177" s="18">
        <f>IF(B177="","",COUNTIFS($AJ$5:$AJ$304,"&gt;"&amp;AJ177)+COUNTIFS($AJ$5:AJ177,AJ177))</f>
        <v>0</v>
      </c>
      <c r="AL177" s="18">
        <f>IF(B177="","",IF(AG177&gt;0,COUNTIF(AG$5:AG177,"&gt;0"),""))</f>
        <v>0</v>
      </c>
      <c r="AM177" s="45">
        <f>IF(B177="","",SUMIFS('Grocery List'!$Q$5:$Q$304,'Grocery List'!$B$5:$B$304,B177))</f>
        <v>0</v>
      </c>
      <c r="AN177" s="31">
        <f>IF(B177="","",IF(I177="","Add - no price yet",IF(H177="","Add - no pack size",IF(COUNTIFS($B$5:$B$304,B177)&gt;1,"Duplicate - same name twice",IF(AF177=0,"Check - no recipe uses it","OK")))))</f>
        <v>0</v>
      </c>
    </row>
    <row r="178" spans="1:40">
      <c r="A178" s="39">
        <f>IF(B178="","",IngredientPrefix&amp;TEXT(ROW()-4,"0000"))</f>
        <v>0</v>
      </c>
      <c r="J178" s="25">
        <f>IF(OR(H178="",I178=""),"",IF(H178=0,"",I178/H178))</f>
        <v>0</v>
      </c>
      <c r="K178" s="25">
        <f>IF(J178="","",J178*100)</f>
        <v>0</v>
      </c>
      <c r="L178" s="25">
        <f>IF(B178="","",IFERROR(AVERAGEIFS('Grocery Spending'!$L$5:$L$404,'Grocery Spending'!$H$5:$H$404,B178,'Grocery Spending'!$L$5:$L$404,"&gt;0"),""))</f>
        <v>0</v>
      </c>
      <c r="M178" s="25">
        <f>IF(B178="","",IF(COUNTIFS('Store Prices'!$B$5:$B$304,B178)=0,"",IF(SUMPRODUCT(MIN((('Store Prices'!$B$5:$B$304=B178)*(IFERROR('Store Prices'!$I$5:$I$304*1,0)&gt;0))*IFERROR('Store Prices'!$I$5:$I$304*1,0)+(1-(('Store Prices'!$B$5:$B$304=B178)*(IFERROR('Store Prices'!$I$5:$I$304*1,0)&gt;0)))*999999))&gt;=999999,"",SUMPRODUCT(MIN((('Store Prices'!$B$5:$B$304=B178)*(IFERROR('Store Prices'!$I$5:$I$304*1,0)&gt;0))*IFERROR('Store Prices'!$I$5:$I$304*1,0)+(1-(('Store Prices'!$B$5:$B$304=B178)*(IFERROR('Store Prices'!$I$5:$I$304*1,0)&gt;0)))*999999)))))</f>
        <v>0</v>
      </c>
      <c r="N178" s="17">
        <f>IF(M178="","",IFERROR(INDEX('Store Prices'!$C$5:$C$304,MATCH(1,INDEX(('Store Prices'!$B$5:$B$304=B178)*('Store Prices'!$I$5:$I$304=M178),0),0)),""))</f>
        <v>0</v>
      </c>
      <c r="O178" s="25">
        <f>IF(OR(M178="",J178=""),"",MAX(0,(J178-M178)*100))</f>
        <v>0</v>
      </c>
      <c r="AD178" s="45">
        <f>IF(B178="","",SUMIFS(Pantry!$G$5:$G$304,Pantry!$B$5:$B$304,B178))</f>
        <v>0</v>
      </c>
      <c r="AE178" s="25">
        <f>IF(OR(AD178="",J178=""),"",AD178*J178)</f>
        <v>0</v>
      </c>
      <c r="AF178" s="18">
        <f>IF(B178="","",COUNTIFS('Recipe Ingredients'!$D$5:$D$1204,B178))</f>
        <v>0</v>
      </c>
      <c r="AG178" s="45">
        <f>IF(B178="","",SUMIFS('Recipe Ingredients'!$Y$5:$Y$1204,'Recipe Ingredients'!$D$5:$D$1204,B178))</f>
        <v>0</v>
      </c>
      <c r="AH178" s="30">
        <f>IF(B178="",0,IFERROR(K178*1,0)*IFERROR(AF178*1,0))</f>
        <v>0</v>
      </c>
      <c r="AI178" s="18">
        <f>IF(B178="","",COUNTIFS($AH$5:$AH$304,"&gt;"&amp;AH178)+COUNTIFS($AH$5:AH178,AH178))</f>
        <v>0</v>
      </c>
      <c r="AJ178" s="18">
        <f>IF(B178="",0,COUNTIFS('Food Waste'!$E$5:$E$154,B178))</f>
        <v>0</v>
      </c>
      <c r="AK178" s="18">
        <f>IF(B178="","",COUNTIFS($AJ$5:$AJ$304,"&gt;"&amp;AJ178)+COUNTIFS($AJ$5:AJ178,AJ178))</f>
        <v>0</v>
      </c>
      <c r="AL178" s="18">
        <f>IF(B178="","",IF(AG178&gt;0,COUNTIF(AG$5:AG178,"&gt;0"),""))</f>
        <v>0</v>
      </c>
      <c r="AM178" s="45">
        <f>IF(B178="","",SUMIFS('Grocery List'!$Q$5:$Q$304,'Grocery List'!$B$5:$B$304,B178))</f>
        <v>0</v>
      </c>
      <c r="AN178" s="31">
        <f>IF(B178="","",IF(I178="","Add - no price yet",IF(H178="","Add - no pack size",IF(COUNTIFS($B$5:$B$304,B178)&gt;1,"Duplicate - same name twice",IF(AF178=0,"Check - no recipe uses it","OK")))))</f>
        <v>0</v>
      </c>
    </row>
    <row r="179" spans="1:40">
      <c r="A179" s="39">
        <f>IF(B179="","",IngredientPrefix&amp;TEXT(ROW()-4,"0000"))</f>
        <v>0</v>
      </c>
      <c r="J179" s="25">
        <f>IF(OR(H179="",I179=""),"",IF(H179=0,"",I179/H179))</f>
        <v>0</v>
      </c>
      <c r="K179" s="25">
        <f>IF(J179="","",J179*100)</f>
        <v>0</v>
      </c>
      <c r="L179" s="25">
        <f>IF(B179="","",IFERROR(AVERAGEIFS('Grocery Spending'!$L$5:$L$404,'Grocery Spending'!$H$5:$H$404,B179,'Grocery Spending'!$L$5:$L$404,"&gt;0"),""))</f>
        <v>0</v>
      </c>
      <c r="M179" s="25">
        <f>IF(B179="","",IF(COUNTIFS('Store Prices'!$B$5:$B$304,B179)=0,"",IF(SUMPRODUCT(MIN((('Store Prices'!$B$5:$B$304=B179)*(IFERROR('Store Prices'!$I$5:$I$304*1,0)&gt;0))*IFERROR('Store Prices'!$I$5:$I$304*1,0)+(1-(('Store Prices'!$B$5:$B$304=B179)*(IFERROR('Store Prices'!$I$5:$I$304*1,0)&gt;0)))*999999))&gt;=999999,"",SUMPRODUCT(MIN((('Store Prices'!$B$5:$B$304=B179)*(IFERROR('Store Prices'!$I$5:$I$304*1,0)&gt;0))*IFERROR('Store Prices'!$I$5:$I$304*1,0)+(1-(('Store Prices'!$B$5:$B$304=B179)*(IFERROR('Store Prices'!$I$5:$I$304*1,0)&gt;0)))*999999)))))</f>
        <v>0</v>
      </c>
      <c r="N179" s="17">
        <f>IF(M179="","",IFERROR(INDEX('Store Prices'!$C$5:$C$304,MATCH(1,INDEX(('Store Prices'!$B$5:$B$304=B179)*('Store Prices'!$I$5:$I$304=M179),0),0)),""))</f>
        <v>0</v>
      </c>
      <c r="O179" s="25">
        <f>IF(OR(M179="",J179=""),"",MAX(0,(J179-M179)*100))</f>
        <v>0</v>
      </c>
      <c r="AD179" s="45">
        <f>IF(B179="","",SUMIFS(Pantry!$G$5:$G$304,Pantry!$B$5:$B$304,B179))</f>
        <v>0</v>
      </c>
      <c r="AE179" s="25">
        <f>IF(OR(AD179="",J179=""),"",AD179*J179)</f>
        <v>0</v>
      </c>
      <c r="AF179" s="18">
        <f>IF(B179="","",COUNTIFS('Recipe Ingredients'!$D$5:$D$1204,B179))</f>
        <v>0</v>
      </c>
      <c r="AG179" s="45">
        <f>IF(B179="","",SUMIFS('Recipe Ingredients'!$Y$5:$Y$1204,'Recipe Ingredients'!$D$5:$D$1204,B179))</f>
        <v>0</v>
      </c>
      <c r="AH179" s="30">
        <f>IF(B179="",0,IFERROR(K179*1,0)*IFERROR(AF179*1,0))</f>
        <v>0</v>
      </c>
      <c r="AI179" s="18">
        <f>IF(B179="","",COUNTIFS($AH$5:$AH$304,"&gt;"&amp;AH179)+COUNTIFS($AH$5:AH179,AH179))</f>
        <v>0</v>
      </c>
      <c r="AJ179" s="18">
        <f>IF(B179="",0,COUNTIFS('Food Waste'!$E$5:$E$154,B179))</f>
        <v>0</v>
      </c>
      <c r="AK179" s="18">
        <f>IF(B179="","",COUNTIFS($AJ$5:$AJ$304,"&gt;"&amp;AJ179)+COUNTIFS($AJ$5:AJ179,AJ179))</f>
        <v>0</v>
      </c>
      <c r="AL179" s="18">
        <f>IF(B179="","",IF(AG179&gt;0,COUNTIF(AG$5:AG179,"&gt;0"),""))</f>
        <v>0</v>
      </c>
      <c r="AM179" s="45">
        <f>IF(B179="","",SUMIFS('Grocery List'!$Q$5:$Q$304,'Grocery List'!$B$5:$B$304,B179))</f>
        <v>0</v>
      </c>
      <c r="AN179" s="31">
        <f>IF(B179="","",IF(I179="","Add - no price yet",IF(H179="","Add - no pack size",IF(COUNTIFS($B$5:$B$304,B179)&gt;1,"Duplicate - same name twice",IF(AF179=0,"Check - no recipe uses it","OK")))))</f>
        <v>0</v>
      </c>
    </row>
    <row r="180" spans="1:40">
      <c r="A180" s="39">
        <f>IF(B180="","",IngredientPrefix&amp;TEXT(ROW()-4,"0000"))</f>
        <v>0</v>
      </c>
      <c r="J180" s="25">
        <f>IF(OR(H180="",I180=""),"",IF(H180=0,"",I180/H180))</f>
        <v>0</v>
      </c>
      <c r="K180" s="25">
        <f>IF(J180="","",J180*100)</f>
        <v>0</v>
      </c>
      <c r="L180" s="25">
        <f>IF(B180="","",IFERROR(AVERAGEIFS('Grocery Spending'!$L$5:$L$404,'Grocery Spending'!$H$5:$H$404,B180,'Grocery Spending'!$L$5:$L$404,"&gt;0"),""))</f>
        <v>0</v>
      </c>
      <c r="M180" s="25">
        <f>IF(B180="","",IF(COUNTIFS('Store Prices'!$B$5:$B$304,B180)=0,"",IF(SUMPRODUCT(MIN((('Store Prices'!$B$5:$B$304=B180)*(IFERROR('Store Prices'!$I$5:$I$304*1,0)&gt;0))*IFERROR('Store Prices'!$I$5:$I$304*1,0)+(1-(('Store Prices'!$B$5:$B$304=B180)*(IFERROR('Store Prices'!$I$5:$I$304*1,0)&gt;0)))*999999))&gt;=999999,"",SUMPRODUCT(MIN((('Store Prices'!$B$5:$B$304=B180)*(IFERROR('Store Prices'!$I$5:$I$304*1,0)&gt;0))*IFERROR('Store Prices'!$I$5:$I$304*1,0)+(1-(('Store Prices'!$B$5:$B$304=B180)*(IFERROR('Store Prices'!$I$5:$I$304*1,0)&gt;0)))*999999)))))</f>
        <v>0</v>
      </c>
      <c r="N180" s="17">
        <f>IF(M180="","",IFERROR(INDEX('Store Prices'!$C$5:$C$304,MATCH(1,INDEX(('Store Prices'!$B$5:$B$304=B180)*('Store Prices'!$I$5:$I$304=M180),0),0)),""))</f>
        <v>0</v>
      </c>
      <c r="O180" s="25">
        <f>IF(OR(M180="",J180=""),"",MAX(0,(J180-M180)*100))</f>
        <v>0</v>
      </c>
      <c r="AD180" s="45">
        <f>IF(B180="","",SUMIFS(Pantry!$G$5:$G$304,Pantry!$B$5:$B$304,B180))</f>
        <v>0</v>
      </c>
      <c r="AE180" s="25">
        <f>IF(OR(AD180="",J180=""),"",AD180*J180)</f>
        <v>0</v>
      </c>
      <c r="AF180" s="18">
        <f>IF(B180="","",COUNTIFS('Recipe Ingredients'!$D$5:$D$1204,B180))</f>
        <v>0</v>
      </c>
      <c r="AG180" s="45">
        <f>IF(B180="","",SUMIFS('Recipe Ingredients'!$Y$5:$Y$1204,'Recipe Ingredients'!$D$5:$D$1204,B180))</f>
        <v>0</v>
      </c>
      <c r="AH180" s="30">
        <f>IF(B180="",0,IFERROR(K180*1,0)*IFERROR(AF180*1,0))</f>
        <v>0</v>
      </c>
      <c r="AI180" s="18">
        <f>IF(B180="","",COUNTIFS($AH$5:$AH$304,"&gt;"&amp;AH180)+COUNTIFS($AH$5:AH180,AH180))</f>
        <v>0</v>
      </c>
      <c r="AJ180" s="18">
        <f>IF(B180="",0,COUNTIFS('Food Waste'!$E$5:$E$154,B180))</f>
        <v>0</v>
      </c>
      <c r="AK180" s="18">
        <f>IF(B180="","",COUNTIFS($AJ$5:$AJ$304,"&gt;"&amp;AJ180)+COUNTIFS($AJ$5:AJ180,AJ180))</f>
        <v>0</v>
      </c>
      <c r="AL180" s="18">
        <f>IF(B180="","",IF(AG180&gt;0,COUNTIF(AG$5:AG180,"&gt;0"),""))</f>
        <v>0</v>
      </c>
      <c r="AM180" s="45">
        <f>IF(B180="","",SUMIFS('Grocery List'!$Q$5:$Q$304,'Grocery List'!$B$5:$B$304,B180))</f>
        <v>0</v>
      </c>
      <c r="AN180" s="31">
        <f>IF(B180="","",IF(I180="","Add - no price yet",IF(H180="","Add - no pack size",IF(COUNTIFS($B$5:$B$304,B180)&gt;1,"Duplicate - same name twice",IF(AF180=0,"Check - no recipe uses it","OK")))))</f>
        <v>0</v>
      </c>
    </row>
    <row r="181" spans="1:40">
      <c r="A181" s="39">
        <f>IF(B181="","",IngredientPrefix&amp;TEXT(ROW()-4,"0000"))</f>
        <v>0</v>
      </c>
      <c r="J181" s="25">
        <f>IF(OR(H181="",I181=""),"",IF(H181=0,"",I181/H181))</f>
        <v>0</v>
      </c>
      <c r="K181" s="25">
        <f>IF(J181="","",J181*100)</f>
        <v>0</v>
      </c>
      <c r="L181" s="25">
        <f>IF(B181="","",IFERROR(AVERAGEIFS('Grocery Spending'!$L$5:$L$404,'Grocery Spending'!$H$5:$H$404,B181,'Grocery Spending'!$L$5:$L$404,"&gt;0"),""))</f>
        <v>0</v>
      </c>
      <c r="M181" s="25">
        <f>IF(B181="","",IF(COUNTIFS('Store Prices'!$B$5:$B$304,B181)=0,"",IF(SUMPRODUCT(MIN((('Store Prices'!$B$5:$B$304=B181)*(IFERROR('Store Prices'!$I$5:$I$304*1,0)&gt;0))*IFERROR('Store Prices'!$I$5:$I$304*1,0)+(1-(('Store Prices'!$B$5:$B$304=B181)*(IFERROR('Store Prices'!$I$5:$I$304*1,0)&gt;0)))*999999))&gt;=999999,"",SUMPRODUCT(MIN((('Store Prices'!$B$5:$B$304=B181)*(IFERROR('Store Prices'!$I$5:$I$304*1,0)&gt;0))*IFERROR('Store Prices'!$I$5:$I$304*1,0)+(1-(('Store Prices'!$B$5:$B$304=B181)*(IFERROR('Store Prices'!$I$5:$I$304*1,0)&gt;0)))*999999)))))</f>
        <v>0</v>
      </c>
      <c r="N181" s="17">
        <f>IF(M181="","",IFERROR(INDEX('Store Prices'!$C$5:$C$304,MATCH(1,INDEX(('Store Prices'!$B$5:$B$304=B181)*('Store Prices'!$I$5:$I$304=M181),0),0)),""))</f>
        <v>0</v>
      </c>
      <c r="O181" s="25">
        <f>IF(OR(M181="",J181=""),"",MAX(0,(J181-M181)*100))</f>
        <v>0</v>
      </c>
      <c r="AD181" s="45">
        <f>IF(B181="","",SUMIFS(Pantry!$G$5:$G$304,Pantry!$B$5:$B$304,B181))</f>
        <v>0</v>
      </c>
      <c r="AE181" s="25">
        <f>IF(OR(AD181="",J181=""),"",AD181*J181)</f>
        <v>0</v>
      </c>
      <c r="AF181" s="18">
        <f>IF(B181="","",COUNTIFS('Recipe Ingredients'!$D$5:$D$1204,B181))</f>
        <v>0</v>
      </c>
      <c r="AG181" s="45">
        <f>IF(B181="","",SUMIFS('Recipe Ingredients'!$Y$5:$Y$1204,'Recipe Ingredients'!$D$5:$D$1204,B181))</f>
        <v>0</v>
      </c>
      <c r="AH181" s="30">
        <f>IF(B181="",0,IFERROR(K181*1,0)*IFERROR(AF181*1,0))</f>
        <v>0</v>
      </c>
      <c r="AI181" s="18">
        <f>IF(B181="","",COUNTIFS($AH$5:$AH$304,"&gt;"&amp;AH181)+COUNTIFS($AH$5:AH181,AH181))</f>
        <v>0</v>
      </c>
      <c r="AJ181" s="18">
        <f>IF(B181="",0,COUNTIFS('Food Waste'!$E$5:$E$154,B181))</f>
        <v>0</v>
      </c>
      <c r="AK181" s="18">
        <f>IF(B181="","",COUNTIFS($AJ$5:$AJ$304,"&gt;"&amp;AJ181)+COUNTIFS($AJ$5:AJ181,AJ181))</f>
        <v>0</v>
      </c>
      <c r="AL181" s="18">
        <f>IF(B181="","",IF(AG181&gt;0,COUNTIF(AG$5:AG181,"&gt;0"),""))</f>
        <v>0</v>
      </c>
      <c r="AM181" s="45">
        <f>IF(B181="","",SUMIFS('Grocery List'!$Q$5:$Q$304,'Grocery List'!$B$5:$B$304,B181))</f>
        <v>0</v>
      </c>
      <c r="AN181" s="31">
        <f>IF(B181="","",IF(I181="","Add - no price yet",IF(H181="","Add - no pack size",IF(COUNTIFS($B$5:$B$304,B181)&gt;1,"Duplicate - same name twice",IF(AF181=0,"Check - no recipe uses it","OK")))))</f>
        <v>0</v>
      </c>
    </row>
    <row r="182" spans="1:40">
      <c r="A182" s="39">
        <f>IF(B182="","",IngredientPrefix&amp;TEXT(ROW()-4,"0000"))</f>
        <v>0</v>
      </c>
      <c r="J182" s="25">
        <f>IF(OR(H182="",I182=""),"",IF(H182=0,"",I182/H182))</f>
        <v>0</v>
      </c>
      <c r="K182" s="25">
        <f>IF(J182="","",J182*100)</f>
        <v>0</v>
      </c>
      <c r="L182" s="25">
        <f>IF(B182="","",IFERROR(AVERAGEIFS('Grocery Spending'!$L$5:$L$404,'Grocery Spending'!$H$5:$H$404,B182,'Grocery Spending'!$L$5:$L$404,"&gt;0"),""))</f>
        <v>0</v>
      </c>
      <c r="M182" s="25">
        <f>IF(B182="","",IF(COUNTIFS('Store Prices'!$B$5:$B$304,B182)=0,"",IF(SUMPRODUCT(MIN((('Store Prices'!$B$5:$B$304=B182)*(IFERROR('Store Prices'!$I$5:$I$304*1,0)&gt;0))*IFERROR('Store Prices'!$I$5:$I$304*1,0)+(1-(('Store Prices'!$B$5:$B$304=B182)*(IFERROR('Store Prices'!$I$5:$I$304*1,0)&gt;0)))*999999))&gt;=999999,"",SUMPRODUCT(MIN((('Store Prices'!$B$5:$B$304=B182)*(IFERROR('Store Prices'!$I$5:$I$304*1,0)&gt;0))*IFERROR('Store Prices'!$I$5:$I$304*1,0)+(1-(('Store Prices'!$B$5:$B$304=B182)*(IFERROR('Store Prices'!$I$5:$I$304*1,0)&gt;0)))*999999)))))</f>
        <v>0</v>
      </c>
      <c r="N182" s="17">
        <f>IF(M182="","",IFERROR(INDEX('Store Prices'!$C$5:$C$304,MATCH(1,INDEX(('Store Prices'!$B$5:$B$304=B182)*('Store Prices'!$I$5:$I$304=M182),0),0)),""))</f>
        <v>0</v>
      </c>
      <c r="O182" s="25">
        <f>IF(OR(M182="",J182=""),"",MAX(0,(J182-M182)*100))</f>
        <v>0</v>
      </c>
      <c r="AD182" s="45">
        <f>IF(B182="","",SUMIFS(Pantry!$G$5:$G$304,Pantry!$B$5:$B$304,B182))</f>
        <v>0</v>
      </c>
      <c r="AE182" s="25">
        <f>IF(OR(AD182="",J182=""),"",AD182*J182)</f>
        <v>0</v>
      </c>
      <c r="AF182" s="18">
        <f>IF(B182="","",COUNTIFS('Recipe Ingredients'!$D$5:$D$1204,B182))</f>
        <v>0</v>
      </c>
      <c r="AG182" s="45">
        <f>IF(B182="","",SUMIFS('Recipe Ingredients'!$Y$5:$Y$1204,'Recipe Ingredients'!$D$5:$D$1204,B182))</f>
        <v>0</v>
      </c>
      <c r="AH182" s="30">
        <f>IF(B182="",0,IFERROR(K182*1,0)*IFERROR(AF182*1,0))</f>
        <v>0</v>
      </c>
      <c r="AI182" s="18">
        <f>IF(B182="","",COUNTIFS($AH$5:$AH$304,"&gt;"&amp;AH182)+COUNTIFS($AH$5:AH182,AH182))</f>
        <v>0</v>
      </c>
      <c r="AJ182" s="18">
        <f>IF(B182="",0,COUNTIFS('Food Waste'!$E$5:$E$154,B182))</f>
        <v>0</v>
      </c>
      <c r="AK182" s="18">
        <f>IF(B182="","",COUNTIFS($AJ$5:$AJ$304,"&gt;"&amp;AJ182)+COUNTIFS($AJ$5:AJ182,AJ182))</f>
        <v>0</v>
      </c>
      <c r="AL182" s="18">
        <f>IF(B182="","",IF(AG182&gt;0,COUNTIF(AG$5:AG182,"&gt;0"),""))</f>
        <v>0</v>
      </c>
      <c r="AM182" s="45">
        <f>IF(B182="","",SUMIFS('Grocery List'!$Q$5:$Q$304,'Grocery List'!$B$5:$B$304,B182))</f>
        <v>0</v>
      </c>
      <c r="AN182" s="31">
        <f>IF(B182="","",IF(I182="","Add - no price yet",IF(H182="","Add - no pack size",IF(COUNTIFS($B$5:$B$304,B182)&gt;1,"Duplicate - same name twice",IF(AF182=0,"Check - no recipe uses it","OK")))))</f>
        <v>0</v>
      </c>
    </row>
    <row r="183" spans="1:40">
      <c r="A183" s="39">
        <f>IF(B183="","",IngredientPrefix&amp;TEXT(ROW()-4,"0000"))</f>
        <v>0</v>
      </c>
      <c r="J183" s="25">
        <f>IF(OR(H183="",I183=""),"",IF(H183=0,"",I183/H183))</f>
        <v>0</v>
      </c>
      <c r="K183" s="25">
        <f>IF(J183="","",J183*100)</f>
        <v>0</v>
      </c>
      <c r="L183" s="25">
        <f>IF(B183="","",IFERROR(AVERAGEIFS('Grocery Spending'!$L$5:$L$404,'Grocery Spending'!$H$5:$H$404,B183,'Grocery Spending'!$L$5:$L$404,"&gt;0"),""))</f>
        <v>0</v>
      </c>
      <c r="M183" s="25">
        <f>IF(B183="","",IF(COUNTIFS('Store Prices'!$B$5:$B$304,B183)=0,"",IF(SUMPRODUCT(MIN((('Store Prices'!$B$5:$B$304=B183)*(IFERROR('Store Prices'!$I$5:$I$304*1,0)&gt;0))*IFERROR('Store Prices'!$I$5:$I$304*1,0)+(1-(('Store Prices'!$B$5:$B$304=B183)*(IFERROR('Store Prices'!$I$5:$I$304*1,0)&gt;0)))*999999))&gt;=999999,"",SUMPRODUCT(MIN((('Store Prices'!$B$5:$B$304=B183)*(IFERROR('Store Prices'!$I$5:$I$304*1,0)&gt;0))*IFERROR('Store Prices'!$I$5:$I$304*1,0)+(1-(('Store Prices'!$B$5:$B$304=B183)*(IFERROR('Store Prices'!$I$5:$I$304*1,0)&gt;0)))*999999)))))</f>
        <v>0</v>
      </c>
      <c r="N183" s="17">
        <f>IF(M183="","",IFERROR(INDEX('Store Prices'!$C$5:$C$304,MATCH(1,INDEX(('Store Prices'!$B$5:$B$304=B183)*('Store Prices'!$I$5:$I$304=M183),0),0)),""))</f>
        <v>0</v>
      </c>
      <c r="O183" s="25">
        <f>IF(OR(M183="",J183=""),"",MAX(0,(J183-M183)*100))</f>
        <v>0</v>
      </c>
      <c r="AD183" s="45">
        <f>IF(B183="","",SUMIFS(Pantry!$G$5:$G$304,Pantry!$B$5:$B$304,B183))</f>
        <v>0</v>
      </c>
      <c r="AE183" s="25">
        <f>IF(OR(AD183="",J183=""),"",AD183*J183)</f>
        <v>0</v>
      </c>
      <c r="AF183" s="18">
        <f>IF(B183="","",COUNTIFS('Recipe Ingredients'!$D$5:$D$1204,B183))</f>
        <v>0</v>
      </c>
      <c r="AG183" s="45">
        <f>IF(B183="","",SUMIFS('Recipe Ingredients'!$Y$5:$Y$1204,'Recipe Ingredients'!$D$5:$D$1204,B183))</f>
        <v>0</v>
      </c>
      <c r="AH183" s="30">
        <f>IF(B183="",0,IFERROR(K183*1,0)*IFERROR(AF183*1,0))</f>
        <v>0</v>
      </c>
      <c r="AI183" s="18">
        <f>IF(B183="","",COUNTIFS($AH$5:$AH$304,"&gt;"&amp;AH183)+COUNTIFS($AH$5:AH183,AH183))</f>
        <v>0</v>
      </c>
      <c r="AJ183" s="18">
        <f>IF(B183="",0,COUNTIFS('Food Waste'!$E$5:$E$154,B183))</f>
        <v>0</v>
      </c>
      <c r="AK183" s="18">
        <f>IF(B183="","",COUNTIFS($AJ$5:$AJ$304,"&gt;"&amp;AJ183)+COUNTIFS($AJ$5:AJ183,AJ183))</f>
        <v>0</v>
      </c>
      <c r="AL183" s="18">
        <f>IF(B183="","",IF(AG183&gt;0,COUNTIF(AG$5:AG183,"&gt;0"),""))</f>
        <v>0</v>
      </c>
      <c r="AM183" s="45">
        <f>IF(B183="","",SUMIFS('Grocery List'!$Q$5:$Q$304,'Grocery List'!$B$5:$B$304,B183))</f>
        <v>0</v>
      </c>
      <c r="AN183" s="31">
        <f>IF(B183="","",IF(I183="","Add - no price yet",IF(H183="","Add - no pack size",IF(COUNTIFS($B$5:$B$304,B183)&gt;1,"Duplicate - same name twice",IF(AF183=0,"Check - no recipe uses it","OK")))))</f>
        <v>0</v>
      </c>
    </row>
    <row r="184" spans="1:40">
      <c r="A184" s="39">
        <f>IF(B184="","",IngredientPrefix&amp;TEXT(ROW()-4,"0000"))</f>
        <v>0</v>
      </c>
      <c r="J184" s="25">
        <f>IF(OR(H184="",I184=""),"",IF(H184=0,"",I184/H184))</f>
        <v>0</v>
      </c>
      <c r="K184" s="25">
        <f>IF(J184="","",J184*100)</f>
        <v>0</v>
      </c>
      <c r="L184" s="25">
        <f>IF(B184="","",IFERROR(AVERAGEIFS('Grocery Spending'!$L$5:$L$404,'Grocery Spending'!$H$5:$H$404,B184,'Grocery Spending'!$L$5:$L$404,"&gt;0"),""))</f>
        <v>0</v>
      </c>
      <c r="M184" s="25">
        <f>IF(B184="","",IF(COUNTIFS('Store Prices'!$B$5:$B$304,B184)=0,"",IF(SUMPRODUCT(MIN((('Store Prices'!$B$5:$B$304=B184)*(IFERROR('Store Prices'!$I$5:$I$304*1,0)&gt;0))*IFERROR('Store Prices'!$I$5:$I$304*1,0)+(1-(('Store Prices'!$B$5:$B$304=B184)*(IFERROR('Store Prices'!$I$5:$I$304*1,0)&gt;0)))*999999))&gt;=999999,"",SUMPRODUCT(MIN((('Store Prices'!$B$5:$B$304=B184)*(IFERROR('Store Prices'!$I$5:$I$304*1,0)&gt;0))*IFERROR('Store Prices'!$I$5:$I$304*1,0)+(1-(('Store Prices'!$B$5:$B$304=B184)*(IFERROR('Store Prices'!$I$5:$I$304*1,0)&gt;0)))*999999)))))</f>
        <v>0</v>
      </c>
      <c r="N184" s="17">
        <f>IF(M184="","",IFERROR(INDEX('Store Prices'!$C$5:$C$304,MATCH(1,INDEX(('Store Prices'!$B$5:$B$304=B184)*('Store Prices'!$I$5:$I$304=M184),0),0)),""))</f>
        <v>0</v>
      </c>
      <c r="O184" s="25">
        <f>IF(OR(M184="",J184=""),"",MAX(0,(J184-M184)*100))</f>
        <v>0</v>
      </c>
      <c r="AD184" s="45">
        <f>IF(B184="","",SUMIFS(Pantry!$G$5:$G$304,Pantry!$B$5:$B$304,B184))</f>
        <v>0</v>
      </c>
      <c r="AE184" s="25">
        <f>IF(OR(AD184="",J184=""),"",AD184*J184)</f>
        <v>0</v>
      </c>
      <c r="AF184" s="18">
        <f>IF(B184="","",COUNTIFS('Recipe Ingredients'!$D$5:$D$1204,B184))</f>
        <v>0</v>
      </c>
      <c r="AG184" s="45">
        <f>IF(B184="","",SUMIFS('Recipe Ingredients'!$Y$5:$Y$1204,'Recipe Ingredients'!$D$5:$D$1204,B184))</f>
        <v>0</v>
      </c>
      <c r="AH184" s="30">
        <f>IF(B184="",0,IFERROR(K184*1,0)*IFERROR(AF184*1,0))</f>
        <v>0</v>
      </c>
      <c r="AI184" s="18">
        <f>IF(B184="","",COUNTIFS($AH$5:$AH$304,"&gt;"&amp;AH184)+COUNTIFS($AH$5:AH184,AH184))</f>
        <v>0</v>
      </c>
      <c r="AJ184" s="18">
        <f>IF(B184="",0,COUNTIFS('Food Waste'!$E$5:$E$154,B184))</f>
        <v>0</v>
      </c>
      <c r="AK184" s="18">
        <f>IF(B184="","",COUNTIFS($AJ$5:$AJ$304,"&gt;"&amp;AJ184)+COUNTIFS($AJ$5:AJ184,AJ184))</f>
        <v>0</v>
      </c>
      <c r="AL184" s="18">
        <f>IF(B184="","",IF(AG184&gt;0,COUNTIF(AG$5:AG184,"&gt;0"),""))</f>
        <v>0</v>
      </c>
      <c r="AM184" s="45">
        <f>IF(B184="","",SUMIFS('Grocery List'!$Q$5:$Q$304,'Grocery List'!$B$5:$B$304,B184))</f>
        <v>0</v>
      </c>
      <c r="AN184" s="31">
        <f>IF(B184="","",IF(I184="","Add - no price yet",IF(H184="","Add - no pack size",IF(COUNTIFS($B$5:$B$304,B184)&gt;1,"Duplicate - same name twice",IF(AF184=0,"Check - no recipe uses it","OK")))))</f>
        <v>0</v>
      </c>
    </row>
    <row r="185" spans="1:40">
      <c r="A185" s="39">
        <f>IF(B185="","",IngredientPrefix&amp;TEXT(ROW()-4,"0000"))</f>
        <v>0</v>
      </c>
      <c r="J185" s="25">
        <f>IF(OR(H185="",I185=""),"",IF(H185=0,"",I185/H185))</f>
        <v>0</v>
      </c>
      <c r="K185" s="25">
        <f>IF(J185="","",J185*100)</f>
        <v>0</v>
      </c>
      <c r="L185" s="25">
        <f>IF(B185="","",IFERROR(AVERAGEIFS('Grocery Spending'!$L$5:$L$404,'Grocery Spending'!$H$5:$H$404,B185,'Grocery Spending'!$L$5:$L$404,"&gt;0"),""))</f>
        <v>0</v>
      </c>
      <c r="M185" s="25">
        <f>IF(B185="","",IF(COUNTIFS('Store Prices'!$B$5:$B$304,B185)=0,"",IF(SUMPRODUCT(MIN((('Store Prices'!$B$5:$B$304=B185)*(IFERROR('Store Prices'!$I$5:$I$304*1,0)&gt;0))*IFERROR('Store Prices'!$I$5:$I$304*1,0)+(1-(('Store Prices'!$B$5:$B$304=B185)*(IFERROR('Store Prices'!$I$5:$I$304*1,0)&gt;0)))*999999))&gt;=999999,"",SUMPRODUCT(MIN((('Store Prices'!$B$5:$B$304=B185)*(IFERROR('Store Prices'!$I$5:$I$304*1,0)&gt;0))*IFERROR('Store Prices'!$I$5:$I$304*1,0)+(1-(('Store Prices'!$B$5:$B$304=B185)*(IFERROR('Store Prices'!$I$5:$I$304*1,0)&gt;0)))*999999)))))</f>
        <v>0</v>
      </c>
      <c r="N185" s="17">
        <f>IF(M185="","",IFERROR(INDEX('Store Prices'!$C$5:$C$304,MATCH(1,INDEX(('Store Prices'!$B$5:$B$304=B185)*('Store Prices'!$I$5:$I$304=M185),0),0)),""))</f>
        <v>0</v>
      </c>
      <c r="O185" s="25">
        <f>IF(OR(M185="",J185=""),"",MAX(0,(J185-M185)*100))</f>
        <v>0</v>
      </c>
      <c r="AD185" s="45">
        <f>IF(B185="","",SUMIFS(Pantry!$G$5:$G$304,Pantry!$B$5:$B$304,B185))</f>
        <v>0</v>
      </c>
      <c r="AE185" s="25">
        <f>IF(OR(AD185="",J185=""),"",AD185*J185)</f>
        <v>0</v>
      </c>
      <c r="AF185" s="18">
        <f>IF(B185="","",COUNTIFS('Recipe Ingredients'!$D$5:$D$1204,B185))</f>
        <v>0</v>
      </c>
      <c r="AG185" s="45">
        <f>IF(B185="","",SUMIFS('Recipe Ingredients'!$Y$5:$Y$1204,'Recipe Ingredients'!$D$5:$D$1204,B185))</f>
        <v>0</v>
      </c>
      <c r="AH185" s="30">
        <f>IF(B185="",0,IFERROR(K185*1,0)*IFERROR(AF185*1,0))</f>
        <v>0</v>
      </c>
      <c r="AI185" s="18">
        <f>IF(B185="","",COUNTIFS($AH$5:$AH$304,"&gt;"&amp;AH185)+COUNTIFS($AH$5:AH185,AH185))</f>
        <v>0</v>
      </c>
      <c r="AJ185" s="18">
        <f>IF(B185="",0,COUNTIFS('Food Waste'!$E$5:$E$154,B185))</f>
        <v>0</v>
      </c>
      <c r="AK185" s="18">
        <f>IF(B185="","",COUNTIFS($AJ$5:$AJ$304,"&gt;"&amp;AJ185)+COUNTIFS($AJ$5:AJ185,AJ185))</f>
        <v>0</v>
      </c>
      <c r="AL185" s="18">
        <f>IF(B185="","",IF(AG185&gt;0,COUNTIF(AG$5:AG185,"&gt;0"),""))</f>
        <v>0</v>
      </c>
      <c r="AM185" s="45">
        <f>IF(B185="","",SUMIFS('Grocery List'!$Q$5:$Q$304,'Grocery List'!$B$5:$B$304,B185))</f>
        <v>0</v>
      </c>
      <c r="AN185" s="31">
        <f>IF(B185="","",IF(I185="","Add - no price yet",IF(H185="","Add - no pack size",IF(COUNTIFS($B$5:$B$304,B185)&gt;1,"Duplicate - same name twice",IF(AF185=0,"Check - no recipe uses it","OK")))))</f>
        <v>0</v>
      </c>
    </row>
    <row r="186" spans="1:40">
      <c r="A186" s="39">
        <f>IF(B186="","",IngredientPrefix&amp;TEXT(ROW()-4,"0000"))</f>
        <v>0</v>
      </c>
      <c r="J186" s="25">
        <f>IF(OR(H186="",I186=""),"",IF(H186=0,"",I186/H186))</f>
        <v>0</v>
      </c>
      <c r="K186" s="25">
        <f>IF(J186="","",J186*100)</f>
        <v>0</v>
      </c>
      <c r="L186" s="25">
        <f>IF(B186="","",IFERROR(AVERAGEIFS('Grocery Spending'!$L$5:$L$404,'Grocery Spending'!$H$5:$H$404,B186,'Grocery Spending'!$L$5:$L$404,"&gt;0"),""))</f>
        <v>0</v>
      </c>
      <c r="M186" s="25">
        <f>IF(B186="","",IF(COUNTIFS('Store Prices'!$B$5:$B$304,B186)=0,"",IF(SUMPRODUCT(MIN((('Store Prices'!$B$5:$B$304=B186)*(IFERROR('Store Prices'!$I$5:$I$304*1,0)&gt;0))*IFERROR('Store Prices'!$I$5:$I$304*1,0)+(1-(('Store Prices'!$B$5:$B$304=B186)*(IFERROR('Store Prices'!$I$5:$I$304*1,0)&gt;0)))*999999))&gt;=999999,"",SUMPRODUCT(MIN((('Store Prices'!$B$5:$B$304=B186)*(IFERROR('Store Prices'!$I$5:$I$304*1,0)&gt;0))*IFERROR('Store Prices'!$I$5:$I$304*1,0)+(1-(('Store Prices'!$B$5:$B$304=B186)*(IFERROR('Store Prices'!$I$5:$I$304*1,0)&gt;0)))*999999)))))</f>
        <v>0</v>
      </c>
      <c r="N186" s="17">
        <f>IF(M186="","",IFERROR(INDEX('Store Prices'!$C$5:$C$304,MATCH(1,INDEX(('Store Prices'!$B$5:$B$304=B186)*('Store Prices'!$I$5:$I$304=M186),0),0)),""))</f>
        <v>0</v>
      </c>
      <c r="O186" s="25">
        <f>IF(OR(M186="",J186=""),"",MAX(0,(J186-M186)*100))</f>
        <v>0</v>
      </c>
      <c r="AD186" s="45">
        <f>IF(B186="","",SUMIFS(Pantry!$G$5:$G$304,Pantry!$B$5:$B$304,B186))</f>
        <v>0</v>
      </c>
      <c r="AE186" s="25">
        <f>IF(OR(AD186="",J186=""),"",AD186*J186)</f>
        <v>0</v>
      </c>
      <c r="AF186" s="18">
        <f>IF(B186="","",COUNTIFS('Recipe Ingredients'!$D$5:$D$1204,B186))</f>
        <v>0</v>
      </c>
      <c r="AG186" s="45">
        <f>IF(B186="","",SUMIFS('Recipe Ingredients'!$Y$5:$Y$1204,'Recipe Ingredients'!$D$5:$D$1204,B186))</f>
        <v>0</v>
      </c>
      <c r="AH186" s="30">
        <f>IF(B186="",0,IFERROR(K186*1,0)*IFERROR(AF186*1,0))</f>
        <v>0</v>
      </c>
      <c r="AI186" s="18">
        <f>IF(B186="","",COUNTIFS($AH$5:$AH$304,"&gt;"&amp;AH186)+COUNTIFS($AH$5:AH186,AH186))</f>
        <v>0</v>
      </c>
      <c r="AJ186" s="18">
        <f>IF(B186="",0,COUNTIFS('Food Waste'!$E$5:$E$154,B186))</f>
        <v>0</v>
      </c>
      <c r="AK186" s="18">
        <f>IF(B186="","",COUNTIFS($AJ$5:$AJ$304,"&gt;"&amp;AJ186)+COUNTIFS($AJ$5:AJ186,AJ186))</f>
        <v>0</v>
      </c>
      <c r="AL186" s="18">
        <f>IF(B186="","",IF(AG186&gt;0,COUNTIF(AG$5:AG186,"&gt;0"),""))</f>
        <v>0</v>
      </c>
      <c r="AM186" s="45">
        <f>IF(B186="","",SUMIFS('Grocery List'!$Q$5:$Q$304,'Grocery List'!$B$5:$B$304,B186))</f>
        <v>0</v>
      </c>
      <c r="AN186" s="31">
        <f>IF(B186="","",IF(I186="","Add - no price yet",IF(H186="","Add - no pack size",IF(COUNTIFS($B$5:$B$304,B186)&gt;1,"Duplicate - same name twice",IF(AF186=0,"Check - no recipe uses it","OK")))))</f>
        <v>0</v>
      </c>
    </row>
    <row r="187" spans="1:40">
      <c r="A187" s="39">
        <f>IF(B187="","",IngredientPrefix&amp;TEXT(ROW()-4,"0000"))</f>
        <v>0</v>
      </c>
      <c r="J187" s="25">
        <f>IF(OR(H187="",I187=""),"",IF(H187=0,"",I187/H187))</f>
        <v>0</v>
      </c>
      <c r="K187" s="25">
        <f>IF(J187="","",J187*100)</f>
        <v>0</v>
      </c>
      <c r="L187" s="25">
        <f>IF(B187="","",IFERROR(AVERAGEIFS('Grocery Spending'!$L$5:$L$404,'Grocery Spending'!$H$5:$H$404,B187,'Grocery Spending'!$L$5:$L$404,"&gt;0"),""))</f>
        <v>0</v>
      </c>
      <c r="M187" s="25">
        <f>IF(B187="","",IF(COUNTIFS('Store Prices'!$B$5:$B$304,B187)=0,"",IF(SUMPRODUCT(MIN((('Store Prices'!$B$5:$B$304=B187)*(IFERROR('Store Prices'!$I$5:$I$304*1,0)&gt;0))*IFERROR('Store Prices'!$I$5:$I$304*1,0)+(1-(('Store Prices'!$B$5:$B$304=B187)*(IFERROR('Store Prices'!$I$5:$I$304*1,0)&gt;0)))*999999))&gt;=999999,"",SUMPRODUCT(MIN((('Store Prices'!$B$5:$B$304=B187)*(IFERROR('Store Prices'!$I$5:$I$304*1,0)&gt;0))*IFERROR('Store Prices'!$I$5:$I$304*1,0)+(1-(('Store Prices'!$B$5:$B$304=B187)*(IFERROR('Store Prices'!$I$5:$I$304*1,0)&gt;0)))*999999)))))</f>
        <v>0</v>
      </c>
      <c r="N187" s="17">
        <f>IF(M187="","",IFERROR(INDEX('Store Prices'!$C$5:$C$304,MATCH(1,INDEX(('Store Prices'!$B$5:$B$304=B187)*('Store Prices'!$I$5:$I$304=M187),0),0)),""))</f>
        <v>0</v>
      </c>
      <c r="O187" s="25">
        <f>IF(OR(M187="",J187=""),"",MAX(0,(J187-M187)*100))</f>
        <v>0</v>
      </c>
      <c r="AD187" s="45">
        <f>IF(B187="","",SUMIFS(Pantry!$G$5:$G$304,Pantry!$B$5:$B$304,B187))</f>
        <v>0</v>
      </c>
      <c r="AE187" s="25">
        <f>IF(OR(AD187="",J187=""),"",AD187*J187)</f>
        <v>0</v>
      </c>
      <c r="AF187" s="18">
        <f>IF(B187="","",COUNTIFS('Recipe Ingredients'!$D$5:$D$1204,B187))</f>
        <v>0</v>
      </c>
      <c r="AG187" s="45">
        <f>IF(B187="","",SUMIFS('Recipe Ingredients'!$Y$5:$Y$1204,'Recipe Ingredients'!$D$5:$D$1204,B187))</f>
        <v>0</v>
      </c>
      <c r="AH187" s="30">
        <f>IF(B187="",0,IFERROR(K187*1,0)*IFERROR(AF187*1,0))</f>
        <v>0</v>
      </c>
      <c r="AI187" s="18">
        <f>IF(B187="","",COUNTIFS($AH$5:$AH$304,"&gt;"&amp;AH187)+COUNTIFS($AH$5:AH187,AH187))</f>
        <v>0</v>
      </c>
      <c r="AJ187" s="18">
        <f>IF(B187="",0,COUNTIFS('Food Waste'!$E$5:$E$154,B187))</f>
        <v>0</v>
      </c>
      <c r="AK187" s="18">
        <f>IF(B187="","",COUNTIFS($AJ$5:$AJ$304,"&gt;"&amp;AJ187)+COUNTIFS($AJ$5:AJ187,AJ187))</f>
        <v>0</v>
      </c>
      <c r="AL187" s="18">
        <f>IF(B187="","",IF(AG187&gt;0,COUNTIF(AG$5:AG187,"&gt;0"),""))</f>
        <v>0</v>
      </c>
      <c r="AM187" s="45">
        <f>IF(B187="","",SUMIFS('Grocery List'!$Q$5:$Q$304,'Grocery List'!$B$5:$B$304,B187))</f>
        <v>0</v>
      </c>
      <c r="AN187" s="31">
        <f>IF(B187="","",IF(I187="","Add - no price yet",IF(H187="","Add - no pack size",IF(COUNTIFS($B$5:$B$304,B187)&gt;1,"Duplicate - same name twice",IF(AF187=0,"Check - no recipe uses it","OK")))))</f>
        <v>0</v>
      </c>
    </row>
    <row r="188" spans="1:40">
      <c r="A188" s="39">
        <f>IF(B188="","",IngredientPrefix&amp;TEXT(ROW()-4,"0000"))</f>
        <v>0</v>
      </c>
      <c r="J188" s="25">
        <f>IF(OR(H188="",I188=""),"",IF(H188=0,"",I188/H188))</f>
        <v>0</v>
      </c>
      <c r="K188" s="25">
        <f>IF(J188="","",J188*100)</f>
        <v>0</v>
      </c>
      <c r="L188" s="25">
        <f>IF(B188="","",IFERROR(AVERAGEIFS('Grocery Spending'!$L$5:$L$404,'Grocery Spending'!$H$5:$H$404,B188,'Grocery Spending'!$L$5:$L$404,"&gt;0"),""))</f>
        <v>0</v>
      </c>
      <c r="M188" s="25">
        <f>IF(B188="","",IF(COUNTIFS('Store Prices'!$B$5:$B$304,B188)=0,"",IF(SUMPRODUCT(MIN((('Store Prices'!$B$5:$B$304=B188)*(IFERROR('Store Prices'!$I$5:$I$304*1,0)&gt;0))*IFERROR('Store Prices'!$I$5:$I$304*1,0)+(1-(('Store Prices'!$B$5:$B$304=B188)*(IFERROR('Store Prices'!$I$5:$I$304*1,0)&gt;0)))*999999))&gt;=999999,"",SUMPRODUCT(MIN((('Store Prices'!$B$5:$B$304=B188)*(IFERROR('Store Prices'!$I$5:$I$304*1,0)&gt;0))*IFERROR('Store Prices'!$I$5:$I$304*1,0)+(1-(('Store Prices'!$B$5:$B$304=B188)*(IFERROR('Store Prices'!$I$5:$I$304*1,0)&gt;0)))*999999)))))</f>
        <v>0</v>
      </c>
      <c r="N188" s="17">
        <f>IF(M188="","",IFERROR(INDEX('Store Prices'!$C$5:$C$304,MATCH(1,INDEX(('Store Prices'!$B$5:$B$304=B188)*('Store Prices'!$I$5:$I$304=M188),0),0)),""))</f>
        <v>0</v>
      </c>
      <c r="O188" s="25">
        <f>IF(OR(M188="",J188=""),"",MAX(0,(J188-M188)*100))</f>
        <v>0</v>
      </c>
      <c r="AD188" s="45">
        <f>IF(B188="","",SUMIFS(Pantry!$G$5:$G$304,Pantry!$B$5:$B$304,B188))</f>
        <v>0</v>
      </c>
      <c r="AE188" s="25">
        <f>IF(OR(AD188="",J188=""),"",AD188*J188)</f>
        <v>0</v>
      </c>
      <c r="AF188" s="18">
        <f>IF(B188="","",COUNTIFS('Recipe Ingredients'!$D$5:$D$1204,B188))</f>
        <v>0</v>
      </c>
      <c r="AG188" s="45">
        <f>IF(B188="","",SUMIFS('Recipe Ingredients'!$Y$5:$Y$1204,'Recipe Ingredients'!$D$5:$D$1204,B188))</f>
        <v>0</v>
      </c>
      <c r="AH188" s="30">
        <f>IF(B188="",0,IFERROR(K188*1,0)*IFERROR(AF188*1,0))</f>
        <v>0</v>
      </c>
      <c r="AI188" s="18">
        <f>IF(B188="","",COUNTIFS($AH$5:$AH$304,"&gt;"&amp;AH188)+COUNTIFS($AH$5:AH188,AH188))</f>
        <v>0</v>
      </c>
      <c r="AJ188" s="18">
        <f>IF(B188="",0,COUNTIFS('Food Waste'!$E$5:$E$154,B188))</f>
        <v>0</v>
      </c>
      <c r="AK188" s="18">
        <f>IF(B188="","",COUNTIFS($AJ$5:$AJ$304,"&gt;"&amp;AJ188)+COUNTIFS($AJ$5:AJ188,AJ188))</f>
        <v>0</v>
      </c>
      <c r="AL188" s="18">
        <f>IF(B188="","",IF(AG188&gt;0,COUNTIF(AG$5:AG188,"&gt;0"),""))</f>
        <v>0</v>
      </c>
      <c r="AM188" s="45">
        <f>IF(B188="","",SUMIFS('Grocery List'!$Q$5:$Q$304,'Grocery List'!$B$5:$B$304,B188))</f>
        <v>0</v>
      </c>
      <c r="AN188" s="31">
        <f>IF(B188="","",IF(I188="","Add - no price yet",IF(H188="","Add - no pack size",IF(COUNTIFS($B$5:$B$304,B188)&gt;1,"Duplicate - same name twice",IF(AF188=0,"Check - no recipe uses it","OK")))))</f>
        <v>0</v>
      </c>
    </row>
    <row r="189" spans="1:40">
      <c r="A189" s="39">
        <f>IF(B189="","",IngredientPrefix&amp;TEXT(ROW()-4,"0000"))</f>
        <v>0</v>
      </c>
      <c r="J189" s="25">
        <f>IF(OR(H189="",I189=""),"",IF(H189=0,"",I189/H189))</f>
        <v>0</v>
      </c>
      <c r="K189" s="25">
        <f>IF(J189="","",J189*100)</f>
        <v>0</v>
      </c>
      <c r="L189" s="25">
        <f>IF(B189="","",IFERROR(AVERAGEIFS('Grocery Spending'!$L$5:$L$404,'Grocery Spending'!$H$5:$H$404,B189,'Grocery Spending'!$L$5:$L$404,"&gt;0"),""))</f>
        <v>0</v>
      </c>
      <c r="M189" s="25">
        <f>IF(B189="","",IF(COUNTIFS('Store Prices'!$B$5:$B$304,B189)=0,"",IF(SUMPRODUCT(MIN((('Store Prices'!$B$5:$B$304=B189)*(IFERROR('Store Prices'!$I$5:$I$304*1,0)&gt;0))*IFERROR('Store Prices'!$I$5:$I$304*1,0)+(1-(('Store Prices'!$B$5:$B$304=B189)*(IFERROR('Store Prices'!$I$5:$I$304*1,0)&gt;0)))*999999))&gt;=999999,"",SUMPRODUCT(MIN((('Store Prices'!$B$5:$B$304=B189)*(IFERROR('Store Prices'!$I$5:$I$304*1,0)&gt;0))*IFERROR('Store Prices'!$I$5:$I$304*1,0)+(1-(('Store Prices'!$B$5:$B$304=B189)*(IFERROR('Store Prices'!$I$5:$I$304*1,0)&gt;0)))*999999)))))</f>
        <v>0</v>
      </c>
      <c r="N189" s="17">
        <f>IF(M189="","",IFERROR(INDEX('Store Prices'!$C$5:$C$304,MATCH(1,INDEX(('Store Prices'!$B$5:$B$304=B189)*('Store Prices'!$I$5:$I$304=M189),0),0)),""))</f>
        <v>0</v>
      </c>
      <c r="O189" s="25">
        <f>IF(OR(M189="",J189=""),"",MAX(0,(J189-M189)*100))</f>
        <v>0</v>
      </c>
      <c r="AD189" s="45">
        <f>IF(B189="","",SUMIFS(Pantry!$G$5:$G$304,Pantry!$B$5:$B$304,B189))</f>
        <v>0</v>
      </c>
      <c r="AE189" s="25">
        <f>IF(OR(AD189="",J189=""),"",AD189*J189)</f>
        <v>0</v>
      </c>
      <c r="AF189" s="18">
        <f>IF(B189="","",COUNTIFS('Recipe Ingredients'!$D$5:$D$1204,B189))</f>
        <v>0</v>
      </c>
      <c r="AG189" s="45">
        <f>IF(B189="","",SUMIFS('Recipe Ingredients'!$Y$5:$Y$1204,'Recipe Ingredients'!$D$5:$D$1204,B189))</f>
        <v>0</v>
      </c>
      <c r="AH189" s="30">
        <f>IF(B189="",0,IFERROR(K189*1,0)*IFERROR(AF189*1,0))</f>
        <v>0</v>
      </c>
      <c r="AI189" s="18">
        <f>IF(B189="","",COUNTIFS($AH$5:$AH$304,"&gt;"&amp;AH189)+COUNTIFS($AH$5:AH189,AH189))</f>
        <v>0</v>
      </c>
      <c r="AJ189" s="18">
        <f>IF(B189="",0,COUNTIFS('Food Waste'!$E$5:$E$154,B189))</f>
        <v>0</v>
      </c>
      <c r="AK189" s="18">
        <f>IF(B189="","",COUNTIFS($AJ$5:$AJ$304,"&gt;"&amp;AJ189)+COUNTIFS($AJ$5:AJ189,AJ189))</f>
        <v>0</v>
      </c>
      <c r="AL189" s="18">
        <f>IF(B189="","",IF(AG189&gt;0,COUNTIF(AG$5:AG189,"&gt;0"),""))</f>
        <v>0</v>
      </c>
      <c r="AM189" s="45">
        <f>IF(B189="","",SUMIFS('Grocery List'!$Q$5:$Q$304,'Grocery List'!$B$5:$B$304,B189))</f>
        <v>0</v>
      </c>
      <c r="AN189" s="31">
        <f>IF(B189="","",IF(I189="","Add - no price yet",IF(H189="","Add - no pack size",IF(COUNTIFS($B$5:$B$304,B189)&gt;1,"Duplicate - same name twice",IF(AF189=0,"Check - no recipe uses it","OK")))))</f>
        <v>0</v>
      </c>
    </row>
    <row r="190" spans="1:40">
      <c r="A190" s="39">
        <f>IF(B190="","",IngredientPrefix&amp;TEXT(ROW()-4,"0000"))</f>
        <v>0</v>
      </c>
      <c r="J190" s="25">
        <f>IF(OR(H190="",I190=""),"",IF(H190=0,"",I190/H190))</f>
        <v>0</v>
      </c>
      <c r="K190" s="25">
        <f>IF(J190="","",J190*100)</f>
        <v>0</v>
      </c>
      <c r="L190" s="25">
        <f>IF(B190="","",IFERROR(AVERAGEIFS('Grocery Spending'!$L$5:$L$404,'Grocery Spending'!$H$5:$H$404,B190,'Grocery Spending'!$L$5:$L$404,"&gt;0"),""))</f>
        <v>0</v>
      </c>
      <c r="M190" s="25">
        <f>IF(B190="","",IF(COUNTIFS('Store Prices'!$B$5:$B$304,B190)=0,"",IF(SUMPRODUCT(MIN((('Store Prices'!$B$5:$B$304=B190)*(IFERROR('Store Prices'!$I$5:$I$304*1,0)&gt;0))*IFERROR('Store Prices'!$I$5:$I$304*1,0)+(1-(('Store Prices'!$B$5:$B$304=B190)*(IFERROR('Store Prices'!$I$5:$I$304*1,0)&gt;0)))*999999))&gt;=999999,"",SUMPRODUCT(MIN((('Store Prices'!$B$5:$B$304=B190)*(IFERROR('Store Prices'!$I$5:$I$304*1,0)&gt;0))*IFERROR('Store Prices'!$I$5:$I$304*1,0)+(1-(('Store Prices'!$B$5:$B$304=B190)*(IFERROR('Store Prices'!$I$5:$I$304*1,0)&gt;0)))*999999)))))</f>
        <v>0</v>
      </c>
      <c r="N190" s="17">
        <f>IF(M190="","",IFERROR(INDEX('Store Prices'!$C$5:$C$304,MATCH(1,INDEX(('Store Prices'!$B$5:$B$304=B190)*('Store Prices'!$I$5:$I$304=M190),0),0)),""))</f>
        <v>0</v>
      </c>
      <c r="O190" s="25">
        <f>IF(OR(M190="",J190=""),"",MAX(0,(J190-M190)*100))</f>
        <v>0</v>
      </c>
      <c r="AD190" s="45">
        <f>IF(B190="","",SUMIFS(Pantry!$G$5:$G$304,Pantry!$B$5:$B$304,B190))</f>
        <v>0</v>
      </c>
      <c r="AE190" s="25">
        <f>IF(OR(AD190="",J190=""),"",AD190*J190)</f>
        <v>0</v>
      </c>
      <c r="AF190" s="18">
        <f>IF(B190="","",COUNTIFS('Recipe Ingredients'!$D$5:$D$1204,B190))</f>
        <v>0</v>
      </c>
      <c r="AG190" s="45">
        <f>IF(B190="","",SUMIFS('Recipe Ingredients'!$Y$5:$Y$1204,'Recipe Ingredients'!$D$5:$D$1204,B190))</f>
        <v>0</v>
      </c>
      <c r="AH190" s="30">
        <f>IF(B190="",0,IFERROR(K190*1,0)*IFERROR(AF190*1,0))</f>
        <v>0</v>
      </c>
      <c r="AI190" s="18">
        <f>IF(B190="","",COUNTIFS($AH$5:$AH$304,"&gt;"&amp;AH190)+COUNTIFS($AH$5:AH190,AH190))</f>
        <v>0</v>
      </c>
      <c r="AJ190" s="18">
        <f>IF(B190="",0,COUNTIFS('Food Waste'!$E$5:$E$154,B190))</f>
        <v>0</v>
      </c>
      <c r="AK190" s="18">
        <f>IF(B190="","",COUNTIFS($AJ$5:$AJ$304,"&gt;"&amp;AJ190)+COUNTIFS($AJ$5:AJ190,AJ190))</f>
        <v>0</v>
      </c>
      <c r="AL190" s="18">
        <f>IF(B190="","",IF(AG190&gt;0,COUNTIF(AG$5:AG190,"&gt;0"),""))</f>
        <v>0</v>
      </c>
      <c r="AM190" s="45">
        <f>IF(B190="","",SUMIFS('Grocery List'!$Q$5:$Q$304,'Grocery List'!$B$5:$B$304,B190))</f>
        <v>0</v>
      </c>
      <c r="AN190" s="31">
        <f>IF(B190="","",IF(I190="","Add - no price yet",IF(H190="","Add - no pack size",IF(COUNTIFS($B$5:$B$304,B190)&gt;1,"Duplicate - same name twice",IF(AF190=0,"Check - no recipe uses it","OK")))))</f>
        <v>0</v>
      </c>
    </row>
    <row r="191" spans="1:40">
      <c r="A191" s="39">
        <f>IF(B191="","",IngredientPrefix&amp;TEXT(ROW()-4,"0000"))</f>
        <v>0</v>
      </c>
      <c r="J191" s="25">
        <f>IF(OR(H191="",I191=""),"",IF(H191=0,"",I191/H191))</f>
        <v>0</v>
      </c>
      <c r="K191" s="25">
        <f>IF(J191="","",J191*100)</f>
        <v>0</v>
      </c>
      <c r="L191" s="25">
        <f>IF(B191="","",IFERROR(AVERAGEIFS('Grocery Spending'!$L$5:$L$404,'Grocery Spending'!$H$5:$H$404,B191,'Grocery Spending'!$L$5:$L$404,"&gt;0"),""))</f>
        <v>0</v>
      </c>
      <c r="M191" s="25">
        <f>IF(B191="","",IF(COUNTIFS('Store Prices'!$B$5:$B$304,B191)=0,"",IF(SUMPRODUCT(MIN((('Store Prices'!$B$5:$B$304=B191)*(IFERROR('Store Prices'!$I$5:$I$304*1,0)&gt;0))*IFERROR('Store Prices'!$I$5:$I$304*1,0)+(1-(('Store Prices'!$B$5:$B$304=B191)*(IFERROR('Store Prices'!$I$5:$I$304*1,0)&gt;0)))*999999))&gt;=999999,"",SUMPRODUCT(MIN((('Store Prices'!$B$5:$B$304=B191)*(IFERROR('Store Prices'!$I$5:$I$304*1,0)&gt;0))*IFERROR('Store Prices'!$I$5:$I$304*1,0)+(1-(('Store Prices'!$B$5:$B$304=B191)*(IFERROR('Store Prices'!$I$5:$I$304*1,0)&gt;0)))*999999)))))</f>
        <v>0</v>
      </c>
      <c r="N191" s="17">
        <f>IF(M191="","",IFERROR(INDEX('Store Prices'!$C$5:$C$304,MATCH(1,INDEX(('Store Prices'!$B$5:$B$304=B191)*('Store Prices'!$I$5:$I$304=M191),0),0)),""))</f>
        <v>0</v>
      </c>
      <c r="O191" s="25">
        <f>IF(OR(M191="",J191=""),"",MAX(0,(J191-M191)*100))</f>
        <v>0</v>
      </c>
      <c r="AD191" s="45">
        <f>IF(B191="","",SUMIFS(Pantry!$G$5:$G$304,Pantry!$B$5:$B$304,B191))</f>
        <v>0</v>
      </c>
      <c r="AE191" s="25">
        <f>IF(OR(AD191="",J191=""),"",AD191*J191)</f>
        <v>0</v>
      </c>
      <c r="AF191" s="18">
        <f>IF(B191="","",COUNTIFS('Recipe Ingredients'!$D$5:$D$1204,B191))</f>
        <v>0</v>
      </c>
      <c r="AG191" s="45">
        <f>IF(B191="","",SUMIFS('Recipe Ingredients'!$Y$5:$Y$1204,'Recipe Ingredients'!$D$5:$D$1204,B191))</f>
        <v>0</v>
      </c>
      <c r="AH191" s="30">
        <f>IF(B191="",0,IFERROR(K191*1,0)*IFERROR(AF191*1,0))</f>
        <v>0</v>
      </c>
      <c r="AI191" s="18">
        <f>IF(B191="","",COUNTIFS($AH$5:$AH$304,"&gt;"&amp;AH191)+COUNTIFS($AH$5:AH191,AH191))</f>
        <v>0</v>
      </c>
      <c r="AJ191" s="18">
        <f>IF(B191="",0,COUNTIFS('Food Waste'!$E$5:$E$154,B191))</f>
        <v>0</v>
      </c>
      <c r="AK191" s="18">
        <f>IF(B191="","",COUNTIFS($AJ$5:$AJ$304,"&gt;"&amp;AJ191)+COUNTIFS($AJ$5:AJ191,AJ191))</f>
        <v>0</v>
      </c>
      <c r="AL191" s="18">
        <f>IF(B191="","",IF(AG191&gt;0,COUNTIF(AG$5:AG191,"&gt;0"),""))</f>
        <v>0</v>
      </c>
      <c r="AM191" s="45">
        <f>IF(B191="","",SUMIFS('Grocery List'!$Q$5:$Q$304,'Grocery List'!$B$5:$B$304,B191))</f>
        <v>0</v>
      </c>
      <c r="AN191" s="31">
        <f>IF(B191="","",IF(I191="","Add - no price yet",IF(H191="","Add - no pack size",IF(COUNTIFS($B$5:$B$304,B191)&gt;1,"Duplicate - same name twice",IF(AF191=0,"Check - no recipe uses it","OK")))))</f>
        <v>0</v>
      </c>
    </row>
    <row r="192" spans="1:40">
      <c r="A192" s="39">
        <f>IF(B192="","",IngredientPrefix&amp;TEXT(ROW()-4,"0000"))</f>
        <v>0</v>
      </c>
      <c r="J192" s="25">
        <f>IF(OR(H192="",I192=""),"",IF(H192=0,"",I192/H192))</f>
        <v>0</v>
      </c>
      <c r="K192" s="25">
        <f>IF(J192="","",J192*100)</f>
        <v>0</v>
      </c>
      <c r="L192" s="25">
        <f>IF(B192="","",IFERROR(AVERAGEIFS('Grocery Spending'!$L$5:$L$404,'Grocery Spending'!$H$5:$H$404,B192,'Grocery Spending'!$L$5:$L$404,"&gt;0"),""))</f>
        <v>0</v>
      </c>
      <c r="M192" s="25">
        <f>IF(B192="","",IF(COUNTIFS('Store Prices'!$B$5:$B$304,B192)=0,"",IF(SUMPRODUCT(MIN((('Store Prices'!$B$5:$B$304=B192)*(IFERROR('Store Prices'!$I$5:$I$304*1,0)&gt;0))*IFERROR('Store Prices'!$I$5:$I$304*1,0)+(1-(('Store Prices'!$B$5:$B$304=B192)*(IFERROR('Store Prices'!$I$5:$I$304*1,0)&gt;0)))*999999))&gt;=999999,"",SUMPRODUCT(MIN((('Store Prices'!$B$5:$B$304=B192)*(IFERROR('Store Prices'!$I$5:$I$304*1,0)&gt;0))*IFERROR('Store Prices'!$I$5:$I$304*1,0)+(1-(('Store Prices'!$B$5:$B$304=B192)*(IFERROR('Store Prices'!$I$5:$I$304*1,0)&gt;0)))*999999)))))</f>
        <v>0</v>
      </c>
      <c r="N192" s="17">
        <f>IF(M192="","",IFERROR(INDEX('Store Prices'!$C$5:$C$304,MATCH(1,INDEX(('Store Prices'!$B$5:$B$304=B192)*('Store Prices'!$I$5:$I$304=M192),0),0)),""))</f>
        <v>0</v>
      </c>
      <c r="O192" s="25">
        <f>IF(OR(M192="",J192=""),"",MAX(0,(J192-M192)*100))</f>
        <v>0</v>
      </c>
      <c r="AD192" s="45">
        <f>IF(B192="","",SUMIFS(Pantry!$G$5:$G$304,Pantry!$B$5:$B$304,B192))</f>
        <v>0</v>
      </c>
      <c r="AE192" s="25">
        <f>IF(OR(AD192="",J192=""),"",AD192*J192)</f>
        <v>0</v>
      </c>
      <c r="AF192" s="18">
        <f>IF(B192="","",COUNTIFS('Recipe Ingredients'!$D$5:$D$1204,B192))</f>
        <v>0</v>
      </c>
      <c r="AG192" s="45">
        <f>IF(B192="","",SUMIFS('Recipe Ingredients'!$Y$5:$Y$1204,'Recipe Ingredients'!$D$5:$D$1204,B192))</f>
        <v>0</v>
      </c>
      <c r="AH192" s="30">
        <f>IF(B192="",0,IFERROR(K192*1,0)*IFERROR(AF192*1,0))</f>
        <v>0</v>
      </c>
      <c r="AI192" s="18">
        <f>IF(B192="","",COUNTIFS($AH$5:$AH$304,"&gt;"&amp;AH192)+COUNTIFS($AH$5:AH192,AH192))</f>
        <v>0</v>
      </c>
      <c r="AJ192" s="18">
        <f>IF(B192="",0,COUNTIFS('Food Waste'!$E$5:$E$154,B192))</f>
        <v>0</v>
      </c>
      <c r="AK192" s="18">
        <f>IF(B192="","",COUNTIFS($AJ$5:$AJ$304,"&gt;"&amp;AJ192)+COUNTIFS($AJ$5:AJ192,AJ192))</f>
        <v>0</v>
      </c>
      <c r="AL192" s="18">
        <f>IF(B192="","",IF(AG192&gt;0,COUNTIF(AG$5:AG192,"&gt;0"),""))</f>
        <v>0</v>
      </c>
      <c r="AM192" s="45">
        <f>IF(B192="","",SUMIFS('Grocery List'!$Q$5:$Q$304,'Grocery List'!$B$5:$B$304,B192))</f>
        <v>0</v>
      </c>
      <c r="AN192" s="31">
        <f>IF(B192="","",IF(I192="","Add - no price yet",IF(H192="","Add - no pack size",IF(COUNTIFS($B$5:$B$304,B192)&gt;1,"Duplicate - same name twice",IF(AF192=0,"Check - no recipe uses it","OK")))))</f>
        <v>0</v>
      </c>
    </row>
    <row r="193" spans="1:40">
      <c r="A193" s="39">
        <f>IF(B193="","",IngredientPrefix&amp;TEXT(ROW()-4,"0000"))</f>
        <v>0</v>
      </c>
      <c r="J193" s="25">
        <f>IF(OR(H193="",I193=""),"",IF(H193=0,"",I193/H193))</f>
        <v>0</v>
      </c>
      <c r="K193" s="25">
        <f>IF(J193="","",J193*100)</f>
        <v>0</v>
      </c>
      <c r="L193" s="25">
        <f>IF(B193="","",IFERROR(AVERAGEIFS('Grocery Spending'!$L$5:$L$404,'Grocery Spending'!$H$5:$H$404,B193,'Grocery Spending'!$L$5:$L$404,"&gt;0"),""))</f>
        <v>0</v>
      </c>
      <c r="M193" s="25">
        <f>IF(B193="","",IF(COUNTIFS('Store Prices'!$B$5:$B$304,B193)=0,"",IF(SUMPRODUCT(MIN((('Store Prices'!$B$5:$B$304=B193)*(IFERROR('Store Prices'!$I$5:$I$304*1,0)&gt;0))*IFERROR('Store Prices'!$I$5:$I$304*1,0)+(1-(('Store Prices'!$B$5:$B$304=B193)*(IFERROR('Store Prices'!$I$5:$I$304*1,0)&gt;0)))*999999))&gt;=999999,"",SUMPRODUCT(MIN((('Store Prices'!$B$5:$B$304=B193)*(IFERROR('Store Prices'!$I$5:$I$304*1,0)&gt;0))*IFERROR('Store Prices'!$I$5:$I$304*1,0)+(1-(('Store Prices'!$B$5:$B$304=B193)*(IFERROR('Store Prices'!$I$5:$I$304*1,0)&gt;0)))*999999)))))</f>
        <v>0</v>
      </c>
      <c r="N193" s="17">
        <f>IF(M193="","",IFERROR(INDEX('Store Prices'!$C$5:$C$304,MATCH(1,INDEX(('Store Prices'!$B$5:$B$304=B193)*('Store Prices'!$I$5:$I$304=M193),0),0)),""))</f>
        <v>0</v>
      </c>
      <c r="O193" s="25">
        <f>IF(OR(M193="",J193=""),"",MAX(0,(J193-M193)*100))</f>
        <v>0</v>
      </c>
      <c r="AD193" s="45">
        <f>IF(B193="","",SUMIFS(Pantry!$G$5:$G$304,Pantry!$B$5:$B$304,B193))</f>
        <v>0</v>
      </c>
      <c r="AE193" s="25">
        <f>IF(OR(AD193="",J193=""),"",AD193*J193)</f>
        <v>0</v>
      </c>
      <c r="AF193" s="18">
        <f>IF(B193="","",COUNTIFS('Recipe Ingredients'!$D$5:$D$1204,B193))</f>
        <v>0</v>
      </c>
      <c r="AG193" s="45">
        <f>IF(B193="","",SUMIFS('Recipe Ingredients'!$Y$5:$Y$1204,'Recipe Ingredients'!$D$5:$D$1204,B193))</f>
        <v>0</v>
      </c>
      <c r="AH193" s="30">
        <f>IF(B193="",0,IFERROR(K193*1,0)*IFERROR(AF193*1,0))</f>
        <v>0</v>
      </c>
      <c r="AI193" s="18">
        <f>IF(B193="","",COUNTIFS($AH$5:$AH$304,"&gt;"&amp;AH193)+COUNTIFS($AH$5:AH193,AH193))</f>
        <v>0</v>
      </c>
      <c r="AJ193" s="18">
        <f>IF(B193="",0,COUNTIFS('Food Waste'!$E$5:$E$154,B193))</f>
        <v>0</v>
      </c>
      <c r="AK193" s="18">
        <f>IF(B193="","",COUNTIFS($AJ$5:$AJ$304,"&gt;"&amp;AJ193)+COUNTIFS($AJ$5:AJ193,AJ193))</f>
        <v>0</v>
      </c>
      <c r="AL193" s="18">
        <f>IF(B193="","",IF(AG193&gt;0,COUNTIF(AG$5:AG193,"&gt;0"),""))</f>
        <v>0</v>
      </c>
      <c r="AM193" s="45">
        <f>IF(B193="","",SUMIFS('Grocery List'!$Q$5:$Q$304,'Grocery List'!$B$5:$B$304,B193))</f>
        <v>0</v>
      </c>
      <c r="AN193" s="31">
        <f>IF(B193="","",IF(I193="","Add - no price yet",IF(H193="","Add - no pack size",IF(COUNTIFS($B$5:$B$304,B193)&gt;1,"Duplicate - same name twice",IF(AF193=0,"Check - no recipe uses it","OK")))))</f>
        <v>0</v>
      </c>
    </row>
    <row r="194" spans="1:40">
      <c r="A194" s="39">
        <f>IF(B194="","",IngredientPrefix&amp;TEXT(ROW()-4,"0000"))</f>
        <v>0</v>
      </c>
      <c r="J194" s="25">
        <f>IF(OR(H194="",I194=""),"",IF(H194=0,"",I194/H194))</f>
        <v>0</v>
      </c>
      <c r="K194" s="25">
        <f>IF(J194="","",J194*100)</f>
        <v>0</v>
      </c>
      <c r="L194" s="25">
        <f>IF(B194="","",IFERROR(AVERAGEIFS('Grocery Spending'!$L$5:$L$404,'Grocery Spending'!$H$5:$H$404,B194,'Grocery Spending'!$L$5:$L$404,"&gt;0"),""))</f>
        <v>0</v>
      </c>
      <c r="M194" s="25">
        <f>IF(B194="","",IF(COUNTIFS('Store Prices'!$B$5:$B$304,B194)=0,"",IF(SUMPRODUCT(MIN((('Store Prices'!$B$5:$B$304=B194)*(IFERROR('Store Prices'!$I$5:$I$304*1,0)&gt;0))*IFERROR('Store Prices'!$I$5:$I$304*1,0)+(1-(('Store Prices'!$B$5:$B$304=B194)*(IFERROR('Store Prices'!$I$5:$I$304*1,0)&gt;0)))*999999))&gt;=999999,"",SUMPRODUCT(MIN((('Store Prices'!$B$5:$B$304=B194)*(IFERROR('Store Prices'!$I$5:$I$304*1,0)&gt;0))*IFERROR('Store Prices'!$I$5:$I$304*1,0)+(1-(('Store Prices'!$B$5:$B$304=B194)*(IFERROR('Store Prices'!$I$5:$I$304*1,0)&gt;0)))*999999)))))</f>
        <v>0</v>
      </c>
      <c r="N194" s="17">
        <f>IF(M194="","",IFERROR(INDEX('Store Prices'!$C$5:$C$304,MATCH(1,INDEX(('Store Prices'!$B$5:$B$304=B194)*('Store Prices'!$I$5:$I$304=M194),0),0)),""))</f>
        <v>0</v>
      </c>
      <c r="O194" s="25">
        <f>IF(OR(M194="",J194=""),"",MAX(0,(J194-M194)*100))</f>
        <v>0</v>
      </c>
      <c r="AD194" s="45">
        <f>IF(B194="","",SUMIFS(Pantry!$G$5:$G$304,Pantry!$B$5:$B$304,B194))</f>
        <v>0</v>
      </c>
      <c r="AE194" s="25">
        <f>IF(OR(AD194="",J194=""),"",AD194*J194)</f>
        <v>0</v>
      </c>
      <c r="AF194" s="18">
        <f>IF(B194="","",COUNTIFS('Recipe Ingredients'!$D$5:$D$1204,B194))</f>
        <v>0</v>
      </c>
      <c r="AG194" s="45">
        <f>IF(B194="","",SUMIFS('Recipe Ingredients'!$Y$5:$Y$1204,'Recipe Ingredients'!$D$5:$D$1204,B194))</f>
        <v>0</v>
      </c>
      <c r="AH194" s="30">
        <f>IF(B194="",0,IFERROR(K194*1,0)*IFERROR(AF194*1,0))</f>
        <v>0</v>
      </c>
      <c r="AI194" s="18">
        <f>IF(B194="","",COUNTIFS($AH$5:$AH$304,"&gt;"&amp;AH194)+COUNTIFS($AH$5:AH194,AH194))</f>
        <v>0</v>
      </c>
      <c r="AJ194" s="18">
        <f>IF(B194="",0,COUNTIFS('Food Waste'!$E$5:$E$154,B194))</f>
        <v>0</v>
      </c>
      <c r="AK194" s="18">
        <f>IF(B194="","",COUNTIFS($AJ$5:$AJ$304,"&gt;"&amp;AJ194)+COUNTIFS($AJ$5:AJ194,AJ194))</f>
        <v>0</v>
      </c>
      <c r="AL194" s="18">
        <f>IF(B194="","",IF(AG194&gt;0,COUNTIF(AG$5:AG194,"&gt;0"),""))</f>
        <v>0</v>
      </c>
      <c r="AM194" s="45">
        <f>IF(B194="","",SUMIFS('Grocery List'!$Q$5:$Q$304,'Grocery List'!$B$5:$B$304,B194))</f>
        <v>0</v>
      </c>
      <c r="AN194" s="31">
        <f>IF(B194="","",IF(I194="","Add - no price yet",IF(H194="","Add - no pack size",IF(COUNTIFS($B$5:$B$304,B194)&gt;1,"Duplicate - same name twice",IF(AF194=0,"Check - no recipe uses it","OK")))))</f>
        <v>0</v>
      </c>
    </row>
    <row r="195" spans="1:40">
      <c r="A195" s="39">
        <f>IF(B195="","",IngredientPrefix&amp;TEXT(ROW()-4,"0000"))</f>
        <v>0</v>
      </c>
      <c r="J195" s="25">
        <f>IF(OR(H195="",I195=""),"",IF(H195=0,"",I195/H195))</f>
        <v>0</v>
      </c>
      <c r="K195" s="25">
        <f>IF(J195="","",J195*100)</f>
        <v>0</v>
      </c>
      <c r="L195" s="25">
        <f>IF(B195="","",IFERROR(AVERAGEIFS('Grocery Spending'!$L$5:$L$404,'Grocery Spending'!$H$5:$H$404,B195,'Grocery Spending'!$L$5:$L$404,"&gt;0"),""))</f>
        <v>0</v>
      </c>
      <c r="M195" s="25">
        <f>IF(B195="","",IF(COUNTIFS('Store Prices'!$B$5:$B$304,B195)=0,"",IF(SUMPRODUCT(MIN((('Store Prices'!$B$5:$B$304=B195)*(IFERROR('Store Prices'!$I$5:$I$304*1,0)&gt;0))*IFERROR('Store Prices'!$I$5:$I$304*1,0)+(1-(('Store Prices'!$B$5:$B$304=B195)*(IFERROR('Store Prices'!$I$5:$I$304*1,0)&gt;0)))*999999))&gt;=999999,"",SUMPRODUCT(MIN((('Store Prices'!$B$5:$B$304=B195)*(IFERROR('Store Prices'!$I$5:$I$304*1,0)&gt;0))*IFERROR('Store Prices'!$I$5:$I$304*1,0)+(1-(('Store Prices'!$B$5:$B$304=B195)*(IFERROR('Store Prices'!$I$5:$I$304*1,0)&gt;0)))*999999)))))</f>
        <v>0</v>
      </c>
      <c r="N195" s="17">
        <f>IF(M195="","",IFERROR(INDEX('Store Prices'!$C$5:$C$304,MATCH(1,INDEX(('Store Prices'!$B$5:$B$304=B195)*('Store Prices'!$I$5:$I$304=M195),0),0)),""))</f>
        <v>0</v>
      </c>
      <c r="O195" s="25">
        <f>IF(OR(M195="",J195=""),"",MAX(0,(J195-M195)*100))</f>
        <v>0</v>
      </c>
      <c r="AD195" s="45">
        <f>IF(B195="","",SUMIFS(Pantry!$G$5:$G$304,Pantry!$B$5:$B$304,B195))</f>
        <v>0</v>
      </c>
      <c r="AE195" s="25">
        <f>IF(OR(AD195="",J195=""),"",AD195*J195)</f>
        <v>0</v>
      </c>
      <c r="AF195" s="18">
        <f>IF(B195="","",COUNTIFS('Recipe Ingredients'!$D$5:$D$1204,B195))</f>
        <v>0</v>
      </c>
      <c r="AG195" s="45">
        <f>IF(B195="","",SUMIFS('Recipe Ingredients'!$Y$5:$Y$1204,'Recipe Ingredients'!$D$5:$D$1204,B195))</f>
        <v>0</v>
      </c>
      <c r="AH195" s="30">
        <f>IF(B195="",0,IFERROR(K195*1,0)*IFERROR(AF195*1,0))</f>
        <v>0</v>
      </c>
      <c r="AI195" s="18">
        <f>IF(B195="","",COUNTIFS($AH$5:$AH$304,"&gt;"&amp;AH195)+COUNTIFS($AH$5:AH195,AH195))</f>
        <v>0</v>
      </c>
      <c r="AJ195" s="18">
        <f>IF(B195="",0,COUNTIFS('Food Waste'!$E$5:$E$154,B195))</f>
        <v>0</v>
      </c>
      <c r="AK195" s="18">
        <f>IF(B195="","",COUNTIFS($AJ$5:$AJ$304,"&gt;"&amp;AJ195)+COUNTIFS($AJ$5:AJ195,AJ195))</f>
        <v>0</v>
      </c>
      <c r="AL195" s="18">
        <f>IF(B195="","",IF(AG195&gt;0,COUNTIF(AG$5:AG195,"&gt;0"),""))</f>
        <v>0</v>
      </c>
      <c r="AM195" s="45">
        <f>IF(B195="","",SUMIFS('Grocery List'!$Q$5:$Q$304,'Grocery List'!$B$5:$B$304,B195))</f>
        <v>0</v>
      </c>
      <c r="AN195" s="31">
        <f>IF(B195="","",IF(I195="","Add - no price yet",IF(H195="","Add - no pack size",IF(COUNTIFS($B$5:$B$304,B195)&gt;1,"Duplicate - same name twice",IF(AF195=0,"Check - no recipe uses it","OK")))))</f>
        <v>0</v>
      </c>
    </row>
    <row r="196" spans="1:40">
      <c r="A196" s="39">
        <f>IF(B196="","",IngredientPrefix&amp;TEXT(ROW()-4,"0000"))</f>
        <v>0</v>
      </c>
      <c r="J196" s="25">
        <f>IF(OR(H196="",I196=""),"",IF(H196=0,"",I196/H196))</f>
        <v>0</v>
      </c>
      <c r="K196" s="25">
        <f>IF(J196="","",J196*100)</f>
        <v>0</v>
      </c>
      <c r="L196" s="25">
        <f>IF(B196="","",IFERROR(AVERAGEIFS('Grocery Spending'!$L$5:$L$404,'Grocery Spending'!$H$5:$H$404,B196,'Grocery Spending'!$L$5:$L$404,"&gt;0"),""))</f>
        <v>0</v>
      </c>
      <c r="M196" s="25">
        <f>IF(B196="","",IF(COUNTIFS('Store Prices'!$B$5:$B$304,B196)=0,"",IF(SUMPRODUCT(MIN((('Store Prices'!$B$5:$B$304=B196)*(IFERROR('Store Prices'!$I$5:$I$304*1,0)&gt;0))*IFERROR('Store Prices'!$I$5:$I$304*1,0)+(1-(('Store Prices'!$B$5:$B$304=B196)*(IFERROR('Store Prices'!$I$5:$I$304*1,0)&gt;0)))*999999))&gt;=999999,"",SUMPRODUCT(MIN((('Store Prices'!$B$5:$B$304=B196)*(IFERROR('Store Prices'!$I$5:$I$304*1,0)&gt;0))*IFERROR('Store Prices'!$I$5:$I$304*1,0)+(1-(('Store Prices'!$B$5:$B$304=B196)*(IFERROR('Store Prices'!$I$5:$I$304*1,0)&gt;0)))*999999)))))</f>
        <v>0</v>
      </c>
      <c r="N196" s="17">
        <f>IF(M196="","",IFERROR(INDEX('Store Prices'!$C$5:$C$304,MATCH(1,INDEX(('Store Prices'!$B$5:$B$304=B196)*('Store Prices'!$I$5:$I$304=M196),0),0)),""))</f>
        <v>0</v>
      </c>
      <c r="O196" s="25">
        <f>IF(OR(M196="",J196=""),"",MAX(0,(J196-M196)*100))</f>
        <v>0</v>
      </c>
      <c r="AD196" s="45">
        <f>IF(B196="","",SUMIFS(Pantry!$G$5:$G$304,Pantry!$B$5:$B$304,B196))</f>
        <v>0</v>
      </c>
      <c r="AE196" s="25">
        <f>IF(OR(AD196="",J196=""),"",AD196*J196)</f>
        <v>0</v>
      </c>
      <c r="AF196" s="18">
        <f>IF(B196="","",COUNTIFS('Recipe Ingredients'!$D$5:$D$1204,B196))</f>
        <v>0</v>
      </c>
      <c r="AG196" s="45">
        <f>IF(B196="","",SUMIFS('Recipe Ingredients'!$Y$5:$Y$1204,'Recipe Ingredients'!$D$5:$D$1204,B196))</f>
        <v>0</v>
      </c>
      <c r="AH196" s="30">
        <f>IF(B196="",0,IFERROR(K196*1,0)*IFERROR(AF196*1,0))</f>
        <v>0</v>
      </c>
      <c r="AI196" s="18">
        <f>IF(B196="","",COUNTIFS($AH$5:$AH$304,"&gt;"&amp;AH196)+COUNTIFS($AH$5:AH196,AH196))</f>
        <v>0</v>
      </c>
      <c r="AJ196" s="18">
        <f>IF(B196="",0,COUNTIFS('Food Waste'!$E$5:$E$154,B196))</f>
        <v>0</v>
      </c>
      <c r="AK196" s="18">
        <f>IF(B196="","",COUNTIFS($AJ$5:$AJ$304,"&gt;"&amp;AJ196)+COUNTIFS($AJ$5:AJ196,AJ196))</f>
        <v>0</v>
      </c>
      <c r="AL196" s="18">
        <f>IF(B196="","",IF(AG196&gt;0,COUNTIF(AG$5:AG196,"&gt;0"),""))</f>
        <v>0</v>
      </c>
      <c r="AM196" s="45">
        <f>IF(B196="","",SUMIFS('Grocery List'!$Q$5:$Q$304,'Grocery List'!$B$5:$B$304,B196))</f>
        <v>0</v>
      </c>
      <c r="AN196" s="31">
        <f>IF(B196="","",IF(I196="","Add - no price yet",IF(H196="","Add - no pack size",IF(COUNTIFS($B$5:$B$304,B196)&gt;1,"Duplicate - same name twice",IF(AF196=0,"Check - no recipe uses it","OK")))))</f>
        <v>0</v>
      </c>
    </row>
    <row r="197" spans="1:40">
      <c r="A197" s="39">
        <f>IF(B197="","",IngredientPrefix&amp;TEXT(ROW()-4,"0000"))</f>
        <v>0</v>
      </c>
      <c r="J197" s="25">
        <f>IF(OR(H197="",I197=""),"",IF(H197=0,"",I197/H197))</f>
        <v>0</v>
      </c>
      <c r="K197" s="25">
        <f>IF(J197="","",J197*100)</f>
        <v>0</v>
      </c>
      <c r="L197" s="25">
        <f>IF(B197="","",IFERROR(AVERAGEIFS('Grocery Spending'!$L$5:$L$404,'Grocery Spending'!$H$5:$H$404,B197,'Grocery Spending'!$L$5:$L$404,"&gt;0"),""))</f>
        <v>0</v>
      </c>
      <c r="M197" s="25">
        <f>IF(B197="","",IF(COUNTIFS('Store Prices'!$B$5:$B$304,B197)=0,"",IF(SUMPRODUCT(MIN((('Store Prices'!$B$5:$B$304=B197)*(IFERROR('Store Prices'!$I$5:$I$304*1,0)&gt;0))*IFERROR('Store Prices'!$I$5:$I$304*1,0)+(1-(('Store Prices'!$B$5:$B$304=B197)*(IFERROR('Store Prices'!$I$5:$I$304*1,0)&gt;0)))*999999))&gt;=999999,"",SUMPRODUCT(MIN((('Store Prices'!$B$5:$B$304=B197)*(IFERROR('Store Prices'!$I$5:$I$304*1,0)&gt;0))*IFERROR('Store Prices'!$I$5:$I$304*1,0)+(1-(('Store Prices'!$B$5:$B$304=B197)*(IFERROR('Store Prices'!$I$5:$I$304*1,0)&gt;0)))*999999)))))</f>
        <v>0</v>
      </c>
      <c r="N197" s="17">
        <f>IF(M197="","",IFERROR(INDEX('Store Prices'!$C$5:$C$304,MATCH(1,INDEX(('Store Prices'!$B$5:$B$304=B197)*('Store Prices'!$I$5:$I$304=M197),0),0)),""))</f>
        <v>0</v>
      </c>
      <c r="O197" s="25">
        <f>IF(OR(M197="",J197=""),"",MAX(0,(J197-M197)*100))</f>
        <v>0</v>
      </c>
      <c r="AD197" s="45">
        <f>IF(B197="","",SUMIFS(Pantry!$G$5:$G$304,Pantry!$B$5:$B$304,B197))</f>
        <v>0</v>
      </c>
      <c r="AE197" s="25">
        <f>IF(OR(AD197="",J197=""),"",AD197*J197)</f>
        <v>0</v>
      </c>
      <c r="AF197" s="18">
        <f>IF(B197="","",COUNTIFS('Recipe Ingredients'!$D$5:$D$1204,B197))</f>
        <v>0</v>
      </c>
      <c r="AG197" s="45">
        <f>IF(B197="","",SUMIFS('Recipe Ingredients'!$Y$5:$Y$1204,'Recipe Ingredients'!$D$5:$D$1204,B197))</f>
        <v>0</v>
      </c>
      <c r="AH197" s="30">
        <f>IF(B197="",0,IFERROR(K197*1,0)*IFERROR(AF197*1,0))</f>
        <v>0</v>
      </c>
      <c r="AI197" s="18">
        <f>IF(B197="","",COUNTIFS($AH$5:$AH$304,"&gt;"&amp;AH197)+COUNTIFS($AH$5:AH197,AH197))</f>
        <v>0</v>
      </c>
      <c r="AJ197" s="18">
        <f>IF(B197="",0,COUNTIFS('Food Waste'!$E$5:$E$154,B197))</f>
        <v>0</v>
      </c>
      <c r="AK197" s="18">
        <f>IF(B197="","",COUNTIFS($AJ$5:$AJ$304,"&gt;"&amp;AJ197)+COUNTIFS($AJ$5:AJ197,AJ197))</f>
        <v>0</v>
      </c>
      <c r="AL197" s="18">
        <f>IF(B197="","",IF(AG197&gt;0,COUNTIF(AG$5:AG197,"&gt;0"),""))</f>
        <v>0</v>
      </c>
      <c r="AM197" s="45">
        <f>IF(B197="","",SUMIFS('Grocery List'!$Q$5:$Q$304,'Grocery List'!$B$5:$B$304,B197))</f>
        <v>0</v>
      </c>
      <c r="AN197" s="31">
        <f>IF(B197="","",IF(I197="","Add - no price yet",IF(H197="","Add - no pack size",IF(COUNTIFS($B$5:$B$304,B197)&gt;1,"Duplicate - same name twice",IF(AF197=0,"Check - no recipe uses it","OK")))))</f>
        <v>0</v>
      </c>
    </row>
    <row r="198" spans="1:40">
      <c r="A198" s="39">
        <f>IF(B198="","",IngredientPrefix&amp;TEXT(ROW()-4,"0000"))</f>
        <v>0</v>
      </c>
      <c r="J198" s="25">
        <f>IF(OR(H198="",I198=""),"",IF(H198=0,"",I198/H198))</f>
        <v>0</v>
      </c>
      <c r="K198" s="25">
        <f>IF(J198="","",J198*100)</f>
        <v>0</v>
      </c>
      <c r="L198" s="25">
        <f>IF(B198="","",IFERROR(AVERAGEIFS('Grocery Spending'!$L$5:$L$404,'Grocery Spending'!$H$5:$H$404,B198,'Grocery Spending'!$L$5:$L$404,"&gt;0"),""))</f>
        <v>0</v>
      </c>
      <c r="M198" s="25">
        <f>IF(B198="","",IF(COUNTIFS('Store Prices'!$B$5:$B$304,B198)=0,"",IF(SUMPRODUCT(MIN((('Store Prices'!$B$5:$B$304=B198)*(IFERROR('Store Prices'!$I$5:$I$304*1,0)&gt;0))*IFERROR('Store Prices'!$I$5:$I$304*1,0)+(1-(('Store Prices'!$B$5:$B$304=B198)*(IFERROR('Store Prices'!$I$5:$I$304*1,0)&gt;0)))*999999))&gt;=999999,"",SUMPRODUCT(MIN((('Store Prices'!$B$5:$B$304=B198)*(IFERROR('Store Prices'!$I$5:$I$304*1,0)&gt;0))*IFERROR('Store Prices'!$I$5:$I$304*1,0)+(1-(('Store Prices'!$B$5:$B$304=B198)*(IFERROR('Store Prices'!$I$5:$I$304*1,0)&gt;0)))*999999)))))</f>
        <v>0</v>
      </c>
      <c r="N198" s="17">
        <f>IF(M198="","",IFERROR(INDEX('Store Prices'!$C$5:$C$304,MATCH(1,INDEX(('Store Prices'!$B$5:$B$304=B198)*('Store Prices'!$I$5:$I$304=M198),0),0)),""))</f>
        <v>0</v>
      </c>
      <c r="O198" s="25">
        <f>IF(OR(M198="",J198=""),"",MAX(0,(J198-M198)*100))</f>
        <v>0</v>
      </c>
      <c r="AD198" s="45">
        <f>IF(B198="","",SUMIFS(Pantry!$G$5:$G$304,Pantry!$B$5:$B$304,B198))</f>
        <v>0</v>
      </c>
      <c r="AE198" s="25">
        <f>IF(OR(AD198="",J198=""),"",AD198*J198)</f>
        <v>0</v>
      </c>
      <c r="AF198" s="18">
        <f>IF(B198="","",COUNTIFS('Recipe Ingredients'!$D$5:$D$1204,B198))</f>
        <v>0</v>
      </c>
      <c r="AG198" s="45">
        <f>IF(B198="","",SUMIFS('Recipe Ingredients'!$Y$5:$Y$1204,'Recipe Ingredients'!$D$5:$D$1204,B198))</f>
        <v>0</v>
      </c>
      <c r="AH198" s="30">
        <f>IF(B198="",0,IFERROR(K198*1,0)*IFERROR(AF198*1,0))</f>
        <v>0</v>
      </c>
      <c r="AI198" s="18">
        <f>IF(B198="","",COUNTIFS($AH$5:$AH$304,"&gt;"&amp;AH198)+COUNTIFS($AH$5:AH198,AH198))</f>
        <v>0</v>
      </c>
      <c r="AJ198" s="18">
        <f>IF(B198="",0,COUNTIFS('Food Waste'!$E$5:$E$154,B198))</f>
        <v>0</v>
      </c>
      <c r="AK198" s="18">
        <f>IF(B198="","",COUNTIFS($AJ$5:$AJ$304,"&gt;"&amp;AJ198)+COUNTIFS($AJ$5:AJ198,AJ198))</f>
        <v>0</v>
      </c>
      <c r="AL198" s="18">
        <f>IF(B198="","",IF(AG198&gt;0,COUNTIF(AG$5:AG198,"&gt;0"),""))</f>
        <v>0</v>
      </c>
      <c r="AM198" s="45">
        <f>IF(B198="","",SUMIFS('Grocery List'!$Q$5:$Q$304,'Grocery List'!$B$5:$B$304,B198))</f>
        <v>0</v>
      </c>
      <c r="AN198" s="31">
        <f>IF(B198="","",IF(I198="","Add - no price yet",IF(H198="","Add - no pack size",IF(COUNTIFS($B$5:$B$304,B198)&gt;1,"Duplicate - same name twice",IF(AF198=0,"Check - no recipe uses it","OK")))))</f>
        <v>0</v>
      </c>
    </row>
    <row r="199" spans="1:40">
      <c r="A199" s="39">
        <f>IF(B199="","",IngredientPrefix&amp;TEXT(ROW()-4,"0000"))</f>
        <v>0</v>
      </c>
      <c r="J199" s="25">
        <f>IF(OR(H199="",I199=""),"",IF(H199=0,"",I199/H199))</f>
        <v>0</v>
      </c>
      <c r="K199" s="25">
        <f>IF(J199="","",J199*100)</f>
        <v>0</v>
      </c>
      <c r="L199" s="25">
        <f>IF(B199="","",IFERROR(AVERAGEIFS('Grocery Spending'!$L$5:$L$404,'Grocery Spending'!$H$5:$H$404,B199,'Grocery Spending'!$L$5:$L$404,"&gt;0"),""))</f>
        <v>0</v>
      </c>
      <c r="M199" s="25">
        <f>IF(B199="","",IF(COUNTIFS('Store Prices'!$B$5:$B$304,B199)=0,"",IF(SUMPRODUCT(MIN((('Store Prices'!$B$5:$B$304=B199)*(IFERROR('Store Prices'!$I$5:$I$304*1,0)&gt;0))*IFERROR('Store Prices'!$I$5:$I$304*1,0)+(1-(('Store Prices'!$B$5:$B$304=B199)*(IFERROR('Store Prices'!$I$5:$I$304*1,0)&gt;0)))*999999))&gt;=999999,"",SUMPRODUCT(MIN((('Store Prices'!$B$5:$B$304=B199)*(IFERROR('Store Prices'!$I$5:$I$304*1,0)&gt;0))*IFERROR('Store Prices'!$I$5:$I$304*1,0)+(1-(('Store Prices'!$B$5:$B$304=B199)*(IFERROR('Store Prices'!$I$5:$I$304*1,0)&gt;0)))*999999)))))</f>
        <v>0</v>
      </c>
      <c r="N199" s="17">
        <f>IF(M199="","",IFERROR(INDEX('Store Prices'!$C$5:$C$304,MATCH(1,INDEX(('Store Prices'!$B$5:$B$304=B199)*('Store Prices'!$I$5:$I$304=M199),0),0)),""))</f>
        <v>0</v>
      </c>
      <c r="O199" s="25">
        <f>IF(OR(M199="",J199=""),"",MAX(0,(J199-M199)*100))</f>
        <v>0</v>
      </c>
      <c r="AD199" s="45">
        <f>IF(B199="","",SUMIFS(Pantry!$G$5:$G$304,Pantry!$B$5:$B$304,B199))</f>
        <v>0</v>
      </c>
      <c r="AE199" s="25">
        <f>IF(OR(AD199="",J199=""),"",AD199*J199)</f>
        <v>0</v>
      </c>
      <c r="AF199" s="18">
        <f>IF(B199="","",COUNTIFS('Recipe Ingredients'!$D$5:$D$1204,B199))</f>
        <v>0</v>
      </c>
      <c r="AG199" s="45">
        <f>IF(B199="","",SUMIFS('Recipe Ingredients'!$Y$5:$Y$1204,'Recipe Ingredients'!$D$5:$D$1204,B199))</f>
        <v>0</v>
      </c>
      <c r="AH199" s="30">
        <f>IF(B199="",0,IFERROR(K199*1,0)*IFERROR(AF199*1,0))</f>
        <v>0</v>
      </c>
      <c r="AI199" s="18">
        <f>IF(B199="","",COUNTIFS($AH$5:$AH$304,"&gt;"&amp;AH199)+COUNTIFS($AH$5:AH199,AH199))</f>
        <v>0</v>
      </c>
      <c r="AJ199" s="18">
        <f>IF(B199="",0,COUNTIFS('Food Waste'!$E$5:$E$154,B199))</f>
        <v>0</v>
      </c>
      <c r="AK199" s="18">
        <f>IF(B199="","",COUNTIFS($AJ$5:$AJ$304,"&gt;"&amp;AJ199)+COUNTIFS($AJ$5:AJ199,AJ199))</f>
        <v>0</v>
      </c>
      <c r="AL199" s="18">
        <f>IF(B199="","",IF(AG199&gt;0,COUNTIF(AG$5:AG199,"&gt;0"),""))</f>
        <v>0</v>
      </c>
      <c r="AM199" s="45">
        <f>IF(B199="","",SUMIFS('Grocery List'!$Q$5:$Q$304,'Grocery List'!$B$5:$B$304,B199))</f>
        <v>0</v>
      </c>
      <c r="AN199" s="31">
        <f>IF(B199="","",IF(I199="","Add - no price yet",IF(H199="","Add - no pack size",IF(COUNTIFS($B$5:$B$304,B199)&gt;1,"Duplicate - same name twice",IF(AF199=0,"Check - no recipe uses it","OK")))))</f>
        <v>0</v>
      </c>
    </row>
    <row r="200" spans="1:40">
      <c r="A200" s="39">
        <f>IF(B200="","",IngredientPrefix&amp;TEXT(ROW()-4,"0000"))</f>
        <v>0</v>
      </c>
      <c r="J200" s="25">
        <f>IF(OR(H200="",I200=""),"",IF(H200=0,"",I200/H200))</f>
        <v>0</v>
      </c>
      <c r="K200" s="25">
        <f>IF(J200="","",J200*100)</f>
        <v>0</v>
      </c>
      <c r="L200" s="25">
        <f>IF(B200="","",IFERROR(AVERAGEIFS('Grocery Spending'!$L$5:$L$404,'Grocery Spending'!$H$5:$H$404,B200,'Grocery Spending'!$L$5:$L$404,"&gt;0"),""))</f>
        <v>0</v>
      </c>
      <c r="M200" s="25">
        <f>IF(B200="","",IF(COUNTIFS('Store Prices'!$B$5:$B$304,B200)=0,"",IF(SUMPRODUCT(MIN((('Store Prices'!$B$5:$B$304=B200)*(IFERROR('Store Prices'!$I$5:$I$304*1,0)&gt;0))*IFERROR('Store Prices'!$I$5:$I$304*1,0)+(1-(('Store Prices'!$B$5:$B$304=B200)*(IFERROR('Store Prices'!$I$5:$I$304*1,0)&gt;0)))*999999))&gt;=999999,"",SUMPRODUCT(MIN((('Store Prices'!$B$5:$B$304=B200)*(IFERROR('Store Prices'!$I$5:$I$304*1,0)&gt;0))*IFERROR('Store Prices'!$I$5:$I$304*1,0)+(1-(('Store Prices'!$B$5:$B$304=B200)*(IFERROR('Store Prices'!$I$5:$I$304*1,0)&gt;0)))*999999)))))</f>
        <v>0</v>
      </c>
      <c r="N200" s="17">
        <f>IF(M200="","",IFERROR(INDEX('Store Prices'!$C$5:$C$304,MATCH(1,INDEX(('Store Prices'!$B$5:$B$304=B200)*('Store Prices'!$I$5:$I$304=M200),0),0)),""))</f>
        <v>0</v>
      </c>
      <c r="O200" s="25">
        <f>IF(OR(M200="",J200=""),"",MAX(0,(J200-M200)*100))</f>
        <v>0</v>
      </c>
      <c r="AD200" s="45">
        <f>IF(B200="","",SUMIFS(Pantry!$G$5:$G$304,Pantry!$B$5:$B$304,B200))</f>
        <v>0</v>
      </c>
      <c r="AE200" s="25">
        <f>IF(OR(AD200="",J200=""),"",AD200*J200)</f>
        <v>0</v>
      </c>
      <c r="AF200" s="18">
        <f>IF(B200="","",COUNTIFS('Recipe Ingredients'!$D$5:$D$1204,B200))</f>
        <v>0</v>
      </c>
      <c r="AG200" s="45">
        <f>IF(B200="","",SUMIFS('Recipe Ingredients'!$Y$5:$Y$1204,'Recipe Ingredients'!$D$5:$D$1204,B200))</f>
        <v>0</v>
      </c>
      <c r="AH200" s="30">
        <f>IF(B200="",0,IFERROR(K200*1,0)*IFERROR(AF200*1,0))</f>
        <v>0</v>
      </c>
      <c r="AI200" s="18">
        <f>IF(B200="","",COUNTIFS($AH$5:$AH$304,"&gt;"&amp;AH200)+COUNTIFS($AH$5:AH200,AH200))</f>
        <v>0</v>
      </c>
      <c r="AJ200" s="18">
        <f>IF(B200="",0,COUNTIFS('Food Waste'!$E$5:$E$154,B200))</f>
        <v>0</v>
      </c>
      <c r="AK200" s="18">
        <f>IF(B200="","",COUNTIFS($AJ$5:$AJ$304,"&gt;"&amp;AJ200)+COUNTIFS($AJ$5:AJ200,AJ200))</f>
        <v>0</v>
      </c>
      <c r="AL200" s="18">
        <f>IF(B200="","",IF(AG200&gt;0,COUNTIF(AG$5:AG200,"&gt;0"),""))</f>
        <v>0</v>
      </c>
      <c r="AM200" s="45">
        <f>IF(B200="","",SUMIFS('Grocery List'!$Q$5:$Q$304,'Grocery List'!$B$5:$B$304,B200))</f>
        <v>0</v>
      </c>
      <c r="AN200" s="31">
        <f>IF(B200="","",IF(I200="","Add - no price yet",IF(H200="","Add - no pack size",IF(COUNTIFS($B$5:$B$304,B200)&gt;1,"Duplicate - same name twice",IF(AF200=0,"Check - no recipe uses it","OK")))))</f>
        <v>0</v>
      </c>
    </row>
    <row r="201" spans="1:40">
      <c r="A201" s="39">
        <f>IF(B201="","",IngredientPrefix&amp;TEXT(ROW()-4,"0000"))</f>
        <v>0</v>
      </c>
      <c r="J201" s="25">
        <f>IF(OR(H201="",I201=""),"",IF(H201=0,"",I201/H201))</f>
        <v>0</v>
      </c>
      <c r="K201" s="25">
        <f>IF(J201="","",J201*100)</f>
        <v>0</v>
      </c>
      <c r="L201" s="25">
        <f>IF(B201="","",IFERROR(AVERAGEIFS('Grocery Spending'!$L$5:$L$404,'Grocery Spending'!$H$5:$H$404,B201,'Grocery Spending'!$L$5:$L$404,"&gt;0"),""))</f>
        <v>0</v>
      </c>
      <c r="M201" s="25">
        <f>IF(B201="","",IF(COUNTIFS('Store Prices'!$B$5:$B$304,B201)=0,"",IF(SUMPRODUCT(MIN((('Store Prices'!$B$5:$B$304=B201)*(IFERROR('Store Prices'!$I$5:$I$304*1,0)&gt;0))*IFERROR('Store Prices'!$I$5:$I$304*1,0)+(1-(('Store Prices'!$B$5:$B$304=B201)*(IFERROR('Store Prices'!$I$5:$I$304*1,0)&gt;0)))*999999))&gt;=999999,"",SUMPRODUCT(MIN((('Store Prices'!$B$5:$B$304=B201)*(IFERROR('Store Prices'!$I$5:$I$304*1,0)&gt;0))*IFERROR('Store Prices'!$I$5:$I$304*1,0)+(1-(('Store Prices'!$B$5:$B$304=B201)*(IFERROR('Store Prices'!$I$5:$I$304*1,0)&gt;0)))*999999)))))</f>
        <v>0</v>
      </c>
      <c r="N201" s="17">
        <f>IF(M201="","",IFERROR(INDEX('Store Prices'!$C$5:$C$304,MATCH(1,INDEX(('Store Prices'!$B$5:$B$304=B201)*('Store Prices'!$I$5:$I$304=M201),0),0)),""))</f>
        <v>0</v>
      </c>
      <c r="O201" s="25">
        <f>IF(OR(M201="",J201=""),"",MAX(0,(J201-M201)*100))</f>
        <v>0</v>
      </c>
      <c r="AD201" s="45">
        <f>IF(B201="","",SUMIFS(Pantry!$G$5:$G$304,Pantry!$B$5:$B$304,B201))</f>
        <v>0</v>
      </c>
      <c r="AE201" s="25">
        <f>IF(OR(AD201="",J201=""),"",AD201*J201)</f>
        <v>0</v>
      </c>
      <c r="AF201" s="18">
        <f>IF(B201="","",COUNTIFS('Recipe Ingredients'!$D$5:$D$1204,B201))</f>
        <v>0</v>
      </c>
      <c r="AG201" s="45">
        <f>IF(B201="","",SUMIFS('Recipe Ingredients'!$Y$5:$Y$1204,'Recipe Ingredients'!$D$5:$D$1204,B201))</f>
        <v>0</v>
      </c>
      <c r="AH201" s="30">
        <f>IF(B201="",0,IFERROR(K201*1,0)*IFERROR(AF201*1,0))</f>
        <v>0</v>
      </c>
      <c r="AI201" s="18">
        <f>IF(B201="","",COUNTIFS($AH$5:$AH$304,"&gt;"&amp;AH201)+COUNTIFS($AH$5:AH201,AH201))</f>
        <v>0</v>
      </c>
      <c r="AJ201" s="18">
        <f>IF(B201="",0,COUNTIFS('Food Waste'!$E$5:$E$154,B201))</f>
        <v>0</v>
      </c>
      <c r="AK201" s="18">
        <f>IF(B201="","",COUNTIFS($AJ$5:$AJ$304,"&gt;"&amp;AJ201)+COUNTIFS($AJ$5:AJ201,AJ201))</f>
        <v>0</v>
      </c>
      <c r="AL201" s="18">
        <f>IF(B201="","",IF(AG201&gt;0,COUNTIF(AG$5:AG201,"&gt;0"),""))</f>
        <v>0</v>
      </c>
      <c r="AM201" s="45">
        <f>IF(B201="","",SUMIFS('Grocery List'!$Q$5:$Q$304,'Grocery List'!$B$5:$B$304,B201))</f>
        <v>0</v>
      </c>
      <c r="AN201" s="31">
        <f>IF(B201="","",IF(I201="","Add - no price yet",IF(H201="","Add - no pack size",IF(COUNTIFS($B$5:$B$304,B201)&gt;1,"Duplicate - same name twice",IF(AF201=0,"Check - no recipe uses it","OK")))))</f>
        <v>0</v>
      </c>
    </row>
    <row r="202" spans="1:40">
      <c r="A202" s="39">
        <f>IF(B202="","",IngredientPrefix&amp;TEXT(ROW()-4,"0000"))</f>
        <v>0</v>
      </c>
      <c r="J202" s="25">
        <f>IF(OR(H202="",I202=""),"",IF(H202=0,"",I202/H202))</f>
        <v>0</v>
      </c>
      <c r="K202" s="25">
        <f>IF(J202="","",J202*100)</f>
        <v>0</v>
      </c>
      <c r="L202" s="25">
        <f>IF(B202="","",IFERROR(AVERAGEIFS('Grocery Spending'!$L$5:$L$404,'Grocery Spending'!$H$5:$H$404,B202,'Grocery Spending'!$L$5:$L$404,"&gt;0"),""))</f>
        <v>0</v>
      </c>
      <c r="M202" s="25">
        <f>IF(B202="","",IF(COUNTIFS('Store Prices'!$B$5:$B$304,B202)=0,"",IF(SUMPRODUCT(MIN((('Store Prices'!$B$5:$B$304=B202)*(IFERROR('Store Prices'!$I$5:$I$304*1,0)&gt;0))*IFERROR('Store Prices'!$I$5:$I$304*1,0)+(1-(('Store Prices'!$B$5:$B$304=B202)*(IFERROR('Store Prices'!$I$5:$I$304*1,0)&gt;0)))*999999))&gt;=999999,"",SUMPRODUCT(MIN((('Store Prices'!$B$5:$B$304=B202)*(IFERROR('Store Prices'!$I$5:$I$304*1,0)&gt;0))*IFERROR('Store Prices'!$I$5:$I$304*1,0)+(1-(('Store Prices'!$B$5:$B$304=B202)*(IFERROR('Store Prices'!$I$5:$I$304*1,0)&gt;0)))*999999)))))</f>
        <v>0</v>
      </c>
      <c r="N202" s="17">
        <f>IF(M202="","",IFERROR(INDEX('Store Prices'!$C$5:$C$304,MATCH(1,INDEX(('Store Prices'!$B$5:$B$304=B202)*('Store Prices'!$I$5:$I$304=M202),0),0)),""))</f>
        <v>0</v>
      </c>
      <c r="O202" s="25">
        <f>IF(OR(M202="",J202=""),"",MAX(0,(J202-M202)*100))</f>
        <v>0</v>
      </c>
      <c r="AD202" s="45">
        <f>IF(B202="","",SUMIFS(Pantry!$G$5:$G$304,Pantry!$B$5:$B$304,B202))</f>
        <v>0</v>
      </c>
      <c r="AE202" s="25">
        <f>IF(OR(AD202="",J202=""),"",AD202*J202)</f>
        <v>0</v>
      </c>
      <c r="AF202" s="18">
        <f>IF(B202="","",COUNTIFS('Recipe Ingredients'!$D$5:$D$1204,B202))</f>
        <v>0</v>
      </c>
      <c r="AG202" s="45">
        <f>IF(B202="","",SUMIFS('Recipe Ingredients'!$Y$5:$Y$1204,'Recipe Ingredients'!$D$5:$D$1204,B202))</f>
        <v>0</v>
      </c>
      <c r="AH202" s="30">
        <f>IF(B202="",0,IFERROR(K202*1,0)*IFERROR(AF202*1,0))</f>
        <v>0</v>
      </c>
      <c r="AI202" s="18">
        <f>IF(B202="","",COUNTIFS($AH$5:$AH$304,"&gt;"&amp;AH202)+COUNTIFS($AH$5:AH202,AH202))</f>
        <v>0</v>
      </c>
      <c r="AJ202" s="18">
        <f>IF(B202="",0,COUNTIFS('Food Waste'!$E$5:$E$154,B202))</f>
        <v>0</v>
      </c>
      <c r="AK202" s="18">
        <f>IF(B202="","",COUNTIFS($AJ$5:$AJ$304,"&gt;"&amp;AJ202)+COUNTIFS($AJ$5:AJ202,AJ202))</f>
        <v>0</v>
      </c>
      <c r="AL202" s="18">
        <f>IF(B202="","",IF(AG202&gt;0,COUNTIF(AG$5:AG202,"&gt;0"),""))</f>
        <v>0</v>
      </c>
      <c r="AM202" s="45">
        <f>IF(B202="","",SUMIFS('Grocery List'!$Q$5:$Q$304,'Grocery List'!$B$5:$B$304,B202))</f>
        <v>0</v>
      </c>
      <c r="AN202" s="31">
        <f>IF(B202="","",IF(I202="","Add - no price yet",IF(H202="","Add - no pack size",IF(COUNTIFS($B$5:$B$304,B202)&gt;1,"Duplicate - same name twice",IF(AF202=0,"Check - no recipe uses it","OK")))))</f>
        <v>0</v>
      </c>
    </row>
    <row r="203" spans="1:40">
      <c r="A203" s="39">
        <f>IF(B203="","",IngredientPrefix&amp;TEXT(ROW()-4,"0000"))</f>
        <v>0</v>
      </c>
      <c r="J203" s="25">
        <f>IF(OR(H203="",I203=""),"",IF(H203=0,"",I203/H203))</f>
        <v>0</v>
      </c>
      <c r="K203" s="25">
        <f>IF(J203="","",J203*100)</f>
        <v>0</v>
      </c>
      <c r="L203" s="25">
        <f>IF(B203="","",IFERROR(AVERAGEIFS('Grocery Spending'!$L$5:$L$404,'Grocery Spending'!$H$5:$H$404,B203,'Grocery Spending'!$L$5:$L$404,"&gt;0"),""))</f>
        <v>0</v>
      </c>
      <c r="M203" s="25">
        <f>IF(B203="","",IF(COUNTIFS('Store Prices'!$B$5:$B$304,B203)=0,"",IF(SUMPRODUCT(MIN((('Store Prices'!$B$5:$B$304=B203)*(IFERROR('Store Prices'!$I$5:$I$304*1,0)&gt;0))*IFERROR('Store Prices'!$I$5:$I$304*1,0)+(1-(('Store Prices'!$B$5:$B$304=B203)*(IFERROR('Store Prices'!$I$5:$I$304*1,0)&gt;0)))*999999))&gt;=999999,"",SUMPRODUCT(MIN((('Store Prices'!$B$5:$B$304=B203)*(IFERROR('Store Prices'!$I$5:$I$304*1,0)&gt;0))*IFERROR('Store Prices'!$I$5:$I$304*1,0)+(1-(('Store Prices'!$B$5:$B$304=B203)*(IFERROR('Store Prices'!$I$5:$I$304*1,0)&gt;0)))*999999)))))</f>
        <v>0</v>
      </c>
      <c r="N203" s="17">
        <f>IF(M203="","",IFERROR(INDEX('Store Prices'!$C$5:$C$304,MATCH(1,INDEX(('Store Prices'!$B$5:$B$304=B203)*('Store Prices'!$I$5:$I$304=M203),0),0)),""))</f>
        <v>0</v>
      </c>
      <c r="O203" s="25">
        <f>IF(OR(M203="",J203=""),"",MAX(0,(J203-M203)*100))</f>
        <v>0</v>
      </c>
      <c r="AD203" s="45">
        <f>IF(B203="","",SUMIFS(Pantry!$G$5:$G$304,Pantry!$B$5:$B$304,B203))</f>
        <v>0</v>
      </c>
      <c r="AE203" s="25">
        <f>IF(OR(AD203="",J203=""),"",AD203*J203)</f>
        <v>0</v>
      </c>
      <c r="AF203" s="18">
        <f>IF(B203="","",COUNTIFS('Recipe Ingredients'!$D$5:$D$1204,B203))</f>
        <v>0</v>
      </c>
      <c r="AG203" s="45">
        <f>IF(B203="","",SUMIFS('Recipe Ingredients'!$Y$5:$Y$1204,'Recipe Ingredients'!$D$5:$D$1204,B203))</f>
        <v>0</v>
      </c>
      <c r="AH203" s="30">
        <f>IF(B203="",0,IFERROR(K203*1,0)*IFERROR(AF203*1,0))</f>
        <v>0</v>
      </c>
      <c r="AI203" s="18">
        <f>IF(B203="","",COUNTIFS($AH$5:$AH$304,"&gt;"&amp;AH203)+COUNTIFS($AH$5:AH203,AH203))</f>
        <v>0</v>
      </c>
      <c r="AJ203" s="18">
        <f>IF(B203="",0,COUNTIFS('Food Waste'!$E$5:$E$154,B203))</f>
        <v>0</v>
      </c>
      <c r="AK203" s="18">
        <f>IF(B203="","",COUNTIFS($AJ$5:$AJ$304,"&gt;"&amp;AJ203)+COUNTIFS($AJ$5:AJ203,AJ203))</f>
        <v>0</v>
      </c>
      <c r="AL203" s="18">
        <f>IF(B203="","",IF(AG203&gt;0,COUNTIF(AG$5:AG203,"&gt;0"),""))</f>
        <v>0</v>
      </c>
      <c r="AM203" s="45">
        <f>IF(B203="","",SUMIFS('Grocery List'!$Q$5:$Q$304,'Grocery List'!$B$5:$B$304,B203))</f>
        <v>0</v>
      </c>
      <c r="AN203" s="31">
        <f>IF(B203="","",IF(I203="","Add - no price yet",IF(H203="","Add - no pack size",IF(COUNTIFS($B$5:$B$304,B203)&gt;1,"Duplicate - same name twice",IF(AF203=0,"Check - no recipe uses it","OK")))))</f>
        <v>0</v>
      </c>
    </row>
    <row r="204" spans="1:40">
      <c r="A204" s="39">
        <f>IF(B204="","",IngredientPrefix&amp;TEXT(ROW()-4,"0000"))</f>
        <v>0</v>
      </c>
      <c r="J204" s="25">
        <f>IF(OR(H204="",I204=""),"",IF(H204=0,"",I204/H204))</f>
        <v>0</v>
      </c>
      <c r="K204" s="25">
        <f>IF(J204="","",J204*100)</f>
        <v>0</v>
      </c>
      <c r="L204" s="25">
        <f>IF(B204="","",IFERROR(AVERAGEIFS('Grocery Spending'!$L$5:$L$404,'Grocery Spending'!$H$5:$H$404,B204,'Grocery Spending'!$L$5:$L$404,"&gt;0"),""))</f>
        <v>0</v>
      </c>
      <c r="M204" s="25">
        <f>IF(B204="","",IF(COUNTIFS('Store Prices'!$B$5:$B$304,B204)=0,"",IF(SUMPRODUCT(MIN((('Store Prices'!$B$5:$B$304=B204)*(IFERROR('Store Prices'!$I$5:$I$304*1,0)&gt;0))*IFERROR('Store Prices'!$I$5:$I$304*1,0)+(1-(('Store Prices'!$B$5:$B$304=B204)*(IFERROR('Store Prices'!$I$5:$I$304*1,0)&gt;0)))*999999))&gt;=999999,"",SUMPRODUCT(MIN((('Store Prices'!$B$5:$B$304=B204)*(IFERROR('Store Prices'!$I$5:$I$304*1,0)&gt;0))*IFERROR('Store Prices'!$I$5:$I$304*1,0)+(1-(('Store Prices'!$B$5:$B$304=B204)*(IFERROR('Store Prices'!$I$5:$I$304*1,0)&gt;0)))*999999)))))</f>
        <v>0</v>
      </c>
      <c r="N204" s="17">
        <f>IF(M204="","",IFERROR(INDEX('Store Prices'!$C$5:$C$304,MATCH(1,INDEX(('Store Prices'!$B$5:$B$304=B204)*('Store Prices'!$I$5:$I$304=M204),0),0)),""))</f>
        <v>0</v>
      </c>
      <c r="O204" s="25">
        <f>IF(OR(M204="",J204=""),"",MAX(0,(J204-M204)*100))</f>
        <v>0</v>
      </c>
      <c r="AD204" s="45">
        <f>IF(B204="","",SUMIFS(Pantry!$G$5:$G$304,Pantry!$B$5:$B$304,B204))</f>
        <v>0</v>
      </c>
      <c r="AE204" s="25">
        <f>IF(OR(AD204="",J204=""),"",AD204*J204)</f>
        <v>0</v>
      </c>
      <c r="AF204" s="18">
        <f>IF(B204="","",COUNTIFS('Recipe Ingredients'!$D$5:$D$1204,B204))</f>
        <v>0</v>
      </c>
      <c r="AG204" s="45">
        <f>IF(B204="","",SUMIFS('Recipe Ingredients'!$Y$5:$Y$1204,'Recipe Ingredients'!$D$5:$D$1204,B204))</f>
        <v>0</v>
      </c>
      <c r="AH204" s="30">
        <f>IF(B204="",0,IFERROR(K204*1,0)*IFERROR(AF204*1,0))</f>
        <v>0</v>
      </c>
      <c r="AI204" s="18">
        <f>IF(B204="","",COUNTIFS($AH$5:$AH$304,"&gt;"&amp;AH204)+COUNTIFS($AH$5:AH204,AH204))</f>
        <v>0</v>
      </c>
      <c r="AJ204" s="18">
        <f>IF(B204="",0,COUNTIFS('Food Waste'!$E$5:$E$154,B204))</f>
        <v>0</v>
      </c>
      <c r="AK204" s="18">
        <f>IF(B204="","",COUNTIFS($AJ$5:$AJ$304,"&gt;"&amp;AJ204)+COUNTIFS($AJ$5:AJ204,AJ204))</f>
        <v>0</v>
      </c>
      <c r="AL204" s="18">
        <f>IF(B204="","",IF(AG204&gt;0,COUNTIF(AG$5:AG204,"&gt;0"),""))</f>
        <v>0</v>
      </c>
      <c r="AM204" s="45">
        <f>IF(B204="","",SUMIFS('Grocery List'!$Q$5:$Q$304,'Grocery List'!$B$5:$B$304,B204))</f>
        <v>0</v>
      </c>
      <c r="AN204" s="31">
        <f>IF(B204="","",IF(I204="","Add - no price yet",IF(H204="","Add - no pack size",IF(COUNTIFS($B$5:$B$304,B204)&gt;1,"Duplicate - same name twice",IF(AF204=0,"Check - no recipe uses it","OK")))))</f>
        <v>0</v>
      </c>
    </row>
    <row r="205" spans="1:40">
      <c r="A205" s="39">
        <f>IF(B205="","",IngredientPrefix&amp;TEXT(ROW()-4,"0000"))</f>
        <v>0</v>
      </c>
      <c r="J205" s="25">
        <f>IF(OR(H205="",I205=""),"",IF(H205=0,"",I205/H205))</f>
        <v>0</v>
      </c>
      <c r="K205" s="25">
        <f>IF(J205="","",J205*100)</f>
        <v>0</v>
      </c>
      <c r="L205" s="25">
        <f>IF(B205="","",IFERROR(AVERAGEIFS('Grocery Spending'!$L$5:$L$404,'Grocery Spending'!$H$5:$H$404,B205,'Grocery Spending'!$L$5:$L$404,"&gt;0"),""))</f>
        <v>0</v>
      </c>
      <c r="M205" s="25">
        <f>IF(B205="","",IF(COUNTIFS('Store Prices'!$B$5:$B$304,B205)=0,"",IF(SUMPRODUCT(MIN((('Store Prices'!$B$5:$B$304=B205)*(IFERROR('Store Prices'!$I$5:$I$304*1,0)&gt;0))*IFERROR('Store Prices'!$I$5:$I$304*1,0)+(1-(('Store Prices'!$B$5:$B$304=B205)*(IFERROR('Store Prices'!$I$5:$I$304*1,0)&gt;0)))*999999))&gt;=999999,"",SUMPRODUCT(MIN((('Store Prices'!$B$5:$B$304=B205)*(IFERROR('Store Prices'!$I$5:$I$304*1,0)&gt;0))*IFERROR('Store Prices'!$I$5:$I$304*1,0)+(1-(('Store Prices'!$B$5:$B$304=B205)*(IFERROR('Store Prices'!$I$5:$I$304*1,0)&gt;0)))*999999)))))</f>
        <v>0</v>
      </c>
      <c r="N205" s="17">
        <f>IF(M205="","",IFERROR(INDEX('Store Prices'!$C$5:$C$304,MATCH(1,INDEX(('Store Prices'!$B$5:$B$304=B205)*('Store Prices'!$I$5:$I$304=M205),0),0)),""))</f>
        <v>0</v>
      </c>
      <c r="O205" s="25">
        <f>IF(OR(M205="",J205=""),"",MAX(0,(J205-M205)*100))</f>
        <v>0</v>
      </c>
      <c r="AD205" s="45">
        <f>IF(B205="","",SUMIFS(Pantry!$G$5:$G$304,Pantry!$B$5:$B$304,B205))</f>
        <v>0</v>
      </c>
      <c r="AE205" s="25">
        <f>IF(OR(AD205="",J205=""),"",AD205*J205)</f>
        <v>0</v>
      </c>
      <c r="AF205" s="18">
        <f>IF(B205="","",COUNTIFS('Recipe Ingredients'!$D$5:$D$1204,B205))</f>
        <v>0</v>
      </c>
      <c r="AG205" s="45">
        <f>IF(B205="","",SUMIFS('Recipe Ingredients'!$Y$5:$Y$1204,'Recipe Ingredients'!$D$5:$D$1204,B205))</f>
        <v>0</v>
      </c>
      <c r="AH205" s="30">
        <f>IF(B205="",0,IFERROR(K205*1,0)*IFERROR(AF205*1,0))</f>
        <v>0</v>
      </c>
      <c r="AI205" s="18">
        <f>IF(B205="","",COUNTIFS($AH$5:$AH$304,"&gt;"&amp;AH205)+COUNTIFS($AH$5:AH205,AH205))</f>
        <v>0</v>
      </c>
      <c r="AJ205" s="18">
        <f>IF(B205="",0,COUNTIFS('Food Waste'!$E$5:$E$154,B205))</f>
        <v>0</v>
      </c>
      <c r="AK205" s="18">
        <f>IF(B205="","",COUNTIFS($AJ$5:$AJ$304,"&gt;"&amp;AJ205)+COUNTIFS($AJ$5:AJ205,AJ205))</f>
        <v>0</v>
      </c>
      <c r="AL205" s="18">
        <f>IF(B205="","",IF(AG205&gt;0,COUNTIF(AG$5:AG205,"&gt;0"),""))</f>
        <v>0</v>
      </c>
      <c r="AM205" s="45">
        <f>IF(B205="","",SUMIFS('Grocery List'!$Q$5:$Q$304,'Grocery List'!$B$5:$B$304,B205))</f>
        <v>0</v>
      </c>
      <c r="AN205" s="31">
        <f>IF(B205="","",IF(I205="","Add - no price yet",IF(H205="","Add - no pack size",IF(COUNTIFS($B$5:$B$304,B205)&gt;1,"Duplicate - same name twice",IF(AF205=0,"Check - no recipe uses it","OK")))))</f>
        <v>0</v>
      </c>
    </row>
    <row r="206" spans="1:40">
      <c r="A206" s="39">
        <f>IF(B206="","",IngredientPrefix&amp;TEXT(ROW()-4,"0000"))</f>
        <v>0</v>
      </c>
      <c r="J206" s="25">
        <f>IF(OR(H206="",I206=""),"",IF(H206=0,"",I206/H206))</f>
        <v>0</v>
      </c>
      <c r="K206" s="25">
        <f>IF(J206="","",J206*100)</f>
        <v>0</v>
      </c>
      <c r="L206" s="25">
        <f>IF(B206="","",IFERROR(AVERAGEIFS('Grocery Spending'!$L$5:$L$404,'Grocery Spending'!$H$5:$H$404,B206,'Grocery Spending'!$L$5:$L$404,"&gt;0"),""))</f>
        <v>0</v>
      </c>
      <c r="M206" s="25">
        <f>IF(B206="","",IF(COUNTIFS('Store Prices'!$B$5:$B$304,B206)=0,"",IF(SUMPRODUCT(MIN((('Store Prices'!$B$5:$B$304=B206)*(IFERROR('Store Prices'!$I$5:$I$304*1,0)&gt;0))*IFERROR('Store Prices'!$I$5:$I$304*1,0)+(1-(('Store Prices'!$B$5:$B$304=B206)*(IFERROR('Store Prices'!$I$5:$I$304*1,0)&gt;0)))*999999))&gt;=999999,"",SUMPRODUCT(MIN((('Store Prices'!$B$5:$B$304=B206)*(IFERROR('Store Prices'!$I$5:$I$304*1,0)&gt;0))*IFERROR('Store Prices'!$I$5:$I$304*1,0)+(1-(('Store Prices'!$B$5:$B$304=B206)*(IFERROR('Store Prices'!$I$5:$I$304*1,0)&gt;0)))*999999)))))</f>
        <v>0</v>
      </c>
      <c r="N206" s="17">
        <f>IF(M206="","",IFERROR(INDEX('Store Prices'!$C$5:$C$304,MATCH(1,INDEX(('Store Prices'!$B$5:$B$304=B206)*('Store Prices'!$I$5:$I$304=M206),0),0)),""))</f>
        <v>0</v>
      </c>
      <c r="O206" s="25">
        <f>IF(OR(M206="",J206=""),"",MAX(0,(J206-M206)*100))</f>
        <v>0</v>
      </c>
      <c r="AD206" s="45">
        <f>IF(B206="","",SUMIFS(Pantry!$G$5:$G$304,Pantry!$B$5:$B$304,B206))</f>
        <v>0</v>
      </c>
      <c r="AE206" s="25">
        <f>IF(OR(AD206="",J206=""),"",AD206*J206)</f>
        <v>0</v>
      </c>
      <c r="AF206" s="18">
        <f>IF(B206="","",COUNTIFS('Recipe Ingredients'!$D$5:$D$1204,B206))</f>
        <v>0</v>
      </c>
      <c r="AG206" s="45">
        <f>IF(B206="","",SUMIFS('Recipe Ingredients'!$Y$5:$Y$1204,'Recipe Ingredients'!$D$5:$D$1204,B206))</f>
        <v>0</v>
      </c>
      <c r="AH206" s="30">
        <f>IF(B206="",0,IFERROR(K206*1,0)*IFERROR(AF206*1,0))</f>
        <v>0</v>
      </c>
      <c r="AI206" s="18">
        <f>IF(B206="","",COUNTIFS($AH$5:$AH$304,"&gt;"&amp;AH206)+COUNTIFS($AH$5:AH206,AH206))</f>
        <v>0</v>
      </c>
      <c r="AJ206" s="18">
        <f>IF(B206="",0,COUNTIFS('Food Waste'!$E$5:$E$154,B206))</f>
        <v>0</v>
      </c>
      <c r="AK206" s="18">
        <f>IF(B206="","",COUNTIFS($AJ$5:$AJ$304,"&gt;"&amp;AJ206)+COUNTIFS($AJ$5:AJ206,AJ206))</f>
        <v>0</v>
      </c>
      <c r="AL206" s="18">
        <f>IF(B206="","",IF(AG206&gt;0,COUNTIF(AG$5:AG206,"&gt;0"),""))</f>
        <v>0</v>
      </c>
      <c r="AM206" s="45">
        <f>IF(B206="","",SUMIFS('Grocery List'!$Q$5:$Q$304,'Grocery List'!$B$5:$B$304,B206))</f>
        <v>0</v>
      </c>
      <c r="AN206" s="31">
        <f>IF(B206="","",IF(I206="","Add - no price yet",IF(H206="","Add - no pack size",IF(COUNTIFS($B$5:$B$304,B206)&gt;1,"Duplicate - same name twice",IF(AF206=0,"Check - no recipe uses it","OK")))))</f>
        <v>0</v>
      </c>
    </row>
    <row r="207" spans="1:40">
      <c r="A207" s="39">
        <f>IF(B207="","",IngredientPrefix&amp;TEXT(ROW()-4,"0000"))</f>
        <v>0</v>
      </c>
      <c r="J207" s="25">
        <f>IF(OR(H207="",I207=""),"",IF(H207=0,"",I207/H207))</f>
        <v>0</v>
      </c>
      <c r="K207" s="25">
        <f>IF(J207="","",J207*100)</f>
        <v>0</v>
      </c>
      <c r="L207" s="25">
        <f>IF(B207="","",IFERROR(AVERAGEIFS('Grocery Spending'!$L$5:$L$404,'Grocery Spending'!$H$5:$H$404,B207,'Grocery Spending'!$L$5:$L$404,"&gt;0"),""))</f>
        <v>0</v>
      </c>
      <c r="M207" s="25">
        <f>IF(B207="","",IF(COUNTIFS('Store Prices'!$B$5:$B$304,B207)=0,"",IF(SUMPRODUCT(MIN((('Store Prices'!$B$5:$B$304=B207)*(IFERROR('Store Prices'!$I$5:$I$304*1,0)&gt;0))*IFERROR('Store Prices'!$I$5:$I$304*1,0)+(1-(('Store Prices'!$B$5:$B$304=B207)*(IFERROR('Store Prices'!$I$5:$I$304*1,0)&gt;0)))*999999))&gt;=999999,"",SUMPRODUCT(MIN((('Store Prices'!$B$5:$B$304=B207)*(IFERROR('Store Prices'!$I$5:$I$304*1,0)&gt;0))*IFERROR('Store Prices'!$I$5:$I$304*1,0)+(1-(('Store Prices'!$B$5:$B$304=B207)*(IFERROR('Store Prices'!$I$5:$I$304*1,0)&gt;0)))*999999)))))</f>
        <v>0</v>
      </c>
      <c r="N207" s="17">
        <f>IF(M207="","",IFERROR(INDEX('Store Prices'!$C$5:$C$304,MATCH(1,INDEX(('Store Prices'!$B$5:$B$304=B207)*('Store Prices'!$I$5:$I$304=M207),0),0)),""))</f>
        <v>0</v>
      </c>
      <c r="O207" s="25">
        <f>IF(OR(M207="",J207=""),"",MAX(0,(J207-M207)*100))</f>
        <v>0</v>
      </c>
      <c r="AD207" s="45">
        <f>IF(B207="","",SUMIFS(Pantry!$G$5:$G$304,Pantry!$B$5:$B$304,B207))</f>
        <v>0</v>
      </c>
      <c r="AE207" s="25">
        <f>IF(OR(AD207="",J207=""),"",AD207*J207)</f>
        <v>0</v>
      </c>
      <c r="AF207" s="18">
        <f>IF(B207="","",COUNTIFS('Recipe Ingredients'!$D$5:$D$1204,B207))</f>
        <v>0</v>
      </c>
      <c r="AG207" s="45">
        <f>IF(B207="","",SUMIFS('Recipe Ingredients'!$Y$5:$Y$1204,'Recipe Ingredients'!$D$5:$D$1204,B207))</f>
        <v>0</v>
      </c>
      <c r="AH207" s="30">
        <f>IF(B207="",0,IFERROR(K207*1,0)*IFERROR(AF207*1,0))</f>
        <v>0</v>
      </c>
      <c r="AI207" s="18">
        <f>IF(B207="","",COUNTIFS($AH$5:$AH$304,"&gt;"&amp;AH207)+COUNTIFS($AH$5:AH207,AH207))</f>
        <v>0</v>
      </c>
      <c r="AJ207" s="18">
        <f>IF(B207="",0,COUNTIFS('Food Waste'!$E$5:$E$154,B207))</f>
        <v>0</v>
      </c>
      <c r="AK207" s="18">
        <f>IF(B207="","",COUNTIFS($AJ$5:$AJ$304,"&gt;"&amp;AJ207)+COUNTIFS($AJ$5:AJ207,AJ207))</f>
        <v>0</v>
      </c>
      <c r="AL207" s="18">
        <f>IF(B207="","",IF(AG207&gt;0,COUNTIF(AG$5:AG207,"&gt;0"),""))</f>
        <v>0</v>
      </c>
      <c r="AM207" s="45">
        <f>IF(B207="","",SUMIFS('Grocery List'!$Q$5:$Q$304,'Grocery List'!$B$5:$B$304,B207))</f>
        <v>0</v>
      </c>
      <c r="AN207" s="31">
        <f>IF(B207="","",IF(I207="","Add - no price yet",IF(H207="","Add - no pack size",IF(COUNTIFS($B$5:$B$304,B207)&gt;1,"Duplicate - same name twice",IF(AF207=0,"Check - no recipe uses it","OK")))))</f>
        <v>0</v>
      </c>
    </row>
    <row r="208" spans="1:40">
      <c r="A208" s="39">
        <f>IF(B208="","",IngredientPrefix&amp;TEXT(ROW()-4,"0000"))</f>
        <v>0</v>
      </c>
      <c r="J208" s="25">
        <f>IF(OR(H208="",I208=""),"",IF(H208=0,"",I208/H208))</f>
        <v>0</v>
      </c>
      <c r="K208" s="25">
        <f>IF(J208="","",J208*100)</f>
        <v>0</v>
      </c>
      <c r="L208" s="25">
        <f>IF(B208="","",IFERROR(AVERAGEIFS('Grocery Spending'!$L$5:$L$404,'Grocery Spending'!$H$5:$H$404,B208,'Grocery Spending'!$L$5:$L$404,"&gt;0"),""))</f>
        <v>0</v>
      </c>
      <c r="M208" s="25">
        <f>IF(B208="","",IF(COUNTIFS('Store Prices'!$B$5:$B$304,B208)=0,"",IF(SUMPRODUCT(MIN((('Store Prices'!$B$5:$B$304=B208)*(IFERROR('Store Prices'!$I$5:$I$304*1,0)&gt;0))*IFERROR('Store Prices'!$I$5:$I$304*1,0)+(1-(('Store Prices'!$B$5:$B$304=B208)*(IFERROR('Store Prices'!$I$5:$I$304*1,0)&gt;0)))*999999))&gt;=999999,"",SUMPRODUCT(MIN((('Store Prices'!$B$5:$B$304=B208)*(IFERROR('Store Prices'!$I$5:$I$304*1,0)&gt;0))*IFERROR('Store Prices'!$I$5:$I$304*1,0)+(1-(('Store Prices'!$B$5:$B$304=B208)*(IFERROR('Store Prices'!$I$5:$I$304*1,0)&gt;0)))*999999)))))</f>
        <v>0</v>
      </c>
      <c r="N208" s="17">
        <f>IF(M208="","",IFERROR(INDEX('Store Prices'!$C$5:$C$304,MATCH(1,INDEX(('Store Prices'!$B$5:$B$304=B208)*('Store Prices'!$I$5:$I$304=M208),0),0)),""))</f>
        <v>0</v>
      </c>
      <c r="O208" s="25">
        <f>IF(OR(M208="",J208=""),"",MAX(0,(J208-M208)*100))</f>
        <v>0</v>
      </c>
      <c r="AD208" s="45">
        <f>IF(B208="","",SUMIFS(Pantry!$G$5:$G$304,Pantry!$B$5:$B$304,B208))</f>
        <v>0</v>
      </c>
      <c r="AE208" s="25">
        <f>IF(OR(AD208="",J208=""),"",AD208*J208)</f>
        <v>0</v>
      </c>
      <c r="AF208" s="18">
        <f>IF(B208="","",COUNTIFS('Recipe Ingredients'!$D$5:$D$1204,B208))</f>
        <v>0</v>
      </c>
      <c r="AG208" s="45">
        <f>IF(B208="","",SUMIFS('Recipe Ingredients'!$Y$5:$Y$1204,'Recipe Ingredients'!$D$5:$D$1204,B208))</f>
        <v>0</v>
      </c>
      <c r="AH208" s="30">
        <f>IF(B208="",0,IFERROR(K208*1,0)*IFERROR(AF208*1,0))</f>
        <v>0</v>
      </c>
      <c r="AI208" s="18">
        <f>IF(B208="","",COUNTIFS($AH$5:$AH$304,"&gt;"&amp;AH208)+COUNTIFS($AH$5:AH208,AH208))</f>
        <v>0</v>
      </c>
      <c r="AJ208" s="18">
        <f>IF(B208="",0,COUNTIFS('Food Waste'!$E$5:$E$154,B208))</f>
        <v>0</v>
      </c>
      <c r="AK208" s="18">
        <f>IF(B208="","",COUNTIFS($AJ$5:$AJ$304,"&gt;"&amp;AJ208)+COUNTIFS($AJ$5:AJ208,AJ208))</f>
        <v>0</v>
      </c>
      <c r="AL208" s="18">
        <f>IF(B208="","",IF(AG208&gt;0,COUNTIF(AG$5:AG208,"&gt;0"),""))</f>
        <v>0</v>
      </c>
      <c r="AM208" s="45">
        <f>IF(B208="","",SUMIFS('Grocery List'!$Q$5:$Q$304,'Grocery List'!$B$5:$B$304,B208))</f>
        <v>0</v>
      </c>
      <c r="AN208" s="31">
        <f>IF(B208="","",IF(I208="","Add - no price yet",IF(H208="","Add - no pack size",IF(COUNTIFS($B$5:$B$304,B208)&gt;1,"Duplicate - same name twice",IF(AF208=0,"Check - no recipe uses it","OK")))))</f>
        <v>0</v>
      </c>
    </row>
    <row r="209" spans="1:40">
      <c r="A209" s="39">
        <f>IF(B209="","",IngredientPrefix&amp;TEXT(ROW()-4,"0000"))</f>
        <v>0</v>
      </c>
      <c r="J209" s="25">
        <f>IF(OR(H209="",I209=""),"",IF(H209=0,"",I209/H209))</f>
        <v>0</v>
      </c>
      <c r="K209" s="25">
        <f>IF(J209="","",J209*100)</f>
        <v>0</v>
      </c>
      <c r="L209" s="25">
        <f>IF(B209="","",IFERROR(AVERAGEIFS('Grocery Spending'!$L$5:$L$404,'Grocery Spending'!$H$5:$H$404,B209,'Grocery Spending'!$L$5:$L$404,"&gt;0"),""))</f>
        <v>0</v>
      </c>
      <c r="M209" s="25">
        <f>IF(B209="","",IF(COUNTIFS('Store Prices'!$B$5:$B$304,B209)=0,"",IF(SUMPRODUCT(MIN((('Store Prices'!$B$5:$B$304=B209)*(IFERROR('Store Prices'!$I$5:$I$304*1,0)&gt;0))*IFERROR('Store Prices'!$I$5:$I$304*1,0)+(1-(('Store Prices'!$B$5:$B$304=B209)*(IFERROR('Store Prices'!$I$5:$I$304*1,0)&gt;0)))*999999))&gt;=999999,"",SUMPRODUCT(MIN((('Store Prices'!$B$5:$B$304=B209)*(IFERROR('Store Prices'!$I$5:$I$304*1,0)&gt;0))*IFERROR('Store Prices'!$I$5:$I$304*1,0)+(1-(('Store Prices'!$B$5:$B$304=B209)*(IFERROR('Store Prices'!$I$5:$I$304*1,0)&gt;0)))*999999)))))</f>
        <v>0</v>
      </c>
      <c r="N209" s="17">
        <f>IF(M209="","",IFERROR(INDEX('Store Prices'!$C$5:$C$304,MATCH(1,INDEX(('Store Prices'!$B$5:$B$304=B209)*('Store Prices'!$I$5:$I$304=M209),0),0)),""))</f>
        <v>0</v>
      </c>
      <c r="O209" s="25">
        <f>IF(OR(M209="",J209=""),"",MAX(0,(J209-M209)*100))</f>
        <v>0</v>
      </c>
      <c r="AD209" s="45">
        <f>IF(B209="","",SUMIFS(Pantry!$G$5:$G$304,Pantry!$B$5:$B$304,B209))</f>
        <v>0</v>
      </c>
      <c r="AE209" s="25">
        <f>IF(OR(AD209="",J209=""),"",AD209*J209)</f>
        <v>0</v>
      </c>
      <c r="AF209" s="18">
        <f>IF(B209="","",COUNTIFS('Recipe Ingredients'!$D$5:$D$1204,B209))</f>
        <v>0</v>
      </c>
      <c r="AG209" s="45">
        <f>IF(B209="","",SUMIFS('Recipe Ingredients'!$Y$5:$Y$1204,'Recipe Ingredients'!$D$5:$D$1204,B209))</f>
        <v>0</v>
      </c>
      <c r="AH209" s="30">
        <f>IF(B209="",0,IFERROR(K209*1,0)*IFERROR(AF209*1,0))</f>
        <v>0</v>
      </c>
      <c r="AI209" s="18">
        <f>IF(B209="","",COUNTIFS($AH$5:$AH$304,"&gt;"&amp;AH209)+COUNTIFS($AH$5:AH209,AH209))</f>
        <v>0</v>
      </c>
      <c r="AJ209" s="18">
        <f>IF(B209="",0,COUNTIFS('Food Waste'!$E$5:$E$154,B209))</f>
        <v>0</v>
      </c>
      <c r="AK209" s="18">
        <f>IF(B209="","",COUNTIFS($AJ$5:$AJ$304,"&gt;"&amp;AJ209)+COUNTIFS($AJ$5:AJ209,AJ209))</f>
        <v>0</v>
      </c>
      <c r="AL209" s="18">
        <f>IF(B209="","",IF(AG209&gt;0,COUNTIF(AG$5:AG209,"&gt;0"),""))</f>
        <v>0</v>
      </c>
      <c r="AM209" s="45">
        <f>IF(B209="","",SUMIFS('Grocery List'!$Q$5:$Q$304,'Grocery List'!$B$5:$B$304,B209))</f>
        <v>0</v>
      </c>
      <c r="AN209" s="31">
        <f>IF(B209="","",IF(I209="","Add - no price yet",IF(H209="","Add - no pack size",IF(COUNTIFS($B$5:$B$304,B209)&gt;1,"Duplicate - same name twice",IF(AF209=0,"Check - no recipe uses it","OK")))))</f>
        <v>0</v>
      </c>
    </row>
    <row r="210" spans="1:40">
      <c r="A210" s="39">
        <f>IF(B210="","",IngredientPrefix&amp;TEXT(ROW()-4,"0000"))</f>
        <v>0</v>
      </c>
      <c r="J210" s="25">
        <f>IF(OR(H210="",I210=""),"",IF(H210=0,"",I210/H210))</f>
        <v>0</v>
      </c>
      <c r="K210" s="25">
        <f>IF(J210="","",J210*100)</f>
        <v>0</v>
      </c>
      <c r="L210" s="25">
        <f>IF(B210="","",IFERROR(AVERAGEIFS('Grocery Spending'!$L$5:$L$404,'Grocery Spending'!$H$5:$H$404,B210,'Grocery Spending'!$L$5:$L$404,"&gt;0"),""))</f>
        <v>0</v>
      </c>
      <c r="M210" s="25">
        <f>IF(B210="","",IF(COUNTIFS('Store Prices'!$B$5:$B$304,B210)=0,"",IF(SUMPRODUCT(MIN((('Store Prices'!$B$5:$B$304=B210)*(IFERROR('Store Prices'!$I$5:$I$304*1,0)&gt;0))*IFERROR('Store Prices'!$I$5:$I$304*1,0)+(1-(('Store Prices'!$B$5:$B$304=B210)*(IFERROR('Store Prices'!$I$5:$I$304*1,0)&gt;0)))*999999))&gt;=999999,"",SUMPRODUCT(MIN((('Store Prices'!$B$5:$B$304=B210)*(IFERROR('Store Prices'!$I$5:$I$304*1,0)&gt;0))*IFERROR('Store Prices'!$I$5:$I$304*1,0)+(1-(('Store Prices'!$B$5:$B$304=B210)*(IFERROR('Store Prices'!$I$5:$I$304*1,0)&gt;0)))*999999)))))</f>
        <v>0</v>
      </c>
      <c r="N210" s="17">
        <f>IF(M210="","",IFERROR(INDEX('Store Prices'!$C$5:$C$304,MATCH(1,INDEX(('Store Prices'!$B$5:$B$304=B210)*('Store Prices'!$I$5:$I$304=M210),0),0)),""))</f>
        <v>0</v>
      </c>
      <c r="O210" s="25">
        <f>IF(OR(M210="",J210=""),"",MAX(0,(J210-M210)*100))</f>
        <v>0</v>
      </c>
      <c r="AD210" s="45">
        <f>IF(B210="","",SUMIFS(Pantry!$G$5:$G$304,Pantry!$B$5:$B$304,B210))</f>
        <v>0</v>
      </c>
      <c r="AE210" s="25">
        <f>IF(OR(AD210="",J210=""),"",AD210*J210)</f>
        <v>0</v>
      </c>
      <c r="AF210" s="18">
        <f>IF(B210="","",COUNTIFS('Recipe Ingredients'!$D$5:$D$1204,B210))</f>
        <v>0</v>
      </c>
      <c r="AG210" s="45">
        <f>IF(B210="","",SUMIFS('Recipe Ingredients'!$Y$5:$Y$1204,'Recipe Ingredients'!$D$5:$D$1204,B210))</f>
        <v>0</v>
      </c>
      <c r="AH210" s="30">
        <f>IF(B210="",0,IFERROR(K210*1,0)*IFERROR(AF210*1,0))</f>
        <v>0</v>
      </c>
      <c r="AI210" s="18">
        <f>IF(B210="","",COUNTIFS($AH$5:$AH$304,"&gt;"&amp;AH210)+COUNTIFS($AH$5:AH210,AH210))</f>
        <v>0</v>
      </c>
      <c r="AJ210" s="18">
        <f>IF(B210="",0,COUNTIFS('Food Waste'!$E$5:$E$154,B210))</f>
        <v>0</v>
      </c>
      <c r="AK210" s="18">
        <f>IF(B210="","",COUNTIFS($AJ$5:$AJ$304,"&gt;"&amp;AJ210)+COUNTIFS($AJ$5:AJ210,AJ210))</f>
        <v>0</v>
      </c>
      <c r="AL210" s="18">
        <f>IF(B210="","",IF(AG210&gt;0,COUNTIF(AG$5:AG210,"&gt;0"),""))</f>
        <v>0</v>
      </c>
      <c r="AM210" s="45">
        <f>IF(B210="","",SUMIFS('Grocery List'!$Q$5:$Q$304,'Grocery List'!$B$5:$B$304,B210))</f>
        <v>0</v>
      </c>
      <c r="AN210" s="31">
        <f>IF(B210="","",IF(I210="","Add - no price yet",IF(H210="","Add - no pack size",IF(COUNTIFS($B$5:$B$304,B210)&gt;1,"Duplicate - same name twice",IF(AF210=0,"Check - no recipe uses it","OK")))))</f>
        <v>0</v>
      </c>
    </row>
    <row r="211" spans="1:40">
      <c r="A211" s="39">
        <f>IF(B211="","",IngredientPrefix&amp;TEXT(ROW()-4,"0000"))</f>
        <v>0</v>
      </c>
      <c r="J211" s="25">
        <f>IF(OR(H211="",I211=""),"",IF(H211=0,"",I211/H211))</f>
        <v>0</v>
      </c>
      <c r="K211" s="25">
        <f>IF(J211="","",J211*100)</f>
        <v>0</v>
      </c>
      <c r="L211" s="25">
        <f>IF(B211="","",IFERROR(AVERAGEIFS('Grocery Spending'!$L$5:$L$404,'Grocery Spending'!$H$5:$H$404,B211,'Grocery Spending'!$L$5:$L$404,"&gt;0"),""))</f>
        <v>0</v>
      </c>
      <c r="M211" s="25">
        <f>IF(B211="","",IF(COUNTIFS('Store Prices'!$B$5:$B$304,B211)=0,"",IF(SUMPRODUCT(MIN((('Store Prices'!$B$5:$B$304=B211)*(IFERROR('Store Prices'!$I$5:$I$304*1,0)&gt;0))*IFERROR('Store Prices'!$I$5:$I$304*1,0)+(1-(('Store Prices'!$B$5:$B$304=B211)*(IFERROR('Store Prices'!$I$5:$I$304*1,0)&gt;0)))*999999))&gt;=999999,"",SUMPRODUCT(MIN((('Store Prices'!$B$5:$B$304=B211)*(IFERROR('Store Prices'!$I$5:$I$304*1,0)&gt;0))*IFERROR('Store Prices'!$I$5:$I$304*1,0)+(1-(('Store Prices'!$B$5:$B$304=B211)*(IFERROR('Store Prices'!$I$5:$I$304*1,0)&gt;0)))*999999)))))</f>
        <v>0</v>
      </c>
      <c r="N211" s="17">
        <f>IF(M211="","",IFERROR(INDEX('Store Prices'!$C$5:$C$304,MATCH(1,INDEX(('Store Prices'!$B$5:$B$304=B211)*('Store Prices'!$I$5:$I$304=M211),0),0)),""))</f>
        <v>0</v>
      </c>
      <c r="O211" s="25">
        <f>IF(OR(M211="",J211=""),"",MAX(0,(J211-M211)*100))</f>
        <v>0</v>
      </c>
      <c r="AD211" s="45">
        <f>IF(B211="","",SUMIFS(Pantry!$G$5:$G$304,Pantry!$B$5:$B$304,B211))</f>
        <v>0</v>
      </c>
      <c r="AE211" s="25">
        <f>IF(OR(AD211="",J211=""),"",AD211*J211)</f>
        <v>0</v>
      </c>
      <c r="AF211" s="18">
        <f>IF(B211="","",COUNTIFS('Recipe Ingredients'!$D$5:$D$1204,B211))</f>
        <v>0</v>
      </c>
      <c r="AG211" s="45">
        <f>IF(B211="","",SUMIFS('Recipe Ingredients'!$Y$5:$Y$1204,'Recipe Ingredients'!$D$5:$D$1204,B211))</f>
        <v>0</v>
      </c>
      <c r="AH211" s="30">
        <f>IF(B211="",0,IFERROR(K211*1,0)*IFERROR(AF211*1,0))</f>
        <v>0</v>
      </c>
      <c r="AI211" s="18">
        <f>IF(B211="","",COUNTIFS($AH$5:$AH$304,"&gt;"&amp;AH211)+COUNTIFS($AH$5:AH211,AH211))</f>
        <v>0</v>
      </c>
      <c r="AJ211" s="18">
        <f>IF(B211="",0,COUNTIFS('Food Waste'!$E$5:$E$154,B211))</f>
        <v>0</v>
      </c>
      <c r="AK211" s="18">
        <f>IF(B211="","",COUNTIFS($AJ$5:$AJ$304,"&gt;"&amp;AJ211)+COUNTIFS($AJ$5:AJ211,AJ211))</f>
        <v>0</v>
      </c>
      <c r="AL211" s="18">
        <f>IF(B211="","",IF(AG211&gt;0,COUNTIF(AG$5:AG211,"&gt;0"),""))</f>
        <v>0</v>
      </c>
      <c r="AM211" s="45">
        <f>IF(B211="","",SUMIFS('Grocery List'!$Q$5:$Q$304,'Grocery List'!$B$5:$B$304,B211))</f>
        <v>0</v>
      </c>
      <c r="AN211" s="31">
        <f>IF(B211="","",IF(I211="","Add - no price yet",IF(H211="","Add - no pack size",IF(COUNTIFS($B$5:$B$304,B211)&gt;1,"Duplicate - same name twice",IF(AF211=0,"Check - no recipe uses it","OK")))))</f>
        <v>0</v>
      </c>
    </row>
    <row r="212" spans="1:40">
      <c r="A212" s="39">
        <f>IF(B212="","",IngredientPrefix&amp;TEXT(ROW()-4,"0000"))</f>
        <v>0</v>
      </c>
      <c r="J212" s="25">
        <f>IF(OR(H212="",I212=""),"",IF(H212=0,"",I212/H212))</f>
        <v>0</v>
      </c>
      <c r="K212" s="25">
        <f>IF(J212="","",J212*100)</f>
        <v>0</v>
      </c>
      <c r="L212" s="25">
        <f>IF(B212="","",IFERROR(AVERAGEIFS('Grocery Spending'!$L$5:$L$404,'Grocery Spending'!$H$5:$H$404,B212,'Grocery Spending'!$L$5:$L$404,"&gt;0"),""))</f>
        <v>0</v>
      </c>
      <c r="M212" s="25">
        <f>IF(B212="","",IF(COUNTIFS('Store Prices'!$B$5:$B$304,B212)=0,"",IF(SUMPRODUCT(MIN((('Store Prices'!$B$5:$B$304=B212)*(IFERROR('Store Prices'!$I$5:$I$304*1,0)&gt;0))*IFERROR('Store Prices'!$I$5:$I$304*1,0)+(1-(('Store Prices'!$B$5:$B$304=B212)*(IFERROR('Store Prices'!$I$5:$I$304*1,0)&gt;0)))*999999))&gt;=999999,"",SUMPRODUCT(MIN((('Store Prices'!$B$5:$B$304=B212)*(IFERROR('Store Prices'!$I$5:$I$304*1,0)&gt;0))*IFERROR('Store Prices'!$I$5:$I$304*1,0)+(1-(('Store Prices'!$B$5:$B$304=B212)*(IFERROR('Store Prices'!$I$5:$I$304*1,0)&gt;0)))*999999)))))</f>
        <v>0</v>
      </c>
      <c r="N212" s="17">
        <f>IF(M212="","",IFERROR(INDEX('Store Prices'!$C$5:$C$304,MATCH(1,INDEX(('Store Prices'!$B$5:$B$304=B212)*('Store Prices'!$I$5:$I$304=M212),0),0)),""))</f>
        <v>0</v>
      </c>
      <c r="O212" s="25">
        <f>IF(OR(M212="",J212=""),"",MAX(0,(J212-M212)*100))</f>
        <v>0</v>
      </c>
      <c r="AD212" s="45">
        <f>IF(B212="","",SUMIFS(Pantry!$G$5:$G$304,Pantry!$B$5:$B$304,B212))</f>
        <v>0</v>
      </c>
      <c r="AE212" s="25">
        <f>IF(OR(AD212="",J212=""),"",AD212*J212)</f>
        <v>0</v>
      </c>
      <c r="AF212" s="18">
        <f>IF(B212="","",COUNTIFS('Recipe Ingredients'!$D$5:$D$1204,B212))</f>
        <v>0</v>
      </c>
      <c r="AG212" s="45">
        <f>IF(B212="","",SUMIFS('Recipe Ingredients'!$Y$5:$Y$1204,'Recipe Ingredients'!$D$5:$D$1204,B212))</f>
        <v>0</v>
      </c>
      <c r="AH212" s="30">
        <f>IF(B212="",0,IFERROR(K212*1,0)*IFERROR(AF212*1,0))</f>
        <v>0</v>
      </c>
      <c r="AI212" s="18">
        <f>IF(B212="","",COUNTIFS($AH$5:$AH$304,"&gt;"&amp;AH212)+COUNTIFS($AH$5:AH212,AH212))</f>
        <v>0</v>
      </c>
      <c r="AJ212" s="18">
        <f>IF(B212="",0,COUNTIFS('Food Waste'!$E$5:$E$154,B212))</f>
        <v>0</v>
      </c>
      <c r="AK212" s="18">
        <f>IF(B212="","",COUNTIFS($AJ$5:$AJ$304,"&gt;"&amp;AJ212)+COUNTIFS($AJ$5:AJ212,AJ212))</f>
        <v>0</v>
      </c>
      <c r="AL212" s="18">
        <f>IF(B212="","",IF(AG212&gt;0,COUNTIF(AG$5:AG212,"&gt;0"),""))</f>
        <v>0</v>
      </c>
      <c r="AM212" s="45">
        <f>IF(B212="","",SUMIFS('Grocery List'!$Q$5:$Q$304,'Grocery List'!$B$5:$B$304,B212))</f>
        <v>0</v>
      </c>
      <c r="AN212" s="31">
        <f>IF(B212="","",IF(I212="","Add - no price yet",IF(H212="","Add - no pack size",IF(COUNTIFS($B$5:$B$304,B212)&gt;1,"Duplicate - same name twice",IF(AF212=0,"Check - no recipe uses it","OK")))))</f>
        <v>0</v>
      </c>
    </row>
    <row r="213" spans="1:40">
      <c r="A213" s="39">
        <f>IF(B213="","",IngredientPrefix&amp;TEXT(ROW()-4,"0000"))</f>
        <v>0</v>
      </c>
      <c r="J213" s="25">
        <f>IF(OR(H213="",I213=""),"",IF(H213=0,"",I213/H213))</f>
        <v>0</v>
      </c>
      <c r="K213" s="25">
        <f>IF(J213="","",J213*100)</f>
        <v>0</v>
      </c>
      <c r="L213" s="25">
        <f>IF(B213="","",IFERROR(AVERAGEIFS('Grocery Spending'!$L$5:$L$404,'Grocery Spending'!$H$5:$H$404,B213,'Grocery Spending'!$L$5:$L$404,"&gt;0"),""))</f>
        <v>0</v>
      </c>
      <c r="M213" s="25">
        <f>IF(B213="","",IF(COUNTIFS('Store Prices'!$B$5:$B$304,B213)=0,"",IF(SUMPRODUCT(MIN((('Store Prices'!$B$5:$B$304=B213)*(IFERROR('Store Prices'!$I$5:$I$304*1,0)&gt;0))*IFERROR('Store Prices'!$I$5:$I$304*1,0)+(1-(('Store Prices'!$B$5:$B$304=B213)*(IFERROR('Store Prices'!$I$5:$I$304*1,0)&gt;0)))*999999))&gt;=999999,"",SUMPRODUCT(MIN((('Store Prices'!$B$5:$B$304=B213)*(IFERROR('Store Prices'!$I$5:$I$304*1,0)&gt;0))*IFERROR('Store Prices'!$I$5:$I$304*1,0)+(1-(('Store Prices'!$B$5:$B$304=B213)*(IFERROR('Store Prices'!$I$5:$I$304*1,0)&gt;0)))*999999)))))</f>
        <v>0</v>
      </c>
      <c r="N213" s="17">
        <f>IF(M213="","",IFERROR(INDEX('Store Prices'!$C$5:$C$304,MATCH(1,INDEX(('Store Prices'!$B$5:$B$304=B213)*('Store Prices'!$I$5:$I$304=M213),0),0)),""))</f>
        <v>0</v>
      </c>
      <c r="O213" s="25">
        <f>IF(OR(M213="",J213=""),"",MAX(0,(J213-M213)*100))</f>
        <v>0</v>
      </c>
      <c r="AD213" s="45">
        <f>IF(B213="","",SUMIFS(Pantry!$G$5:$G$304,Pantry!$B$5:$B$304,B213))</f>
        <v>0</v>
      </c>
      <c r="AE213" s="25">
        <f>IF(OR(AD213="",J213=""),"",AD213*J213)</f>
        <v>0</v>
      </c>
      <c r="AF213" s="18">
        <f>IF(B213="","",COUNTIFS('Recipe Ingredients'!$D$5:$D$1204,B213))</f>
        <v>0</v>
      </c>
      <c r="AG213" s="45">
        <f>IF(B213="","",SUMIFS('Recipe Ingredients'!$Y$5:$Y$1204,'Recipe Ingredients'!$D$5:$D$1204,B213))</f>
        <v>0</v>
      </c>
      <c r="AH213" s="30">
        <f>IF(B213="",0,IFERROR(K213*1,0)*IFERROR(AF213*1,0))</f>
        <v>0</v>
      </c>
      <c r="AI213" s="18">
        <f>IF(B213="","",COUNTIFS($AH$5:$AH$304,"&gt;"&amp;AH213)+COUNTIFS($AH$5:AH213,AH213))</f>
        <v>0</v>
      </c>
      <c r="AJ213" s="18">
        <f>IF(B213="",0,COUNTIFS('Food Waste'!$E$5:$E$154,B213))</f>
        <v>0</v>
      </c>
      <c r="AK213" s="18">
        <f>IF(B213="","",COUNTIFS($AJ$5:$AJ$304,"&gt;"&amp;AJ213)+COUNTIFS($AJ$5:AJ213,AJ213))</f>
        <v>0</v>
      </c>
      <c r="AL213" s="18">
        <f>IF(B213="","",IF(AG213&gt;0,COUNTIF(AG$5:AG213,"&gt;0"),""))</f>
        <v>0</v>
      </c>
      <c r="AM213" s="45">
        <f>IF(B213="","",SUMIFS('Grocery List'!$Q$5:$Q$304,'Grocery List'!$B$5:$B$304,B213))</f>
        <v>0</v>
      </c>
      <c r="AN213" s="31">
        <f>IF(B213="","",IF(I213="","Add - no price yet",IF(H213="","Add - no pack size",IF(COUNTIFS($B$5:$B$304,B213)&gt;1,"Duplicate - same name twice",IF(AF213=0,"Check - no recipe uses it","OK")))))</f>
        <v>0</v>
      </c>
    </row>
    <row r="214" spans="1:40">
      <c r="A214" s="39">
        <f>IF(B214="","",IngredientPrefix&amp;TEXT(ROW()-4,"0000"))</f>
        <v>0</v>
      </c>
      <c r="J214" s="25">
        <f>IF(OR(H214="",I214=""),"",IF(H214=0,"",I214/H214))</f>
        <v>0</v>
      </c>
      <c r="K214" s="25">
        <f>IF(J214="","",J214*100)</f>
        <v>0</v>
      </c>
      <c r="L214" s="25">
        <f>IF(B214="","",IFERROR(AVERAGEIFS('Grocery Spending'!$L$5:$L$404,'Grocery Spending'!$H$5:$H$404,B214,'Grocery Spending'!$L$5:$L$404,"&gt;0"),""))</f>
        <v>0</v>
      </c>
      <c r="M214" s="25">
        <f>IF(B214="","",IF(COUNTIFS('Store Prices'!$B$5:$B$304,B214)=0,"",IF(SUMPRODUCT(MIN((('Store Prices'!$B$5:$B$304=B214)*(IFERROR('Store Prices'!$I$5:$I$304*1,0)&gt;0))*IFERROR('Store Prices'!$I$5:$I$304*1,0)+(1-(('Store Prices'!$B$5:$B$304=B214)*(IFERROR('Store Prices'!$I$5:$I$304*1,0)&gt;0)))*999999))&gt;=999999,"",SUMPRODUCT(MIN((('Store Prices'!$B$5:$B$304=B214)*(IFERROR('Store Prices'!$I$5:$I$304*1,0)&gt;0))*IFERROR('Store Prices'!$I$5:$I$304*1,0)+(1-(('Store Prices'!$B$5:$B$304=B214)*(IFERROR('Store Prices'!$I$5:$I$304*1,0)&gt;0)))*999999)))))</f>
        <v>0</v>
      </c>
      <c r="N214" s="17">
        <f>IF(M214="","",IFERROR(INDEX('Store Prices'!$C$5:$C$304,MATCH(1,INDEX(('Store Prices'!$B$5:$B$304=B214)*('Store Prices'!$I$5:$I$304=M214),0),0)),""))</f>
        <v>0</v>
      </c>
      <c r="O214" s="25">
        <f>IF(OR(M214="",J214=""),"",MAX(0,(J214-M214)*100))</f>
        <v>0</v>
      </c>
      <c r="AD214" s="45">
        <f>IF(B214="","",SUMIFS(Pantry!$G$5:$G$304,Pantry!$B$5:$B$304,B214))</f>
        <v>0</v>
      </c>
      <c r="AE214" s="25">
        <f>IF(OR(AD214="",J214=""),"",AD214*J214)</f>
        <v>0</v>
      </c>
      <c r="AF214" s="18">
        <f>IF(B214="","",COUNTIFS('Recipe Ingredients'!$D$5:$D$1204,B214))</f>
        <v>0</v>
      </c>
      <c r="AG214" s="45">
        <f>IF(B214="","",SUMIFS('Recipe Ingredients'!$Y$5:$Y$1204,'Recipe Ingredients'!$D$5:$D$1204,B214))</f>
        <v>0</v>
      </c>
      <c r="AH214" s="30">
        <f>IF(B214="",0,IFERROR(K214*1,0)*IFERROR(AF214*1,0))</f>
        <v>0</v>
      </c>
      <c r="AI214" s="18">
        <f>IF(B214="","",COUNTIFS($AH$5:$AH$304,"&gt;"&amp;AH214)+COUNTIFS($AH$5:AH214,AH214))</f>
        <v>0</v>
      </c>
      <c r="AJ214" s="18">
        <f>IF(B214="",0,COUNTIFS('Food Waste'!$E$5:$E$154,B214))</f>
        <v>0</v>
      </c>
      <c r="AK214" s="18">
        <f>IF(B214="","",COUNTIFS($AJ$5:$AJ$304,"&gt;"&amp;AJ214)+COUNTIFS($AJ$5:AJ214,AJ214))</f>
        <v>0</v>
      </c>
      <c r="AL214" s="18">
        <f>IF(B214="","",IF(AG214&gt;0,COUNTIF(AG$5:AG214,"&gt;0"),""))</f>
        <v>0</v>
      </c>
      <c r="AM214" s="45">
        <f>IF(B214="","",SUMIFS('Grocery List'!$Q$5:$Q$304,'Grocery List'!$B$5:$B$304,B214))</f>
        <v>0</v>
      </c>
      <c r="AN214" s="31">
        <f>IF(B214="","",IF(I214="","Add - no price yet",IF(H214="","Add - no pack size",IF(COUNTIFS($B$5:$B$304,B214)&gt;1,"Duplicate - same name twice",IF(AF214=0,"Check - no recipe uses it","OK")))))</f>
        <v>0</v>
      </c>
    </row>
    <row r="215" spans="1:40">
      <c r="A215" s="39">
        <f>IF(B215="","",IngredientPrefix&amp;TEXT(ROW()-4,"0000"))</f>
        <v>0</v>
      </c>
      <c r="J215" s="25">
        <f>IF(OR(H215="",I215=""),"",IF(H215=0,"",I215/H215))</f>
        <v>0</v>
      </c>
      <c r="K215" s="25">
        <f>IF(J215="","",J215*100)</f>
        <v>0</v>
      </c>
      <c r="L215" s="25">
        <f>IF(B215="","",IFERROR(AVERAGEIFS('Grocery Spending'!$L$5:$L$404,'Grocery Spending'!$H$5:$H$404,B215,'Grocery Spending'!$L$5:$L$404,"&gt;0"),""))</f>
        <v>0</v>
      </c>
      <c r="M215" s="25">
        <f>IF(B215="","",IF(COUNTIFS('Store Prices'!$B$5:$B$304,B215)=0,"",IF(SUMPRODUCT(MIN((('Store Prices'!$B$5:$B$304=B215)*(IFERROR('Store Prices'!$I$5:$I$304*1,0)&gt;0))*IFERROR('Store Prices'!$I$5:$I$304*1,0)+(1-(('Store Prices'!$B$5:$B$304=B215)*(IFERROR('Store Prices'!$I$5:$I$304*1,0)&gt;0)))*999999))&gt;=999999,"",SUMPRODUCT(MIN((('Store Prices'!$B$5:$B$304=B215)*(IFERROR('Store Prices'!$I$5:$I$304*1,0)&gt;0))*IFERROR('Store Prices'!$I$5:$I$304*1,0)+(1-(('Store Prices'!$B$5:$B$304=B215)*(IFERROR('Store Prices'!$I$5:$I$304*1,0)&gt;0)))*999999)))))</f>
        <v>0</v>
      </c>
      <c r="N215" s="17">
        <f>IF(M215="","",IFERROR(INDEX('Store Prices'!$C$5:$C$304,MATCH(1,INDEX(('Store Prices'!$B$5:$B$304=B215)*('Store Prices'!$I$5:$I$304=M215),0),0)),""))</f>
        <v>0</v>
      </c>
      <c r="O215" s="25">
        <f>IF(OR(M215="",J215=""),"",MAX(0,(J215-M215)*100))</f>
        <v>0</v>
      </c>
      <c r="AD215" s="45">
        <f>IF(B215="","",SUMIFS(Pantry!$G$5:$G$304,Pantry!$B$5:$B$304,B215))</f>
        <v>0</v>
      </c>
      <c r="AE215" s="25">
        <f>IF(OR(AD215="",J215=""),"",AD215*J215)</f>
        <v>0</v>
      </c>
      <c r="AF215" s="18">
        <f>IF(B215="","",COUNTIFS('Recipe Ingredients'!$D$5:$D$1204,B215))</f>
        <v>0</v>
      </c>
      <c r="AG215" s="45">
        <f>IF(B215="","",SUMIFS('Recipe Ingredients'!$Y$5:$Y$1204,'Recipe Ingredients'!$D$5:$D$1204,B215))</f>
        <v>0</v>
      </c>
      <c r="AH215" s="30">
        <f>IF(B215="",0,IFERROR(K215*1,0)*IFERROR(AF215*1,0))</f>
        <v>0</v>
      </c>
      <c r="AI215" s="18">
        <f>IF(B215="","",COUNTIFS($AH$5:$AH$304,"&gt;"&amp;AH215)+COUNTIFS($AH$5:AH215,AH215))</f>
        <v>0</v>
      </c>
      <c r="AJ215" s="18">
        <f>IF(B215="",0,COUNTIFS('Food Waste'!$E$5:$E$154,B215))</f>
        <v>0</v>
      </c>
      <c r="AK215" s="18">
        <f>IF(B215="","",COUNTIFS($AJ$5:$AJ$304,"&gt;"&amp;AJ215)+COUNTIFS($AJ$5:AJ215,AJ215))</f>
        <v>0</v>
      </c>
      <c r="AL215" s="18">
        <f>IF(B215="","",IF(AG215&gt;0,COUNTIF(AG$5:AG215,"&gt;0"),""))</f>
        <v>0</v>
      </c>
      <c r="AM215" s="45">
        <f>IF(B215="","",SUMIFS('Grocery List'!$Q$5:$Q$304,'Grocery List'!$B$5:$B$304,B215))</f>
        <v>0</v>
      </c>
      <c r="AN215" s="31">
        <f>IF(B215="","",IF(I215="","Add - no price yet",IF(H215="","Add - no pack size",IF(COUNTIFS($B$5:$B$304,B215)&gt;1,"Duplicate - same name twice",IF(AF215=0,"Check - no recipe uses it","OK")))))</f>
        <v>0</v>
      </c>
    </row>
    <row r="216" spans="1:40">
      <c r="A216" s="39">
        <f>IF(B216="","",IngredientPrefix&amp;TEXT(ROW()-4,"0000"))</f>
        <v>0</v>
      </c>
      <c r="J216" s="25">
        <f>IF(OR(H216="",I216=""),"",IF(H216=0,"",I216/H216))</f>
        <v>0</v>
      </c>
      <c r="K216" s="25">
        <f>IF(J216="","",J216*100)</f>
        <v>0</v>
      </c>
      <c r="L216" s="25">
        <f>IF(B216="","",IFERROR(AVERAGEIFS('Grocery Spending'!$L$5:$L$404,'Grocery Spending'!$H$5:$H$404,B216,'Grocery Spending'!$L$5:$L$404,"&gt;0"),""))</f>
        <v>0</v>
      </c>
      <c r="M216" s="25">
        <f>IF(B216="","",IF(COUNTIFS('Store Prices'!$B$5:$B$304,B216)=0,"",IF(SUMPRODUCT(MIN((('Store Prices'!$B$5:$B$304=B216)*(IFERROR('Store Prices'!$I$5:$I$304*1,0)&gt;0))*IFERROR('Store Prices'!$I$5:$I$304*1,0)+(1-(('Store Prices'!$B$5:$B$304=B216)*(IFERROR('Store Prices'!$I$5:$I$304*1,0)&gt;0)))*999999))&gt;=999999,"",SUMPRODUCT(MIN((('Store Prices'!$B$5:$B$304=B216)*(IFERROR('Store Prices'!$I$5:$I$304*1,0)&gt;0))*IFERROR('Store Prices'!$I$5:$I$304*1,0)+(1-(('Store Prices'!$B$5:$B$304=B216)*(IFERROR('Store Prices'!$I$5:$I$304*1,0)&gt;0)))*999999)))))</f>
        <v>0</v>
      </c>
      <c r="N216" s="17">
        <f>IF(M216="","",IFERROR(INDEX('Store Prices'!$C$5:$C$304,MATCH(1,INDEX(('Store Prices'!$B$5:$B$304=B216)*('Store Prices'!$I$5:$I$304=M216),0),0)),""))</f>
        <v>0</v>
      </c>
      <c r="O216" s="25">
        <f>IF(OR(M216="",J216=""),"",MAX(0,(J216-M216)*100))</f>
        <v>0</v>
      </c>
      <c r="AD216" s="45">
        <f>IF(B216="","",SUMIFS(Pantry!$G$5:$G$304,Pantry!$B$5:$B$304,B216))</f>
        <v>0</v>
      </c>
      <c r="AE216" s="25">
        <f>IF(OR(AD216="",J216=""),"",AD216*J216)</f>
        <v>0</v>
      </c>
      <c r="AF216" s="18">
        <f>IF(B216="","",COUNTIFS('Recipe Ingredients'!$D$5:$D$1204,B216))</f>
        <v>0</v>
      </c>
      <c r="AG216" s="45">
        <f>IF(B216="","",SUMIFS('Recipe Ingredients'!$Y$5:$Y$1204,'Recipe Ingredients'!$D$5:$D$1204,B216))</f>
        <v>0</v>
      </c>
      <c r="AH216" s="30">
        <f>IF(B216="",0,IFERROR(K216*1,0)*IFERROR(AF216*1,0))</f>
        <v>0</v>
      </c>
      <c r="AI216" s="18">
        <f>IF(B216="","",COUNTIFS($AH$5:$AH$304,"&gt;"&amp;AH216)+COUNTIFS($AH$5:AH216,AH216))</f>
        <v>0</v>
      </c>
      <c r="AJ216" s="18">
        <f>IF(B216="",0,COUNTIFS('Food Waste'!$E$5:$E$154,B216))</f>
        <v>0</v>
      </c>
      <c r="AK216" s="18">
        <f>IF(B216="","",COUNTIFS($AJ$5:$AJ$304,"&gt;"&amp;AJ216)+COUNTIFS($AJ$5:AJ216,AJ216))</f>
        <v>0</v>
      </c>
      <c r="AL216" s="18">
        <f>IF(B216="","",IF(AG216&gt;0,COUNTIF(AG$5:AG216,"&gt;0"),""))</f>
        <v>0</v>
      </c>
      <c r="AM216" s="45">
        <f>IF(B216="","",SUMIFS('Grocery List'!$Q$5:$Q$304,'Grocery List'!$B$5:$B$304,B216))</f>
        <v>0</v>
      </c>
      <c r="AN216" s="31">
        <f>IF(B216="","",IF(I216="","Add - no price yet",IF(H216="","Add - no pack size",IF(COUNTIFS($B$5:$B$304,B216)&gt;1,"Duplicate - same name twice",IF(AF216=0,"Check - no recipe uses it","OK")))))</f>
        <v>0</v>
      </c>
    </row>
    <row r="217" spans="1:40">
      <c r="A217" s="39">
        <f>IF(B217="","",IngredientPrefix&amp;TEXT(ROW()-4,"0000"))</f>
        <v>0</v>
      </c>
      <c r="J217" s="25">
        <f>IF(OR(H217="",I217=""),"",IF(H217=0,"",I217/H217))</f>
        <v>0</v>
      </c>
      <c r="K217" s="25">
        <f>IF(J217="","",J217*100)</f>
        <v>0</v>
      </c>
      <c r="L217" s="25">
        <f>IF(B217="","",IFERROR(AVERAGEIFS('Grocery Spending'!$L$5:$L$404,'Grocery Spending'!$H$5:$H$404,B217,'Grocery Spending'!$L$5:$L$404,"&gt;0"),""))</f>
        <v>0</v>
      </c>
      <c r="M217" s="25">
        <f>IF(B217="","",IF(COUNTIFS('Store Prices'!$B$5:$B$304,B217)=0,"",IF(SUMPRODUCT(MIN((('Store Prices'!$B$5:$B$304=B217)*(IFERROR('Store Prices'!$I$5:$I$304*1,0)&gt;0))*IFERROR('Store Prices'!$I$5:$I$304*1,0)+(1-(('Store Prices'!$B$5:$B$304=B217)*(IFERROR('Store Prices'!$I$5:$I$304*1,0)&gt;0)))*999999))&gt;=999999,"",SUMPRODUCT(MIN((('Store Prices'!$B$5:$B$304=B217)*(IFERROR('Store Prices'!$I$5:$I$304*1,0)&gt;0))*IFERROR('Store Prices'!$I$5:$I$304*1,0)+(1-(('Store Prices'!$B$5:$B$304=B217)*(IFERROR('Store Prices'!$I$5:$I$304*1,0)&gt;0)))*999999)))))</f>
        <v>0</v>
      </c>
      <c r="N217" s="17">
        <f>IF(M217="","",IFERROR(INDEX('Store Prices'!$C$5:$C$304,MATCH(1,INDEX(('Store Prices'!$B$5:$B$304=B217)*('Store Prices'!$I$5:$I$304=M217),0),0)),""))</f>
        <v>0</v>
      </c>
      <c r="O217" s="25">
        <f>IF(OR(M217="",J217=""),"",MAX(0,(J217-M217)*100))</f>
        <v>0</v>
      </c>
      <c r="AD217" s="45">
        <f>IF(B217="","",SUMIFS(Pantry!$G$5:$G$304,Pantry!$B$5:$B$304,B217))</f>
        <v>0</v>
      </c>
      <c r="AE217" s="25">
        <f>IF(OR(AD217="",J217=""),"",AD217*J217)</f>
        <v>0</v>
      </c>
      <c r="AF217" s="18">
        <f>IF(B217="","",COUNTIFS('Recipe Ingredients'!$D$5:$D$1204,B217))</f>
        <v>0</v>
      </c>
      <c r="AG217" s="45">
        <f>IF(B217="","",SUMIFS('Recipe Ingredients'!$Y$5:$Y$1204,'Recipe Ingredients'!$D$5:$D$1204,B217))</f>
        <v>0</v>
      </c>
      <c r="AH217" s="30">
        <f>IF(B217="",0,IFERROR(K217*1,0)*IFERROR(AF217*1,0))</f>
        <v>0</v>
      </c>
      <c r="AI217" s="18">
        <f>IF(B217="","",COUNTIFS($AH$5:$AH$304,"&gt;"&amp;AH217)+COUNTIFS($AH$5:AH217,AH217))</f>
        <v>0</v>
      </c>
      <c r="AJ217" s="18">
        <f>IF(B217="",0,COUNTIFS('Food Waste'!$E$5:$E$154,B217))</f>
        <v>0</v>
      </c>
      <c r="AK217" s="18">
        <f>IF(B217="","",COUNTIFS($AJ$5:$AJ$304,"&gt;"&amp;AJ217)+COUNTIFS($AJ$5:AJ217,AJ217))</f>
        <v>0</v>
      </c>
      <c r="AL217" s="18">
        <f>IF(B217="","",IF(AG217&gt;0,COUNTIF(AG$5:AG217,"&gt;0"),""))</f>
        <v>0</v>
      </c>
      <c r="AM217" s="45">
        <f>IF(B217="","",SUMIFS('Grocery List'!$Q$5:$Q$304,'Grocery List'!$B$5:$B$304,B217))</f>
        <v>0</v>
      </c>
      <c r="AN217" s="31">
        <f>IF(B217="","",IF(I217="","Add - no price yet",IF(H217="","Add - no pack size",IF(COUNTIFS($B$5:$B$304,B217)&gt;1,"Duplicate - same name twice",IF(AF217=0,"Check - no recipe uses it","OK")))))</f>
        <v>0</v>
      </c>
    </row>
    <row r="218" spans="1:40">
      <c r="A218" s="39">
        <f>IF(B218="","",IngredientPrefix&amp;TEXT(ROW()-4,"0000"))</f>
        <v>0</v>
      </c>
      <c r="J218" s="25">
        <f>IF(OR(H218="",I218=""),"",IF(H218=0,"",I218/H218))</f>
        <v>0</v>
      </c>
      <c r="K218" s="25">
        <f>IF(J218="","",J218*100)</f>
        <v>0</v>
      </c>
      <c r="L218" s="25">
        <f>IF(B218="","",IFERROR(AVERAGEIFS('Grocery Spending'!$L$5:$L$404,'Grocery Spending'!$H$5:$H$404,B218,'Grocery Spending'!$L$5:$L$404,"&gt;0"),""))</f>
        <v>0</v>
      </c>
      <c r="M218" s="25">
        <f>IF(B218="","",IF(COUNTIFS('Store Prices'!$B$5:$B$304,B218)=0,"",IF(SUMPRODUCT(MIN((('Store Prices'!$B$5:$B$304=B218)*(IFERROR('Store Prices'!$I$5:$I$304*1,0)&gt;0))*IFERROR('Store Prices'!$I$5:$I$304*1,0)+(1-(('Store Prices'!$B$5:$B$304=B218)*(IFERROR('Store Prices'!$I$5:$I$304*1,0)&gt;0)))*999999))&gt;=999999,"",SUMPRODUCT(MIN((('Store Prices'!$B$5:$B$304=B218)*(IFERROR('Store Prices'!$I$5:$I$304*1,0)&gt;0))*IFERROR('Store Prices'!$I$5:$I$304*1,0)+(1-(('Store Prices'!$B$5:$B$304=B218)*(IFERROR('Store Prices'!$I$5:$I$304*1,0)&gt;0)))*999999)))))</f>
        <v>0</v>
      </c>
      <c r="N218" s="17">
        <f>IF(M218="","",IFERROR(INDEX('Store Prices'!$C$5:$C$304,MATCH(1,INDEX(('Store Prices'!$B$5:$B$304=B218)*('Store Prices'!$I$5:$I$304=M218),0),0)),""))</f>
        <v>0</v>
      </c>
      <c r="O218" s="25">
        <f>IF(OR(M218="",J218=""),"",MAX(0,(J218-M218)*100))</f>
        <v>0</v>
      </c>
      <c r="AD218" s="45">
        <f>IF(B218="","",SUMIFS(Pantry!$G$5:$G$304,Pantry!$B$5:$B$304,B218))</f>
        <v>0</v>
      </c>
      <c r="AE218" s="25">
        <f>IF(OR(AD218="",J218=""),"",AD218*J218)</f>
        <v>0</v>
      </c>
      <c r="AF218" s="18">
        <f>IF(B218="","",COUNTIFS('Recipe Ingredients'!$D$5:$D$1204,B218))</f>
        <v>0</v>
      </c>
      <c r="AG218" s="45">
        <f>IF(B218="","",SUMIFS('Recipe Ingredients'!$Y$5:$Y$1204,'Recipe Ingredients'!$D$5:$D$1204,B218))</f>
        <v>0</v>
      </c>
      <c r="AH218" s="30">
        <f>IF(B218="",0,IFERROR(K218*1,0)*IFERROR(AF218*1,0))</f>
        <v>0</v>
      </c>
      <c r="AI218" s="18">
        <f>IF(B218="","",COUNTIFS($AH$5:$AH$304,"&gt;"&amp;AH218)+COUNTIFS($AH$5:AH218,AH218))</f>
        <v>0</v>
      </c>
      <c r="AJ218" s="18">
        <f>IF(B218="",0,COUNTIFS('Food Waste'!$E$5:$E$154,B218))</f>
        <v>0</v>
      </c>
      <c r="AK218" s="18">
        <f>IF(B218="","",COUNTIFS($AJ$5:$AJ$304,"&gt;"&amp;AJ218)+COUNTIFS($AJ$5:AJ218,AJ218))</f>
        <v>0</v>
      </c>
      <c r="AL218" s="18">
        <f>IF(B218="","",IF(AG218&gt;0,COUNTIF(AG$5:AG218,"&gt;0"),""))</f>
        <v>0</v>
      </c>
      <c r="AM218" s="45">
        <f>IF(B218="","",SUMIFS('Grocery List'!$Q$5:$Q$304,'Grocery List'!$B$5:$B$304,B218))</f>
        <v>0</v>
      </c>
      <c r="AN218" s="31">
        <f>IF(B218="","",IF(I218="","Add - no price yet",IF(H218="","Add - no pack size",IF(COUNTIFS($B$5:$B$304,B218)&gt;1,"Duplicate - same name twice",IF(AF218=0,"Check - no recipe uses it","OK")))))</f>
        <v>0</v>
      </c>
    </row>
    <row r="219" spans="1:40">
      <c r="A219" s="39">
        <f>IF(B219="","",IngredientPrefix&amp;TEXT(ROW()-4,"0000"))</f>
        <v>0</v>
      </c>
      <c r="J219" s="25">
        <f>IF(OR(H219="",I219=""),"",IF(H219=0,"",I219/H219))</f>
        <v>0</v>
      </c>
      <c r="K219" s="25">
        <f>IF(J219="","",J219*100)</f>
        <v>0</v>
      </c>
      <c r="L219" s="25">
        <f>IF(B219="","",IFERROR(AVERAGEIFS('Grocery Spending'!$L$5:$L$404,'Grocery Spending'!$H$5:$H$404,B219,'Grocery Spending'!$L$5:$L$404,"&gt;0"),""))</f>
        <v>0</v>
      </c>
      <c r="M219" s="25">
        <f>IF(B219="","",IF(COUNTIFS('Store Prices'!$B$5:$B$304,B219)=0,"",IF(SUMPRODUCT(MIN((('Store Prices'!$B$5:$B$304=B219)*(IFERROR('Store Prices'!$I$5:$I$304*1,0)&gt;0))*IFERROR('Store Prices'!$I$5:$I$304*1,0)+(1-(('Store Prices'!$B$5:$B$304=B219)*(IFERROR('Store Prices'!$I$5:$I$304*1,0)&gt;0)))*999999))&gt;=999999,"",SUMPRODUCT(MIN((('Store Prices'!$B$5:$B$304=B219)*(IFERROR('Store Prices'!$I$5:$I$304*1,0)&gt;0))*IFERROR('Store Prices'!$I$5:$I$304*1,0)+(1-(('Store Prices'!$B$5:$B$304=B219)*(IFERROR('Store Prices'!$I$5:$I$304*1,0)&gt;0)))*999999)))))</f>
        <v>0</v>
      </c>
      <c r="N219" s="17">
        <f>IF(M219="","",IFERROR(INDEX('Store Prices'!$C$5:$C$304,MATCH(1,INDEX(('Store Prices'!$B$5:$B$304=B219)*('Store Prices'!$I$5:$I$304=M219),0),0)),""))</f>
        <v>0</v>
      </c>
      <c r="O219" s="25">
        <f>IF(OR(M219="",J219=""),"",MAX(0,(J219-M219)*100))</f>
        <v>0</v>
      </c>
      <c r="AD219" s="45">
        <f>IF(B219="","",SUMIFS(Pantry!$G$5:$G$304,Pantry!$B$5:$B$304,B219))</f>
        <v>0</v>
      </c>
      <c r="AE219" s="25">
        <f>IF(OR(AD219="",J219=""),"",AD219*J219)</f>
        <v>0</v>
      </c>
      <c r="AF219" s="18">
        <f>IF(B219="","",COUNTIFS('Recipe Ingredients'!$D$5:$D$1204,B219))</f>
        <v>0</v>
      </c>
      <c r="AG219" s="45">
        <f>IF(B219="","",SUMIFS('Recipe Ingredients'!$Y$5:$Y$1204,'Recipe Ingredients'!$D$5:$D$1204,B219))</f>
        <v>0</v>
      </c>
      <c r="AH219" s="30">
        <f>IF(B219="",0,IFERROR(K219*1,0)*IFERROR(AF219*1,0))</f>
        <v>0</v>
      </c>
      <c r="AI219" s="18">
        <f>IF(B219="","",COUNTIFS($AH$5:$AH$304,"&gt;"&amp;AH219)+COUNTIFS($AH$5:AH219,AH219))</f>
        <v>0</v>
      </c>
      <c r="AJ219" s="18">
        <f>IF(B219="",0,COUNTIFS('Food Waste'!$E$5:$E$154,B219))</f>
        <v>0</v>
      </c>
      <c r="AK219" s="18">
        <f>IF(B219="","",COUNTIFS($AJ$5:$AJ$304,"&gt;"&amp;AJ219)+COUNTIFS($AJ$5:AJ219,AJ219))</f>
        <v>0</v>
      </c>
      <c r="AL219" s="18">
        <f>IF(B219="","",IF(AG219&gt;0,COUNTIF(AG$5:AG219,"&gt;0"),""))</f>
        <v>0</v>
      </c>
      <c r="AM219" s="45">
        <f>IF(B219="","",SUMIFS('Grocery List'!$Q$5:$Q$304,'Grocery List'!$B$5:$B$304,B219))</f>
        <v>0</v>
      </c>
      <c r="AN219" s="31">
        <f>IF(B219="","",IF(I219="","Add - no price yet",IF(H219="","Add - no pack size",IF(COUNTIFS($B$5:$B$304,B219)&gt;1,"Duplicate - same name twice",IF(AF219=0,"Check - no recipe uses it","OK")))))</f>
        <v>0</v>
      </c>
    </row>
    <row r="220" spans="1:40">
      <c r="A220" s="39">
        <f>IF(B220="","",IngredientPrefix&amp;TEXT(ROW()-4,"0000"))</f>
        <v>0</v>
      </c>
      <c r="J220" s="25">
        <f>IF(OR(H220="",I220=""),"",IF(H220=0,"",I220/H220))</f>
        <v>0</v>
      </c>
      <c r="K220" s="25">
        <f>IF(J220="","",J220*100)</f>
        <v>0</v>
      </c>
      <c r="L220" s="25">
        <f>IF(B220="","",IFERROR(AVERAGEIFS('Grocery Spending'!$L$5:$L$404,'Grocery Spending'!$H$5:$H$404,B220,'Grocery Spending'!$L$5:$L$404,"&gt;0"),""))</f>
        <v>0</v>
      </c>
      <c r="M220" s="25">
        <f>IF(B220="","",IF(COUNTIFS('Store Prices'!$B$5:$B$304,B220)=0,"",IF(SUMPRODUCT(MIN((('Store Prices'!$B$5:$B$304=B220)*(IFERROR('Store Prices'!$I$5:$I$304*1,0)&gt;0))*IFERROR('Store Prices'!$I$5:$I$304*1,0)+(1-(('Store Prices'!$B$5:$B$304=B220)*(IFERROR('Store Prices'!$I$5:$I$304*1,0)&gt;0)))*999999))&gt;=999999,"",SUMPRODUCT(MIN((('Store Prices'!$B$5:$B$304=B220)*(IFERROR('Store Prices'!$I$5:$I$304*1,0)&gt;0))*IFERROR('Store Prices'!$I$5:$I$304*1,0)+(1-(('Store Prices'!$B$5:$B$304=B220)*(IFERROR('Store Prices'!$I$5:$I$304*1,0)&gt;0)))*999999)))))</f>
        <v>0</v>
      </c>
      <c r="N220" s="17">
        <f>IF(M220="","",IFERROR(INDEX('Store Prices'!$C$5:$C$304,MATCH(1,INDEX(('Store Prices'!$B$5:$B$304=B220)*('Store Prices'!$I$5:$I$304=M220),0),0)),""))</f>
        <v>0</v>
      </c>
      <c r="O220" s="25">
        <f>IF(OR(M220="",J220=""),"",MAX(0,(J220-M220)*100))</f>
        <v>0</v>
      </c>
      <c r="AD220" s="45">
        <f>IF(B220="","",SUMIFS(Pantry!$G$5:$G$304,Pantry!$B$5:$B$304,B220))</f>
        <v>0</v>
      </c>
      <c r="AE220" s="25">
        <f>IF(OR(AD220="",J220=""),"",AD220*J220)</f>
        <v>0</v>
      </c>
      <c r="AF220" s="18">
        <f>IF(B220="","",COUNTIFS('Recipe Ingredients'!$D$5:$D$1204,B220))</f>
        <v>0</v>
      </c>
      <c r="AG220" s="45">
        <f>IF(B220="","",SUMIFS('Recipe Ingredients'!$Y$5:$Y$1204,'Recipe Ingredients'!$D$5:$D$1204,B220))</f>
        <v>0</v>
      </c>
      <c r="AH220" s="30">
        <f>IF(B220="",0,IFERROR(K220*1,0)*IFERROR(AF220*1,0))</f>
        <v>0</v>
      </c>
      <c r="AI220" s="18">
        <f>IF(B220="","",COUNTIFS($AH$5:$AH$304,"&gt;"&amp;AH220)+COUNTIFS($AH$5:AH220,AH220))</f>
        <v>0</v>
      </c>
      <c r="AJ220" s="18">
        <f>IF(B220="",0,COUNTIFS('Food Waste'!$E$5:$E$154,B220))</f>
        <v>0</v>
      </c>
      <c r="AK220" s="18">
        <f>IF(B220="","",COUNTIFS($AJ$5:$AJ$304,"&gt;"&amp;AJ220)+COUNTIFS($AJ$5:AJ220,AJ220))</f>
        <v>0</v>
      </c>
      <c r="AL220" s="18">
        <f>IF(B220="","",IF(AG220&gt;0,COUNTIF(AG$5:AG220,"&gt;0"),""))</f>
        <v>0</v>
      </c>
      <c r="AM220" s="45">
        <f>IF(B220="","",SUMIFS('Grocery List'!$Q$5:$Q$304,'Grocery List'!$B$5:$B$304,B220))</f>
        <v>0</v>
      </c>
      <c r="AN220" s="31">
        <f>IF(B220="","",IF(I220="","Add - no price yet",IF(H220="","Add - no pack size",IF(COUNTIFS($B$5:$B$304,B220)&gt;1,"Duplicate - same name twice",IF(AF220=0,"Check - no recipe uses it","OK")))))</f>
        <v>0</v>
      </c>
    </row>
    <row r="221" spans="1:40">
      <c r="A221" s="39">
        <f>IF(B221="","",IngredientPrefix&amp;TEXT(ROW()-4,"0000"))</f>
        <v>0</v>
      </c>
      <c r="J221" s="25">
        <f>IF(OR(H221="",I221=""),"",IF(H221=0,"",I221/H221))</f>
        <v>0</v>
      </c>
      <c r="K221" s="25">
        <f>IF(J221="","",J221*100)</f>
        <v>0</v>
      </c>
      <c r="L221" s="25">
        <f>IF(B221="","",IFERROR(AVERAGEIFS('Grocery Spending'!$L$5:$L$404,'Grocery Spending'!$H$5:$H$404,B221,'Grocery Spending'!$L$5:$L$404,"&gt;0"),""))</f>
        <v>0</v>
      </c>
      <c r="M221" s="25">
        <f>IF(B221="","",IF(COUNTIFS('Store Prices'!$B$5:$B$304,B221)=0,"",IF(SUMPRODUCT(MIN((('Store Prices'!$B$5:$B$304=B221)*(IFERROR('Store Prices'!$I$5:$I$304*1,0)&gt;0))*IFERROR('Store Prices'!$I$5:$I$304*1,0)+(1-(('Store Prices'!$B$5:$B$304=B221)*(IFERROR('Store Prices'!$I$5:$I$304*1,0)&gt;0)))*999999))&gt;=999999,"",SUMPRODUCT(MIN((('Store Prices'!$B$5:$B$304=B221)*(IFERROR('Store Prices'!$I$5:$I$304*1,0)&gt;0))*IFERROR('Store Prices'!$I$5:$I$304*1,0)+(1-(('Store Prices'!$B$5:$B$304=B221)*(IFERROR('Store Prices'!$I$5:$I$304*1,0)&gt;0)))*999999)))))</f>
        <v>0</v>
      </c>
      <c r="N221" s="17">
        <f>IF(M221="","",IFERROR(INDEX('Store Prices'!$C$5:$C$304,MATCH(1,INDEX(('Store Prices'!$B$5:$B$304=B221)*('Store Prices'!$I$5:$I$304=M221),0),0)),""))</f>
        <v>0</v>
      </c>
      <c r="O221" s="25">
        <f>IF(OR(M221="",J221=""),"",MAX(0,(J221-M221)*100))</f>
        <v>0</v>
      </c>
      <c r="AD221" s="45">
        <f>IF(B221="","",SUMIFS(Pantry!$G$5:$G$304,Pantry!$B$5:$B$304,B221))</f>
        <v>0</v>
      </c>
      <c r="AE221" s="25">
        <f>IF(OR(AD221="",J221=""),"",AD221*J221)</f>
        <v>0</v>
      </c>
      <c r="AF221" s="18">
        <f>IF(B221="","",COUNTIFS('Recipe Ingredients'!$D$5:$D$1204,B221))</f>
        <v>0</v>
      </c>
      <c r="AG221" s="45">
        <f>IF(B221="","",SUMIFS('Recipe Ingredients'!$Y$5:$Y$1204,'Recipe Ingredients'!$D$5:$D$1204,B221))</f>
        <v>0</v>
      </c>
      <c r="AH221" s="30">
        <f>IF(B221="",0,IFERROR(K221*1,0)*IFERROR(AF221*1,0))</f>
        <v>0</v>
      </c>
      <c r="AI221" s="18">
        <f>IF(B221="","",COUNTIFS($AH$5:$AH$304,"&gt;"&amp;AH221)+COUNTIFS($AH$5:AH221,AH221))</f>
        <v>0</v>
      </c>
      <c r="AJ221" s="18">
        <f>IF(B221="",0,COUNTIFS('Food Waste'!$E$5:$E$154,B221))</f>
        <v>0</v>
      </c>
      <c r="AK221" s="18">
        <f>IF(B221="","",COUNTIFS($AJ$5:$AJ$304,"&gt;"&amp;AJ221)+COUNTIFS($AJ$5:AJ221,AJ221))</f>
        <v>0</v>
      </c>
      <c r="AL221" s="18">
        <f>IF(B221="","",IF(AG221&gt;0,COUNTIF(AG$5:AG221,"&gt;0"),""))</f>
        <v>0</v>
      </c>
      <c r="AM221" s="45">
        <f>IF(B221="","",SUMIFS('Grocery List'!$Q$5:$Q$304,'Grocery List'!$B$5:$B$304,B221))</f>
        <v>0</v>
      </c>
      <c r="AN221" s="31">
        <f>IF(B221="","",IF(I221="","Add - no price yet",IF(H221="","Add - no pack size",IF(COUNTIFS($B$5:$B$304,B221)&gt;1,"Duplicate - same name twice",IF(AF221=0,"Check - no recipe uses it","OK")))))</f>
        <v>0</v>
      </c>
    </row>
    <row r="222" spans="1:40">
      <c r="A222" s="39">
        <f>IF(B222="","",IngredientPrefix&amp;TEXT(ROW()-4,"0000"))</f>
        <v>0</v>
      </c>
      <c r="J222" s="25">
        <f>IF(OR(H222="",I222=""),"",IF(H222=0,"",I222/H222))</f>
        <v>0</v>
      </c>
      <c r="K222" s="25">
        <f>IF(J222="","",J222*100)</f>
        <v>0</v>
      </c>
      <c r="L222" s="25">
        <f>IF(B222="","",IFERROR(AVERAGEIFS('Grocery Spending'!$L$5:$L$404,'Grocery Spending'!$H$5:$H$404,B222,'Grocery Spending'!$L$5:$L$404,"&gt;0"),""))</f>
        <v>0</v>
      </c>
      <c r="M222" s="25">
        <f>IF(B222="","",IF(COUNTIFS('Store Prices'!$B$5:$B$304,B222)=0,"",IF(SUMPRODUCT(MIN((('Store Prices'!$B$5:$B$304=B222)*(IFERROR('Store Prices'!$I$5:$I$304*1,0)&gt;0))*IFERROR('Store Prices'!$I$5:$I$304*1,0)+(1-(('Store Prices'!$B$5:$B$304=B222)*(IFERROR('Store Prices'!$I$5:$I$304*1,0)&gt;0)))*999999))&gt;=999999,"",SUMPRODUCT(MIN((('Store Prices'!$B$5:$B$304=B222)*(IFERROR('Store Prices'!$I$5:$I$304*1,0)&gt;0))*IFERROR('Store Prices'!$I$5:$I$304*1,0)+(1-(('Store Prices'!$B$5:$B$304=B222)*(IFERROR('Store Prices'!$I$5:$I$304*1,0)&gt;0)))*999999)))))</f>
        <v>0</v>
      </c>
      <c r="N222" s="17">
        <f>IF(M222="","",IFERROR(INDEX('Store Prices'!$C$5:$C$304,MATCH(1,INDEX(('Store Prices'!$B$5:$B$304=B222)*('Store Prices'!$I$5:$I$304=M222),0),0)),""))</f>
        <v>0</v>
      </c>
      <c r="O222" s="25">
        <f>IF(OR(M222="",J222=""),"",MAX(0,(J222-M222)*100))</f>
        <v>0</v>
      </c>
      <c r="AD222" s="45">
        <f>IF(B222="","",SUMIFS(Pantry!$G$5:$G$304,Pantry!$B$5:$B$304,B222))</f>
        <v>0</v>
      </c>
      <c r="AE222" s="25">
        <f>IF(OR(AD222="",J222=""),"",AD222*J222)</f>
        <v>0</v>
      </c>
      <c r="AF222" s="18">
        <f>IF(B222="","",COUNTIFS('Recipe Ingredients'!$D$5:$D$1204,B222))</f>
        <v>0</v>
      </c>
      <c r="AG222" s="45">
        <f>IF(B222="","",SUMIFS('Recipe Ingredients'!$Y$5:$Y$1204,'Recipe Ingredients'!$D$5:$D$1204,B222))</f>
        <v>0</v>
      </c>
      <c r="AH222" s="30">
        <f>IF(B222="",0,IFERROR(K222*1,0)*IFERROR(AF222*1,0))</f>
        <v>0</v>
      </c>
      <c r="AI222" s="18">
        <f>IF(B222="","",COUNTIFS($AH$5:$AH$304,"&gt;"&amp;AH222)+COUNTIFS($AH$5:AH222,AH222))</f>
        <v>0</v>
      </c>
      <c r="AJ222" s="18">
        <f>IF(B222="",0,COUNTIFS('Food Waste'!$E$5:$E$154,B222))</f>
        <v>0</v>
      </c>
      <c r="AK222" s="18">
        <f>IF(B222="","",COUNTIFS($AJ$5:$AJ$304,"&gt;"&amp;AJ222)+COUNTIFS($AJ$5:AJ222,AJ222))</f>
        <v>0</v>
      </c>
      <c r="AL222" s="18">
        <f>IF(B222="","",IF(AG222&gt;0,COUNTIF(AG$5:AG222,"&gt;0"),""))</f>
        <v>0</v>
      </c>
      <c r="AM222" s="45">
        <f>IF(B222="","",SUMIFS('Grocery List'!$Q$5:$Q$304,'Grocery List'!$B$5:$B$304,B222))</f>
        <v>0</v>
      </c>
      <c r="AN222" s="31">
        <f>IF(B222="","",IF(I222="","Add - no price yet",IF(H222="","Add - no pack size",IF(COUNTIFS($B$5:$B$304,B222)&gt;1,"Duplicate - same name twice",IF(AF222=0,"Check - no recipe uses it","OK")))))</f>
        <v>0</v>
      </c>
    </row>
    <row r="223" spans="1:40">
      <c r="A223" s="39">
        <f>IF(B223="","",IngredientPrefix&amp;TEXT(ROW()-4,"0000"))</f>
        <v>0</v>
      </c>
      <c r="J223" s="25">
        <f>IF(OR(H223="",I223=""),"",IF(H223=0,"",I223/H223))</f>
        <v>0</v>
      </c>
      <c r="K223" s="25">
        <f>IF(J223="","",J223*100)</f>
        <v>0</v>
      </c>
      <c r="L223" s="25">
        <f>IF(B223="","",IFERROR(AVERAGEIFS('Grocery Spending'!$L$5:$L$404,'Grocery Spending'!$H$5:$H$404,B223,'Grocery Spending'!$L$5:$L$404,"&gt;0"),""))</f>
        <v>0</v>
      </c>
      <c r="M223" s="25">
        <f>IF(B223="","",IF(COUNTIFS('Store Prices'!$B$5:$B$304,B223)=0,"",IF(SUMPRODUCT(MIN((('Store Prices'!$B$5:$B$304=B223)*(IFERROR('Store Prices'!$I$5:$I$304*1,0)&gt;0))*IFERROR('Store Prices'!$I$5:$I$304*1,0)+(1-(('Store Prices'!$B$5:$B$304=B223)*(IFERROR('Store Prices'!$I$5:$I$304*1,0)&gt;0)))*999999))&gt;=999999,"",SUMPRODUCT(MIN((('Store Prices'!$B$5:$B$304=B223)*(IFERROR('Store Prices'!$I$5:$I$304*1,0)&gt;0))*IFERROR('Store Prices'!$I$5:$I$304*1,0)+(1-(('Store Prices'!$B$5:$B$304=B223)*(IFERROR('Store Prices'!$I$5:$I$304*1,0)&gt;0)))*999999)))))</f>
        <v>0</v>
      </c>
      <c r="N223" s="17">
        <f>IF(M223="","",IFERROR(INDEX('Store Prices'!$C$5:$C$304,MATCH(1,INDEX(('Store Prices'!$B$5:$B$304=B223)*('Store Prices'!$I$5:$I$304=M223),0),0)),""))</f>
        <v>0</v>
      </c>
      <c r="O223" s="25">
        <f>IF(OR(M223="",J223=""),"",MAX(0,(J223-M223)*100))</f>
        <v>0</v>
      </c>
      <c r="AD223" s="45">
        <f>IF(B223="","",SUMIFS(Pantry!$G$5:$G$304,Pantry!$B$5:$B$304,B223))</f>
        <v>0</v>
      </c>
      <c r="AE223" s="25">
        <f>IF(OR(AD223="",J223=""),"",AD223*J223)</f>
        <v>0</v>
      </c>
      <c r="AF223" s="18">
        <f>IF(B223="","",COUNTIFS('Recipe Ingredients'!$D$5:$D$1204,B223))</f>
        <v>0</v>
      </c>
      <c r="AG223" s="45">
        <f>IF(B223="","",SUMIFS('Recipe Ingredients'!$Y$5:$Y$1204,'Recipe Ingredients'!$D$5:$D$1204,B223))</f>
        <v>0</v>
      </c>
      <c r="AH223" s="30">
        <f>IF(B223="",0,IFERROR(K223*1,0)*IFERROR(AF223*1,0))</f>
        <v>0</v>
      </c>
      <c r="AI223" s="18">
        <f>IF(B223="","",COUNTIFS($AH$5:$AH$304,"&gt;"&amp;AH223)+COUNTIFS($AH$5:AH223,AH223))</f>
        <v>0</v>
      </c>
      <c r="AJ223" s="18">
        <f>IF(B223="",0,COUNTIFS('Food Waste'!$E$5:$E$154,B223))</f>
        <v>0</v>
      </c>
      <c r="AK223" s="18">
        <f>IF(B223="","",COUNTIFS($AJ$5:$AJ$304,"&gt;"&amp;AJ223)+COUNTIFS($AJ$5:AJ223,AJ223))</f>
        <v>0</v>
      </c>
      <c r="AL223" s="18">
        <f>IF(B223="","",IF(AG223&gt;0,COUNTIF(AG$5:AG223,"&gt;0"),""))</f>
        <v>0</v>
      </c>
      <c r="AM223" s="45">
        <f>IF(B223="","",SUMIFS('Grocery List'!$Q$5:$Q$304,'Grocery List'!$B$5:$B$304,B223))</f>
        <v>0</v>
      </c>
      <c r="AN223" s="31">
        <f>IF(B223="","",IF(I223="","Add - no price yet",IF(H223="","Add - no pack size",IF(COUNTIFS($B$5:$B$304,B223)&gt;1,"Duplicate - same name twice",IF(AF223=0,"Check - no recipe uses it","OK")))))</f>
        <v>0</v>
      </c>
    </row>
    <row r="224" spans="1:40">
      <c r="A224" s="39">
        <f>IF(B224="","",IngredientPrefix&amp;TEXT(ROW()-4,"0000"))</f>
        <v>0</v>
      </c>
      <c r="J224" s="25">
        <f>IF(OR(H224="",I224=""),"",IF(H224=0,"",I224/H224))</f>
        <v>0</v>
      </c>
      <c r="K224" s="25">
        <f>IF(J224="","",J224*100)</f>
        <v>0</v>
      </c>
      <c r="L224" s="25">
        <f>IF(B224="","",IFERROR(AVERAGEIFS('Grocery Spending'!$L$5:$L$404,'Grocery Spending'!$H$5:$H$404,B224,'Grocery Spending'!$L$5:$L$404,"&gt;0"),""))</f>
        <v>0</v>
      </c>
      <c r="M224" s="25">
        <f>IF(B224="","",IF(COUNTIFS('Store Prices'!$B$5:$B$304,B224)=0,"",IF(SUMPRODUCT(MIN((('Store Prices'!$B$5:$B$304=B224)*(IFERROR('Store Prices'!$I$5:$I$304*1,0)&gt;0))*IFERROR('Store Prices'!$I$5:$I$304*1,0)+(1-(('Store Prices'!$B$5:$B$304=B224)*(IFERROR('Store Prices'!$I$5:$I$304*1,0)&gt;0)))*999999))&gt;=999999,"",SUMPRODUCT(MIN((('Store Prices'!$B$5:$B$304=B224)*(IFERROR('Store Prices'!$I$5:$I$304*1,0)&gt;0))*IFERROR('Store Prices'!$I$5:$I$304*1,0)+(1-(('Store Prices'!$B$5:$B$304=B224)*(IFERROR('Store Prices'!$I$5:$I$304*1,0)&gt;0)))*999999)))))</f>
        <v>0</v>
      </c>
      <c r="N224" s="17">
        <f>IF(M224="","",IFERROR(INDEX('Store Prices'!$C$5:$C$304,MATCH(1,INDEX(('Store Prices'!$B$5:$B$304=B224)*('Store Prices'!$I$5:$I$304=M224),0),0)),""))</f>
        <v>0</v>
      </c>
      <c r="O224" s="25">
        <f>IF(OR(M224="",J224=""),"",MAX(0,(J224-M224)*100))</f>
        <v>0</v>
      </c>
      <c r="AD224" s="45">
        <f>IF(B224="","",SUMIFS(Pantry!$G$5:$G$304,Pantry!$B$5:$B$304,B224))</f>
        <v>0</v>
      </c>
      <c r="AE224" s="25">
        <f>IF(OR(AD224="",J224=""),"",AD224*J224)</f>
        <v>0</v>
      </c>
      <c r="AF224" s="18">
        <f>IF(B224="","",COUNTIFS('Recipe Ingredients'!$D$5:$D$1204,B224))</f>
        <v>0</v>
      </c>
      <c r="AG224" s="45">
        <f>IF(B224="","",SUMIFS('Recipe Ingredients'!$Y$5:$Y$1204,'Recipe Ingredients'!$D$5:$D$1204,B224))</f>
        <v>0</v>
      </c>
      <c r="AH224" s="30">
        <f>IF(B224="",0,IFERROR(K224*1,0)*IFERROR(AF224*1,0))</f>
        <v>0</v>
      </c>
      <c r="AI224" s="18">
        <f>IF(B224="","",COUNTIFS($AH$5:$AH$304,"&gt;"&amp;AH224)+COUNTIFS($AH$5:AH224,AH224))</f>
        <v>0</v>
      </c>
      <c r="AJ224" s="18">
        <f>IF(B224="",0,COUNTIFS('Food Waste'!$E$5:$E$154,B224))</f>
        <v>0</v>
      </c>
      <c r="AK224" s="18">
        <f>IF(B224="","",COUNTIFS($AJ$5:$AJ$304,"&gt;"&amp;AJ224)+COUNTIFS($AJ$5:AJ224,AJ224))</f>
        <v>0</v>
      </c>
      <c r="AL224" s="18">
        <f>IF(B224="","",IF(AG224&gt;0,COUNTIF(AG$5:AG224,"&gt;0"),""))</f>
        <v>0</v>
      </c>
      <c r="AM224" s="45">
        <f>IF(B224="","",SUMIFS('Grocery List'!$Q$5:$Q$304,'Grocery List'!$B$5:$B$304,B224))</f>
        <v>0</v>
      </c>
      <c r="AN224" s="31">
        <f>IF(B224="","",IF(I224="","Add - no price yet",IF(H224="","Add - no pack size",IF(COUNTIFS($B$5:$B$304,B224)&gt;1,"Duplicate - same name twice",IF(AF224=0,"Check - no recipe uses it","OK")))))</f>
        <v>0</v>
      </c>
    </row>
    <row r="225" spans="1:40">
      <c r="A225" s="39">
        <f>IF(B225="","",IngredientPrefix&amp;TEXT(ROW()-4,"0000"))</f>
        <v>0</v>
      </c>
      <c r="J225" s="25">
        <f>IF(OR(H225="",I225=""),"",IF(H225=0,"",I225/H225))</f>
        <v>0</v>
      </c>
      <c r="K225" s="25">
        <f>IF(J225="","",J225*100)</f>
        <v>0</v>
      </c>
      <c r="L225" s="25">
        <f>IF(B225="","",IFERROR(AVERAGEIFS('Grocery Spending'!$L$5:$L$404,'Grocery Spending'!$H$5:$H$404,B225,'Grocery Spending'!$L$5:$L$404,"&gt;0"),""))</f>
        <v>0</v>
      </c>
      <c r="M225" s="25">
        <f>IF(B225="","",IF(COUNTIFS('Store Prices'!$B$5:$B$304,B225)=0,"",IF(SUMPRODUCT(MIN((('Store Prices'!$B$5:$B$304=B225)*(IFERROR('Store Prices'!$I$5:$I$304*1,0)&gt;0))*IFERROR('Store Prices'!$I$5:$I$304*1,0)+(1-(('Store Prices'!$B$5:$B$304=B225)*(IFERROR('Store Prices'!$I$5:$I$304*1,0)&gt;0)))*999999))&gt;=999999,"",SUMPRODUCT(MIN((('Store Prices'!$B$5:$B$304=B225)*(IFERROR('Store Prices'!$I$5:$I$304*1,0)&gt;0))*IFERROR('Store Prices'!$I$5:$I$304*1,0)+(1-(('Store Prices'!$B$5:$B$304=B225)*(IFERROR('Store Prices'!$I$5:$I$304*1,0)&gt;0)))*999999)))))</f>
        <v>0</v>
      </c>
      <c r="N225" s="17">
        <f>IF(M225="","",IFERROR(INDEX('Store Prices'!$C$5:$C$304,MATCH(1,INDEX(('Store Prices'!$B$5:$B$304=B225)*('Store Prices'!$I$5:$I$304=M225),0),0)),""))</f>
        <v>0</v>
      </c>
      <c r="O225" s="25">
        <f>IF(OR(M225="",J225=""),"",MAX(0,(J225-M225)*100))</f>
        <v>0</v>
      </c>
      <c r="AD225" s="45">
        <f>IF(B225="","",SUMIFS(Pantry!$G$5:$G$304,Pantry!$B$5:$B$304,B225))</f>
        <v>0</v>
      </c>
      <c r="AE225" s="25">
        <f>IF(OR(AD225="",J225=""),"",AD225*J225)</f>
        <v>0</v>
      </c>
      <c r="AF225" s="18">
        <f>IF(B225="","",COUNTIFS('Recipe Ingredients'!$D$5:$D$1204,B225))</f>
        <v>0</v>
      </c>
      <c r="AG225" s="45">
        <f>IF(B225="","",SUMIFS('Recipe Ingredients'!$Y$5:$Y$1204,'Recipe Ingredients'!$D$5:$D$1204,B225))</f>
        <v>0</v>
      </c>
      <c r="AH225" s="30">
        <f>IF(B225="",0,IFERROR(K225*1,0)*IFERROR(AF225*1,0))</f>
        <v>0</v>
      </c>
      <c r="AI225" s="18">
        <f>IF(B225="","",COUNTIFS($AH$5:$AH$304,"&gt;"&amp;AH225)+COUNTIFS($AH$5:AH225,AH225))</f>
        <v>0</v>
      </c>
      <c r="AJ225" s="18">
        <f>IF(B225="",0,COUNTIFS('Food Waste'!$E$5:$E$154,B225))</f>
        <v>0</v>
      </c>
      <c r="AK225" s="18">
        <f>IF(B225="","",COUNTIFS($AJ$5:$AJ$304,"&gt;"&amp;AJ225)+COUNTIFS($AJ$5:AJ225,AJ225))</f>
        <v>0</v>
      </c>
      <c r="AL225" s="18">
        <f>IF(B225="","",IF(AG225&gt;0,COUNTIF(AG$5:AG225,"&gt;0"),""))</f>
        <v>0</v>
      </c>
      <c r="AM225" s="45">
        <f>IF(B225="","",SUMIFS('Grocery List'!$Q$5:$Q$304,'Grocery List'!$B$5:$B$304,B225))</f>
        <v>0</v>
      </c>
      <c r="AN225" s="31">
        <f>IF(B225="","",IF(I225="","Add - no price yet",IF(H225="","Add - no pack size",IF(COUNTIFS($B$5:$B$304,B225)&gt;1,"Duplicate - same name twice",IF(AF225=0,"Check - no recipe uses it","OK")))))</f>
        <v>0</v>
      </c>
    </row>
    <row r="226" spans="1:40">
      <c r="A226" s="39">
        <f>IF(B226="","",IngredientPrefix&amp;TEXT(ROW()-4,"0000"))</f>
        <v>0</v>
      </c>
      <c r="J226" s="25">
        <f>IF(OR(H226="",I226=""),"",IF(H226=0,"",I226/H226))</f>
        <v>0</v>
      </c>
      <c r="K226" s="25">
        <f>IF(J226="","",J226*100)</f>
        <v>0</v>
      </c>
      <c r="L226" s="25">
        <f>IF(B226="","",IFERROR(AVERAGEIFS('Grocery Spending'!$L$5:$L$404,'Grocery Spending'!$H$5:$H$404,B226,'Grocery Spending'!$L$5:$L$404,"&gt;0"),""))</f>
        <v>0</v>
      </c>
      <c r="M226" s="25">
        <f>IF(B226="","",IF(COUNTIFS('Store Prices'!$B$5:$B$304,B226)=0,"",IF(SUMPRODUCT(MIN((('Store Prices'!$B$5:$B$304=B226)*(IFERROR('Store Prices'!$I$5:$I$304*1,0)&gt;0))*IFERROR('Store Prices'!$I$5:$I$304*1,0)+(1-(('Store Prices'!$B$5:$B$304=B226)*(IFERROR('Store Prices'!$I$5:$I$304*1,0)&gt;0)))*999999))&gt;=999999,"",SUMPRODUCT(MIN((('Store Prices'!$B$5:$B$304=B226)*(IFERROR('Store Prices'!$I$5:$I$304*1,0)&gt;0))*IFERROR('Store Prices'!$I$5:$I$304*1,0)+(1-(('Store Prices'!$B$5:$B$304=B226)*(IFERROR('Store Prices'!$I$5:$I$304*1,0)&gt;0)))*999999)))))</f>
        <v>0</v>
      </c>
      <c r="N226" s="17">
        <f>IF(M226="","",IFERROR(INDEX('Store Prices'!$C$5:$C$304,MATCH(1,INDEX(('Store Prices'!$B$5:$B$304=B226)*('Store Prices'!$I$5:$I$304=M226),0),0)),""))</f>
        <v>0</v>
      </c>
      <c r="O226" s="25">
        <f>IF(OR(M226="",J226=""),"",MAX(0,(J226-M226)*100))</f>
        <v>0</v>
      </c>
      <c r="AD226" s="45">
        <f>IF(B226="","",SUMIFS(Pantry!$G$5:$G$304,Pantry!$B$5:$B$304,B226))</f>
        <v>0</v>
      </c>
      <c r="AE226" s="25">
        <f>IF(OR(AD226="",J226=""),"",AD226*J226)</f>
        <v>0</v>
      </c>
      <c r="AF226" s="18">
        <f>IF(B226="","",COUNTIFS('Recipe Ingredients'!$D$5:$D$1204,B226))</f>
        <v>0</v>
      </c>
      <c r="AG226" s="45">
        <f>IF(B226="","",SUMIFS('Recipe Ingredients'!$Y$5:$Y$1204,'Recipe Ingredients'!$D$5:$D$1204,B226))</f>
        <v>0</v>
      </c>
      <c r="AH226" s="30">
        <f>IF(B226="",0,IFERROR(K226*1,0)*IFERROR(AF226*1,0))</f>
        <v>0</v>
      </c>
      <c r="AI226" s="18">
        <f>IF(B226="","",COUNTIFS($AH$5:$AH$304,"&gt;"&amp;AH226)+COUNTIFS($AH$5:AH226,AH226))</f>
        <v>0</v>
      </c>
      <c r="AJ226" s="18">
        <f>IF(B226="",0,COUNTIFS('Food Waste'!$E$5:$E$154,B226))</f>
        <v>0</v>
      </c>
      <c r="AK226" s="18">
        <f>IF(B226="","",COUNTIFS($AJ$5:$AJ$304,"&gt;"&amp;AJ226)+COUNTIFS($AJ$5:AJ226,AJ226))</f>
        <v>0</v>
      </c>
      <c r="AL226" s="18">
        <f>IF(B226="","",IF(AG226&gt;0,COUNTIF(AG$5:AG226,"&gt;0"),""))</f>
        <v>0</v>
      </c>
      <c r="AM226" s="45">
        <f>IF(B226="","",SUMIFS('Grocery List'!$Q$5:$Q$304,'Grocery List'!$B$5:$B$304,B226))</f>
        <v>0</v>
      </c>
      <c r="AN226" s="31">
        <f>IF(B226="","",IF(I226="","Add - no price yet",IF(H226="","Add - no pack size",IF(COUNTIFS($B$5:$B$304,B226)&gt;1,"Duplicate - same name twice",IF(AF226=0,"Check - no recipe uses it","OK")))))</f>
        <v>0</v>
      </c>
    </row>
    <row r="227" spans="1:40">
      <c r="A227" s="39">
        <f>IF(B227="","",IngredientPrefix&amp;TEXT(ROW()-4,"0000"))</f>
        <v>0</v>
      </c>
      <c r="J227" s="25">
        <f>IF(OR(H227="",I227=""),"",IF(H227=0,"",I227/H227))</f>
        <v>0</v>
      </c>
      <c r="K227" s="25">
        <f>IF(J227="","",J227*100)</f>
        <v>0</v>
      </c>
      <c r="L227" s="25">
        <f>IF(B227="","",IFERROR(AVERAGEIFS('Grocery Spending'!$L$5:$L$404,'Grocery Spending'!$H$5:$H$404,B227,'Grocery Spending'!$L$5:$L$404,"&gt;0"),""))</f>
        <v>0</v>
      </c>
      <c r="M227" s="25">
        <f>IF(B227="","",IF(COUNTIFS('Store Prices'!$B$5:$B$304,B227)=0,"",IF(SUMPRODUCT(MIN((('Store Prices'!$B$5:$B$304=B227)*(IFERROR('Store Prices'!$I$5:$I$304*1,0)&gt;0))*IFERROR('Store Prices'!$I$5:$I$304*1,0)+(1-(('Store Prices'!$B$5:$B$304=B227)*(IFERROR('Store Prices'!$I$5:$I$304*1,0)&gt;0)))*999999))&gt;=999999,"",SUMPRODUCT(MIN((('Store Prices'!$B$5:$B$304=B227)*(IFERROR('Store Prices'!$I$5:$I$304*1,0)&gt;0))*IFERROR('Store Prices'!$I$5:$I$304*1,0)+(1-(('Store Prices'!$B$5:$B$304=B227)*(IFERROR('Store Prices'!$I$5:$I$304*1,0)&gt;0)))*999999)))))</f>
        <v>0</v>
      </c>
      <c r="N227" s="17">
        <f>IF(M227="","",IFERROR(INDEX('Store Prices'!$C$5:$C$304,MATCH(1,INDEX(('Store Prices'!$B$5:$B$304=B227)*('Store Prices'!$I$5:$I$304=M227),0),0)),""))</f>
        <v>0</v>
      </c>
      <c r="O227" s="25">
        <f>IF(OR(M227="",J227=""),"",MAX(0,(J227-M227)*100))</f>
        <v>0</v>
      </c>
      <c r="AD227" s="45">
        <f>IF(B227="","",SUMIFS(Pantry!$G$5:$G$304,Pantry!$B$5:$B$304,B227))</f>
        <v>0</v>
      </c>
      <c r="AE227" s="25">
        <f>IF(OR(AD227="",J227=""),"",AD227*J227)</f>
        <v>0</v>
      </c>
      <c r="AF227" s="18">
        <f>IF(B227="","",COUNTIFS('Recipe Ingredients'!$D$5:$D$1204,B227))</f>
        <v>0</v>
      </c>
      <c r="AG227" s="45">
        <f>IF(B227="","",SUMIFS('Recipe Ingredients'!$Y$5:$Y$1204,'Recipe Ingredients'!$D$5:$D$1204,B227))</f>
        <v>0</v>
      </c>
      <c r="AH227" s="30">
        <f>IF(B227="",0,IFERROR(K227*1,0)*IFERROR(AF227*1,0))</f>
        <v>0</v>
      </c>
      <c r="AI227" s="18">
        <f>IF(B227="","",COUNTIFS($AH$5:$AH$304,"&gt;"&amp;AH227)+COUNTIFS($AH$5:AH227,AH227))</f>
        <v>0</v>
      </c>
      <c r="AJ227" s="18">
        <f>IF(B227="",0,COUNTIFS('Food Waste'!$E$5:$E$154,B227))</f>
        <v>0</v>
      </c>
      <c r="AK227" s="18">
        <f>IF(B227="","",COUNTIFS($AJ$5:$AJ$304,"&gt;"&amp;AJ227)+COUNTIFS($AJ$5:AJ227,AJ227))</f>
        <v>0</v>
      </c>
      <c r="AL227" s="18">
        <f>IF(B227="","",IF(AG227&gt;0,COUNTIF(AG$5:AG227,"&gt;0"),""))</f>
        <v>0</v>
      </c>
      <c r="AM227" s="45">
        <f>IF(B227="","",SUMIFS('Grocery List'!$Q$5:$Q$304,'Grocery List'!$B$5:$B$304,B227))</f>
        <v>0</v>
      </c>
      <c r="AN227" s="31">
        <f>IF(B227="","",IF(I227="","Add - no price yet",IF(H227="","Add - no pack size",IF(COUNTIFS($B$5:$B$304,B227)&gt;1,"Duplicate - same name twice",IF(AF227=0,"Check - no recipe uses it","OK")))))</f>
        <v>0</v>
      </c>
    </row>
    <row r="228" spans="1:40">
      <c r="A228" s="39">
        <f>IF(B228="","",IngredientPrefix&amp;TEXT(ROW()-4,"0000"))</f>
        <v>0</v>
      </c>
      <c r="J228" s="25">
        <f>IF(OR(H228="",I228=""),"",IF(H228=0,"",I228/H228))</f>
        <v>0</v>
      </c>
      <c r="K228" s="25">
        <f>IF(J228="","",J228*100)</f>
        <v>0</v>
      </c>
      <c r="L228" s="25">
        <f>IF(B228="","",IFERROR(AVERAGEIFS('Grocery Spending'!$L$5:$L$404,'Grocery Spending'!$H$5:$H$404,B228,'Grocery Spending'!$L$5:$L$404,"&gt;0"),""))</f>
        <v>0</v>
      </c>
      <c r="M228" s="25">
        <f>IF(B228="","",IF(COUNTIFS('Store Prices'!$B$5:$B$304,B228)=0,"",IF(SUMPRODUCT(MIN((('Store Prices'!$B$5:$B$304=B228)*(IFERROR('Store Prices'!$I$5:$I$304*1,0)&gt;0))*IFERROR('Store Prices'!$I$5:$I$304*1,0)+(1-(('Store Prices'!$B$5:$B$304=B228)*(IFERROR('Store Prices'!$I$5:$I$304*1,0)&gt;0)))*999999))&gt;=999999,"",SUMPRODUCT(MIN((('Store Prices'!$B$5:$B$304=B228)*(IFERROR('Store Prices'!$I$5:$I$304*1,0)&gt;0))*IFERROR('Store Prices'!$I$5:$I$304*1,0)+(1-(('Store Prices'!$B$5:$B$304=B228)*(IFERROR('Store Prices'!$I$5:$I$304*1,0)&gt;0)))*999999)))))</f>
        <v>0</v>
      </c>
      <c r="N228" s="17">
        <f>IF(M228="","",IFERROR(INDEX('Store Prices'!$C$5:$C$304,MATCH(1,INDEX(('Store Prices'!$B$5:$B$304=B228)*('Store Prices'!$I$5:$I$304=M228),0),0)),""))</f>
        <v>0</v>
      </c>
      <c r="O228" s="25">
        <f>IF(OR(M228="",J228=""),"",MAX(0,(J228-M228)*100))</f>
        <v>0</v>
      </c>
      <c r="AD228" s="45">
        <f>IF(B228="","",SUMIFS(Pantry!$G$5:$G$304,Pantry!$B$5:$B$304,B228))</f>
        <v>0</v>
      </c>
      <c r="AE228" s="25">
        <f>IF(OR(AD228="",J228=""),"",AD228*J228)</f>
        <v>0</v>
      </c>
      <c r="AF228" s="18">
        <f>IF(B228="","",COUNTIFS('Recipe Ingredients'!$D$5:$D$1204,B228))</f>
        <v>0</v>
      </c>
      <c r="AG228" s="45">
        <f>IF(B228="","",SUMIFS('Recipe Ingredients'!$Y$5:$Y$1204,'Recipe Ingredients'!$D$5:$D$1204,B228))</f>
        <v>0</v>
      </c>
      <c r="AH228" s="30">
        <f>IF(B228="",0,IFERROR(K228*1,0)*IFERROR(AF228*1,0))</f>
        <v>0</v>
      </c>
      <c r="AI228" s="18">
        <f>IF(B228="","",COUNTIFS($AH$5:$AH$304,"&gt;"&amp;AH228)+COUNTIFS($AH$5:AH228,AH228))</f>
        <v>0</v>
      </c>
      <c r="AJ228" s="18">
        <f>IF(B228="",0,COUNTIFS('Food Waste'!$E$5:$E$154,B228))</f>
        <v>0</v>
      </c>
      <c r="AK228" s="18">
        <f>IF(B228="","",COUNTIFS($AJ$5:$AJ$304,"&gt;"&amp;AJ228)+COUNTIFS($AJ$5:AJ228,AJ228))</f>
        <v>0</v>
      </c>
      <c r="AL228" s="18">
        <f>IF(B228="","",IF(AG228&gt;0,COUNTIF(AG$5:AG228,"&gt;0"),""))</f>
        <v>0</v>
      </c>
      <c r="AM228" s="45">
        <f>IF(B228="","",SUMIFS('Grocery List'!$Q$5:$Q$304,'Grocery List'!$B$5:$B$304,B228))</f>
        <v>0</v>
      </c>
      <c r="AN228" s="31">
        <f>IF(B228="","",IF(I228="","Add - no price yet",IF(H228="","Add - no pack size",IF(COUNTIFS($B$5:$B$304,B228)&gt;1,"Duplicate - same name twice",IF(AF228=0,"Check - no recipe uses it","OK")))))</f>
        <v>0</v>
      </c>
    </row>
    <row r="229" spans="1:40">
      <c r="A229" s="39">
        <f>IF(B229="","",IngredientPrefix&amp;TEXT(ROW()-4,"0000"))</f>
        <v>0</v>
      </c>
      <c r="J229" s="25">
        <f>IF(OR(H229="",I229=""),"",IF(H229=0,"",I229/H229))</f>
        <v>0</v>
      </c>
      <c r="K229" s="25">
        <f>IF(J229="","",J229*100)</f>
        <v>0</v>
      </c>
      <c r="L229" s="25">
        <f>IF(B229="","",IFERROR(AVERAGEIFS('Grocery Spending'!$L$5:$L$404,'Grocery Spending'!$H$5:$H$404,B229,'Grocery Spending'!$L$5:$L$404,"&gt;0"),""))</f>
        <v>0</v>
      </c>
      <c r="M229" s="25">
        <f>IF(B229="","",IF(COUNTIFS('Store Prices'!$B$5:$B$304,B229)=0,"",IF(SUMPRODUCT(MIN((('Store Prices'!$B$5:$B$304=B229)*(IFERROR('Store Prices'!$I$5:$I$304*1,0)&gt;0))*IFERROR('Store Prices'!$I$5:$I$304*1,0)+(1-(('Store Prices'!$B$5:$B$304=B229)*(IFERROR('Store Prices'!$I$5:$I$304*1,0)&gt;0)))*999999))&gt;=999999,"",SUMPRODUCT(MIN((('Store Prices'!$B$5:$B$304=B229)*(IFERROR('Store Prices'!$I$5:$I$304*1,0)&gt;0))*IFERROR('Store Prices'!$I$5:$I$304*1,0)+(1-(('Store Prices'!$B$5:$B$304=B229)*(IFERROR('Store Prices'!$I$5:$I$304*1,0)&gt;0)))*999999)))))</f>
        <v>0</v>
      </c>
      <c r="N229" s="17">
        <f>IF(M229="","",IFERROR(INDEX('Store Prices'!$C$5:$C$304,MATCH(1,INDEX(('Store Prices'!$B$5:$B$304=B229)*('Store Prices'!$I$5:$I$304=M229),0),0)),""))</f>
        <v>0</v>
      </c>
      <c r="O229" s="25">
        <f>IF(OR(M229="",J229=""),"",MAX(0,(J229-M229)*100))</f>
        <v>0</v>
      </c>
      <c r="AD229" s="45">
        <f>IF(B229="","",SUMIFS(Pantry!$G$5:$G$304,Pantry!$B$5:$B$304,B229))</f>
        <v>0</v>
      </c>
      <c r="AE229" s="25">
        <f>IF(OR(AD229="",J229=""),"",AD229*J229)</f>
        <v>0</v>
      </c>
      <c r="AF229" s="18">
        <f>IF(B229="","",COUNTIFS('Recipe Ingredients'!$D$5:$D$1204,B229))</f>
        <v>0</v>
      </c>
      <c r="AG229" s="45">
        <f>IF(B229="","",SUMIFS('Recipe Ingredients'!$Y$5:$Y$1204,'Recipe Ingredients'!$D$5:$D$1204,B229))</f>
        <v>0</v>
      </c>
      <c r="AH229" s="30">
        <f>IF(B229="",0,IFERROR(K229*1,0)*IFERROR(AF229*1,0))</f>
        <v>0</v>
      </c>
      <c r="AI229" s="18">
        <f>IF(B229="","",COUNTIFS($AH$5:$AH$304,"&gt;"&amp;AH229)+COUNTIFS($AH$5:AH229,AH229))</f>
        <v>0</v>
      </c>
      <c r="AJ229" s="18">
        <f>IF(B229="",0,COUNTIFS('Food Waste'!$E$5:$E$154,B229))</f>
        <v>0</v>
      </c>
      <c r="AK229" s="18">
        <f>IF(B229="","",COUNTIFS($AJ$5:$AJ$304,"&gt;"&amp;AJ229)+COUNTIFS($AJ$5:AJ229,AJ229))</f>
        <v>0</v>
      </c>
      <c r="AL229" s="18">
        <f>IF(B229="","",IF(AG229&gt;0,COUNTIF(AG$5:AG229,"&gt;0"),""))</f>
        <v>0</v>
      </c>
      <c r="AM229" s="45">
        <f>IF(B229="","",SUMIFS('Grocery List'!$Q$5:$Q$304,'Grocery List'!$B$5:$B$304,B229))</f>
        <v>0</v>
      </c>
      <c r="AN229" s="31">
        <f>IF(B229="","",IF(I229="","Add - no price yet",IF(H229="","Add - no pack size",IF(COUNTIFS($B$5:$B$304,B229)&gt;1,"Duplicate - same name twice",IF(AF229=0,"Check - no recipe uses it","OK")))))</f>
        <v>0</v>
      </c>
    </row>
    <row r="230" spans="1:40">
      <c r="A230" s="39">
        <f>IF(B230="","",IngredientPrefix&amp;TEXT(ROW()-4,"0000"))</f>
        <v>0</v>
      </c>
      <c r="J230" s="25">
        <f>IF(OR(H230="",I230=""),"",IF(H230=0,"",I230/H230))</f>
        <v>0</v>
      </c>
      <c r="K230" s="25">
        <f>IF(J230="","",J230*100)</f>
        <v>0</v>
      </c>
      <c r="L230" s="25">
        <f>IF(B230="","",IFERROR(AVERAGEIFS('Grocery Spending'!$L$5:$L$404,'Grocery Spending'!$H$5:$H$404,B230,'Grocery Spending'!$L$5:$L$404,"&gt;0"),""))</f>
        <v>0</v>
      </c>
      <c r="M230" s="25">
        <f>IF(B230="","",IF(COUNTIFS('Store Prices'!$B$5:$B$304,B230)=0,"",IF(SUMPRODUCT(MIN((('Store Prices'!$B$5:$B$304=B230)*(IFERROR('Store Prices'!$I$5:$I$304*1,0)&gt;0))*IFERROR('Store Prices'!$I$5:$I$304*1,0)+(1-(('Store Prices'!$B$5:$B$304=B230)*(IFERROR('Store Prices'!$I$5:$I$304*1,0)&gt;0)))*999999))&gt;=999999,"",SUMPRODUCT(MIN((('Store Prices'!$B$5:$B$304=B230)*(IFERROR('Store Prices'!$I$5:$I$304*1,0)&gt;0))*IFERROR('Store Prices'!$I$5:$I$304*1,0)+(1-(('Store Prices'!$B$5:$B$304=B230)*(IFERROR('Store Prices'!$I$5:$I$304*1,0)&gt;0)))*999999)))))</f>
        <v>0</v>
      </c>
      <c r="N230" s="17">
        <f>IF(M230="","",IFERROR(INDEX('Store Prices'!$C$5:$C$304,MATCH(1,INDEX(('Store Prices'!$B$5:$B$304=B230)*('Store Prices'!$I$5:$I$304=M230),0),0)),""))</f>
        <v>0</v>
      </c>
      <c r="O230" s="25">
        <f>IF(OR(M230="",J230=""),"",MAX(0,(J230-M230)*100))</f>
        <v>0</v>
      </c>
      <c r="AD230" s="45">
        <f>IF(B230="","",SUMIFS(Pantry!$G$5:$G$304,Pantry!$B$5:$B$304,B230))</f>
        <v>0</v>
      </c>
      <c r="AE230" s="25">
        <f>IF(OR(AD230="",J230=""),"",AD230*J230)</f>
        <v>0</v>
      </c>
      <c r="AF230" s="18">
        <f>IF(B230="","",COUNTIFS('Recipe Ingredients'!$D$5:$D$1204,B230))</f>
        <v>0</v>
      </c>
      <c r="AG230" s="45">
        <f>IF(B230="","",SUMIFS('Recipe Ingredients'!$Y$5:$Y$1204,'Recipe Ingredients'!$D$5:$D$1204,B230))</f>
        <v>0</v>
      </c>
      <c r="AH230" s="30">
        <f>IF(B230="",0,IFERROR(K230*1,0)*IFERROR(AF230*1,0))</f>
        <v>0</v>
      </c>
      <c r="AI230" s="18">
        <f>IF(B230="","",COUNTIFS($AH$5:$AH$304,"&gt;"&amp;AH230)+COUNTIFS($AH$5:AH230,AH230))</f>
        <v>0</v>
      </c>
      <c r="AJ230" s="18">
        <f>IF(B230="",0,COUNTIFS('Food Waste'!$E$5:$E$154,B230))</f>
        <v>0</v>
      </c>
      <c r="AK230" s="18">
        <f>IF(B230="","",COUNTIFS($AJ$5:$AJ$304,"&gt;"&amp;AJ230)+COUNTIFS($AJ$5:AJ230,AJ230))</f>
        <v>0</v>
      </c>
      <c r="AL230" s="18">
        <f>IF(B230="","",IF(AG230&gt;0,COUNTIF(AG$5:AG230,"&gt;0"),""))</f>
        <v>0</v>
      </c>
      <c r="AM230" s="45">
        <f>IF(B230="","",SUMIFS('Grocery List'!$Q$5:$Q$304,'Grocery List'!$B$5:$B$304,B230))</f>
        <v>0</v>
      </c>
      <c r="AN230" s="31">
        <f>IF(B230="","",IF(I230="","Add - no price yet",IF(H230="","Add - no pack size",IF(COUNTIFS($B$5:$B$304,B230)&gt;1,"Duplicate - same name twice",IF(AF230=0,"Check - no recipe uses it","OK")))))</f>
        <v>0</v>
      </c>
    </row>
    <row r="231" spans="1:40">
      <c r="A231" s="39">
        <f>IF(B231="","",IngredientPrefix&amp;TEXT(ROW()-4,"0000"))</f>
        <v>0</v>
      </c>
      <c r="J231" s="25">
        <f>IF(OR(H231="",I231=""),"",IF(H231=0,"",I231/H231))</f>
        <v>0</v>
      </c>
      <c r="K231" s="25">
        <f>IF(J231="","",J231*100)</f>
        <v>0</v>
      </c>
      <c r="L231" s="25">
        <f>IF(B231="","",IFERROR(AVERAGEIFS('Grocery Spending'!$L$5:$L$404,'Grocery Spending'!$H$5:$H$404,B231,'Grocery Spending'!$L$5:$L$404,"&gt;0"),""))</f>
        <v>0</v>
      </c>
      <c r="M231" s="25">
        <f>IF(B231="","",IF(COUNTIFS('Store Prices'!$B$5:$B$304,B231)=0,"",IF(SUMPRODUCT(MIN((('Store Prices'!$B$5:$B$304=B231)*(IFERROR('Store Prices'!$I$5:$I$304*1,0)&gt;0))*IFERROR('Store Prices'!$I$5:$I$304*1,0)+(1-(('Store Prices'!$B$5:$B$304=B231)*(IFERROR('Store Prices'!$I$5:$I$304*1,0)&gt;0)))*999999))&gt;=999999,"",SUMPRODUCT(MIN((('Store Prices'!$B$5:$B$304=B231)*(IFERROR('Store Prices'!$I$5:$I$304*1,0)&gt;0))*IFERROR('Store Prices'!$I$5:$I$304*1,0)+(1-(('Store Prices'!$B$5:$B$304=B231)*(IFERROR('Store Prices'!$I$5:$I$304*1,0)&gt;0)))*999999)))))</f>
        <v>0</v>
      </c>
      <c r="N231" s="17">
        <f>IF(M231="","",IFERROR(INDEX('Store Prices'!$C$5:$C$304,MATCH(1,INDEX(('Store Prices'!$B$5:$B$304=B231)*('Store Prices'!$I$5:$I$304=M231),0),0)),""))</f>
        <v>0</v>
      </c>
      <c r="O231" s="25">
        <f>IF(OR(M231="",J231=""),"",MAX(0,(J231-M231)*100))</f>
        <v>0</v>
      </c>
      <c r="AD231" s="45">
        <f>IF(B231="","",SUMIFS(Pantry!$G$5:$G$304,Pantry!$B$5:$B$304,B231))</f>
        <v>0</v>
      </c>
      <c r="AE231" s="25">
        <f>IF(OR(AD231="",J231=""),"",AD231*J231)</f>
        <v>0</v>
      </c>
      <c r="AF231" s="18">
        <f>IF(B231="","",COUNTIFS('Recipe Ingredients'!$D$5:$D$1204,B231))</f>
        <v>0</v>
      </c>
      <c r="AG231" s="45">
        <f>IF(B231="","",SUMIFS('Recipe Ingredients'!$Y$5:$Y$1204,'Recipe Ingredients'!$D$5:$D$1204,B231))</f>
        <v>0</v>
      </c>
      <c r="AH231" s="30">
        <f>IF(B231="",0,IFERROR(K231*1,0)*IFERROR(AF231*1,0))</f>
        <v>0</v>
      </c>
      <c r="AI231" s="18">
        <f>IF(B231="","",COUNTIFS($AH$5:$AH$304,"&gt;"&amp;AH231)+COUNTIFS($AH$5:AH231,AH231))</f>
        <v>0</v>
      </c>
      <c r="AJ231" s="18">
        <f>IF(B231="",0,COUNTIFS('Food Waste'!$E$5:$E$154,B231))</f>
        <v>0</v>
      </c>
      <c r="AK231" s="18">
        <f>IF(B231="","",COUNTIFS($AJ$5:$AJ$304,"&gt;"&amp;AJ231)+COUNTIFS($AJ$5:AJ231,AJ231))</f>
        <v>0</v>
      </c>
      <c r="AL231" s="18">
        <f>IF(B231="","",IF(AG231&gt;0,COUNTIF(AG$5:AG231,"&gt;0"),""))</f>
        <v>0</v>
      </c>
      <c r="AM231" s="45">
        <f>IF(B231="","",SUMIFS('Grocery List'!$Q$5:$Q$304,'Grocery List'!$B$5:$B$304,B231))</f>
        <v>0</v>
      </c>
      <c r="AN231" s="31">
        <f>IF(B231="","",IF(I231="","Add - no price yet",IF(H231="","Add - no pack size",IF(COUNTIFS($B$5:$B$304,B231)&gt;1,"Duplicate - same name twice",IF(AF231=0,"Check - no recipe uses it","OK")))))</f>
        <v>0</v>
      </c>
    </row>
    <row r="232" spans="1:40">
      <c r="A232" s="39">
        <f>IF(B232="","",IngredientPrefix&amp;TEXT(ROW()-4,"0000"))</f>
        <v>0</v>
      </c>
      <c r="J232" s="25">
        <f>IF(OR(H232="",I232=""),"",IF(H232=0,"",I232/H232))</f>
        <v>0</v>
      </c>
      <c r="K232" s="25">
        <f>IF(J232="","",J232*100)</f>
        <v>0</v>
      </c>
      <c r="L232" s="25">
        <f>IF(B232="","",IFERROR(AVERAGEIFS('Grocery Spending'!$L$5:$L$404,'Grocery Spending'!$H$5:$H$404,B232,'Grocery Spending'!$L$5:$L$404,"&gt;0"),""))</f>
        <v>0</v>
      </c>
      <c r="M232" s="25">
        <f>IF(B232="","",IF(COUNTIFS('Store Prices'!$B$5:$B$304,B232)=0,"",IF(SUMPRODUCT(MIN((('Store Prices'!$B$5:$B$304=B232)*(IFERROR('Store Prices'!$I$5:$I$304*1,0)&gt;0))*IFERROR('Store Prices'!$I$5:$I$304*1,0)+(1-(('Store Prices'!$B$5:$B$304=B232)*(IFERROR('Store Prices'!$I$5:$I$304*1,0)&gt;0)))*999999))&gt;=999999,"",SUMPRODUCT(MIN((('Store Prices'!$B$5:$B$304=B232)*(IFERROR('Store Prices'!$I$5:$I$304*1,0)&gt;0))*IFERROR('Store Prices'!$I$5:$I$304*1,0)+(1-(('Store Prices'!$B$5:$B$304=B232)*(IFERROR('Store Prices'!$I$5:$I$304*1,0)&gt;0)))*999999)))))</f>
        <v>0</v>
      </c>
      <c r="N232" s="17">
        <f>IF(M232="","",IFERROR(INDEX('Store Prices'!$C$5:$C$304,MATCH(1,INDEX(('Store Prices'!$B$5:$B$304=B232)*('Store Prices'!$I$5:$I$304=M232),0),0)),""))</f>
        <v>0</v>
      </c>
      <c r="O232" s="25">
        <f>IF(OR(M232="",J232=""),"",MAX(0,(J232-M232)*100))</f>
        <v>0</v>
      </c>
      <c r="AD232" s="45">
        <f>IF(B232="","",SUMIFS(Pantry!$G$5:$G$304,Pantry!$B$5:$B$304,B232))</f>
        <v>0</v>
      </c>
      <c r="AE232" s="25">
        <f>IF(OR(AD232="",J232=""),"",AD232*J232)</f>
        <v>0</v>
      </c>
      <c r="AF232" s="18">
        <f>IF(B232="","",COUNTIFS('Recipe Ingredients'!$D$5:$D$1204,B232))</f>
        <v>0</v>
      </c>
      <c r="AG232" s="45">
        <f>IF(B232="","",SUMIFS('Recipe Ingredients'!$Y$5:$Y$1204,'Recipe Ingredients'!$D$5:$D$1204,B232))</f>
        <v>0</v>
      </c>
      <c r="AH232" s="30">
        <f>IF(B232="",0,IFERROR(K232*1,0)*IFERROR(AF232*1,0))</f>
        <v>0</v>
      </c>
      <c r="AI232" s="18">
        <f>IF(B232="","",COUNTIFS($AH$5:$AH$304,"&gt;"&amp;AH232)+COUNTIFS($AH$5:AH232,AH232))</f>
        <v>0</v>
      </c>
      <c r="AJ232" s="18">
        <f>IF(B232="",0,COUNTIFS('Food Waste'!$E$5:$E$154,B232))</f>
        <v>0</v>
      </c>
      <c r="AK232" s="18">
        <f>IF(B232="","",COUNTIFS($AJ$5:$AJ$304,"&gt;"&amp;AJ232)+COUNTIFS($AJ$5:AJ232,AJ232))</f>
        <v>0</v>
      </c>
      <c r="AL232" s="18">
        <f>IF(B232="","",IF(AG232&gt;0,COUNTIF(AG$5:AG232,"&gt;0"),""))</f>
        <v>0</v>
      </c>
      <c r="AM232" s="45">
        <f>IF(B232="","",SUMIFS('Grocery List'!$Q$5:$Q$304,'Grocery List'!$B$5:$B$304,B232))</f>
        <v>0</v>
      </c>
      <c r="AN232" s="31">
        <f>IF(B232="","",IF(I232="","Add - no price yet",IF(H232="","Add - no pack size",IF(COUNTIFS($B$5:$B$304,B232)&gt;1,"Duplicate - same name twice",IF(AF232=0,"Check - no recipe uses it","OK")))))</f>
        <v>0</v>
      </c>
    </row>
    <row r="233" spans="1:40">
      <c r="A233" s="39">
        <f>IF(B233="","",IngredientPrefix&amp;TEXT(ROW()-4,"0000"))</f>
        <v>0</v>
      </c>
      <c r="J233" s="25">
        <f>IF(OR(H233="",I233=""),"",IF(H233=0,"",I233/H233))</f>
        <v>0</v>
      </c>
      <c r="K233" s="25">
        <f>IF(J233="","",J233*100)</f>
        <v>0</v>
      </c>
      <c r="L233" s="25">
        <f>IF(B233="","",IFERROR(AVERAGEIFS('Grocery Spending'!$L$5:$L$404,'Grocery Spending'!$H$5:$H$404,B233,'Grocery Spending'!$L$5:$L$404,"&gt;0"),""))</f>
        <v>0</v>
      </c>
      <c r="M233" s="25">
        <f>IF(B233="","",IF(COUNTIFS('Store Prices'!$B$5:$B$304,B233)=0,"",IF(SUMPRODUCT(MIN((('Store Prices'!$B$5:$B$304=B233)*(IFERROR('Store Prices'!$I$5:$I$304*1,0)&gt;0))*IFERROR('Store Prices'!$I$5:$I$304*1,0)+(1-(('Store Prices'!$B$5:$B$304=B233)*(IFERROR('Store Prices'!$I$5:$I$304*1,0)&gt;0)))*999999))&gt;=999999,"",SUMPRODUCT(MIN((('Store Prices'!$B$5:$B$304=B233)*(IFERROR('Store Prices'!$I$5:$I$304*1,0)&gt;0))*IFERROR('Store Prices'!$I$5:$I$304*1,0)+(1-(('Store Prices'!$B$5:$B$304=B233)*(IFERROR('Store Prices'!$I$5:$I$304*1,0)&gt;0)))*999999)))))</f>
        <v>0</v>
      </c>
      <c r="N233" s="17">
        <f>IF(M233="","",IFERROR(INDEX('Store Prices'!$C$5:$C$304,MATCH(1,INDEX(('Store Prices'!$B$5:$B$304=B233)*('Store Prices'!$I$5:$I$304=M233),0),0)),""))</f>
        <v>0</v>
      </c>
      <c r="O233" s="25">
        <f>IF(OR(M233="",J233=""),"",MAX(0,(J233-M233)*100))</f>
        <v>0</v>
      </c>
      <c r="AD233" s="45">
        <f>IF(B233="","",SUMIFS(Pantry!$G$5:$G$304,Pantry!$B$5:$B$304,B233))</f>
        <v>0</v>
      </c>
      <c r="AE233" s="25">
        <f>IF(OR(AD233="",J233=""),"",AD233*J233)</f>
        <v>0</v>
      </c>
      <c r="AF233" s="18">
        <f>IF(B233="","",COUNTIFS('Recipe Ingredients'!$D$5:$D$1204,B233))</f>
        <v>0</v>
      </c>
      <c r="AG233" s="45">
        <f>IF(B233="","",SUMIFS('Recipe Ingredients'!$Y$5:$Y$1204,'Recipe Ingredients'!$D$5:$D$1204,B233))</f>
        <v>0</v>
      </c>
      <c r="AH233" s="30">
        <f>IF(B233="",0,IFERROR(K233*1,0)*IFERROR(AF233*1,0))</f>
        <v>0</v>
      </c>
      <c r="AI233" s="18">
        <f>IF(B233="","",COUNTIFS($AH$5:$AH$304,"&gt;"&amp;AH233)+COUNTIFS($AH$5:AH233,AH233))</f>
        <v>0</v>
      </c>
      <c r="AJ233" s="18">
        <f>IF(B233="",0,COUNTIFS('Food Waste'!$E$5:$E$154,B233))</f>
        <v>0</v>
      </c>
      <c r="AK233" s="18">
        <f>IF(B233="","",COUNTIFS($AJ$5:$AJ$304,"&gt;"&amp;AJ233)+COUNTIFS($AJ$5:AJ233,AJ233))</f>
        <v>0</v>
      </c>
      <c r="AL233" s="18">
        <f>IF(B233="","",IF(AG233&gt;0,COUNTIF(AG$5:AG233,"&gt;0"),""))</f>
        <v>0</v>
      </c>
      <c r="AM233" s="45">
        <f>IF(B233="","",SUMIFS('Grocery List'!$Q$5:$Q$304,'Grocery List'!$B$5:$B$304,B233))</f>
        <v>0</v>
      </c>
      <c r="AN233" s="31">
        <f>IF(B233="","",IF(I233="","Add - no price yet",IF(H233="","Add - no pack size",IF(COUNTIFS($B$5:$B$304,B233)&gt;1,"Duplicate - same name twice",IF(AF233=0,"Check - no recipe uses it","OK")))))</f>
        <v>0</v>
      </c>
    </row>
    <row r="234" spans="1:40">
      <c r="A234" s="39">
        <f>IF(B234="","",IngredientPrefix&amp;TEXT(ROW()-4,"0000"))</f>
        <v>0</v>
      </c>
      <c r="J234" s="25">
        <f>IF(OR(H234="",I234=""),"",IF(H234=0,"",I234/H234))</f>
        <v>0</v>
      </c>
      <c r="K234" s="25">
        <f>IF(J234="","",J234*100)</f>
        <v>0</v>
      </c>
      <c r="L234" s="25">
        <f>IF(B234="","",IFERROR(AVERAGEIFS('Grocery Spending'!$L$5:$L$404,'Grocery Spending'!$H$5:$H$404,B234,'Grocery Spending'!$L$5:$L$404,"&gt;0"),""))</f>
        <v>0</v>
      </c>
      <c r="M234" s="25">
        <f>IF(B234="","",IF(COUNTIFS('Store Prices'!$B$5:$B$304,B234)=0,"",IF(SUMPRODUCT(MIN((('Store Prices'!$B$5:$B$304=B234)*(IFERROR('Store Prices'!$I$5:$I$304*1,0)&gt;0))*IFERROR('Store Prices'!$I$5:$I$304*1,0)+(1-(('Store Prices'!$B$5:$B$304=B234)*(IFERROR('Store Prices'!$I$5:$I$304*1,0)&gt;0)))*999999))&gt;=999999,"",SUMPRODUCT(MIN((('Store Prices'!$B$5:$B$304=B234)*(IFERROR('Store Prices'!$I$5:$I$304*1,0)&gt;0))*IFERROR('Store Prices'!$I$5:$I$304*1,0)+(1-(('Store Prices'!$B$5:$B$304=B234)*(IFERROR('Store Prices'!$I$5:$I$304*1,0)&gt;0)))*999999)))))</f>
        <v>0</v>
      </c>
      <c r="N234" s="17">
        <f>IF(M234="","",IFERROR(INDEX('Store Prices'!$C$5:$C$304,MATCH(1,INDEX(('Store Prices'!$B$5:$B$304=B234)*('Store Prices'!$I$5:$I$304=M234),0),0)),""))</f>
        <v>0</v>
      </c>
      <c r="O234" s="25">
        <f>IF(OR(M234="",J234=""),"",MAX(0,(J234-M234)*100))</f>
        <v>0</v>
      </c>
      <c r="AD234" s="45">
        <f>IF(B234="","",SUMIFS(Pantry!$G$5:$G$304,Pantry!$B$5:$B$304,B234))</f>
        <v>0</v>
      </c>
      <c r="AE234" s="25">
        <f>IF(OR(AD234="",J234=""),"",AD234*J234)</f>
        <v>0</v>
      </c>
      <c r="AF234" s="18">
        <f>IF(B234="","",COUNTIFS('Recipe Ingredients'!$D$5:$D$1204,B234))</f>
        <v>0</v>
      </c>
      <c r="AG234" s="45">
        <f>IF(B234="","",SUMIFS('Recipe Ingredients'!$Y$5:$Y$1204,'Recipe Ingredients'!$D$5:$D$1204,B234))</f>
        <v>0</v>
      </c>
      <c r="AH234" s="30">
        <f>IF(B234="",0,IFERROR(K234*1,0)*IFERROR(AF234*1,0))</f>
        <v>0</v>
      </c>
      <c r="AI234" s="18">
        <f>IF(B234="","",COUNTIFS($AH$5:$AH$304,"&gt;"&amp;AH234)+COUNTIFS($AH$5:AH234,AH234))</f>
        <v>0</v>
      </c>
      <c r="AJ234" s="18">
        <f>IF(B234="",0,COUNTIFS('Food Waste'!$E$5:$E$154,B234))</f>
        <v>0</v>
      </c>
      <c r="AK234" s="18">
        <f>IF(B234="","",COUNTIFS($AJ$5:$AJ$304,"&gt;"&amp;AJ234)+COUNTIFS($AJ$5:AJ234,AJ234))</f>
        <v>0</v>
      </c>
      <c r="AL234" s="18">
        <f>IF(B234="","",IF(AG234&gt;0,COUNTIF(AG$5:AG234,"&gt;0"),""))</f>
        <v>0</v>
      </c>
      <c r="AM234" s="45">
        <f>IF(B234="","",SUMIFS('Grocery List'!$Q$5:$Q$304,'Grocery List'!$B$5:$B$304,B234))</f>
        <v>0</v>
      </c>
      <c r="AN234" s="31">
        <f>IF(B234="","",IF(I234="","Add - no price yet",IF(H234="","Add - no pack size",IF(COUNTIFS($B$5:$B$304,B234)&gt;1,"Duplicate - same name twice",IF(AF234=0,"Check - no recipe uses it","OK")))))</f>
        <v>0</v>
      </c>
    </row>
    <row r="235" spans="1:40">
      <c r="A235" s="39">
        <f>IF(B235="","",IngredientPrefix&amp;TEXT(ROW()-4,"0000"))</f>
        <v>0</v>
      </c>
      <c r="J235" s="25">
        <f>IF(OR(H235="",I235=""),"",IF(H235=0,"",I235/H235))</f>
        <v>0</v>
      </c>
      <c r="K235" s="25">
        <f>IF(J235="","",J235*100)</f>
        <v>0</v>
      </c>
      <c r="L235" s="25">
        <f>IF(B235="","",IFERROR(AVERAGEIFS('Grocery Spending'!$L$5:$L$404,'Grocery Spending'!$H$5:$H$404,B235,'Grocery Spending'!$L$5:$L$404,"&gt;0"),""))</f>
        <v>0</v>
      </c>
      <c r="M235" s="25">
        <f>IF(B235="","",IF(COUNTIFS('Store Prices'!$B$5:$B$304,B235)=0,"",IF(SUMPRODUCT(MIN((('Store Prices'!$B$5:$B$304=B235)*(IFERROR('Store Prices'!$I$5:$I$304*1,0)&gt;0))*IFERROR('Store Prices'!$I$5:$I$304*1,0)+(1-(('Store Prices'!$B$5:$B$304=B235)*(IFERROR('Store Prices'!$I$5:$I$304*1,0)&gt;0)))*999999))&gt;=999999,"",SUMPRODUCT(MIN((('Store Prices'!$B$5:$B$304=B235)*(IFERROR('Store Prices'!$I$5:$I$304*1,0)&gt;0))*IFERROR('Store Prices'!$I$5:$I$304*1,0)+(1-(('Store Prices'!$B$5:$B$304=B235)*(IFERROR('Store Prices'!$I$5:$I$304*1,0)&gt;0)))*999999)))))</f>
        <v>0</v>
      </c>
      <c r="N235" s="17">
        <f>IF(M235="","",IFERROR(INDEX('Store Prices'!$C$5:$C$304,MATCH(1,INDEX(('Store Prices'!$B$5:$B$304=B235)*('Store Prices'!$I$5:$I$304=M235),0),0)),""))</f>
        <v>0</v>
      </c>
      <c r="O235" s="25">
        <f>IF(OR(M235="",J235=""),"",MAX(0,(J235-M235)*100))</f>
        <v>0</v>
      </c>
      <c r="AD235" s="45">
        <f>IF(B235="","",SUMIFS(Pantry!$G$5:$G$304,Pantry!$B$5:$B$304,B235))</f>
        <v>0</v>
      </c>
      <c r="AE235" s="25">
        <f>IF(OR(AD235="",J235=""),"",AD235*J235)</f>
        <v>0</v>
      </c>
      <c r="AF235" s="18">
        <f>IF(B235="","",COUNTIFS('Recipe Ingredients'!$D$5:$D$1204,B235))</f>
        <v>0</v>
      </c>
      <c r="AG235" s="45">
        <f>IF(B235="","",SUMIFS('Recipe Ingredients'!$Y$5:$Y$1204,'Recipe Ingredients'!$D$5:$D$1204,B235))</f>
        <v>0</v>
      </c>
      <c r="AH235" s="30">
        <f>IF(B235="",0,IFERROR(K235*1,0)*IFERROR(AF235*1,0))</f>
        <v>0</v>
      </c>
      <c r="AI235" s="18">
        <f>IF(B235="","",COUNTIFS($AH$5:$AH$304,"&gt;"&amp;AH235)+COUNTIFS($AH$5:AH235,AH235))</f>
        <v>0</v>
      </c>
      <c r="AJ235" s="18">
        <f>IF(B235="",0,COUNTIFS('Food Waste'!$E$5:$E$154,B235))</f>
        <v>0</v>
      </c>
      <c r="AK235" s="18">
        <f>IF(B235="","",COUNTIFS($AJ$5:$AJ$304,"&gt;"&amp;AJ235)+COUNTIFS($AJ$5:AJ235,AJ235))</f>
        <v>0</v>
      </c>
      <c r="AL235" s="18">
        <f>IF(B235="","",IF(AG235&gt;0,COUNTIF(AG$5:AG235,"&gt;0"),""))</f>
        <v>0</v>
      </c>
      <c r="AM235" s="45">
        <f>IF(B235="","",SUMIFS('Grocery List'!$Q$5:$Q$304,'Grocery List'!$B$5:$B$304,B235))</f>
        <v>0</v>
      </c>
      <c r="AN235" s="31">
        <f>IF(B235="","",IF(I235="","Add - no price yet",IF(H235="","Add - no pack size",IF(COUNTIFS($B$5:$B$304,B235)&gt;1,"Duplicate - same name twice",IF(AF235=0,"Check - no recipe uses it","OK")))))</f>
        <v>0</v>
      </c>
    </row>
    <row r="236" spans="1:40">
      <c r="A236" s="39">
        <f>IF(B236="","",IngredientPrefix&amp;TEXT(ROW()-4,"0000"))</f>
        <v>0</v>
      </c>
      <c r="J236" s="25">
        <f>IF(OR(H236="",I236=""),"",IF(H236=0,"",I236/H236))</f>
        <v>0</v>
      </c>
      <c r="K236" s="25">
        <f>IF(J236="","",J236*100)</f>
        <v>0</v>
      </c>
      <c r="L236" s="25">
        <f>IF(B236="","",IFERROR(AVERAGEIFS('Grocery Spending'!$L$5:$L$404,'Grocery Spending'!$H$5:$H$404,B236,'Grocery Spending'!$L$5:$L$404,"&gt;0"),""))</f>
        <v>0</v>
      </c>
      <c r="M236" s="25">
        <f>IF(B236="","",IF(COUNTIFS('Store Prices'!$B$5:$B$304,B236)=0,"",IF(SUMPRODUCT(MIN((('Store Prices'!$B$5:$B$304=B236)*(IFERROR('Store Prices'!$I$5:$I$304*1,0)&gt;0))*IFERROR('Store Prices'!$I$5:$I$304*1,0)+(1-(('Store Prices'!$B$5:$B$304=B236)*(IFERROR('Store Prices'!$I$5:$I$304*1,0)&gt;0)))*999999))&gt;=999999,"",SUMPRODUCT(MIN((('Store Prices'!$B$5:$B$304=B236)*(IFERROR('Store Prices'!$I$5:$I$304*1,0)&gt;0))*IFERROR('Store Prices'!$I$5:$I$304*1,0)+(1-(('Store Prices'!$B$5:$B$304=B236)*(IFERROR('Store Prices'!$I$5:$I$304*1,0)&gt;0)))*999999)))))</f>
        <v>0</v>
      </c>
      <c r="N236" s="17">
        <f>IF(M236="","",IFERROR(INDEX('Store Prices'!$C$5:$C$304,MATCH(1,INDEX(('Store Prices'!$B$5:$B$304=B236)*('Store Prices'!$I$5:$I$304=M236),0),0)),""))</f>
        <v>0</v>
      </c>
      <c r="O236" s="25">
        <f>IF(OR(M236="",J236=""),"",MAX(0,(J236-M236)*100))</f>
        <v>0</v>
      </c>
      <c r="AD236" s="45">
        <f>IF(B236="","",SUMIFS(Pantry!$G$5:$G$304,Pantry!$B$5:$B$304,B236))</f>
        <v>0</v>
      </c>
      <c r="AE236" s="25">
        <f>IF(OR(AD236="",J236=""),"",AD236*J236)</f>
        <v>0</v>
      </c>
      <c r="AF236" s="18">
        <f>IF(B236="","",COUNTIFS('Recipe Ingredients'!$D$5:$D$1204,B236))</f>
        <v>0</v>
      </c>
      <c r="AG236" s="45">
        <f>IF(B236="","",SUMIFS('Recipe Ingredients'!$Y$5:$Y$1204,'Recipe Ingredients'!$D$5:$D$1204,B236))</f>
        <v>0</v>
      </c>
      <c r="AH236" s="30">
        <f>IF(B236="",0,IFERROR(K236*1,0)*IFERROR(AF236*1,0))</f>
        <v>0</v>
      </c>
      <c r="AI236" s="18">
        <f>IF(B236="","",COUNTIFS($AH$5:$AH$304,"&gt;"&amp;AH236)+COUNTIFS($AH$5:AH236,AH236))</f>
        <v>0</v>
      </c>
      <c r="AJ236" s="18">
        <f>IF(B236="",0,COUNTIFS('Food Waste'!$E$5:$E$154,B236))</f>
        <v>0</v>
      </c>
      <c r="AK236" s="18">
        <f>IF(B236="","",COUNTIFS($AJ$5:$AJ$304,"&gt;"&amp;AJ236)+COUNTIFS($AJ$5:AJ236,AJ236))</f>
        <v>0</v>
      </c>
      <c r="AL236" s="18">
        <f>IF(B236="","",IF(AG236&gt;0,COUNTIF(AG$5:AG236,"&gt;0"),""))</f>
        <v>0</v>
      </c>
      <c r="AM236" s="45">
        <f>IF(B236="","",SUMIFS('Grocery List'!$Q$5:$Q$304,'Grocery List'!$B$5:$B$304,B236))</f>
        <v>0</v>
      </c>
      <c r="AN236" s="31">
        <f>IF(B236="","",IF(I236="","Add - no price yet",IF(H236="","Add - no pack size",IF(COUNTIFS($B$5:$B$304,B236)&gt;1,"Duplicate - same name twice",IF(AF236=0,"Check - no recipe uses it","OK")))))</f>
        <v>0</v>
      </c>
    </row>
    <row r="237" spans="1:40">
      <c r="A237" s="39">
        <f>IF(B237="","",IngredientPrefix&amp;TEXT(ROW()-4,"0000"))</f>
        <v>0</v>
      </c>
      <c r="J237" s="25">
        <f>IF(OR(H237="",I237=""),"",IF(H237=0,"",I237/H237))</f>
        <v>0</v>
      </c>
      <c r="K237" s="25">
        <f>IF(J237="","",J237*100)</f>
        <v>0</v>
      </c>
      <c r="L237" s="25">
        <f>IF(B237="","",IFERROR(AVERAGEIFS('Grocery Spending'!$L$5:$L$404,'Grocery Spending'!$H$5:$H$404,B237,'Grocery Spending'!$L$5:$L$404,"&gt;0"),""))</f>
        <v>0</v>
      </c>
      <c r="M237" s="25">
        <f>IF(B237="","",IF(COUNTIFS('Store Prices'!$B$5:$B$304,B237)=0,"",IF(SUMPRODUCT(MIN((('Store Prices'!$B$5:$B$304=B237)*(IFERROR('Store Prices'!$I$5:$I$304*1,0)&gt;0))*IFERROR('Store Prices'!$I$5:$I$304*1,0)+(1-(('Store Prices'!$B$5:$B$304=B237)*(IFERROR('Store Prices'!$I$5:$I$304*1,0)&gt;0)))*999999))&gt;=999999,"",SUMPRODUCT(MIN((('Store Prices'!$B$5:$B$304=B237)*(IFERROR('Store Prices'!$I$5:$I$304*1,0)&gt;0))*IFERROR('Store Prices'!$I$5:$I$304*1,0)+(1-(('Store Prices'!$B$5:$B$304=B237)*(IFERROR('Store Prices'!$I$5:$I$304*1,0)&gt;0)))*999999)))))</f>
        <v>0</v>
      </c>
      <c r="N237" s="17">
        <f>IF(M237="","",IFERROR(INDEX('Store Prices'!$C$5:$C$304,MATCH(1,INDEX(('Store Prices'!$B$5:$B$304=B237)*('Store Prices'!$I$5:$I$304=M237),0),0)),""))</f>
        <v>0</v>
      </c>
      <c r="O237" s="25">
        <f>IF(OR(M237="",J237=""),"",MAX(0,(J237-M237)*100))</f>
        <v>0</v>
      </c>
      <c r="AD237" s="45">
        <f>IF(B237="","",SUMIFS(Pantry!$G$5:$G$304,Pantry!$B$5:$B$304,B237))</f>
        <v>0</v>
      </c>
      <c r="AE237" s="25">
        <f>IF(OR(AD237="",J237=""),"",AD237*J237)</f>
        <v>0</v>
      </c>
      <c r="AF237" s="18">
        <f>IF(B237="","",COUNTIFS('Recipe Ingredients'!$D$5:$D$1204,B237))</f>
        <v>0</v>
      </c>
      <c r="AG237" s="45">
        <f>IF(B237="","",SUMIFS('Recipe Ingredients'!$Y$5:$Y$1204,'Recipe Ingredients'!$D$5:$D$1204,B237))</f>
        <v>0</v>
      </c>
      <c r="AH237" s="30">
        <f>IF(B237="",0,IFERROR(K237*1,0)*IFERROR(AF237*1,0))</f>
        <v>0</v>
      </c>
      <c r="AI237" s="18">
        <f>IF(B237="","",COUNTIFS($AH$5:$AH$304,"&gt;"&amp;AH237)+COUNTIFS($AH$5:AH237,AH237))</f>
        <v>0</v>
      </c>
      <c r="AJ237" s="18">
        <f>IF(B237="",0,COUNTIFS('Food Waste'!$E$5:$E$154,B237))</f>
        <v>0</v>
      </c>
      <c r="AK237" s="18">
        <f>IF(B237="","",COUNTIFS($AJ$5:$AJ$304,"&gt;"&amp;AJ237)+COUNTIFS($AJ$5:AJ237,AJ237))</f>
        <v>0</v>
      </c>
      <c r="AL237" s="18">
        <f>IF(B237="","",IF(AG237&gt;0,COUNTIF(AG$5:AG237,"&gt;0"),""))</f>
        <v>0</v>
      </c>
      <c r="AM237" s="45">
        <f>IF(B237="","",SUMIFS('Grocery List'!$Q$5:$Q$304,'Grocery List'!$B$5:$B$304,B237))</f>
        <v>0</v>
      </c>
      <c r="AN237" s="31">
        <f>IF(B237="","",IF(I237="","Add - no price yet",IF(H237="","Add - no pack size",IF(COUNTIFS($B$5:$B$304,B237)&gt;1,"Duplicate - same name twice",IF(AF237=0,"Check - no recipe uses it","OK")))))</f>
        <v>0</v>
      </c>
    </row>
    <row r="238" spans="1:40">
      <c r="A238" s="39">
        <f>IF(B238="","",IngredientPrefix&amp;TEXT(ROW()-4,"0000"))</f>
        <v>0</v>
      </c>
      <c r="J238" s="25">
        <f>IF(OR(H238="",I238=""),"",IF(H238=0,"",I238/H238))</f>
        <v>0</v>
      </c>
      <c r="K238" s="25">
        <f>IF(J238="","",J238*100)</f>
        <v>0</v>
      </c>
      <c r="L238" s="25">
        <f>IF(B238="","",IFERROR(AVERAGEIFS('Grocery Spending'!$L$5:$L$404,'Grocery Spending'!$H$5:$H$404,B238,'Grocery Spending'!$L$5:$L$404,"&gt;0"),""))</f>
        <v>0</v>
      </c>
      <c r="M238" s="25">
        <f>IF(B238="","",IF(COUNTIFS('Store Prices'!$B$5:$B$304,B238)=0,"",IF(SUMPRODUCT(MIN((('Store Prices'!$B$5:$B$304=B238)*(IFERROR('Store Prices'!$I$5:$I$304*1,0)&gt;0))*IFERROR('Store Prices'!$I$5:$I$304*1,0)+(1-(('Store Prices'!$B$5:$B$304=B238)*(IFERROR('Store Prices'!$I$5:$I$304*1,0)&gt;0)))*999999))&gt;=999999,"",SUMPRODUCT(MIN((('Store Prices'!$B$5:$B$304=B238)*(IFERROR('Store Prices'!$I$5:$I$304*1,0)&gt;0))*IFERROR('Store Prices'!$I$5:$I$304*1,0)+(1-(('Store Prices'!$B$5:$B$304=B238)*(IFERROR('Store Prices'!$I$5:$I$304*1,0)&gt;0)))*999999)))))</f>
        <v>0</v>
      </c>
      <c r="N238" s="17">
        <f>IF(M238="","",IFERROR(INDEX('Store Prices'!$C$5:$C$304,MATCH(1,INDEX(('Store Prices'!$B$5:$B$304=B238)*('Store Prices'!$I$5:$I$304=M238),0),0)),""))</f>
        <v>0</v>
      </c>
      <c r="O238" s="25">
        <f>IF(OR(M238="",J238=""),"",MAX(0,(J238-M238)*100))</f>
        <v>0</v>
      </c>
      <c r="AD238" s="45">
        <f>IF(B238="","",SUMIFS(Pantry!$G$5:$G$304,Pantry!$B$5:$B$304,B238))</f>
        <v>0</v>
      </c>
      <c r="AE238" s="25">
        <f>IF(OR(AD238="",J238=""),"",AD238*J238)</f>
        <v>0</v>
      </c>
      <c r="AF238" s="18">
        <f>IF(B238="","",COUNTIFS('Recipe Ingredients'!$D$5:$D$1204,B238))</f>
        <v>0</v>
      </c>
      <c r="AG238" s="45">
        <f>IF(B238="","",SUMIFS('Recipe Ingredients'!$Y$5:$Y$1204,'Recipe Ingredients'!$D$5:$D$1204,B238))</f>
        <v>0</v>
      </c>
      <c r="AH238" s="30">
        <f>IF(B238="",0,IFERROR(K238*1,0)*IFERROR(AF238*1,0))</f>
        <v>0</v>
      </c>
      <c r="AI238" s="18">
        <f>IF(B238="","",COUNTIFS($AH$5:$AH$304,"&gt;"&amp;AH238)+COUNTIFS($AH$5:AH238,AH238))</f>
        <v>0</v>
      </c>
      <c r="AJ238" s="18">
        <f>IF(B238="",0,COUNTIFS('Food Waste'!$E$5:$E$154,B238))</f>
        <v>0</v>
      </c>
      <c r="AK238" s="18">
        <f>IF(B238="","",COUNTIFS($AJ$5:$AJ$304,"&gt;"&amp;AJ238)+COUNTIFS($AJ$5:AJ238,AJ238))</f>
        <v>0</v>
      </c>
      <c r="AL238" s="18">
        <f>IF(B238="","",IF(AG238&gt;0,COUNTIF(AG$5:AG238,"&gt;0"),""))</f>
        <v>0</v>
      </c>
      <c r="AM238" s="45">
        <f>IF(B238="","",SUMIFS('Grocery List'!$Q$5:$Q$304,'Grocery List'!$B$5:$B$304,B238))</f>
        <v>0</v>
      </c>
      <c r="AN238" s="31">
        <f>IF(B238="","",IF(I238="","Add - no price yet",IF(H238="","Add - no pack size",IF(COUNTIFS($B$5:$B$304,B238)&gt;1,"Duplicate - same name twice",IF(AF238=0,"Check - no recipe uses it","OK")))))</f>
        <v>0</v>
      </c>
    </row>
    <row r="239" spans="1:40">
      <c r="A239" s="39">
        <f>IF(B239="","",IngredientPrefix&amp;TEXT(ROW()-4,"0000"))</f>
        <v>0</v>
      </c>
      <c r="J239" s="25">
        <f>IF(OR(H239="",I239=""),"",IF(H239=0,"",I239/H239))</f>
        <v>0</v>
      </c>
      <c r="K239" s="25">
        <f>IF(J239="","",J239*100)</f>
        <v>0</v>
      </c>
      <c r="L239" s="25">
        <f>IF(B239="","",IFERROR(AVERAGEIFS('Grocery Spending'!$L$5:$L$404,'Grocery Spending'!$H$5:$H$404,B239,'Grocery Spending'!$L$5:$L$404,"&gt;0"),""))</f>
        <v>0</v>
      </c>
      <c r="M239" s="25">
        <f>IF(B239="","",IF(COUNTIFS('Store Prices'!$B$5:$B$304,B239)=0,"",IF(SUMPRODUCT(MIN((('Store Prices'!$B$5:$B$304=B239)*(IFERROR('Store Prices'!$I$5:$I$304*1,0)&gt;0))*IFERROR('Store Prices'!$I$5:$I$304*1,0)+(1-(('Store Prices'!$B$5:$B$304=B239)*(IFERROR('Store Prices'!$I$5:$I$304*1,0)&gt;0)))*999999))&gt;=999999,"",SUMPRODUCT(MIN((('Store Prices'!$B$5:$B$304=B239)*(IFERROR('Store Prices'!$I$5:$I$304*1,0)&gt;0))*IFERROR('Store Prices'!$I$5:$I$304*1,0)+(1-(('Store Prices'!$B$5:$B$304=B239)*(IFERROR('Store Prices'!$I$5:$I$304*1,0)&gt;0)))*999999)))))</f>
        <v>0</v>
      </c>
      <c r="N239" s="17">
        <f>IF(M239="","",IFERROR(INDEX('Store Prices'!$C$5:$C$304,MATCH(1,INDEX(('Store Prices'!$B$5:$B$304=B239)*('Store Prices'!$I$5:$I$304=M239),0),0)),""))</f>
        <v>0</v>
      </c>
      <c r="O239" s="25">
        <f>IF(OR(M239="",J239=""),"",MAX(0,(J239-M239)*100))</f>
        <v>0</v>
      </c>
      <c r="AD239" s="45">
        <f>IF(B239="","",SUMIFS(Pantry!$G$5:$G$304,Pantry!$B$5:$B$304,B239))</f>
        <v>0</v>
      </c>
      <c r="AE239" s="25">
        <f>IF(OR(AD239="",J239=""),"",AD239*J239)</f>
        <v>0</v>
      </c>
      <c r="AF239" s="18">
        <f>IF(B239="","",COUNTIFS('Recipe Ingredients'!$D$5:$D$1204,B239))</f>
        <v>0</v>
      </c>
      <c r="AG239" s="45">
        <f>IF(B239="","",SUMIFS('Recipe Ingredients'!$Y$5:$Y$1204,'Recipe Ingredients'!$D$5:$D$1204,B239))</f>
        <v>0</v>
      </c>
      <c r="AH239" s="30">
        <f>IF(B239="",0,IFERROR(K239*1,0)*IFERROR(AF239*1,0))</f>
        <v>0</v>
      </c>
      <c r="AI239" s="18">
        <f>IF(B239="","",COUNTIFS($AH$5:$AH$304,"&gt;"&amp;AH239)+COUNTIFS($AH$5:AH239,AH239))</f>
        <v>0</v>
      </c>
      <c r="AJ239" s="18">
        <f>IF(B239="",0,COUNTIFS('Food Waste'!$E$5:$E$154,B239))</f>
        <v>0</v>
      </c>
      <c r="AK239" s="18">
        <f>IF(B239="","",COUNTIFS($AJ$5:$AJ$304,"&gt;"&amp;AJ239)+COUNTIFS($AJ$5:AJ239,AJ239))</f>
        <v>0</v>
      </c>
      <c r="AL239" s="18">
        <f>IF(B239="","",IF(AG239&gt;0,COUNTIF(AG$5:AG239,"&gt;0"),""))</f>
        <v>0</v>
      </c>
      <c r="AM239" s="45">
        <f>IF(B239="","",SUMIFS('Grocery List'!$Q$5:$Q$304,'Grocery List'!$B$5:$B$304,B239))</f>
        <v>0</v>
      </c>
      <c r="AN239" s="31">
        <f>IF(B239="","",IF(I239="","Add - no price yet",IF(H239="","Add - no pack size",IF(COUNTIFS($B$5:$B$304,B239)&gt;1,"Duplicate - same name twice",IF(AF239=0,"Check - no recipe uses it","OK")))))</f>
        <v>0</v>
      </c>
    </row>
    <row r="240" spans="1:40">
      <c r="A240" s="39">
        <f>IF(B240="","",IngredientPrefix&amp;TEXT(ROW()-4,"0000"))</f>
        <v>0</v>
      </c>
      <c r="J240" s="25">
        <f>IF(OR(H240="",I240=""),"",IF(H240=0,"",I240/H240))</f>
        <v>0</v>
      </c>
      <c r="K240" s="25">
        <f>IF(J240="","",J240*100)</f>
        <v>0</v>
      </c>
      <c r="L240" s="25">
        <f>IF(B240="","",IFERROR(AVERAGEIFS('Grocery Spending'!$L$5:$L$404,'Grocery Spending'!$H$5:$H$404,B240,'Grocery Spending'!$L$5:$L$404,"&gt;0"),""))</f>
        <v>0</v>
      </c>
      <c r="M240" s="25">
        <f>IF(B240="","",IF(COUNTIFS('Store Prices'!$B$5:$B$304,B240)=0,"",IF(SUMPRODUCT(MIN((('Store Prices'!$B$5:$B$304=B240)*(IFERROR('Store Prices'!$I$5:$I$304*1,0)&gt;0))*IFERROR('Store Prices'!$I$5:$I$304*1,0)+(1-(('Store Prices'!$B$5:$B$304=B240)*(IFERROR('Store Prices'!$I$5:$I$304*1,0)&gt;0)))*999999))&gt;=999999,"",SUMPRODUCT(MIN((('Store Prices'!$B$5:$B$304=B240)*(IFERROR('Store Prices'!$I$5:$I$304*1,0)&gt;0))*IFERROR('Store Prices'!$I$5:$I$304*1,0)+(1-(('Store Prices'!$B$5:$B$304=B240)*(IFERROR('Store Prices'!$I$5:$I$304*1,0)&gt;0)))*999999)))))</f>
        <v>0</v>
      </c>
      <c r="N240" s="17">
        <f>IF(M240="","",IFERROR(INDEX('Store Prices'!$C$5:$C$304,MATCH(1,INDEX(('Store Prices'!$B$5:$B$304=B240)*('Store Prices'!$I$5:$I$304=M240),0),0)),""))</f>
        <v>0</v>
      </c>
      <c r="O240" s="25">
        <f>IF(OR(M240="",J240=""),"",MAX(0,(J240-M240)*100))</f>
        <v>0</v>
      </c>
      <c r="AD240" s="45">
        <f>IF(B240="","",SUMIFS(Pantry!$G$5:$G$304,Pantry!$B$5:$B$304,B240))</f>
        <v>0</v>
      </c>
      <c r="AE240" s="25">
        <f>IF(OR(AD240="",J240=""),"",AD240*J240)</f>
        <v>0</v>
      </c>
      <c r="AF240" s="18">
        <f>IF(B240="","",COUNTIFS('Recipe Ingredients'!$D$5:$D$1204,B240))</f>
        <v>0</v>
      </c>
      <c r="AG240" s="45">
        <f>IF(B240="","",SUMIFS('Recipe Ingredients'!$Y$5:$Y$1204,'Recipe Ingredients'!$D$5:$D$1204,B240))</f>
        <v>0</v>
      </c>
      <c r="AH240" s="30">
        <f>IF(B240="",0,IFERROR(K240*1,0)*IFERROR(AF240*1,0))</f>
        <v>0</v>
      </c>
      <c r="AI240" s="18">
        <f>IF(B240="","",COUNTIFS($AH$5:$AH$304,"&gt;"&amp;AH240)+COUNTIFS($AH$5:AH240,AH240))</f>
        <v>0</v>
      </c>
      <c r="AJ240" s="18">
        <f>IF(B240="",0,COUNTIFS('Food Waste'!$E$5:$E$154,B240))</f>
        <v>0</v>
      </c>
      <c r="AK240" s="18">
        <f>IF(B240="","",COUNTIFS($AJ$5:$AJ$304,"&gt;"&amp;AJ240)+COUNTIFS($AJ$5:AJ240,AJ240))</f>
        <v>0</v>
      </c>
      <c r="AL240" s="18">
        <f>IF(B240="","",IF(AG240&gt;0,COUNTIF(AG$5:AG240,"&gt;0"),""))</f>
        <v>0</v>
      </c>
      <c r="AM240" s="45">
        <f>IF(B240="","",SUMIFS('Grocery List'!$Q$5:$Q$304,'Grocery List'!$B$5:$B$304,B240))</f>
        <v>0</v>
      </c>
      <c r="AN240" s="31">
        <f>IF(B240="","",IF(I240="","Add - no price yet",IF(H240="","Add - no pack size",IF(COUNTIFS($B$5:$B$304,B240)&gt;1,"Duplicate - same name twice",IF(AF240=0,"Check - no recipe uses it","OK")))))</f>
        <v>0</v>
      </c>
    </row>
    <row r="241" spans="1:40">
      <c r="A241" s="39">
        <f>IF(B241="","",IngredientPrefix&amp;TEXT(ROW()-4,"0000"))</f>
        <v>0</v>
      </c>
      <c r="J241" s="25">
        <f>IF(OR(H241="",I241=""),"",IF(H241=0,"",I241/H241))</f>
        <v>0</v>
      </c>
      <c r="K241" s="25">
        <f>IF(J241="","",J241*100)</f>
        <v>0</v>
      </c>
      <c r="L241" s="25">
        <f>IF(B241="","",IFERROR(AVERAGEIFS('Grocery Spending'!$L$5:$L$404,'Grocery Spending'!$H$5:$H$404,B241,'Grocery Spending'!$L$5:$L$404,"&gt;0"),""))</f>
        <v>0</v>
      </c>
      <c r="M241" s="25">
        <f>IF(B241="","",IF(COUNTIFS('Store Prices'!$B$5:$B$304,B241)=0,"",IF(SUMPRODUCT(MIN((('Store Prices'!$B$5:$B$304=B241)*(IFERROR('Store Prices'!$I$5:$I$304*1,0)&gt;0))*IFERROR('Store Prices'!$I$5:$I$304*1,0)+(1-(('Store Prices'!$B$5:$B$304=B241)*(IFERROR('Store Prices'!$I$5:$I$304*1,0)&gt;0)))*999999))&gt;=999999,"",SUMPRODUCT(MIN((('Store Prices'!$B$5:$B$304=B241)*(IFERROR('Store Prices'!$I$5:$I$304*1,0)&gt;0))*IFERROR('Store Prices'!$I$5:$I$304*1,0)+(1-(('Store Prices'!$B$5:$B$304=B241)*(IFERROR('Store Prices'!$I$5:$I$304*1,0)&gt;0)))*999999)))))</f>
        <v>0</v>
      </c>
      <c r="N241" s="17">
        <f>IF(M241="","",IFERROR(INDEX('Store Prices'!$C$5:$C$304,MATCH(1,INDEX(('Store Prices'!$B$5:$B$304=B241)*('Store Prices'!$I$5:$I$304=M241),0),0)),""))</f>
        <v>0</v>
      </c>
      <c r="O241" s="25">
        <f>IF(OR(M241="",J241=""),"",MAX(0,(J241-M241)*100))</f>
        <v>0</v>
      </c>
      <c r="AD241" s="45">
        <f>IF(B241="","",SUMIFS(Pantry!$G$5:$G$304,Pantry!$B$5:$B$304,B241))</f>
        <v>0</v>
      </c>
      <c r="AE241" s="25">
        <f>IF(OR(AD241="",J241=""),"",AD241*J241)</f>
        <v>0</v>
      </c>
      <c r="AF241" s="18">
        <f>IF(B241="","",COUNTIFS('Recipe Ingredients'!$D$5:$D$1204,B241))</f>
        <v>0</v>
      </c>
      <c r="AG241" s="45">
        <f>IF(B241="","",SUMIFS('Recipe Ingredients'!$Y$5:$Y$1204,'Recipe Ingredients'!$D$5:$D$1204,B241))</f>
        <v>0</v>
      </c>
      <c r="AH241" s="30">
        <f>IF(B241="",0,IFERROR(K241*1,0)*IFERROR(AF241*1,0))</f>
        <v>0</v>
      </c>
      <c r="AI241" s="18">
        <f>IF(B241="","",COUNTIFS($AH$5:$AH$304,"&gt;"&amp;AH241)+COUNTIFS($AH$5:AH241,AH241))</f>
        <v>0</v>
      </c>
      <c r="AJ241" s="18">
        <f>IF(B241="",0,COUNTIFS('Food Waste'!$E$5:$E$154,B241))</f>
        <v>0</v>
      </c>
      <c r="AK241" s="18">
        <f>IF(B241="","",COUNTIFS($AJ$5:$AJ$304,"&gt;"&amp;AJ241)+COUNTIFS($AJ$5:AJ241,AJ241))</f>
        <v>0</v>
      </c>
      <c r="AL241" s="18">
        <f>IF(B241="","",IF(AG241&gt;0,COUNTIF(AG$5:AG241,"&gt;0"),""))</f>
        <v>0</v>
      </c>
      <c r="AM241" s="45">
        <f>IF(B241="","",SUMIFS('Grocery List'!$Q$5:$Q$304,'Grocery List'!$B$5:$B$304,B241))</f>
        <v>0</v>
      </c>
      <c r="AN241" s="31">
        <f>IF(B241="","",IF(I241="","Add - no price yet",IF(H241="","Add - no pack size",IF(COUNTIFS($B$5:$B$304,B241)&gt;1,"Duplicate - same name twice",IF(AF241=0,"Check - no recipe uses it","OK")))))</f>
        <v>0</v>
      </c>
    </row>
    <row r="242" spans="1:40">
      <c r="A242" s="39">
        <f>IF(B242="","",IngredientPrefix&amp;TEXT(ROW()-4,"0000"))</f>
        <v>0</v>
      </c>
      <c r="J242" s="25">
        <f>IF(OR(H242="",I242=""),"",IF(H242=0,"",I242/H242))</f>
        <v>0</v>
      </c>
      <c r="K242" s="25">
        <f>IF(J242="","",J242*100)</f>
        <v>0</v>
      </c>
      <c r="L242" s="25">
        <f>IF(B242="","",IFERROR(AVERAGEIFS('Grocery Spending'!$L$5:$L$404,'Grocery Spending'!$H$5:$H$404,B242,'Grocery Spending'!$L$5:$L$404,"&gt;0"),""))</f>
        <v>0</v>
      </c>
      <c r="M242" s="25">
        <f>IF(B242="","",IF(COUNTIFS('Store Prices'!$B$5:$B$304,B242)=0,"",IF(SUMPRODUCT(MIN((('Store Prices'!$B$5:$B$304=B242)*(IFERROR('Store Prices'!$I$5:$I$304*1,0)&gt;0))*IFERROR('Store Prices'!$I$5:$I$304*1,0)+(1-(('Store Prices'!$B$5:$B$304=B242)*(IFERROR('Store Prices'!$I$5:$I$304*1,0)&gt;0)))*999999))&gt;=999999,"",SUMPRODUCT(MIN((('Store Prices'!$B$5:$B$304=B242)*(IFERROR('Store Prices'!$I$5:$I$304*1,0)&gt;0))*IFERROR('Store Prices'!$I$5:$I$304*1,0)+(1-(('Store Prices'!$B$5:$B$304=B242)*(IFERROR('Store Prices'!$I$5:$I$304*1,0)&gt;0)))*999999)))))</f>
        <v>0</v>
      </c>
      <c r="N242" s="17">
        <f>IF(M242="","",IFERROR(INDEX('Store Prices'!$C$5:$C$304,MATCH(1,INDEX(('Store Prices'!$B$5:$B$304=B242)*('Store Prices'!$I$5:$I$304=M242),0),0)),""))</f>
        <v>0</v>
      </c>
      <c r="O242" s="25">
        <f>IF(OR(M242="",J242=""),"",MAX(0,(J242-M242)*100))</f>
        <v>0</v>
      </c>
      <c r="AD242" s="45">
        <f>IF(B242="","",SUMIFS(Pantry!$G$5:$G$304,Pantry!$B$5:$B$304,B242))</f>
        <v>0</v>
      </c>
      <c r="AE242" s="25">
        <f>IF(OR(AD242="",J242=""),"",AD242*J242)</f>
        <v>0</v>
      </c>
      <c r="AF242" s="18">
        <f>IF(B242="","",COUNTIFS('Recipe Ingredients'!$D$5:$D$1204,B242))</f>
        <v>0</v>
      </c>
      <c r="AG242" s="45">
        <f>IF(B242="","",SUMIFS('Recipe Ingredients'!$Y$5:$Y$1204,'Recipe Ingredients'!$D$5:$D$1204,B242))</f>
        <v>0</v>
      </c>
      <c r="AH242" s="30">
        <f>IF(B242="",0,IFERROR(K242*1,0)*IFERROR(AF242*1,0))</f>
        <v>0</v>
      </c>
      <c r="AI242" s="18">
        <f>IF(B242="","",COUNTIFS($AH$5:$AH$304,"&gt;"&amp;AH242)+COUNTIFS($AH$5:AH242,AH242))</f>
        <v>0</v>
      </c>
      <c r="AJ242" s="18">
        <f>IF(B242="",0,COUNTIFS('Food Waste'!$E$5:$E$154,B242))</f>
        <v>0</v>
      </c>
      <c r="AK242" s="18">
        <f>IF(B242="","",COUNTIFS($AJ$5:$AJ$304,"&gt;"&amp;AJ242)+COUNTIFS($AJ$5:AJ242,AJ242))</f>
        <v>0</v>
      </c>
      <c r="AL242" s="18">
        <f>IF(B242="","",IF(AG242&gt;0,COUNTIF(AG$5:AG242,"&gt;0"),""))</f>
        <v>0</v>
      </c>
      <c r="AM242" s="45">
        <f>IF(B242="","",SUMIFS('Grocery List'!$Q$5:$Q$304,'Grocery List'!$B$5:$B$304,B242))</f>
        <v>0</v>
      </c>
      <c r="AN242" s="31">
        <f>IF(B242="","",IF(I242="","Add - no price yet",IF(H242="","Add - no pack size",IF(COUNTIFS($B$5:$B$304,B242)&gt;1,"Duplicate - same name twice",IF(AF242=0,"Check - no recipe uses it","OK")))))</f>
        <v>0</v>
      </c>
    </row>
    <row r="243" spans="1:40">
      <c r="A243" s="39">
        <f>IF(B243="","",IngredientPrefix&amp;TEXT(ROW()-4,"0000"))</f>
        <v>0</v>
      </c>
      <c r="J243" s="25">
        <f>IF(OR(H243="",I243=""),"",IF(H243=0,"",I243/H243))</f>
        <v>0</v>
      </c>
      <c r="K243" s="25">
        <f>IF(J243="","",J243*100)</f>
        <v>0</v>
      </c>
      <c r="L243" s="25">
        <f>IF(B243="","",IFERROR(AVERAGEIFS('Grocery Spending'!$L$5:$L$404,'Grocery Spending'!$H$5:$H$404,B243,'Grocery Spending'!$L$5:$L$404,"&gt;0"),""))</f>
        <v>0</v>
      </c>
      <c r="M243" s="25">
        <f>IF(B243="","",IF(COUNTIFS('Store Prices'!$B$5:$B$304,B243)=0,"",IF(SUMPRODUCT(MIN((('Store Prices'!$B$5:$B$304=B243)*(IFERROR('Store Prices'!$I$5:$I$304*1,0)&gt;0))*IFERROR('Store Prices'!$I$5:$I$304*1,0)+(1-(('Store Prices'!$B$5:$B$304=B243)*(IFERROR('Store Prices'!$I$5:$I$304*1,0)&gt;0)))*999999))&gt;=999999,"",SUMPRODUCT(MIN((('Store Prices'!$B$5:$B$304=B243)*(IFERROR('Store Prices'!$I$5:$I$304*1,0)&gt;0))*IFERROR('Store Prices'!$I$5:$I$304*1,0)+(1-(('Store Prices'!$B$5:$B$304=B243)*(IFERROR('Store Prices'!$I$5:$I$304*1,0)&gt;0)))*999999)))))</f>
        <v>0</v>
      </c>
      <c r="N243" s="17">
        <f>IF(M243="","",IFERROR(INDEX('Store Prices'!$C$5:$C$304,MATCH(1,INDEX(('Store Prices'!$B$5:$B$304=B243)*('Store Prices'!$I$5:$I$304=M243),0),0)),""))</f>
        <v>0</v>
      </c>
      <c r="O243" s="25">
        <f>IF(OR(M243="",J243=""),"",MAX(0,(J243-M243)*100))</f>
        <v>0</v>
      </c>
      <c r="AD243" s="45">
        <f>IF(B243="","",SUMIFS(Pantry!$G$5:$G$304,Pantry!$B$5:$B$304,B243))</f>
        <v>0</v>
      </c>
      <c r="AE243" s="25">
        <f>IF(OR(AD243="",J243=""),"",AD243*J243)</f>
        <v>0</v>
      </c>
      <c r="AF243" s="18">
        <f>IF(B243="","",COUNTIFS('Recipe Ingredients'!$D$5:$D$1204,B243))</f>
        <v>0</v>
      </c>
      <c r="AG243" s="45">
        <f>IF(B243="","",SUMIFS('Recipe Ingredients'!$Y$5:$Y$1204,'Recipe Ingredients'!$D$5:$D$1204,B243))</f>
        <v>0</v>
      </c>
      <c r="AH243" s="30">
        <f>IF(B243="",0,IFERROR(K243*1,0)*IFERROR(AF243*1,0))</f>
        <v>0</v>
      </c>
      <c r="AI243" s="18">
        <f>IF(B243="","",COUNTIFS($AH$5:$AH$304,"&gt;"&amp;AH243)+COUNTIFS($AH$5:AH243,AH243))</f>
        <v>0</v>
      </c>
      <c r="AJ243" s="18">
        <f>IF(B243="",0,COUNTIFS('Food Waste'!$E$5:$E$154,B243))</f>
        <v>0</v>
      </c>
      <c r="AK243" s="18">
        <f>IF(B243="","",COUNTIFS($AJ$5:$AJ$304,"&gt;"&amp;AJ243)+COUNTIFS($AJ$5:AJ243,AJ243))</f>
        <v>0</v>
      </c>
      <c r="AL243" s="18">
        <f>IF(B243="","",IF(AG243&gt;0,COUNTIF(AG$5:AG243,"&gt;0"),""))</f>
        <v>0</v>
      </c>
      <c r="AM243" s="45">
        <f>IF(B243="","",SUMIFS('Grocery List'!$Q$5:$Q$304,'Grocery List'!$B$5:$B$304,B243))</f>
        <v>0</v>
      </c>
      <c r="AN243" s="31">
        <f>IF(B243="","",IF(I243="","Add - no price yet",IF(H243="","Add - no pack size",IF(COUNTIFS($B$5:$B$304,B243)&gt;1,"Duplicate - same name twice",IF(AF243=0,"Check - no recipe uses it","OK")))))</f>
        <v>0</v>
      </c>
    </row>
    <row r="244" spans="1:40">
      <c r="A244" s="39">
        <f>IF(B244="","",IngredientPrefix&amp;TEXT(ROW()-4,"0000"))</f>
        <v>0</v>
      </c>
      <c r="J244" s="25">
        <f>IF(OR(H244="",I244=""),"",IF(H244=0,"",I244/H244))</f>
        <v>0</v>
      </c>
      <c r="K244" s="25">
        <f>IF(J244="","",J244*100)</f>
        <v>0</v>
      </c>
      <c r="L244" s="25">
        <f>IF(B244="","",IFERROR(AVERAGEIFS('Grocery Spending'!$L$5:$L$404,'Grocery Spending'!$H$5:$H$404,B244,'Grocery Spending'!$L$5:$L$404,"&gt;0"),""))</f>
        <v>0</v>
      </c>
      <c r="M244" s="25">
        <f>IF(B244="","",IF(COUNTIFS('Store Prices'!$B$5:$B$304,B244)=0,"",IF(SUMPRODUCT(MIN((('Store Prices'!$B$5:$B$304=B244)*(IFERROR('Store Prices'!$I$5:$I$304*1,0)&gt;0))*IFERROR('Store Prices'!$I$5:$I$304*1,0)+(1-(('Store Prices'!$B$5:$B$304=B244)*(IFERROR('Store Prices'!$I$5:$I$304*1,0)&gt;0)))*999999))&gt;=999999,"",SUMPRODUCT(MIN((('Store Prices'!$B$5:$B$304=B244)*(IFERROR('Store Prices'!$I$5:$I$304*1,0)&gt;0))*IFERROR('Store Prices'!$I$5:$I$304*1,0)+(1-(('Store Prices'!$B$5:$B$304=B244)*(IFERROR('Store Prices'!$I$5:$I$304*1,0)&gt;0)))*999999)))))</f>
        <v>0</v>
      </c>
      <c r="N244" s="17">
        <f>IF(M244="","",IFERROR(INDEX('Store Prices'!$C$5:$C$304,MATCH(1,INDEX(('Store Prices'!$B$5:$B$304=B244)*('Store Prices'!$I$5:$I$304=M244),0),0)),""))</f>
        <v>0</v>
      </c>
      <c r="O244" s="25">
        <f>IF(OR(M244="",J244=""),"",MAX(0,(J244-M244)*100))</f>
        <v>0</v>
      </c>
      <c r="AD244" s="45">
        <f>IF(B244="","",SUMIFS(Pantry!$G$5:$G$304,Pantry!$B$5:$B$304,B244))</f>
        <v>0</v>
      </c>
      <c r="AE244" s="25">
        <f>IF(OR(AD244="",J244=""),"",AD244*J244)</f>
        <v>0</v>
      </c>
      <c r="AF244" s="18">
        <f>IF(B244="","",COUNTIFS('Recipe Ingredients'!$D$5:$D$1204,B244))</f>
        <v>0</v>
      </c>
      <c r="AG244" s="45">
        <f>IF(B244="","",SUMIFS('Recipe Ingredients'!$Y$5:$Y$1204,'Recipe Ingredients'!$D$5:$D$1204,B244))</f>
        <v>0</v>
      </c>
      <c r="AH244" s="30">
        <f>IF(B244="",0,IFERROR(K244*1,0)*IFERROR(AF244*1,0))</f>
        <v>0</v>
      </c>
      <c r="AI244" s="18">
        <f>IF(B244="","",COUNTIFS($AH$5:$AH$304,"&gt;"&amp;AH244)+COUNTIFS($AH$5:AH244,AH244))</f>
        <v>0</v>
      </c>
      <c r="AJ244" s="18">
        <f>IF(B244="",0,COUNTIFS('Food Waste'!$E$5:$E$154,B244))</f>
        <v>0</v>
      </c>
      <c r="AK244" s="18">
        <f>IF(B244="","",COUNTIFS($AJ$5:$AJ$304,"&gt;"&amp;AJ244)+COUNTIFS($AJ$5:AJ244,AJ244))</f>
        <v>0</v>
      </c>
      <c r="AL244" s="18">
        <f>IF(B244="","",IF(AG244&gt;0,COUNTIF(AG$5:AG244,"&gt;0"),""))</f>
        <v>0</v>
      </c>
      <c r="AM244" s="45">
        <f>IF(B244="","",SUMIFS('Grocery List'!$Q$5:$Q$304,'Grocery List'!$B$5:$B$304,B244))</f>
        <v>0</v>
      </c>
      <c r="AN244" s="31">
        <f>IF(B244="","",IF(I244="","Add - no price yet",IF(H244="","Add - no pack size",IF(COUNTIFS($B$5:$B$304,B244)&gt;1,"Duplicate - same name twice",IF(AF244=0,"Check - no recipe uses it","OK")))))</f>
        <v>0</v>
      </c>
    </row>
    <row r="245" spans="1:40">
      <c r="A245" s="39">
        <f>IF(B245="","",IngredientPrefix&amp;TEXT(ROW()-4,"0000"))</f>
        <v>0</v>
      </c>
      <c r="J245" s="25">
        <f>IF(OR(H245="",I245=""),"",IF(H245=0,"",I245/H245))</f>
        <v>0</v>
      </c>
      <c r="K245" s="25">
        <f>IF(J245="","",J245*100)</f>
        <v>0</v>
      </c>
      <c r="L245" s="25">
        <f>IF(B245="","",IFERROR(AVERAGEIFS('Grocery Spending'!$L$5:$L$404,'Grocery Spending'!$H$5:$H$404,B245,'Grocery Spending'!$L$5:$L$404,"&gt;0"),""))</f>
        <v>0</v>
      </c>
      <c r="M245" s="25">
        <f>IF(B245="","",IF(COUNTIFS('Store Prices'!$B$5:$B$304,B245)=0,"",IF(SUMPRODUCT(MIN((('Store Prices'!$B$5:$B$304=B245)*(IFERROR('Store Prices'!$I$5:$I$304*1,0)&gt;0))*IFERROR('Store Prices'!$I$5:$I$304*1,0)+(1-(('Store Prices'!$B$5:$B$304=B245)*(IFERROR('Store Prices'!$I$5:$I$304*1,0)&gt;0)))*999999))&gt;=999999,"",SUMPRODUCT(MIN((('Store Prices'!$B$5:$B$304=B245)*(IFERROR('Store Prices'!$I$5:$I$304*1,0)&gt;0))*IFERROR('Store Prices'!$I$5:$I$304*1,0)+(1-(('Store Prices'!$B$5:$B$304=B245)*(IFERROR('Store Prices'!$I$5:$I$304*1,0)&gt;0)))*999999)))))</f>
        <v>0</v>
      </c>
      <c r="N245" s="17">
        <f>IF(M245="","",IFERROR(INDEX('Store Prices'!$C$5:$C$304,MATCH(1,INDEX(('Store Prices'!$B$5:$B$304=B245)*('Store Prices'!$I$5:$I$304=M245),0),0)),""))</f>
        <v>0</v>
      </c>
      <c r="O245" s="25">
        <f>IF(OR(M245="",J245=""),"",MAX(0,(J245-M245)*100))</f>
        <v>0</v>
      </c>
      <c r="AD245" s="45">
        <f>IF(B245="","",SUMIFS(Pantry!$G$5:$G$304,Pantry!$B$5:$B$304,B245))</f>
        <v>0</v>
      </c>
      <c r="AE245" s="25">
        <f>IF(OR(AD245="",J245=""),"",AD245*J245)</f>
        <v>0</v>
      </c>
      <c r="AF245" s="18">
        <f>IF(B245="","",COUNTIFS('Recipe Ingredients'!$D$5:$D$1204,B245))</f>
        <v>0</v>
      </c>
      <c r="AG245" s="45">
        <f>IF(B245="","",SUMIFS('Recipe Ingredients'!$Y$5:$Y$1204,'Recipe Ingredients'!$D$5:$D$1204,B245))</f>
        <v>0</v>
      </c>
      <c r="AH245" s="30">
        <f>IF(B245="",0,IFERROR(K245*1,0)*IFERROR(AF245*1,0))</f>
        <v>0</v>
      </c>
      <c r="AI245" s="18">
        <f>IF(B245="","",COUNTIFS($AH$5:$AH$304,"&gt;"&amp;AH245)+COUNTIFS($AH$5:AH245,AH245))</f>
        <v>0</v>
      </c>
      <c r="AJ245" s="18">
        <f>IF(B245="",0,COUNTIFS('Food Waste'!$E$5:$E$154,B245))</f>
        <v>0</v>
      </c>
      <c r="AK245" s="18">
        <f>IF(B245="","",COUNTIFS($AJ$5:$AJ$304,"&gt;"&amp;AJ245)+COUNTIFS($AJ$5:AJ245,AJ245))</f>
        <v>0</v>
      </c>
      <c r="AL245" s="18">
        <f>IF(B245="","",IF(AG245&gt;0,COUNTIF(AG$5:AG245,"&gt;0"),""))</f>
        <v>0</v>
      </c>
      <c r="AM245" s="45">
        <f>IF(B245="","",SUMIFS('Grocery List'!$Q$5:$Q$304,'Grocery List'!$B$5:$B$304,B245))</f>
        <v>0</v>
      </c>
      <c r="AN245" s="31">
        <f>IF(B245="","",IF(I245="","Add - no price yet",IF(H245="","Add - no pack size",IF(COUNTIFS($B$5:$B$304,B245)&gt;1,"Duplicate - same name twice",IF(AF245=0,"Check - no recipe uses it","OK")))))</f>
        <v>0</v>
      </c>
    </row>
    <row r="246" spans="1:40">
      <c r="A246" s="39">
        <f>IF(B246="","",IngredientPrefix&amp;TEXT(ROW()-4,"0000"))</f>
        <v>0</v>
      </c>
      <c r="J246" s="25">
        <f>IF(OR(H246="",I246=""),"",IF(H246=0,"",I246/H246))</f>
        <v>0</v>
      </c>
      <c r="K246" s="25">
        <f>IF(J246="","",J246*100)</f>
        <v>0</v>
      </c>
      <c r="L246" s="25">
        <f>IF(B246="","",IFERROR(AVERAGEIFS('Grocery Spending'!$L$5:$L$404,'Grocery Spending'!$H$5:$H$404,B246,'Grocery Spending'!$L$5:$L$404,"&gt;0"),""))</f>
        <v>0</v>
      </c>
      <c r="M246" s="25">
        <f>IF(B246="","",IF(COUNTIFS('Store Prices'!$B$5:$B$304,B246)=0,"",IF(SUMPRODUCT(MIN((('Store Prices'!$B$5:$B$304=B246)*(IFERROR('Store Prices'!$I$5:$I$304*1,0)&gt;0))*IFERROR('Store Prices'!$I$5:$I$304*1,0)+(1-(('Store Prices'!$B$5:$B$304=B246)*(IFERROR('Store Prices'!$I$5:$I$304*1,0)&gt;0)))*999999))&gt;=999999,"",SUMPRODUCT(MIN((('Store Prices'!$B$5:$B$304=B246)*(IFERROR('Store Prices'!$I$5:$I$304*1,0)&gt;0))*IFERROR('Store Prices'!$I$5:$I$304*1,0)+(1-(('Store Prices'!$B$5:$B$304=B246)*(IFERROR('Store Prices'!$I$5:$I$304*1,0)&gt;0)))*999999)))))</f>
        <v>0</v>
      </c>
      <c r="N246" s="17">
        <f>IF(M246="","",IFERROR(INDEX('Store Prices'!$C$5:$C$304,MATCH(1,INDEX(('Store Prices'!$B$5:$B$304=B246)*('Store Prices'!$I$5:$I$304=M246),0),0)),""))</f>
        <v>0</v>
      </c>
      <c r="O246" s="25">
        <f>IF(OR(M246="",J246=""),"",MAX(0,(J246-M246)*100))</f>
        <v>0</v>
      </c>
      <c r="AD246" s="45">
        <f>IF(B246="","",SUMIFS(Pantry!$G$5:$G$304,Pantry!$B$5:$B$304,B246))</f>
        <v>0</v>
      </c>
      <c r="AE246" s="25">
        <f>IF(OR(AD246="",J246=""),"",AD246*J246)</f>
        <v>0</v>
      </c>
      <c r="AF246" s="18">
        <f>IF(B246="","",COUNTIFS('Recipe Ingredients'!$D$5:$D$1204,B246))</f>
        <v>0</v>
      </c>
      <c r="AG246" s="45">
        <f>IF(B246="","",SUMIFS('Recipe Ingredients'!$Y$5:$Y$1204,'Recipe Ingredients'!$D$5:$D$1204,B246))</f>
        <v>0</v>
      </c>
      <c r="AH246" s="30">
        <f>IF(B246="",0,IFERROR(K246*1,0)*IFERROR(AF246*1,0))</f>
        <v>0</v>
      </c>
      <c r="AI246" s="18">
        <f>IF(B246="","",COUNTIFS($AH$5:$AH$304,"&gt;"&amp;AH246)+COUNTIFS($AH$5:AH246,AH246))</f>
        <v>0</v>
      </c>
      <c r="AJ246" s="18">
        <f>IF(B246="",0,COUNTIFS('Food Waste'!$E$5:$E$154,B246))</f>
        <v>0</v>
      </c>
      <c r="AK246" s="18">
        <f>IF(B246="","",COUNTIFS($AJ$5:$AJ$304,"&gt;"&amp;AJ246)+COUNTIFS($AJ$5:AJ246,AJ246))</f>
        <v>0</v>
      </c>
      <c r="AL246" s="18">
        <f>IF(B246="","",IF(AG246&gt;0,COUNTIF(AG$5:AG246,"&gt;0"),""))</f>
        <v>0</v>
      </c>
      <c r="AM246" s="45">
        <f>IF(B246="","",SUMIFS('Grocery List'!$Q$5:$Q$304,'Grocery List'!$B$5:$B$304,B246))</f>
        <v>0</v>
      </c>
      <c r="AN246" s="31">
        <f>IF(B246="","",IF(I246="","Add - no price yet",IF(H246="","Add - no pack size",IF(COUNTIFS($B$5:$B$304,B246)&gt;1,"Duplicate - same name twice",IF(AF246=0,"Check - no recipe uses it","OK")))))</f>
        <v>0</v>
      </c>
    </row>
    <row r="247" spans="1:40">
      <c r="A247" s="39">
        <f>IF(B247="","",IngredientPrefix&amp;TEXT(ROW()-4,"0000"))</f>
        <v>0</v>
      </c>
      <c r="J247" s="25">
        <f>IF(OR(H247="",I247=""),"",IF(H247=0,"",I247/H247))</f>
        <v>0</v>
      </c>
      <c r="K247" s="25">
        <f>IF(J247="","",J247*100)</f>
        <v>0</v>
      </c>
      <c r="L247" s="25">
        <f>IF(B247="","",IFERROR(AVERAGEIFS('Grocery Spending'!$L$5:$L$404,'Grocery Spending'!$H$5:$H$404,B247,'Grocery Spending'!$L$5:$L$404,"&gt;0"),""))</f>
        <v>0</v>
      </c>
      <c r="M247" s="25">
        <f>IF(B247="","",IF(COUNTIFS('Store Prices'!$B$5:$B$304,B247)=0,"",IF(SUMPRODUCT(MIN((('Store Prices'!$B$5:$B$304=B247)*(IFERROR('Store Prices'!$I$5:$I$304*1,0)&gt;0))*IFERROR('Store Prices'!$I$5:$I$304*1,0)+(1-(('Store Prices'!$B$5:$B$304=B247)*(IFERROR('Store Prices'!$I$5:$I$304*1,0)&gt;0)))*999999))&gt;=999999,"",SUMPRODUCT(MIN((('Store Prices'!$B$5:$B$304=B247)*(IFERROR('Store Prices'!$I$5:$I$304*1,0)&gt;0))*IFERROR('Store Prices'!$I$5:$I$304*1,0)+(1-(('Store Prices'!$B$5:$B$304=B247)*(IFERROR('Store Prices'!$I$5:$I$304*1,0)&gt;0)))*999999)))))</f>
        <v>0</v>
      </c>
      <c r="N247" s="17">
        <f>IF(M247="","",IFERROR(INDEX('Store Prices'!$C$5:$C$304,MATCH(1,INDEX(('Store Prices'!$B$5:$B$304=B247)*('Store Prices'!$I$5:$I$304=M247),0),0)),""))</f>
        <v>0</v>
      </c>
      <c r="O247" s="25">
        <f>IF(OR(M247="",J247=""),"",MAX(0,(J247-M247)*100))</f>
        <v>0</v>
      </c>
      <c r="AD247" s="45">
        <f>IF(B247="","",SUMIFS(Pantry!$G$5:$G$304,Pantry!$B$5:$B$304,B247))</f>
        <v>0</v>
      </c>
      <c r="AE247" s="25">
        <f>IF(OR(AD247="",J247=""),"",AD247*J247)</f>
        <v>0</v>
      </c>
      <c r="AF247" s="18">
        <f>IF(B247="","",COUNTIFS('Recipe Ingredients'!$D$5:$D$1204,B247))</f>
        <v>0</v>
      </c>
      <c r="AG247" s="45">
        <f>IF(B247="","",SUMIFS('Recipe Ingredients'!$Y$5:$Y$1204,'Recipe Ingredients'!$D$5:$D$1204,B247))</f>
        <v>0</v>
      </c>
      <c r="AH247" s="30">
        <f>IF(B247="",0,IFERROR(K247*1,0)*IFERROR(AF247*1,0))</f>
        <v>0</v>
      </c>
      <c r="AI247" s="18">
        <f>IF(B247="","",COUNTIFS($AH$5:$AH$304,"&gt;"&amp;AH247)+COUNTIFS($AH$5:AH247,AH247))</f>
        <v>0</v>
      </c>
      <c r="AJ247" s="18">
        <f>IF(B247="",0,COUNTIFS('Food Waste'!$E$5:$E$154,B247))</f>
        <v>0</v>
      </c>
      <c r="AK247" s="18">
        <f>IF(B247="","",COUNTIFS($AJ$5:$AJ$304,"&gt;"&amp;AJ247)+COUNTIFS($AJ$5:AJ247,AJ247))</f>
        <v>0</v>
      </c>
      <c r="AL247" s="18">
        <f>IF(B247="","",IF(AG247&gt;0,COUNTIF(AG$5:AG247,"&gt;0"),""))</f>
        <v>0</v>
      </c>
      <c r="AM247" s="45">
        <f>IF(B247="","",SUMIFS('Grocery List'!$Q$5:$Q$304,'Grocery List'!$B$5:$B$304,B247))</f>
        <v>0</v>
      </c>
      <c r="AN247" s="31">
        <f>IF(B247="","",IF(I247="","Add - no price yet",IF(H247="","Add - no pack size",IF(COUNTIFS($B$5:$B$304,B247)&gt;1,"Duplicate - same name twice",IF(AF247=0,"Check - no recipe uses it","OK")))))</f>
        <v>0</v>
      </c>
    </row>
    <row r="248" spans="1:40">
      <c r="A248" s="39">
        <f>IF(B248="","",IngredientPrefix&amp;TEXT(ROW()-4,"0000"))</f>
        <v>0</v>
      </c>
      <c r="J248" s="25">
        <f>IF(OR(H248="",I248=""),"",IF(H248=0,"",I248/H248))</f>
        <v>0</v>
      </c>
      <c r="K248" s="25">
        <f>IF(J248="","",J248*100)</f>
        <v>0</v>
      </c>
      <c r="L248" s="25">
        <f>IF(B248="","",IFERROR(AVERAGEIFS('Grocery Spending'!$L$5:$L$404,'Grocery Spending'!$H$5:$H$404,B248,'Grocery Spending'!$L$5:$L$404,"&gt;0"),""))</f>
        <v>0</v>
      </c>
      <c r="M248" s="25">
        <f>IF(B248="","",IF(COUNTIFS('Store Prices'!$B$5:$B$304,B248)=0,"",IF(SUMPRODUCT(MIN((('Store Prices'!$B$5:$B$304=B248)*(IFERROR('Store Prices'!$I$5:$I$304*1,0)&gt;0))*IFERROR('Store Prices'!$I$5:$I$304*1,0)+(1-(('Store Prices'!$B$5:$B$304=B248)*(IFERROR('Store Prices'!$I$5:$I$304*1,0)&gt;0)))*999999))&gt;=999999,"",SUMPRODUCT(MIN((('Store Prices'!$B$5:$B$304=B248)*(IFERROR('Store Prices'!$I$5:$I$304*1,0)&gt;0))*IFERROR('Store Prices'!$I$5:$I$304*1,0)+(1-(('Store Prices'!$B$5:$B$304=B248)*(IFERROR('Store Prices'!$I$5:$I$304*1,0)&gt;0)))*999999)))))</f>
        <v>0</v>
      </c>
      <c r="N248" s="17">
        <f>IF(M248="","",IFERROR(INDEX('Store Prices'!$C$5:$C$304,MATCH(1,INDEX(('Store Prices'!$B$5:$B$304=B248)*('Store Prices'!$I$5:$I$304=M248),0),0)),""))</f>
        <v>0</v>
      </c>
      <c r="O248" s="25">
        <f>IF(OR(M248="",J248=""),"",MAX(0,(J248-M248)*100))</f>
        <v>0</v>
      </c>
      <c r="AD248" s="45">
        <f>IF(B248="","",SUMIFS(Pantry!$G$5:$G$304,Pantry!$B$5:$B$304,B248))</f>
        <v>0</v>
      </c>
      <c r="AE248" s="25">
        <f>IF(OR(AD248="",J248=""),"",AD248*J248)</f>
        <v>0</v>
      </c>
      <c r="AF248" s="18">
        <f>IF(B248="","",COUNTIFS('Recipe Ingredients'!$D$5:$D$1204,B248))</f>
        <v>0</v>
      </c>
      <c r="AG248" s="45">
        <f>IF(B248="","",SUMIFS('Recipe Ingredients'!$Y$5:$Y$1204,'Recipe Ingredients'!$D$5:$D$1204,B248))</f>
        <v>0</v>
      </c>
      <c r="AH248" s="30">
        <f>IF(B248="",0,IFERROR(K248*1,0)*IFERROR(AF248*1,0))</f>
        <v>0</v>
      </c>
      <c r="AI248" s="18">
        <f>IF(B248="","",COUNTIFS($AH$5:$AH$304,"&gt;"&amp;AH248)+COUNTIFS($AH$5:AH248,AH248))</f>
        <v>0</v>
      </c>
      <c r="AJ248" s="18">
        <f>IF(B248="",0,COUNTIFS('Food Waste'!$E$5:$E$154,B248))</f>
        <v>0</v>
      </c>
      <c r="AK248" s="18">
        <f>IF(B248="","",COUNTIFS($AJ$5:$AJ$304,"&gt;"&amp;AJ248)+COUNTIFS($AJ$5:AJ248,AJ248))</f>
        <v>0</v>
      </c>
      <c r="AL248" s="18">
        <f>IF(B248="","",IF(AG248&gt;0,COUNTIF(AG$5:AG248,"&gt;0"),""))</f>
        <v>0</v>
      </c>
      <c r="AM248" s="45">
        <f>IF(B248="","",SUMIFS('Grocery List'!$Q$5:$Q$304,'Grocery List'!$B$5:$B$304,B248))</f>
        <v>0</v>
      </c>
      <c r="AN248" s="31">
        <f>IF(B248="","",IF(I248="","Add - no price yet",IF(H248="","Add - no pack size",IF(COUNTIFS($B$5:$B$304,B248)&gt;1,"Duplicate - same name twice",IF(AF248=0,"Check - no recipe uses it","OK")))))</f>
        <v>0</v>
      </c>
    </row>
    <row r="249" spans="1:40">
      <c r="A249" s="39">
        <f>IF(B249="","",IngredientPrefix&amp;TEXT(ROW()-4,"0000"))</f>
        <v>0</v>
      </c>
      <c r="J249" s="25">
        <f>IF(OR(H249="",I249=""),"",IF(H249=0,"",I249/H249))</f>
        <v>0</v>
      </c>
      <c r="K249" s="25">
        <f>IF(J249="","",J249*100)</f>
        <v>0</v>
      </c>
      <c r="L249" s="25">
        <f>IF(B249="","",IFERROR(AVERAGEIFS('Grocery Spending'!$L$5:$L$404,'Grocery Spending'!$H$5:$H$404,B249,'Grocery Spending'!$L$5:$L$404,"&gt;0"),""))</f>
        <v>0</v>
      </c>
      <c r="M249" s="25">
        <f>IF(B249="","",IF(COUNTIFS('Store Prices'!$B$5:$B$304,B249)=0,"",IF(SUMPRODUCT(MIN((('Store Prices'!$B$5:$B$304=B249)*(IFERROR('Store Prices'!$I$5:$I$304*1,0)&gt;0))*IFERROR('Store Prices'!$I$5:$I$304*1,0)+(1-(('Store Prices'!$B$5:$B$304=B249)*(IFERROR('Store Prices'!$I$5:$I$304*1,0)&gt;0)))*999999))&gt;=999999,"",SUMPRODUCT(MIN((('Store Prices'!$B$5:$B$304=B249)*(IFERROR('Store Prices'!$I$5:$I$304*1,0)&gt;0))*IFERROR('Store Prices'!$I$5:$I$304*1,0)+(1-(('Store Prices'!$B$5:$B$304=B249)*(IFERROR('Store Prices'!$I$5:$I$304*1,0)&gt;0)))*999999)))))</f>
        <v>0</v>
      </c>
      <c r="N249" s="17">
        <f>IF(M249="","",IFERROR(INDEX('Store Prices'!$C$5:$C$304,MATCH(1,INDEX(('Store Prices'!$B$5:$B$304=B249)*('Store Prices'!$I$5:$I$304=M249),0),0)),""))</f>
        <v>0</v>
      </c>
      <c r="O249" s="25">
        <f>IF(OR(M249="",J249=""),"",MAX(0,(J249-M249)*100))</f>
        <v>0</v>
      </c>
      <c r="AD249" s="45">
        <f>IF(B249="","",SUMIFS(Pantry!$G$5:$G$304,Pantry!$B$5:$B$304,B249))</f>
        <v>0</v>
      </c>
      <c r="AE249" s="25">
        <f>IF(OR(AD249="",J249=""),"",AD249*J249)</f>
        <v>0</v>
      </c>
      <c r="AF249" s="18">
        <f>IF(B249="","",COUNTIFS('Recipe Ingredients'!$D$5:$D$1204,B249))</f>
        <v>0</v>
      </c>
      <c r="AG249" s="45">
        <f>IF(B249="","",SUMIFS('Recipe Ingredients'!$Y$5:$Y$1204,'Recipe Ingredients'!$D$5:$D$1204,B249))</f>
        <v>0</v>
      </c>
      <c r="AH249" s="30">
        <f>IF(B249="",0,IFERROR(K249*1,0)*IFERROR(AF249*1,0))</f>
        <v>0</v>
      </c>
      <c r="AI249" s="18">
        <f>IF(B249="","",COUNTIFS($AH$5:$AH$304,"&gt;"&amp;AH249)+COUNTIFS($AH$5:AH249,AH249))</f>
        <v>0</v>
      </c>
      <c r="AJ249" s="18">
        <f>IF(B249="",0,COUNTIFS('Food Waste'!$E$5:$E$154,B249))</f>
        <v>0</v>
      </c>
      <c r="AK249" s="18">
        <f>IF(B249="","",COUNTIFS($AJ$5:$AJ$304,"&gt;"&amp;AJ249)+COUNTIFS($AJ$5:AJ249,AJ249))</f>
        <v>0</v>
      </c>
      <c r="AL249" s="18">
        <f>IF(B249="","",IF(AG249&gt;0,COUNTIF(AG$5:AG249,"&gt;0"),""))</f>
        <v>0</v>
      </c>
      <c r="AM249" s="45">
        <f>IF(B249="","",SUMIFS('Grocery List'!$Q$5:$Q$304,'Grocery List'!$B$5:$B$304,B249))</f>
        <v>0</v>
      </c>
      <c r="AN249" s="31">
        <f>IF(B249="","",IF(I249="","Add - no price yet",IF(H249="","Add - no pack size",IF(COUNTIFS($B$5:$B$304,B249)&gt;1,"Duplicate - same name twice",IF(AF249=0,"Check - no recipe uses it","OK")))))</f>
        <v>0</v>
      </c>
    </row>
    <row r="250" spans="1:40">
      <c r="A250" s="39">
        <f>IF(B250="","",IngredientPrefix&amp;TEXT(ROW()-4,"0000"))</f>
        <v>0</v>
      </c>
      <c r="J250" s="25">
        <f>IF(OR(H250="",I250=""),"",IF(H250=0,"",I250/H250))</f>
        <v>0</v>
      </c>
      <c r="K250" s="25">
        <f>IF(J250="","",J250*100)</f>
        <v>0</v>
      </c>
      <c r="L250" s="25">
        <f>IF(B250="","",IFERROR(AVERAGEIFS('Grocery Spending'!$L$5:$L$404,'Grocery Spending'!$H$5:$H$404,B250,'Grocery Spending'!$L$5:$L$404,"&gt;0"),""))</f>
        <v>0</v>
      </c>
      <c r="M250" s="25">
        <f>IF(B250="","",IF(COUNTIFS('Store Prices'!$B$5:$B$304,B250)=0,"",IF(SUMPRODUCT(MIN((('Store Prices'!$B$5:$B$304=B250)*(IFERROR('Store Prices'!$I$5:$I$304*1,0)&gt;0))*IFERROR('Store Prices'!$I$5:$I$304*1,0)+(1-(('Store Prices'!$B$5:$B$304=B250)*(IFERROR('Store Prices'!$I$5:$I$304*1,0)&gt;0)))*999999))&gt;=999999,"",SUMPRODUCT(MIN((('Store Prices'!$B$5:$B$304=B250)*(IFERROR('Store Prices'!$I$5:$I$304*1,0)&gt;0))*IFERROR('Store Prices'!$I$5:$I$304*1,0)+(1-(('Store Prices'!$B$5:$B$304=B250)*(IFERROR('Store Prices'!$I$5:$I$304*1,0)&gt;0)))*999999)))))</f>
        <v>0</v>
      </c>
      <c r="N250" s="17">
        <f>IF(M250="","",IFERROR(INDEX('Store Prices'!$C$5:$C$304,MATCH(1,INDEX(('Store Prices'!$B$5:$B$304=B250)*('Store Prices'!$I$5:$I$304=M250),0),0)),""))</f>
        <v>0</v>
      </c>
      <c r="O250" s="25">
        <f>IF(OR(M250="",J250=""),"",MAX(0,(J250-M250)*100))</f>
        <v>0</v>
      </c>
      <c r="AD250" s="45">
        <f>IF(B250="","",SUMIFS(Pantry!$G$5:$G$304,Pantry!$B$5:$B$304,B250))</f>
        <v>0</v>
      </c>
      <c r="AE250" s="25">
        <f>IF(OR(AD250="",J250=""),"",AD250*J250)</f>
        <v>0</v>
      </c>
      <c r="AF250" s="18">
        <f>IF(B250="","",COUNTIFS('Recipe Ingredients'!$D$5:$D$1204,B250))</f>
        <v>0</v>
      </c>
      <c r="AG250" s="45">
        <f>IF(B250="","",SUMIFS('Recipe Ingredients'!$Y$5:$Y$1204,'Recipe Ingredients'!$D$5:$D$1204,B250))</f>
        <v>0</v>
      </c>
      <c r="AH250" s="30">
        <f>IF(B250="",0,IFERROR(K250*1,0)*IFERROR(AF250*1,0))</f>
        <v>0</v>
      </c>
      <c r="AI250" s="18">
        <f>IF(B250="","",COUNTIFS($AH$5:$AH$304,"&gt;"&amp;AH250)+COUNTIFS($AH$5:AH250,AH250))</f>
        <v>0</v>
      </c>
      <c r="AJ250" s="18">
        <f>IF(B250="",0,COUNTIFS('Food Waste'!$E$5:$E$154,B250))</f>
        <v>0</v>
      </c>
      <c r="AK250" s="18">
        <f>IF(B250="","",COUNTIFS($AJ$5:$AJ$304,"&gt;"&amp;AJ250)+COUNTIFS($AJ$5:AJ250,AJ250))</f>
        <v>0</v>
      </c>
      <c r="AL250" s="18">
        <f>IF(B250="","",IF(AG250&gt;0,COUNTIF(AG$5:AG250,"&gt;0"),""))</f>
        <v>0</v>
      </c>
      <c r="AM250" s="45">
        <f>IF(B250="","",SUMIFS('Grocery List'!$Q$5:$Q$304,'Grocery List'!$B$5:$B$304,B250))</f>
        <v>0</v>
      </c>
      <c r="AN250" s="31">
        <f>IF(B250="","",IF(I250="","Add - no price yet",IF(H250="","Add - no pack size",IF(COUNTIFS($B$5:$B$304,B250)&gt;1,"Duplicate - same name twice",IF(AF250=0,"Check - no recipe uses it","OK")))))</f>
        <v>0</v>
      </c>
    </row>
    <row r="251" spans="1:40">
      <c r="A251" s="39">
        <f>IF(B251="","",IngredientPrefix&amp;TEXT(ROW()-4,"0000"))</f>
        <v>0</v>
      </c>
      <c r="J251" s="25">
        <f>IF(OR(H251="",I251=""),"",IF(H251=0,"",I251/H251))</f>
        <v>0</v>
      </c>
      <c r="K251" s="25">
        <f>IF(J251="","",J251*100)</f>
        <v>0</v>
      </c>
      <c r="L251" s="25">
        <f>IF(B251="","",IFERROR(AVERAGEIFS('Grocery Spending'!$L$5:$L$404,'Grocery Spending'!$H$5:$H$404,B251,'Grocery Spending'!$L$5:$L$404,"&gt;0"),""))</f>
        <v>0</v>
      </c>
      <c r="M251" s="25">
        <f>IF(B251="","",IF(COUNTIFS('Store Prices'!$B$5:$B$304,B251)=0,"",IF(SUMPRODUCT(MIN((('Store Prices'!$B$5:$B$304=B251)*(IFERROR('Store Prices'!$I$5:$I$304*1,0)&gt;0))*IFERROR('Store Prices'!$I$5:$I$304*1,0)+(1-(('Store Prices'!$B$5:$B$304=B251)*(IFERROR('Store Prices'!$I$5:$I$304*1,0)&gt;0)))*999999))&gt;=999999,"",SUMPRODUCT(MIN((('Store Prices'!$B$5:$B$304=B251)*(IFERROR('Store Prices'!$I$5:$I$304*1,0)&gt;0))*IFERROR('Store Prices'!$I$5:$I$304*1,0)+(1-(('Store Prices'!$B$5:$B$304=B251)*(IFERROR('Store Prices'!$I$5:$I$304*1,0)&gt;0)))*999999)))))</f>
        <v>0</v>
      </c>
      <c r="N251" s="17">
        <f>IF(M251="","",IFERROR(INDEX('Store Prices'!$C$5:$C$304,MATCH(1,INDEX(('Store Prices'!$B$5:$B$304=B251)*('Store Prices'!$I$5:$I$304=M251),0),0)),""))</f>
        <v>0</v>
      </c>
      <c r="O251" s="25">
        <f>IF(OR(M251="",J251=""),"",MAX(0,(J251-M251)*100))</f>
        <v>0</v>
      </c>
      <c r="AD251" s="45">
        <f>IF(B251="","",SUMIFS(Pantry!$G$5:$G$304,Pantry!$B$5:$B$304,B251))</f>
        <v>0</v>
      </c>
      <c r="AE251" s="25">
        <f>IF(OR(AD251="",J251=""),"",AD251*J251)</f>
        <v>0</v>
      </c>
      <c r="AF251" s="18">
        <f>IF(B251="","",COUNTIFS('Recipe Ingredients'!$D$5:$D$1204,B251))</f>
        <v>0</v>
      </c>
      <c r="AG251" s="45">
        <f>IF(B251="","",SUMIFS('Recipe Ingredients'!$Y$5:$Y$1204,'Recipe Ingredients'!$D$5:$D$1204,B251))</f>
        <v>0</v>
      </c>
      <c r="AH251" s="30">
        <f>IF(B251="",0,IFERROR(K251*1,0)*IFERROR(AF251*1,0))</f>
        <v>0</v>
      </c>
      <c r="AI251" s="18">
        <f>IF(B251="","",COUNTIFS($AH$5:$AH$304,"&gt;"&amp;AH251)+COUNTIFS($AH$5:AH251,AH251))</f>
        <v>0</v>
      </c>
      <c r="AJ251" s="18">
        <f>IF(B251="",0,COUNTIFS('Food Waste'!$E$5:$E$154,B251))</f>
        <v>0</v>
      </c>
      <c r="AK251" s="18">
        <f>IF(B251="","",COUNTIFS($AJ$5:$AJ$304,"&gt;"&amp;AJ251)+COUNTIFS($AJ$5:AJ251,AJ251))</f>
        <v>0</v>
      </c>
      <c r="AL251" s="18">
        <f>IF(B251="","",IF(AG251&gt;0,COUNTIF(AG$5:AG251,"&gt;0"),""))</f>
        <v>0</v>
      </c>
      <c r="AM251" s="45">
        <f>IF(B251="","",SUMIFS('Grocery List'!$Q$5:$Q$304,'Grocery List'!$B$5:$B$304,B251))</f>
        <v>0</v>
      </c>
      <c r="AN251" s="31">
        <f>IF(B251="","",IF(I251="","Add - no price yet",IF(H251="","Add - no pack size",IF(COUNTIFS($B$5:$B$304,B251)&gt;1,"Duplicate - same name twice",IF(AF251=0,"Check - no recipe uses it","OK")))))</f>
        <v>0</v>
      </c>
    </row>
    <row r="252" spans="1:40">
      <c r="A252" s="39">
        <f>IF(B252="","",IngredientPrefix&amp;TEXT(ROW()-4,"0000"))</f>
        <v>0</v>
      </c>
      <c r="J252" s="25">
        <f>IF(OR(H252="",I252=""),"",IF(H252=0,"",I252/H252))</f>
        <v>0</v>
      </c>
      <c r="K252" s="25">
        <f>IF(J252="","",J252*100)</f>
        <v>0</v>
      </c>
      <c r="L252" s="25">
        <f>IF(B252="","",IFERROR(AVERAGEIFS('Grocery Spending'!$L$5:$L$404,'Grocery Spending'!$H$5:$H$404,B252,'Grocery Spending'!$L$5:$L$404,"&gt;0"),""))</f>
        <v>0</v>
      </c>
      <c r="M252" s="25">
        <f>IF(B252="","",IF(COUNTIFS('Store Prices'!$B$5:$B$304,B252)=0,"",IF(SUMPRODUCT(MIN((('Store Prices'!$B$5:$B$304=B252)*(IFERROR('Store Prices'!$I$5:$I$304*1,0)&gt;0))*IFERROR('Store Prices'!$I$5:$I$304*1,0)+(1-(('Store Prices'!$B$5:$B$304=B252)*(IFERROR('Store Prices'!$I$5:$I$304*1,0)&gt;0)))*999999))&gt;=999999,"",SUMPRODUCT(MIN((('Store Prices'!$B$5:$B$304=B252)*(IFERROR('Store Prices'!$I$5:$I$304*1,0)&gt;0))*IFERROR('Store Prices'!$I$5:$I$304*1,0)+(1-(('Store Prices'!$B$5:$B$304=B252)*(IFERROR('Store Prices'!$I$5:$I$304*1,0)&gt;0)))*999999)))))</f>
        <v>0</v>
      </c>
      <c r="N252" s="17">
        <f>IF(M252="","",IFERROR(INDEX('Store Prices'!$C$5:$C$304,MATCH(1,INDEX(('Store Prices'!$B$5:$B$304=B252)*('Store Prices'!$I$5:$I$304=M252),0),0)),""))</f>
        <v>0</v>
      </c>
      <c r="O252" s="25">
        <f>IF(OR(M252="",J252=""),"",MAX(0,(J252-M252)*100))</f>
        <v>0</v>
      </c>
      <c r="AD252" s="45">
        <f>IF(B252="","",SUMIFS(Pantry!$G$5:$G$304,Pantry!$B$5:$B$304,B252))</f>
        <v>0</v>
      </c>
      <c r="AE252" s="25">
        <f>IF(OR(AD252="",J252=""),"",AD252*J252)</f>
        <v>0</v>
      </c>
      <c r="AF252" s="18">
        <f>IF(B252="","",COUNTIFS('Recipe Ingredients'!$D$5:$D$1204,B252))</f>
        <v>0</v>
      </c>
      <c r="AG252" s="45">
        <f>IF(B252="","",SUMIFS('Recipe Ingredients'!$Y$5:$Y$1204,'Recipe Ingredients'!$D$5:$D$1204,B252))</f>
        <v>0</v>
      </c>
      <c r="AH252" s="30">
        <f>IF(B252="",0,IFERROR(K252*1,0)*IFERROR(AF252*1,0))</f>
        <v>0</v>
      </c>
      <c r="AI252" s="18">
        <f>IF(B252="","",COUNTIFS($AH$5:$AH$304,"&gt;"&amp;AH252)+COUNTIFS($AH$5:AH252,AH252))</f>
        <v>0</v>
      </c>
      <c r="AJ252" s="18">
        <f>IF(B252="",0,COUNTIFS('Food Waste'!$E$5:$E$154,B252))</f>
        <v>0</v>
      </c>
      <c r="AK252" s="18">
        <f>IF(B252="","",COUNTIFS($AJ$5:$AJ$304,"&gt;"&amp;AJ252)+COUNTIFS($AJ$5:AJ252,AJ252))</f>
        <v>0</v>
      </c>
      <c r="AL252" s="18">
        <f>IF(B252="","",IF(AG252&gt;0,COUNTIF(AG$5:AG252,"&gt;0"),""))</f>
        <v>0</v>
      </c>
      <c r="AM252" s="45">
        <f>IF(B252="","",SUMIFS('Grocery List'!$Q$5:$Q$304,'Grocery List'!$B$5:$B$304,B252))</f>
        <v>0</v>
      </c>
      <c r="AN252" s="31">
        <f>IF(B252="","",IF(I252="","Add - no price yet",IF(H252="","Add - no pack size",IF(COUNTIFS($B$5:$B$304,B252)&gt;1,"Duplicate - same name twice",IF(AF252=0,"Check - no recipe uses it","OK")))))</f>
        <v>0</v>
      </c>
    </row>
    <row r="253" spans="1:40">
      <c r="A253" s="39">
        <f>IF(B253="","",IngredientPrefix&amp;TEXT(ROW()-4,"0000"))</f>
        <v>0</v>
      </c>
      <c r="J253" s="25">
        <f>IF(OR(H253="",I253=""),"",IF(H253=0,"",I253/H253))</f>
        <v>0</v>
      </c>
      <c r="K253" s="25">
        <f>IF(J253="","",J253*100)</f>
        <v>0</v>
      </c>
      <c r="L253" s="25">
        <f>IF(B253="","",IFERROR(AVERAGEIFS('Grocery Spending'!$L$5:$L$404,'Grocery Spending'!$H$5:$H$404,B253,'Grocery Spending'!$L$5:$L$404,"&gt;0"),""))</f>
        <v>0</v>
      </c>
      <c r="M253" s="25">
        <f>IF(B253="","",IF(COUNTIFS('Store Prices'!$B$5:$B$304,B253)=0,"",IF(SUMPRODUCT(MIN((('Store Prices'!$B$5:$B$304=B253)*(IFERROR('Store Prices'!$I$5:$I$304*1,0)&gt;0))*IFERROR('Store Prices'!$I$5:$I$304*1,0)+(1-(('Store Prices'!$B$5:$B$304=B253)*(IFERROR('Store Prices'!$I$5:$I$304*1,0)&gt;0)))*999999))&gt;=999999,"",SUMPRODUCT(MIN((('Store Prices'!$B$5:$B$304=B253)*(IFERROR('Store Prices'!$I$5:$I$304*1,0)&gt;0))*IFERROR('Store Prices'!$I$5:$I$304*1,0)+(1-(('Store Prices'!$B$5:$B$304=B253)*(IFERROR('Store Prices'!$I$5:$I$304*1,0)&gt;0)))*999999)))))</f>
        <v>0</v>
      </c>
      <c r="N253" s="17">
        <f>IF(M253="","",IFERROR(INDEX('Store Prices'!$C$5:$C$304,MATCH(1,INDEX(('Store Prices'!$B$5:$B$304=B253)*('Store Prices'!$I$5:$I$304=M253),0),0)),""))</f>
        <v>0</v>
      </c>
      <c r="O253" s="25">
        <f>IF(OR(M253="",J253=""),"",MAX(0,(J253-M253)*100))</f>
        <v>0</v>
      </c>
      <c r="AD253" s="45">
        <f>IF(B253="","",SUMIFS(Pantry!$G$5:$G$304,Pantry!$B$5:$B$304,B253))</f>
        <v>0</v>
      </c>
      <c r="AE253" s="25">
        <f>IF(OR(AD253="",J253=""),"",AD253*J253)</f>
        <v>0</v>
      </c>
      <c r="AF253" s="18">
        <f>IF(B253="","",COUNTIFS('Recipe Ingredients'!$D$5:$D$1204,B253))</f>
        <v>0</v>
      </c>
      <c r="AG253" s="45">
        <f>IF(B253="","",SUMIFS('Recipe Ingredients'!$Y$5:$Y$1204,'Recipe Ingredients'!$D$5:$D$1204,B253))</f>
        <v>0</v>
      </c>
      <c r="AH253" s="30">
        <f>IF(B253="",0,IFERROR(K253*1,0)*IFERROR(AF253*1,0))</f>
        <v>0</v>
      </c>
      <c r="AI253" s="18">
        <f>IF(B253="","",COUNTIFS($AH$5:$AH$304,"&gt;"&amp;AH253)+COUNTIFS($AH$5:AH253,AH253))</f>
        <v>0</v>
      </c>
      <c r="AJ253" s="18">
        <f>IF(B253="",0,COUNTIFS('Food Waste'!$E$5:$E$154,B253))</f>
        <v>0</v>
      </c>
      <c r="AK253" s="18">
        <f>IF(B253="","",COUNTIFS($AJ$5:$AJ$304,"&gt;"&amp;AJ253)+COUNTIFS($AJ$5:AJ253,AJ253))</f>
        <v>0</v>
      </c>
      <c r="AL253" s="18">
        <f>IF(B253="","",IF(AG253&gt;0,COUNTIF(AG$5:AG253,"&gt;0"),""))</f>
        <v>0</v>
      </c>
      <c r="AM253" s="45">
        <f>IF(B253="","",SUMIFS('Grocery List'!$Q$5:$Q$304,'Grocery List'!$B$5:$B$304,B253))</f>
        <v>0</v>
      </c>
      <c r="AN253" s="31">
        <f>IF(B253="","",IF(I253="","Add - no price yet",IF(H253="","Add - no pack size",IF(COUNTIFS($B$5:$B$304,B253)&gt;1,"Duplicate - same name twice",IF(AF253=0,"Check - no recipe uses it","OK")))))</f>
        <v>0</v>
      </c>
    </row>
    <row r="254" spans="1:40">
      <c r="A254" s="39">
        <f>IF(B254="","",IngredientPrefix&amp;TEXT(ROW()-4,"0000"))</f>
        <v>0</v>
      </c>
      <c r="J254" s="25">
        <f>IF(OR(H254="",I254=""),"",IF(H254=0,"",I254/H254))</f>
        <v>0</v>
      </c>
      <c r="K254" s="25">
        <f>IF(J254="","",J254*100)</f>
        <v>0</v>
      </c>
      <c r="L254" s="25">
        <f>IF(B254="","",IFERROR(AVERAGEIFS('Grocery Spending'!$L$5:$L$404,'Grocery Spending'!$H$5:$H$404,B254,'Grocery Spending'!$L$5:$L$404,"&gt;0"),""))</f>
        <v>0</v>
      </c>
      <c r="M254" s="25">
        <f>IF(B254="","",IF(COUNTIFS('Store Prices'!$B$5:$B$304,B254)=0,"",IF(SUMPRODUCT(MIN((('Store Prices'!$B$5:$B$304=B254)*(IFERROR('Store Prices'!$I$5:$I$304*1,0)&gt;0))*IFERROR('Store Prices'!$I$5:$I$304*1,0)+(1-(('Store Prices'!$B$5:$B$304=B254)*(IFERROR('Store Prices'!$I$5:$I$304*1,0)&gt;0)))*999999))&gt;=999999,"",SUMPRODUCT(MIN((('Store Prices'!$B$5:$B$304=B254)*(IFERROR('Store Prices'!$I$5:$I$304*1,0)&gt;0))*IFERROR('Store Prices'!$I$5:$I$304*1,0)+(1-(('Store Prices'!$B$5:$B$304=B254)*(IFERROR('Store Prices'!$I$5:$I$304*1,0)&gt;0)))*999999)))))</f>
        <v>0</v>
      </c>
      <c r="N254" s="17">
        <f>IF(M254="","",IFERROR(INDEX('Store Prices'!$C$5:$C$304,MATCH(1,INDEX(('Store Prices'!$B$5:$B$304=B254)*('Store Prices'!$I$5:$I$304=M254),0),0)),""))</f>
        <v>0</v>
      </c>
      <c r="O254" s="25">
        <f>IF(OR(M254="",J254=""),"",MAX(0,(J254-M254)*100))</f>
        <v>0</v>
      </c>
      <c r="AD254" s="45">
        <f>IF(B254="","",SUMIFS(Pantry!$G$5:$G$304,Pantry!$B$5:$B$304,B254))</f>
        <v>0</v>
      </c>
      <c r="AE254" s="25">
        <f>IF(OR(AD254="",J254=""),"",AD254*J254)</f>
        <v>0</v>
      </c>
      <c r="AF254" s="18">
        <f>IF(B254="","",COUNTIFS('Recipe Ingredients'!$D$5:$D$1204,B254))</f>
        <v>0</v>
      </c>
      <c r="AG254" s="45">
        <f>IF(B254="","",SUMIFS('Recipe Ingredients'!$Y$5:$Y$1204,'Recipe Ingredients'!$D$5:$D$1204,B254))</f>
        <v>0</v>
      </c>
      <c r="AH254" s="30">
        <f>IF(B254="",0,IFERROR(K254*1,0)*IFERROR(AF254*1,0))</f>
        <v>0</v>
      </c>
      <c r="AI254" s="18">
        <f>IF(B254="","",COUNTIFS($AH$5:$AH$304,"&gt;"&amp;AH254)+COUNTIFS($AH$5:AH254,AH254))</f>
        <v>0</v>
      </c>
      <c r="AJ254" s="18">
        <f>IF(B254="",0,COUNTIFS('Food Waste'!$E$5:$E$154,B254))</f>
        <v>0</v>
      </c>
      <c r="AK254" s="18">
        <f>IF(B254="","",COUNTIFS($AJ$5:$AJ$304,"&gt;"&amp;AJ254)+COUNTIFS($AJ$5:AJ254,AJ254))</f>
        <v>0</v>
      </c>
      <c r="AL254" s="18">
        <f>IF(B254="","",IF(AG254&gt;0,COUNTIF(AG$5:AG254,"&gt;0"),""))</f>
        <v>0</v>
      </c>
      <c r="AM254" s="45">
        <f>IF(B254="","",SUMIFS('Grocery List'!$Q$5:$Q$304,'Grocery List'!$B$5:$B$304,B254))</f>
        <v>0</v>
      </c>
      <c r="AN254" s="31">
        <f>IF(B254="","",IF(I254="","Add - no price yet",IF(H254="","Add - no pack size",IF(COUNTIFS($B$5:$B$304,B254)&gt;1,"Duplicate - same name twice",IF(AF254=0,"Check - no recipe uses it","OK")))))</f>
        <v>0</v>
      </c>
    </row>
    <row r="255" spans="1:40">
      <c r="A255" s="39">
        <f>IF(B255="","",IngredientPrefix&amp;TEXT(ROW()-4,"0000"))</f>
        <v>0</v>
      </c>
      <c r="J255" s="25">
        <f>IF(OR(H255="",I255=""),"",IF(H255=0,"",I255/H255))</f>
        <v>0</v>
      </c>
      <c r="K255" s="25">
        <f>IF(J255="","",J255*100)</f>
        <v>0</v>
      </c>
      <c r="L255" s="25">
        <f>IF(B255="","",IFERROR(AVERAGEIFS('Grocery Spending'!$L$5:$L$404,'Grocery Spending'!$H$5:$H$404,B255,'Grocery Spending'!$L$5:$L$404,"&gt;0"),""))</f>
        <v>0</v>
      </c>
      <c r="M255" s="25">
        <f>IF(B255="","",IF(COUNTIFS('Store Prices'!$B$5:$B$304,B255)=0,"",IF(SUMPRODUCT(MIN((('Store Prices'!$B$5:$B$304=B255)*(IFERROR('Store Prices'!$I$5:$I$304*1,0)&gt;0))*IFERROR('Store Prices'!$I$5:$I$304*1,0)+(1-(('Store Prices'!$B$5:$B$304=B255)*(IFERROR('Store Prices'!$I$5:$I$304*1,0)&gt;0)))*999999))&gt;=999999,"",SUMPRODUCT(MIN((('Store Prices'!$B$5:$B$304=B255)*(IFERROR('Store Prices'!$I$5:$I$304*1,0)&gt;0))*IFERROR('Store Prices'!$I$5:$I$304*1,0)+(1-(('Store Prices'!$B$5:$B$304=B255)*(IFERROR('Store Prices'!$I$5:$I$304*1,0)&gt;0)))*999999)))))</f>
        <v>0</v>
      </c>
      <c r="N255" s="17">
        <f>IF(M255="","",IFERROR(INDEX('Store Prices'!$C$5:$C$304,MATCH(1,INDEX(('Store Prices'!$B$5:$B$304=B255)*('Store Prices'!$I$5:$I$304=M255),0),0)),""))</f>
        <v>0</v>
      </c>
      <c r="O255" s="25">
        <f>IF(OR(M255="",J255=""),"",MAX(0,(J255-M255)*100))</f>
        <v>0</v>
      </c>
      <c r="AD255" s="45">
        <f>IF(B255="","",SUMIFS(Pantry!$G$5:$G$304,Pantry!$B$5:$B$304,B255))</f>
        <v>0</v>
      </c>
      <c r="AE255" s="25">
        <f>IF(OR(AD255="",J255=""),"",AD255*J255)</f>
        <v>0</v>
      </c>
      <c r="AF255" s="18">
        <f>IF(B255="","",COUNTIFS('Recipe Ingredients'!$D$5:$D$1204,B255))</f>
        <v>0</v>
      </c>
      <c r="AG255" s="45">
        <f>IF(B255="","",SUMIFS('Recipe Ingredients'!$Y$5:$Y$1204,'Recipe Ingredients'!$D$5:$D$1204,B255))</f>
        <v>0</v>
      </c>
      <c r="AH255" s="30">
        <f>IF(B255="",0,IFERROR(K255*1,0)*IFERROR(AF255*1,0))</f>
        <v>0</v>
      </c>
      <c r="AI255" s="18">
        <f>IF(B255="","",COUNTIFS($AH$5:$AH$304,"&gt;"&amp;AH255)+COUNTIFS($AH$5:AH255,AH255))</f>
        <v>0</v>
      </c>
      <c r="AJ255" s="18">
        <f>IF(B255="",0,COUNTIFS('Food Waste'!$E$5:$E$154,B255))</f>
        <v>0</v>
      </c>
      <c r="AK255" s="18">
        <f>IF(B255="","",COUNTIFS($AJ$5:$AJ$304,"&gt;"&amp;AJ255)+COUNTIFS($AJ$5:AJ255,AJ255))</f>
        <v>0</v>
      </c>
      <c r="AL255" s="18">
        <f>IF(B255="","",IF(AG255&gt;0,COUNTIF(AG$5:AG255,"&gt;0"),""))</f>
        <v>0</v>
      </c>
      <c r="AM255" s="45">
        <f>IF(B255="","",SUMIFS('Grocery List'!$Q$5:$Q$304,'Grocery List'!$B$5:$B$304,B255))</f>
        <v>0</v>
      </c>
      <c r="AN255" s="31">
        <f>IF(B255="","",IF(I255="","Add - no price yet",IF(H255="","Add - no pack size",IF(COUNTIFS($B$5:$B$304,B255)&gt;1,"Duplicate - same name twice",IF(AF255=0,"Check - no recipe uses it","OK")))))</f>
        <v>0</v>
      </c>
    </row>
    <row r="256" spans="1:40">
      <c r="A256" s="39">
        <f>IF(B256="","",IngredientPrefix&amp;TEXT(ROW()-4,"0000"))</f>
        <v>0</v>
      </c>
      <c r="J256" s="25">
        <f>IF(OR(H256="",I256=""),"",IF(H256=0,"",I256/H256))</f>
        <v>0</v>
      </c>
      <c r="K256" s="25">
        <f>IF(J256="","",J256*100)</f>
        <v>0</v>
      </c>
      <c r="L256" s="25">
        <f>IF(B256="","",IFERROR(AVERAGEIFS('Grocery Spending'!$L$5:$L$404,'Grocery Spending'!$H$5:$H$404,B256,'Grocery Spending'!$L$5:$L$404,"&gt;0"),""))</f>
        <v>0</v>
      </c>
      <c r="M256" s="25">
        <f>IF(B256="","",IF(COUNTIFS('Store Prices'!$B$5:$B$304,B256)=0,"",IF(SUMPRODUCT(MIN((('Store Prices'!$B$5:$B$304=B256)*(IFERROR('Store Prices'!$I$5:$I$304*1,0)&gt;0))*IFERROR('Store Prices'!$I$5:$I$304*1,0)+(1-(('Store Prices'!$B$5:$B$304=B256)*(IFERROR('Store Prices'!$I$5:$I$304*1,0)&gt;0)))*999999))&gt;=999999,"",SUMPRODUCT(MIN((('Store Prices'!$B$5:$B$304=B256)*(IFERROR('Store Prices'!$I$5:$I$304*1,0)&gt;0))*IFERROR('Store Prices'!$I$5:$I$304*1,0)+(1-(('Store Prices'!$B$5:$B$304=B256)*(IFERROR('Store Prices'!$I$5:$I$304*1,0)&gt;0)))*999999)))))</f>
        <v>0</v>
      </c>
      <c r="N256" s="17">
        <f>IF(M256="","",IFERROR(INDEX('Store Prices'!$C$5:$C$304,MATCH(1,INDEX(('Store Prices'!$B$5:$B$304=B256)*('Store Prices'!$I$5:$I$304=M256),0),0)),""))</f>
        <v>0</v>
      </c>
      <c r="O256" s="25">
        <f>IF(OR(M256="",J256=""),"",MAX(0,(J256-M256)*100))</f>
        <v>0</v>
      </c>
      <c r="AD256" s="45">
        <f>IF(B256="","",SUMIFS(Pantry!$G$5:$G$304,Pantry!$B$5:$B$304,B256))</f>
        <v>0</v>
      </c>
      <c r="AE256" s="25">
        <f>IF(OR(AD256="",J256=""),"",AD256*J256)</f>
        <v>0</v>
      </c>
      <c r="AF256" s="18">
        <f>IF(B256="","",COUNTIFS('Recipe Ingredients'!$D$5:$D$1204,B256))</f>
        <v>0</v>
      </c>
      <c r="AG256" s="45">
        <f>IF(B256="","",SUMIFS('Recipe Ingredients'!$Y$5:$Y$1204,'Recipe Ingredients'!$D$5:$D$1204,B256))</f>
        <v>0</v>
      </c>
      <c r="AH256" s="30">
        <f>IF(B256="",0,IFERROR(K256*1,0)*IFERROR(AF256*1,0))</f>
        <v>0</v>
      </c>
      <c r="AI256" s="18">
        <f>IF(B256="","",COUNTIFS($AH$5:$AH$304,"&gt;"&amp;AH256)+COUNTIFS($AH$5:AH256,AH256))</f>
        <v>0</v>
      </c>
      <c r="AJ256" s="18">
        <f>IF(B256="",0,COUNTIFS('Food Waste'!$E$5:$E$154,B256))</f>
        <v>0</v>
      </c>
      <c r="AK256" s="18">
        <f>IF(B256="","",COUNTIFS($AJ$5:$AJ$304,"&gt;"&amp;AJ256)+COUNTIFS($AJ$5:AJ256,AJ256))</f>
        <v>0</v>
      </c>
      <c r="AL256" s="18">
        <f>IF(B256="","",IF(AG256&gt;0,COUNTIF(AG$5:AG256,"&gt;0"),""))</f>
        <v>0</v>
      </c>
      <c r="AM256" s="45">
        <f>IF(B256="","",SUMIFS('Grocery List'!$Q$5:$Q$304,'Grocery List'!$B$5:$B$304,B256))</f>
        <v>0</v>
      </c>
      <c r="AN256" s="31">
        <f>IF(B256="","",IF(I256="","Add - no price yet",IF(H256="","Add - no pack size",IF(COUNTIFS($B$5:$B$304,B256)&gt;1,"Duplicate - same name twice",IF(AF256=0,"Check - no recipe uses it","OK")))))</f>
        <v>0</v>
      </c>
    </row>
    <row r="257" spans="1:40">
      <c r="A257" s="39">
        <f>IF(B257="","",IngredientPrefix&amp;TEXT(ROW()-4,"0000"))</f>
        <v>0</v>
      </c>
      <c r="J257" s="25">
        <f>IF(OR(H257="",I257=""),"",IF(H257=0,"",I257/H257))</f>
        <v>0</v>
      </c>
      <c r="K257" s="25">
        <f>IF(J257="","",J257*100)</f>
        <v>0</v>
      </c>
      <c r="L257" s="25">
        <f>IF(B257="","",IFERROR(AVERAGEIFS('Grocery Spending'!$L$5:$L$404,'Grocery Spending'!$H$5:$H$404,B257,'Grocery Spending'!$L$5:$L$404,"&gt;0"),""))</f>
        <v>0</v>
      </c>
      <c r="M257" s="25">
        <f>IF(B257="","",IF(COUNTIFS('Store Prices'!$B$5:$B$304,B257)=0,"",IF(SUMPRODUCT(MIN((('Store Prices'!$B$5:$B$304=B257)*(IFERROR('Store Prices'!$I$5:$I$304*1,0)&gt;0))*IFERROR('Store Prices'!$I$5:$I$304*1,0)+(1-(('Store Prices'!$B$5:$B$304=B257)*(IFERROR('Store Prices'!$I$5:$I$304*1,0)&gt;0)))*999999))&gt;=999999,"",SUMPRODUCT(MIN((('Store Prices'!$B$5:$B$304=B257)*(IFERROR('Store Prices'!$I$5:$I$304*1,0)&gt;0))*IFERROR('Store Prices'!$I$5:$I$304*1,0)+(1-(('Store Prices'!$B$5:$B$304=B257)*(IFERROR('Store Prices'!$I$5:$I$304*1,0)&gt;0)))*999999)))))</f>
        <v>0</v>
      </c>
      <c r="N257" s="17">
        <f>IF(M257="","",IFERROR(INDEX('Store Prices'!$C$5:$C$304,MATCH(1,INDEX(('Store Prices'!$B$5:$B$304=B257)*('Store Prices'!$I$5:$I$304=M257),0),0)),""))</f>
        <v>0</v>
      </c>
      <c r="O257" s="25">
        <f>IF(OR(M257="",J257=""),"",MAX(0,(J257-M257)*100))</f>
        <v>0</v>
      </c>
      <c r="AD257" s="45">
        <f>IF(B257="","",SUMIFS(Pantry!$G$5:$G$304,Pantry!$B$5:$B$304,B257))</f>
        <v>0</v>
      </c>
      <c r="AE257" s="25">
        <f>IF(OR(AD257="",J257=""),"",AD257*J257)</f>
        <v>0</v>
      </c>
      <c r="AF257" s="18">
        <f>IF(B257="","",COUNTIFS('Recipe Ingredients'!$D$5:$D$1204,B257))</f>
        <v>0</v>
      </c>
      <c r="AG257" s="45">
        <f>IF(B257="","",SUMIFS('Recipe Ingredients'!$Y$5:$Y$1204,'Recipe Ingredients'!$D$5:$D$1204,B257))</f>
        <v>0</v>
      </c>
      <c r="AH257" s="30">
        <f>IF(B257="",0,IFERROR(K257*1,0)*IFERROR(AF257*1,0))</f>
        <v>0</v>
      </c>
      <c r="AI257" s="18">
        <f>IF(B257="","",COUNTIFS($AH$5:$AH$304,"&gt;"&amp;AH257)+COUNTIFS($AH$5:AH257,AH257))</f>
        <v>0</v>
      </c>
      <c r="AJ257" s="18">
        <f>IF(B257="",0,COUNTIFS('Food Waste'!$E$5:$E$154,B257))</f>
        <v>0</v>
      </c>
      <c r="AK257" s="18">
        <f>IF(B257="","",COUNTIFS($AJ$5:$AJ$304,"&gt;"&amp;AJ257)+COUNTIFS($AJ$5:AJ257,AJ257))</f>
        <v>0</v>
      </c>
      <c r="AL257" s="18">
        <f>IF(B257="","",IF(AG257&gt;0,COUNTIF(AG$5:AG257,"&gt;0"),""))</f>
        <v>0</v>
      </c>
      <c r="AM257" s="45">
        <f>IF(B257="","",SUMIFS('Grocery List'!$Q$5:$Q$304,'Grocery List'!$B$5:$B$304,B257))</f>
        <v>0</v>
      </c>
      <c r="AN257" s="31">
        <f>IF(B257="","",IF(I257="","Add - no price yet",IF(H257="","Add - no pack size",IF(COUNTIFS($B$5:$B$304,B257)&gt;1,"Duplicate - same name twice",IF(AF257=0,"Check - no recipe uses it","OK")))))</f>
        <v>0</v>
      </c>
    </row>
    <row r="258" spans="1:40">
      <c r="A258" s="39">
        <f>IF(B258="","",IngredientPrefix&amp;TEXT(ROW()-4,"0000"))</f>
        <v>0</v>
      </c>
      <c r="J258" s="25">
        <f>IF(OR(H258="",I258=""),"",IF(H258=0,"",I258/H258))</f>
        <v>0</v>
      </c>
      <c r="K258" s="25">
        <f>IF(J258="","",J258*100)</f>
        <v>0</v>
      </c>
      <c r="L258" s="25">
        <f>IF(B258="","",IFERROR(AVERAGEIFS('Grocery Spending'!$L$5:$L$404,'Grocery Spending'!$H$5:$H$404,B258,'Grocery Spending'!$L$5:$L$404,"&gt;0"),""))</f>
        <v>0</v>
      </c>
      <c r="M258" s="25">
        <f>IF(B258="","",IF(COUNTIFS('Store Prices'!$B$5:$B$304,B258)=0,"",IF(SUMPRODUCT(MIN((('Store Prices'!$B$5:$B$304=B258)*(IFERROR('Store Prices'!$I$5:$I$304*1,0)&gt;0))*IFERROR('Store Prices'!$I$5:$I$304*1,0)+(1-(('Store Prices'!$B$5:$B$304=B258)*(IFERROR('Store Prices'!$I$5:$I$304*1,0)&gt;0)))*999999))&gt;=999999,"",SUMPRODUCT(MIN((('Store Prices'!$B$5:$B$304=B258)*(IFERROR('Store Prices'!$I$5:$I$304*1,0)&gt;0))*IFERROR('Store Prices'!$I$5:$I$304*1,0)+(1-(('Store Prices'!$B$5:$B$304=B258)*(IFERROR('Store Prices'!$I$5:$I$304*1,0)&gt;0)))*999999)))))</f>
        <v>0</v>
      </c>
      <c r="N258" s="17">
        <f>IF(M258="","",IFERROR(INDEX('Store Prices'!$C$5:$C$304,MATCH(1,INDEX(('Store Prices'!$B$5:$B$304=B258)*('Store Prices'!$I$5:$I$304=M258),0),0)),""))</f>
        <v>0</v>
      </c>
      <c r="O258" s="25">
        <f>IF(OR(M258="",J258=""),"",MAX(0,(J258-M258)*100))</f>
        <v>0</v>
      </c>
      <c r="AD258" s="45">
        <f>IF(B258="","",SUMIFS(Pantry!$G$5:$G$304,Pantry!$B$5:$B$304,B258))</f>
        <v>0</v>
      </c>
      <c r="AE258" s="25">
        <f>IF(OR(AD258="",J258=""),"",AD258*J258)</f>
        <v>0</v>
      </c>
      <c r="AF258" s="18">
        <f>IF(B258="","",COUNTIFS('Recipe Ingredients'!$D$5:$D$1204,B258))</f>
        <v>0</v>
      </c>
      <c r="AG258" s="45">
        <f>IF(B258="","",SUMIFS('Recipe Ingredients'!$Y$5:$Y$1204,'Recipe Ingredients'!$D$5:$D$1204,B258))</f>
        <v>0</v>
      </c>
      <c r="AH258" s="30">
        <f>IF(B258="",0,IFERROR(K258*1,0)*IFERROR(AF258*1,0))</f>
        <v>0</v>
      </c>
      <c r="AI258" s="18">
        <f>IF(B258="","",COUNTIFS($AH$5:$AH$304,"&gt;"&amp;AH258)+COUNTIFS($AH$5:AH258,AH258))</f>
        <v>0</v>
      </c>
      <c r="AJ258" s="18">
        <f>IF(B258="",0,COUNTIFS('Food Waste'!$E$5:$E$154,B258))</f>
        <v>0</v>
      </c>
      <c r="AK258" s="18">
        <f>IF(B258="","",COUNTIFS($AJ$5:$AJ$304,"&gt;"&amp;AJ258)+COUNTIFS($AJ$5:AJ258,AJ258))</f>
        <v>0</v>
      </c>
      <c r="AL258" s="18">
        <f>IF(B258="","",IF(AG258&gt;0,COUNTIF(AG$5:AG258,"&gt;0"),""))</f>
        <v>0</v>
      </c>
      <c r="AM258" s="45">
        <f>IF(B258="","",SUMIFS('Grocery List'!$Q$5:$Q$304,'Grocery List'!$B$5:$B$304,B258))</f>
        <v>0</v>
      </c>
      <c r="AN258" s="31">
        <f>IF(B258="","",IF(I258="","Add - no price yet",IF(H258="","Add - no pack size",IF(COUNTIFS($B$5:$B$304,B258)&gt;1,"Duplicate - same name twice",IF(AF258=0,"Check - no recipe uses it","OK")))))</f>
        <v>0</v>
      </c>
    </row>
    <row r="259" spans="1:40">
      <c r="A259" s="39">
        <f>IF(B259="","",IngredientPrefix&amp;TEXT(ROW()-4,"0000"))</f>
        <v>0</v>
      </c>
      <c r="J259" s="25">
        <f>IF(OR(H259="",I259=""),"",IF(H259=0,"",I259/H259))</f>
        <v>0</v>
      </c>
      <c r="K259" s="25">
        <f>IF(J259="","",J259*100)</f>
        <v>0</v>
      </c>
      <c r="L259" s="25">
        <f>IF(B259="","",IFERROR(AVERAGEIFS('Grocery Spending'!$L$5:$L$404,'Grocery Spending'!$H$5:$H$404,B259,'Grocery Spending'!$L$5:$L$404,"&gt;0"),""))</f>
        <v>0</v>
      </c>
      <c r="M259" s="25">
        <f>IF(B259="","",IF(COUNTIFS('Store Prices'!$B$5:$B$304,B259)=0,"",IF(SUMPRODUCT(MIN((('Store Prices'!$B$5:$B$304=B259)*(IFERROR('Store Prices'!$I$5:$I$304*1,0)&gt;0))*IFERROR('Store Prices'!$I$5:$I$304*1,0)+(1-(('Store Prices'!$B$5:$B$304=B259)*(IFERROR('Store Prices'!$I$5:$I$304*1,0)&gt;0)))*999999))&gt;=999999,"",SUMPRODUCT(MIN((('Store Prices'!$B$5:$B$304=B259)*(IFERROR('Store Prices'!$I$5:$I$304*1,0)&gt;0))*IFERROR('Store Prices'!$I$5:$I$304*1,0)+(1-(('Store Prices'!$B$5:$B$304=B259)*(IFERROR('Store Prices'!$I$5:$I$304*1,0)&gt;0)))*999999)))))</f>
        <v>0</v>
      </c>
      <c r="N259" s="17">
        <f>IF(M259="","",IFERROR(INDEX('Store Prices'!$C$5:$C$304,MATCH(1,INDEX(('Store Prices'!$B$5:$B$304=B259)*('Store Prices'!$I$5:$I$304=M259),0),0)),""))</f>
        <v>0</v>
      </c>
      <c r="O259" s="25">
        <f>IF(OR(M259="",J259=""),"",MAX(0,(J259-M259)*100))</f>
        <v>0</v>
      </c>
      <c r="AD259" s="45">
        <f>IF(B259="","",SUMIFS(Pantry!$G$5:$G$304,Pantry!$B$5:$B$304,B259))</f>
        <v>0</v>
      </c>
      <c r="AE259" s="25">
        <f>IF(OR(AD259="",J259=""),"",AD259*J259)</f>
        <v>0</v>
      </c>
      <c r="AF259" s="18">
        <f>IF(B259="","",COUNTIFS('Recipe Ingredients'!$D$5:$D$1204,B259))</f>
        <v>0</v>
      </c>
      <c r="AG259" s="45">
        <f>IF(B259="","",SUMIFS('Recipe Ingredients'!$Y$5:$Y$1204,'Recipe Ingredients'!$D$5:$D$1204,B259))</f>
        <v>0</v>
      </c>
      <c r="AH259" s="30">
        <f>IF(B259="",0,IFERROR(K259*1,0)*IFERROR(AF259*1,0))</f>
        <v>0</v>
      </c>
      <c r="AI259" s="18">
        <f>IF(B259="","",COUNTIFS($AH$5:$AH$304,"&gt;"&amp;AH259)+COUNTIFS($AH$5:AH259,AH259))</f>
        <v>0</v>
      </c>
      <c r="AJ259" s="18">
        <f>IF(B259="",0,COUNTIFS('Food Waste'!$E$5:$E$154,B259))</f>
        <v>0</v>
      </c>
      <c r="AK259" s="18">
        <f>IF(B259="","",COUNTIFS($AJ$5:$AJ$304,"&gt;"&amp;AJ259)+COUNTIFS($AJ$5:AJ259,AJ259))</f>
        <v>0</v>
      </c>
      <c r="AL259" s="18">
        <f>IF(B259="","",IF(AG259&gt;0,COUNTIF(AG$5:AG259,"&gt;0"),""))</f>
        <v>0</v>
      </c>
      <c r="AM259" s="45">
        <f>IF(B259="","",SUMIFS('Grocery List'!$Q$5:$Q$304,'Grocery List'!$B$5:$B$304,B259))</f>
        <v>0</v>
      </c>
      <c r="AN259" s="31">
        <f>IF(B259="","",IF(I259="","Add - no price yet",IF(H259="","Add - no pack size",IF(COUNTIFS($B$5:$B$304,B259)&gt;1,"Duplicate - same name twice",IF(AF259=0,"Check - no recipe uses it","OK")))))</f>
        <v>0</v>
      </c>
    </row>
    <row r="260" spans="1:40">
      <c r="A260" s="39">
        <f>IF(B260="","",IngredientPrefix&amp;TEXT(ROW()-4,"0000"))</f>
        <v>0</v>
      </c>
      <c r="J260" s="25">
        <f>IF(OR(H260="",I260=""),"",IF(H260=0,"",I260/H260))</f>
        <v>0</v>
      </c>
      <c r="K260" s="25">
        <f>IF(J260="","",J260*100)</f>
        <v>0</v>
      </c>
      <c r="L260" s="25">
        <f>IF(B260="","",IFERROR(AVERAGEIFS('Grocery Spending'!$L$5:$L$404,'Grocery Spending'!$H$5:$H$404,B260,'Grocery Spending'!$L$5:$L$404,"&gt;0"),""))</f>
        <v>0</v>
      </c>
      <c r="M260" s="25">
        <f>IF(B260="","",IF(COUNTIFS('Store Prices'!$B$5:$B$304,B260)=0,"",IF(SUMPRODUCT(MIN((('Store Prices'!$B$5:$B$304=B260)*(IFERROR('Store Prices'!$I$5:$I$304*1,0)&gt;0))*IFERROR('Store Prices'!$I$5:$I$304*1,0)+(1-(('Store Prices'!$B$5:$B$304=B260)*(IFERROR('Store Prices'!$I$5:$I$304*1,0)&gt;0)))*999999))&gt;=999999,"",SUMPRODUCT(MIN((('Store Prices'!$B$5:$B$304=B260)*(IFERROR('Store Prices'!$I$5:$I$304*1,0)&gt;0))*IFERROR('Store Prices'!$I$5:$I$304*1,0)+(1-(('Store Prices'!$B$5:$B$304=B260)*(IFERROR('Store Prices'!$I$5:$I$304*1,0)&gt;0)))*999999)))))</f>
        <v>0</v>
      </c>
      <c r="N260" s="17">
        <f>IF(M260="","",IFERROR(INDEX('Store Prices'!$C$5:$C$304,MATCH(1,INDEX(('Store Prices'!$B$5:$B$304=B260)*('Store Prices'!$I$5:$I$304=M260),0),0)),""))</f>
        <v>0</v>
      </c>
      <c r="O260" s="25">
        <f>IF(OR(M260="",J260=""),"",MAX(0,(J260-M260)*100))</f>
        <v>0</v>
      </c>
      <c r="AD260" s="45">
        <f>IF(B260="","",SUMIFS(Pantry!$G$5:$G$304,Pantry!$B$5:$B$304,B260))</f>
        <v>0</v>
      </c>
      <c r="AE260" s="25">
        <f>IF(OR(AD260="",J260=""),"",AD260*J260)</f>
        <v>0</v>
      </c>
      <c r="AF260" s="18">
        <f>IF(B260="","",COUNTIFS('Recipe Ingredients'!$D$5:$D$1204,B260))</f>
        <v>0</v>
      </c>
      <c r="AG260" s="45">
        <f>IF(B260="","",SUMIFS('Recipe Ingredients'!$Y$5:$Y$1204,'Recipe Ingredients'!$D$5:$D$1204,B260))</f>
        <v>0</v>
      </c>
      <c r="AH260" s="30">
        <f>IF(B260="",0,IFERROR(K260*1,0)*IFERROR(AF260*1,0))</f>
        <v>0</v>
      </c>
      <c r="AI260" s="18">
        <f>IF(B260="","",COUNTIFS($AH$5:$AH$304,"&gt;"&amp;AH260)+COUNTIFS($AH$5:AH260,AH260))</f>
        <v>0</v>
      </c>
      <c r="AJ260" s="18">
        <f>IF(B260="",0,COUNTIFS('Food Waste'!$E$5:$E$154,B260))</f>
        <v>0</v>
      </c>
      <c r="AK260" s="18">
        <f>IF(B260="","",COUNTIFS($AJ$5:$AJ$304,"&gt;"&amp;AJ260)+COUNTIFS($AJ$5:AJ260,AJ260))</f>
        <v>0</v>
      </c>
      <c r="AL260" s="18">
        <f>IF(B260="","",IF(AG260&gt;0,COUNTIF(AG$5:AG260,"&gt;0"),""))</f>
        <v>0</v>
      </c>
      <c r="AM260" s="45">
        <f>IF(B260="","",SUMIFS('Grocery List'!$Q$5:$Q$304,'Grocery List'!$B$5:$B$304,B260))</f>
        <v>0</v>
      </c>
      <c r="AN260" s="31">
        <f>IF(B260="","",IF(I260="","Add - no price yet",IF(H260="","Add - no pack size",IF(COUNTIFS($B$5:$B$304,B260)&gt;1,"Duplicate - same name twice",IF(AF260=0,"Check - no recipe uses it","OK")))))</f>
        <v>0</v>
      </c>
    </row>
    <row r="261" spans="1:40">
      <c r="A261" s="39">
        <f>IF(B261="","",IngredientPrefix&amp;TEXT(ROW()-4,"0000"))</f>
        <v>0</v>
      </c>
      <c r="J261" s="25">
        <f>IF(OR(H261="",I261=""),"",IF(H261=0,"",I261/H261))</f>
        <v>0</v>
      </c>
      <c r="K261" s="25">
        <f>IF(J261="","",J261*100)</f>
        <v>0</v>
      </c>
      <c r="L261" s="25">
        <f>IF(B261="","",IFERROR(AVERAGEIFS('Grocery Spending'!$L$5:$L$404,'Grocery Spending'!$H$5:$H$404,B261,'Grocery Spending'!$L$5:$L$404,"&gt;0"),""))</f>
        <v>0</v>
      </c>
      <c r="M261" s="25">
        <f>IF(B261="","",IF(COUNTIFS('Store Prices'!$B$5:$B$304,B261)=0,"",IF(SUMPRODUCT(MIN((('Store Prices'!$B$5:$B$304=B261)*(IFERROR('Store Prices'!$I$5:$I$304*1,0)&gt;0))*IFERROR('Store Prices'!$I$5:$I$304*1,0)+(1-(('Store Prices'!$B$5:$B$304=B261)*(IFERROR('Store Prices'!$I$5:$I$304*1,0)&gt;0)))*999999))&gt;=999999,"",SUMPRODUCT(MIN((('Store Prices'!$B$5:$B$304=B261)*(IFERROR('Store Prices'!$I$5:$I$304*1,0)&gt;0))*IFERROR('Store Prices'!$I$5:$I$304*1,0)+(1-(('Store Prices'!$B$5:$B$304=B261)*(IFERROR('Store Prices'!$I$5:$I$304*1,0)&gt;0)))*999999)))))</f>
        <v>0</v>
      </c>
      <c r="N261" s="17">
        <f>IF(M261="","",IFERROR(INDEX('Store Prices'!$C$5:$C$304,MATCH(1,INDEX(('Store Prices'!$B$5:$B$304=B261)*('Store Prices'!$I$5:$I$304=M261),0),0)),""))</f>
        <v>0</v>
      </c>
      <c r="O261" s="25">
        <f>IF(OR(M261="",J261=""),"",MAX(0,(J261-M261)*100))</f>
        <v>0</v>
      </c>
      <c r="AD261" s="45">
        <f>IF(B261="","",SUMIFS(Pantry!$G$5:$G$304,Pantry!$B$5:$B$304,B261))</f>
        <v>0</v>
      </c>
      <c r="AE261" s="25">
        <f>IF(OR(AD261="",J261=""),"",AD261*J261)</f>
        <v>0</v>
      </c>
      <c r="AF261" s="18">
        <f>IF(B261="","",COUNTIFS('Recipe Ingredients'!$D$5:$D$1204,B261))</f>
        <v>0</v>
      </c>
      <c r="AG261" s="45">
        <f>IF(B261="","",SUMIFS('Recipe Ingredients'!$Y$5:$Y$1204,'Recipe Ingredients'!$D$5:$D$1204,B261))</f>
        <v>0</v>
      </c>
      <c r="AH261" s="30">
        <f>IF(B261="",0,IFERROR(K261*1,0)*IFERROR(AF261*1,0))</f>
        <v>0</v>
      </c>
      <c r="AI261" s="18">
        <f>IF(B261="","",COUNTIFS($AH$5:$AH$304,"&gt;"&amp;AH261)+COUNTIFS($AH$5:AH261,AH261))</f>
        <v>0</v>
      </c>
      <c r="AJ261" s="18">
        <f>IF(B261="",0,COUNTIFS('Food Waste'!$E$5:$E$154,B261))</f>
        <v>0</v>
      </c>
      <c r="AK261" s="18">
        <f>IF(B261="","",COUNTIFS($AJ$5:$AJ$304,"&gt;"&amp;AJ261)+COUNTIFS($AJ$5:AJ261,AJ261))</f>
        <v>0</v>
      </c>
      <c r="AL261" s="18">
        <f>IF(B261="","",IF(AG261&gt;0,COUNTIF(AG$5:AG261,"&gt;0"),""))</f>
        <v>0</v>
      </c>
      <c r="AM261" s="45">
        <f>IF(B261="","",SUMIFS('Grocery List'!$Q$5:$Q$304,'Grocery List'!$B$5:$B$304,B261))</f>
        <v>0</v>
      </c>
      <c r="AN261" s="31">
        <f>IF(B261="","",IF(I261="","Add - no price yet",IF(H261="","Add - no pack size",IF(COUNTIFS($B$5:$B$304,B261)&gt;1,"Duplicate - same name twice",IF(AF261=0,"Check - no recipe uses it","OK")))))</f>
        <v>0</v>
      </c>
    </row>
    <row r="262" spans="1:40">
      <c r="A262" s="39">
        <f>IF(B262="","",IngredientPrefix&amp;TEXT(ROW()-4,"0000"))</f>
        <v>0</v>
      </c>
      <c r="J262" s="25">
        <f>IF(OR(H262="",I262=""),"",IF(H262=0,"",I262/H262))</f>
        <v>0</v>
      </c>
      <c r="K262" s="25">
        <f>IF(J262="","",J262*100)</f>
        <v>0</v>
      </c>
      <c r="L262" s="25">
        <f>IF(B262="","",IFERROR(AVERAGEIFS('Grocery Spending'!$L$5:$L$404,'Grocery Spending'!$H$5:$H$404,B262,'Grocery Spending'!$L$5:$L$404,"&gt;0"),""))</f>
        <v>0</v>
      </c>
      <c r="M262" s="25">
        <f>IF(B262="","",IF(COUNTIFS('Store Prices'!$B$5:$B$304,B262)=0,"",IF(SUMPRODUCT(MIN((('Store Prices'!$B$5:$B$304=B262)*(IFERROR('Store Prices'!$I$5:$I$304*1,0)&gt;0))*IFERROR('Store Prices'!$I$5:$I$304*1,0)+(1-(('Store Prices'!$B$5:$B$304=B262)*(IFERROR('Store Prices'!$I$5:$I$304*1,0)&gt;0)))*999999))&gt;=999999,"",SUMPRODUCT(MIN((('Store Prices'!$B$5:$B$304=B262)*(IFERROR('Store Prices'!$I$5:$I$304*1,0)&gt;0))*IFERROR('Store Prices'!$I$5:$I$304*1,0)+(1-(('Store Prices'!$B$5:$B$304=B262)*(IFERROR('Store Prices'!$I$5:$I$304*1,0)&gt;0)))*999999)))))</f>
        <v>0</v>
      </c>
      <c r="N262" s="17">
        <f>IF(M262="","",IFERROR(INDEX('Store Prices'!$C$5:$C$304,MATCH(1,INDEX(('Store Prices'!$B$5:$B$304=B262)*('Store Prices'!$I$5:$I$304=M262),0),0)),""))</f>
        <v>0</v>
      </c>
      <c r="O262" s="25">
        <f>IF(OR(M262="",J262=""),"",MAX(0,(J262-M262)*100))</f>
        <v>0</v>
      </c>
      <c r="AD262" s="45">
        <f>IF(B262="","",SUMIFS(Pantry!$G$5:$G$304,Pantry!$B$5:$B$304,B262))</f>
        <v>0</v>
      </c>
      <c r="AE262" s="25">
        <f>IF(OR(AD262="",J262=""),"",AD262*J262)</f>
        <v>0</v>
      </c>
      <c r="AF262" s="18">
        <f>IF(B262="","",COUNTIFS('Recipe Ingredients'!$D$5:$D$1204,B262))</f>
        <v>0</v>
      </c>
      <c r="AG262" s="45">
        <f>IF(B262="","",SUMIFS('Recipe Ingredients'!$Y$5:$Y$1204,'Recipe Ingredients'!$D$5:$D$1204,B262))</f>
        <v>0</v>
      </c>
      <c r="AH262" s="30">
        <f>IF(B262="",0,IFERROR(K262*1,0)*IFERROR(AF262*1,0))</f>
        <v>0</v>
      </c>
      <c r="AI262" s="18">
        <f>IF(B262="","",COUNTIFS($AH$5:$AH$304,"&gt;"&amp;AH262)+COUNTIFS($AH$5:AH262,AH262))</f>
        <v>0</v>
      </c>
      <c r="AJ262" s="18">
        <f>IF(B262="",0,COUNTIFS('Food Waste'!$E$5:$E$154,B262))</f>
        <v>0</v>
      </c>
      <c r="AK262" s="18">
        <f>IF(B262="","",COUNTIFS($AJ$5:$AJ$304,"&gt;"&amp;AJ262)+COUNTIFS($AJ$5:AJ262,AJ262))</f>
        <v>0</v>
      </c>
      <c r="AL262" s="18">
        <f>IF(B262="","",IF(AG262&gt;0,COUNTIF(AG$5:AG262,"&gt;0"),""))</f>
        <v>0</v>
      </c>
      <c r="AM262" s="45">
        <f>IF(B262="","",SUMIFS('Grocery List'!$Q$5:$Q$304,'Grocery List'!$B$5:$B$304,B262))</f>
        <v>0</v>
      </c>
      <c r="AN262" s="31">
        <f>IF(B262="","",IF(I262="","Add - no price yet",IF(H262="","Add - no pack size",IF(COUNTIFS($B$5:$B$304,B262)&gt;1,"Duplicate - same name twice",IF(AF262=0,"Check - no recipe uses it","OK")))))</f>
        <v>0</v>
      </c>
    </row>
    <row r="263" spans="1:40">
      <c r="A263" s="39">
        <f>IF(B263="","",IngredientPrefix&amp;TEXT(ROW()-4,"0000"))</f>
        <v>0</v>
      </c>
      <c r="J263" s="25">
        <f>IF(OR(H263="",I263=""),"",IF(H263=0,"",I263/H263))</f>
        <v>0</v>
      </c>
      <c r="K263" s="25">
        <f>IF(J263="","",J263*100)</f>
        <v>0</v>
      </c>
      <c r="L263" s="25">
        <f>IF(B263="","",IFERROR(AVERAGEIFS('Grocery Spending'!$L$5:$L$404,'Grocery Spending'!$H$5:$H$404,B263,'Grocery Spending'!$L$5:$L$404,"&gt;0"),""))</f>
        <v>0</v>
      </c>
      <c r="M263" s="25">
        <f>IF(B263="","",IF(COUNTIFS('Store Prices'!$B$5:$B$304,B263)=0,"",IF(SUMPRODUCT(MIN((('Store Prices'!$B$5:$B$304=B263)*(IFERROR('Store Prices'!$I$5:$I$304*1,0)&gt;0))*IFERROR('Store Prices'!$I$5:$I$304*1,0)+(1-(('Store Prices'!$B$5:$B$304=B263)*(IFERROR('Store Prices'!$I$5:$I$304*1,0)&gt;0)))*999999))&gt;=999999,"",SUMPRODUCT(MIN((('Store Prices'!$B$5:$B$304=B263)*(IFERROR('Store Prices'!$I$5:$I$304*1,0)&gt;0))*IFERROR('Store Prices'!$I$5:$I$304*1,0)+(1-(('Store Prices'!$B$5:$B$304=B263)*(IFERROR('Store Prices'!$I$5:$I$304*1,0)&gt;0)))*999999)))))</f>
        <v>0</v>
      </c>
      <c r="N263" s="17">
        <f>IF(M263="","",IFERROR(INDEX('Store Prices'!$C$5:$C$304,MATCH(1,INDEX(('Store Prices'!$B$5:$B$304=B263)*('Store Prices'!$I$5:$I$304=M263),0),0)),""))</f>
        <v>0</v>
      </c>
      <c r="O263" s="25">
        <f>IF(OR(M263="",J263=""),"",MAX(0,(J263-M263)*100))</f>
        <v>0</v>
      </c>
      <c r="AD263" s="45">
        <f>IF(B263="","",SUMIFS(Pantry!$G$5:$G$304,Pantry!$B$5:$B$304,B263))</f>
        <v>0</v>
      </c>
      <c r="AE263" s="25">
        <f>IF(OR(AD263="",J263=""),"",AD263*J263)</f>
        <v>0</v>
      </c>
      <c r="AF263" s="18">
        <f>IF(B263="","",COUNTIFS('Recipe Ingredients'!$D$5:$D$1204,B263))</f>
        <v>0</v>
      </c>
      <c r="AG263" s="45">
        <f>IF(B263="","",SUMIFS('Recipe Ingredients'!$Y$5:$Y$1204,'Recipe Ingredients'!$D$5:$D$1204,B263))</f>
        <v>0</v>
      </c>
      <c r="AH263" s="30">
        <f>IF(B263="",0,IFERROR(K263*1,0)*IFERROR(AF263*1,0))</f>
        <v>0</v>
      </c>
      <c r="AI263" s="18">
        <f>IF(B263="","",COUNTIFS($AH$5:$AH$304,"&gt;"&amp;AH263)+COUNTIFS($AH$5:AH263,AH263))</f>
        <v>0</v>
      </c>
      <c r="AJ263" s="18">
        <f>IF(B263="",0,COUNTIFS('Food Waste'!$E$5:$E$154,B263))</f>
        <v>0</v>
      </c>
      <c r="AK263" s="18">
        <f>IF(B263="","",COUNTIFS($AJ$5:$AJ$304,"&gt;"&amp;AJ263)+COUNTIFS($AJ$5:AJ263,AJ263))</f>
        <v>0</v>
      </c>
      <c r="AL263" s="18">
        <f>IF(B263="","",IF(AG263&gt;0,COUNTIF(AG$5:AG263,"&gt;0"),""))</f>
        <v>0</v>
      </c>
      <c r="AM263" s="45">
        <f>IF(B263="","",SUMIFS('Grocery List'!$Q$5:$Q$304,'Grocery List'!$B$5:$B$304,B263))</f>
        <v>0</v>
      </c>
      <c r="AN263" s="31">
        <f>IF(B263="","",IF(I263="","Add - no price yet",IF(H263="","Add - no pack size",IF(COUNTIFS($B$5:$B$304,B263)&gt;1,"Duplicate - same name twice",IF(AF263=0,"Check - no recipe uses it","OK")))))</f>
        <v>0</v>
      </c>
    </row>
    <row r="264" spans="1:40">
      <c r="A264" s="39">
        <f>IF(B264="","",IngredientPrefix&amp;TEXT(ROW()-4,"0000"))</f>
        <v>0</v>
      </c>
      <c r="J264" s="25">
        <f>IF(OR(H264="",I264=""),"",IF(H264=0,"",I264/H264))</f>
        <v>0</v>
      </c>
      <c r="K264" s="25">
        <f>IF(J264="","",J264*100)</f>
        <v>0</v>
      </c>
      <c r="L264" s="25">
        <f>IF(B264="","",IFERROR(AVERAGEIFS('Grocery Spending'!$L$5:$L$404,'Grocery Spending'!$H$5:$H$404,B264,'Grocery Spending'!$L$5:$L$404,"&gt;0"),""))</f>
        <v>0</v>
      </c>
      <c r="M264" s="25">
        <f>IF(B264="","",IF(COUNTIFS('Store Prices'!$B$5:$B$304,B264)=0,"",IF(SUMPRODUCT(MIN((('Store Prices'!$B$5:$B$304=B264)*(IFERROR('Store Prices'!$I$5:$I$304*1,0)&gt;0))*IFERROR('Store Prices'!$I$5:$I$304*1,0)+(1-(('Store Prices'!$B$5:$B$304=B264)*(IFERROR('Store Prices'!$I$5:$I$304*1,0)&gt;0)))*999999))&gt;=999999,"",SUMPRODUCT(MIN((('Store Prices'!$B$5:$B$304=B264)*(IFERROR('Store Prices'!$I$5:$I$304*1,0)&gt;0))*IFERROR('Store Prices'!$I$5:$I$304*1,0)+(1-(('Store Prices'!$B$5:$B$304=B264)*(IFERROR('Store Prices'!$I$5:$I$304*1,0)&gt;0)))*999999)))))</f>
        <v>0</v>
      </c>
      <c r="N264" s="17">
        <f>IF(M264="","",IFERROR(INDEX('Store Prices'!$C$5:$C$304,MATCH(1,INDEX(('Store Prices'!$B$5:$B$304=B264)*('Store Prices'!$I$5:$I$304=M264),0),0)),""))</f>
        <v>0</v>
      </c>
      <c r="O264" s="25">
        <f>IF(OR(M264="",J264=""),"",MAX(0,(J264-M264)*100))</f>
        <v>0</v>
      </c>
      <c r="AD264" s="45">
        <f>IF(B264="","",SUMIFS(Pantry!$G$5:$G$304,Pantry!$B$5:$B$304,B264))</f>
        <v>0</v>
      </c>
      <c r="AE264" s="25">
        <f>IF(OR(AD264="",J264=""),"",AD264*J264)</f>
        <v>0</v>
      </c>
      <c r="AF264" s="18">
        <f>IF(B264="","",COUNTIFS('Recipe Ingredients'!$D$5:$D$1204,B264))</f>
        <v>0</v>
      </c>
      <c r="AG264" s="45">
        <f>IF(B264="","",SUMIFS('Recipe Ingredients'!$Y$5:$Y$1204,'Recipe Ingredients'!$D$5:$D$1204,B264))</f>
        <v>0</v>
      </c>
      <c r="AH264" s="30">
        <f>IF(B264="",0,IFERROR(K264*1,0)*IFERROR(AF264*1,0))</f>
        <v>0</v>
      </c>
      <c r="AI264" s="18">
        <f>IF(B264="","",COUNTIFS($AH$5:$AH$304,"&gt;"&amp;AH264)+COUNTIFS($AH$5:AH264,AH264))</f>
        <v>0</v>
      </c>
      <c r="AJ264" s="18">
        <f>IF(B264="",0,COUNTIFS('Food Waste'!$E$5:$E$154,B264))</f>
        <v>0</v>
      </c>
      <c r="AK264" s="18">
        <f>IF(B264="","",COUNTIFS($AJ$5:$AJ$304,"&gt;"&amp;AJ264)+COUNTIFS($AJ$5:AJ264,AJ264))</f>
        <v>0</v>
      </c>
      <c r="AL264" s="18">
        <f>IF(B264="","",IF(AG264&gt;0,COUNTIF(AG$5:AG264,"&gt;0"),""))</f>
        <v>0</v>
      </c>
      <c r="AM264" s="45">
        <f>IF(B264="","",SUMIFS('Grocery List'!$Q$5:$Q$304,'Grocery List'!$B$5:$B$304,B264))</f>
        <v>0</v>
      </c>
      <c r="AN264" s="31">
        <f>IF(B264="","",IF(I264="","Add - no price yet",IF(H264="","Add - no pack size",IF(COUNTIFS($B$5:$B$304,B264)&gt;1,"Duplicate - same name twice",IF(AF264=0,"Check - no recipe uses it","OK")))))</f>
        <v>0</v>
      </c>
    </row>
    <row r="265" spans="1:40">
      <c r="A265" s="39">
        <f>IF(B265="","",IngredientPrefix&amp;TEXT(ROW()-4,"0000"))</f>
        <v>0</v>
      </c>
      <c r="J265" s="25">
        <f>IF(OR(H265="",I265=""),"",IF(H265=0,"",I265/H265))</f>
        <v>0</v>
      </c>
      <c r="K265" s="25">
        <f>IF(J265="","",J265*100)</f>
        <v>0</v>
      </c>
      <c r="L265" s="25">
        <f>IF(B265="","",IFERROR(AVERAGEIFS('Grocery Spending'!$L$5:$L$404,'Grocery Spending'!$H$5:$H$404,B265,'Grocery Spending'!$L$5:$L$404,"&gt;0"),""))</f>
        <v>0</v>
      </c>
      <c r="M265" s="25">
        <f>IF(B265="","",IF(COUNTIFS('Store Prices'!$B$5:$B$304,B265)=0,"",IF(SUMPRODUCT(MIN((('Store Prices'!$B$5:$B$304=B265)*(IFERROR('Store Prices'!$I$5:$I$304*1,0)&gt;0))*IFERROR('Store Prices'!$I$5:$I$304*1,0)+(1-(('Store Prices'!$B$5:$B$304=B265)*(IFERROR('Store Prices'!$I$5:$I$304*1,0)&gt;0)))*999999))&gt;=999999,"",SUMPRODUCT(MIN((('Store Prices'!$B$5:$B$304=B265)*(IFERROR('Store Prices'!$I$5:$I$304*1,0)&gt;0))*IFERROR('Store Prices'!$I$5:$I$304*1,0)+(1-(('Store Prices'!$B$5:$B$304=B265)*(IFERROR('Store Prices'!$I$5:$I$304*1,0)&gt;0)))*999999)))))</f>
        <v>0</v>
      </c>
      <c r="N265" s="17">
        <f>IF(M265="","",IFERROR(INDEX('Store Prices'!$C$5:$C$304,MATCH(1,INDEX(('Store Prices'!$B$5:$B$304=B265)*('Store Prices'!$I$5:$I$304=M265),0),0)),""))</f>
        <v>0</v>
      </c>
      <c r="O265" s="25">
        <f>IF(OR(M265="",J265=""),"",MAX(0,(J265-M265)*100))</f>
        <v>0</v>
      </c>
      <c r="AD265" s="45">
        <f>IF(B265="","",SUMIFS(Pantry!$G$5:$G$304,Pantry!$B$5:$B$304,B265))</f>
        <v>0</v>
      </c>
      <c r="AE265" s="25">
        <f>IF(OR(AD265="",J265=""),"",AD265*J265)</f>
        <v>0</v>
      </c>
      <c r="AF265" s="18">
        <f>IF(B265="","",COUNTIFS('Recipe Ingredients'!$D$5:$D$1204,B265))</f>
        <v>0</v>
      </c>
      <c r="AG265" s="45">
        <f>IF(B265="","",SUMIFS('Recipe Ingredients'!$Y$5:$Y$1204,'Recipe Ingredients'!$D$5:$D$1204,B265))</f>
        <v>0</v>
      </c>
      <c r="AH265" s="30">
        <f>IF(B265="",0,IFERROR(K265*1,0)*IFERROR(AF265*1,0))</f>
        <v>0</v>
      </c>
      <c r="AI265" s="18">
        <f>IF(B265="","",COUNTIFS($AH$5:$AH$304,"&gt;"&amp;AH265)+COUNTIFS($AH$5:AH265,AH265))</f>
        <v>0</v>
      </c>
      <c r="AJ265" s="18">
        <f>IF(B265="",0,COUNTIFS('Food Waste'!$E$5:$E$154,B265))</f>
        <v>0</v>
      </c>
      <c r="AK265" s="18">
        <f>IF(B265="","",COUNTIFS($AJ$5:$AJ$304,"&gt;"&amp;AJ265)+COUNTIFS($AJ$5:AJ265,AJ265))</f>
        <v>0</v>
      </c>
      <c r="AL265" s="18">
        <f>IF(B265="","",IF(AG265&gt;0,COUNTIF(AG$5:AG265,"&gt;0"),""))</f>
        <v>0</v>
      </c>
      <c r="AM265" s="45">
        <f>IF(B265="","",SUMIFS('Grocery List'!$Q$5:$Q$304,'Grocery List'!$B$5:$B$304,B265))</f>
        <v>0</v>
      </c>
      <c r="AN265" s="31">
        <f>IF(B265="","",IF(I265="","Add - no price yet",IF(H265="","Add - no pack size",IF(COUNTIFS($B$5:$B$304,B265)&gt;1,"Duplicate - same name twice",IF(AF265=0,"Check - no recipe uses it","OK")))))</f>
        <v>0</v>
      </c>
    </row>
    <row r="266" spans="1:40">
      <c r="A266" s="39">
        <f>IF(B266="","",IngredientPrefix&amp;TEXT(ROW()-4,"0000"))</f>
        <v>0</v>
      </c>
      <c r="J266" s="25">
        <f>IF(OR(H266="",I266=""),"",IF(H266=0,"",I266/H266))</f>
        <v>0</v>
      </c>
      <c r="K266" s="25">
        <f>IF(J266="","",J266*100)</f>
        <v>0</v>
      </c>
      <c r="L266" s="25">
        <f>IF(B266="","",IFERROR(AVERAGEIFS('Grocery Spending'!$L$5:$L$404,'Grocery Spending'!$H$5:$H$404,B266,'Grocery Spending'!$L$5:$L$404,"&gt;0"),""))</f>
        <v>0</v>
      </c>
      <c r="M266" s="25">
        <f>IF(B266="","",IF(COUNTIFS('Store Prices'!$B$5:$B$304,B266)=0,"",IF(SUMPRODUCT(MIN((('Store Prices'!$B$5:$B$304=B266)*(IFERROR('Store Prices'!$I$5:$I$304*1,0)&gt;0))*IFERROR('Store Prices'!$I$5:$I$304*1,0)+(1-(('Store Prices'!$B$5:$B$304=B266)*(IFERROR('Store Prices'!$I$5:$I$304*1,0)&gt;0)))*999999))&gt;=999999,"",SUMPRODUCT(MIN((('Store Prices'!$B$5:$B$304=B266)*(IFERROR('Store Prices'!$I$5:$I$304*1,0)&gt;0))*IFERROR('Store Prices'!$I$5:$I$304*1,0)+(1-(('Store Prices'!$B$5:$B$304=B266)*(IFERROR('Store Prices'!$I$5:$I$304*1,0)&gt;0)))*999999)))))</f>
        <v>0</v>
      </c>
      <c r="N266" s="17">
        <f>IF(M266="","",IFERROR(INDEX('Store Prices'!$C$5:$C$304,MATCH(1,INDEX(('Store Prices'!$B$5:$B$304=B266)*('Store Prices'!$I$5:$I$304=M266),0),0)),""))</f>
        <v>0</v>
      </c>
      <c r="O266" s="25">
        <f>IF(OR(M266="",J266=""),"",MAX(0,(J266-M266)*100))</f>
        <v>0</v>
      </c>
      <c r="AD266" s="45">
        <f>IF(B266="","",SUMIFS(Pantry!$G$5:$G$304,Pantry!$B$5:$B$304,B266))</f>
        <v>0</v>
      </c>
      <c r="AE266" s="25">
        <f>IF(OR(AD266="",J266=""),"",AD266*J266)</f>
        <v>0</v>
      </c>
      <c r="AF266" s="18">
        <f>IF(B266="","",COUNTIFS('Recipe Ingredients'!$D$5:$D$1204,B266))</f>
        <v>0</v>
      </c>
      <c r="AG266" s="45">
        <f>IF(B266="","",SUMIFS('Recipe Ingredients'!$Y$5:$Y$1204,'Recipe Ingredients'!$D$5:$D$1204,B266))</f>
        <v>0</v>
      </c>
      <c r="AH266" s="30">
        <f>IF(B266="",0,IFERROR(K266*1,0)*IFERROR(AF266*1,0))</f>
        <v>0</v>
      </c>
      <c r="AI266" s="18">
        <f>IF(B266="","",COUNTIFS($AH$5:$AH$304,"&gt;"&amp;AH266)+COUNTIFS($AH$5:AH266,AH266))</f>
        <v>0</v>
      </c>
      <c r="AJ266" s="18">
        <f>IF(B266="",0,COUNTIFS('Food Waste'!$E$5:$E$154,B266))</f>
        <v>0</v>
      </c>
      <c r="AK266" s="18">
        <f>IF(B266="","",COUNTIFS($AJ$5:$AJ$304,"&gt;"&amp;AJ266)+COUNTIFS($AJ$5:AJ266,AJ266))</f>
        <v>0</v>
      </c>
      <c r="AL266" s="18">
        <f>IF(B266="","",IF(AG266&gt;0,COUNTIF(AG$5:AG266,"&gt;0"),""))</f>
        <v>0</v>
      </c>
      <c r="AM266" s="45">
        <f>IF(B266="","",SUMIFS('Grocery List'!$Q$5:$Q$304,'Grocery List'!$B$5:$B$304,B266))</f>
        <v>0</v>
      </c>
      <c r="AN266" s="31">
        <f>IF(B266="","",IF(I266="","Add - no price yet",IF(H266="","Add - no pack size",IF(COUNTIFS($B$5:$B$304,B266)&gt;1,"Duplicate - same name twice",IF(AF266=0,"Check - no recipe uses it","OK")))))</f>
        <v>0</v>
      </c>
    </row>
    <row r="267" spans="1:40">
      <c r="A267" s="39">
        <f>IF(B267="","",IngredientPrefix&amp;TEXT(ROW()-4,"0000"))</f>
        <v>0</v>
      </c>
      <c r="J267" s="25">
        <f>IF(OR(H267="",I267=""),"",IF(H267=0,"",I267/H267))</f>
        <v>0</v>
      </c>
      <c r="K267" s="25">
        <f>IF(J267="","",J267*100)</f>
        <v>0</v>
      </c>
      <c r="L267" s="25">
        <f>IF(B267="","",IFERROR(AVERAGEIFS('Grocery Spending'!$L$5:$L$404,'Grocery Spending'!$H$5:$H$404,B267,'Grocery Spending'!$L$5:$L$404,"&gt;0"),""))</f>
        <v>0</v>
      </c>
      <c r="M267" s="25">
        <f>IF(B267="","",IF(COUNTIFS('Store Prices'!$B$5:$B$304,B267)=0,"",IF(SUMPRODUCT(MIN((('Store Prices'!$B$5:$B$304=B267)*(IFERROR('Store Prices'!$I$5:$I$304*1,0)&gt;0))*IFERROR('Store Prices'!$I$5:$I$304*1,0)+(1-(('Store Prices'!$B$5:$B$304=B267)*(IFERROR('Store Prices'!$I$5:$I$304*1,0)&gt;0)))*999999))&gt;=999999,"",SUMPRODUCT(MIN((('Store Prices'!$B$5:$B$304=B267)*(IFERROR('Store Prices'!$I$5:$I$304*1,0)&gt;0))*IFERROR('Store Prices'!$I$5:$I$304*1,0)+(1-(('Store Prices'!$B$5:$B$304=B267)*(IFERROR('Store Prices'!$I$5:$I$304*1,0)&gt;0)))*999999)))))</f>
        <v>0</v>
      </c>
      <c r="N267" s="17">
        <f>IF(M267="","",IFERROR(INDEX('Store Prices'!$C$5:$C$304,MATCH(1,INDEX(('Store Prices'!$B$5:$B$304=B267)*('Store Prices'!$I$5:$I$304=M267),0),0)),""))</f>
        <v>0</v>
      </c>
      <c r="O267" s="25">
        <f>IF(OR(M267="",J267=""),"",MAX(0,(J267-M267)*100))</f>
        <v>0</v>
      </c>
      <c r="AD267" s="45">
        <f>IF(B267="","",SUMIFS(Pantry!$G$5:$G$304,Pantry!$B$5:$B$304,B267))</f>
        <v>0</v>
      </c>
      <c r="AE267" s="25">
        <f>IF(OR(AD267="",J267=""),"",AD267*J267)</f>
        <v>0</v>
      </c>
      <c r="AF267" s="18">
        <f>IF(B267="","",COUNTIFS('Recipe Ingredients'!$D$5:$D$1204,B267))</f>
        <v>0</v>
      </c>
      <c r="AG267" s="45">
        <f>IF(B267="","",SUMIFS('Recipe Ingredients'!$Y$5:$Y$1204,'Recipe Ingredients'!$D$5:$D$1204,B267))</f>
        <v>0</v>
      </c>
      <c r="AH267" s="30">
        <f>IF(B267="",0,IFERROR(K267*1,0)*IFERROR(AF267*1,0))</f>
        <v>0</v>
      </c>
      <c r="AI267" s="18">
        <f>IF(B267="","",COUNTIFS($AH$5:$AH$304,"&gt;"&amp;AH267)+COUNTIFS($AH$5:AH267,AH267))</f>
        <v>0</v>
      </c>
      <c r="AJ267" s="18">
        <f>IF(B267="",0,COUNTIFS('Food Waste'!$E$5:$E$154,B267))</f>
        <v>0</v>
      </c>
      <c r="AK267" s="18">
        <f>IF(B267="","",COUNTIFS($AJ$5:$AJ$304,"&gt;"&amp;AJ267)+COUNTIFS($AJ$5:AJ267,AJ267))</f>
        <v>0</v>
      </c>
      <c r="AL267" s="18">
        <f>IF(B267="","",IF(AG267&gt;0,COUNTIF(AG$5:AG267,"&gt;0"),""))</f>
        <v>0</v>
      </c>
      <c r="AM267" s="45">
        <f>IF(B267="","",SUMIFS('Grocery List'!$Q$5:$Q$304,'Grocery List'!$B$5:$B$304,B267))</f>
        <v>0</v>
      </c>
      <c r="AN267" s="31">
        <f>IF(B267="","",IF(I267="","Add - no price yet",IF(H267="","Add - no pack size",IF(COUNTIFS($B$5:$B$304,B267)&gt;1,"Duplicate - same name twice",IF(AF267=0,"Check - no recipe uses it","OK")))))</f>
        <v>0</v>
      </c>
    </row>
    <row r="268" spans="1:40">
      <c r="A268" s="39">
        <f>IF(B268="","",IngredientPrefix&amp;TEXT(ROW()-4,"0000"))</f>
        <v>0</v>
      </c>
      <c r="J268" s="25">
        <f>IF(OR(H268="",I268=""),"",IF(H268=0,"",I268/H268))</f>
        <v>0</v>
      </c>
      <c r="K268" s="25">
        <f>IF(J268="","",J268*100)</f>
        <v>0</v>
      </c>
      <c r="L268" s="25">
        <f>IF(B268="","",IFERROR(AVERAGEIFS('Grocery Spending'!$L$5:$L$404,'Grocery Spending'!$H$5:$H$404,B268,'Grocery Spending'!$L$5:$L$404,"&gt;0"),""))</f>
        <v>0</v>
      </c>
      <c r="M268" s="25">
        <f>IF(B268="","",IF(COUNTIFS('Store Prices'!$B$5:$B$304,B268)=0,"",IF(SUMPRODUCT(MIN((('Store Prices'!$B$5:$B$304=B268)*(IFERROR('Store Prices'!$I$5:$I$304*1,0)&gt;0))*IFERROR('Store Prices'!$I$5:$I$304*1,0)+(1-(('Store Prices'!$B$5:$B$304=B268)*(IFERROR('Store Prices'!$I$5:$I$304*1,0)&gt;0)))*999999))&gt;=999999,"",SUMPRODUCT(MIN((('Store Prices'!$B$5:$B$304=B268)*(IFERROR('Store Prices'!$I$5:$I$304*1,0)&gt;0))*IFERROR('Store Prices'!$I$5:$I$304*1,0)+(1-(('Store Prices'!$B$5:$B$304=B268)*(IFERROR('Store Prices'!$I$5:$I$304*1,0)&gt;0)))*999999)))))</f>
        <v>0</v>
      </c>
      <c r="N268" s="17">
        <f>IF(M268="","",IFERROR(INDEX('Store Prices'!$C$5:$C$304,MATCH(1,INDEX(('Store Prices'!$B$5:$B$304=B268)*('Store Prices'!$I$5:$I$304=M268),0),0)),""))</f>
        <v>0</v>
      </c>
      <c r="O268" s="25">
        <f>IF(OR(M268="",J268=""),"",MAX(0,(J268-M268)*100))</f>
        <v>0</v>
      </c>
      <c r="AD268" s="45">
        <f>IF(B268="","",SUMIFS(Pantry!$G$5:$G$304,Pantry!$B$5:$B$304,B268))</f>
        <v>0</v>
      </c>
      <c r="AE268" s="25">
        <f>IF(OR(AD268="",J268=""),"",AD268*J268)</f>
        <v>0</v>
      </c>
      <c r="AF268" s="18">
        <f>IF(B268="","",COUNTIFS('Recipe Ingredients'!$D$5:$D$1204,B268))</f>
        <v>0</v>
      </c>
      <c r="AG268" s="45">
        <f>IF(B268="","",SUMIFS('Recipe Ingredients'!$Y$5:$Y$1204,'Recipe Ingredients'!$D$5:$D$1204,B268))</f>
        <v>0</v>
      </c>
      <c r="AH268" s="30">
        <f>IF(B268="",0,IFERROR(K268*1,0)*IFERROR(AF268*1,0))</f>
        <v>0</v>
      </c>
      <c r="AI268" s="18">
        <f>IF(B268="","",COUNTIFS($AH$5:$AH$304,"&gt;"&amp;AH268)+COUNTIFS($AH$5:AH268,AH268))</f>
        <v>0</v>
      </c>
      <c r="AJ268" s="18">
        <f>IF(B268="",0,COUNTIFS('Food Waste'!$E$5:$E$154,B268))</f>
        <v>0</v>
      </c>
      <c r="AK268" s="18">
        <f>IF(B268="","",COUNTIFS($AJ$5:$AJ$304,"&gt;"&amp;AJ268)+COUNTIFS($AJ$5:AJ268,AJ268))</f>
        <v>0</v>
      </c>
      <c r="AL268" s="18">
        <f>IF(B268="","",IF(AG268&gt;0,COUNTIF(AG$5:AG268,"&gt;0"),""))</f>
        <v>0</v>
      </c>
      <c r="AM268" s="45">
        <f>IF(B268="","",SUMIFS('Grocery List'!$Q$5:$Q$304,'Grocery List'!$B$5:$B$304,B268))</f>
        <v>0</v>
      </c>
      <c r="AN268" s="31">
        <f>IF(B268="","",IF(I268="","Add - no price yet",IF(H268="","Add - no pack size",IF(COUNTIFS($B$5:$B$304,B268)&gt;1,"Duplicate - same name twice",IF(AF268=0,"Check - no recipe uses it","OK")))))</f>
        <v>0</v>
      </c>
    </row>
    <row r="269" spans="1:40">
      <c r="A269" s="39">
        <f>IF(B269="","",IngredientPrefix&amp;TEXT(ROW()-4,"0000"))</f>
        <v>0</v>
      </c>
      <c r="J269" s="25">
        <f>IF(OR(H269="",I269=""),"",IF(H269=0,"",I269/H269))</f>
        <v>0</v>
      </c>
      <c r="K269" s="25">
        <f>IF(J269="","",J269*100)</f>
        <v>0</v>
      </c>
      <c r="L269" s="25">
        <f>IF(B269="","",IFERROR(AVERAGEIFS('Grocery Spending'!$L$5:$L$404,'Grocery Spending'!$H$5:$H$404,B269,'Grocery Spending'!$L$5:$L$404,"&gt;0"),""))</f>
        <v>0</v>
      </c>
      <c r="M269" s="25">
        <f>IF(B269="","",IF(COUNTIFS('Store Prices'!$B$5:$B$304,B269)=0,"",IF(SUMPRODUCT(MIN((('Store Prices'!$B$5:$B$304=B269)*(IFERROR('Store Prices'!$I$5:$I$304*1,0)&gt;0))*IFERROR('Store Prices'!$I$5:$I$304*1,0)+(1-(('Store Prices'!$B$5:$B$304=B269)*(IFERROR('Store Prices'!$I$5:$I$304*1,0)&gt;0)))*999999))&gt;=999999,"",SUMPRODUCT(MIN((('Store Prices'!$B$5:$B$304=B269)*(IFERROR('Store Prices'!$I$5:$I$304*1,0)&gt;0))*IFERROR('Store Prices'!$I$5:$I$304*1,0)+(1-(('Store Prices'!$B$5:$B$304=B269)*(IFERROR('Store Prices'!$I$5:$I$304*1,0)&gt;0)))*999999)))))</f>
        <v>0</v>
      </c>
      <c r="N269" s="17">
        <f>IF(M269="","",IFERROR(INDEX('Store Prices'!$C$5:$C$304,MATCH(1,INDEX(('Store Prices'!$B$5:$B$304=B269)*('Store Prices'!$I$5:$I$304=M269),0),0)),""))</f>
        <v>0</v>
      </c>
      <c r="O269" s="25">
        <f>IF(OR(M269="",J269=""),"",MAX(0,(J269-M269)*100))</f>
        <v>0</v>
      </c>
      <c r="AD269" s="45">
        <f>IF(B269="","",SUMIFS(Pantry!$G$5:$G$304,Pantry!$B$5:$B$304,B269))</f>
        <v>0</v>
      </c>
      <c r="AE269" s="25">
        <f>IF(OR(AD269="",J269=""),"",AD269*J269)</f>
        <v>0</v>
      </c>
      <c r="AF269" s="18">
        <f>IF(B269="","",COUNTIFS('Recipe Ingredients'!$D$5:$D$1204,B269))</f>
        <v>0</v>
      </c>
      <c r="AG269" s="45">
        <f>IF(B269="","",SUMIFS('Recipe Ingredients'!$Y$5:$Y$1204,'Recipe Ingredients'!$D$5:$D$1204,B269))</f>
        <v>0</v>
      </c>
      <c r="AH269" s="30">
        <f>IF(B269="",0,IFERROR(K269*1,0)*IFERROR(AF269*1,0))</f>
        <v>0</v>
      </c>
      <c r="AI269" s="18">
        <f>IF(B269="","",COUNTIFS($AH$5:$AH$304,"&gt;"&amp;AH269)+COUNTIFS($AH$5:AH269,AH269))</f>
        <v>0</v>
      </c>
      <c r="AJ269" s="18">
        <f>IF(B269="",0,COUNTIFS('Food Waste'!$E$5:$E$154,B269))</f>
        <v>0</v>
      </c>
      <c r="AK269" s="18">
        <f>IF(B269="","",COUNTIFS($AJ$5:$AJ$304,"&gt;"&amp;AJ269)+COUNTIFS($AJ$5:AJ269,AJ269))</f>
        <v>0</v>
      </c>
      <c r="AL269" s="18">
        <f>IF(B269="","",IF(AG269&gt;0,COUNTIF(AG$5:AG269,"&gt;0"),""))</f>
        <v>0</v>
      </c>
      <c r="AM269" s="45">
        <f>IF(B269="","",SUMIFS('Grocery List'!$Q$5:$Q$304,'Grocery List'!$B$5:$B$304,B269))</f>
        <v>0</v>
      </c>
      <c r="AN269" s="31">
        <f>IF(B269="","",IF(I269="","Add - no price yet",IF(H269="","Add - no pack size",IF(COUNTIFS($B$5:$B$304,B269)&gt;1,"Duplicate - same name twice",IF(AF269=0,"Check - no recipe uses it","OK")))))</f>
        <v>0</v>
      </c>
    </row>
    <row r="270" spans="1:40">
      <c r="A270" s="39">
        <f>IF(B270="","",IngredientPrefix&amp;TEXT(ROW()-4,"0000"))</f>
        <v>0</v>
      </c>
      <c r="J270" s="25">
        <f>IF(OR(H270="",I270=""),"",IF(H270=0,"",I270/H270))</f>
        <v>0</v>
      </c>
      <c r="K270" s="25">
        <f>IF(J270="","",J270*100)</f>
        <v>0</v>
      </c>
      <c r="L270" s="25">
        <f>IF(B270="","",IFERROR(AVERAGEIFS('Grocery Spending'!$L$5:$L$404,'Grocery Spending'!$H$5:$H$404,B270,'Grocery Spending'!$L$5:$L$404,"&gt;0"),""))</f>
        <v>0</v>
      </c>
      <c r="M270" s="25">
        <f>IF(B270="","",IF(COUNTIFS('Store Prices'!$B$5:$B$304,B270)=0,"",IF(SUMPRODUCT(MIN((('Store Prices'!$B$5:$B$304=B270)*(IFERROR('Store Prices'!$I$5:$I$304*1,0)&gt;0))*IFERROR('Store Prices'!$I$5:$I$304*1,0)+(1-(('Store Prices'!$B$5:$B$304=B270)*(IFERROR('Store Prices'!$I$5:$I$304*1,0)&gt;0)))*999999))&gt;=999999,"",SUMPRODUCT(MIN((('Store Prices'!$B$5:$B$304=B270)*(IFERROR('Store Prices'!$I$5:$I$304*1,0)&gt;0))*IFERROR('Store Prices'!$I$5:$I$304*1,0)+(1-(('Store Prices'!$B$5:$B$304=B270)*(IFERROR('Store Prices'!$I$5:$I$304*1,0)&gt;0)))*999999)))))</f>
        <v>0</v>
      </c>
      <c r="N270" s="17">
        <f>IF(M270="","",IFERROR(INDEX('Store Prices'!$C$5:$C$304,MATCH(1,INDEX(('Store Prices'!$B$5:$B$304=B270)*('Store Prices'!$I$5:$I$304=M270),0),0)),""))</f>
        <v>0</v>
      </c>
      <c r="O270" s="25">
        <f>IF(OR(M270="",J270=""),"",MAX(0,(J270-M270)*100))</f>
        <v>0</v>
      </c>
      <c r="AD270" s="45">
        <f>IF(B270="","",SUMIFS(Pantry!$G$5:$G$304,Pantry!$B$5:$B$304,B270))</f>
        <v>0</v>
      </c>
      <c r="AE270" s="25">
        <f>IF(OR(AD270="",J270=""),"",AD270*J270)</f>
        <v>0</v>
      </c>
      <c r="AF270" s="18">
        <f>IF(B270="","",COUNTIFS('Recipe Ingredients'!$D$5:$D$1204,B270))</f>
        <v>0</v>
      </c>
      <c r="AG270" s="45">
        <f>IF(B270="","",SUMIFS('Recipe Ingredients'!$Y$5:$Y$1204,'Recipe Ingredients'!$D$5:$D$1204,B270))</f>
        <v>0</v>
      </c>
      <c r="AH270" s="30">
        <f>IF(B270="",0,IFERROR(K270*1,0)*IFERROR(AF270*1,0))</f>
        <v>0</v>
      </c>
      <c r="AI270" s="18">
        <f>IF(B270="","",COUNTIFS($AH$5:$AH$304,"&gt;"&amp;AH270)+COUNTIFS($AH$5:AH270,AH270))</f>
        <v>0</v>
      </c>
      <c r="AJ270" s="18">
        <f>IF(B270="",0,COUNTIFS('Food Waste'!$E$5:$E$154,B270))</f>
        <v>0</v>
      </c>
      <c r="AK270" s="18">
        <f>IF(B270="","",COUNTIFS($AJ$5:$AJ$304,"&gt;"&amp;AJ270)+COUNTIFS($AJ$5:AJ270,AJ270))</f>
        <v>0</v>
      </c>
      <c r="AL270" s="18">
        <f>IF(B270="","",IF(AG270&gt;0,COUNTIF(AG$5:AG270,"&gt;0"),""))</f>
        <v>0</v>
      </c>
      <c r="AM270" s="45">
        <f>IF(B270="","",SUMIFS('Grocery List'!$Q$5:$Q$304,'Grocery List'!$B$5:$B$304,B270))</f>
        <v>0</v>
      </c>
      <c r="AN270" s="31">
        <f>IF(B270="","",IF(I270="","Add - no price yet",IF(H270="","Add - no pack size",IF(COUNTIFS($B$5:$B$304,B270)&gt;1,"Duplicate - same name twice",IF(AF270=0,"Check - no recipe uses it","OK")))))</f>
        <v>0</v>
      </c>
    </row>
    <row r="271" spans="1:40">
      <c r="A271" s="39">
        <f>IF(B271="","",IngredientPrefix&amp;TEXT(ROW()-4,"0000"))</f>
        <v>0</v>
      </c>
      <c r="J271" s="25">
        <f>IF(OR(H271="",I271=""),"",IF(H271=0,"",I271/H271))</f>
        <v>0</v>
      </c>
      <c r="K271" s="25">
        <f>IF(J271="","",J271*100)</f>
        <v>0</v>
      </c>
      <c r="L271" s="25">
        <f>IF(B271="","",IFERROR(AVERAGEIFS('Grocery Spending'!$L$5:$L$404,'Grocery Spending'!$H$5:$H$404,B271,'Grocery Spending'!$L$5:$L$404,"&gt;0"),""))</f>
        <v>0</v>
      </c>
      <c r="M271" s="25">
        <f>IF(B271="","",IF(COUNTIFS('Store Prices'!$B$5:$B$304,B271)=0,"",IF(SUMPRODUCT(MIN((('Store Prices'!$B$5:$B$304=B271)*(IFERROR('Store Prices'!$I$5:$I$304*1,0)&gt;0))*IFERROR('Store Prices'!$I$5:$I$304*1,0)+(1-(('Store Prices'!$B$5:$B$304=B271)*(IFERROR('Store Prices'!$I$5:$I$304*1,0)&gt;0)))*999999))&gt;=999999,"",SUMPRODUCT(MIN((('Store Prices'!$B$5:$B$304=B271)*(IFERROR('Store Prices'!$I$5:$I$304*1,0)&gt;0))*IFERROR('Store Prices'!$I$5:$I$304*1,0)+(1-(('Store Prices'!$B$5:$B$304=B271)*(IFERROR('Store Prices'!$I$5:$I$304*1,0)&gt;0)))*999999)))))</f>
        <v>0</v>
      </c>
      <c r="N271" s="17">
        <f>IF(M271="","",IFERROR(INDEX('Store Prices'!$C$5:$C$304,MATCH(1,INDEX(('Store Prices'!$B$5:$B$304=B271)*('Store Prices'!$I$5:$I$304=M271),0),0)),""))</f>
        <v>0</v>
      </c>
      <c r="O271" s="25">
        <f>IF(OR(M271="",J271=""),"",MAX(0,(J271-M271)*100))</f>
        <v>0</v>
      </c>
      <c r="AD271" s="45">
        <f>IF(B271="","",SUMIFS(Pantry!$G$5:$G$304,Pantry!$B$5:$B$304,B271))</f>
        <v>0</v>
      </c>
      <c r="AE271" s="25">
        <f>IF(OR(AD271="",J271=""),"",AD271*J271)</f>
        <v>0</v>
      </c>
      <c r="AF271" s="18">
        <f>IF(B271="","",COUNTIFS('Recipe Ingredients'!$D$5:$D$1204,B271))</f>
        <v>0</v>
      </c>
      <c r="AG271" s="45">
        <f>IF(B271="","",SUMIFS('Recipe Ingredients'!$Y$5:$Y$1204,'Recipe Ingredients'!$D$5:$D$1204,B271))</f>
        <v>0</v>
      </c>
      <c r="AH271" s="30">
        <f>IF(B271="",0,IFERROR(K271*1,0)*IFERROR(AF271*1,0))</f>
        <v>0</v>
      </c>
      <c r="AI271" s="18">
        <f>IF(B271="","",COUNTIFS($AH$5:$AH$304,"&gt;"&amp;AH271)+COUNTIFS($AH$5:AH271,AH271))</f>
        <v>0</v>
      </c>
      <c r="AJ271" s="18">
        <f>IF(B271="",0,COUNTIFS('Food Waste'!$E$5:$E$154,B271))</f>
        <v>0</v>
      </c>
      <c r="AK271" s="18">
        <f>IF(B271="","",COUNTIFS($AJ$5:$AJ$304,"&gt;"&amp;AJ271)+COUNTIFS($AJ$5:AJ271,AJ271))</f>
        <v>0</v>
      </c>
      <c r="AL271" s="18">
        <f>IF(B271="","",IF(AG271&gt;0,COUNTIF(AG$5:AG271,"&gt;0"),""))</f>
        <v>0</v>
      </c>
      <c r="AM271" s="45">
        <f>IF(B271="","",SUMIFS('Grocery List'!$Q$5:$Q$304,'Grocery List'!$B$5:$B$304,B271))</f>
        <v>0</v>
      </c>
      <c r="AN271" s="31">
        <f>IF(B271="","",IF(I271="","Add - no price yet",IF(H271="","Add - no pack size",IF(COUNTIFS($B$5:$B$304,B271)&gt;1,"Duplicate - same name twice",IF(AF271=0,"Check - no recipe uses it","OK")))))</f>
        <v>0</v>
      </c>
    </row>
    <row r="272" spans="1:40">
      <c r="A272" s="39">
        <f>IF(B272="","",IngredientPrefix&amp;TEXT(ROW()-4,"0000"))</f>
        <v>0</v>
      </c>
      <c r="J272" s="25">
        <f>IF(OR(H272="",I272=""),"",IF(H272=0,"",I272/H272))</f>
        <v>0</v>
      </c>
      <c r="K272" s="25">
        <f>IF(J272="","",J272*100)</f>
        <v>0</v>
      </c>
      <c r="L272" s="25">
        <f>IF(B272="","",IFERROR(AVERAGEIFS('Grocery Spending'!$L$5:$L$404,'Grocery Spending'!$H$5:$H$404,B272,'Grocery Spending'!$L$5:$L$404,"&gt;0"),""))</f>
        <v>0</v>
      </c>
      <c r="M272" s="25">
        <f>IF(B272="","",IF(COUNTIFS('Store Prices'!$B$5:$B$304,B272)=0,"",IF(SUMPRODUCT(MIN((('Store Prices'!$B$5:$B$304=B272)*(IFERROR('Store Prices'!$I$5:$I$304*1,0)&gt;0))*IFERROR('Store Prices'!$I$5:$I$304*1,0)+(1-(('Store Prices'!$B$5:$B$304=B272)*(IFERROR('Store Prices'!$I$5:$I$304*1,0)&gt;0)))*999999))&gt;=999999,"",SUMPRODUCT(MIN((('Store Prices'!$B$5:$B$304=B272)*(IFERROR('Store Prices'!$I$5:$I$304*1,0)&gt;0))*IFERROR('Store Prices'!$I$5:$I$304*1,0)+(1-(('Store Prices'!$B$5:$B$304=B272)*(IFERROR('Store Prices'!$I$5:$I$304*1,0)&gt;0)))*999999)))))</f>
        <v>0</v>
      </c>
      <c r="N272" s="17">
        <f>IF(M272="","",IFERROR(INDEX('Store Prices'!$C$5:$C$304,MATCH(1,INDEX(('Store Prices'!$B$5:$B$304=B272)*('Store Prices'!$I$5:$I$304=M272),0),0)),""))</f>
        <v>0</v>
      </c>
      <c r="O272" s="25">
        <f>IF(OR(M272="",J272=""),"",MAX(0,(J272-M272)*100))</f>
        <v>0</v>
      </c>
      <c r="AD272" s="45">
        <f>IF(B272="","",SUMIFS(Pantry!$G$5:$G$304,Pantry!$B$5:$B$304,B272))</f>
        <v>0</v>
      </c>
      <c r="AE272" s="25">
        <f>IF(OR(AD272="",J272=""),"",AD272*J272)</f>
        <v>0</v>
      </c>
      <c r="AF272" s="18">
        <f>IF(B272="","",COUNTIFS('Recipe Ingredients'!$D$5:$D$1204,B272))</f>
        <v>0</v>
      </c>
      <c r="AG272" s="45">
        <f>IF(B272="","",SUMIFS('Recipe Ingredients'!$Y$5:$Y$1204,'Recipe Ingredients'!$D$5:$D$1204,B272))</f>
        <v>0</v>
      </c>
      <c r="AH272" s="30">
        <f>IF(B272="",0,IFERROR(K272*1,0)*IFERROR(AF272*1,0))</f>
        <v>0</v>
      </c>
      <c r="AI272" s="18">
        <f>IF(B272="","",COUNTIFS($AH$5:$AH$304,"&gt;"&amp;AH272)+COUNTIFS($AH$5:AH272,AH272))</f>
        <v>0</v>
      </c>
      <c r="AJ272" s="18">
        <f>IF(B272="",0,COUNTIFS('Food Waste'!$E$5:$E$154,B272))</f>
        <v>0</v>
      </c>
      <c r="AK272" s="18">
        <f>IF(B272="","",COUNTIFS($AJ$5:$AJ$304,"&gt;"&amp;AJ272)+COUNTIFS($AJ$5:AJ272,AJ272))</f>
        <v>0</v>
      </c>
      <c r="AL272" s="18">
        <f>IF(B272="","",IF(AG272&gt;0,COUNTIF(AG$5:AG272,"&gt;0"),""))</f>
        <v>0</v>
      </c>
      <c r="AM272" s="45">
        <f>IF(B272="","",SUMIFS('Grocery List'!$Q$5:$Q$304,'Grocery List'!$B$5:$B$304,B272))</f>
        <v>0</v>
      </c>
      <c r="AN272" s="31">
        <f>IF(B272="","",IF(I272="","Add - no price yet",IF(H272="","Add - no pack size",IF(COUNTIFS($B$5:$B$304,B272)&gt;1,"Duplicate - same name twice",IF(AF272=0,"Check - no recipe uses it","OK")))))</f>
        <v>0</v>
      </c>
    </row>
    <row r="273" spans="1:40">
      <c r="A273" s="39">
        <f>IF(B273="","",IngredientPrefix&amp;TEXT(ROW()-4,"0000"))</f>
        <v>0</v>
      </c>
      <c r="J273" s="25">
        <f>IF(OR(H273="",I273=""),"",IF(H273=0,"",I273/H273))</f>
        <v>0</v>
      </c>
      <c r="K273" s="25">
        <f>IF(J273="","",J273*100)</f>
        <v>0</v>
      </c>
      <c r="L273" s="25">
        <f>IF(B273="","",IFERROR(AVERAGEIFS('Grocery Spending'!$L$5:$L$404,'Grocery Spending'!$H$5:$H$404,B273,'Grocery Spending'!$L$5:$L$404,"&gt;0"),""))</f>
        <v>0</v>
      </c>
      <c r="M273" s="25">
        <f>IF(B273="","",IF(COUNTIFS('Store Prices'!$B$5:$B$304,B273)=0,"",IF(SUMPRODUCT(MIN((('Store Prices'!$B$5:$B$304=B273)*(IFERROR('Store Prices'!$I$5:$I$304*1,0)&gt;0))*IFERROR('Store Prices'!$I$5:$I$304*1,0)+(1-(('Store Prices'!$B$5:$B$304=B273)*(IFERROR('Store Prices'!$I$5:$I$304*1,0)&gt;0)))*999999))&gt;=999999,"",SUMPRODUCT(MIN((('Store Prices'!$B$5:$B$304=B273)*(IFERROR('Store Prices'!$I$5:$I$304*1,0)&gt;0))*IFERROR('Store Prices'!$I$5:$I$304*1,0)+(1-(('Store Prices'!$B$5:$B$304=B273)*(IFERROR('Store Prices'!$I$5:$I$304*1,0)&gt;0)))*999999)))))</f>
        <v>0</v>
      </c>
      <c r="N273" s="17">
        <f>IF(M273="","",IFERROR(INDEX('Store Prices'!$C$5:$C$304,MATCH(1,INDEX(('Store Prices'!$B$5:$B$304=B273)*('Store Prices'!$I$5:$I$304=M273),0),0)),""))</f>
        <v>0</v>
      </c>
      <c r="O273" s="25">
        <f>IF(OR(M273="",J273=""),"",MAX(0,(J273-M273)*100))</f>
        <v>0</v>
      </c>
      <c r="AD273" s="45">
        <f>IF(B273="","",SUMIFS(Pantry!$G$5:$G$304,Pantry!$B$5:$B$304,B273))</f>
        <v>0</v>
      </c>
      <c r="AE273" s="25">
        <f>IF(OR(AD273="",J273=""),"",AD273*J273)</f>
        <v>0</v>
      </c>
      <c r="AF273" s="18">
        <f>IF(B273="","",COUNTIFS('Recipe Ingredients'!$D$5:$D$1204,B273))</f>
        <v>0</v>
      </c>
      <c r="AG273" s="45">
        <f>IF(B273="","",SUMIFS('Recipe Ingredients'!$Y$5:$Y$1204,'Recipe Ingredients'!$D$5:$D$1204,B273))</f>
        <v>0</v>
      </c>
      <c r="AH273" s="30">
        <f>IF(B273="",0,IFERROR(K273*1,0)*IFERROR(AF273*1,0))</f>
        <v>0</v>
      </c>
      <c r="AI273" s="18">
        <f>IF(B273="","",COUNTIFS($AH$5:$AH$304,"&gt;"&amp;AH273)+COUNTIFS($AH$5:AH273,AH273))</f>
        <v>0</v>
      </c>
      <c r="AJ273" s="18">
        <f>IF(B273="",0,COUNTIFS('Food Waste'!$E$5:$E$154,B273))</f>
        <v>0</v>
      </c>
      <c r="AK273" s="18">
        <f>IF(B273="","",COUNTIFS($AJ$5:$AJ$304,"&gt;"&amp;AJ273)+COUNTIFS($AJ$5:AJ273,AJ273))</f>
        <v>0</v>
      </c>
      <c r="AL273" s="18">
        <f>IF(B273="","",IF(AG273&gt;0,COUNTIF(AG$5:AG273,"&gt;0"),""))</f>
        <v>0</v>
      </c>
      <c r="AM273" s="45">
        <f>IF(B273="","",SUMIFS('Grocery List'!$Q$5:$Q$304,'Grocery List'!$B$5:$B$304,B273))</f>
        <v>0</v>
      </c>
      <c r="AN273" s="31">
        <f>IF(B273="","",IF(I273="","Add - no price yet",IF(H273="","Add - no pack size",IF(COUNTIFS($B$5:$B$304,B273)&gt;1,"Duplicate - same name twice",IF(AF273=0,"Check - no recipe uses it","OK")))))</f>
        <v>0</v>
      </c>
    </row>
    <row r="274" spans="1:40">
      <c r="A274" s="39">
        <f>IF(B274="","",IngredientPrefix&amp;TEXT(ROW()-4,"0000"))</f>
        <v>0</v>
      </c>
      <c r="J274" s="25">
        <f>IF(OR(H274="",I274=""),"",IF(H274=0,"",I274/H274))</f>
        <v>0</v>
      </c>
      <c r="K274" s="25">
        <f>IF(J274="","",J274*100)</f>
        <v>0</v>
      </c>
      <c r="L274" s="25">
        <f>IF(B274="","",IFERROR(AVERAGEIFS('Grocery Spending'!$L$5:$L$404,'Grocery Spending'!$H$5:$H$404,B274,'Grocery Spending'!$L$5:$L$404,"&gt;0"),""))</f>
        <v>0</v>
      </c>
      <c r="M274" s="25">
        <f>IF(B274="","",IF(COUNTIFS('Store Prices'!$B$5:$B$304,B274)=0,"",IF(SUMPRODUCT(MIN((('Store Prices'!$B$5:$B$304=B274)*(IFERROR('Store Prices'!$I$5:$I$304*1,0)&gt;0))*IFERROR('Store Prices'!$I$5:$I$304*1,0)+(1-(('Store Prices'!$B$5:$B$304=B274)*(IFERROR('Store Prices'!$I$5:$I$304*1,0)&gt;0)))*999999))&gt;=999999,"",SUMPRODUCT(MIN((('Store Prices'!$B$5:$B$304=B274)*(IFERROR('Store Prices'!$I$5:$I$304*1,0)&gt;0))*IFERROR('Store Prices'!$I$5:$I$304*1,0)+(1-(('Store Prices'!$B$5:$B$304=B274)*(IFERROR('Store Prices'!$I$5:$I$304*1,0)&gt;0)))*999999)))))</f>
        <v>0</v>
      </c>
      <c r="N274" s="17">
        <f>IF(M274="","",IFERROR(INDEX('Store Prices'!$C$5:$C$304,MATCH(1,INDEX(('Store Prices'!$B$5:$B$304=B274)*('Store Prices'!$I$5:$I$304=M274),0),0)),""))</f>
        <v>0</v>
      </c>
      <c r="O274" s="25">
        <f>IF(OR(M274="",J274=""),"",MAX(0,(J274-M274)*100))</f>
        <v>0</v>
      </c>
      <c r="AD274" s="45">
        <f>IF(B274="","",SUMIFS(Pantry!$G$5:$G$304,Pantry!$B$5:$B$304,B274))</f>
        <v>0</v>
      </c>
      <c r="AE274" s="25">
        <f>IF(OR(AD274="",J274=""),"",AD274*J274)</f>
        <v>0</v>
      </c>
      <c r="AF274" s="18">
        <f>IF(B274="","",COUNTIFS('Recipe Ingredients'!$D$5:$D$1204,B274))</f>
        <v>0</v>
      </c>
      <c r="AG274" s="45">
        <f>IF(B274="","",SUMIFS('Recipe Ingredients'!$Y$5:$Y$1204,'Recipe Ingredients'!$D$5:$D$1204,B274))</f>
        <v>0</v>
      </c>
      <c r="AH274" s="30">
        <f>IF(B274="",0,IFERROR(K274*1,0)*IFERROR(AF274*1,0))</f>
        <v>0</v>
      </c>
      <c r="AI274" s="18">
        <f>IF(B274="","",COUNTIFS($AH$5:$AH$304,"&gt;"&amp;AH274)+COUNTIFS($AH$5:AH274,AH274))</f>
        <v>0</v>
      </c>
      <c r="AJ274" s="18">
        <f>IF(B274="",0,COUNTIFS('Food Waste'!$E$5:$E$154,B274))</f>
        <v>0</v>
      </c>
      <c r="AK274" s="18">
        <f>IF(B274="","",COUNTIFS($AJ$5:$AJ$304,"&gt;"&amp;AJ274)+COUNTIFS($AJ$5:AJ274,AJ274))</f>
        <v>0</v>
      </c>
      <c r="AL274" s="18">
        <f>IF(B274="","",IF(AG274&gt;0,COUNTIF(AG$5:AG274,"&gt;0"),""))</f>
        <v>0</v>
      </c>
      <c r="AM274" s="45">
        <f>IF(B274="","",SUMIFS('Grocery List'!$Q$5:$Q$304,'Grocery List'!$B$5:$B$304,B274))</f>
        <v>0</v>
      </c>
      <c r="AN274" s="31">
        <f>IF(B274="","",IF(I274="","Add - no price yet",IF(H274="","Add - no pack size",IF(COUNTIFS($B$5:$B$304,B274)&gt;1,"Duplicate - same name twice",IF(AF274=0,"Check - no recipe uses it","OK")))))</f>
        <v>0</v>
      </c>
    </row>
    <row r="275" spans="1:40">
      <c r="A275" s="39">
        <f>IF(B275="","",IngredientPrefix&amp;TEXT(ROW()-4,"0000"))</f>
        <v>0</v>
      </c>
      <c r="J275" s="25">
        <f>IF(OR(H275="",I275=""),"",IF(H275=0,"",I275/H275))</f>
        <v>0</v>
      </c>
      <c r="K275" s="25">
        <f>IF(J275="","",J275*100)</f>
        <v>0</v>
      </c>
      <c r="L275" s="25">
        <f>IF(B275="","",IFERROR(AVERAGEIFS('Grocery Spending'!$L$5:$L$404,'Grocery Spending'!$H$5:$H$404,B275,'Grocery Spending'!$L$5:$L$404,"&gt;0"),""))</f>
        <v>0</v>
      </c>
      <c r="M275" s="25">
        <f>IF(B275="","",IF(COUNTIFS('Store Prices'!$B$5:$B$304,B275)=0,"",IF(SUMPRODUCT(MIN((('Store Prices'!$B$5:$B$304=B275)*(IFERROR('Store Prices'!$I$5:$I$304*1,0)&gt;0))*IFERROR('Store Prices'!$I$5:$I$304*1,0)+(1-(('Store Prices'!$B$5:$B$304=B275)*(IFERROR('Store Prices'!$I$5:$I$304*1,0)&gt;0)))*999999))&gt;=999999,"",SUMPRODUCT(MIN((('Store Prices'!$B$5:$B$304=B275)*(IFERROR('Store Prices'!$I$5:$I$304*1,0)&gt;0))*IFERROR('Store Prices'!$I$5:$I$304*1,0)+(1-(('Store Prices'!$B$5:$B$304=B275)*(IFERROR('Store Prices'!$I$5:$I$304*1,0)&gt;0)))*999999)))))</f>
        <v>0</v>
      </c>
      <c r="N275" s="17">
        <f>IF(M275="","",IFERROR(INDEX('Store Prices'!$C$5:$C$304,MATCH(1,INDEX(('Store Prices'!$B$5:$B$304=B275)*('Store Prices'!$I$5:$I$304=M275),0),0)),""))</f>
        <v>0</v>
      </c>
      <c r="O275" s="25">
        <f>IF(OR(M275="",J275=""),"",MAX(0,(J275-M275)*100))</f>
        <v>0</v>
      </c>
      <c r="AD275" s="45">
        <f>IF(B275="","",SUMIFS(Pantry!$G$5:$G$304,Pantry!$B$5:$B$304,B275))</f>
        <v>0</v>
      </c>
      <c r="AE275" s="25">
        <f>IF(OR(AD275="",J275=""),"",AD275*J275)</f>
        <v>0</v>
      </c>
      <c r="AF275" s="18">
        <f>IF(B275="","",COUNTIFS('Recipe Ingredients'!$D$5:$D$1204,B275))</f>
        <v>0</v>
      </c>
      <c r="AG275" s="45">
        <f>IF(B275="","",SUMIFS('Recipe Ingredients'!$Y$5:$Y$1204,'Recipe Ingredients'!$D$5:$D$1204,B275))</f>
        <v>0</v>
      </c>
      <c r="AH275" s="30">
        <f>IF(B275="",0,IFERROR(K275*1,0)*IFERROR(AF275*1,0))</f>
        <v>0</v>
      </c>
      <c r="AI275" s="18">
        <f>IF(B275="","",COUNTIFS($AH$5:$AH$304,"&gt;"&amp;AH275)+COUNTIFS($AH$5:AH275,AH275))</f>
        <v>0</v>
      </c>
      <c r="AJ275" s="18">
        <f>IF(B275="",0,COUNTIFS('Food Waste'!$E$5:$E$154,B275))</f>
        <v>0</v>
      </c>
      <c r="AK275" s="18">
        <f>IF(B275="","",COUNTIFS($AJ$5:$AJ$304,"&gt;"&amp;AJ275)+COUNTIFS($AJ$5:AJ275,AJ275))</f>
        <v>0</v>
      </c>
      <c r="AL275" s="18">
        <f>IF(B275="","",IF(AG275&gt;0,COUNTIF(AG$5:AG275,"&gt;0"),""))</f>
        <v>0</v>
      </c>
      <c r="AM275" s="45">
        <f>IF(B275="","",SUMIFS('Grocery List'!$Q$5:$Q$304,'Grocery List'!$B$5:$B$304,B275))</f>
        <v>0</v>
      </c>
      <c r="AN275" s="31">
        <f>IF(B275="","",IF(I275="","Add - no price yet",IF(H275="","Add - no pack size",IF(COUNTIFS($B$5:$B$304,B275)&gt;1,"Duplicate - same name twice",IF(AF275=0,"Check - no recipe uses it","OK")))))</f>
        <v>0</v>
      </c>
    </row>
    <row r="276" spans="1:40">
      <c r="A276" s="39">
        <f>IF(B276="","",IngredientPrefix&amp;TEXT(ROW()-4,"0000"))</f>
        <v>0</v>
      </c>
      <c r="J276" s="25">
        <f>IF(OR(H276="",I276=""),"",IF(H276=0,"",I276/H276))</f>
        <v>0</v>
      </c>
      <c r="K276" s="25">
        <f>IF(J276="","",J276*100)</f>
        <v>0</v>
      </c>
      <c r="L276" s="25">
        <f>IF(B276="","",IFERROR(AVERAGEIFS('Grocery Spending'!$L$5:$L$404,'Grocery Spending'!$H$5:$H$404,B276,'Grocery Spending'!$L$5:$L$404,"&gt;0"),""))</f>
        <v>0</v>
      </c>
      <c r="M276" s="25">
        <f>IF(B276="","",IF(COUNTIFS('Store Prices'!$B$5:$B$304,B276)=0,"",IF(SUMPRODUCT(MIN((('Store Prices'!$B$5:$B$304=B276)*(IFERROR('Store Prices'!$I$5:$I$304*1,0)&gt;0))*IFERROR('Store Prices'!$I$5:$I$304*1,0)+(1-(('Store Prices'!$B$5:$B$304=B276)*(IFERROR('Store Prices'!$I$5:$I$304*1,0)&gt;0)))*999999))&gt;=999999,"",SUMPRODUCT(MIN((('Store Prices'!$B$5:$B$304=B276)*(IFERROR('Store Prices'!$I$5:$I$304*1,0)&gt;0))*IFERROR('Store Prices'!$I$5:$I$304*1,0)+(1-(('Store Prices'!$B$5:$B$304=B276)*(IFERROR('Store Prices'!$I$5:$I$304*1,0)&gt;0)))*999999)))))</f>
        <v>0</v>
      </c>
      <c r="N276" s="17">
        <f>IF(M276="","",IFERROR(INDEX('Store Prices'!$C$5:$C$304,MATCH(1,INDEX(('Store Prices'!$B$5:$B$304=B276)*('Store Prices'!$I$5:$I$304=M276),0),0)),""))</f>
        <v>0</v>
      </c>
      <c r="O276" s="25">
        <f>IF(OR(M276="",J276=""),"",MAX(0,(J276-M276)*100))</f>
        <v>0</v>
      </c>
      <c r="AD276" s="45">
        <f>IF(B276="","",SUMIFS(Pantry!$G$5:$G$304,Pantry!$B$5:$B$304,B276))</f>
        <v>0</v>
      </c>
      <c r="AE276" s="25">
        <f>IF(OR(AD276="",J276=""),"",AD276*J276)</f>
        <v>0</v>
      </c>
      <c r="AF276" s="18">
        <f>IF(B276="","",COUNTIFS('Recipe Ingredients'!$D$5:$D$1204,B276))</f>
        <v>0</v>
      </c>
      <c r="AG276" s="45">
        <f>IF(B276="","",SUMIFS('Recipe Ingredients'!$Y$5:$Y$1204,'Recipe Ingredients'!$D$5:$D$1204,B276))</f>
        <v>0</v>
      </c>
      <c r="AH276" s="30">
        <f>IF(B276="",0,IFERROR(K276*1,0)*IFERROR(AF276*1,0))</f>
        <v>0</v>
      </c>
      <c r="AI276" s="18">
        <f>IF(B276="","",COUNTIFS($AH$5:$AH$304,"&gt;"&amp;AH276)+COUNTIFS($AH$5:AH276,AH276))</f>
        <v>0</v>
      </c>
      <c r="AJ276" s="18">
        <f>IF(B276="",0,COUNTIFS('Food Waste'!$E$5:$E$154,B276))</f>
        <v>0</v>
      </c>
      <c r="AK276" s="18">
        <f>IF(B276="","",COUNTIFS($AJ$5:$AJ$304,"&gt;"&amp;AJ276)+COUNTIFS($AJ$5:AJ276,AJ276))</f>
        <v>0</v>
      </c>
      <c r="AL276" s="18">
        <f>IF(B276="","",IF(AG276&gt;0,COUNTIF(AG$5:AG276,"&gt;0"),""))</f>
        <v>0</v>
      </c>
      <c r="AM276" s="45">
        <f>IF(B276="","",SUMIFS('Grocery List'!$Q$5:$Q$304,'Grocery List'!$B$5:$B$304,B276))</f>
        <v>0</v>
      </c>
      <c r="AN276" s="31">
        <f>IF(B276="","",IF(I276="","Add - no price yet",IF(H276="","Add - no pack size",IF(COUNTIFS($B$5:$B$304,B276)&gt;1,"Duplicate - same name twice",IF(AF276=0,"Check - no recipe uses it","OK")))))</f>
        <v>0</v>
      </c>
    </row>
    <row r="277" spans="1:40">
      <c r="A277" s="39">
        <f>IF(B277="","",IngredientPrefix&amp;TEXT(ROW()-4,"0000"))</f>
        <v>0</v>
      </c>
      <c r="J277" s="25">
        <f>IF(OR(H277="",I277=""),"",IF(H277=0,"",I277/H277))</f>
        <v>0</v>
      </c>
      <c r="K277" s="25">
        <f>IF(J277="","",J277*100)</f>
        <v>0</v>
      </c>
      <c r="L277" s="25">
        <f>IF(B277="","",IFERROR(AVERAGEIFS('Grocery Spending'!$L$5:$L$404,'Grocery Spending'!$H$5:$H$404,B277,'Grocery Spending'!$L$5:$L$404,"&gt;0"),""))</f>
        <v>0</v>
      </c>
      <c r="M277" s="25">
        <f>IF(B277="","",IF(COUNTIFS('Store Prices'!$B$5:$B$304,B277)=0,"",IF(SUMPRODUCT(MIN((('Store Prices'!$B$5:$B$304=B277)*(IFERROR('Store Prices'!$I$5:$I$304*1,0)&gt;0))*IFERROR('Store Prices'!$I$5:$I$304*1,0)+(1-(('Store Prices'!$B$5:$B$304=B277)*(IFERROR('Store Prices'!$I$5:$I$304*1,0)&gt;0)))*999999))&gt;=999999,"",SUMPRODUCT(MIN((('Store Prices'!$B$5:$B$304=B277)*(IFERROR('Store Prices'!$I$5:$I$304*1,0)&gt;0))*IFERROR('Store Prices'!$I$5:$I$304*1,0)+(1-(('Store Prices'!$B$5:$B$304=B277)*(IFERROR('Store Prices'!$I$5:$I$304*1,0)&gt;0)))*999999)))))</f>
        <v>0</v>
      </c>
      <c r="N277" s="17">
        <f>IF(M277="","",IFERROR(INDEX('Store Prices'!$C$5:$C$304,MATCH(1,INDEX(('Store Prices'!$B$5:$B$304=B277)*('Store Prices'!$I$5:$I$304=M277),0),0)),""))</f>
        <v>0</v>
      </c>
      <c r="O277" s="25">
        <f>IF(OR(M277="",J277=""),"",MAX(0,(J277-M277)*100))</f>
        <v>0</v>
      </c>
      <c r="AD277" s="45">
        <f>IF(B277="","",SUMIFS(Pantry!$G$5:$G$304,Pantry!$B$5:$B$304,B277))</f>
        <v>0</v>
      </c>
      <c r="AE277" s="25">
        <f>IF(OR(AD277="",J277=""),"",AD277*J277)</f>
        <v>0</v>
      </c>
      <c r="AF277" s="18">
        <f>IF(B277="","",COUNTIFS('Recipe Ingredients'!$D$5:$D$1204,B277))</f>
        <v>0</v>
      </c>
      <c r="AG277" s="45">
        <f>IF(B277="","",SUMIFS('Recipe Ingredients'!$Y$5:$Y$1204,'Recipe Ingredients'!$D$5:$D$1204,B277))</f>
        <v>0</v>
      </c>
      <c r="AH277" s="30">
        <f>IF(B277="",0,IFERROR(K277*1,0)*IFERROR(AF277*1,0))</f>
        <v>0</v>
      </c>
      <c r="AI277" s="18">
        <f>IF(B277="","",COUNTIFS($AH$5:$AH$304,"&gt;"&amp;AH277)+COUNTIFS($AH$5:AH277,AH277))</f>
        <v>0</v>
      </c>
      <c r="AJ277" s="18">
        <f>IF(B277="",0,COUNTIFS('Food Waste'!$E$5:$E$154,B277))</f>
        <v>0</v>
      </c>
      <c r="AK277" s="18">
        <f>IF(B277="","",COUNTIFS($AJ$5:$AJ$304,"&gt;"&amp;AJ277)+COUNTIFS($AJ$5:AJ277,AJ277))</f>
        <v>0</v>
      </c>
      <c r="AL277" s="18">
        <f>IF(B277="","",IF(AG277&gt;0,COUNTIF(AG$5:AG277,"&gt;0"),""))</f>
        <v>0</v>
      </c>
      <c r="AM277" s="45">
        <f>IF(B277="","",SUMIFS('Grocery List'!$Q$5:$Q$304,'Grocery List'!$B$5:$B$304,B277))</f>
        <v>0</v>
      </c>
      <c r="AN277" s="31">
        <f>IF(B277="","",IF(I277="","Add - no price yet",IF(H277="","Add - no pack size",IF(COUNTIFS($B$5:$B$304,B277)&gt;1,"Duplicate - same name twice",IF(AF277=0,"Check - no recipe uses it","OK")))))</f>
        <v>0</v>
      </c>
    </row>
    <row r="278" spans="1:40">
      <c r="A278" s="39">
        <f>IF(B278="","",IngredientPrefix&amp;TEXT(ROW()-4,"0000"))</f>
        <v>0</v>
      </c>
      <c r="J278" s="25">
        <f>IF(OR(H278="",I278=""),"",IF(H278=0,"",I278/H278))</f>
        <v>0</v>
      </c>
      <c r="K278" s="25">
        <f>IF(J278="","",J278*100)</f>
        <v>0</v>
      </c>
      <c r="L278" s="25">
        <f>IF(B278="","",IFERROR(AVERAGEIFS('Grocery Spending'!$L$5:$L$404,'Grocery Spending'!$H$5:$H$404,B278,'Grocery Spending'!$L$5:$L$404,"&gt;0"),""))</f>
        <v>0</v>
      </c>
      <c r="M278" s="25">
        <f>IF(B278="","",IF(COUNTIFS('Store Prices'!$B$5:$B$304,B278)=0,"",IF(SUMPRODUCT(MIN((('Store Prices'!$B$5:$B$304=B278)*(IFERROR('Store Prices'!$I$5:$I$304*1,0)&gt;0))*IFERROR('Store Prices'!$I$5:$I$304*1,0)+(1-(('Store Prices'!$B$5:$B$304=B278)*(IFERROR('Store Prices'!$I$5:$I$304*1,0)&gt;0)))*999999))&gt;=999999,"",SUMPRODUCT(MIN((('Store Prices'!$B$5:$B$304=B278)*(IFERROR('Store Prices'!$I$5:$I$304*1,0)&gt;0))*IFERROR('Store Prices'!$I$5:$I$304*1,0)+(1-(('Store Prices'!$B$5:$B$304=B278)*(IFERROR('Store Prices'!$I$5:$I$304*1,0)&gt;0)))*999999)))))</f>
        <v>0</v>
      </c>
      <c r="N278" s="17">
        <f>IF(M278="","",IFERROR(INDEX('Store Prices'!$C$5:$C$304,MATCH(1,INDEX(('Store Prices'!$B$5:$B$304=B278)*('Store Prices'!$I$5:$I$304=M278),0),0)),""))</f>
        <v>0</v>
      </c>
      <c r="O278" s="25">
        <f>IF(OR(M278="",J278=""),"",MAX(0,(J278-M278)*100))</f>
        <v>0</v>
      </c>
      <c r="AD278" s="45">
        <f>IF(B278="","",SUMIFS(Pantry!$G$5:$G$304,Pantry!$B$5:$B$304,B278))</f>
        <v>0</v>
      </c>
      <c r="AE278" s="25">
        <f>IF(OR(AD278="",J278=""),"",AD278*J278)</f>
        <v>0</v>
      </c>
      <c r="AF278" s="18">
        <f>IF(B278="","",COUNTIFS('Recipe Ingredients'!$D$5:$D$1204,B278))</f>
        <v>0</v>
      </c>
      <c r="AG278" s="45">
        <f>IF(B278="","",SUMIFS('Recipe Ingredients'!$Y$5:$Y$1204,'Recipe Ingredients'!$D$5:$D$1204,B278))</f>
        <v>0</v>
      </c>
      <c r="AH278" s="30">
        <f>IF(B278="",0,IFERROR(K278*1,0)*IFERROR(AF278*1,0))</f>
        <v>0</v>
      </c>
      <c r="AI278" s="18">
        <f>IF(B278="","",COUNTIFS($AH$5:$AH$304,"&gt;"&amp;AH278)+COUNTIFS($AH$5:AH278,AH278))</f>
        <v>0</v>
      </c>
      <c r="AJ278" s="18">
        <f>IF(B278="",0,COUNTIFS('Food Waste'!$E$5:$E$154,B278))</f>
        <v>0</v>
      </c>
      <c r="AK278" s="18">
        <f>IF(B278="","",COUNTIFS($AJ$5:$AJ$304,"&gt;"&amp;AJ278)+COUNTIFS($AJ$5:AJ278,AJ278))</f>
        <v>0</v>
      </c>
      <c r="AL278" s="18">
        <f>IF(B278="","",IF(AG278&gt;0,COUNTIF(AG$5:AG278,"&gt;0"),""))</f>
        <v>0</v>
      </c>
      <c r="AM278" s="45">
        <f>IF(B278="","",SUMIFS('Grocery List'!$Q$5:$Q$304,'Grocery List'!$B$5:$B$304,B278))</f>
        <v>0</v>
      </c>
      <c r="AN278" s="31">
        <f>IF(B278="","",IF(I278="","Add - no price yet",IF(H278="","Add - no pack size",IF(COUNTIFS($B$5:$B$304,B278)&gt;1,"Duplicate - same name twice",IF(AF278=0,"Check - no recipe uses it","OK")))))</f>
        <v>0</v>
      </c>
    </row>
    <row r="279" spans="1:40">
      <c r="A279" s="39">
        <f>IF(B279="","",IngredientPrefix&amp;TEXT(ROW()-4,"0000"))</f>
        <v>0</v>
      </c>
      <c r="J279" s="25">
        <f>IF(OR(H279="",I279=""),"",IF(H279=0,"",I279/H279))</f>
        <v>0</v>
      </c>
      <c r="K279" s="25">
        <f>IF(J279="","",J279*100)</f>
        <v>0</v>
      </c>
      <c r="L279" s="25">
        <f>IF(B279="","",IFERROR(AVERAGEIFS('Grocery Spending'!$L$5:$L$404,'Grocery Spending'!$H$5:$H$404,B279,'Grocery Spending'!$L$5:$L$404,"&gt;0"),""))</f>
        <v>0</v>
      </c>
      <c r="M279" s="25">
        <f>IF(B279="","",IF(COUNTIFS('Store Prices'!$B$5:$B$304,B279)=0,"",IF(SUMPRODUCT(MIN((('Store Prices'!$B$5:$B$304=B279)*(IFERROR('Store Prices'!$I$5:$I$304*1,0)&gt;0))*IFERROR('Store Prices'!$I$5:$I$304*1,0)+(1-(('Store Prices'!$B$5:$B$304=B279)*(IFERROR('Store Prices'!$I$5:$I$304*1,0)&gt;0)))*999999))&gt;=999999,"",SUMPRODUCT(MIN((('Store Prices'!$B$5:$B$304=B279)*(IFERROR('Store Prices'!$I$5:$I$304*1,0)&gt;0))*IFERROR('Store Prices'!$I$5:$I$304*1,0)+(1-(('Store Prices'!$B$5:$B$304=B279)*(IFERROR('Store Prices'!$I$5:$I$304*1,0)&gt;0)))*999999)))))</f>
        <v>0</v>
      </c>
      <c r="N279" s="17">
        <f>IF(M279="","",IFERROR(INDEX('Store Prices'!$C$5:$C$304,MATCH(1,INDEX(('Store Prices'!$B$5:$B$304=B279)*('Store Prices'!$I$5:$I$304=M279),0),0)),""))</f>
        <v>0</v>
      </c>
      <c r="O279" s="25">
        <f>IF(OR(M279="",J279=""),"",MAX(0,(J279-M279)*100))</f>
        <v>0</v>
      </c>
      <c r="AD279" s="45">
        <f>IF(B279="","",SUMIFS(Pantry!$G$5:$G$304,Pantry!$B$5:$B$304,B279))</f>
        <v>0</v>
      </c>
      <c r="AE279" s="25">
        <f>IF(OR(AD279="",J279=""),"",AD279*J279)</f>
        <v>0</v>
      </c>
      <c r="AF279" s="18">
        <f>IF(B279="","",COUNTIFS('Recipe Ingredients'!$D$5:$D$1204,B279))</f>
        <v>0</v>
      </c>
      <c r="AG279" s="45">
        <f>IF(B279="","",SUMIFS('Recipe Ingredients'!$Y$5:$Y$1204,'Recipe Ingredients'!$D$5:$D$1204,B279))</f>
        <v>0</v>
      </c>
      <c r="AH279" s="30">
        <f>IF(B279="",0,IFERROR(K279*1,0)*IFERROR(AF279*1,0))</f>
        <v>0</v>
      </c>
      <c r="AI279" s="18">
        <f>IF(B279="","",COUNTIFS($AH$5:$AH$304,"&gt;"&amp;AH279)+COUNTIFS($AH$5:AH279,AH279))</f>
        <v>0</v>
      </c>
      <c r="AJ279" s="18">
        <f>IF(B279="",0,COUNTIFS('Food Waste'!$E$5:$E$154,B279))</f>
        <v>0</v>
      </c>
      <c r="AK279" s="18">
        <f>IF(B279="","",COUNTIFS($AJ$5:$AJ$304,"&gt;"&amp;AJ279)+COUNTIFS($AJ$5:AJ279,AJ279))</f>
        <v>0</v>
      </c>
      <c r="AL279" s="18">
        <f>IF(B279="","",IF(AG279&gt;0,COUNTIF(AG$5:AG279,"&gt;0"),""))</f>
        <v>0</v>
      </c>
      <c r="AM279" s="45">
        <f>IF(B279="","",SUMIFS('Grocery List'!$Q$5:$Q$304,'Grocery List'!$B$5:$B$304,B279))</f>
        <v>0</v>
      </c>
      <c r="AN279" s="31">
        <f>IF(B279="","",IF(I279="","Add - no price yet",IF(H279="","Add - no pack size",IF(COUNTIFS($B$5:$B$304,B279)&gt;1,"Duplicate - same name twice",IF(AF279=0,"Check - no recipe uses it","OK")))))</f>
        <v>0</v>
      </c>
    </row>
    <row r="280" spans="1:40">
      <c r="A280" s="39">
        <f>IF(B280="","",IngredientPrefix&amp;TEXT(ROW()-4,"0000"))</f>
        <v>0</v>
      </c>
      <c r="J280" s="25">
        <f>IF(OR(H280="",I280=""),"",IF(H280=0,"",I280/H280))</f>
        <v>0</v>
      </c>
      <c r="K280" s="25">
        <f>IF(J280="","",J280*100)</f>
        <v>0</v>
      </c>
      <c r="L280" s="25">
        <f>IF(B280="","",IFERROR(AVERAGEIFS('Grocery Spending'!$L$5:$L$404,'Grocery Spending'!$H$5:$H$404,B280,'Grocery Spending'!$L$5:$L$404,"&gt;0"),""))</f>
        <v>0</v>
      </c>
      <c r="M280" s="25">
        <f>IF(B280="","",IF(COUNTIFS('Store Prices'!$B$5:$B$304,B280)=0,"",IF(SUMPRODUCT(MIN((('Store Prices'!$B$5:$B$304=B280)*(IFERROR('Store Prices'!$I$5:$I$304*1,0)&gt;0))*IFERROR('Store Prices'!$I$5:$I$304*1,0)+(1-(('Store Prices'!$B$5:$B$304=B280)*(IFERROR('Store Prices'!$I$5:$I$304*1,0)&gt;0)))*999999))&gt;=999999,"",SUMPRODUCT(MIN((('Store Prices'!$B$5:$B$304=B280)*(IFERROR('Store Prices'!$I$5:$I$304*1,0)&gt;0))*IFERROR('Store Prices'!$I$5:$I$304*1,0)+(1-(('Store Prices'!$B$5:$B$304=B280)*(IFERROR('Store Prices'!$I$5:$I$304*1,0)&gt;0)))*999999)))))</f>
        <v>0</v>
      </c>
      <c r="N280" s="17">
        <f>IF(M280="","",IFERROR(INDEX('Store Prices'!$C$5:$C$304,MATCH(1,INDEX(('Store Prices'!$B$5:$B$304=B280)*('Store Prices'!$I$5:$I$304=M280),0),0)),""))</f>
        <v>0</v>
      </c>
      <c r="O280" s="25">
        <f>IF(OR(M280="",J280=""),"",MAX(0,(J280-M280)*100))</f>
        <v>0</v>
      </c>
      <c r="AD280" s="45">
        <f>IF(B280="","",SUMIFS(Pantry!$G$5:$G$304,Pantry!$B$5:$B$304,B280))</f>
        <v>0</v>
      </c>
      <c r="AE280" s="25">
        <f>IF(OR(AD280="",J280=""),"",AD280*J280)</f>
        <v>0</v>
      </c>
      <c r="AF280" s="18">
        <f>IF(B280="","",COUNTIFS('Recipe Ingredients'!$D$5:$D$1204,B280))</f>
        <v>0</v>
      </c>
      <c r="AG280" s="45">
        <f>IF(B280="","",SUMIFS('Recipe Ingredients'!$Y$5:$Y$1204,'Recipe Ingredients'!$D$5:$D$1204,B280))</f>
        <v>0</v>
      </c>
      <c r="AH280" s="30">
        <f>IF(B280="",0,IFERROR(K280*1,0)*IFERROR(AF280*1,0))</f>
        <v>0</v>
      </c>
      <c r="AI280" s="18">
        <f>IF(B280="","",COUNTIFS($AH$5:$AH$304,"&gt;"&amp;AH280)+COUNTIFS($AH$5:AH280,AH280))</f>
        <v>0</v>
      </c>
      <c r="AJ280" s="18">
        <f>IF(B280="",0,COUNTIFS('Food Waste'!$E$5:$E$154,B280))</f>
        <v>0</v>
      </c>
      <c r="AK280" s="18">
        <f>IF(B280="","",COUNTIFS($AJ$5:$AJ$304,"&gt;"&amp;AJ280)+COUNTIFS($AJ$5:AJ280,AJ280))</f>
        <v>0</v>
      </c>
      <c r="AL280" s="18">
        <f>IF(B280="","",IF(AG280&gt;0,COUNTIF(AG$5:AG280,"&gt;0"),""))</f>
        <v>0</v>
      </c>
      <c r="AM280" s="45">
        <f>IF(B280="","",SUMIFS('Grocery List'!$Q$5:$Q$304,'Grocery List'!$B$5:$B$304,B280))</f>
        <v>0</v>
      </c>
      <c r="AN280" s="31">
        <f>IF(B280="","",IF(I280="","Add - no price yet",IF(H280="","Add - no pack size",IF(COUNTIFS($B$5:$B$304,B280)&gt;1,"Duplicate - same name twice",IF(AF280=0,"Check - no recipe uses it","OK")))))</f>
        <v>0</v>
      </c>
    </row>
    <row r="281" spans="1:40">
      <c r="A281" s="39">
        <f>IF(B281="","",IngredientPrefix&amp;TEXT(ROW()-4,"0000"))</f>
        <v>0</v>
      </c>
      <c r="J281" s="25">
        <f>IF(OR(H281="",I281=""),"",IF(H281=0,"",I281/H281))</f>
        <v>0</v>
      </c>
      <c r="K281" s="25">
        <f>IF(J281="","",J281*100)</f>
        <v>0</v>
      </c>
      <c r="L281" s="25">
        <f>IF(B281="","",IFERROR(AVERAGEIFS('Grocery Spending'!$L$5:$L$404,'Grocery Spending'!$H$5:$H$404,B281,'Grocery Spending'!$L$5:$L$404,"&gt;0"),""))</f>
        <v>0</v>
      </c>
      <c r="M281" s="25">
        <f>IF(B281="","",IF(COUNTIFS('Store Prices'!$B$5:$B$304,B281)=0,"",IF(SUMPRODUCT(MIN((('Store Prices'!$B$5:$B$304=B281)*(IFERROR('Store Prices'!$I$5:$I$304*1,0)&gt;0))*IFERROR('Store Prices'!$I$5:$I$304*1,0)+(1-(('Store Prices'!$B$5:$B$304=B281)*(IFERROR('Store Prices'!$I$5:$I$304*1,0)&gt;0)))*999999))&gt;=999999,"",SUMPRODUCT(MIN((('Store Prices'!$B$5:$B$304=B281)*(IFERROR('Store Prices'!$I$5:$I$304*1,0)&gt;0))*IFERROR('Store Prices'!$I$5:$I$304*1,0)+(1-(('Store Prices'!$B$5:$B$304=B281)*(IFERROR('Store Prices'!$I$5:$I$304*1,0)&gt;0)))*999999)))))</f>
        <v>0</v>
      </c>
      <c r="N281" s="17">
        <f>IF(M281="","",IFERROR(INDEX('Store Prices'!$C$5:$C$304,MATCH(1,INDEX(('Store Prices'!$B$5:$B$304=B281)*('Store Prices'!$I$5:$I$304=M281),0),0)),""))</f>
        <v>0</v>
      </c>
      <c r="O281" s="25">
        <f>IF(OR(M281="",J281=""),"",MAX(0,(J281-M281)*100))</f>
        <v>0</v>
      </c>
      <c r="AD281" s="45">
        <f>IF(B281="","",SUMIFS(Pantry!$G$5:$G$304,Pantry!$B$5:$B$304,B281))</f>
        <v>0</v>
      </c>
      <c r="AE281" s="25">
        <f>IF(OR(AD281="",J281=""),"",AD281*J281)</f>
        <v>0</v>
      </c>
      <c r="AF281" s="18">
        <f>IF(B281="","",COUNTIFS('Recipe Ingredients'!$D$5:$D$1204,B281))</f>
        <v>0</v>
      </c>
      <c r="AG281" s="45">
        <f>IF(B281="","",SUMIFS('Recipe Ingredients'!$Y$5:$Y$1204,'Recipe Ingredients'!$D$5:$D$1204,B281))</f>
        <v>0</v>
      </c>
      <c r="AH281" s="30">
        <f>IF(B281="",0,IFERROR(K281*1,0)*IFERROR(AF281*1,0))</f>
        <v>0</v>
      </c>
      <c r="AI281" s="18">
        <f>IF(B281="","",COUNTIFS($AH$5:$AH$304,"&gt;"&amp;AH281)+COUNTIFS($AH$5:AH281,AH281))</f>
        <v>0</v>
      </c>
      <c r="AJ281" s="18">
        <f>IF(B281="",0,COUNTIFS('Food Waste'!$E$5:$E$154,B281))</f>
        <v>0</v>
      </c>
      <c r="AK281" s="18">
        <f>IF(B281="","",COUNTIFS($AJ$5:$AJ$304,"&gt;"&amp;AJ281)+COUNTIFS($AJ$5:AJ281,AJ281))</f>
        <v>0</v>
      </c>
      <c r="AL281" s="18">
        <f>IF(B281="","",IF(AG281&gt;0,COUNTIF(AG$5:AG281,"&gt;0"),""))</f>
        <v>0</v>
      </c>
      <c r="AM281" s="45">
        <f>IF(B281="","",SUMIFS('Grocery List'!$Q$5:$Q$304,'Grocery List'!$B$5:$B$304,B281))</f>
        <v>0</v>
      </c>
      <c r="AN281" s="31">
        <f>IF(B281="","",IF(I281="","Add - no price yet",IF(H281="","Add - no pack size",IF(COUNTIFS($B$5:$B$304,B281)&gt;1,"Duplicate - same name twice",IF(AF281=0,"Check - no recipe uses it","OK")))))</f>
        <v>0</v>
      </c>
    </row>
    <row r="282" spans="1:40">
      <c r="A282" s="39">
        <f>IF(B282="","",IngredientPrefix&amp;TEXT(ROW()-4,"0000"))</f>
        <v>0</v>
      </c>
      <c r="J282" s="25">
        <f>IF(OR(H282="",I282=""),"",IF(H282=0,"",I282/H282))</f>
        <v>0</v>
      </c>
      <c r="K282" s="25">
        <f>IF(J282="","",J282*100)</f>
        <v>0</v>
      </c>
      <c r="L282" s="25">
        <f>IF(B282="","",IFERROR(AVERAGEIFS('Grocery Spending'!$L$5:$L$404,'Grocery Spending'!$H$5:$H$404,B282,'Grocery Spending'!$L$5:$L$404,"&gt;0"),""))</f>
        <v>0</v>
      </c>
      <c r="M282" s="25">
        <f>IF(B282="","",IF(COUNTIFS('Store Prices'!$B$5:$B$304,B282)=0,"",IF(SUMPRODUCT(MIN((('Store Prices'!$B$5:$B$304=B282)*(IFERROR('Store Prices'!$I$5:$I$304*1,0)&gt;0))*IFERROR('Store Prices'!$I$5:$I$304*1,0)+(1-(('Store Prices'!$B$5:$B$304=B282)*(IFERROR('Store Prices'!$I$5:$I$304*1,0)&gt;0)))*999999))&gt;=999999,"",SUMPRODUCT(MIN((('Store Prices'!$B$5:$B$304=B282)*(IFERROR('Store Prices'!$I$5:$I$304*1,0)&gt;0))*IFERROR('Store Prices'!$I$5:$I$304*1,0)+(1-(('Store Prices'!$B$5:$B$304=B282)*(IFERROR('Store Prices'!$I$5:$I$304*1,0)&gt;0)))*999999)))))</f>
        <v>0</v>
      </c>
      <c r="N282" s="17">
        <f>IF(M282="","",IFERROR(INDEX('Store Prices'!$C$5:$C$304,MATCH(1,INDEX(('Store Prices'!$B$5:$B$304=B282)*('Store Prices'!$I$5:$I$304=M282),0),0)),""))</f>
        <v>0</v>
      </c>
      <c r="O282" s="25">
        <f>IF(OR(M282="",J282=""),"",MAX(0,(J282-M282)*100))</f>
        <v>0</v>
      </c>
      <c r="AD282" s="45">
        <f>IF(B282="","",SUMIFS(Pantry!$G$5:$G$304,Pantry!$B$5:$B$304,B282))</f>
        <v>0</v>
      </c>
      <c r="AE282" s="25">
        <f>IF(OR(AD282="",J282=""),"",AD282*J282)</f>
        <v>0</v>
      </c>
      <c r="AF282" s="18">
        <f>IF(B282="","",COUNTIFS('Recipe Ingredients'!$D$5:$D$1204,B282))</f>
        <v>0</v>
      </c>
      <c r="AG282" s="45">
        <f>IF(B282="","",SUMIFS('Recipe Ingredients'!$Y$5:$Y$1204,'Recipe Ingredients'!$D$5:$D$1204,B282))</f>
        <v>0</v>
      </c>
      <c r="AH282" s="30">
        <f>IF(B282="",0,IFERROR(K282*1,0)*IFERROR(AF282*1,0))</f>
        <v>0</v>
      </c>
      <c r="AI282" s="18">
        <f>IF(B282="","",COUNTIFS($AH$5:$AH$304,"&gt;"&amp;AH282)+COUNTIFS($AH$5:AH282,AH282))</f>
        <v>0</v>
      </c>
      <c r="AJ282" s="18">
        <f>IF(B282="",0,COUNTIFS('Food Waste'!$E$5:$E$154,B282))</f>
        <v>0</v>
      </c>
      <c r="AK282" s="18">
        <f>IF(B282="","",COUNTIFS($AJ$5:$AJ$304,"&gt;"&amp;AJ282)+COUNTIFS($AJ$5:AJ282,AJ282))</f>
        <v>0</v>
      </c>
      <c r="AL282" s="18">
        <f>IF(B282="","",IF(AG282&gt;0,COUNTIF(AG$5:AG282,"&gt;0"),""))</f>
        <v>0</v>
      </c>
      <c r="AM282" s="45">
        <f>IF(B282="","",SUMIFS('Grocery List'!$Q$5:$Q$304,'Grocery List'!$B$5:$B$304,B282))</f>
        <v>0</v>
      </c>
      <c r="AN282" s="31">
        <f>IF(B282="","",IF(I282="","Add - no price yet",IF(H282="","Add - no pack size",IF(COUNTIFS($B$5:$B$304,B282)&gt;1,"Duplicate - same name twice",IF(AF282=0,"Check - no recipe uses it","OK")))))</f>
        <v>0</v>
      </c>
    </row>
    <row r="283" spans="1:40">
      <c r="A283" s="39">
        <f>IF(B283="","",IngredientPrefix&amp;TEXT(ROW()-4,"0000"))</f>
        <v>0</v>
      </c>
      <c r="J283" s="25">
        <f>IF(OR(H283="",I283=""),"",IF(H283=0,"",I283/H283))</f>
        <v>0</v>
      </c>
      <c r="K283" s="25">
        <f>IF(J283="","",J283*100)</f>
        <v>0</v>
      </c>
      <c r="L283" s="25">
        <f>IF(B283="","",IFERROR(AVERAGEIFS('Grocery Spending'!$L$5:$L$404,'Grocery Spending'!$H$5:$H$404,B283,'Grocery Spending'!$L$5:$L$404,"&gt;0"),""))</f>
        <v>0</v>
      </c>
      <c r="M283" s="25">
        <f>IF(B283="","",IF(COUNTIFS('Store Prices'!$B$5:$B$304,B283)=0,"",IF(SUMPRODUCT(MIN((('Store Prices'!$B$5:$B$304=B283)*(IFERROR('Store Prices'!$I$5:$I$304*1,0)&gt;0))*IFERROR('Store Prices'!$I$5:$I$304*1,0)+(1-(('Store Prices'!$B$5:$B$304=B283)*(IFERROR('Store Prices'!$I$5:$I$304*1,0)&gt;0)))*999999))&gt;=999999,"",SUMPRODUCT(MIN((('Store Prices'!$B$5:$B$304=B283)*(IFERROR('Store Prices'!$I$5:$I$304*1,0)&gt;0))*IFERROR('Store Prices'!$I$5:$I$304*1,0)+(1-(('Store Prices'!$B$5:$B$304=B283)*(IFERROR('Store Prices'!$I$5:$I$304*1,0)&gt;0)))*999999)))))</f>
        <v>0</v>
      </c>
      <c r="N283" s="17">
        <f>IF(M283="","",IFERROR(INDEX('Store Prices'!$C$5:$C$304,MATCH(1,INDEX(('Store Prices'!$B$5:$B$304=B283)*('Store Prices'!$I$5:$I$304=M283),0),0)),""))</f>
        <v>0</v>
      </c>
      <c r="O283" s="25">
        <f>IF(OR(M283="",J283=""),"",MAX(0,(J283-M283)*100))</f>
        <v>0</v>
      </c>
      <c r="AD283" s="45">
        <f>IF(B283="","",SUMIFS(Pantry!$G$5:$G$304,Pantry!$B$5:$B$304,B283))</f>
        <v>0</v>
      </c>
      <c r="AE283" s="25">
        <f>IF(OR(AD283="",J283=""),"",AD283*J283)</f>
        <v>0</v>
      </c>
      <c r="AF283" s="18">
        <f>IF(B283="","",COUNTIFS('Recipe Ingredients'!$D$5:$D$1204,B283))</f>
        <v>0</v>
      </c>
      <c r="AG283" s="45">
        <f>IF(B283="","",SUMIFS('Recipe Ingredients'!$Y$5:$Y$1204,'Recipe Ingredients'!$D$5:$D$1204,B283))</f>
        <v>0</v>
      </c>
      <c r="AH283" s="30">
        <f>IF(B283="",0,IFERROR(K283*1,0)*IFERROR(AF283*1,0))</f>
        <v>0</v>
      </c>
      <c r="AI283" s="18">
        <f>IF(B283="","",COUNTIFS($AH$5:$AH$304,"&gt;"&amp;AH283)+COUNTIFS($AH$5:AH283,AH283))</f>
        <v>0</v>
      </c>
      <c r="AJ283" s="18">
        <f>IF(B283="",0,COUNTIFS('Food Waste'!$E$5:$E$154,B283))</f>
        <v>0</v>
      </c>
      <c r="AK283" s="18">
        <f>IF(B283="","",COUNTIFS($AJ$5:$AJ$304,"&gt;"&amp;AJ283)+COUNTIFS($AJ$5:AJ283,AJ283))</f>
        <v>0</v>
      </c>
      <c r="AL283" s="18">
        <f>IF(B283="","",IF(AG283&gt;0,COUNTIF(AG$5:AG283,"&gt;0"),""))</f>
        <v>0</v>
      </c>
      <c r="AM283" s="45">
        <f>IF(B283="","",SUMIFS('Grocery List'!$Q$5:$Q$304,'Grocery List'!$B$5:$B$304,B283))</f>
        <v>0</v>
      </c>
      <c r="AN283" s="31">
        <f>IF(B283="","",IF(I283="","Add - no price yet",IF(H283="","Add - no pack size",IF(COUNTIFS($B$5:$B$304,B283)&gt;1,"Duplicate - same name twice",IF(AF283=0,"Check - no recipe uses it","OK")))))</f>
        <v>0</v>
      </c>
    </row>
    <row r="284" spans="1:40">
      <c r="A284" s="39">
        <f>IF(B284="","",IngredientPrefix&amp;TEXT(ROW()-4,"0000"))</f>
        <v>0</v>
      </c>
      <c r="J284" s="25">
        <f>IF(OR(H284="",I284=""),"",IF(H284=0,"",I284/H284))</f>
        <v>0</v>
      </c>
      <c r="K284" s="25">
        <f>IF(J284="","",J284*100)</f>
        <v>0</v>
      </c>
      <c r="L284" s="25">
        <f>IF(B284="","",IFERROR(AVERAGEIFS('Grocery Spending'!$L$5:$L$404,'Grocery Spending'!$H$5:$H$404,B284,'Grocery Spending'!$L$5:$L$404,"&gt;0"),""))</f>
        <v>0</v>
      </c>
      <c r="M284" s="25">
        <f>IF(B284="","",IF(COUNTIFS('Store Prices'!$B$5:$B$304,B284)=0,"",IF(SUMPRODUCT(MIN((('Store Prices'!$B$5:$B$304=B284)*(IFERROR('Store Prices'!$I$5:$I$304*1,0)&gt;0))*IFERROR('Store Prices'!$I$5:$I$304*1,0)+(1-(('Store Prices'!$B$5:$B$304=B284)*(IFERROR('Store Prices'!$I$5:$I$304*1,0)&gt;0)))*999999))&gt;=999999,"",SUMPRODUCT(MIN((('Store Prices'!$B$5:$B$304=B284)*(IFERROR('Store Prices'!$I$5:$I$304*1,0)&gt;0))*IFERROR('Store Prices'!$I$5:$I$304*1,0)+(1-(('Store Prices'!$B$5:$B$304=B284)*(IFERROR('Store Prices'!$I$5:$I$304*1,0)&gt;0)))*999999)))))</f>
        <v>0</v>
      </c>
      <c r="N284" s="17">
        <f>IF(M284="","",IFERROR(INDEX('Store Prices'!$C$5:$C$304,MATCH(1,INDEX(('Store Prices'!$B$5:$B$304=B284)*('Store Prices'!$I$5:$I$304=M284),0),0)),""))</f>
        <v>0</v>
      </c>
      <c r="O284" s="25">
        <f>IF(OR(M284="",J284=""),"",MAX(0,(J284-M284)*100))</f>
        <v>0</v>
      </c>
      <c r="AD284" s="45">
        <f>IF(B284="","",SUMIFS(Pantry!$G$5:$G$304,Pantry!$B$5:$B$304,B284))</f>
        <v>0</v>
      </c>
      <c r="AE284" s="25">
        <f>IF(OR(AD284="",J284=""),"",AD284*J284)</f>
        <v>0</v>
      </c>
      <c r="AF284" s="18">
        <f>IF(B284="","",COUNTIFS('Recipe Ingredients'!$D$5:$D$1204,B284))</f>
        <v>0</v>
      </c>
      <c r="AG284" s="45">
        <f>IF(B284="","",SUMIFS('Recipe Ingredients'!$Y$5:$Y$1204,'Recipe Ingredients'!$D$5:$D$1204,B284))</f>
        <v>0</v>
      </c>
      <c r="AH284" s="30">
        <f>IF(B284="",0,IFERROR(K284*1,0)*IFERROR(AF284*1,0))</f>
        <v>0</v>
      </c>
      <c r="AI284" s="18">
        <f>IF(B284="","",COUNTIFS($AH$5:$AH$304,"&gt;"&amp;AH284)+COUNTIFS($AH$5:AH284,AH284))</f>
        <v>0</v>
      </c>
      <c r="AJ284" s="18">
        <f>IF(B284="",0,COUNTIFS('Food Waste'!$E$5:$E$154,B284))</f>
        <v>0</v>
      </c>
      <c r="AK284" s="18">
        <f>IF(B284="","",COUNTIFS($AJ$5:$AJ$304,"&gt;"&amp;AJ284)+COUNTIFS($AJ$5:AJ284,AJ284))</f>
        <v>0</v>
      </c>
      <c r="AL284" s="18">
        <f>IF(B284="","",IF(AG284&gt;0,COUNTIF(AG$5:AG284,"&gt;0"),""))</f>
        <v>0</v>
      </c>
      <c r="AM284" s="45">
        <f>IF(B284="","",SUMIFS('Grocery List'!$Q$5:$Q$304,'Grocery List'!$B$5:$B$304,B284))</f>
        <v>0</v>
      </c>
      <c r="AN284" s="31">
        <f>IF(B284="","",IF(I284="","Add - no price yet",IF(H284="","Add - no pack size",IF(COUNTIFS($B$5:$B$304,B284)&gt;1,"Duplicate - same name twice",IF(AF284=0,"Check - no recipe uses it","OK")))))</f>
        <v>0</v>
      </c>
    </row>
    <row r="285" spans="1:40">
      <c r="A285" s="39">
        <f>IF(B285="","",IngredientPrefix&amp;TEXT(ROW()-4,"0000"))</f>
        <v>0</v>
      </c>
      <c r="J285" s="25">
        <f>IF(OR(H285="",I285=""),"",IF(H285=0,"",I285/H285))</f>
        <v>0</v>
      </c>
      <c r="K285" s="25">
        <f>IF(J285="","",J285*100)</f>
        <v>0</v>
      </c>
      <c r="L285" s="25">
        <f>IF(B285="","",IFERROR(AVERAGEIFS('Grocery Spending'!$L$5:$L$404,'Grocery Spending'!$H$5:$H$404,B285,'Grocery Spending'!$L$5:$L$404,"&gt;0"),""))</f>
        <v>0</v>
      </c>
      <c r="M285" s="25">
        <f>IF(B285="","",IF(COUNTIFS('Store Prices'!$B$5:$B$304,B285)=0,"",IF(SUMPRODUCT(MIN((('Store Prices'!$B$5:$B$304=B285)*(IFERROR('Store Prices'!$I$5:$I$304*1,0)&gt;0))*IFERROR('Store Prices'!$I$5:$I$304*1,0)+(1-(('Store Prices'!$B$5:$B$304=B285)*(IFERROR('Store Prices'!$I$5:$I$304*1,0)&gt;0)))*999999))&gt;=999999,"",SUMPRODUCT(MIN((('Store Prices'!$B$5:$B$304=B285)*(IFERROR('Store Prices'!$I$5:$I$304*1,0)&gt;0))*IFERROR('Store Prices'!$I$5:$I$304*1,0)+(1-(('Store Prices'!$B$5:$B$304=B285)*(IFERROR('Store Prices'!$I$5:$I$304*1,0)&gt;0)))*999999)))))</f>
        <v>0</v>
      </c>
      <c r="N285" s="17">
        <f>IF(M285="","",IFERROR(INDEX('Store Prices'!$C$5:$C$304,MATCH(1,INDEX(('Store Prices'!$B$5:$B$304=B285)*('Store Prices'!$I$5:$I$304=M285),0),0)),""))</f>
        <v>0</v>
      </c>
      <c r="O285" s="25">
        <f>IF(OR(M285="",J285=""),"",MAX(0,(J285-M285)*100))</f>
        <v>0</v>
      </c>
      <c r="AD285" s="45">
        <f>IF(B285="","",SUMIFS(Pantry!$G$5:$G$304,Pantry!$B$5:$B$304,B285))</f>
        <v>0</v>
      </c>
      <c r="AE285" s="25">
        <f>IF(OR(AD285="",J285=""),"",AD285*J285)</f>
        <v>0</v>
      </c>
      <c r="AF285" s="18">
        <f>IF(B285="","",COUNTIFS('Recipe Ingredients'!$D$5:$D$1204,B285))</f>
        <v>0</v>
      </c>
      <c r="AG285" s="45">
        <f>IF(B285="","",SUMIFS('Recipe Ingredients'!$Y$5:$Y$1204,'Recipe Ingredients'!$D$5:$D$1204,B285))</f>
        <v>0</v>
      </c>
      <c r="AH285" s="30">
        <f>IF(B285="",0,IFERROR(K285*1,0)*IFERROR(AF285*1,0))</f>
        <v>0</v>
      </c>
      <c r="AI285" s="18">
        <f>IF(B285="","",COUNTIFS($AH$5:$AH$304,"&gt;"&amp;AH285)+COUNTIFS($AH$5:AH285,AH285))</f>
        <v>0</v>
      </c>
      <c r="AJ285" s="18">
        <f>IF(B285="",0,COUNTIFS('Food Waste'!$E$5:$E$154,B285))</f>
        <v>0</v>
      </c>
      <c r="AK285" s="18">
        <f>IF(B285="","",COUNTIFS($AJ$5:$AJ$304,"&gt;"&amp;AJ285)+COUNTIFS($AJ$5:AJ285,AJ285))</f>
        <v>0</v>
      </c>
      <c r="AL285" s="18">
        <f>IF(B285="","",IF(AG285&gt;0,COUNTIF(AG$5:AG285,"&gt;0"),""))</f>
        <v>0</v>
      </c>
      <c r="AM285" s="45">
        <f>IF(B285="","",SUMIFS('Grocery List'!$Q$5:$Q$304,'Grocery List'!$B$5:$B$304,B285))</f>
        <v>0</v>
      </c>
      <c r="AN285" s="31">
        <f>IF(B285="","",IF(I285="","Add - no price yet",IF(H285="","Add - no pack size",IF(COUNTIFS($B$5:$B$304,B285)&gt;1,"Duplicate - same name twice",IF(AF285=0,"Check - no recipe uses it","OK")))))</f>
        <v>0</v>
      </c>
    </row>
    <row r="286" spans="1:40">
      <c r="A286" s="39">
        <f>IF(B286="","",IngredientPrefix&amp;TEXT(ROW()-4,"0000"))</f>
        <v>0</v>
      </c>
      <c r="J286" s="25">
        <f>IF(OR(H286="",I286=""),"",IF(H286=0,"",I286/H286))</f>
        <v>0</v>
      </c>
      <c r="K286" s="25">
        <f>IF(J286="","",J286*100)</f>
        <v>0</v>
      </c>
      <c r="L286" s="25">
        <f>IF(B286="","",IFERROR(AVERAGEIFS('Grocery Spending'!$L$5:$L$404,'Grocery Spending'!$H$5:$H$404,B286,'Grocery Spending'!$L$5:$L$404,"&gt;0"),""))</f>
        <v>0</v>
      </c>
      <c r="M286" s="25">
        <f>IF(B286="","",IF(COUNTIFS('Store Prices'!$B$5:$B$304,B286)=0,"",IF(SUMPRODUCT(MIN((('Store Prices'!$B$5:$B$304=B286)*(IFERROR('Store Prices'!$I$5:$I$304*1,0)&gt;0))*IFERROR('Store Prices'!$I$5:$I$304*1,0)+(1-(('Store Prices'!$B$5:$B$304=B286)*(IFERROR('Store Prices'!$I$5:$I$304*1,0)&gt;0)))*999999))&gt;=999999,"",SUMPRODUCT(MIN((('Store Prices'!$B$5:$B$304=B286)*(IFERROR('Store Prices'!$I$5:$I$304*1,0)&gt;0))*IFERROR('Store Prices'!$I$5:$I$304*1,0)+(1-(('Store Prices'!$B$5:$B$304=B286)*(IFERROR('Store Prices'!$I$5:$I$304*1,0)&gt;0)))*999999)))))</f>
        <v>0</v>
      </c>
      <c r="N286" s="17">
        <f>IF(M286="","",IFERROR(INDEX('Store Prices'!$C$5:$C$304,MATCH(1,INDEX(('Store Prices'!$B$5:$B$304=B286)*('Store Prices'!$I$5:$I$304=M286),0),0)),""))</f>
        <v>0</v>
      </c>
      <c r="O286" s="25">
        <f>IF(OR(M286="",J286=""),"",MAX(0,(J286-M286)*100))</f>
        <v>0</v>
      </c>
      <c r="AD286" s="45">
        <f>IF(B286="","",SUMIFS(Pantry!$G$5:$G$304,Pantry!$B$5:$B$304,B286))</f>
        <v>0</v>
      </c>
      <c r="AE286" s="25">
        <f>IF(OR(AD286="",J286=""),"",AD286*J286)</f>
        <v>0</v>
      </c>
      <c r="AF286" s="18">
        <f>IF(B286="","",COUNTIFS('Recipe Ingredients'!$D$5:$D$1204,B286))</f>
        <v>0</v>
      </c>
      <c r="AG286" s="45">
        <f>IF(B286="","",SUMIFS('Recipe Ingredients'!$Y$5:$Y$1204,'Recipe Ingredients'!$D$5:$D$1204,B286))</f>
        <v>0</v>
      </c>
      <c r="AH286" s="30">
        <f>IF(B286="",0,IFERROR(K286*1,0)*IFERROR(AF286*1,0))</f>
        <v>0</v>
      </c>
      <c r="AI286" s="18">
        <f>IF(B286="","",COUNTIFS($AH$5:$AH$304,"&gt;"&amp;AH286)+COUNTIFS($AH$5:AH286,AH286))</f>
        <v>0</v>
      </c>
      <c r="AJ286" s="18">
        <f>IF(B286="",0,COUNTIFS('Food Waste'!$E$5:$E$154,B286))</f>
        <v>0</v>
      </c>
      <c r="AK286" s="18">
        <f>IF(B286="","",COUNTIFS($AJ$5:$AJ$304,"&gt;"&amp;AJ286)+COUNTIFS($AJ$5:AJ286,AJ286))</f>
        <v>0</v>
      </c>
      <c r="AL286" s="18">
        <f>IF(B286="","",IF(AG286&gt;0,COUNTIF(AG$5:AG286,"&gt;0"),""))</f>
        <v>0</v>
      </c>
      <c r="AM286" s="45">
        <f>IF(B286="","",SUMIFS('Grocery List'!$Q$5:$Q$304,'Grocery List'!$B$5:$B$304,B286))</f>
        <v>0</v>
      </c>
      <c r="AN286" s="31">
        <f>IF(B286="","",IF(I286="","Add - no price yet",IF(H286="","Add - no pack size",IF(COUNTIFS($B$5:$B$304,B286)&gt;1,"Duplicate - same name twice",IF(AF286=0,"Check - no recipe uses it","OK")))))</f>
        <v>0</v>
      </c>
    </row>
    <row r="287" spans="1:40">
      <c r="A287" s="39">
        <f>IF(B287="","",IngredientPrefix&amp;TEXT(ROW()-4,"0000"))</f>
        <v>0</v>
      </c>
      <c r="J287" s="25">
        <f>IF(OR(H287="",I287=""),"",IF(H287=0,"",I287/H287))</f>
        <v>0</v>
      </c>
      <c r="K287" s="25">
        <f>IF(J287="","",J287*100)</f>
        <v>0</v>
      </c>
      <c r="L287" s="25">
        <f>IF(B287="","",IFERROR(AVERAGEIFS('Grocery Spending'!$L$5:$L$404,'Grocery Spending'!$H$5:$H$404,B287,'Grocery Spending'!$L$5:$L$404,"&gt;0"),""))</f>
        <v>0</v>
      </c>
      <c r="M287" s="25">
        <f>IF(B287="","",IF(COUNTIFS('Store Prices'!$B$5:$B$304,B287)=0,"",IF(SUMPRODUCT(MIN((('Store Prices'!$B$5:$B$304=B287)*(IFERROR('Store Prices'!$I$5:$I$304*1,0)&gt;0))*IFERROR('Store Prices'!$I$5:$I$304*1,0)+(1-(('Store Prices'!$B$5:$B$304=B287)*(IFERROR('Store Prices'!$I$5:$I$304*1,0)&gt;0)))*999999))&gt;=999999,"",SUMPRODUCT(MIN((('Store Prices'!$B$5:$B$304=B287)*(IFERROR('Store Prices'!$I$5:$I$304*1,0)&gt;0))*IFERROR('Store Prices'!$I$5:$I$304*1,0)+(1-(('Store Prices'!$B$5:$B$304=B287)*(IFERROR('Store Prices'!$I$5:$I$304*1,0)&gt;0)))*999999)))))</f>
        <v>0</v>
      </c>
      <c r="N287" s="17">
        <f>IF(M287="","",IFERROR(INDEX('Store Prices'!$C$5:$C$304,MATCH(1,INDEX(('Store Prices'!$B$5:$B$304=B287)*('Store Prices'!$I$5:$I$304=M287),0),0)),""))</f>
        <v>0</v>
      </c>
      <c r="O287" s="25">
        <f>IF(OR(M287="",J287=""),"",MAX(0,(J287-M287)*100))</f>
        <v>0</v>
      </c>
      <c r="AD287" s="45">
        <f>IF(B287="","",SUMIFS(Pantry!$G$5:$G$304,Pantry!$B$5:$B$304,B287))</f>
        <v>0</v>
      </c>
      <c r="AE287" s="25">
        <f>IF(OR(AD287="",J287=""),"",AD287*J287)</f>
        <v>0</v>
      </c>
      <c r="AF287" s="18">
        <f>IF(B287="","",COUNTIFS('Recipe Ingredients'!$D$5:$D$1204,B287))</f>
        <v>0</v>
      </c>
      <c r="AG287" s="45">
        <f>IF(B287="","",SUMIFS('Recipe Ingredients'!$Y$5:$Y$1204,'Recipe Ingredients'!$D$5:$D$1204,B287))</f>
        <v>0</v>
      </c>
      <c r="AH287" s="30">
        <f>IF(B287="",0,IFERROR(K287*1,0)*IFERROR(AF287*1,0))</f>
        <v>0</v>
      </c>
      <c r="AI287" s="18">
        <f>IF(B287="","",COUNTIFS($AH$5:$AH$304,"&gt;"&amp;AH287)+COUNTIFS($AH$5:AH287,AH287))</f>
        <v>0</v>
      </c>
      <c r="AJ287" s="18">
        <f>IF(B287="",0,COUNTIFS('Food Waste'!$E$5:$E$154,B287))</f>
        <v>0</v>
      </c>
      <c r="AK287" s="18">
        <f>IF(B287="","",COUNTIFS($AJ$5:$AJ$304,"&gt;"&amp;AJ287)+COUNTIFS($AJ$5:AJ287,AJ287))</f>
        <v>0</v>
      </c>
      <c r="AL287" s="18">
        <f>IF(B287="","",IF(AG287&gt;0,COUNTIF(AG$5:AG287,"&gt;0"),""))</f>
        <v>0</v>
      </c>
      <c r="AM287" s="45">
        <f>IF(B287="","",SUMIFS('Grocery List'!$Q$5:$Q$304,'Grocery List'!$B$5:$B$304,B287))</f>
        <v>0</v>
      </c>
      <c r="AN287" s="31">
        <f>IF(B287="","",IF(I287="","Add - no price yet",IF(H287="","Add - no pack size",IF(COUNTIFS($B$5:$B$304,B287)&gt;1,"Duplicate - same name twice",IF(AF287=0,"Check - no recipe uses it","OK")))))</f>
        <v>0</v>
      </c>
    </row>
    <row r="288" spans="1:40">
      <c r="A288" s="39">
        <f>IF(B288="","",IngredientPrefix&amp;TEXT(ROW()-4,"0000"))</f>
        <v>0</v>
      </c>
      <c r="J288" s="25">
        <f>IF(OR(H288="",I288=""),"",IF(H288=0,"",I288/H288))</f>
        <v>0</v>
      </c>
      <c r="K288" s="25">
        <f>IF(J288="","",J288*100)</f>
        <v>0</v>
      </c>
      <c r="L288" s="25">
        <f>IF(B288="","",IFERROR(AVERAGEIFS('Grocery Spending'!$L$5:$L$404,'Grocery Spending'!$H$5:$H$404,B288,'Grocery Spending'!$L$5:$L$404,"&gt;0"),""))</f>
        <v>0</v>
      </c>
      <c r="M288" s="25">
        <f>IF(B288="","",IF(COUNTIFS('Store Prices'!$B$5:$B$304,B288)=0,"",IF(SUMPRODUCT(MIN((('Store Prices'!$B$5:$B$304=B288)*(IFERROR('Store Prices'!$I$5:$I$304*1,0)&gt;0))*IFERROR('Store Prices'!$I$5:$I$304*1,0)+(1-(('Store Prices'!$B$5:$B$304=B288)*(IFERROR('Store Prices'!$I$5:$I$304*1,0)&gt;0)))*999999))&gt;=999999,"",SUMPRODUCT(MIN((('Store Prices'!$B$5:$B$304=B288)*(IFERROR('Store Prices'!$I$5:$I$304*1,0)&gt;0))*IFERROR('Store Prices'!$I$5:$I$304*1,0)+(1-(('Store Prices'!$B$5:$B$304=B288)*(IFERROR('Store Prices'!$I$5:$I$304*1,0)&gt;0)))*999999)))))</f>
        <v>0</v>
      </c>
      <c r="N288" s="17">
        <f>IF(M288="","",IFERROR(INDEX('Store Prices'!$C$5:$C$304,MATCH(1,INDEX(('Store Prices'!$B$5:$B$304=B288)*('Store Prices'!$I$5:$I$304=M288),0),0)),""))</f>
        <v>0</v>
      </c>
      <c r="O288" s="25">
        <f>IF(OR(M288="",J288=""),"",MAX(0,(J288-M288)*100))</f>
        <v>0</v>
      </c>
      <c r="AD288" s="45">
        <f>IF(B288="","",SUMIFS(Pantry!$G$5:$G$304,Pantry!$B$5:$B$304,B288))</f>
        <v>0</v>
      </c>
      <c r="AE288" s="25">
        <f>IF(OR(AD288="",J288=""),"",AD288*J288)</f>
        <v>0</v>
      </c>
      <c r="AF288" s="18">
        <f>IF(B288="","",COUNTIFS('Recipe Ingredients'!$D$5:$D$1204,B288))</f>
        <v>0</v>
      </c>
      <c r="AG288" s="45">
        <f>IF(B288="","",SUMIFS('Recipe Ingredients'!$Y$5:$Y$1204,'Recipe Ingredients'!$D$5:$D$1204,B288))</f>
        <v>0</v>
      </c>
      <c r="AH288" s="30">
        <f>IF(B288="",0,IFERROR(K288*1,0)*IFERROR(AF288*1,0))</f>
        <v>0</v>
      </c>
      <c r="AI288" s="18">
        <f>IF(B288="","",COUNTIFS($AH$5:$AH$304,"&gt;"&amp;AH288)+COUNTIFS($AH$5:AH288,AH288))</f>
        <v>0</v>
      </c>
      <c r="AJ288" s="18">
        <f>IF(B288="",0,COUNTIFS('Food Waste'!$E$5:$E$154,B288))</f>
        <v>0</v>
      </c>
      <c r="AK288" s="18">
        <f>IF(B288="","",COUNTIFS($AJ$5:$AJ$304,"&gt;"&amp;AJ288)+COUNTIFS($AJ$5:AJ288,AJ288))</f>
        <v>0</v>
      </c>
      <c r="AL288" s="18">
        <f>IF(B288="","",IF(AG288&gt;0,COUNTIF(AG$5:AG288,"&gt;0"),""))</f>
        <v>0</v>
      </c>
      <c r="AM288" s="45">
        <f>IF(B288="","",SUMIFS('Grocery List'!$Q$5:$Q$304,'Grocery List'!$B$5:$B$304,B288))</f>
        <v>0</v>
      </c>
      <c r="AN288" s="31">
        <f>IF(B288="","",IF(I288="","Add - no price yet",IF(H288="","Add - no pack size",IF(COUNTIFS($B$5:$B$304,B288)&gt;1,"Duplicate - same name twice",IF(AF288=0,"Check - no recipe uses it","OK")))))</f>
        <v>0</v>
      </c>
    </row>
    <row r="289" spans="1:40">
      <c r="A289" s="39">
        <f>IF(B289="","",IngredientPrefix&amp;TEXT(ROW()-4,"0000"))</f>
        <v>0</v>
      </c>
      <c r="J289" s="25">
        <f>IF(OR(H289="",I289=""),"",IF(H289=0,"",I289/H289))</f>
        <v>0</v>
      </c>
      <c r="K289" s="25">
        <f>IF(J289="","",J289*100)</f>
        <v>0</v>
      </c>
      <c r="L289" s="25">
        <f>IF(B289="","",IFERROR(AVERAGEIFS('Grocery Spending'!$L$5:$L$404,'Grocery Spending'!$H$5:$H$404,B289,'Grocery Spending'!$L$5:$L$404,"&gt;0"),""))</f>
        <v>0</v>
      </c>
      <c r="M289" s="25">
        <f>IF(B289="","",IF(COUNTIFS('Store Prices'!$B$5:$B$304,B289)=0,"",IF(SUMPRODUCT(MIN((('Store Prices'!$B$5:$B$304=B289)*(IFERROR('Store Prices'!$I$5:$I$304*1,0)&gt;0))*IFERROR('Store Prices'!$I$5:$I$304*1,0)+(1-(('Store Prices'!$B$5:$B$304=B289)*(IFERROR('Store Prices'!$I$5:$I$304*1,0)&gt;0)))*999999))&gt;=999999,"",SUMPRODUCT(MIN((('Store Prices'!$B$5:$B$304=B289)*(IFERROR('Store Prices'!$I$5:$I$304*1,0)&gt;0))*IFERROR('Store Prices'!$I$5:$I$304*1,0)+(1-(('Store Prices'!$B$5:$B$304=B289)*(IFERROR('Store Prices'!$I$5:$I$304*1,0)&gt;0)))*999999)))))</f>
        <v>0</v>
      </c>
      <c r="N289" s="17">
        <f>IF(M289="","",IFERROR(INDEX('Store Prices'!$C$5:$C$304,MATCH(1,INDEX(('Store Prices'!$B$5:$B$304=B289)*('Store Prices'!$I$5:$I$304=M289),0),0)),""))</f>
        <v>0</v>
      </c>
      <c r="O289" s="25">
        <f>IF(OR(M289="",J289=""),"",MAX(0,(J289-M289)*100))</f>
        <v>0</v>
      </c>
      <c r="AD289" s="45">
        <f>IF(B289="","",SUMIFS(Pantry!$G$5:$G$304,Pantry!$B$5:$B$304,B289))</f>
        <v>0</v>
      </c>
      <c r="AE289" s="25">
        <f>IF(OR(AD289="",J289=""),"",AD289*J289)</f>
        <v>0</v>
      </c>
      <c r="AF289" s="18">
        <f>IF(B289="","",COUNTIFS('Recipe Ingredients'!$D$5:$D$1204,B289))</f>
        <v>0</v>
      </c>
      <c r="AG289" s="45">
        <f>IF(B289="","",SUMIFS('Recipe Ingredients'!$Y$5:$Y$1204,'Recipe Ingredients'!$D$5:$D$1204,B289))</f>
        <v>0</v>
      </c>
      <c r="AH289" s="30">
        <f>IF(B289="",0,IFERROR(K289*1,0)*IFERROR(AF289*1,0))</f>
        <v>0</v>
      </c>
      <c r="AI289" s="18">
        <f>IF(B289="","",COUNTIFS($AH$5:$AH$304,"&gt;"&amp;AH289)+COUNTIFS($AH$5:AH289,AH289))</f>
        <v>0</v>
      </c>
      <c r="AJ289" s="18">
        <f>IF(B289="",0,COUNTIFS('Food Waste'!$E$5:$E$154,B289))</f>
        <v>0</v>
      </c>
      <c r="AK289" s="18">
        <f>IF(B289="","",COUNTIFS($AJ$5:$AJ$304,"&gt;"&amp;AJ289)+COUNTIFS($AJ$5:AJ289,AJ289))</f>
        <v>0</v>
      </c>
      <c r="AL289" s="18">
        <f>IF(B289="","",IF(AG289&gt;0,COUNTIF(AG$5:AG289,"&gt;0"),""))</f>
        <v>0</v>
      </c>
      <c r="AM289" s="45">
        <f>IF(B289="","",SUMIFS('Grocery List'!$Q$5:$Q$304,'Grocery List'!$B$5:$B$304,B289))</f>
        <v>0</v>
      </c>
      <c r="AN289" s="31">
        <f>IF(B289="","",IF(I289="","Add - no price yet",IF(H289="","Add - no pack size",IF(COUNTIFS($B$5:$B$304,B289)&gt;1,"Duplicate - same name twice",IF(AF289=0,"Check - no recipe uses it","OK")))))</f>
        <v>0</v>
      </c>
    </row>
    <row r="290" spans="1:40">
      <c r="A290" s="39">
        <f>IF(B290="","",IngredientPrefix&amp;TEXT(ROW()-4,"0000"))</f>
        <v>0</v>
      </c>
      <c r="J290" s="25">
        <f>IF(OR(H290="",I290=""),"",IF(H290=0,"",I290/H290))</f>
        <v>0</v>
      </c>
      <c r="K290" s="25">
        <f>IF(J290="","",J290*100)</f>
        <v>0</v>
      </c>
      <c r="L290" s="25">
        <f>IF(B290="","",IFERROR(AVERAGEIFS('Grocery Spending'!$L$5:$L$404,'Grocery Spending'!$H$5:$H$404,B290,'Grocery Spending'!$L$5:$L$404,"&gt;0"),""))</f>
        <v>0</v>
      </c>
      <c r="M290" s="25">
        <f>IF(B290="","",IF(COUNTIFS('Store Prices'!$B$5:$B$304,B290)=0,"",IF(SUMPRODUCT(MIN((('Store Prices'!$B$5:$B$304=B290)*(IFERROR('Store Prices'!$I$5:$I$304*1,0)&gt;0))*IFERROR('Store Prices'!$I$5:$I$304*1,0)+(1-(('Store Prices'!$B$5:$B$304=B290)*(IFERROR('Store Prices'!$I$5:$I$304*1,0)&gt;0)))*999999))&gt;=999999,"",SUMPRODUCT(MIN((('Store Prices'!$B$5:$B$304=B290)*(IFERROR('Store Prices'!$I$5:$I$304*1,0)&gt;0))*IFERROR('Store Prices'!$I$5:$I$304*1,0)+(1-(('Store Prices'!$B$5:$B$304=B290)*(IFERROR('Store Prices'!$I$5:$I$304*1,0)&gt;0)))*999999)))))</f>
        <v>0</v>
      </c>
      <c r="N290" s="17">
        <f>IF(M290="","",IFERROR(INDEX('Store Prices'!$C$5:$C$304,MATCH(1,INDEX(('Store Prices'!$B$5:$B$304=B290)*('Store Prices'!$I$5:$I$304=M290),0),0)),""))</f>
        <v>0</v>
      </c>
      <c r="O290" s="25">
        <f>IF(OR(M290="",J290=""),"",MAX(0,(J290-M290)*100))</f>
        <v>0</v>
      </c>
      <c r="AD290" s="45">
        <f>IF(B290="","",SUMIFS(Pantry!$G$5:$G$304,Pantry!$B$5:$B$304,B290))</f>
        <v>0</v>
      </c>
      <c r="AE290" s="25">
        <f>IF(OR(AD290="",J290=""),"",AD290*J290)</f>
        <v>0</v>
      </c>
      <c r="AF290" s="18">
        <f>IF(B290="","",COUNTIFS('Recipe Ingredients'!$D$5:$D$1204,B290))</f>
        <v>0</v>
      </c>
      <c r="AG290" s="45">
        <f>IF(B290="","",SUMIFS('Recipe Ingredients'!$Y$5:$Y$1204,'Recipe Ingredients'!$D$5:$D$1204,B290))</f>
        <v>0</v>
      </c>
      <c r="AH290" s="30">
        <f>IF(B290="",0,IFERROR(K290*1,0)*IFERROR(AF290*1,0))</f>
        <v>0</v>
      </c>
      <c r="AI290" s="18">
        <f>IF(B290="","",COUNTIFS($AH$5:$AH$304,"&gt;"&amp;AH290)+COUNTIFS($AH$5:AH290,AH290))</f>
        <v>0</v>
      </c>
      <c r="AJ290" s="18">
        <f>IF(B290="",0,COUNTIFS('Food Waste'!$E$5:$E$154,B290))</f>
        <v>0</v>
      </c>
      <c r="AK290" s="18">
        <f>IF(B290="","",COUNTIFS($AJ$5:$AJ$304,"&gt;"&amp;AJ290)+COUNTIFS($AJ$5:AJ290,AJ290))</f>
        <v>0</v>
      </c>
      <c r="AL290" s="18">
        <f>IF(B290="","",IF(AG290&gt;0,COUNTIF(AG$5:AG290,"&gt;0"),""))</f>
        <v>0</v>
      </c>
      <c r="AM290" s="45">
        <f>IF(B290="","",SUMIFS('Grocery List'!$Q$5:$Q$304,'Grocery List'!$B$5:$B$304,B290))</f>
        <v>0</v>
      </c>
      <c r="AN290" s="31">
        <f>IF(B290="","",IF(I290="","Add - no price yet",IF(H290="","Add - no pack size",IF(COUNTIFS($B$5:$B$304,B290)&gt;1,"Duplicate - same name twice",IF(AF290=0,"Check - no recipe uses it","OK")))))</f>
        <v>0</v>
      </c>
    </row>
    <row r="291" spans="1:40">
      <c r="A291" s="39">
        <f>IF(B291="","",IngredientPrefix&amp;TEXT(ROW()-4,"0000"))</f>
        <v>0</v>
      </c>
      <c r="J291" s="25">
        <f>IF(OR(H291="",I291=""),"",IF(H291=0,"",I291/H291))</f>
        <v>0</v>
      </c>
      <c r="K291" s="25">
        <f>IF(J291="","",J291*100)</f>
        <v>0</v>
      </c>
      <c r="L291" s="25">
        <f>IF(B291="","",IFERROR(AVERAGEIFS('Grocery Spending'!$L$5:$L$404,'Grocery Spending'!$H$5:$H$404,B291,'Grocery Spending'!$L$5:$L$404,"&gt;0"),""))</f>
        <v>0</v>
      </c>
      <c r="M291" s="25">
        <f>IF(B291="","",IF(COUNTIFS('Store Prices'!$B$5:$B$304,B291)=0,"",IF(SUMPRODUCT(MIN((('Store Prices'!$B$5:$B$304=B291)*(IFERROR('Store Prices'!$I$5:$I$304*1,0)&gt;0))*IFERROR('Store Prices'!$I$5:$I$304*1,0)+(1-(('Store Prices'!$B$5:$B$304=B291)*(IFERROR('Store Prices'!$I$5:$I$304*1,0)&gt;0)))*999999))&gt;=999999,"",SUMPRODUCT(MIN((('Store Prices'!$B$5:$B$304=B291)*(IFERROR('Store Prices'!$I$5:$I$304*1,0)&gt;0))*IFERROR('Store Prices'!$I$5:$I$304*1,0)+(1-(('Store Prices'!$B$5:$B$304=B291)*(IFERROR('Store Prices'!$I$5:$I$304*1,0)&gt;0)))*999999)))))</f>
        <v>0</v>
      </c>
      <c r="N291" s="17">
        <f>IF(M291="","",IFERROR(INDEX('Store Prices'!$C$5:$C$304,MATCH(1,INDEX(('Store Prices'!$B$5:$B$304=B291)*('Store Prices'!$I$5:$I$304=M291),0),0)),""))</f>
        <v>0</v>
      </c>
      <c r="O291" s="25">
        <f>IF(OR(M291="",J291=""),"",MAX(0,(J291-M291)*100))</f>
        <v>0</v>
      </c>
      <c r="AD291" s="45">
        <f>IF(B291="","",SUMIFS(Pantry!$G$5:$G$304,Pantry!$B$5:$B$304,B291))</f>
        <v>0</v>
      </c>
      <c r="AE291" s="25">
        <f>IF(OR(AD291="",J291=""),"",AD291*J291)</f>
        <v>0</v>
      </c>
      <c r="AF291" s="18">
        <f>IF(B291="","",COUNTIFS('Recipe Ingredients'!$D$5:$D$1204,B291))</f>
        <v>0</v>
      </c>
      <c r="AG291" s="45">
        <f>IF(B291="","",SUMIFS('Recipe Ingredients'!$Y$5:$Y$1204,'Recipe Ingredients'!$D$5:$D$1204,B291))</f>
        <v>0</v>
      </c>
      <c r="AH291" s="30">
        <f>IF(B291="",0,IFERROR(K291*1,0)*IFERROR(AF291*1,0))</f>
        <v>0</v>
      </c>
      <c r="AI291" s="18">
        <f>IF(B291="","",COUNTIFS($AH$5:$AH$304,"&gt;"&amp;AH291)+COUNTIFS($AH$5:AH291,AH291))</f>
        <v>0</v>
      </c>
      <c r="AJ291" s="18">
        <f>IF(B291="",0,COUNTIFS('Food Waste'!$E$5:$E$154,B291))</f>
        <v>0</v>
      </c>
      <c r="AK291" s="18">
        <f>IF(B291="","",COUNTIFS($AJ$5:$AJ$304,"&gt;"&amp;AJ291)+COUNTIFS($AJ$5:AJ291,AJ291))</f>
        <v>0</v>
      </c>
      <c r="AL291" s="18">
        <f>IF(B291="","",IF(AG291&gt;0,COUNTIF(AG$5:AG291,"&gt;0"),""))</f>
        <v>0</v>
      </c>
      <c r="AM291" s="45">
        <f>IF(B291="","",SUMIFS('Grocery List'!$Q$5:$Q$304,'Grocery List'!$B$5:$B$304,B291))</f>
        <v>0</v>
      </c>
      <c r="AN291" s="31">
        <f>IF(B291="","",IF(I291="","Add - no price yet",IF(H291="","Add - no pack size",IF(COUNTIFS($B$5:$B$304,B291)&gt;1,"Duplicate - same name twice",IF(AF291=0,"Check - no recipe uses it","OK")))))</f>
        <v>0</v>
      </c>
    </row>
    <row r="292" spans="1:40">
      <c r="A292" s="39">
        <f>IF(B292="","",IngredientPrefix&amp;TEXT(ROW()-4,"0000"))</f>
        <v>0</v>
      </c>
      <c r="J292" s="25">
        <f>IF(OR(H292="",I292=""),"",IF(H292=0,"",I292/H292))</f>
        <v>0</v>
      </c>
      <c r="K292" s="25">
        <f>IF(J292="","",J292*100)</f>
        <v>0</v>
      </c>
      <c r="L292" s="25">
        <f>IF(B292="","",IFERROR(AVERAGEIFS('Grocery Spending'!$L$5:$L$404,'Grocery Spending'!$H$5:$H$404,B292,'Grocery Spending'!$L$5:$L$404,"&gt;0"),""))</f>
        <v>0</v>
      </c>
      <c r="M292" s="25">
        <f>IF(B292="","",IF(COUNTIFS('Store Prices'!$B$5:$B$304,B292)=0,"",IF(SUMPRODUCT(MIN((('Store Prices'!$B$5:$B$304=B292)*(IFERROR('Store Prices'!$I$5:$I$304*1,0)&gt;0))*IFERROR('Store Prices'!$I$5:$I$304*1,0)+(1-(('Store Prices'!$B$5:$B$304=B292)*(IFERROR('Store Prices'!$I$5:$I$304*1,0)&gt;0)))*999999))&gt;=999999,"",SUMPRODUCT(MIN((('Store Prices'!$B$5:$B$304=B292)*(IFERROR('Store Prices'!$I$5:$I$304*1,0)&gt;0))*IFERROR('Store Prices'!$I$5:$I$304*1,0)+(1-(('Store Prices'!$B$5:$B$304=B292)*(IFERROR('Store Prices'!$I$5:$I$304*1,0)&gt;0)))*999999)))))</f>
        <v>0</v>
      </c>
      <c r="N292" s="17">
        <f>IF(M292="","",IFERROR(INDEX('Store Prices'!$C$5:$C$304,MATCH(1,INDEX(('Store Prices'!$B$5:$B$304=B292)*('Store Prices'!$I$5:$I$304=M292),0),0)),""))</f>
        <v>0</v>
      </c>
      <c r="O292" s="25">
        <f>IF(OR(M292="",J292=""),"",MAX(0,(J292-M292)*100))</f>
        <v>0</v>
      </c>
      <c r="AD292" s="45">
        <f>IF(B292="","",SUMIFS(Pantry!$G$5:$G$304,Pantry!$B$5:$B$304,B292))</f>
        <v>0</v>
      </c>
      <c r="AE292" s="25">
        <f>IF(OR(AD292="",J292=""),"",AD292*J292)</f>
        <v>0</v>
      </c>
      <c r="AF292" s="18">
        <f>IF(B292="","",COUNTIFS('Recipe Ingredients'!$D$5:$D$1204,B292))</f>
        <v>0</v>
      </c>
      <c r="AG292" s="45">
        <f>IF(B292="","",SUMIFS('Recipe Ingredients'!$Y$5:$Y$1204,'Recipe Ingredients'!$D$5:$D$1204,B292))</f>
        <v>0</v>
      </c>
      <c r="AH292" s="30">
        <f>IF(B292="",0,IFERROR(K292*1,0)*IFERROR(AF292*1,0))</f>
        <v>0</v>
      </c>
      <c r="AI292" s="18">
        <f>IF(B292="","",COUNTIFS($AH$5:$AH$304,"&gt;"&amp;AH292)+COUNTIFS($AH$5:AH292,AH292))</f>
        <v>0</v>
      </c>
      <c r="AJ292" s="18">
        <f>IF(B292="",0,COUNTIFS('Food Waste'!$E$5:$E$154,B292))</f>
        <v>0</v>
      </c>
      <c r="AK292" s="18">
        <f>IF(B292="","",COUNTIFS($AJ$5:$AJ$304,"&gt;"&amp;AJ292)+COUNTIFS($AJ$5:AJ292,AJ292))</f>
        <v>0</v>
      </c>
      <c r="AL292" s="18">
        <f>IF(B292="","",IF(AG292&gt;0,COUNTIF(AG$5:AG292,"&gt;0"),""))</f>
        <v>0</v>
      </c>
      <c r="AM292" s="45">
        <f>IF(B292="","",SUMIFS('Grocery List'!$Q$5:$Q$304,'Grocery List'!$B$5:$B$304,B292))</f>
        <v>0</v>
      </c>
      <c r="AN292" s="31">
        <f>IF(B292="","",IF(I292="","Add - no price yet",IF(H292="","Add - no pack size",IF(COUNTIFS($B$5:$B$304,B292)&gt;1,"Duplicate - same name twice",IF(AF292=0,"Check - no recipe uses it","OK")))))</f>
        <v>0</v>
      </c>
    </row>
    <row r="293" spans="1:40">
      <c r="A293" s="39">
        <f>IF(B293="","",IngredientPrefix&amp;TEXT(ROW()-4,"0000"))</f>
        <v>0</v>
      </c>
      <c r="J293" s="25">
        <f>IF(OR(H293="",I293=""),"",IF(H293=0,"",I293/H293))</f>
        <v>0</v>
      </c>
      <c r="K293" s="25">
        <f>IF(J293="","",J293*100)</f>
        <v>0</v>
      </c>
      <c r="L293" s="25">
        <f>IF(B293="","",IFERROR(AVERAGEIFS('Grocery Spending'!$L$5:$L$404,'Grocery Spending'!$H$5:$H$404,B293,'Grocery Spending'!$L$5:$L$404,"&gt;0"),""))</f>
        <v>0</v>
      </c>
      <c r="M293" s="25">
        <f>IF(B293="","",IF(COUNTIFS('Store Prices'!$B$5:$B$304,B293)=0,"",IF(SUMPRODUCT(MIN((('Store Prices'!$B$5:$B$304=B293)*(IFERROR('Store Prices'!$I$5:$I$304*1,0)&gt;0))*IFERROR('Store Prices'!$I$5:$I$304*1,0)+(1-(('Store Prices'!$B$5:$B$304=B293)*(IFERROR('Store Prices'!$I$5:$I$304*1,0)&gt;0)))*999999))&gt;=999999,"",SUMPRODUCT(MIN((('Store Prices'!$B$5:$B$304=B293)*(IFERROR('Store Prices'!$I$5:$I$304*1,0)&gt;0))*IFERROR('Store Prices'!$I$5:$I$304*1,0)+(1-(('Store Prices'!$B$5:$B$304=B293)*(IFERROR('Store Prices'!$I$5:$I$304*1,0)&gt;0)))*999999)))))</f>
        <v>0</v>
      </c>
      <c r="N293" s="17">
        <f>IF(M293="","",IFERROR(INDEX('Store Prices'!$C$5:$C$304,MATCH(1,INDEX(('Store Prices'!$B$5:$B$304=B293)*('Store Prices'!$I$5:$I$304=M293),0),0)),""))</f>
        <v>0</v>
      </c>
      <c r="O293" s="25">
        <f>IF(OR(M293="",J293=""),"",MAX(0,(J293-M293)*100))</f>
        <v>0</v>
      </c>
      <c r="AD293" s="45">
        <f>IF(B293="","",SUMIFS(Pantry!$G$5:$G$304,Pantry!$B$5:$B$304,B293))</f>
        <v>0</v>
      </c>
      <c r="AE293" s="25">
        <f>IF(OR(AD293="",J293=""),"",AD293*J293)</f>
        <v>0</v>
      </c>
      <c r="AF293" s="18">
        <f>IF(B293="","",COUNTIFS('Recipe Ingredients'!$D$5:$D$1204,B293))</f>
        <v>0</v>
      </c>
      <c r="AG293" s="45">
        <f>IF(B293="","",SUMIFS('Recipe Ingredients'!$Y$5:$Y$1204,'Recipe Ingredients'!$D$5:$D$1204,B293))</f>
        <v>0</v>
      </c>
      <c r="AH293" s="30">
        <f>IF(B293="",0,IFERROR(K293*1,0)*IFERROR(AF293*1,0))</f>
        <v>0</v>
      </c>
      <c r="AI293" s="18">
        <f>IF(B293="","",COUNTIFS($AH$5:$AH$304,"&gt;"&amp;AH293)+COUNTIFS($AH$5:AH293,AH293))</f>
        <v>0</v>
      </c>
      <c r="AJ293" s="18">
        <f>IF(B293="",0,COUNTIFS('Food Waste'!$E$5:$E$154,B293))</f>
        <v>0</v>
      </c>
      <c r="AK293" s="18">
        <f>IF(B293="","",COUNTIFS($AJ$5:$AJ$304,"&gt;"&amp;AJ293)+COUNTIFS($AJ$5:AJ293,AJ293))</f>
        <v>0</v>
      </c>
      <c r="AL293" s="18">
        <f>IF(B293="","",IF(AG293&gt;0,COUNTIF(AG$5:AG293,"&gt;0"),""))</f>
        <v>0</v>
      </c>
      <c r="AM293" s="45">
        <f>IF(B293="","",SUMIFS('Grocery List'!$Q$5:$Q$304,'Grocery List'!$B$5:$B$304,B293))</f>
        <v>0</v>
      </c>
      <c r="AN293" s="31">
        <f>IF(B293="","",IF(I293="","Add - no price yet",IF(H293="","Add - no pack size",IF(COUNTIFS($B$5:$B$304,B293)&gt;1,"Duplicate - same name twice",IF(AF293=0,"Check - no recipe uses it","OK")))))</f>
        <v>0</v>
      </c>
    </row>
    <row r="294" spans="1:40">
      <c r="A294" s="39">
        <f>IF(B294="","",IngredientPrefix&amp;TEXT(ROW()-4,"0000"))</f>
        <v>0</v>
      </c>
      <c r="J294" s="25">
        <f>IF(OR(H294="",I294=""),"",IF(H294=0,"",I294/H294))</f>
        <v>0</v>
      </c>
      <c r="K294" s="25">
        <f>IF(J294="","",J294*100)</f>
        <v>0</v>
      </c>
      <c r="L294" s="25">
        <f>IF(B294="","",IFERROR(AVERAGEIFS('Grocery Spending'!$L$5:$L$404,'Grocery Spending'!$H$5:$H$404,B294,'Grocery Spending'!$L$5:$L$404,"&gt;0"),""))</f>
        <v>0</v>
      </c>
      <c r="M294" s="25">
        <f>IF(B294="","",IF(COUNTIFS('Store Prices'!$B$5:$B$304,B294)=0,"",IF(SUMPRODUCT(MIN((('Store Prices'!$B$5:$B$304=B294)*(IFERROR('Store Prices'!$I$5:$I$304*1,0)&gt;0))*IFERROR('Store Prices'!$I$5:$I$304*1,0)+(1-(('Store Prices'!$B$5:$B$304=B294)*(IFERROR('Store Prices'!$I$5:$I$304*1,0)&gt;0)))*999999))&gt;=999999,"",SUMPRODUCT(MIN((('Store Prices'!$B$5:$B$304=B294)*(IFERROR('Store Prices'!$I$5:$I$304*1,0)&gt;0))*IFERROR('Store Prices'!$I$5:$I$304*1,0)+(1-(('Store Prices'!$B$5:$B$304=B294)*(IFERROR('Store Prices'!$I$5:$I$304*1,0)&gt;0)))*999999)))))</f>
        <v>0</v>
      </c>
      <c r="N294" s="17">
        <f>IF(M294="","",IFERROR(INDEX('Store Prices'!$C$5:$C$304,MATCH(1,INDEX(('Store Prices'!$B$5:$B$304=B294)*('Store Prices'!$I$5:$I$304=M294),0),0)),""))</f>
        <v>0</v>
      </c>
      <c r="O294" s="25">
        <f>IF(OR(M294="",J294=""),"",MAX(0,(J294-M294)*100))</f>
        <v>0</v>
      </c>
      <c r="AD294" s="45">
        <f>IF(B294="","",SUMIFS(Pantry!$G$5:$G$304,Pantry!$B$5:$B$304,B294))</f>
        <v>0</v>
      </c>
      <c r="AE294" s="25">
        <f>IF(OR(AD294="",J294=""),"",AD294*J294)</f>
        <v>0</v>
      </c>
      <c r="AF294" s="18">
        <f>IF(B294="","",COUNTIFS('Recipe Ingredients'!$D$5:$D$1204,B294))</f>
        <v>0</v>
      </c>
      <c r="AG294" s="45">
        <f>IF(B294="","",SUMIFS('Recipe Ingredients'!$Y$5:$Y$1204,'Recipe Ingredients'!$D$5:$D$1204,B294))</f>
        <v>0</v>
      </c>
      <c r="AH294" s="30">
        <f>IF(B294="",0,IFERROR(K294*1,0)*IFERROR(AF294*1,0))</f>
        <v>0</v>
      </c>
      <c r="AI294" s="18">
        <f>IF(B294="","",COUNTIFS($AH$5:$AH$304,"&gt;"&amp;AH294)+COUNTIFS($AH$5:AH294,AH294))</f>
        <v>0</v>
      </c>
      <c r="AJ294" s="18">
        <f>IF(B294="",0,COUNTIFS('Food Waste'!$E$5:$E$154,B294))</f>
        <v>0</v>
      </c>
      <c r="AK294" s="18">
        <f>IF(B294="","",COUNTIFS($AJ$5:$AJ$304,"&gt;"&amp;AJ294)+COUNTIFS($AJ$5:AJ294,AJ294))</f>
        <v>0</v>
      </c>
      <c r="AL294" s="18">
        <f>IF(B294="","",IF(AG294&gt;0,COUNTIF(AG$5:AG294,"&gt;0"),""))</f>
        <v>0</v>
      </c>
      <c r="AM294" s="45">
        <f>IF(B294="","",SUMIFS('Grocery List'!$Q$5:$Q$304,'Grocery List'!$B$5:$B$304,B294))</f>
        <v>0</v>
      </c>
      <c r="AN294" s="31">
        <f>IF(B294="","",IF(I294="","Add - no price yet",IF(H294="","Add - no pack size",IF(COUNTIFS($B$5:$B$304,B294)&gt;1,"Duplicate - same name twice",IF(AF294=0,"Check - no recipe uses it","OK")))))</f>
        <v>0</v>
      </c>
    </row>
    <row r="295" spans="1:40">
      <c r="A295" s="39">
        <f>IF(B295="","",IngredientPrefix&amp;TEXT(ROW()-4,"0000"))</f>
        <v>0</v>
      </c>
      <c r="J295" s="25">
        <f>IF(OR(H295="",I295=""),"",IF(H295=0,"",I295/H295))</f>
        <v>0</v>
      </c>
      <c r="K295" s="25">
        <f>IF(J295="","",J295*100)</f>
        <v>0</v>
      </c>
      <c r="L295" s="25">
        <f>IF(B295="","",IFERROR(AVERAGEIFS('Grocery Spending'!$L$5:$L$404,'Grocery Spending'!$H$5:$H$404,B295,'Grocery Spending'!$L$5:$L$404,"&gt;0"),""))</f>
        <v>0</v>
      </c>
      <c r="M295" s="25">
        <f>IF(B295="","",IF(COUNTIFS('Store Prices'!$B$5:$B$304,B295)=0,"",IF(SUMPRODUCT(MIN((('Store Prices'!$B$5:$B$304=B295)*(IFERROR('Store Prices'!$I$5:$I$304*1,0)&gt;0))*IFERROR('Store Prices'!$I$5:$I$304*1,0)+(1-(('Store Prices'!$B$5:$B$304=B295)*(IFERROR('Store Prices'!$I$5:$I$304*1,0)&gt;0)))*999999))&gt;=999999,"",SUMPRODUCT(MIN((('Store Prices'!$B$5:$B$304=B295)*(IFERROR('Store Prices'!$I$5:$I$304*1,0)&gt;0))*IFERROR('Store Prices'!$I$5:$I$304*1,0)+(1-(('Store Prices'!$B$5:$B$304=B295)*(IFERROR('Store Prices'!$I$5:$I$304*1,0)&gt;0)))*999999)))))</f>
        <v>0</v>
      </c>
      <c r="N295" s="17">
        <f>IF(M295="","",IFERROR(INDEX('Store Prices'!$C$5:$C$304,MATCH(1,INDEX(('Store Prices'!$B$5:$B$304=B295)*('Store Prices'!$I$5:$I$304=M295),0),0)),""))</f>
        <v>0</v>
      </c>
      <c r="O295" s="25">
        <f>IF(OR(M295="",J295=""),"",MAX(0,(J295-M295)*100))</f>
        <v>0</v>
      </c>
      <c r="AD295" s="45">
        <f>IF(B295="","",SUMIFS(Pantry!$G$5:$G$304,Pantry!$B$5:$B$304,B295))</f>
        <v>0</v>
      </c>
      <c r="AE295" s="25">
        <f>IF(OR(AD295="",J295=""),"",AD295*J295)</f>
        <v>0</v>
      </c>
      <c r="AF295" s="18">
        <f>IF(B295="","",COUNTIFS('Recipe Ingredients'!$D$5:$D$1204,B295))</f>
        <v>0</v>
      </c>
      <c r="AG295" s="45">
        <f>IF(B295="","",SUMIFS('Recipe Ingredients'!$Y$5:$Y$1204,'Recipe Ingredients'!$D$5:$D$1204,B295))</f>
        <v>0</v>
      </c>
      <c r="AH295" s="30">
        <f>IF(B295="",0,IFERROR(K295*1,0)*IFERROR(AF295*1,0))</f>
        <v>0</v>
      </c>
      <c r="AI295" s="18">
        <f>IF(B295="","",COUNTIFS($AH$5:$AH$304,"&gt;"&amp;AH295)+COUNTIFS($AH$5:AH295,AH295))</f>
        <v>0</v>
      </c>
      <c r="AJ295" s="18">
        <f>IF(B295="",0,COUNTIFS('Food Waste'!$E$5:$E$154,B295))</f>
        <v>0</v>
      </c>
      <c r="AK295" s="18">
        <f>IF(B295="","",COUNTIFS($AJ$5:$AJ$304,"&gt;"&amp;AJ295)+COUNTIFS($AJ$5:AJ295,AJ295))</f>
        <v>0</v>
      </c>
      <c r="AL295" s="18">
        <f>IF(B295="","",IF(AG295&gt;0,COUNTIF(AG$5:AG295,"&gt;0"),""))</f>
        <v>0</v>
      </c>
      <c r="AM295" s="45">
        <f>IF(B295="","",SUMIFS('Grocery List'!$Q$5:$Q$304,'Grocery List'!$B$5:$B$304,B295))</f>
        <v>0</v>
      </c>
      <c r="AN295" s="31">
        <f>IF(B295="","",IF(I295="","Add - no price yet",IF(H295="","Add - no pack size",IF(COUNTIFS($B$5:$B$304,B295)&gt;1,"Duplicate - same name twice",IF(AF295=0,"Check - no recipe uses it","OK")))))</f>
        <v>0</v>
      </c>
    </row>
    <row r="296" spans="1:40">
      <c r="A296" s="39">
        <f>IF(B296="","",IngredientPrefix&amp;TEXT(ROW()-4,"0000"))</f>
        <v>0</v>
      </c>
      <c r="J296" s="25">
        <f>IF(OR(H296="",I296=""),"",IF(H296=0,"",I296/H296))</f>
        <v>0</v>
      </c>
      <c r="K296" s="25">
        <f>IF(J296="","",J296*100)</f>
        <v>0</v>
      </c>
      <c r="L296" s="25">
        <f>IF(B296="","",IFERROR(AVERAGEIFS('Grocery Spending'!$L$5:$L$404,'Grocery Spending'!$H$5:$H$404,B296,'Grocery Spending'!$L$5:$L$404,"&gt;0"),""))</f>
        <v>0</v>
      </c>
      <c r="M296" s="25">
        <f>IF(B296="","",IF(COUNTIFS('Store Prices'!$B$5:$B$304,B296)=0,"",IF(SUMPRODUCT(MIN((('Store Prices'!$B$5:$B$304=B296)*(IFERROR('Store Prices'!$I$5:$I$304*1,0)&gt;0))*IFERROR('Store Prices'!$I$5:$I$304*1,0)+(1-(('Store Prices'!$B$5:$B$304=B296)*(IFERROR('Store Prices'!$I$5:$I$304*1,0)&gt;0)))*999999))&gt;=999999,"",SUMPRODUCT(MIN((('Store Prices'!$B$5:$B$304=B296)*(IFERROR('Store Prices'!$I$5:$I$304*1,0)&gt;0))*IFERROR('Store Prices'!$I$5:$I$304*1,0)+(1-(('Store Prices'!$B$5:$B$304=B296)*(IFERROR('Store Prices'!$I$5:$I$304*1,0)&gt;0)))*999999)))))</f>
        <v>0</v>
      </c>
      <c r="N296" s="17">
        <f>IF(M296="","",IFERROR(INDEX('Store Prices'!$C$5:$C$304,MATCH(1,INDEX(('Store Prices'!$B$5:$B$304=B296)*('Store Prices'!$I$5:$I$304=M296),0),0)),""))</f>
        <v>0</v>
      </c>
      <c r="O296" s="25">
        <f>IF(OR(M296="",J296=""),"",MAX(0,(J296-M296)*100))</f>
        <v>0</v>
      </c>
      <c r="AD296" s="45">
        <f>IF(B296="","",SUMIFS(Pantry!$G$5:$G$304,Pantry!$B$5:$B$304,B296))</f>
        <v>0</v>
      </c>
      <c r="AE296" s="25">
        <f>IF(OR(AD296="",J296=""),"",AD296*J296)</f>
        <v>0</v>
      </c>
      <c r="AF296" s="18">
        <f>IF(B296="","",COUNTIFS('Recipe Ingredients'!$D$5:$D$1204,B296))</f>
        <v>0</v>
      </c>
      <c r="AG296" s="45">
        <f>IF(B296="","",SUMIFS('Recipe Ingredients'!$Y$5:$Y$1204,'Recipe Ingredients'!$D$5:$D$1204,B296))</f>
        <v>0</v>
      </c>
      <c r="AH296" s="30">
        <f>IF(B296="",0,IFERROR(K296*1,0)*IFERROR(AF296*1,0))</f>
        <v>0</v>
      </c>
      <c r="AI296" s="18">
        <f>IF(B296="","",COUNTIFS($AH$5:$AH$304,"&gt;"&amp;AH296)+COUNTIFS($AH$5:AH296,AH296))</f>
        <v>0</v>
      </c>
      <c r="AJ296" s="18">
        <f>IF(B296="",0,COUNTIFS('Food Waste'!$E$5:$E$154,B296))</f>
        <v>0</v>
      </c>
      <c r="AK296" s="18">
        <f>IF(B296="","",COUNTIFS($AJ$5:$AJ$304,"&gt;"&amp;AJ296)+COUNTIFS($AJ$5:AJ296,AJ296))</f>
        <v>0</v>
      </c>
      <c r="AL296" s="18">
        <f>IF(B296="","",IF(AG296&gt;0,COUNTIF(AG$5:AG296,"&gt;0"),""))</f>
        <v>0</v>
      </c>
      <c r="AM296" s="45">
        <f>IF(B296="","",SUMIFS('Grocery List'!$Q$5:$Q$304,'Grocery List'!$B$5:$B$304,B296))</f>
        <v>0</v>
      </c>
      <c r="AN296" s="31">
        <f>IF(B296="","",IF(I296="","Add - no price yet",IF(H296="","Add - no pack size",IF(COUNTIFS($B$5:$B$304,B296)&gt;1,"Duplicate - same name twice",IF(AF296=0,"Check - no recipe uses it","OK")))))</f>
        <v>0</v>
      </c>
    </row>
    <row r="297" spans="1:40">
      <c r="A297" s="39">
        <f>IF(B297="","",IngredientPrefix&amp;TEXT(ROW()-4,"0000"))</f>
        <v>0</v>
      </c>
      <c r="J297" s="25">
        <f>IF(OR(H297="",I297=""),"",IF(H297=0,"",I297/H297))</f>
        <v>0</v>
      </c>
      <c r="K297" s="25">
        <f>IF(J297="","",J297*100)</f>
        <v>0</v>
      </c>
      <c r="L297" s="25">
        <f>IF(B297="","",IFERROR(AVERAGEIFS('Grocery Spending'!$L$5:$L$404,'Grocery Spending'!$H$5:$H$404,B297,'Grocery Spending'!$L$5:$L$404,"&gt;0"),""))</f>
        <v>0</v>
      </c>
      <c r="M297" s="25">
        <f>IF(B297="","",IF(COUNTIFS('Store Prices'!$B$5:$B$304,B297)=0,"",IF(SUMPRODUCT(MIN((('Store Prices'!$B$5:$B$304=B297)*(IFERROR('Store Prices'!$I$5:$I$304*1,0)&gt;0))*IFERROR('Store Prices'!$I$5:$I$304*1,0)+(1-(('Store Prices'!$B$5:$B$304=B297)*(IFERROR('Store Prices'!$I$5:$I$304*1,0)&gt;0)))*999999))&gt;=999999,"",SUMPRODUCT(MIN((('Store Prices'!$B$5:$B$304=B297)*(IFERROR('Store Prices'!$I$5:$I$304*1,0)&gt;0))*IFERROR('Store Prices'!$I$5:$I$304*1,0)+(1-(('Store Prices'!$B$5:$B$304=B297)*(IFERROR('Store Prices'!$I$5:$I$304*1,0)&gt;0)))*999999)))))</f>
        <v>0</v>
      </c>
      <c r="N297" s="17">
        <f>IF(M297="","",IFERROR(INDEX('Store Prices'!$C$5:$C$304,MATCH(1,INDEX(('Store Prices'!$B$5:$B$304=B297)*('Store Prices'!$I$5:$I$304=M297),0),0)),""))</f>
        <v>0</v>
      </c>
      <c r="O297" s="25">
        <f>IF(OR(M297="",J297=""),"",MAX(0,(J297-M297)*100))</f>
        <v>0</v>
      </c>
      <c r="AD297" s="45">
        <f>IF(B297="","",SUMIFS(Pantry!$G$5:$G$304,Pantry!$B$5:$B$304,B297))</f>
        <v>0</v>
      </c>
      <c r="AE297" s="25">
        <f>IF(OR(AD297="",J297=""),"",AD297*J297)</f>
        <v>0</v>
      </c>
      <c r="AF297" s="18">
        <f>IF(B297="","",COUNTIFS('Recipe Ingredients'!$D$5:$D$1204,B297))</f>
        <v>0</v>
      </c>
      <c r="AG297" s="45">
        <f>IF(B297="","",SUMIFS('Recipe Ingredients'!$Y$5:$Y$1204,'Recipe Ingredients'!$D$5:$D$1204,B297))</f>
        <v>0</v>
      </c>
      <c r="AH297" s="30">
        <f>IF(B297="",0,IFERROR(K297*1,0)*IFERROR(AF297*1,0))</f>
        <v>0</v>
      </c>
      <c r="AI297" s="18">
        <f>IF(B297="","",COUNTIFS($AH$5:$AH$304,"&gt;"&amp;AH297)+COUNTIFS($AH$5:AH297,AH297))</f>
        <v>0</v>
      </c>
      <c r="AJ297" s="18">
        <f>IF(B297="",0,COUNTIFS('Food Waste'!$E$5:$E$154,B297))</f>
        <v>0</v>
      </c>
      <c r="AK297" s="18">
        <f>IF(B297="","",COUNTIFS($AJ$5:$AJ$304,"&gt;"&amp;AJ297)+COUNTIFS($AJ$5:AJ297,AJ297))</f>
        <v>0</v>
      </c>
      <c r="AL297" s="18">
        <f>IF(B297="","",IF(AG297&gt;0,COUNTIF(AG$5:AG297,"&gt;0"),""))</f>
        <v>0</v>
      </c>
      <c r="AM297" s="45">
        <f>IF(B297="","",SUMIFS('Grocery List'!$Q$5:$Q$304,'Grocery List'!$B$5:$B$304,B297))</f>
        <v>0</v>
      </c>
      <c r="AN297" s="31">
        <f>IF(B297="","",IF(I297="","Add - no price yet",IF(H297="","Add - no pack size",IF(COUNTIFS($B$5:$B$304,B297)&gt;1,"Duplicate - same name twice",IF(AF297=0,"Check - no recipe uses it","OK")))))</f>
        <v>0</v>
      </c>
    </row>
    <row r="298" spans="1:40">
      <c r="A298" s="39">
        <f>IF(B298="","",IngredientPrefix&amp;TEXT(ROW()-4,"0000"))</f>
        <v>0</v>
      </c>
      <c r="J298" s="25">
        <f>IF(OR(H298="",I298=""),"",IF(H298=0,"",I298/H298))</f>
        <v>0</v>
      </c>
      <c r="K298" s="25">
        <f>IF(J298="","",J298*100)</f>
        <v>0</v>
      </c>
      <c r="L298" s="25">
        <f>IF(B298="","",IFERROR(AVERAGEIFS('Grocery Spending'!$L$5:$L$404,'Grocery Spending'!$H$5:$H$404,B298,'Grocery Spending'!$L$5:$L$404,"&gt;0"),""))</f>
        <v>0</v>
      </c>
      <c r="M298" s="25">
        <f>IF(B298="","",IF(COUNTIFS('Store Prices'!$B$5:$B$304,B298)=0,"",IF(SUMPRODUCT(MIN((('Store Prices'!$B$5:$B$304=B298)*(IFERROR('Store Prices'!$I$5:$I$304*1,0)&gt;0))*IFERROR('Store Prices'!$I$5:$I$304*1,0)+(1-(('Store Prices'!$B$5:$B$304=B298)*(IFERROR('Store Prices'!$I$5:$I$304*1,0)&gt;0)))*999999))&gt;=999999,"",SUMPRODUCT(MIN((('Store Prices'!$B$5:$B$304=B298)*(IFERROR('Store Prices'!$I$5:$I$304*1,0)&gt;0))*IFERROR('Store Prices'!$I$5:$I$304*1,0)+(1-(('Store Prices'!$B$5:$B$304=B298)*(IFERROR('Store Prices'!$I$5:$I$304*1,0)&gt;0)))*999999)))))</f>
        <v>0</v>
      </c>
      <c r="N298" s="17">
        <f>IF(M298="","",IFERROR(INDEX('Store Prices'!$C$5:$C$304,MATCH(1,INDEX(('Store Prices'!$B$5:$B$304=B298)*('Store Prices'!$I$5:$I$304=M298),0),0)),""))</f>
        <v>0</v>
      </c>
      <c r="O298" s="25">
        <f>IF(OR(M298="",J298=""),"",MAX(0,(J298-M298)*100))</f>
        <v>0</v>
      </c>
      <c r="AD298" s="45">
        <f>IF(B298="","",SUMIFS(Pantry!$G$5:$G$304,Pantry!$B$5:$B$304,B298))</f>
        <v>0</v>
      </c>
      <c r="AE298" s="25">
        <f>IF(OR(AD298="",J298=""),"",AD298*J298)</f>
        <v>0</v>
      </c>
      <c r="AF298" s="18">
        <f>IF(B298="","",COUNTIFS('Recipe Ingredients'!$D$5:$D$1204,B298))</f>
        <v>0</v>
      </c>
      <c r="AG298" s="45">
        <f>IF(B298="","",SUMIFS('Recipe Ingredients'!$Y$5:$Y$1204,'Recipe Ingredients'!$D$5:$D$1204,B298))</f>
        <v>0</v>
      </c>
      <c r="AH298" s="30">
        <f>IF(B298="",0,IFERROR(K298*1,0)*IFERROR(AF298*1,0))</f>
        <v>0</v>
      </c>
      <c r="AI298" s="18">
        <f>IF(B298="","",COUNTIFS($AH$5:$AH$304,"&gt;"&amp;AH298)+COUNTIFS($AH$5:AH298,AH298))</f>
        <v>0</v>
      </c>
      <c r="AJ298" s="18">
        <f>IF(B298="",0,COUNTIFS('Food Waste'!$E$5:$E$154,B298))</f>
        <v>0</v>
      </c>
      <c r="AK298" s="18">
        <f>IF(B298="","",COUNTIFS($AJ$5:$AJ$304,"&gt;"&amp;AJ298)+COUNTIFS($AJ$5:AJ298,AJ298))</f>
        <v>0</v>
      </c>
      <c r="AL298" s="18">
        <f>IF(B298="","",IF(AG298&gt;0,COUNTIF(AG$5:AG298,"&gt;0"),""))</f>
        <v>0</v>
      </c>
      <c r="AM298" s="45">
        <f>IF(B298="","",SUMIFS('Grocery List'!$Q$5:$Q$304,'Grocery List'!$B$5:$B$304,B298))</f>
        <v>0</v>
      </c>
      <c r="AN298" s="31">
        <f>IF(B298="","",IF(I298="","Add - no price yet",IF(H298="","Add - no pack size",IF(COUNTIFS($B$5:$B$304,B298)&gt;1,"Duplicate - same name twice",IF(AF298=0,"Check - no recipe uses it","OK")))))</f>
        <v>0</v>
      </c>
    </row>
    <row r="299" spans="1:40">
      <c r="A299" s="39">
        <f>IF(B299="","",IngredientPrefix&amp;TEXT(ROW()-4,"0000"))</f>
        <v>0</v>
      </c>
      <c r="J299" s="25">
        <f>IF(OR(H299="",I299=""),"",IF(H299=0,"",I299/H299))</f>
        <v>0</v>
      </c>
      <c r="K299" s="25">
        <f>IF(J299="","",J299*100)</f>
        <v>0</v>
      </c>
      <c r="L299" s="25">
        <f>IF(B299="","",IFERROR(AVERAGEIFS('Grocery Spending'!$L$5:$L$404,'Grocery Spending'!$H$5:$H$404,B299,'Grocery Spending'!$L$5:$L$404,"&gt;0"),""))</f>
        <v>0</v>
      </c>
      <c r="M299" s="25">
        <f>IF(B299="","",IF(COUNTIFS('Store Prices'!$B$5:$B$304,B299)=0,"",IF(SUMPRODUCT(MIN((('Store Prices'!$B$5:$B$304=B299)*(IFERROR('Store Prices'!$I$5:$I$304*1,0)&gt;0))*IFERROR('Store Prices'!$I$5:$I$304*1,0)+(1-(('Store Prices'!$B$5:$B$304=B299)*(IFERROR('Store Prices'!$I$5:$I$304*1,0)&gt;0)))*999999))&gt;=999999,"",SUMPRODUCT(MIN((('Store Prices'!$B$5:$B$304=B299)*(IFERROR('Store Prices'!$I$5:$I$304*1,0)&gt;0))*IFERROR('Store Prices'!$I$5:$I$304*1,0)+(1-(('Store Prices'!$B$5:$B$304=B299)*(IFERROR('Store Prices'!$I$5:$I$304*1,0)&gt;0)))*999999)))))</f>
        <v>0</v>
      </c>
      <c r="N299" s="17">
        <f>IF(M299="","",IFERROR(INDEX('Store Prices'!$C$5:$C$304,MATCH(1,INDEX(('Store Prices'!$B$5:$B$304=B299)*('Store Prices'!$I$5:$I$304=M299),0),0)),""))</f>
        <v>0</v>
      </c>
      <c r="O299" s="25">
        <f>IF(OR(M299="",J299=""),"",MAX(0,(J299-M299)*100))</f>
        <v>0</v>
      </c>
      <c r="AD299" s="45">
        <f>IF(B299="","",SUMIFS(Pantry!$G$5:$G$304,Pantry!$B$5:$B$304,B299))</f>
        <v>0</v>
      </c>
      <c r="AE299" s="25">
        <f>IF(OR(AD299="",J299=""),"",AD299*J299)</f>
        <v>0</v>
      </c>
      <c r="AF299" s="18">
        <f>IF(B299="","",COUNTIFS('Recipe Ingredients'!$D$5:$D$1204,B299))</f>
        <v>0</v>
      </c>
      <c r="AG299" s="45">
        <f>IF(B299="","",SUMIFS('Recipe Ingredients'!$Y$5:$Y$1204,'Recipe Ingredients'!$D$5:$D$1204,B299))</f>
        <v>0</v>
      </c>
      <c r="AH299" s="30">
        <f>IF(B299="",0,IFERROR(K299*1,0)*IFERROR(AF299*1,0))</f>
        <v>0</v>
      </c>
      <c r="AI299" s="18">
        <f>IF(B299="","",COUNTIFS($AH$5:$AH$304,"&gt;"&amp;AH299)+COUNTIFS($AH$5:AH299,AH299))</f>
        <v>0</v>
      </c>
      <c r="AJ299" s="18">
        <f>IF(B299="",0,COUNTIFS('Food Waste'!$E$5:$E$154,B299))</f>
        <v>0</v>
      </c>
      <c r="AK299" s="18">
        <f>IF(B299="","",COUNTIFS($AJ$5:$AJ$304,"&gt;"&amp;AJ299)+COUNTIFS($AJ$5:AJ299,AJ299))</f>
        <v>0</v>
      </c>
      <c r="AL299" s="18">
        <f>IF(B299="","",IF(AG299&gt;0,COUNTIF(AG$5:AG299,"&gt;0"),""))</f>
        <v>0</v>
      </c>
      <c r="AM299" s="45">
        <f>IF(B299="","",SUMIFS('Grocery List'!$Q$5:$Q$304,'Grocery List'!$B$5:$B$304,B299))</f>
        <v>0</v>
      </c>
      <c r="AN299" s="31">
        <f>IF(B299="","",IF(I299="","Add - no price yet",IF(H299="","Add - no pack size",IF(COUNTIFS($B$5:$B$304,B299)&gt;1,"Duplicate - same name twice",IF(AF299=0,"Check - no recipe uses it","OK")))))</f>
        <v>0</v>
      </c>
    </row>
    <row r="300" spans="1:40">
      <c r="A300" s="39">
        <f>IF(B300="","",IngredientPrefix&amp;TEXT(ROW()-4,"0000"))</f>
        <v>0</v>
      </c>
      <c r="J300" s="25">
        <f>IF(OR(H300="",I300=""),"",IF(H300=0,"",I300/H300))</f>
        <v>0</v>
      </c>
      <c r="K300" s="25">
        <f>IF(J300="","",J300*100)</f>
        <v>0</v>
      </c>
      <c r="L300" s="25">
        <f>IF(B300="","",IFERROR(AVERAGEIFS('Grocery Spending'!$L$5:$L$404,'Grocery Spending'!$H$5:$H$404,B300,'Grocery Spending'!$L$5:$L$404,"&gt;0"),""))</f>
        <v>0</v>
      </c>
      <c r="M300" s="25">
        <f>IF(B300="","",IF(COUNTIFS('Store Prices'!$B$5:$B$304,B300)=0,"",IF(SUMPRODUCT(MIN((('Store Prices'!$B$5:$B$304=B300)*(IFERROR('Store Prices'!$I$5:$I$304*1,0)&gt;0))*IFERROR('Store Prices'!$I$5:$I$304*1,0)+(1-(('Store Prices'!$B$5:$B$304=B300)*(IFERROR('Store Prices'!$I$5:$I$304*1,0)&gt;0)))*999999))&gt;=999999,"",SUMPRODUCT(MIN((('Store Prices'!$B$5:$B$304=B300)*(IFERROR('Store Prices'!$I$5:$I$304*1,0)&gt;0))*IFERROR('Store Prices'!$I$5:$I$304*1,0)+(1-(('Store Prices'!$B$5:$B$304=B300)*(IFERROR('Store Prices'!$I$5:$I$304*1,0)&gt;0)))*999999)))))</f>
        <v>0</v>
      </c>
      <c r="N300" s="17">
        <f>IF(M300="","",IFERROR(INDEX('Store Prices'!$C$5:$C$304,MATCH(1,INDEX(('Store Prices'!$B$5:$B$304=B300)*('Store Prices'!$I$5:$I$304=M300),0),0)),""))</f>
        <v>0</v>
      </c>
      <c r="O300" s="25">
        <f>IF(OR(M300="",J300=""),"",MAX(0,(J300-M300)*100))</f>
        <v>0</v>
      </c>
      <c r="AD300" s="45">
        <f>IF(B300="","",SUMIFS(Pantry!$G$5:$G$304,Pantry!$B$5:$B$304,B300))</f>
        <v>0</v>
      </c>
      <c r="AE300" s="25">
        <f>IF(OR(AD300="",J300=""),"",AD300*J300)</f>
        <v>0</v>
      </c>
      <c r="AF300" s="18">
        <f>IF(B300="","",COUNTIFS('Recipe Ingredients'!$D$5:$D$1204,B300))</f>
        <v>0</v>
      </c>
      <c r="AG300" s="45">
        <f>IF(B300="","",SUMIFS('Recipe Ingredients'!$Y$5:$Y$1204,'Recipe Ingredients'!$D$5:$D$1204,B300))</f>
        <v>0</v>
      </c>
      <c r="AH300" s="30">
        <f>IF(B300="",0,IFERROR(K300*1,0)*IFERROR(AF300*1,0))</f>
        <v>0</v>
      </c>
      <c r="AI300" s="18">
        <f>IF(B300="","",COUNTIFS($AH$5:$AH$304,"&gt;"&amp;AH300)+COUNTIFS($AH$5:AH300,AH300))</f>
        <v>0</v>
      </c>
      <c r="AJ300" s="18">
        <f>IF(B300="",0,COUNTIFS('Food Waste'!$E$5:$E$154,B300))</f>
        <v>0</v>
      </c>
      <c r="AK300" s="18">
        <f>IF(B300="","",COUNTIFS($AJ$5:$AJ$304,"&gt;"&amp;AJ300)+COUNTIFS($AJ$5:AJ300,AJ300))</f>
        <v>0</v>
      </c>
      <c r="AL300" s="18">
        <f>IF(B300="","",IF(AG300&gt;0,COUNTIF(AG$5:AG300,"&gt;0"),""))</f>
        <v>0</v>
      </c>
      <c r="AM300" s="45">
        <f>IF(B300="","",SUMIFS('Grocery List'!$Q$5:$Q$304,'Grocery List'!$B$5:$B$304,B300))</f>
        <v>0</v>
      </c>
      <c r="AN300" s="31">
        <f>IF(B300="","",IF(I300="","Add - no price yet",IF(H300="","Add - no pack size",IF(COUNTIFS($B$5:$B$304,B300)&gt;1,"Duplicate - same name twice",IF(AF300=0,"Check - no recipe uses it","OK")))))</f>
        <v>0</v>
      </c>
    </row>
    <row r="301" spans="1:40">
      <c r="A301" s="39">
        <f>IF(B301="","",IngredientPrefix&amp;TEXT(ROW()-4,"0000"))</f>
        <v>0</v>
      </c>
      <c r="J301" s="25">
        <f>IF(OR(H301="",I301=""),"",IF(H301=0,"",I301/H301))</f>
        <v>0</v>
      </c>
      <c r="K301" s="25">
        <f>IF(J301="","",J301*100)</f>
        <v>0</v>
      </c>
      <c r="L301" s="25">
        <f>IF(B301="","",IFERROR(AVERAGEIFS('Grocery Spending'!$L$5:$L$404,'Grocery Spending'!$H$5:$H$404,B301,'Grocery Spending'!$L$5:$L$404,"&gt;0"),""))</f>
        <v>0</v>
      </c>
      <c r="M301" s="25">
        <f>IF(B301="","",IF(COUNTIFS('Store Prices'!$B$5:$B$304,B301)=0,"",IF(SUMPRODUCT(MIN((('Store Prices'!$B$5:$B$304=B301)*(IFERROR('Store Prices'!$I$5:$I$304*1,0)&gt;0))*IFERROR('Store Prices'!$I$5:$I$304*1,0)+(1-(('Store Prices'!$B$5:$B$304=B301)*(IFERROR('Store Prices'!$I$5:$I$304*1,0)&gt;0)))*999999))&gt;=999999,"",SUMPRODUCT(MIN((('Store Prices'!$B$5:$B$304=B301)*(IFERROR('Store Prices'!$I$5:$I$304*1,0)&gt;0))*IFERROR('Store Prices'!$I$5:$I$304*1,0)+(1-(('Store Prices'!$B$5:$B$304=B301)*(IFERROR('Store Prices'!$I$5:$I$304*1,0)&gt;0)))*999999)))))</f>
        <v>0</v>
      </c>
      <c r="N301" s="17">
        <f>IF(M301="","",IFERROR(INDEX('Store Prices'!$C$5:$C$304,MATCH(1,INDEX(('Store Prices'!$B$5:$B$304=B301)*('Store Prices'!$I$5:$I$304=M301),0),0)),""))</f>
        <v>0</v>
      </c>
      <c r="O301" s="25">
        <f>IF(OR(M301="",J301=""),"",MAX(0,(J301-M301)*100))</f>
        <v>0</v>
      </c>
      <c r="AD301" s="45">
        <f>IF(B301="","",SUMIFS(Pantry!$G$5:$G$304,Pantry!$B$5:$B$304,B301))</f>
        <v>0</v>
      </c>
      <c r="AE301" s="25">
        <f>IF(OR(AD301="",J301=""),"",AD301*J301)</f>
        <v>0</v>
      </c>
      <c r="AF301" s="18">
        <f>IF(B301="","",COUNTIFS('Recipe Ingredients'!$D$5:$D$1204,B301))</f>
        <v>0</v>
      </c>
      <c r="AG301" s="45">
        <f>IF(B301="","",SUMIFS('Recipe Ingredients'!$Y$5:$Y$1204,'Recipe Ingredients'!$D$5:$D$1204,B301))</f>
        <v>0</v>
      </c>
      <c r="AH301" s="30">
        <f>IF(B301="",0,IFERROR(K301*1,0)*IFERROR(AF301*1,0))</f>
        <v>0</v>
      </c>
      <c r="AI301" s="18">
        <f>IF(B301="","",COUNTIFS($AH$5:$AH$304,"&gt;"&amp;AH301)+COUNTIFS($AH$5:AH301,AH301))</f>
        <v>0</v>
      </c>
      <c r="AJ301" s="18">
        <f>IF(B301="",0,COUNTIFS('Food Waste'!$E$5:$E$154,B301))</f>
        <v>0</v>
      </c>
      <c r="AK301" s="18">
        <f>IF(B301="","",COUNTIFS($AJ$5:$AJ$304,"&gt;"&amp;AJ301)+COUNTIFS($AJ$5:AJ301,AJ301))</f>
        <v>0</v>
      </c>
      <c r="AL301" s="18">
        <f>IF(B301="","",IF(AG301&gt;0,COUNTIF(AG$5:AG301,"&gt;0"),""))</f>
        <v>0</v>
      </c>
      <c r="AM301" s="45">
        <f>IF(B301="","",SUMIFS('Grocery List'!$Q$5:$Q$304,'Grocery List'!$B$5:$B$304,B301))</f>
        <v>0</v>
      </c>
      <c r="AN301" s="31">
        <f>IF(B301="","",IF(I301="","Add - no price yet",IF(H301="","Add - no pack size",IF(COUNTIFS($B$5:$B$304,B301)&gt;1,"Duplicate - same name twice",IF(AF301=0,"Check - no recipe uses it","OK")))))</f>
        <v>0</v>
      </c>
    </row>
    <row r="302" spans="1:40">
      <c r="A302" s="39">
        <f>IF(B302="","",IngredientPrefix&amp;TEXT(ROW()-4,"0000"))</f>
        <v>0</v>
      </c>
      <c r="J302" s="25">
        <f>IF(OR(H302="",I302=""),"",IF(H302=0,"",I302/H302))</f>
        <v>0</v>
      </c>
      <c r="K302" s="25">
        <f>IF(J302="","",J302*100)</f>
        <v>0</v>
      </c>
      <c r="L302" s="25">
        <f>IF(B302="","",IFERROR(AVERAGEIFS('Grocery Spending'!$L$5:$L$404,'Grocery Spending'!$H$5:$H$404,B302,'Grocery Spending'!$L$5:$L$404,"&gt;0"),""))</f>
        <v>0</v>
      </c>
      <c r="M302" s="25">
        <f>IF(B302="","",IF(COUNTIFS('Store Prices'!$B$5:$B$304,B302)=0,"",IF(SUMPRODUCT(MIN((('Store Prices'!$B$5:$B$304=B302)*(IFERROR('Store Prices'!$I$5:$I$304*1,0)&gt;0))*IFERROR('Store Prices'!$I$5:$I$304*1,0)+(1-(('Store Prices'!$B$5:$B$304=B302)*(IFERROR('Store Prices'!$I$5:$I$304*1,0)&gt;0)))*999999))&gt;=999999,"",SUMPRODUCT(MIN((('Store Prices'!$B$5:$B$304=B302)*(IFERROR('Store Prices'!$I$5:$I$304*1,0)&gt;0))*IFERROR('Store Prices'!$I$5:$I$304*1,0)+(1-(('Store Prices'!$B$5:$B$304=B302)*(IFERROR('Store Prices'!$I$5:$I$304*1,0)&gt;0)))*999999)))))</f>
        <v>0</v>
      </c>
      <c r="N302" s="17">
        <f>IF(M302="","",IFERROR(INDEX('Store Prices'!$C$5:$C$304,MATCH(1,INDEX(('Store Prices'!$B$5:$B$304=B302)*('Store Prices'!$I$5:$I$304=M302),0),0)),""))</f>
        <v>0</v>
      </c>
      <c r="O302" s="25">
        <f>IF(OR(M302="",J302=""),"",MAX(0,(J302-M302)*100))</f>
        <v>0</v>
      </c>
      <c r="AD302" s="45">
        <f>IF(B302="","",SUMIFS(Pantry!$G$5:$G$304,Pantry!$B$5:$B$304,B302))</f>
        <v>0</v>
      </c>
      <c r="AE302" s="25">
        <f>IF(OR(AD302="",J302=""),"",AD302*J302)</f>
        <v>0</v>
      </c>
      <c r="AF302" s="18">
        <f>IF(B302="","",COUNTIFS('Recipe Ingredients'!$D$5:$D$1204,B302))</f>
        <v>0</v>
      </c>
      <c r="AG302" s="45">
        <f>IF(B302="","",SUMIFS('Recipe Ingredients'!$Y$5:$Y$1204,'Recipe Ingredients'!$D$5:$D$1204,B302))</f>
        <v>0</v>
      </c>
      <c r="AH302" s="30">
        <f>IF(B302="",0,IFERROR(K302*1,0)*IFERROR(AF302*1,0))</f>
        <v>0</v>
      </c>
      <c r="AI302" s="18">
        <f>IF(B302="","",COUNTIFS($AH$5:$AH$304,"&gt;"&amp;AH302)+COUNTIFS($AH$5:AH302,AH302))</f>
        <v>0</v>
      </c>
      <c r="AJ302" s="18">
        <f>IF(B302="",0,COUNTIFS('Food Waste'!$E$5:$E$154,B302))</f>
        <v>0</v>
      </c>
      <c r="AK302" s="18">
        <f>IF(B302="","",COUNTIFS($AJ$5:$AJ$304,"&gt;"&amp;AJ302)+COUNTIFS($AJ$5:AJ302,AJ302))</f>
        <v>0</v>
      </c>
      <c r="AL302" s="18">
        <f>IF(B302="","",IF(AG302&gt;0,COUNTIF(AG$5:AG302,"&gt;0"),""))</f>
        <v>0</v>
      </c>
      <c r="AM302" s="45">
        <f>IF(B302="","",SUMIFS('Grocery List'!$Q$5:$Q$304,'Grocery List'!$B$5:$B$304,B302))</f>
        <v>0</v>
      </c>
      <c r="AN302" s="31">
        <f>IF(B302="","",IF(I302="","Add - no price yet",IF(H302="","Add - no pack size",IF(COUNTIFS($B$5:$B$304,B302)&gt;1,"Duplicate - same name twice",IF(AF302=0,"Check - no recipe uses it","OK")))))</f>
        <v>0</v>
      </c>
    </row>
    <row r="303" spans="1:40">
      <c r="A303" s="39">
        <f>IF(B303="","",IngredientPrefix&amp;TEXT(ROW()-4,"0000"))</f>
        <v>0</v>
      </c>
      <c r="J303" s="25">
        <f>IF(OR(H303="",I303=""),"",IF(H303=0,"",I303/H303))</f>
        <v>0</v>
      </c>
      <c r="K303" s="25">
        <f>IF(J303="","",J303*100)</f>
        <v>0</v>
      </c>
      <c r="L303" s="25">
        <f>IF(B303="","",IFERROR(AVERAGEIFS('Grocery Spending'!$L$5:$L$404,'Grocery Spending'!$H$5:$H$404,B303,'Grocery Spending'!$L$5:$L$404,"&gt;0"),""))</f>
        <v>0</v>
      </c>
      <c r="M303" s="25">
        <f>IF(B303="","",IF(COUNTIFS('Store Prices'!$B$5:$B$304,B303)=0,"",IF(SUMPRODUCT(MIN((('Store Prices'!$B$5:$B$304=B303)*(IFERROR('Store Prices'!$I$5:$I$304*1,0)&gt;0))*IFERROR('Store Prices'!$I$5:$I$304*1,0)+(1-(('Store Prices'!$B$5:$B$304=B303)*(IFERROR('Store Prices'!$I$5:$I$304*1,0)&gt;0)))*999999))&gt;=999999,"",SUMPRODUCT(MIN((('Store Prices'!$B$5:$B$304=B303)*(IFERROR('Store Prices'!$I$5:$I$304*1,0)&gt;0))*IFERROR('Store Prices'!$I$5:$I$304*1,0)+(1-(('Store Prices'!$B$5:$B$304=B303)*(IFERROR('Store Prices'!$I$5:$I$304*1,0)&gt;0)))*999999)))))</f>
        <v>0</v>
      </c>
      <c r="N303" s="17">
        <f>IF(M303="","",IFERROR(INDEX('Store Prices'!$C$5:$C$304,MATCH(1,INDEX(('Store Prices'!$B$5:$B$304=B303)*('Store Prices'!$I$5:$I$304=M303),0),0)),""))</f>
        <v>0</v>
      </c>
      <c r="O303" s="25">
        <f>IF(OR(M303="",J303=""),"",MAX(0,(J303-M303)*100))</f>
        <v>0</v>
      </c>
      <c r="AD303" s="45">
        <f>IF(B303="","",SUMIFS(Pantry!$G$5:$G$304,Pantry!$B$5:$B$304,B303))</f>
        <v>0</v>
      </c>
      <c r="AE303" s="25">
        <f>IF(OR(AD303="",J303=""),"",AD303*J303)</f>
        <v>0</v>
      </c>
      <c r="AF303" s="18">
        <f>IF(B303="","",COUNTIFS('Recipe Ingredients'!$D$5:$D$1204,B303))</f>
        <v>0</v>
      </c>
      <c r="AG303" s="45">
        <f>IF(B303="","",SUMIFS('Recipe Ingredients'!$Y$5:$Y$1204,'Recipe Ingredients'!$D$5:$D$1204,B303))</f>
        <v>0</v>
      </c>
      <c r="AH303" s="30">
        <f>IF(B303="",0,IFERROR(K303*1,0)*IFERROR(AF303*1,0))</f>
        <v>0</v>
      </c>
      <c r="AI303" s="18">
        <f>IF(B303="","",COUNTIFS($AH$5:$AH$304,"&gt;"&amp;AH303)+COUNTIFS($AH$5:AH303,AH303))</f>
        <v>0</v>
      </c>
      <c r="AJ303" s="18">
        <f>IF(B303="",0,COUNTIFS('Food Waste'!$E$5:$E$154,B303))</f>
        <v>0</v>
      </c>
      <c r="AK303" s="18">
        <f>IF(B303="","",COUNTIFS($AJ$5:$AJ$304,"&gt;"&amp;AJ303)+COUNTIFS($AJ$5:AJ303,AJ303))</f>
        <v>0</v>
      </c>
      <c r="AL303" s="18">
        <f>IF(B303="","",IF(AG303&gt;0,COUNTIF(AG$5:AG303,"&gt;0"),""))</f>
        <v>0</v>
      </c>
      <c r="AM303" s="45">
        <f>IF(B303="","",SUMIFS('Grocery List'!$Q$5:$Q$304,'Grocery List'!$B$5:$B$304,B303))</f>
        <v>0</v>
      </c>
      <c r="AN303" s="31">
        <f>IF(B303="","",IF(I303="","Add - no price yet",IF(H303="","Add - no pack size",IF(COUNTIFS($B$5:$B$304,B303)&gt;1,"Duplicate - same name twice",IF(AF303=0,"Check - no recipe uses it","OK")))))</f>
        <v>0</v>
      </c>
    </row>
    <row r="304" spans="1:40">
      <c r="A304" s="39">
        <f>IF(B304="","",IngredientPrefix&amp;TEXT(ROW()-4,"0000"))</f>
        <v>0</v>
      </c>
      <c r="J304" s="25">
        <f>IF(OR(H304="",I304=""),"",IF(H304=0,"",I304/H304))</f>
        <v>0</v>
      </c>
      <c r="K304" s="25">
        <f>IF(J304="","",J304*100)</f>
        <v>0</v>
      </c>
      <c r="L304" s="25">
        <f>IF(B304="","",IFERROR(AVERAGEIFS('Grocery Spending'!$L$5:$L$404,'Grocery Spending'!$H$5:$H$404,B304,'Grocery Spending'!$L$5:$L$404,"&gt;0"),""))</f>
        <v>0</v>
      </c>
      <c r="M304" s="25">
        <f>IF(B304="","",IF(COUNTIFS('Store Prices'!$B$5:$B$304,B304)=0,"",IF(SUMPRODUCT(MIN((('Store Prices'!$B$5:$B$304=B304)*(IFERROR('Store Prices'!$I$5:$I$304*1,0)&gt;0))*IFERROR('Store Prices'!$I$5:$I$304*1,0)+(1-(('Store Prices'!$B$5:$B$304=B304)*(IFERROR('Store Prices'!$I$5:$I$304*1,0)&gt;0)))*999999))&gt;=999999,"",SUMPRODUCT(MIN((('Store Prices'!$B$5:$B$304=B304)*(IFERROR('Store Prices'!$I$5:$I$304*1,0)&gt;0))*IFERROR('Store Prices'!$I$5:$I$304*1,0)+(1-(('Store Prices'!$B$5:$B$304=B304)*(IFERROR('Store Prices'!$I$5:$I$304*1,0)&gt;0)))*999999)))))</f>
        <v>0</v>
      </c>
      <c r="N304" s="17">
        <f>IF(M304="","",IFERROR(INDEX('Store Prices'!$C$5:$C$304,MATCH(1,INDEX(('Store Prices'!$B$5:$B$304=B304)*('Store Prices'!$I$5:$I$304=M304),0),0)),""))</f>
        <v>0</v>
      </c>
      <c r="O304" s="25">
        <f>IF(OR(M304="",J304=""),"",MAX(0,(J304-M304)*100))</f>
        <v>0</v>
      </c>
      <c r="AD304" s="45">
        <f>IF(B304="","",SUMIFS(Pantry!$G$5:$G$304,Pantry!$B$5:$B$304,B304))</f>
        <v>0</v>
      </c>
      <c r="AE304" s="25">
        <f>IF(OR(AD304="",J304=""),"",AD304*J304)</f>
        <v>0</v>
      </c>
      <c r="AF304" s="18">
        <f>IF(B304="","",COUNTIFS('Recipe Ingredients'!$D$5:$D$1204,B304))</f>
        <v>0</v>
      </c>
      <c r="AG304" s="45">
        <f>IF(B304="","",SUMIFS('Recipe Ingredients'!$Y$5:$Y$1204,'Recipe Ingredients'!$D$5:$D$1204,B304))</f>
        <v>0</v>
      </c>
      <c r="AH304" s="30">
        <f>IF(B304="",0,IFERROR(K304*1,0)*IFERROR(AF304*1,0))</f>
        <v>0</v>
      </c>
      <c r="AI304" s="18">
        <f>IF(B304="","",COUNTIFS($AH$5:$AH$304,"&gt;"&amp;AH304)+COUNTIFS($AH$5:AH304,AH304))</f>
        <v>0</v>
      </c>
      <c r="AJ304" s="18">
        <f>IF(B304="",0,COUNTIFS('Food Waste'!$E$5:$E$154,B304))</f>
        <v>0</v>
      </c>
      <c r="AK304" s="18">
        <f>IF(B304="","",COUNTIFS($AJ$5:$AJ$304,"&gt;"&amp;AJ304)+COUNTIFS($AJ$5:AJ304,AJ304))</f>
        <v>0</v>
      </c>
      <c r="AL304" s="18">
        <f>IF(B304="","",IF(AG304&gt;0,COUNTIF(AG$5:AG304,"&gt;0"),""))</f>
        <v>0</v>
      </c>
      <c r="AM304" s="45">
        <f>IF(B304="","",SUMIFS('Grocery List'!$Q$5:$Q$304,'Grocery List'!$B$5:$B$304,B304))</f>
        <v>0</v>
      </c>
      <c r="AN304" s="31">
        <f>IF(B304="","",IF(I304="","Add - no price yet",IF(H304="","Add - no pack size",IF(COUNTIFS($B$5:$B$304,B304)&gt;1,"Duplicate - same name twice",IF(AF304=0,"Check - no recipe uses it","OK")))))</f>
        <v>0</v>
      </c>
    </row>
    <row r="306" spans="1:41" ht="20" customHeight="1">
      <c r="A306" s="7" t="s">
        <v>1017</v>
      </c>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row>
    <row r="307" spans="1:41" ht="26" customHeight="1">
      <c r="A307" s="8" t="s">
        <v>1018</v>
      </c>
      <c r="B307" s="9" t="s">
        <v>1019</v>
      </c>
      <c r="C307" s="9" t="s">
        <v>802</v>
      </c>
      <c r="D307" s="9" t="s">
        <v>1020</v>
      </c>
      <c r="E307" s="9" t="s">
        <v>1021</v>
      </c>
      <c r="F307" s="9" t="s">
        <v>1022</v>
      </c>
    </row>
    <row r="308" spans="1:41">
      <c r="A308" s="18">
        <f>COUNTIF(Ingredients!$B$5:$B$304,"&lt;&gt;")</f>
        <v>0</v>
      </c>
      <c r="B308" s="18">
        <f>COUNTIFS(Ingredients!$B$5:$B$304,"&lt;&gt;",Ingredients!$I$5:$I$304,"&lt;&gt;")</f>
        <v>0</v>
      </c>
      <c r="C308" s="18">
        <f>COUNTIFS(Ingredients!$B$5:$B$304,"&lt;&gt;",Ingredients!$I$5:$I$304,"")</f>
        <v>0</v>
      </c>
      <c r="D308" s="25">
        <f>SUM(Ingredients!$AE$5:$AE$304)</f>
        <v>0</v>
      </c>
      <c r="E308" s="25">
        <f>IFERROR(AVERAGE(Ingredients!$K$5:$K$304),"")</f>
        <v>0</v>
      </c>
      <c r="F308" s="18">
        <f>COUNTIFS(Ingredients!$O$5:$O$304,"&gt;0")</f>
        <v>0</v>
      </c>
    </row>
  </sheetData>
  <sheetProtection password="EC7C" sheet="1" objects="1" scenarios="1" formatCells="0" formatColumns="0" formatRows="0" insertRows="0" insertHyperlinks="0" deleteRows="0" autoFilter="0"/>
  <autoFilter ref="A4:AO304"/>
  <mergeCells count="14">
    <mergeCell ref="A1:AL1"/>
    <mergeCell ref="AM1:AO1"/>
    <mergeCell ref="A2:AO2"/>
    <mergeCell ref="A3:B3"/>
    <mergeCell ref="C3:D3"/>
    <mergeCell ref="E3:F3"/>
    <mergeCell ref="G3:H3"/>
    <mergeCell ref="I3:J3"/>
    <mergeCell ref="K3:L3"/>
    <mergeCell ref="M3:N3"/>
    <mergeCell ref="O3:P3"/>
    <mergeCell ref="Q3:R3"/>
    <mergeCell ref="S3:AO3"/>
    <mergeCell ref="A306:AO306"/>
  </mergeCells>
  <conditionalFormatting sqref="AN5:AN304">
    <cfRule type="beginsWith" dxfId="1" priority="2" operator="beginsWith" text="OK">
      <formula>LEFT(AN5,2)="OK"</formula>
    </cfRule>
    <cfRule type="containsText" dxfId="2" priority="3" operator="containsText" text="Overdue">
      <formula>NOT(ISERROR(SEARCH("Overdue",AN5)))</formula>
    </cfRule>
    <cfRule type="containsText" dxfId="2" priority="4" operator="containsText" text="Late">
      <formula>NOT(ISERROR(SEARCH("Late",AN5)))</formula>
    </cfRule>
    <cfRule type="containsText" dxfId="2" priority="5" operator="containsText" text="Missing">
      <formula>NOT(ISERROR(SEARCH("Missing",AN5)))</formula>
    </cfRule>
    <cfRule type="containsText" dxfId="2" priority="6" operator="containsText" text="Conflict">
      <formula>NOT(ISERROR(SEARCH("Conflict",AN5)))</formula>
    </cfRule>
    <cfRule type="containsText" dxfId="2" priority="7" operator="containsText" text="Expired">
      <formula>NOT(ISERROR(SEARCH("Expired",AN5)))</formula>
    </cfRule>
    <cfRule type="containsText" dxfId="2" priority="8" operator="containsText" text="Duplicate">
      <formula>NOT(ISERROR(SEARCH("Duplicate",AN5)))</formula>
    </cfRule>
    <cfRule type="containsText" dxfId="0" priority="9" operator="containsText" text="Action">
      <formula>NOT(ISERROR(SEARCH("Action",AN5)))</formula>
    </cfRule>
    <cfRule type="containsText" dxfId="0" priority="10" operator="containsText" text="Due">
      <formula>NOT(ISERROR(SEARCH("Due",AN5)))</formula>
    </cfRule>
    <cfRule type="containsText" dxfId="0" priority="11" operator="containsText" text="Check">
      <formula>NOT(ISERROR(SEARCH("Check",AN5)))</formula>
    </cfRule>
    <cfRule type="containsText" dxfId="0" priority="12" operator="containsText" text="Add">
      <formula>NOT(ISERROR(SEARCH("Add",AN5)))</formula>
    </cfRule>
    <cfRule type="containsText" dxfId="4" priority="13" operator="containsText" text="Today">
      <formula>NOT(ISERROR(SEARCH("Today",AN5)))</formula>
    </cfRule>
    <cfRule type="containsText" dxfId="4" priority="14" operator="containsText" text="Upcoming">
      <formula>NOT(ISERROR(SEARCH("Upcoming",AN5)))</formula>
    </cfRule>
  </conditionalFormatting>
  <conditionalFormatting sqref="O5:O304">
    <cfRule type="cellIs" dxfId="1" priority="1" operator="greaterThan">
      <formula>0</formula>
    </cfRule>
  </conditionalFormatting>
  <dataValidations count="19">
    <dataValidation type="list" allowBlank="1" showInputMessage="1" showErrorMessage="1" promptTitle="Category" prompt="Groups the shopping list." sqref="C5:C304">
      <formula1>GroceryCategoryList</formula1>
    </dataValidation>
    <dataValidation type="list" allowBlank="1" showInputMessage="1" showErrorMessage="1" promptTitle="Aisle" prompt="Sorts the printed list into the order you walk round the shop." sqref="D5:D304">
      <formula1>AisleList</formula1>
    </dataValidation>
    <dataValidation type="list" allowBlank="1" showInputMessage="1" showErrorMessage="1" sqref="E5:E304">
      <formula1>StoreNames</formula1>
    </dataValidation>
    <dataValidation type="list" allowBlank="1" showInputMessage="1" showErrorMessage="1" promptTitle="Measured in" prompt="The unit you cook with: g, ml or each. Recipe quantities in any other unit are converted to this." sqref="G5:G304">
      <formula1>UnitList</formula1>
    </dataValidation>
    <dataValidation type="decimal" allowBlank="1" showInputMessage="1" showErrorMessage="1" errorTitle="Check the value" error="Enter a number between 0 and 1000000." promptTitle="Pack size" prompt="How much is in the pack you normally buy, in the unit above. A 400 g tin = 400." sqref="H5:H304">
      <formula1>0</formula1>
      <formula2>1000000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2000." promptTitle="Calories per 100 / item" prompt="Per 100 g or 100 ml from the label - or per item for anything measured in 'each', like an egg." sqref="P5:P304">
      <formula1>0</formula1>
      <formula2>2000</formula2>
    </dataValidation>
    <dataValidation type="decimal" allowBlank="1" showInputMessage="1" showErrorMessage="1" errorTitle="Check the value" error="Enter a number between 0 and 100." sqref="Q5:Q304">
      <formula1>0</formula1>
      <formula2>100</formula2>
    </dataValidation>
    <dataValidation type="decimal" allowBlank="1" showInputMessage="1" showErrorMessage="1" errorTitle="Check the value" error="Enter a number between 0 and 100." sqref="R5:R304">
      <formula1>0</formula1>
      <formula2>100</formula2>
    </dataValidation>
    <dataValidation type="decimal" allowBlank="1" showInputMessage="1" showErrorMessage="1" errorTitle="Check the value" error="Enter a number between 0 and 100." sqref="S5:S304">
      <formula1>0</formula1>
      <formula2>100</formula2>
    </dataValidation>
    <dataValidation type="decimal" allowBlank="1" showInputMessage="1" showErrorMessage="1" errorTitle="Check the value" error="Enter a number between 0 and 100." sqref="T5:T304">
      <formula1>0</formula1>
      <formula2>100</formula2>
    </dataValidation>
    <dataValidation type="decimal" allowBlank="1" showInputMessage="1" showErrorMessage="1" errorTitle="Check the value" error="Enter a number between 0 and 100." sqref="U5:U304">
      <formula1>0</formula1>
      <formula2>100</formula2>
    </dataValidation>
    <dataValidation type="decimal" allowBlank="1" showInputMessage="1" showErrorMessage="1" errorTitle="Check the value" error="Enter a number between 0 and 100000." sqref="V5:V304">
      <formula1>0</formula1>
      <formula2>100000</formula2>
    </dataValidation>
    <dataValidation type="list" allowBlank="1" showInputMessage="1" showErrorMessage="1" promptTitle="Allergen" prompt="Flags every recipe that uses this ingredient." sqref="W5:W304">
      <formula1>AllergenList</formula1>
    </dataValidation>
    <dataValidation type="list" allowBlank="1" showInputMessage="1" showErrorMessage="1" promptTitle="Suits" prompt="The strictest diet this ingredient fits." sqref="X5:X304">
      <formula1>DietList</formula1>
    </dataValidation>
    <dataValidation type="list" allowBlank="1" showInputMessage="1" showErrorMessage="1" sqref="Y5:Y304">
      <formula1>SeasonList</formula1>
    </dataValidation>
    <dataValidation type="decimal" allowBlank="1" showInputMessage="1" showErrorMessage="1" errorTitle="Check the value" error="Enter a number between 0 and 3650." promptTitle="Keeps for (days)" prompt="Typical shelf life once you get it home. Used to suggest an expiry date when you add it to the pantry." sqref="Z5:Z304">
      <formula1>0</formula1>
      <formula2>3650</formula2>
    </dataValidation>
    <dataValidation type="list" allowBlank="1" showInputMessage="1" showErrorMessage="1" sqref="AA5:AA304">
      <formula1>StorageList</formula1>
    </dataValidation>
    <dataValidation type="date" allowBlank="1" showInputMessage="1" showErrorMessage="1" errorTitle="Check the date" error="Enter a real date between 2000 and 2100." promptTitle="Last bought" prompt="Updated by hand, or left to the purchase log." sqref="AC5:AC304">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&amp;L&amp;"Calibri,Bold"&amp;12&amp;C&amp;"Calibri,Bold"&amp;11Ingredients&amp;R&amp;"Calibri,Italic"&amp;9Automated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D9703C"/>
    <pageSetUpPr fitToPage="1"/>
  </sheetPr>
  <dimension ref="A1:AG5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11.7109375" style="15" customWidth="1"/>
    <col min="3" max="3" width="9.7109375" style="17" customWidth="1"/>
    <col min="4" max="4" width="7.7109375" style="18" customWidth="1"/>
    <col min="5" max="5" width="10.7109375" style="17" customWidth="1"/>
    <col min="6" max="6" width="12.7109375" style="32" customWidth="1"/>
    <col min="7" max="7" width="11.7109375" style="32" customWidth="1"/>
    <col min="8" max="8" width="28.7109375" style="17" customWidth="1"/>
    <col min="9" max="9" width="22.7109375" style="32" customWidth="1"/>
    <col min="10" max="10" width="11.7109375" style="35" customWidth="1"/>
    <col min="11" max="11" width="11.7109375" style="45" hidden="1" customWidth="1"/>
    <col min="12" max="12" width="11.7109375" style="45" customWidth="1"/>
    <col min="13" max="13" width="11.7109375" style="40" customWidth="1"/>
    <col min="14" max="14" width="13.7109375" style="42" customWidth="1"/>
    <col min="15" max="15" width="15.7109375" style="32" customWidth="1"/>
    <col min="16" max="16" width="18.7109375" style="32" customWidth="1"/>
    <col min="17" max="17" width="11.7109375" style="38" customWidth="1"/>
    <col min="18" max="18" width="11.7109375" style="40" customWidth="1"/>
    <col min="19" max="19" width="16.7109375" style="32" customWidth="1"/>
    <col min="20" max="20" width="12.7109375" style="25" customWidth="1"/>
    <col min="21" max="21" width="12.7109375" style="36" customWidth="1"/>
    <col min="22" max="22" width="11.7109375" style="30" customWidth="1"/>
    <col min="23" max="23" width="11.7109375" style="45" hidden="1" customWidth="1"/>
    <col min="24" max="24" width="11.7109375" style="45" hidden="1" customWidth="1"/>
    <col min="25" max="25" width="10.7109375" style="45" hidden="1" customWidth="1"/>
    <col min="26" max="26" width="10.7109375" style="45" hidden="1" customWidth="1"/>
    <col min="27" max="27" width="12.7109375" style="30" hidden="1" customWidth="1"/>
    <col min="28" max="28" width="11.7109375" style="18" hidden="1" customWidth="1"/>
    <col min="29" max="29" width="13.7109375" style="17" hidden="1" customWidth="1"/>
    <col min="30" max="30" width="11.7109375" style="46" hidden="1" customWidth="1"/>
    <col min="31" max="31" width="12.7109375" style="17" hidden="1" customWidth="1"/>
    <col min="32" max="32" width="24.7109375" style="31" customWidth="1"/>
    <col min="33" max="33" width="24.7109375" style="43" customWidth="1"/>
    <col min="1" max="1" width="14.7109375" customWidth="1"/>
    <col min="2" max="2" width="14.7109375" customWidth="1"/>
    <col min="3" max="3" width="14.7109375" customWidth="1"/>
    <col min="4" max="4" width="16.7109375" customWidth="1"/>
    <col min="5" max="5" width="19.7109375" customWidth="1"/>
    <col min="6" max="6" width="14.7109375" customWidth="1"/>
  </cols>
  <sheetData>
    <row r="1" spans="1:33" ht="34" customHeight="1">
      <c r="A1" s="2" t="s">
        <v>30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3"/>
      <c r="AG1" s="3"/>
    </row>
    <row r="2" spans="1:33" ht="18" customHeight="1">
      <c r="A2" s="4" t="s">
        <v>1023</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1024</v>
      </c>
      <c r="T3" s="44"/>
      <c r="U3" s="44"/>
      <c r="V3" s="44"/>
      <c r="W3" s="44"/>
      <c r="X3" s="44"/>
      <c r="Y3" s="44"/>
      <c r="Z3" s="44"/>
      <c r="AA3" s="44"/>
      <c r="AB3" s="44"/>
      <c r="AC3" s="44"/>
      <c r="AD3" s="44"/>
      <c r="AE3" s="44"/>
      <c r="AF3" s="44"/>
      <c r="AG3" s="44"/>
    </row>
    <row r="4" spans="1:33" ht="30" customHeight="1">
      <c r="A4" s="8" t="s">
        <v>708</v>
      </c>
      <c r="B4" s="8" t="s">
        <v>1025</v>
      </c>
      <c r="C4" s="9" t="s">
        <v>135</v>
      </c>
      <c r="D4" s="9" t="s">
        <v>136</v>
      </c>
      <c r="E4" s="9" t="s">
        <v>101</v>
      </c>
      <c r="F4" s="9" t="s">
        <v>163</v>
      </c>
      <c r="G4" s="9" t="s">
        <v>869</v>
      </c>
      <c r="H4" s="9" t="s">
        <v>1026</v>
      </c>
      <c r="I4" s="9" t="s">
        <v>1027</v>
      </c>
      <c r="J4" s="9" t="s">
        <v>1028</v>
      </c>
      <c r="K4" s="9" t="s">
        <v>1029</v>
      </c>
      <c r="L4" s="9" t="s">
        <v>1030</v>
      </c>
      <c r="M4" s="9" t="s">
        <v>1031</v>
      </c>
      <c r="N4" s="9" t="s">
        <v>728</v>
      </c>
      <c r="O4" s="9" t="s">
        <v>173</v>
      </c>
      <c r="P4" s="9" t="s">
        <v>1032</v>
      </c>
      <c r="Q4" s="9" t="s">
        <v>1033</v>
      </c>
      <c r="R4" s="9" t="s">
        <v>1034</v>
      </c>
      <c r="S4" s="9" t="s">
        <v>1035</v>
      </c>
      <c r="T4" s="9" t="s">
        <v>1036</v>
      </c>
      <c r="U4" s="9" t="s">
        <v>1037</v>
      </c>
      <c r="V4" s="9" t="s">
        <v>1038</v>
      </c>
      <c r="W4" s="9" t="s">
        <v>1039</v>
      </c>
      <c r="X4" s="9" t="s">
        <v>1040</v>
      </c>
      <c r="Y4" s="9" t="s">
        <v>1041</v>
      </c>
      <c r="Z4" s="9" t="s">
        <v>1042</v>
      </c>
      <c r="AA4" s="9" t="s">
        <v>1043</v>
      </c>
      <c r="AB4" s="9" t="s">
        <v>1044</v>
      </c>
      <c r="AC4" s="9" t="s">
        <v>763</v>
      </c>
      <c r="AD4" s="9" t="s">
        <v>1045</v>
      </c>
      <c r="AE4" s="9" t="s">
        <v>886</v>
      </c>
      <c r="AF4" s="9" t="s">
        <v>729</v>
      </c>
      <c r="AG4" s="9" t="s">
        <v>730</v>
      </c>
    </row>
    <row r="5" spans="1:33">
      <c r="A5" s="39">
        <f>IF(B5="","",MealPrefix&amp;TEXT(ROW()-4,"0000"))</f>
        <v>0</v>
      </c>
      <c r="B5" s="15">
        <v>46286</v>
      </c>
      <c r="C5" s="17">
        <f>IF(B5="","",TEXT(B5,"ddd"))</f>
        <v>0</v>
      </c>
      <c r="D5" s="18">
        <f>IF(B5="","",WEEKNUM(B5,IF(WeekStart="Sunday",1,2)))</f>
        <v>0</v>
      </c>
      <c r="E5" s="17">
        <f>IF(B5="","",TEXT(B5,"yyyy-mm"))</f>
        <v>0</v>
      </c>
      <c r="F5" s="32" t="s">
        <v>165</v>
      </c>
      <c r="G5" s="32" t="s">
        <v>946</v>
      </c>
      <c r="H5" s="17">
        <f>IF(G5&lt;&gt;"",IFERROR(INDEX(Recipes!$B$5:$B$204,MATCH(G5,Recipes!$A$5:$A$204,0)),"Not found"),I5)</f>
        <v>0</v>
      </c>
      <c r="J5" s="35">
        <v>3</v>
      </c>
      <c r="K5" s="45">
        <f>IF(B5="","",IF(J5="",DefaultServings,J5))</f>
        <v>0</v>
      </c>
      <c r="L5" s="45">
        <f>IF(G5="",0,IFERROR(K5/INDEX(Recipes!$G$5:$G$204,MATCH(G5,Recipes!$A$5:$A$204,0)),0))</f>
        <v>0</v>
      </c>
      <c r="M5" s="40" t="s">
        <v>312</v>
      </c>
      <c r="N5" s="42" t="s">
        <v>319</v>
      </c>
      <c r="O5" s="32" t="s">
        <v>206</v>
      </c>
      <c r="R5" s="40" t="s">
        <v>312</v>
      </c>
      <c r="T5" s="25">
        <f>IF(G5="","",IFERROR(INDEX(Recipes!$AD$5:$AD$204,MATCH(G5,Recipes!$A$5:$A$204,0))*K5,""))</f>
        <v>0</v>
      </c>
      <c r="V5" s="30">
        <f>IF(G5="","",IFERROR(INDEX(Recipes!$AE$5:$AE$204,MATCH(G5,Recipes!$A$5:$A$204,0)),"Not found"))</f>
        <v>0</v>
      </c>
      <c r="W5" s="45">
        <f>IF(G5="","",IFERROR(INDEX(Recipes!$AF$5:$AF$204,MATCH(G5,Recipes!$A$5:$A$204,0)),"Not found"))</f>
        <v>0</v>
      </c>
      <c r="X5" s="45">
        <f>IF(G5="","",IFERROR(INDEX(Recipes!$AG$5:$AG$204,MATCH(G5,Recipes!$A$5:$A$204,0)),"Not found"))</f>
        <v>0</v>
      </c>
      <c r="Y5" s="45">
        <f>IF(G5="","",IFERROR(INDEX(Recipes!$AH$5:$AH$204,MATCH(G5,Recipes!$A$5:$A$204,0)),"Not found"))</f>
        <v>0</v>
      </c>
      <c r="Z5" s="45">
        <f>IF(G5="","",IFERROR(INDEX(Recipes!$AI$5:$AI$204,MATCH(G5,Recipes!$A$5:$A$204,0)),"Not found"))</f>
        <v>0</v>
      </c>
      <c r="AA5" s="30">
        <f>IF(OR(V5="",NOT(ISNUMBER(V5))),"",V5*K5)</f>
        <v>0</v>
      </c>
      <c r="AB5" s="18">
        <f>IF(G5="","",IFERROR(INDEX(Recipes!$J$5:$J$204,MATCH(G5,Recipes!$A$5:$A$204,0)),"Not found"))</f>
        <v>0</v>
      </c>
      <c r="AC5" s="17">
        <f>IF(G5="","",IFERROR(INDEX(Recipes!$C$5:$C$204,MATCH(G5,Recipes!$A$5:$A$204,0)),"Not found"))</f>
        <v>0</v>
      </c>
      <c r="AD5" s="46">
        <f>IF(B5="","",IF(G5&lt;&gt;"","Yes",IF(OR(I5="",ISNUMBER(SEARCH("takeaway",I5)),ISNUMBER(SEARCH("out",I5))),"No","Yes")))</f>
        <v>0</v>
      </c>
      <c r="AE5" s="17">
        <f>IF(B5="","",TEXT(B5,"yyyy-mm-dd")&amp;"|"&amp;F5)</f>
        <v>0</v>
      </c>
      <c r="AF5" s="31">
        <f>IF(B5="","",IF(AND(G5="",I5=""),"Add - nothing planned yet",IF(COUNTIFS($AE$5:$AE$504,AE5)&gt;1,"Duplicate - two meals in one slot",IF(AND(G5&lt;&gt;"",H5="Not found"),"Missing - recipe ID not on the Recipes tab",IF(AND(B5&lt;TODAY(),OR(N5="Planned",N5="")),"Check - did you cook it?","OK")))))</f>
        <v>0</v>
      </c>
      <c r="AG5" s="43" t="s">
        <v>157</v>
      </c>
    </row>
    <row r="6" spans="1:33">
      <c r="A6" s="39">
        <f>IF(B6="","",MealPrefix&amp;TEXT(ROW()-4,"0000"))</f>
        <v>0</v>
      </c>
      <c r="B6" s="15">
        <v>46286</v>
      </c>
      <c r="C6" s="17">
        <f>IF(B6="","",TEXT(B6,"ddd"))</f>
        <v>0</v>
      </c>
      <c r="D6" s="18">
        <f>IF(B6="","",WEEKNUM(B6,IF(WeekStart="Sunday",1,2)))</f>
        <v>0</v>
      </c>
      <c r="E6" s="17">
        <f>IF(B6="","",TEXT(B6,"yyyy-mm"))</f>
        <v>0</v>
      </c>
      <c r="F6" s="32" t="s">
        <v>167</v>
      </c>
      <c r="G6" s="32" t="s">
        <v>954</v>
      </c>
      <c r="H6" s="17">
        <f>IF(G6&lt;&gt;"",IFERROR(INDEX(Recipes!$B$5:$B$204,MATCH(G6,Recipes!$A$5:$A$204,0)),"Not found"),I6)</f>
        <v>0</v>
      </c>
      <c r="J6" s="35">
        <v>2</v>
      </c>
      <c r="K6" s="45">
        <f>IF(B6="","",IF(J6="",DefaultServings,J6))</f>
        <v>0</v>
      </c>
      <c r="L6" s="45">
        <f>IF(G6="",0,IFERROR(K6/INDEX(Recipes!$G$5:$G$204,MATCH(G6,Recipes!$A$5:$A$204,0)),0))</f>
        <v>0</v>
      </c>
      <c r="M6" s="40" t="s">
        <v>312</v>
      </c>
      <c r="N6" s="42" t="s">
        <v>319</v>
      </c>
      <c r="O6" s="32" t="s">
        <v>742</v>
      </c>
      <c r="R6" s="40" t="s">
        <v>311</v>
      </c>
      <c r="T6" s="25">
        <f>IF(G6="","",IFERROR(INDEX(Recipes!$AD$5:$AD$204,MATCH(G6,Recipes!$A$5:$A$204,0))*K6,""))</f>
        <v>0</v>
      </c>
      <c r="V6" s="30">
        <f>IF(G6="","",IFERROR(INDEX(Recipes!$AE$5:$AE$204,MATCH(G6,Recipes!$A$5:$A$204,0)),"Not found"))</f>
        <v>0</v>
      </c>
      <c r="W6" s="45">
        <f>IF(G6="","",IFERROR(INDEX(Recipes!$AF$5:$AF$204,MATCH(G6,Recipes!$A$5:$A$204,0)),"Not found"))</f>
        <v>0</v>
      </c>
      <c r="X6" s="45">
        <f>IF(G6="","",IFERROR(INDEX(Recipes!$AG$5:$AG$204,MATCH(G6,Recipes!$A$5:$A$204,0)),"Not found"))</f>
        <v>0</v>
      </c>
      <c r="Y6" s="45">
        <f>IF(G6="","",IFERROR(INDEX(Recipes!$AH$5:$AH$204,MATCH(G6,Recipes!$A$5:$A$204,0)),"Not found"))</f>
        <v>0</v>
      </c>
      <c r="Z6" s="45">
        <f>IF(G6="","",IFERROR(INDEX(Recipes!$AI$5:$AI$204,MATCH(G6,Recipes!$A$5:$A$204,0)),"Not found"))</f>
        <v>0</v>
      </c>
      <c r="AA6" s="30">
        <f>IF(OR(V6="",NOT(ISNUMBER(V6))),"",V6*K6)</f>
        <v>0</v>
      </c>
      <c r="AB6" s="18">
        <f>IF(G6="","",IFERROR(INDEX(Recipes!$J$5:$J$204,MATCH(G6,Recipes!$A$5:$A$204,0)),"Not found"))</f>
        <v>0</v>
      </c>
      <c r="AC6" s="17">
        <f>IF(G6="","",IFERROR(INDEX(Recipes!$C$5:$C$204,MATCH(G6,Recipes!$A$5:$A$204,0)),"Not found"))</f>
        <v>0</v>
      </c>
      <c r="AD6" s="46">
        <f>IF(B6="","",IF(G6&lt;&gt;"","Yes",IF(OR(I6="",ISNUMBER(SEARCH("takeaway",I6)),ISNUMBER(SEARCH("out",I6))),"No","Yes")))</f>
        <v>0</v>
      </c>
      <c r="AE6" s="17">
        <f>IF(B6="","",TEXT(B6,"yyyy-mm-dd")&amp;"|"&amp;F6)</f>
        <v>0</v>
      </c>
      <c r="AF6" s="31">
        <f>IF(B6="","",IF(AND(G6="",I6=""),"Add - nothing planned yet",IF(COUNTIFS($AE$5:$AE$504,AE6)&gt;1,"Duplicate - two meals in one slot",IF(AND(G6&lt;&gt;"",H6="Not found"),"Missing - recipe ID not on the Recipes tab",IF(AND(B6&lt;TODAY(),OR(N6="Planned",N6="")),"Check - did you cook it?","OK")))))</f>
        <v>0</v>
      </c>
      <c r="AG6" s="43" t="s">
        <v>746</v>
      </c>
    </row>
    <row r="7" spans="1:33">
      <c r="A7" s="39">
        <f>IF(B7="","",MealPrefix&amp;TEXT(ROW()-4,"0000"))</f>
        <v>0</v>
      </c>
      <c r="B7" s="15">
        <v>46286</v>
      </c>
      <c r="C7" s="17">
        <f>IF(B7="","",TEXT(B7,"ddd"))</f>
        <v>0</v>
      </c>
      <c r="D7" s="18">
        <f>IF(B7="","",WEEKNUM(B7,IF(WeekStart="Sunday",1,2)))</f>
        <v>0</v>
      </c>
      <c r="E7" s="17">
        <f>IF(B7="","",TEXT(B7,"yyyy-mm"))</f>
        <v>0</v>
      </c>
      <c r="F7" s="32" t="s">
        <v>137</v>
      </c>
      <c r="G7" s="32" t="s">
        <v>887</v>
      </c>
      <c r="H7" s="17">
        <f>IF(G7&lt;&gt;"",IFERROR(INDEX(Recipes!$B$5:$B$204,MATCH(G7,Recipes!$A$5:$A$204,0)),"Not found"),I7)</f>
        <v>0</v>
      </c>
      <c r="J7" s="35">
        <v>4</v>
      </c>
      <c r="K7" s="45">
        <f>IF(B7="","",IF(J7="",DefaultServings,J7))</f>
        <v>0</v>
      </c>
      <c r="L7" s="45">
        <f>IF(G7="",0,IFERROR(K7/INDEX(Recipes!$G$5:$G$204,MATCH(G7,Recipes!$A$5:$A$204,0)),0))</f>
        <v>0</v>
      </c>
      <c r="M7" s="40" t="s">
        <v>312</v>
      </c>
      <c r="N7" s="42" t="s">
        <v>319</v>
      </c>
      <c r="O7" s="32" t="s">
        <v>206</v>
      </c>
      <c r="R7" s="40" t="s">
        <v>312</v>
      </c>
      <c r="S7" s="32" t="s">
        <v>157</v>
      </c>
      <c r="T7" s="25">
        <f>IF(G7="","",IFERROR(INDEX(Recipes!$AD$5:$AD$204,MATCH(G7,Recipes!$A$5:$A$204,0))*K7,""))</f>
        <v>0</v>
      </c>
      <c r="V7" s="30">
        <f>IF(G7="","",IFERROR(INDEX(Recipes!$AE$5:$AE$204,MATCH(G7,Recipes!$A$5:$A$204,0)),"Not found"))</f>
        <v>0</v>
      </c>
      <c r="W7" s="45">
        <f>IF(G7="","",IFERROR(INDEX(Recipes!$AF$5:$AF$204,MATCH(G7,Recipes!$A$5:$A$204,0)),"Not found"))</f>
        <v>0</v>
      </c>
      <c r="X7" s="45">
        <f>IF(G7="","",IFERROR(INDEX(Recipes!$AG$5:$AG$204,MATCH(G7,Recipes!$A$5:$A$204,0)),"Not found"))</f>
        <v>0</v>
      </c>
      <c r="Y7" s="45">
        <f>IF(G7="","",IFERROR(INDEX(Recipes!$AH$5:$AH$204,MATCH(G7,Recipes!$A$5:$A$204,0)),"Not found"))</f>
        <v>0</v>
      </c>
      <c r="Z7" s="45">
        <f>IF(G7="","",IFERROR(INDEX(Recipes!$AI$5:$AI$204,MATCH(G7,Recipes!$A$5:$A$204,0)),"Not found"))</f>
        <v>0</v>
      </c>
      <c r="AA7" s="30">
        <f>IF(OR(V7="",NOT(ISNUMBER(V7))),"",V7*K7)</f>
        <v>0</v>
      </c>
      <c r="AB7" s="18">
        <f>IF(G7="","",IFERROR(INDEX(Recipes!$J$5:$J$204,MATCH(G7,Recipes!$A$5:$A$204,0)),"Not found"))</f>
        <v>0</v>
      </c>
      <c r="AC7" s="17">
        <f>IF(G7="","",IFERROR(INDEX(Recipes!$C$5:$C$204,MATCH(G7,Recipes!$A$5:$A$204,0)),"Not found"))</f>
        <v>0</v>
      </c>
      <c r="AD7" s="46">
        <f>IF(B7="","",IF(G7&lt;&gt;"","Yes",IF(OR(I7="",ISNUMBER(SEARCH("takeaway",I7)),ISNUMBER(SEARCH("out",I7))),"No","Yes")))</f>
        <v>0</v>
      </c>
      <c r="AE7" s="17">
        <f>IF(B7="","",TEXT(B7,"yyyy-mm-dd")&amp;"|"&amp;F7)</f>
        <v>0</v>
      </c>
      <c r="AF7" s="31">
        <f>IF(B7="","",IF(AND(G7="",I7=""),"Add - nothing planned yet",IF(COUNTIFS($AE$5:$AE$504,AE7)&gt;1,"Duplicate - two meals in one slot",IF(AND(G7&lt;&gt;"",H7="Not found"),"Missing - recipe ID not on the Recipes tab",IF(AND(B7&lt;TODAY(),OR(N7="Planned",N7="")),"Check - did you cook it?","OK")))))</f>
        <v>0</v>
      </c>
      <c r="AG7" s="43" t="s">
        <v>157</v>
      </c>
    </row>
    <row r="8" spans="1:33">
      <c r="A8" s="39">
        <f>IF(B8="","",MealPrefix&amp;TEXT(ROW()-4,"0000"))</f>
        <v>0</v>
      </c>
      <c r="B8" s="15">
        <v>46287</v>
      </c>
      <c r="C8" s="17">
        <f>IF(B8="","",TEXT(B8,"ddd"))</f>
        <v>0</v>
      </c>
      <c r="D8" s="18">
        <f>IF(B8="","",WEEKNUM(B8,IF(WeekStart="Sunday",1,2)))</f>
        <v>0</v>
      </c>
      <c r="E8" s="17">
        <f>IF(B8="","",TEXT(B8,"yyyy-mm"))</f>
        <v>0</v>
      </c>
      <c r="F8" s="32" t="s">
        <v>165</v>
      </c>
      <c r="G8" s="32" t="s">
        <v>942</v>
      </c>
      <c r="H8" s="17">
        <f>IF(G8&lt;&gt;"",IFERROR(INDEX(Recipes!$B$5:$B$204,MATCH(G8,Recipes!$A$5:$A$204,0)),"Not found"),I8)</f>
        <v>0</v>
      </c>
      <c r="J8" s="35">
        <v>3</v>
      </c>
      <c r="K8" s="45">
        <f>IF(B8="","",IF(J8="",DefaultServings,J8))</f>
        <v>0</v>
      </c>
      <c r="L8" s="45">
        <f>IF(G8="",0,IFERROR(K8/INDEX(Recipes!$G$5:$G$204,MATCH(G8,Recipes!$A$5:$A$204,0)),0))</f>
        <v>0</v>
      </c>
      <c r="M8" s="40" t="s">
        <v>312</v>
      </c>
      <c r="N8" s="42" t="s">
        <v>319</v>
      </c>
      <c r="O8" s="32" t="s">
        <v>206</v>
      </c>
      <c r="R8" s="40" t="s">
        <v>312</v>
      </c>
      <c r="T8" s="25">
        <f>IF(G8="","",IFERROR(INDEX(Recipes!$AD$5:$AD$204,MATCH(G8,Recipes!$A$5:$A$204,0))*K8,""))</f>
        <v>0</v>
      </c>
      <c r="V8" s="30">
        <f>IF(G8="","",IFERROR(INDEX(Recipes!$AE$5:$AE$204,MATCH(G8,Recipes!$A$5:$A$204,0)),"Not found"))</f>
        <v>0</v>
      </c>
      <c r="W8" s="45">
        <f>IF(G8="","",IFERROR(INDEX(Recipes!$AF$5:$AF$204,MATCH(G8,Recipes!$A$5:$A$204,0)),"Not found"))</f>
        <v>0</v>
      </c>
      <c r="X8" s="45">
        <f>IF(G8="","",IFERROR(INDEX(Recipes!$AG$5:$AG$204,MATCH(G8,Recipes!$A$5:$A$204,0)),"Not found"))</f>
        <v>0</v>
      </c>
      <c r="Y8" s="45">
        <f>IF(G8="","",IFERROR(INDEX(Recipes!$AH$5:$AH$204,MATCH(G8,Recipes!$A$5:$A$204,0)),"Not found"))</f>
        <v>0</v>
      </c>
      <c r="Z8" s="45">
        <f>IF(G8="","",IFERROR(INDEX(Recipes!$AI$5:$AI$204,MATCH(G8,Recipes!$A$5:$A$204,0)),"Not found"))</f>
        <v>0</v>
      </c>
      <c r="AA8" s="30">
        <f>IF(OR(V8="",NOT(ISNUMBER(V8))),"",V8*K8)</f>
        <v>0</v>
      </c>
      <c r="AB8" s="18">
        <f>IF(G8="","",IFERROR(INDEX(Recipes!$J$5:$J$204,MATCH(G8,Recipes!$A$5:$A$204,0)),"Not found"))</f>
        <v>0</v>
      </c>
      <c r="AC8" s="17">
        <f>IF(G8="","",IFERROR(INDEX(Recipes!$C$5:$C$204,MATCH(G8,Recipes!$A$5:$A$204,0)),"Not found"))</f>
        <v>0</v>
      </c>
      <c r="AD8" s="46">
        <f>IF(B8="","",IF(G8&lt;&gt;"","Yes",IF(OR(I8="",ISNUMBER(SEARCH("takeaway",I8)),ISNUMBER(SEARCH("out",I8))),"No","Yes")))</f>
        <v>0</v>
      </c>
      <c r="AE8" s="17">
        <f>IF(B8="","",TEXT(B8,"yyyy-mm-dd")&amp;"|"&amp;F8)</f>
        <v>0</v>
      </c>
      <c r="AF8" s="31">
        <f>IF(B8="","",IF(AND(G8="",I8=""),"Add - nothing planned yet",IF(COUNTIFS($AE$5:$AE$504,AE8)&gt;1,"Duplicate - two meals in one slot",IF(AND(G8&lt;&gt;"",H8="Not found"),"Missing - recipe ID not on the Recipes tab",IF(AND(B8&lt;TODAY(),OR(N8="Planned",N8="")),"Check - did you cook it?","OK")))))</f>
        <v>0</v>
      </c>
      <c r="AG8" s="43" t="s">
        <v>157</v>
      </c>
    </row>
    <row r="9" spans="1:33">
      <c r="A9" s="39">
        <f>IF(B9="","",MealPrefix&amp;TEXT(ROW()-4,"0000"))</f>
        <v>0</v>
      </c>
      <c r="B9" s="15">
        <v>46287</v>
      </c>
      <c r="C9" s="17">
        <f>IF(B9="","",TEXT(B9,"ddd"))</f>
        <v>0</v>
      </c>
      <c r="D9" s="18">
        <f>IF(B9="","",WEEKNUM(B9,IF(WeekStart="Sunday",1,2)))</f>
        <v>0</v>
      </c>
      <c r="E9" s="17">
        <f>IF(B9="","",TEXT(B9,"yyyy-mm"))</f>
        <v>0</v>
      </c>
      <c r="F9" s="32" t="s">
        <v>167</v>
      </c>
      <c r="G9" s="32" t="s">
        <v>960</v>
      </c>
      <c r="H9" s="17">
        <f>IF(G9&lt;&gt;"",IFERROR(INDEX(Recipes!$B$5:$B$204,MATCH(G9,Recipes!$A$5:$A$204,0)),"Not found"),I9)</f>
        <v>0</v>
      </c>
      <c r="J9" s="35">
        <v>2</v>
      </c>
      <c r="K9" s="45">
        <f>IF(B9="","",IF(J9="",DefaultServings,J9))</f>
        <v>0</v>
      </c>
      <c r="L9" s="45">
        <f>IF(G9="",0,IFERROR(K9/INDEX(Recipes!$G$5:$G$204,MATCH(G9,Recipes!$A$5:$A$204,0)),0))</f>
        <v>0</v>
      </c>
      <c r="M9" s="40" t="s">
        <v>312</v>
      </c>
      <c r="N9" s="42" t="s">
        <v>319</v>
      </c>
      <c r="O9" s="32" t="s">
        <v>742</v>
      </c>
      <c r="R9" s="40" t="s">
        <v>312</v>
      </c>
      <c r="T9" s="25">
        <f>IF(G9="","",IFERROR(INDEX(Recipes!$AD$5:$AD$204,MATCH(G9,Recipes!$A$5:$A$204,0))*K9,""))</f>
        <v>0</v>
      </c>
      <c r="V9" s="30">
        <f>IF(G9="","",IFERROR(INDEX(Recipes!$AE$5:$AE$204,MATCH(G9,Recipes!$A$5:$A$204,0)),"Not found"))</f>
        <v>0</v>
      </c>
      <c r="W9" s="45">
        <f>IF(G9="","",IFERROR(INDEX(Recipes!$AF$5:$AF$204,MATCH(G9,Recipes!$A$5:$A$204,0)),"Not found"))</f>
        <v>0</v>
      </c>
      <c r="X9" s="45">
        <f>IF(G9="","",IFERROR(INDEX(Recipes!$AG$5:$AG$204,MATCH(G9,Recipes!$A$5:$A$204,0)),"Not found"))</f>
        <v>0</v>
      </c>
      <c r="Y9" s="45">
        <f>IF(G9="","",IFERROR(INDEX(Recipes!$AH$5:$AH$204,MATCH(G9,Recipes!$A$5:$A$204,0)),"Not found"))</f>
        <v>0</v>
      </c>
      <c r="Z9" s="45">
        <f>IF(G9="","",IFERROR(INDEX(Recipes!$AI$5:$AI$204,MATCH(G9,Recipes!$A$5:$A$204,0)),"Not found"))</f>
        <v>0</v>
      </c>
      <c r="AA9" s="30">
        <f>IF(OR(V9="",NOT(ISNUMBER(V9))),"",V9*K9)</f>
        <v>0</v>
      </c>
      <c r="AB9" s="18">
        <f>IF(G9="","",IFERROR(INDEX(Recipes!$J$5:$J$204,MATCH(G9,Recipes!$A$5:$A$204,0)),"Not found"))</f>
        <v>0</v>
      </c>
      <c r="AC9" s="17">
        <f>IF(G9="","",IFERROR(INDEX(Recipes!$C$5:$C$204,MATCH(G9,Recipes!$A$5:$A$204,0)),"Not found"))</f>
        <v>0</v>
      </c>
      <c r="AD9" s="46">
        <f>IF(B9="","",IF(G9&lt;&gt;"","Yes",IF(OR(I9="",ISNUMBER(SEARCH("takeaway",I9)),ISNUMBER(SEARCH("out",I9))),"No","Yes")))</f>
        <v>0</v>
      </c>
      <c r="AE9" s="17">
        <f>IF(B9="","",TEXT(B9,"yyyy-mm-dd")&amp;"|"&amp;F9)</f>
        <v>0</v>
      </c>
      <c r="AF9" s="31">
        <f>IF(B9="","",IF(AND(G9="",I9=""),"Add - nothing planned yet",IF(COUNTIFS($AE$5:$AE$504,AE9)&gt;1,"Duplicate - two meals in one slot",IF(AND(G9&lt;&gt;"",H9="Not found"),"Missing - recipe ID not on the Recipes tab",IF(AND(B9&lt;TODAY(),OR(N9="Planned",N9="")),"Check - did you cook it?","OK")))))</f>
        <v>0</v>
      </c>
      <c r="AG9" s="43" t="s">
        <v>746</v>
      </c>
    </row>
    <row r="10" spans="1:33">
      <c r="A10" s="39">
        <f>IF(B10="","",MealPrefix&amp;TEXT(ROW()-4,"0000"))</f>
        <v>0</v>
      </c>
      <c r="B10" s="15">
        <v>46287</v>
      </c>
      <c r="C10" s="17">
        <f>IF(B10="","",TEXT(B10,"ddd"))</f>
        <v>0</v>
      </c>
      <c r="D10" s="18">
        <f>IF(B10="","",WEEKNUM(B10,IF(WeekStart="Sunday",1,2)))</f>
        <v>0</v>
      </c>
      <c r="E10" s="17">
        <f>IF(B10="","",TEXT(B10,"yyyy-mm"))</f>
        <v>0</v>
      </c>
      <c r="F10" s="32" t="s">
        <v>137</v>
      </c>
      <c r="G10" s="32" t="s">
        <v>898</v>
      </c>
      <c r="H10" s="17">
        <f>IF(G10&lt;&gt;"",IFERROR(INDEX(Recipes!$B$5:$B$204,MATCH(G10,Recipes!$A$5:$A$204,0)),"Not found"),I10)</f>
        <v>0</v>
      </c>
      <c r="J10" s="35">
        <v>4</v>
      </c>
      <c r="K10" s="45">
        <f>IF(B10="","",IF(J10="",DefaultServings,J10))</f>
        <v>0</v>
      </c>
      <c r="L10" s="45">
        <f>IF(G10="",0,IFERROR(K10/INDEX(Recipes!$G$5:$G$204,MATCH(G10,Recipes!$A$5:$A$204,0)),0))</f>
        <v>0</v>
      </c>
      <c r="M10" s="40" t="s">
        <v>312</v>
      </c>
      <c r="N10" s="42" t="s">
        <v>319</v>
      </c>
      <c r="O10" s="32" t="s">
        <v>736</v>
      </c>
      <c r="Q10" s="38">
        <v>2</v>
      </c>
      <c r="R10" s="40" t="s">
        <v>311</v>
      </c>
      <c r="S10" s="32" t="s">
        <v>157</v>
      </c>
      <c r="T10" s="25">
        <f>IF(G10="","",IFERROR(INDEX(Recipes!$AD$5:$AD$204,MATCH(G10,Recipes!$A$5:$A$204,0))*K10,""))</f>
        <v>0</v>
      </c>
      <c r="V10" s="30">
        <f>IF(G10="","",IFERROR(INDEX(Recipes!$AE$5:$AE$204,MATCH(G10,Recipes!$A$5:$A$204,0)),"Not found"))</f>
        <v>0</v>
      </c>
      <c r="W10" s="45">
        <f>IF(G10="","",IFERROR(INDEX(Recipes!$AF$5:$AF$204,MATCH(G10,Recipes!$A$5:$A$204,0)),"Not found"))</f>
        <v>0</v>
      </c>
      <c r="X10" s="45">
        <f>IF(G10="","",IFERROR(INDEX(Recipes!$AG$5:$AG$204,MATCH(G10,Recipes!$A$5:$A$204,0)),"Not found"))</f>
        <v>0</v>
      </c>
      <c r="Y10" s="45">
        <f>IF(G10="","",IFERROR(INDEX(Recipes!$AH$5:$AH$204,MATCH(G10,Recipes!$A$5:$A$204,0)),"Not found"))</f>
        <v>0</v>
      </c>
      <c r="Z10" s="45">
        <f>IF(G10="","",IFERROR(INDEX(Recipes!$AI$5:$AI$204,MATCH(G10,Recipes!$A$5:$A$204,0)),"Not found"))</f>
        <v>0</v>
      </c>
      <c r="AA10" s="30">
        <f>IF(OR(V10="",NOT(ISNUMBER(V10))),"",V10*K10)</f>
        <v>0</v>
      </c>
      <c r="AB10" s="18">
        <f>IF(G10="","",IFERROR(INDEX(Recipes!$J$5:$J$204,MATCH(G10,Recipes!$A$5:$A$204,0)),"Not found"))</f>
        <v>0</v>
      </c>
      <c r="AC10" s="17">
        <f>IF(G10="","",IFERROR(INDEX(Recipes!$C$5:$C$204,MATCH(G10,Recipes!$A$5:$A$204,0)),"Not found"))</f>
        <v>0</v>
      </c>
      <c r="AD10" s="46">
        <f>IF(B10="","",IF(G10&lt;&gt;"","Yes",IF(OR(I10="",ISNUMBER(SEARCH("takeaway",I10)),ISNUMBER(SEARCH("out",I10))),"No","Yes")))</f>
        <v>0</v>
      </c>
      <c r="AE10" s="17">
        <f>IF(B10="","",TEXT(B10,"yyyy-mm-dd")&amp;"|"&amp;F10)</f>
        <v>0</v>
      </c>
      <c r="AF10" s="31">
        <f>IF(B10="","",IF(AND(G10="",I10=""),"Add - nothing planned yet",IF(COUNTIFS($AE$5:$AE$504,AE10)&gt;1,"Duplicate - two meals in one slot",IF(AND(G10&lt;&gt;"",H10="Not found"),"Missing - recipe ID not on the Recipes tab",IF(AND(B10&lt;TODAY(),OR(N10="Planned",N10="")),"Check - did you cook it?","OK")))))</f>
        <v>0</v>
      </c>
      <c r="AG10" s="43" t="s">
        <v>157</v>
      </c>
    </row>
    <row r="11" spans="1:33">
      <c r="A11" s="39">
        <f>IF(B11="","",MealPrefix&amp;TEXT(ROW()-4,"0000"))</f>
        <v>0</v>
      </c>
      <c r="B11" s="15">
        <v>46288</v>
      </c>
      <c r="C11" s="17">
        <f>IF(B11="","",TEXT(B11,"ddd"))</f>
        <v>0</v>
      </c>
      <c r="D11" s="18">
        <f>IF(B11="","",WEEKNUM(B11,IF(WeekStart="Sunday",1,2)))</f>
        <v>0</v>
      </c>
      <c r="E11" s="17">
        <f>IF(B11="","",TEXT(B11,"yyyy-mm"))</f>
        <v>0</v>
      </c>
      <c r="F11" s="32" t="s">
        <v>167</v>
      </c>
      <c r="G11" s="32" t="s">
        <v>961</v>
      </c>
      <c r="H11" s="17">
        <f>IF(G11&lt;&gt;"",IFERROR(INDEX(Recipes!$B$5:$B$204,MATCH(G11,Recipes!$A$5:$A$204,0)),"Not found"),I11)</f>
        <v>0</v>
      </c>
      <c r="J11" s="35">
        <v>2</v>
      </c>
      <c r="K11" s="45">
        <f>IF(B11="","",IF(J11="",DefaultServings,J11))</f>
        <v>0</v>
      </c>
      <c r="L11" s="45">
        <f>IF(G11="",0,IFERROR(K11/INDEX(Recipes!$G$5:$G$204,MATCH(G11,Recipes!$A$5:$A$204,0)),0))</f>
        <v>0</v>
      </c>
      <c r="M11" s="40" t="s">
        <v>312</v>
      </c>
      <c r="N11" s="42" t="s">
        <v>319</v>
      </c>
      <c r="O11" s="32" t="s">
        <v>742</v>
      </c>
      <c r="R11" s="40" t="s">
        <v>312</v>
      </c>
      <c r="T11" s="25">
        <f>IF(G11="","",IFERROR(INDEX(Recipes!$AD$5:$AD$204,MATCH(G11,Recipes!$A$5:$A$204,0))*K11,""))</f>
        <v>0</v>
      </c>
      <c r="V11" s="30">
        <f>IF(G11="","",IFERROR(INDEX(Recipes!$AE$5:$AE$204,MATCH(G11,Recipes!$A$5:$A$204,0)),"Not found"))</f>
        <v>0</v>
      </c>
      <c r="W11" s="45">
        <f>IF(G11="","",IFERROR(INDEX(Recipes!$AF$5:$AF$204,MATCH(G11,Recipes!$A$5:$A$204,0)),"Not found"))</f>
        <v>0</v>
      </c>
      <c r="X11" s="45">
        <f>IF(G11="","",IFERROR(INDEX(Recipes!$AG$5:$AG$204,MATCH(G11,Recipes!$A$5:$A$204,0)),"Not found"))</f>
        <v>0</v>
      </c>
      <c r="Y11" s="45">
        <f>IF(G11="","",IFERROR(INDEX(Recipes!$AH$5:$AH$204,MATCH(G11,Recipes!$A$5:$A$204,0)),"Not found"))</f>
        <v>0</v>
      </c>
      <c r="Z11" s="45">
        <f>IF(G11="","",IFERROR(INDEX(Recipes!$AI$5:$AI$204,MATCH(G11,Recipes!$A$5:$A$204,0)),"Not found"))</f>
        <v>0</v>
      </c>
      <c r="AA11" s="30">
        <f>IF(OR(V11="",NOT(ISNUMBER(V11))),"",V11*K11)</f>
        <v>0</v>
      </c>
      <c r="AB11" s="18">
        <f>IF(G11="","",IFERROR(INDEX(Recipes!$J$5:$J$204,MATCH(G11,Recipes!$A$5:$A$204,0)),"Not found"))</f>
        <v>0</v>
      </c>
      <c r="AC11" s="17">
        <f>IF(G11="","",IFERROR(INDEX(Recipes!$C$5:$C$204,MATCH(G11,Recipes!$A$5:$A$204,0)),"Not found"))</f>
        <v>0</v>
      </c>
      <c r="AD11" s="46">
        <f>IF(B11="","",IF(G11&lt;&gt;"","Yes",IF(OR(I11="",ISNUMBER(SEARCH("takeaway",I11)),ISNUMBER(SEARCH("out",I11))),"No","Yes")))</f>
        <v>0</v>
      </c>
      <c r="AE11" s="17">
        <f>IF(B11="","",TEXT(B11,"yyyy-mm-dd")&amp;"|"&amp;F11)</f>
        <v>0</v>
      </c>
      <c r="AF11" s="31">
        <f>IF(B11="","",IF(AND(G11="",I11=""),"Add - nothing planned yet",IF(COUNTIFS($AE$5:$AE$504,AE11)&gt;1,"Duplicate - two meals in one slot",IF(AND(G11&lt;&gt;"",H11="Not found"),"Missing - recipe ID not on the Recipes tab",IF(AND(B11&lt;TODAY(),OR(N11="Planned",N11="")),"Check - did you cook it?","OK")))))</f>
        <v>0</v>
      </c>
      <c r="AG11" s="43" t="s">
        <v>746</v>
      </c>
    </row>
    <row r="12" spans="1:33">
      <c r="A12" s="39">
        <f>IF(B12="","",MealPrefix&amp;TEXT(ROW()-4,"0000"))</f>
        <v>0</v>
      </c>
      <c r="B12" s="15">
        <v>46288</v>
      </c>
      <c r="C12" s="17">
        <f>IF(B12="","",TEXT(B12,"ddd"))</f>
        <v>0</v>
      </c>
      <c r="D12" s="18">
        <f>IF(B12="","",WEEKNUM(B12,IF(WeekStart="Sunday",1,2)))</f>
        <v>0</v>
      </c>
      <c r="E12" s="17">
        <f>IF(B12="","",TEXT(B12,"yyyy-mm"))</f>
        <v>0</v>
      </c>
      <c r="F12" s="32" t="s">
        <v>137</v>
      </c>
      <c r="G12" s="32" t="s">
        <v>908</v>
      </c>
      <c r="H12" s="17">
        <f>IF(G12&lt;&gt;"",IFERROR(INDEX(Recipes!$B$5:$B$204,MATCH(G12,Recipes!$A$5:$A$204,0)),"Not found"),I12)</f>
        <v>0</v>
      </c>
      <c r="J12" s="35">
        <v>4</v>
      </c>
      <c r="K12" s="45">
        <f>IF(B12="","",IF(J12="",DefaultServings,J12))</f>
        <v>0</v>
      </c>
      <c r="L12" s="45">
        <f>IF(G12="",0,IFERROR(K12/INDEX(Recipes!$G$5:$G$204,MATCH(G12,Recipes!$A$5:$A$204,0)),0))</f>
        <v>0</v>
      </c>
      <c r="M12" s="40" t="s">
        <v>312</v>
      </c>
      <c r="N12" s="42" t="s">
        <v>319</v>
      </c>
      <c r="O12" s="32" t="s">
        <v>206</v>
      </c>
      <c r="R12" s="40" t="s">
        <v>312</v>
      </c>
      <c r="S12" s="32" t="s">
        <v>157</v>
      </c>
      <c r="T12" s="25">
        <f>IF(G12="","",IFERROR(INDEX(Recipes!$AD$5:$AD$204,MATCH(G12,Recipes!$A$5:$A$204,0))*K12,""))</f>
        <v>0</v>
      </c>
      <c r="V12" s="30">
        <f>IF(G12="","",IFERROR(INDEX(Recipes!$AE$5:$AE$204,MATCH(G12,Recipes!$A$5:$A$204,0)),"Not found"))</f>
        <v>0</v>
      </c>
      <c r="W12" s="45">
        <f>IF(G12="","",IFERROR(INDEX(Recipes!$AF$5:$AF$204,MATCH(G12,Recipes!$A$5:$A$204,0)),"Not found"))</f>
        <v>0</v>
      </c>
      <c r="X12" s="45">
        <f>IF(G12="","",IFERROR(INDEX(Recipes!$AG$5:$AG$204,MATCH(G12,Recipes!$A$5:$A$204,0)),"Not found"))</f>
        <v>0</v>
      </c>
      <c r="Y12" s="45">
        <f>IF(G12="","",IFERROR(INDEX(Recipes!$AH$5:$AH$204,MATCH(G12,Recipes!$A$5:$A$204,0)),"Not found"))</f>
        <v>0</v>
      </c>
      <c r="Z12" s="45">
        <f>IF(G12="","",IFERROR(INDEX(Recipes!$AI$5:$AI$204,MATCH(G12,Recipes!$A$5:$A$204,0)),"Not found"))</f>
        <v>0</v>
      </c>
      <c r="AA12" s="30">
        <f>IF(OR(V12="",NOT(ISNUMBER(V12))),"",V12*K12)</f>
        <v>0</v>
      </c>
      <c r="AB12" s="18">
        <f>IF(G12="","",IFERROR(INDEX(Recipes!$J$5:$J$204,MATCH(G12,Recipes!$A$5:$A$204,0)),"Not found"))</f>
        <v>0</v>
      </c>
      <c r="AC12" s="17">
        <f>IF(G12="","",IFERROR(INDEX(Recipes!$C$5:$C$204,MATCH(G12,Recipes!$A$5:$A$204,0)),"Not found"))</f>
        <v>0</v>
      </c>
      <c r="AD12" s="46">
        <f>IF(B12="","",IF(G12&lt;&gt;"","Yes",IF(OR(I12="",ISNUMBER(SEARCH("takeaway",I12)),ISNUMBER(SEARCH("out",I12))),"No","Yes")))</f>
        <v>0</v>
      </c>
      <c r="AE12" s="17">
        <f>IF(B12="","",TEXT(B12,"yyyy-mm-dd")&amp;"|"&amp;F12)</f>
        <v>0</v>
      </c>
      <c r="AF12" s="31">
        <f>IF(B12="","",IF(AND(G12="",I12=""),"Add - nothing planned yet",IF(COUNTIFS($AE$5:$AE$504,AE12)&gt;1,"Duplicate - two meals in one slot",IF(AND(G12&lt;&gt;"",H12="Not found"),"Missing - recipe ID not on the Recipes tab",IF(AND(B12&lt;TODAY(),OR(N12="Planned",N12="")),"Check - did you cook it?","OK")))))</f>
        <v>0</v>
      </c>
      <c r="AG12" s="43" t="s">
        <v>157</v>
      </c>
    </row>
    <row r="13" spans="1:33">
      <c r="A13" s="39">
        <f>IF(B13="","",MealPrefix&amp;TEXT(ROW()-4,"0000"))</f>
        <v>0</v>
      </c>
      <c r="B13" s="15">
        <v>46289</v>
      </c>
      <c r="C13" s="17">
        <f>IF(B13="","",TEXT(B13,"ddd"))</f>
        <v>0</v>
      </c>
      <c r="D13" s="18">
        <f>IF(B13="","",WEEKNUM(B13,IF(WeekStart="Sunday",1,2)))</f>
        <v>0</v>
      </c>
      <c r="E13" s="17">
        <f>IF(B13="","",TEXT(B13,"yyyy-mm"))</f>
        <v>0</v>
      </c>
      <c r="F13" s="32" t="s">
        <v>165</v>
      </c>
      <c r="G13" s="32" t="s">
        <v>950</v>
      </c>
      <c r="H13" s="17">
        <f>IF(G13&lt;&gt;"",IFERROR(INDEX(Recipes!$B$5:$B$204,MATCH(G13,Recipes!$A$5:$A$204,0)),"Not found"),I13)</f>
        <v>0</v>
      </c>
      <c r="J13" s="35">
        <v>3</v>
      </c>
      <c r="K13" s="45">
        <f>IF(B13="","",IF(J13="",DefaultServings,J13))</f>
        <v>0</v>
      </c>
      <c r="L13" s="45">
        <f>IF(G13="",0,IFERROR(K13/INDEX(Recipes!$G$5:$G$204,MATCH(G13,Recipes!$A$5:$A$204,0)),0))</f>
        <v>0</v>
      </c>
      <c r="M13" s="40" t="s">
        <v>312</v>
      </c>
      <c r="N13" s="42" t="s">
        <v>319</v>
      </c>
      <c r="O13" s="32" t="s">
        <v>206</v>
      </c>
      <c r="R13" s="40" t="s">
        <v>312</v>
      </c>
      <c r="T13" s="25">
        <f>IF(G13="","",IFERROR(INDEX(Recipes!$AD$5:$AD$204,MATCH(G13,Recipes!$A$5:$A$204,0))*K13,""))</f>
        <v>0</v>
      </c>
      <c r="V13" s="30">
        <f>IF(G13="","",IFERROR(INDEX(Recipes!$AE$5:$AE$204,MATCH(G13,Recipes!$A$5:$A$204,0)),"Not found"))</f>
        <v>0</v>
      </c>
      <c r="W13" s="45">
        <f>IF(G13="","",IFERROR(INDEX(Recipes!$AF$5:$AF$204,MATCH(G13,Recipes!$A$5:$A$204,0)),"Not found"))</f>
        <v>0</v>
      </c>
      <c r="X13" s="45">
        <f>IF(G13="","",IFERROR(INDEX(Recipes!$AG$5:$AG$204,MATCH(G13,Recipes!$A$5:$A$204,0)),"Not found"))</f>
        <v>0</v>
      </c>
      <c r="Y13" s="45">
        <f>IF(G13="","",IFERROR(INDEX(Recipes!$AH$5:$AH$204,MATCH(G13,Recipes!$A$5:$A$204,0)),"Not found"))</f>
        <v>0</v>
      </c>
      <c r="Z13" s="45">
        <f>IF(G13="","",IFERROR(INDEX(Recipes!$AI$5:$AI$204,MATCH(G13,Recipes!$A$5:$A$204,0)),"Not found"))</f>
        <v>0</v>
      </c>
      <c r="AA13" s="30">
        <f>IF(OR(V13="",NOT(ISNUMBER(V13))),"",V13*K13)</f>
        <v>0</v>
      </c>
      <c r="AB13" s="18">
        <f>IF(G13="","",IFERROR(INDEX(Recipes!$J$5:$J$204,MATCH(G13,Recipes!$A$5:$A$204,0)),"Not found"))</f>
        <v>0</v>
      </c>
      <c r="AC13" s="17">
        <f>IF(G13="","",IFERROR(INDEX(Recipes!$C$5:$C$204,MATCH(G13,Recipes!$A$5:$A$204,0)),"Not found"))</f>
        <v>0</v>
      </c>
      <c r="AD13" s="46">
        <f>IF(B13="","",IF(G13&lt;&gt;"","Yes",IF(OR(I13="",ISNUMBER(SEARCH("takeaway",I13)),ISNUMBER(SEARCH("out",I13))),"No","Yes")))</f>
        <v>0</v>
      </c>
      <c r="AE13" s="17">
        <f>IF(B13="","",TEXT(B13,"yyyy-mm-dd")&amp;"|"&amp;F13)</f>
        <v>0</v>
      </c>
      <c r="AF13" s="31">
        <f>IF(B13="","",IF(AND(G13="",I13=""),"Add - nothing planned yet",IF(COUNTIFS($AE$5:$AE$504,AE13)&gt;1,"Duplicate - two meals in one slot",IF(AND(G13&lt;&gt;"",H13="Not found"),"Missing - recipe ID not on the Recipes tab",IF(AND(B13&lt;TODAY(),OR(N13="Planned",N13="")),"Check - did you cook it?","OK")))))</f>
        <v>0</v>
      </c>
      <c r="AG13" s="43" t="s">
        <v>157</v>
      </c>
    </row>
    <row r="14" spans="1:33">
      <c r="A14" s="39">
        <f>IF(B14="","",MealPrefix&amp;TEXT(ROW()-4,"0000"))</f>
        <v>0</v>
      </c>
      <c r="B14" s="15">
        <v>46289</v>
      </c>
      <c r="C14" s="17">
        <f>IF(B14="","",TEXT(B14,"ddd"))</f>
        <v>0</v>
      </c>
      <c r="D14" s="18">
        <f>IF(B14="","",WEEKNUM(B14,IF(WeekStart="Sunday",1,2)))</f>
        <v>0</v>
      </c>
      <c r="E14" s="17">
        <f>IF(B14="","",TEXT(B14,"yyyy-mm"))</f>
        <v>0</v>
      </c>
      <c r="F14" s="32" t="s">
        <v>167</v>
      </c>
      <c r="G14" s="32" t="s">
        <v>960</v>
      </c>
      <c r="H14" s="17">
        <f>IF(G14&lt;&gt;"",IFERROR(INDEX(Recipes!$B$5:$B$204,MATCH(G14,Recipes!$A$5:$A$204,0)),"Not found"),I14)</f>
        <v>0</v>
      </c>
      <c r="J14" s="35">
        <v>2</v>
      </c>
      <c r="K14" s="45">
        <f>IF(B14="","",IF(J14="",DefaultServings,J14))</f>
        <v>0</v>
      </c>
      <c r="L14" s="45">
        <f>IF(G14="",0,IFERROR(K14/INDEX(Recipes!$G$5:$G$204,MATCH(G14,Recipes!$A$5:$A$204,0)),0))</f>
        <v>0</v>
      </c>
      <c r="M14" s="40" t="s">
        <v>312</v>
      </c>
      <c r="N14" s="42" t="s">
        <v>319</v>
      </c>
      <c r="O14" s="32" t="s">
        <v>742</v>
      </c>
      <c r="R14" s="40" t="s">
        <v>312</v>
      </c>
      <c r="T14" s="25">
        <f>IF(G14="","",IFERROR(INDEX(Recipes!$AD$5:$AD$204,MATCH(G14,Recipes!$A$5:$A$204,0))*K14,""))</f>
        <v>0</v>
      </c>
      <c r="V14" s="30">
        <f>IF(G14="","",IFERROR(INDEX(Recipes!$AE$5:$AE$204,MATCH(G14,Recipes!$A$5:$A$204,0)),"Not found"))</f>
        <v>0</v>
      </c>
      <c r="W14" s="45">
        <f>IF(G14="","",IFERROR(INDEX(Recipes!$AF$5:$AF$204,MATCH(G14,Recipes!$A$5:$A$204,0)),"Not found"))</f>
        <v>0</v>
      </c>
      <c r="X14" s="45">
        <f>IF(G14="","",IFERROR(INDEX(Recipes!$AG$5:$AG$204,MATCH(G14,Recipes!$A$5:$A$204,0)),"Not found"))</f>
        <v>0</v>
      </c>
      <c r="Y14" s="45">
        <f>IF(G14="","",IFERROR(INDEX(Recipes!$AH$5:$AH$204,MATCH(G14,Recipes!$A$5:$A$204,0)),"Not found"))</f>
        <v>0</v>
      </c>
      <c r="Z14" s="45">
        <f>IF(G14="","",IFERROR(INDEX(Recipes!$AI$5:$AI$204,MATCH(G14,Recipes!$A$5:$A$204,0)),"Not found"))</f>
        <v>0</v>
      </c>
      <c r="AA14" s="30">
        <f>IF(OR(V14="",NOT(ISNUMBER(V14))),"",V14*K14)</f>
        <v>0</v>
      </c>
      <c r="AB14" s="18">
        <f>IF(G14="","",IFERROR(INDEX(Recipes!$J$5:$J$204,MATCH(G14,Recipes!$A$5:$A$204,0)),"Not found"))</f>
        <v>0</v>
      </c>
      <c r="AC14" s="17">
        <f>IF(G14="","",IFERROR(INDEX(Recipes!$C$5:$C$204,MATCH(G14,Recipes!$A$5:$A$204,0)),"Not found"))</f>
        <v>0</v>
      </c>
      <c r="AD14" s="46">
        <f>IF(B14="","",IF(G14&lt;&gt;"","Yes",IF(OR(I14="",ISNUMBER(SEARCH("takeaway",I14)),ISNUMBER(SEARCH("out",I14))),"No","Yes")))</f>
        <v>0</v>
      </c>
      <c r="AE14" s="17">
        <f>IF(B14="","",TEXT(B14,"yyyy-mm-dd")&amp;"|"&amp;F14)</f>
        <v>0</v>
      </c>
      <c r="AF14" s="31">
        <f>IF(B14="","",IF(AND(G14="",I14=""),"Add - nothing planned yet",IF(COUNTIFS($AE$5:$AE$504,AE14)&gt;1,"Duplicate - two meals in one slot",IF(AND(G14&lt;&gt;"",H14="Not found"),"Missing - recipe ID not on the Recipes tab",IF(AND(B14&lt;TODAY(),OR(N14="Planned",N14="")),"Check - did you cook it?","OK")))))</f>
        <v>0</v>
      </c>
      <c r="AG14" s="43" t="s">
        <v>746</v>
      </c>
    </row>
    <row r="15" spans="1:33">
      <c r="A15" s="39">
        <f>IF(B15="","",MealPrefix&amp;TEXT(ROW()-4,"0000"))</f>
        <v>0</v>
      </c>
      <c r="B15" s="15">
        <v>46289</v>
      </c>
      <c r="C15" s="17">
        <f>IF(B15="","",TEXT(B15,"ddd"))</f>
        <v>0</v>
      </c>
      <c r="D15" s="18">
        <f>IF(B15="","",WEEKNUM(B15,IF(WeekStart="Sunday",1,2)))</f>
        <v>0</v>
      </c>
      <c r="E15" s="17">
        <f>IF(B15="","",TEXT(B15,"yyyy-mm"))</f>
        <v>0</v>
      </c>
      <c r="F15" s="32" t="s">
        <v>137</v>
      </c>
      <c r="G15" s="32" t="s">
        <v>924</v>
      </c>
      <c r="H15" s="17">
        <f>IF(G15&lt;&gt;"",IFERROR(INDEX(Recipes!$B$5:$B$204,MATCH(G15,Recipes!$A$5:$A$204,0)),"Not found"),I15)</f>
        <v>0</v>
      </c>
      <c r="J15" s="35">
        <v>4</v>
      </c>
      <c r="K15" s="45">
        <f>IF(B15="","",IF(J15="",DefaultServings,J15))</f>
        <v>0</v>
      </c>
      <c r="L15" s="45">
        <f>IF(G15="",0,IFERROR(K15/INDEX(Recipes!$G$5:$G$204,MATCH(G15,Recipes!$A$5:$A$204,0)),0))</f>
        <v>0</v>
      </c>
      <c r="M15" s="40" t="s">
        <v>312</v>
      </c>
      <c r="N15" s="42" t="s">
        <v>319</v>
      </c>
      <c r="O15" s="32" t="s">
        <v>736</v>
      </c>
      <c r="R15" s="40" t="s">
        <v>312</v>
      </c>
      <c r="S15" s="32" t="s">
        <v>157</v>
      </c>
      <c r="T15" s="25">
        <f>IF(G15="","",IFERROR(INDEX(Recipes!$AD$5:$AD$204,MATCH(G15,Recipes!$A$5:$A$204,0))*K15,""))</f>
        <v>0</v>
      </c>
      <c r="V15" s="30">
        <f>IF(G15="","",IFERROR(INDEX(Recipes!$AE$5:$AE$204,MATCH(G15,Recipes!$A$5:$A$204,0)),"Not found"))</f>
        <v>0</v>
      </c>
      <c r="W15" s="45">
        <f>IF(G15="","",IFERROR(INDEX(Recipes!$AF$5:$AF$204,MATCH(G15,Recipes!$A$5:$A$204,0)),"Not found"))</f>
        <v>0</v>
      </c>
      <c r="X15" s="45">
        <f>IF(G15="","",IFERROR(INDEX(Recipes!$AG$5:$AG$204,MATCH(G15,Recipes!$A$5:$A$204,0)),"Not found"))</f>
        <v>0</v>
      </c>
      <c r="Y15" s="45">
        <f>IF(G15="","",IFERROR(INDEX(Recipes!$AH$5:$AH$204,MATCH(G15,Recipes!$A$5:$A$204,0)),"Not found"))</f>
        <v>0</v>
      </c>
      <c r="Z15" s="45">
        <f>IF(G15="","",IFERROR(INDEX(Recipes!$AI$5:$AI$204,MATCH(G15,Recipes!$A$5:$A$204,0)),"Not found"))</f>
        <v>0</v>
      </c>
      <c r="AA15" s="30">
        <f>IF(OR(V15="",NOT(ISNUMBER(V15))),"",V15*K15)</f>
        <v>0</v>
      </c>
      <c r="AB15" s="18">
        <f>IF(G15="","",IFERROR(INDEX(Recipes!$J$5:$J$204,MATCH(G15,Recipes!$A$5:$A$204,0)),"Not found"))</f>
        <v>0</v>
      </c>
      <c r="AC15" s="17">
        <f>IF(G15="","",IFERROR(INDEX(Recipes!$C$5:$C$204,MATCH(G15,Recipes!$A$5:$A$204,0)),"Not found"))</f>
        <v>0</v>
      </c>
      <c r="AD15" s="46">
        <f>IF(B15="","",IF(G15&lt;&gt;"","Yes",IF(OR(I15="",ISNUMBER(SEARCH("takeaway",I15)),ISNUMBER(SEARCH("out",I15))),"No","Yes")))</f>
        <v>0</v>
      </c>
      <c r="AE15" s="17">
        <f>IF(B15="","",TEXT(B15,"yyyy-mm-dd")&amp;"|"&amp;F15)</f>
        <v>0</v>
      </c>
      <c r="AF15" s="31">
        <f>IF(B15="","",IF(AND(G15="",I15=""),"Add - nothing planned yet",IF(COUNTIFS($AE$5:$AE$504,AE15)&gt;1,"Duplicate - two meals in one slot",IF(AND(G15&lt;&gt;"",H15="Not found"),"Missing - recipe ID not on the Recipes tab",IF(AND(B15&lt;TODAY(),OR(N15="Planned",N15="")),"Check - did you cook it?","OK")))))</f>
        <v>0</v>
      </c>
      <c r="AG15" s="43" t="s">
        <v>157</v>
      </c>
    </row>
    <row r="16" spans="1:33">
      <c r="A16" s="39">
        <f>IF(B16="","",MealPrefix&amp;TEXT(ROW()-4,"0000"))</f>
        <v>0</v>
      </c>
      <c r="B16" s="15">
        <v>46290</v>
      </c>
      <c r="C16" s="17">
        <f>IF(B16="","",TEXT(B16,"ddd"))</f>
        <v>0</v>
      </c>
      <c r="D16" s="18">
        <f>IF(B16="","",WEEKNUM(B16,IF(WeekStart="Sunday",1,2)))</f>
        <v>0</v>
      </c>
      <c r="E16" s="17">
        <f>IF(B16="","",TEXT(B16,"yyyy-mm"))</f>
        <v>0</v>
      </c>
      <c r="F16" s="32" t="s">
        <v>167</v>
      </c>
      <c r="G16" s="32" t="s">
        <v>954</v>
      </c>
      <c r="H16" s="17">
        <f>IF(G16&lt;&gt;"",IFERROR(INDEX(Recipes!$B$5:$B$204,MATCH(G16,Recipes!$A$5:$A$204,0)),"Not found"),I16)</f>
        <v>0</v>
      </c>
      <c r="J16" s="35">
        <v>2</v>
      </c>
      <c r="K16" s="45">
        <f>IF(B16="","",IF(J16="",DefaultServings,J16))</f>
        <v>0</v>
      </c>
      <c r="L16" s="45">
        <f>IF(G16="",0,IFERROR(K16/INDEX(Recipes!$G$5:$G$204,MATCH(G16,Recipes!$A$5:$A$204,0)),0))</f>
        <v>0</v>
      </c>
      <c r="M16" s="40" t="s">
        <v>312</v>
      </c>
      <c r="N16" s="42" t="s">
        <v>319</v>
      </c>
      <c r="O16" s="32" t="s">
        <v>742</v>
      </c>
      <c r="R16" s="40" t="s">
        <v>312</v>
      </c>
      <c r="T16" s="25">
        <f>IF(G16="","",IFERROR(INDEX(Recipes!$AD$5:$AD$204,MATCH(G16,Recipes!$A$5:$A$204,0))*K16,""))</f>
        <v>0</v>
      </c>
      <c r="V16" s="30">
        <f>IF(G16="","",IFERROR(INDEX(Recipes!$AE$5:$AE$204,MATCH(G16,Recipes!$A$5:$A$204,0)),"Not found"))</f>
        <v>0</v>
      </c>
      <c r="W16" s="45">
        <f>IF(G16="","",IFERROR(INDEX(Recipes!$AF$5:$AF$204,MATCH(G16,Recipes!$A$5:$A$204,0)),"Not found"))</f>
        <v>0</v>
      </c>
      <c r="X16" s="45">
        <f>IF(G16="","",IFERROR(INDEX(Recipes!$AG$5:$AG$204,MATCH(G16,Recipes!$A$5:$A$204,0)),"Not found"))</f>
        <v>0</v>
      </c>
      <c r="Y16" s="45">
        <f>IF(G16="","",IFERROR(INDEX(Recipes!$AH$5:$AH$204,MATCH(G16,Recipes!$A$5:$A$204,0)),"Not found"))</f>
        <v>0</v>
      </c>
      <c r="Z16" s="45">
        <f>IF(G16="","",IFERROR(INDEX(Recipes!$AI$5:$AI$204,MATCH(G16,Recipes!$A$5:$A$204,0)),"Not found"))</f>
        <v>0</v>
      </c>
      <c r="AA16" s="30">
        <f>IF(OR(V16="",NOT(ISNUMBER(V16))),"",V16*K16)</f>
        <v>0</v>
      </c>
      <c r="AB16" s="18">
        <f>IF(G16="","",IFERROR(INDEX(Recipes!$J$5:$J$204,MATCH(G16,Recipes!$A$5:$A$204,0)),"Not found"))</f>
        <v>0</v>
      </c>
      <c r="AC16" s="17">
        <f>IF(G16="","",IFERROR(INDEX(Recipes!$C$5:$C$204,MATCH(G16,Recipes!$A$5:$A$204,0)),"Not found"))</f>
        <v>0</v>
      </c>
      <c r="AD16" s="46">
        <f>IF(B16="","",IF(G16&lt;&gt;"","Yes",IF(OR(I16="",ISNUMBER(SEARCH("takeaway",I16)),ISNUMBER(SEARCH("out",I16))),"No","Yes")))</f>
        <v>0</v>
      </c>
      <c r="AE16" s="17">
        <f>IF(B16="","",TEXT(B16,"yyyy-mm-dd")&amp;"|"&amp;F16)</f>
        <v>0</v>
      </c>
      <c r="AF16" s="31">
        <f>IF(B16="","",IF(AND(G16="",I16=""),"Add - nothing planned yet",IF(COUNTIFS($AE$5:$AE$504,AE16)&gt;1,"Duplicate - two meals in one slot",IF(AND(G16&lt;&gt;"",H16="Not found"),"Missing - recipe ID not on the Recipes tab",IF(AND(B16&lt;TODAY(),OR(N16="Planned",N16="")),"Check - did you cook it?","OK")))))</f>
        <v>0</v>
      </c>
      <c r="AG16" s="43" t="s">
        <v>746</v>
      </c>
    </row>
    <row r="17" spans="1:33">
      <c r="A17" s="39">
        <f>IF(B17="","",MealPrefix&amp;TEXT(ROW()-4,"0000"))</f>
        <v>0</v>
      </c>
      <c r="B17" s="15">
        <v>46290</v>
      </c>
      <c r="C17" s="17">
        <f>IF(B17="","",TEXT(B17,"ddd"))</f>
        <v>0</v>
      </c>
      <c r="D17" s="18">
        <f>IF(B17="","",WEEKNUM(B17,IF(WeekStart="Sunday",1,2)))</f>
        <v>0</v>
      </c>
      <c r="E17" s="17">
        <f>IF(B17="","",TEXT(B17,"yyyy-mm"))</f>
        <v>0</v>
      </c>
      <c r="F17" s="32" t="s">
        <v>137</v>
      </c>
      <c r="G17" s="32" t="s">
        <v>925</v>
      </c>
      <c r="H17" s="17">
        <f>IF(G17&lt;&gt;"",IFERROR(INDEX(Recipes!$B$5:$B$204,MATCH(G17,Recipes!$A$5:$A$204,0)),"Not found"),I17)</f>
        <v>0</v>
      </c>
      <c r="J17" s="35">
        <v>4</v>
      </c>
      <c r="K17" s="45">
        <f>IF(B17="","",IF(J17="",DefaultServings,J17))</f>
        <v>0</v>
      </c>
      <c r="L17" s="45">
        <f>IF(G17="",0,IFERROR(K17/INDEX(Recipes!$G$5:$G$204,MATCH(G17,Recipes!$A$5:$A$204,0)),0))</f>
        <v>0</v>
      </c>
      <c r="M17" s="40" t="s">
        <v>312</v>
      </c>
      <c r="N17" s="42" t="s">
        <v>319</v>
      </c>
      <c r="O17" s="32" t="s">
        <v>206</v>
      </c>
      <c r="R17" s="40" t="s">
        <v>312</v>
      </c>
      <c r="S17" s="32" t="s">
        <v>157</v>
      </c>
      <c r="T17" s="25">
        <f>IF(G17="","",IFERROR(INDEX(Recipes!$AD$5:$AD$204,MATCH(G17,Recipes!$A$5:$A$204,0))*K17,""))</f>
        <v>0</v>
      </c>
      <c r="V17" s="30">
        <f>IF(G17="","",IFERROR(INDEX(Recipes!$AE$5:$AE$204,MATCH(G17,Recipes!$A$5:$A$204,0)),"Not found"))</f>
        <v>0</v>
      </c>
      <c r="W17" s="45">
        <f>IF(G17="","",IFERROR(INDEX(Recipes!$AF$5:$AF$204,MATCH(G17,Recipes!$A$5:$A$204,0)),"Not found"))</f>
        <v>0</v>
      </c>
      <c r="X17" s="45">
        <f>IF(G17="","",IFERROR(INDEX(Recipes!$AG$5:$AG$204,MATCH(G17,Recipes!$A$5:$A$204,0)),"Not found"))</f>
        <v>0</v>
      </c>
      <c r="Y17" s="45">
        <f>IF(G17="","",IFERROR(INDEX(Recipes!$AH$5:$AH$204,MATCH(G17,Recipes!$A$5:$A$204,0)),"Not found"))</f>
        <v>0</v>
      </c>
      <c r="Z17" s="45">
        <f>IF(G17="","",IFERROR(INDEX(Recipes!$AI$5:$AI$204,MATCH(G17,Recipes!$A$5:$A$204,0)),"Not found"))</f>
        <v>0</v>
      </c>
      <c r="AA17" s="30">
        <f>IF(OR(V17="",NOT(ISNUMBER(V17))),"",V17*K17)</f>
        <v>0</v>
      </c>
      <c r="AB17" s="18">
        <f>IF(G17="","",IFERROR(INDEX(Recipes!$J$5:$J$204,MATCH(G17,Recipes!$A$5:$A$204,0)),"Not found"))</f>
        <v>0</v>
      </c>
      <c r="AC17" s="17">
        <f>IF(G17="","",IFERROR(INDEX(Recipes!$C$5:$C$204,MATCH(G17,Recipes!$A$5:$A$204,0)),"Not found"))</f>
        <v>0</v>
      </c>
      <c r="AD17" s="46">
        <f>IF(B17="","",IF(G17&lt;&gt;"","Yes",IF(OR(I17="",ISNUMBER(SEARCH("takeaway",I17)),ISNUMBER(SEARCH("out",I17))),"No","Yes")))</f>
        <v>0</v>
      </c>
      <c r="AE17" s="17">
        <f>IF(B17="","",TEXT(B17,"yyyy-mm-dd")&amp;"|"&amp;F17)</f>
        <v>0</v>
      </c>
      <c r="AF17" s="31">
        <f>IF(B17="","",IF(AND(G17="",I17=""),"Add - nothing planned yet",IF(COUNTIFS($AE$5:$AE$504,AE17)&gt;1,"Duplicate - two meals in one slot",IF(AND(G17&lt;&gt;"",H17="Not found"),"Missing - recipe ID not on the Recipes tab",IF(AND(B17&lt;TODAY(),OR(N17="Planned",N17="")),"Check - did you cook it?","OK")))))</f>
        <v>0</v>
      </c>
      <c r="AG17" s="43" t="s">
        <v>157</v>
      </c>
    </row>
    <row r="18" spans="1:33">
      <c r="A18" s="39">
        <f>IF(B18="","",MealPrefix&amp;TEXT(ROW()-4,"0000"))</f>
        <v>0</v>
      </c>
      <c r="B18" s="15">
        <v>46291</v>
      </c>
      <c r="C18" s="17">
        <f>IF(B18="","",TEXT(B18,"ddd"))</f>
        <v>0</v>
      </c>
      <c r="D18" s="18">
        <f>IF(B18="","",WEEKNUM(B18,IF(WeekStart="Sunday",1,2)))</f>
        <v>0</v>
      </c>
      <c r="E18" s="17">
        <f>IF(B18="","",TEXT(B18,"yyyy-mm"))</f>
        <v>0</v>
      </c>
      <c r="F18" s="32" t="s">
        <v>165</v>
      </c>
      <c r="G18" s="32" t="s">
        <v>946</v>
      </c>
      <c r="H18" s="17">
        <f>IF(G18&lt;&gt;"",IFERROR(INDEX(Recipes!$B$5:$B$204,MATCH(G18,Recipes!$A$5:$A$204,0)),"Not found"),I18)</f>
        <v>0</v>
      </c>
      <c r="J18" s="35">
        <v>3</v>
      </c>
      <c r="K18" s="45">
        <f>IF(B18="","",IF(J18="",DefaultServings,J18))</f>
        <v>0</v>
      </c>
      <c r="L18" s="45">
        <f>IF(G18="",0,IFERROR(K18/INDEX(Recipes!$G$5:$G$204,MATCH(G18,Recipes!$A$5:$A$204,0)),0))</f>
        <v>0</v>
      </c>
      <c r="M18" s="40" t="s">
        <v>312</v>
      </c>
      <c r="N18" s="42" t="s">
        <v>319</v>
      </c>
      <c r="O18" s="32" t="s">
        <v>206</v>
      </c>
      <c r="R18" s="40" t="s">
        <v>312</v>
      </c>
      <c r="T18" s="25">
        <f>IF(G18="","",IFERROR(INDEX(Recipes!$AD$5:$AD$204,MATCH(G18,Recipes!$A$5:$A$204,0))*K18,""))</f>
        <v>0</v>
      </c>
      <c r="V18" s="30">
        <f>IF(G18="","",IFERROR(INDEX(Recipes!$AE$5:$AE$204,MATCH(G18,Recipes!$A$5:$A$204,0)),"Not found"))</f>
        <v>0</v>
      </c>
      <c r="W18" s="45">
        <f>IF(G18="","",IFERROR(INDEX(Recipes!$AF$5:$AF$204,MATCH(G18,Recipes!$A$5:$A$204,0)),"Not found"))</f>
        <v>0</v>
      </c>
      <c r="X18" s="45">
        <f>IF(G18="","",IFERROR(INDEX(Recipes!$AG$5:$AG$204,MATCH(G18,Recipes!$A$5:$A$204,0)),"Not found"))</f>
        <v>0</v>
      </c>
      <c r="Y18" s="45">
        <f>IF(G18="","",IFERROR(INDEX(Recipes!$AH$5:$AH$204,MATCH(G18,Recipes!$A$5:$A$204,0)),"Not found"))</f>
        <v>0</v>
      </c>
      <c r="Z18" s="45">
        <f>IF(G18="","",IFERROR(INDEX(Recipes!$AI$5:$AI$204,MATCH(G18,Recipes!$A$5:$A$204,0)),"Not found"))</f>
        <v>0</v>
      </c>
      <c r="AA18" s="30">
        <f>IF(OR(V18="",NOT(ISNUMBER(V18))),"",V18*K18)</f>
        <v>0</v>
      </c>
      <c r="AB18" s="18">
        <f>IF(G18="","",IFERROR(INDEX(Recipes!$J$5:$J$204,MATCH(G18,Recipes!$A$5:$A$204,0)),"Not found"))</f>
        <v>0</v>
      </c>
      <c r="AC18" s="17">
        <f>IF(G18="","",IFERROR(INDEX(Recipes!$C$5:$C$204,MATCH(G18,Recipes!$A$5:$A$204,0)),"Not found"))</f>
        <v>0</v>
      </c>
      <c r="AD18" s="46">
        <f>IF(B18="","",IF(G18&lt;&gt;"","Yes",IF(OR(I18="",ISNUMBER(SEARCH("takeaway",I18)),ISNUMBER(SEARCH("out",I18))),"No","Yes")))</f>
        <v>0</v>
      </c>
      <c r="AE18" s="17">
        <f>IF(B18="","",TEXT(B18,"yyyy-mm-dd")&amp;"|"&amp;F18)</f>
        <v>0</v>
      </c>
      <c r="AF18" s="31">
        <f>IF(B18="","",IF(AND(G18="",I18=""),"Add - nothing planned yet",IF(COUNTIFS($AE$5:$AE$504,AE18)&gt;1,"Duplicate - two meals in one slot",IF(AND(G18&lt;&gt;"",H18="Not found"),"Missing - recipe ID not on the Recipes tab",IF(AND(B18&lt;TODAY(),OR(N18="Planned",N18="")),"Check - did you cook it?","OK")))))</f>
        <v>0</v>
      </c>
      <c r="AG18" s="43" t="s">
        <v>157</v>
      </c>
    </row>
    <row r="19" spans="1:33">
      <c r="A19" s="39">
        <f>IF(B19="","",MealPrefix&amp;TEXT(ROW()-4,"0000"))</f>
        <v>0</v>
      </c>
      <c r="B19" s="15">
        <v>46291</v>
      </c>
      <c r="C19" s="17">
        <f>IF(B19="","",TEXT(B19,"ddd"))</f>
        <v>0</v>
      </c>
      <c r="D19" s="18">
        <f>IF(B19="","",WEEKNUM(B19,IF(WeekStart="Sunday",1,2)))</f>
        <v>0</v>
      </c>
      <c r="E19" s="17">
        <f>IF(B19="","",TEXT(B19,"yyyy-mm"))</f>
        <v>0</v>
      </c>
      <c r="F19" s="32" t="s">
        <v>167</v>
      </c>
      <c r="H19" s="17">
        <f>IF(G19&lt;&gt;"",IFERROR(INDEX(Recipes!$B$5:$B$204,MATCH(G19,Recipes!$A$5:$A$204,0)),"Not found"),I19)</f>
        <v>0</v>
      </c>
      <c r="I19" s="32" t="s">
        <v>1046</v>
      </c>
      <c r="J19" s="35">
        <v>4</v>
      </c>
      <c r="K19" s="45">
        <f>IF(B19="","",IF(J19="",DefaultServings,J19))</f>
        <v>0</v>
      </c>
      <c r="L19" s="45">
        <f>IF(G19="",0,IFERROR(K19/INDEX(Recipes!$G$5:$G$204,MATCH(G19,Recipes!$A$5:$A$204,0)),0))</f>
        <v>0</v>
      </c>
      <c r="M19" s="40" t="s">
        <v>312</v>
      </c>
      <c r="N19" s="42" t="s">
        <v>319</v>
      </c>
      <c r="O19" s="32" t="s">
        <v>157</v>
      </c>
      <c r="R19" s="40" t="s">
        <v>312</v>
      </c>
      <c r="T19" s="25">
        <f>IF(G19="","",IFERROR(INDEX(Recipes!$AD$5:$AD$204,MATCH(G19,Recipes!$A$5:$A$204,0))*K19,""))</f>
        <v>0</v>
      </c>
      <c r="V19" s="30">
        <f>IF(G19="","",IFERROR(INDEX(Recipes!$AE$5:$AE$204,MATCH(G19,Recipes!$A$5:$A$204,0)),"Not found"))</f>
        <v>0</v>
      </c>
      <c r="W19" s="45">
        <f>IF(G19="","",IFERROR(INDEX(Recipes!$AF$5:$AF$204,MATCH(G19,Recipes!$A$5:$A$204,0)),"Not found"))</f>
        <v>0</v>
      </c>
      <c r="X19" s="45">
        <f>IF(G19="","",IFERROR(INDEX(Recipes!$AG$5:$AG$204,MATCH(G19,Recipes!$A$5:$A$204,0)),"Not found"))</f>
        <v>0</v>
      </c>
      <c r="Y19" s="45">
        <f>IF(G19="","",IFERROR(INDEX(Recipes!$AH$5:$AH$204,MATCH(G19,Recipes!$A$5:$A$204,0)),"Not found"))</f>
        <v>0</v>
      </c>
      <c r="Z19" s="45">
        <f>IF(G19="","",IFERROR(INDEX(Recipes!$AI$5:$AI$204,MATCH(G19,Recipes!$A$5:$A$204,0)),"Not found"))</f>
        <v>0</v>
      </c>
      <c r="AA19" s="30">
        <f>IF(OR(V19="",NOT(ISNUMBER(V19))),"",V19*K19)</f>
        <v>0</v>
      </c>
      <c r="AB19" s="18">
        <f>IF(G19="","",IFERROR(INDEX(Recipes!$J$5:$J$204,MATCH(G19,Recipes!$A$5:$A$204,0)),"Not found"))</f>
        <v>0</v>
      </c>
      <c r="AC19" s="17">
        <f>IF(G19="","",IFERROR(INDEX(Recipes!$C$5:$C$204,MATCH(G19,Recipes!$A$5:$A$204,0)),"Not found"))</f>
        <v>0</v>
      </c>
      <c r="AD19" s="46">
        <f>IF(B19="","",IF(G19&lt;&gt;"","Yes",IF(OR(I19="",ISNUMBER(SEARCH("takeaway",I19)),ISNUMBER(SEARCH("out",I19))),"No","Yes")))</f>
        <v>0</v>
      </c>
      <c r="AE19" s="17">
        <f>IF(B19="","",TEXT(B19,"yyyy-mm-dd")&amp;"|"&amp;F19)</f>
        <v>0</v>
      </c>
      <c r="AF19" s="31">
        <f>IF(B19="","",IF(AND(G19="",I19=""),"Add - nothing planned yet",IF(COUNTIFS($AE$5:$AE$504,AE19)&gt;1,"Duplicate - two meals in one slot",IF(AND(G19&lt;&gt;"",H19="Not found"),"Missing - recipe ID not on the Recipes tab",IF(AND(B19&lt;TODAY(),OR(N19="Planned",N19="")),"Check - did you cook it?","OK")))))</f>
        <v>0</v>
      </c>
      <c r="AG19" s="43" t="s">
        <v>157</v>
      </c>
    </row>
    <row r="20" spans="1:33">
      <c r="A20" s="39">
        <f>IF(B20="","",MealPrefix&amp;TEXT(ROW()-4,"0000"))</f>
        <v>0</v>
      </c>
      <c r="B20" s="15">
        <v>46291</v>
      </c>
      <c r="C20" s="17">
        <f>IF(B20="","",TEXT(B20,"ddd"))</f>
        <v>0</v>
      </c>
      <c r="D20" s="18">
        <f>IF(B20="","",WEEKNUM(B20,IF(WeekStart="Sunday",1,2)))</f>
        <v>0</v>
      </c>
      <c r="E20" s="17">
        <f>IF(B20="","",TEXT(B20,"yyyy-mm"))</f>
        <v>0</v>
      </c>
      <c r="F20" s="32" t="s">
        <v>137</v>
      </c>
      <c r="G20" s="32" t="s">
        <v>915</v>
      </c>
      <c r="H20" s="17">
        <f>IF(G20&lt;&gt;"",IFERROR(INDEX(Recipes!$B$5:$B$204,MATCH(G20,Recipes!$A$5:$A$204,0)),"Not found"),I20)</f>
        <v>0</v>
      </c>
      <c r="J20" s="35">
        <v>4</v>
      </c>
      <c r="K20" s="45">
        <f>IF(B20="","",IF(J20="",DefaultServings,J20))</f>
        <v>0</v>
      </c>
      <c r="L20" s="45">
        <f>IF(G20="",0,IFERROR(K20/INDEX(Recipes!$G$5:$G$204,MATCH(G20,Recipes!$A$5:$A$204,0)),0))</f>
        <v>0</v>
      </c>
      <c r="M20" s="40" t="s">
        <v>312</v>
      </c>
      <c r="N20" s="42" t="s">
        <v>319</v>
      </c>
      <c r="O20" s="32" t="s">
        <v>206</v>
      </c>
      <c r="R20" s="40" t="s">
        <v>312</v>
      </c>
      <c r="S20" s="32" t="s">
        <v>157</v>
      </c>
      <c r="T20" s="25">
        <f>IF(G20="","",IFERROR(INDEX(Recipes!$AD$5:$AD$204,MATCH(G20,Recipes!$A$5:$A$204,0))*K20,""))</f>
        <v>0</v>
      </c>
      <c r="V20" s="30">
        <f>IF(G20="","",IFERROR(INDEX(Recipes!$AE$5:$AE$204,MATCH(G20,Recipes!$A$5:$A$204,0)),"Not found"))</f>
        <v>0</v>
      </c>
      <c r="W20" s="45">
        <f>IF(G20="","",IFERROR(INDEX(Recipes!$AF$5:$AF$204,MATCH(G20,Recipes!$A$5:$A$204,0)),"Not found"))</f>
        <v>0</v>
      </c>
      <c r="X20" s="45">
        <f>IF(G20="","",IFERROR(INDEX(Recipes!$AG$5:$AG$204,MATCH(G20,Recipes!$A$5:$A$204,0)),"Not found"))</f>
        <v>0</v>
      </c>
      <c r="Y20" s="45">
        <f>IF(G20="","",IFERROR(INDEX(Recipes!$AH$5:$AH$204,MATCH(G20,Recipes!$A$5:$A$204,0)),"Not found"))</f>
        <v>0</v>
      </c>
      <c r="Z20" s="45">
        <f>IF(G20="","",IFERROR(INDEX(Recipes!$AI$5:$AI$204,MATCH(G20,Recipes!$A$5:$A$204,0)),"Not found"))</f>
        <v>0</v>
      </c>
      <c r="AA20" s="30">
        <f>IF(OR(V20="",NOT(ISNUMBER(V20))),"",V20*K20)</f>
        <v>0</v>
      </c>
      <c r="AB20" s="18">
        <f>IF(G20="","",IFERROR(INDEX(Recipes!$J$5:$J$204,MATCH(G20,Recipes!$A$5:$A$204,0)),"Not found"))</f>
        <v>0</v>
      </c>
      <c r="AC20" s="17">
        <f>IF(G20="","",IFERROR(INDEX(Recipes!$C$5:$C$204,MATCH(G20,Recipes!$A$5:$A$204,0)),"Not found"))</f>
        <v>0</v>
      </c>
      <c r="AD20" s="46">
        <f>IF(B20="","",IF(G20&lt;&gt;"","Yes",IF(OR(I20="",ISNUMBER(SEARCH("takeaway",I20)),ISNUMBER(SEARCH("out",I20))),"No","Yes")))</f>
        <v>0</v>
      </c>
      <c r="AE20" s="17">
        <f>IF(B20="","",TEXT(B20,"yyyy-mm-dd")&amp;"|"&amp;F20)</f>
        <v>0</v>
      </c>
      <c r="AF20" s="31">
        <f>IF(B20="","",IF(AND(G20="",I20=""),"Add - nothing planned yet",IF(COUNTIFS($AE$5:$AE$504,AE20)&gt;1,"Duplicate - two meals in one slot",IF(AND(G20&lt;&gt;"",H20="Not found"),"Missing - recipe ID not on the Recipes tab",IF(AND(B20&lt;TODAY(),OR(N20="Planned",N20="")),"Check - did you cook it?","OK")))))</f>
        <v>0</v>
      </c>
      <c r="AG20" s="43" t="s">
        <v>157</v>
      </c>
    </row>
    <row r="21" spans="1:33">
      <c r="A21" s="39">
        <f>IF(B21="","",MealPrefix&amp;TEXT(ROW()-4,"0000"))</f>
        <v>0</v>
      </c>
      <c r="B21" s="15">
        <v>46292</v>
      </c>
      <c r="C21" s="17">
        <f>IF(B21="","",TEXT(B21,"ddd"))</f>
        <v>0</v>
      </c>
      <c r="D21" s="18">
        <f>IF(B21="","",WEEKNUM(B21,IF(WeekStart="Sunday",1,2)))</f>
        <v>0</v>
      </c>
      <c r="E21" s="17">
        <f>IF(B21="","",TEXT(B21,"yyyy-mm"))</f>
        <v>0</v>
      </c>
      <c r="F21" s="32" t="s">
        <v>165</v>
      </c>
      <c r="G21" s="32" t="s">
        <v>950</v>
      </c>
      <c r="H21" s="17">
        <f>IF(G21&lt;&gt;"",IFERROR(INDEX(Recipes!$B$5:$B$204,MATCH(G21,Recipes!$A$5:$A$204,0)),"Not found"),I21)</f>
        <v>0</v>
      </c>
      <c r="J21" s="35">
        <v>3</v>
      </c>
      <c r="K21" s="45">
        <f>IF(B21="","",IF(J21="",DefaultServings,J21))</f>
        <v>0</v>
      </c>
      <c r="L21" s="45">
        <f>IF(G21="",0,IFERROR(K21/INDEX(Recipes!$G$5:$G$204,MATCH(G21,Recipes!$A$5:$A$204,0)),0))</f>
        <v>0</v>
      </c>
      <c r="M21" s="40" t="s">
        <v>312</v>
      </c>
      <c r="N21" s="42" t="s">
        <v>319</v>
      </c>
      <c r="O21" s="32" t="s">
        <v>206</v>
      </c>
      <c r="R21" s="40" t="s">
        <v>312</v>
      </c>
      <c r="T21" s="25">
        <f>IF(G21="","",IFERROR(INDEX(Recipes!$AD$5:$AD$204,MATCH(G21,Recipes!$A$5:$A$204,0))*K21,""))</f>
        <v>0</v>
      </c>
      <c r="V21" s="30">
        <f>IF(G21="","",IFERROR(INDEX(Recipes!$AE$5:$AE$204,MATCH(G21,Recipes!$A$5:$A$204,0)),"Not found"))</f>
        <v>0</v>
      </c>
      <c r="W21" s="45">
        <f>IF(G21="","",IFERROR(INDEX(Recipes!$AF$5:$AF$204,MATCH(G21,Recipes!$A$5:$A$204,0)),"Not found"))</f>
        <v>0</v>
      </c>
      <c r="X21" s="45">
        <f>IF(G21="","",IFERROR(INDEX(Recipes!$AG$5:$AG$204,MATCH(G21,Recipes!$A$5:$A$204,0)),"Not found"))</f>
        <v>0</v>
      </c>
      <c r="Y21" s="45">
        <f>IF(G21="","",IFERROR(INDEX(Recipes!$AH$5:$AH$204,MATCH(G21,Recipes!$A$5:$A$204,0)),"Not found"))</f>
        <v>0</v>
      </c>
      <c r="Z21" s="45">
        <f>IF(G21="","",IFERROR(INDEX(Recipes!$AI$5:$AI$204,MATCH(G21,Recipes!$A$5:$A$204,0)),"Not found"))</f>
        <v>0</v>
      </c>
      <c r="AA21" s="30">
        <f>IF(OR(V21="",NOT(ISNUMBER(V21))),"",V21*K21)</f>
        <v>0</v>
      </c>
      <c r="AB21" s="18">
        <f>IF(G21="","",IFERROR(INDEX(Recipes!$J$5:$J$204,MATCH(G21,Recipes!$A$5:$A$204,0)),"Not found"))</f>
        <v>0</v>
      </c>
      <c r="AC21" s="17">
        <f>IF(G21="","",IFERROR(INDEX(Recipes!$C$5:$C$204,MATCH(G21,Recipes!$A$5:$A$204,0)),"Not found"))</f>
        <v>0</v>
      </c>
      <c r="AD21" s="46">
        <f>IF(B21="","",IF(G21&lt;&gt;"","Yes",IF(OR(I21="",ISNUMBER(SEARCH("takeaway",I21)),ISNUMBER(SEARCH("out",I21))),"No","Yes")))</f>
        <v>0</v>
      </c>
      <c r="AE21" s="17">
        <f>IF(B21="","",TEXT(B21,"yyyy-mm-dd")&amp;"|"&amp;F21)</f>
        <v>0</v>
      </c>
      <c r="AF21" s="31">
        <f>IF(B21="","",IF(AND(G21="",I21=""),"Add - nothing planned yet",IF(COUNTIFS($AE$5:$AE$504,AE21)&gt;1,"Duplicate - two meals in one slot",IF(AND(G21&lt;&gt;"",H21="Not found"),"Missing - recipe ID not on the Recipes tab",IF(AND(B21&lt;TODAY(),OR(N21="Planned",N21="")),"Check - did you cook it?","OK")))))</f>
        <v>0</v>
      </c>
      <c r="AG21" s="43" t="s">
        <v>157</v>
      </c>
    </row>
    <row r="22" spans="1:33">
      <c r="A22" s="39">
        <f>IF(B22="","",MealPrefix&amp;TEXT(ROW()-4,"0000"))</f>
        <v>0</v>
      </c>
      <c r="B22" s="15">
        <v>46292</v>
      </c>
      <c r="C22" s="17">
        <f>IF(B22="","",TEXT(B22,"ddd"))</f>
        <v>0</v>
      </c>
      <c r="D22" s="18">
        <f>IF(B22="","",WEEKNUM(B22,IF(WeekStart="Sunday",1,2)))</f>
        <v>0</v>
      </c>
      <c r="E22" s="17">
        <f>IF(B22="","",TEXT(B22,"yyyy-mm"))</f>
        <v>0</v>
      </c>
      <c r="F22" s="32" t="s">
        <v>167</v>
      </c>
      <c r="H22" s="17">
        <f>IF(G22&lt;&gt;"",IFERROR(INDEX(Recipes!$B$5:$B$204,MATCH(G22,Recipes!$A$5:$A$204,0)),"Not found"),I22)</f>
        <v>0</v>
      </c>
      <c r="I22" s="32" t="s">
        <v>1046</v>
      </c>
      <c r="J22" s="35">
        <v>4</v>
      </c>
      <c r="K22" s="45">
        <f>IF(B22="","",IF(J22="",DefaultServings,J22))</f>
        <v>0</v>
      </c>
      <c r="L22" s="45">
        <f>IF(G22="",0,IFERROR(K22/INDEX(Recipes!$G$5:$G$204,MATCH(G22,Recipes!$A$5:$A$204,0)),0))</f>
        <v>0</v>
      </c>
      <c r="M22" s="40" t="s">
        <v>312</v>
      </c>
      <c r="N22" s="42" t="s">
        <v>319</v>
      </c>
      <c r="O22" s="32" t="s">
        <v>157</v>
      </c>
      <c r="R22" s="40" t="s">
        <v>312</v>
      </c>
      <c r="T22" s="25">
        <f>IF(G22="","",IFERROR(INDEX(Recipes!$AD$5:$AD$204,MATCH(G22,Recipes!$A$5:$A$204,0))*K22,""))</f>
        <v>0</v>
      </c>
      <c r="V22" s="30">
        <f>IF(G22="","",IFERROR(INDEX(Recipes!$AE$5:$AE$204,MATCH(G22,Recipes!$A$5:$A$204,0)),"Not found"))</f>
        <v>0</v>
      </c>
      <c r="W22" s="45">
        <f>IF(G22="","",IFERROR(INDEX(Recipes!$AF$5:$AF$204,MATCH(G22,Recipes!$A$5:$A$204,0)),"Not found"))</f>
        <v>0</v>
      </c>
      <c r="X22" s="45">
        <f>IF(G22="","",IFERROR(INDEX(Recipes!$AG$5:$AG$204,MATCH(G22,Recipes!$A$5:$A$204,0)),"Not found"))</f>
        <v>0</v>
      </c>
      <c r="Y22" s="45">
        <f>IF(G22="","",IFERROR(INDEX(Recipes!$AH$5:$AH$204,MATCH(G22,Recipes!$A$5:$A$204,0)),"Not found"))</f>
        <v>0</v>
      </c>
      <c r="Z22" s="45">
        <f>IF(G22="","",IFERROR(INDEX(Recipes!$AI$5:$AI$204,MATCH(G22,Recipes!$A$5:$A$204,0)),"Not found"))</f>
        <v>0</v>
      </c>
      <c r="AA22" s="30">
        <f>IF(OR(V22="",NOT(ISNUMBER(V22))),"",V22*K22)</f>
        <v>0</v>
      </c>
      <c r="AB22" s="18">
        <f>IF(G22="","",IFERROR(INDEX(Recipes!$J$5:$J$204,MATCH(G22,Recipes!$A$5:$A$204,0)),"Not found"))</f>
        <v>0</v>
      </c>
      <c r="AC22" s="17">
        <f>IF(G22="","",IFERROR(INDEX(Recipes!$C$5:$C$204,MATCH(G22,Recipes!$A$5:$A$204,0)),"Not found"))</f>
        <v>0</v>
      </c>
      <c r="AD22" s="46">
        <f>IF(B22="","",IF(G22&lt;&gt;"","Yes",IF(OR(I22="",ISNUMBER(SEARCH("takeaway",I22)),ISNUMBER(SEARCH("out",I22))),"No","Yes")))</f>
        <v>0</v>
      </c>
      <c r="AE22" s="17">
        <f>IF(B22="","",TEXT(B22,"yyyy-mm-dd")&amp;"|"&amp;F22)</f>
        <v>0</v>
      </c>
      <c r="AF22" s="31">
        <f>IF(B22="","",IF(AND(G22="",I22=""),"Add - nothing planned yet",IF(COUNTIFS($AE$5:$AE$504,AE22)&gt;1,"Duplicate - two meals in one slot",IF(AND(G22&lt;&gt;"",H22="Not found"),"Missing - recipe ID not on the Recipes tab",IF(AND(B22&lt;TODAY(),OR(N22="Planned",N22="")),"Check - did you cook it?","OK")))))</f>
        <v>0</v>
      </c>
      <c r="AG22" s="43" t="s">
        <v>157</v>
      </c>
    </row>
    <row r="23" spans="1:33">
      <c r="A23" s="39">
        <f>IF(B23="","",MealPrefix&amp;TEXT(ROW()-4,"0000"))</f>
        <v>0</v>
      </c>
      <c r="B23" s="15">
        <v>46292</v>
      </c>
      <c r="C23" s="17">
        <f>IF(B23="","",TEXT(B23,"ddd"))</f>
        <v>0</v>
      </c>
      <c r="D23" s="18">
        <f>IF(B23="","",WEEKNUM(B23,IF(WeekStart="Sunday",1,2)))</f>
        <v>0</v>
      </c>
      <c r="E23" s="17">
        <f>IF(B23="","",TEXT(B23,"yyyy-mm"))</f>
        <v>0</v>
      </c>
      <c r="F23" s="32" t="s">
        <v>137</v>
      </c>
      <c r="G23" s="32" t="s">
        <v>933</v>
      </c>
      <c r="H23" s="17">
        <f>IF(G23&lt;&gt;"",IFERROR(INDEX(Recipes!$B$5:$B$204,MATCH(G23,Recipes!$A$5:$A$204,0)),"Not found"),I23)</f>
        <v>0</v>
      </c>
      <c r="J23" s="35">
        <v>4</v>
      </c>
      <c r="K23" s="45">
        <f>IF(B23="","",IF(J23="",DefaultServings,J23))</f>
        <v>0</v>
      </c>
      <c r="L23" s="45">
        <f>IF(G23="",0,IFERROR(K23/INDEX(Recipes!$G$5:$G$204,MATCH(G23,Recipes!$A$5:$A$204,0)),0))</f>
        <v>0</v>
      </c>
      <c r="M23" s="40" t="s">
        <v>312</v>
      </c>
      <c r="N23" s="42" t="s">
        <v>319</v>
      </c>
      <c r="O23" s="32" t="s">
        <v>206</v>
      </c>
      <c r="Q23" s="38">
        <v>2</v>
      </c>
      <c r="R23" s="40" t="s">
        <v>311</v>
      </c>
      <c r="S23" s="32" t="s">
        <v>157</v>
      </c>
      <c r="T23" s="25">
        <f>IF(G23="","",IFERROR(INDEX(Recipes!$AD$5:$AD$204,MATCH(G23,Recipes!$A$5:$A$204,0))*K23,""))</f>
        <v>0</v>
      </c>
      <c r="V23" s="30">
        <f>IF(G23="","",IFERROR(INDEX(Recipes!$AE$5:$AE$204,MATCH(G23,Recipes!$A$5:$A$204,0)),"Not found"))</f>
        <v>0</v>
      </c>
      <c r="W23" s="45">
        <f>IF(G23="","",IFERROR(INDEX(Recipes!$AF$5:$AF$204,MATCH(G23,Recipes!$A$5:$A$204,0)),"Not found"))</f>
        <v>0</v>
      </c>
      <c r="X23" s="45">
        <f>IF(G23="","",IFERROR(INDEX(Recipes!$AG$5:$AG$204,MATCH(G23,Recipes!$A$5:$A$204,0)),"Not found"))</f>
        <v>0</v>
      </c>
      <c r="Y23" s="45">
        <f>IF(G23="","",IFERROR(INDEX(Recipes!$AH$5:$AH$204,MATCH(G23,Recipes!$A$5:$A$204,0)),"Not found"))</f>
        <v>0</v>
      </c>
      <c r="Z23" s="45">
        <f>IF(G23="","",IFERROR(INDEX(Recipes!$AI$5:$AI$204,MATCH(G23,Recipes!$A$5:$A$204,0)),"Not found"))</f>
        <v>0</v>
      </c>
      <c r="AA23" s="30">
        <f>IF(OR(V23="",NOT(ISNUMBER(V23))),"",V23*K23)</f>
        <v>0</v>
      </c>
      <c r="AB23" s="18">
        <f>IF(G23="","",IFERROR(INDEX(Recipes!$J$5:$J$204,MATCH(G23,Recipes!$A$5:$A$204,0)),"Not found"))</f>
        <v>0</v>
      </c>
      <c r="AC23" s="17">
        <f>IF(G23="","",IFERROR(INDEX(Recipes!$C$5:$C$204,MATCH(G23,Recipes!$A$5:$A$204,0)),"Not found"))</f>
        <v>0</v>
      </c>
      <c r="AD23" s="46">
        <f>IF(B23="","",IF(G23&lt;&gt;"","Yes",IF(OR(I23="",ISNUMBER(SEARCH("takeaway",I23)),ISNUMBER(SEARCH("out",I23))),"No","Yes")))</f>
        <v>0</v>
      </c>
      <c r="AE23" s="17">
        <f>IF(B23="","",TEXT(B23,"yyyy-mm-dd")&amp;"|"&amp;F23)</f>
        <v>0</v>
      </c>
      <c r="AF23" s="31">
        <f>IF(B23="","",IF(AND(G23="",I23=""),"Add - nothing planned yet",IF(COUNTIFS($AE$5:$AE$504,AE23)&gt;1,"Duplicate - two meals in one slot",IF(AND(G23&lt;&gt;"",H23="Not found"),"Missing - recipe ID not on the Recipes tab",IF(AND(B23&lt;TODAY(),OR(N23="Planned",N23="")),"Check - did you cook it?","OK")))))</f>
        <v>0</v>
      </c>
      <c r="AG23" s="43" t="s">
        <v>157</v>
      </c>
    </row>
    <row r="24" spans="1:33">
      <c r="A24" s="39">
        <f>IF(B24="","",MealPrefix&amp;TEXT(ROW()-4,"0000"))</f>
        <v>0</v>
      </c>
      <c r="B24" s="15">
        <v>46292</v>
      </c>
      <c r="C24" s="17">
        <f>IF(B24="","",TEXT(B24,"ddd"))</f>
        <v>0</v>
      </c>
      <c r="D24" s="18">
        <f>IF(B24="","",WEEKNUM(B24,IF(WeekStart="Sunday",1,2)))</f>
        <v>0</v>
      </c>
      <c r="E24" s="17">
        <f>IF(B24="","",TEXT(B24,"yyyy-mm"))</f>
        <v>0</v>
      </c>
      <c r="F24" s="32" t="s">
        <v>170</v>
      </c>
      <c r="G24" s="32" t="s">
        <v>966</v>
      </c>
      <c r="H24" s="17">
        <f>IF(G24&lt;&gt;"",IFERROR(INDEX(Recipes!$B$5:$B$204,MATCH(G24,Recipes!$A$5:$A$204,0)),"Not found"),I24)</f>
        <v>0</v>
      </c>
      <c r="J24" s="35">
        <v>6</v>
      </c>
      <c r="K24" s="45">
        <f>IF(B24="","",IF(J24="",DefaultServings,J24))</f>
        <v>0</v>
      </c>
      <c r="L24" s="45">
        <f>IF(G24="",0,IFERROR(K24/INDEX(Recipes!$G$5:$G$204,MATCH(G24,Recipes!$A$5:$A$204,0)),0))</f>
        <v>0</v>
      </c>
      <c r="M24" s="40" t="s">
        <v>312</v>
      </c>
      <c r="N24" s="42" t="s">
        <v>319</v>
      </c>
      <c r="O24" s="32" t="s">
        <v>742</v>
      </c>
      <c r="R24" s="40" t="s">
        <v>312</v>
      </c>
      <c r="T24" s="25">
        <f>IF(G24="","",IFERROR(INDEX(Recipes!$AD$5:$AD$204,MATCH(G24,Recipes!$A$5:$A$204,0))*K24,""))</f>
        <v>0</v>
      </c>
      <c r="V24" s="30">
        <f>IF(G24="","",IFERROR(INDEX(Recipes!$AE$5:$AE$204,MATCH(G24,Recipes!$A$5:$A$204,0)),"Not found"))</f>
        <v>0</v>
      </c>
      <c r="W24" s="45">
        <f>IF(G24="","",IFERROR(INDEX(Recipes!$AF$5:$AF$204,MATCH(G24,Recipes!$A$5:$A$204,0)),"Not found"))</f>
        <v>0</v>
      </c>
      <c r="X24" s="45">
        <f>IF(G24="","",IFERROR(INDEX(Recipes!$AG$5:$AG$204,MATCH(G24,Recipes!$A$5:$A$204,0)),"Not found"))</f>
        <v>0</v>
      </c>
      <c r="Y24" s="45">
        <f>IF(G24="","",IFERROR(INDEX(Recipes!$AH$5:$AH$204,MATCH(G24,Recipes!$A$5:$A$204,0)),"Not found"))</f>
        <v>0</v>
      </c>
      <c r="Z24" s="45">
        <f>IF(G24="","",IFERROR(INDEX(Recipes!$AI$5:$AI$204,MATCH(G24,Recipes!$A$5:$A$204,0)),"Not found"))</f>
        <v>0</v>
      </c>
      <c r="AA24" s="30">
        <f>IF(OR(V24="",NOT(ISNUMBER(V24))),"",V24*K24)</f>
        <v>0</v>
      </c>
      <c r="AB24" s="18">
        <f>IF(G24="","",IFERROR(INDEX(Recipes!$J$5:$J$204,MATCH(G24,Recipes!$A$5:$A$204,0)),"Not found"))</f>
        <v>0</v>
      </c>
      <c r="AC24" s="17">
        <f>IF(G24="","",IFERROR(INDEX(Recipes!$C$5:$C$204,MATCH(G24,Recipes!$A$5:$A$204,0)),"Not found"))</f>
        <v>0</v>
      </c>
      <c r="AD24" s="46">
        <f>IF(B24="","",IF(G24&lt;&gt;"","Yes",IF(OR(I24="",ISNUMBER(SEARCH("takeaway",I24)),ISNUMBER(SEARCH("out",I24))),"No","Yes")))</f>
        <v>0</v>
      </c>
      <c r="AE24" s="17">
        <f>IF(B24="","",TEXT(B24,"yyyy-mm-dd")&amp;"|"&amp;F24)</f>
        <v>0</v>
      </c>
      <c r="AF24" s="31">
        <f>IF(B24="","",IF(AND(G24="",I24=""),"Add - nothing planned yet",IF(COUNTIFS($AE$5:$AE$504,AE24)&gt;1,"Duplicate - two meals in one slot",IF(AND(G24&lt;&gt;"",H24="Not found"),"Missing - recipe ID not on the Recipes tab",IF(AND(B24&lt;TODAY(),OR(N24="Planned",N24="")),"Check - did you cook it?","OK")))))</f>
        <v>0</v>
      </c>
      <c r="AG24" s="43" t="s">
        <v>157</v>
      </c>
    </row>
    <row r="25" spans="1:33">
      <c r="A25" s="39">
        <f>IF(B25="","",MealPrefix&amp;TEXT(ROW()-4,"0000"))</f>
        <v>0</v>
      </c>
      <c r="B25" s="15">
        <v>46293</v>
      </c>
      <c r="C25" s="17">
        <f>IF(B25="","",TEXT(B25,"ddd"))</f>
        <v>0</v>
      </c>
      <c r="D25" s="18">
        <f>IF(B25="","",WEEKNUM(B25,IF(WeekStart="Sunday",1,2)))</f>
        <v>0</v>
      </c>
      <c r="E25" s="17">
        <f>IF(B25="","",TEXT(B25,"yyyy-mm"))</f>
        <v>0</v>
      </c>
      <c r="F25" s="32" t="s">
        <v>165</v>
      </c>
      <c r="G25" s="32" t="s">
        <v>946</v>
      </c>
      <c r="H25" s="17">
        <f>IF(G25&lt;&gt;"",IFERROR(INDEX(Recipes!$B$5:$B$204,MATCH(G25,Recipes!$A$5:$A$204,0)),"Not found"),I25)</f>
        <v>0</v>
      </c>
      <c r="J25" s="35">
        <v>3</v>
      </c>
      <c r="K25" s="45">
        <f>IF(B25="","",IF(J25="",DefaultServings,J25))</f>
        <v>0</v>
      </c>
      <c r="L25" s="45">
        <f>IF(G25="",0,IFERROR(K25/INDEX(Recipes!$G$5:$G$204,MATCH(G25,Recipes!$A$5:$A$204,0)),0))</f>
        <v>0</v>
      </c>
      <c r="M25" s="40" t="s">
        <v>312</v>
      </c>
      <c r="N25" s="42" t="s">
        <v>319</v>
      </c>
      <c r="O25" s="32" t="s">
        <v>206</v>
      </c>
      <c r="R25" s="40" t="s">
        <v>312</v>
      </c>
      <c r="T25" s="25">
        <f>IF(G25="","",IFERROR(INDEX(Recipes!$AD$5:$AD$204,MATCH(G25,Recipes!$A$5:$A$204,0))*K25,""))</f>
        <v>0</v>
      </c>
      <c r="V25" s="30">
        <f>IF(G25="","",IFERROR(INDEX(Recipes!$AE$5:$AE$204,MATCH(G25,Recipes!$A$5:$A$204,0)),"Not found"))</f>
        <v>0</v>
      </c>
      <c r="W25" s="45">
        <f>IF(G25="","",IFERROR(INDEX(Recipes!$AF$5:$AF$204,MATCH(G25,Recipes!$A$5:$A$204,0)),"Not found"))</f>
        <v>0</v>
      </c>
      <c r="X25" s="45">
        <f>IF(G25="","",IFERROR(INDEX(Recipes!$AG$5:$AG$204,MATCH(G25,Recipes!$A$5:$A$204,0)),"Not found"))</f>
        <v>0</v>
      </c>
      <c r="Y25" s="45">
        <f>IF(G25="","",IFERROR(INDEX(Recipes!$AH$5:$AH$204,MATCH(G25,Recipes!$A$5:$A$204,0)),"Not found"))</f>
        <v>0</v>
      </c>
      <c r="Z25" s="45">
        <f>IF(G25="","",IFERROR(INDEX(Recipes!$AI$5:$AI$204,MATCH(G25,Recipes!$A$5:$A$204,0)),"Not found"))</f>
        <v>0</v>
      </c>
      <c r="AA25" s="30">
        <f>IF(OR(V25="",NOT(ISNUMBER(V25))),"",V25*K25)</f>
        <v>0</v>
      </c>
      <c r="AB25" s="18">
        <f>IF(G25="","",IFERROR(INDEX(Recipes!$J$5:$J$204,MATCH(G25,Recipes!$A$5:$A$204,0)),"Not found"))</f>
        <v>0</v>
      </c>
      <c r="AC25" s="17">
        <f>IF(G25="","",IFERROR(INDEX(Recipes!$C$5:$C$204,MATCH(G25,Recipes!$A$5:$A$204,0)),"Not found"))</f>
        <v>0</v>
      </c>
      <c r="AD25" s="46">
        <f>IF(B25="","",IF(G25&lt;&gt;"","Yes",IF(OR(I25="",ISNUMBER(SEARCH("takeaway",I25)),ISNUMBER(SEARCH("out",I25))),"No","Yes")))</f>
        <v>0</v>
      </c>
      <c r="AE25" s="17">
        <f>IF(B25="","",TEXT(B25,"yyyy-mm-dd")&amp;"|"&amp;F25)</f>
        <v>0</v>
      </c>
      <c r="AF25" s="31">
        <f>IF(B25="","",IF(AND(G25="",I25=""),"Add - nothing planned yet",IF(COUNTIFS($AE$5:$AE$504,AE25)&gt;1,"Duplicate - two meals in one slot",IF(AND(G25&lt;&gt;"",H25="Not found"),"Missing - recipe ID not on the Recipes tab",IF(AND(B25&lt;TODAY(),OR(N25="Planned",N25="")),"Check - did you cook it?","OK")))))</f>
        <v>0</v>
      </c>
      <c r="AG25" s="43" t="s">
        <v>157</v>
      </c>
    </row>
    <row r="26" spans="1:33">
      <c r="A26" s="39">
        <f>IF(B26="","",MealPrefix&amp;TEXT(ROW()-4,"0000"))</f>
        <v>0</v>
      </c>
      <c r="B26" s="15">
        <v>46293</v>
      </c>
      <c r="C26" s="17">
        <f>IF(B26="","",TEXT(B26,"ddd"))</f>
        <v>0</v>
      </c>
      <c r="D26" s="18">
        <f>IF(B26="","",WEEKNUM(B26,IF(WeekStart="Sunday",1,2)))</f>
        <v>0</v>
      </c>
      <c r="E26" s="17">
        <f>IF(B26="","",TEXT(B26,"yyyy-mm"))</f>
        <v>0</v>
      </c>
      <c r="F26" s="32" t="s">
        <v>167</v>
      </c>
      <c r="G26" s="32" t="s">
        <v>954</v>
      </c>
      <c r="H26" s="17">
        <f>IF(G26&lt;&gt;"",IFERROR(INDEX(Recipes!$B$5:$B$204,MATCH(G26,Recipes!$A$5:$A$204,0)),"Not found"),I26)</f>
        <v>0</v>
      </c>
      <c r="J26" s="35">
        <v>2</v>
      </c>
      <c r="K26" s="45">
        <f>IF(B26="","",IF(J26="",DefaultServings,J26))</f>
        <v>0</v>
      </c>
      <c r="L26" s="45">
        <f>IF(G26="",0,IFERROR(K26/INDEX(Recipes!$G$5:$G$204,MATCH(G26,Recipes!$A$5:$A$204,0)),0))</f>
        <v>0</v>
      </c>
      <c r="M26" s="40" t="s">
        <v>312</v>
      </c>
      <c r="N26" s="42" t="s">
        <v>319</v>
      </c>
      <c r="O26" s="32" t="s">
        <v>742</v>
      </c>
      <c r="R26" s="40" t="s">
        <v>311</v>
      </c>
      <c r="T26" s="25">
        <f>IF(G26="","",IFERROR(INDEX(Recipes!$AD$5:$AD$204,MATCH(G26,Recipes!$A$5:$A$204,0))*K26,""))</f>
        <v>0</v>
      </c>
      <c r="V26" s="30">
        <f>IF(G26="","",IFERROR(INDEX(Recipes!$AE$5:$AE$204,MATCH(G26,Recipes!$A$5:$A$204,0)),"Not found"))</f>
        <v>0</v>
      </c>
      <c r="W26" s="45">
        <f>IF(G26="","",IFERROR(INDEX(Recipes!$AF$5:$AF$204,MATCH(G26,Recipes!$A$5:$A$204,0)),"Not found"))</f>
        <v>0</v>
      </c>
      <c r="X26" s="45">
        <f>IF(G26="","",IFERROR(INDEX(Recipes!$AG$5:$AG$204,MATCH(G26,Recipes!$A$5:$A$204,0)),"Not found"))</f>
        <v>0</v>
      </c>
      <c r="Y26" s="45">
        <f>IF(G26="","",IFERROR(INDEX(Recipes!$AH$5:$AH$204,MATCH(G26,Recipes!$A$5:$A$204,0)),"Not found"))</f>
        <v>0</v>
      </c>
      <c r="Z26" s="45">
        <f>IF(G26="","",IFERROR(INDEX(Recipes!$AI$5:$AI$204,MATCH(G26,Recipes!$A$5:$A$204,0)),"Not found"))</f>
        <v>0</v>
      </c>
      <c r="AA26" s="30">
        <f>IF(OR(V26="",NOT(ISNUMBER(V26))),"",V26*K26)</f>
        <v>0</v>
      </c>
      <c r="AB26" s="18">
        <f>IF(G26="","",IFERROR(INDEX(Recipes!$J$5:$J$204,MATCH(G26,Recipes!$A$5:$A$204,0)),"Not found"))</f>
        <v>0</v>
      </c>
      <c r="AC26" s="17">
        <f>IF(G26="","",IFERROR(INDEX(Recipes!$C$5:$C$204,MATCH(G26,Recipes!$A$5:$A$204,0)),"Not found"))</f>
        <v>0</v>
      </c>
      <c r="AD26" s="46">
        <f>IF(B26="","",IF(G26&lt;&gt;"","Yes",IF(OR(I26="",ISNUMBER(SEARCH("takeaway",I26)),ISNUMBER(SEARCH("out",I26))),"No","Yes")))</f>
        <v>0</v>
      </c>
      <c r="AE26" s="17">
        <f>IF(B26="","",TEXT(B26,"yyyy-mm-dd")&amp;"|"&amp;F26)</f>
        <v>0</v>
      </c>
      <c r="AF26" s="31">
        <f>IF(B26="","",IF(AND(G26="",I26=""),"Add - nothing planned yet",IF(COUNTIFS($AE$5:$AE$504,AE26)&gt;1,"Duplicate - two meals in one slot",IF(AND(G26&lt;&gt;"",H26="Not found"),"Missing - recipe ID not on the Recipes tab",IF(AND(B26&lt;TODAY(),OR(N26="Planned",N26="")),"Check - did you cook it?","OK")))))</f>
        <v>0</v>
      </c>
      <c r="AG26" s="43" t="s">
        <v>746</v>
      </c>
    </row>
    <row r="27" spans="1:33">
      <c r="A27" s="39">
        <f>IF(B27="","",MealPrefix&amp;TEXT(ROW()-4,"0000"))</f>
        <v>0</v>
      </c>
      <c r="B27" s="15">
        <v>46293</v>
      </c>
      <c r="C27" s="17">
        <f>IF(B27="","",TEXT(B27,"ddd"))</f>
        <v>0</v>
      </c>
      <c r="D27" s="18">
        <f>IF(B27="","",WEEKNUM(B27,IF(WeekStart="Sunday",1,2)))</f>
        <v>0</v>
      </c>
      <c r="E27" s="17">
        <f>IF(B27="","",TEXT(B27,"yyyy-mm"))</f>
        <v>0</v>
      </c>
      <c r="F27" s="32" t="s">
        <v>137</v>
      </c>
      <c r="G27" s="32" t="s">
        <v>929</v>
      </c>
      <c r="H27" s="17">
        <f>IF(G27&lt;&gt;"",IFERROR(INDEX(Recipes!$B$5:$B$204,MATCH(G27,Recipes!$A$5:$A$204,0)),"Not found"),I27)</f>
        <v>0</v>
      </c>
      <c r="J27" s="35">
        <v>4</v>
      </c>
      <c r="K27" s="45">
        <f>IF(B27="","",IF(J27="",DefaultServings,J27))</f>
        <v>0</v>
      </c>
      <c r="L27" s="45">
        <f>IF(G27="",0,IFERROR(K27/INDEX(Recipes!$G$5:$G$204,MATCH(G27,Recipes!$A$5:$A$204,0)),0))</f>
        <v>0</v>
      </c>
      <c r="M27" s="40" t="s">
        <v>312</v>
      </c>
      <c r="N27" s="42" t="s">
        <v>319</v>
      </c>
      <c r="O27" s="32" t="s">
        <v>206</v>
      </c>
      <c r="Q27" s="38">
        <v>2</v>
      </c>
      <c r="R27" s="40" t="s">
        <v>311</v>
      </c>
      <c r="S27" s="32" t="s">
        <v>157</v>
      </c>
      <c r="T27" s="25">
        <f>IF(G27="","",IFERROR(INDEX(Recipes!$AD$5:$AD$204,MATCH(G27,Recipes!$A$5:$A$204,0))*K27,""))</f>
        <v>0</v>
      </c>
      <c r="V27" s="30">
        <f>IF(G27="","",IFERROR(INDEX(Recipes!$AE$5:$AE$204,MATCH(G27,Recipes!$A$5:$A$204,0)),"Not found"))</f>
        <v>0</v>
      </c>
      <c r="W27" s="45">
        <f>IF(G27="","",IFERROR(INDEX(Recipes!$AF$5:$AF$204,MATCH(G27,Recipes!$A$5:$A$204,0)),"Not found"))</f>
        <v>0</v>
      </c>
      <c r="X27" s="45">
        <f>IF(G27="","",IFERROR(INDEX(Recipes!$AG$5:$AG$204,MATCH(G27,Recipes!$A$5:$A$204,0)),"Not found"))</f>
        <v>0</v>
      </c>
      <c r="Y27" s="45">
        <f>IF(G27="","",IFERROR(INDEX(Recipes!$AH$5:$AH$204,MATCH(G27,Recipes!$A$5:$A$204,0)),"Not found"))</f>
        <v>0</v>
      </c>
      <c r="Z27" s="45">
        <f>IF(G27="","",IFERROR(INDEX(Recipes!$AI$5:$AI$204,MATCH(G27,Recipes!$A$5:$A$204,0)),"Not found"))</f>
        <v>0</v>
      </c>
      <c r="AA27" s="30">
        <f>IF(OR(V27="",NOT(ISNUMBER(V27))),"",V27*K27)</f>
        <v>0</v>
      </c>
      <c r="AB27" s="18">
        <f>IF(G27="","",IFERROR(INDEX(Recipes!$J$5:$J$204,MATCH(G27,Recipes!$A$5:$A$204,0)),"Not found"))</f>
        <v>0</v>
      </c>
      <c r="AC27" s="17">
        <f>IF(G27="","",IFERROR(INDEX(Recipes!$C$5:$C$204,MATCH(G27,Recipes!$A$5:$A$204,0)),"Not found"))</f>
        <v>0</v>
      </c>
      <c r="AD27" s="46">
        <f>IF(B27="","",IF(G27&lt;&gt;"","Yes",IF(OR(I27="",ISNUMBER(SEARCH("takeaway",I27)),ISNUMBER(SEARCH("out",I27))),"No","Yes")))</f>
        <v>0</v>
      </c>
      <c r="AE27" s="17">
        <f>IF(B27="","",TEXT(B27,"yyyy-mm-dd")&amp;"|"&amp;F27)</f>
        <v>0</v>
      </c>
      <c r="AF27" s="31">
        <f>IF(B27="","",IF(AND(G27="",I27=""),"Add - nothing planned yet",IF(COUNTIFS($AE$5:$AE$504,AE27)&gt;1,"Duplicate - two meals in one slot",IF(AND(G27&lt;&gt;"",H27="Not found"),"Missing - recipe ID not on the Recipes tab",IF(AND(B27&lt;TODAY(),OR(N27="Planned",N27="")),"Check - did you cook it?","OK")))))</f>
        <v>0</v>
      </c>
      <c r="AG27" s="43" t="s">
        <v>157</v>
      </c>
    </row>
    <row r="28" spans="1:33">
      <c r="A28" s="39">
        <f>IF(B28="","",MealPrefix&amp;TEXT(ROW()-4,"0000"))</f>
        <v>0</v>
      </c>
      <c r="B28" s="15">
        <v>46294</v>
      </c>
      <c r="C28" s="17">
        <f>IF(B28="","",TEXT(B28,"ddd"))</f>
        <v>0</v>
      </c>
      <c r="D28" s="18">
        <f>IF(B28="","",WEEKNUM(B28,IF(WeekStart="Sunday",1,2)))</f>
        <v>0</v>
      </c>
      <c r="E28" s="17">
        <f>IF(B28="","",TEXT(B28,"yyyy-mm"))</f>
        <v>0</v>
      </c>
      <c r="F28" s="32" t="s">
        <v>165</v>
      </c>
      <c r="G28" s="32" t="s">
        <v>942</v>
      </c>
      <c r="H28" s="17">
        <f>IF(G28&lt;&gt;"",IFERROR(INDEX(Recipes!$B$5:$B$204,MATCH(G28,Recipes!$A$5:$A$204,0)),"Not found"),I28)</f>
        <v>0</v>
      </c>
      <c r="J28" s="35">
        <v>3</v>
      </c>
      <c r="K28" s="45">
        <f>IF(B28="","",IF(J28="",DefaultServings,J28))</f>
        <v>0</v>
      </c>
      <c r="L28" s="45">
        <f>IF(G28="",0,IFERROR(K28/INDEX(Recipes!$G$5:$G$204,MATCH(G28,Recipes!$A$5:$A$204,0)),0))</f>
        <v>0</v>
      </c>
      <c r="M28" s="40" t="s">
        <v>312</v>
      </c>
      <c r="N28" s="42" t="s">
        <v>319</v>
      </c>
      <c r="O28" s="32" t="s">
        <v>206</v>
      </c>
      <c r="R28" s="40" t="s">
        <v>312</v>
      </c>
      <c r="T28" s="25">
        <f>IF(G28="","",IFERROR(INDEX(Recipes!$AD$5:$AD$204,MATCH(G28,Recipes!$A$5:$A$204,0))*K28,""))</f>
        <v>0</v>
      </c>
      <c r="V28" s="30">
        <f>IF(G28="","",IFERROR(INDEX(Recipes!$AE$5:$AE$204,MATCH(G28,Recipes!$A$5:$A$204,0)),"Not found"))</f>
        <v>0</v>
      </c>
      <c r="W28" s="45">
        <f>IF(G28="","",IFERROR(INDEX(Recipes!$AF$5:$AF$204,MATCH(G28,Recipes!$A$5:$A$204,0)),"Not found"))</f>
        <v>0</v>
      </c>
      <c r="X28" s="45">
        <f>IF(G28="","",IFERROR(INDEX(Recipes!$AG$5:$AG$204,MATCH(G28,Recipes!$A$5:$A$204,0)),"Not found"))</f>
        <v>0</v>
      </c>
      <c r="Y28" s="45">
        <f>IF(G28="","",IFERROR(INDEX(Recipes!$AH$5:$AH$204,MATCH(G28,Recipes!$A$5:$A$204,0)),"Not found"))</f>
        <v>0</v>
      </c>
      <c r="Z28" s="45">
        <f>IF(G28="","",IFERROR(INDEX(Recipes!$AI$5:$AI$204,MATCH(G28,Recipes!$A$5:$A$204,0)),"Not found"))</f>
        <v>0</v>
      </c>
      <c r="AA28" s="30">
        <f>IF(OR(V28="",NOT(ISNUMBER(V28))),"",V28*K28)</f>
        <v>0</v>
      </c>
      <c r="AB28" s="18">
        <f>IF(G28="","",IFERROR(INDEX(Recipes!$J$5:$J$204,MATCH(G28,Recipes!$A$5:$A$204,0)),"Not found"))</f>
        <v>0</v>
      </c>
      <c r="AC28" s="17">
        <f>IF(G28="","",IFERROR(INDEX(Recipes!$C$5:$C$204,MATCH(G28,Recipes!$A$5:$A$204,0)),"Not found"))</f>
        <v>0</v>
      </c>
      <c r="AD28" s="46">
        <f>IF(B28="","",IF(G28&lt;&gt;"","Yes",IF(OR(I28="",ISNUMBER(SEARCH("takeaway",I28)),ISNUMBER(SEARCH("out",I28))),"No","Yes")))</f>
        <v>0</v>
      </c>
      <c r="AE28" s="17">
        <f>IF(B28="","",TEXT(B28,"yyyy-mm-dd")&amp;"|"&amp;F28)</f>
        <v>0</v>
      </c>
      <c r="AF28" s="31">
        <f>IF(B28="","",IF(AND(G28="",I28=""),"Add - nothing planned yet",IF(COUNTIFS($AE$5:$AE$504,AE28)&gt;1,"Duplicate - two meals in one slot",IF(AND(G28&lt;&gt;"",H28="Not found"),"Missing - recipe ID not on the Recipes tab",IF(AND(B28&lt;TODAY(),OR(N28="Planned",N28="")),"Check - did you cook it?","OK")))))</f>
        <v>0</v>
      </c>
      <c r="AG28" s="43" t="s">
        <v>157</v>
      </c>
    </row>
    <row r="29" spans="1:33">
      <c r="A29" s="39">
        <f>IF(B29="","",MealPrefix&amp;TEXT(ROW()-4,"0000"))</f>
        <v>0</v>
      </c>
      <c r="B29" s="15">
        <v>46294</v>
      </c>
      <c r="C29" s="17">
        <f>IF(B29="","",TEXT(B29,"ddd"))</f>
        <v>0</v>
      </c>
      <c r="D29" s="18">
        <f>IF(B29="","",WEEKNUM(B29,IF(WeekStart="Sunday",1,2)))</f>
        <v>0</v>
      </c>
      <c r="E29" s="17">
        <f>IF(B29="","",TEXT(B29,"yyyy-mm"))</f>
        <v>0</v>
      </c>
      <c r="F29" s="32" t="s">
        <v>167</v>
      </c>
      <c r="G29" s="32" t="s">
        <v>960</v>
      </c>
      <c r="H29" s="17">
        <f>IF(G29&lt;&gt;"",IFERROR(INDEX(Recipes!$B$5:$B$204,MATCH(G29,Recipes!$A$5:$A$204,0)),"Not found"),I29)</f>
        <v>0</v>
      </c>
      <c r="J29" s="35">
        <v>2</v>
      </c>
      <c r="K29" s="45">
        <f>IF(B29="","",IF(J29="",DefaultServings,J29))</f>
        <v>0</v>
      </c>
      <c r="L29" s="45">
        <f>IF(G29="",0,IFERROR(K29/INDEX(Recipes!$G$5:$G$204,MATCH(G29,Recipes!$A$5:$A$204,0)),0))</f>
        <v>0</v>
      </c>
      <c r="M29" s="40" t="s">
        <v>312</v>
      </c>
      <c r="N29" s="42" t="s">
        <v>319</v>
      </c>
      <c r="O29" s="32" t="s">
        <v>742</v>
      </c>
      <c r="R29" s="40" t="s">
        <v>312</v>
      </c>
      <c r="T29" s="25">
        <f>IF(G29="","",IFERROR(INDEX(Recipes!$AD$5:$AD$204,MATCH(G29,Recipes!$A$5:$A$204,0))*K29,""))</f>
        <v>0</v>
      </c>
      <c r="V29" s="30">
        <f>IF(G29="","",IFERROR(INDEX(Recipes!$AE$5:$AE$204,MATCH(G29,Recipes!$A$5:$A$204,0)),"Not found"))</f>
        <v>0</v>
      </c>
      <c r="W29" s="45">
        <f>IF(G29="","",IFERROR(INDEX(Recipes!$AF$5:$AF$204,MATCH(G29,Recipes!$A$5:$A$204,0)),"Not found"))</f>
        <v>0</v>
      </c>
      <c r="X29" s="45">
        <f>IF(G29="","",IFERROR(INDEX(Recipes!$AG$5:$AG$204,MATCH(G29,Recipes!$A$5:$A$204,0)),"Not found"))</f>
        <v>0</v>
      </c>
      <c r="Y29" s="45">
        <f>IF(G29="","",IFERROR(INDEX(Recipes!$AH$5:$AH$204,MATCH(G29,Recipes!$A$5:$A$204,0)),"Not found"))</f>
        <v>0</v>
      </c>
      <c r="Z29" s="45">
        <f>IF(G29="","",IFERROR(INDEX(Recipes!$AI$5:$AI$204,MATCH(G29,Recipes!$A$5:$A$204,0)),"Not found"))</f>
        <v>0</v>
      </c>
      <c r="AA29" s="30">
        <f>IF(OR(V29="",NOT(ISNUMBER(V29))),"",V29*K29)</f>
        <v>0</v>
      </c>
      <c r="AB29" s="18">
        <f>IF(G29="","",IFERROR(INDEX(Recipes!$J$5:$J$204,MATCH(G29,Recipes!$A$5:$A$204,0)),"Not found"))</f>
        <v>0</v>
      </c>
      <c r="AC29" s="17">
        <f>IF(G29="","",IFERROR(INDEX(Recipes!$C$5:$C$204,MATCH(G29,Recipes!$A$5:$A$204,0)),"Not found"))</f>
        <v>0</v>
      </c>
      <c r="AD29" s="46">
        <f>IF(B29="","",IF(G29&lt;&gt;"","Yes",IF(OR(I29="",ISNUMBER(SEARCH("takeaway",I29)),ISNUMBER(SEARCH("out",I29))),"No","Yes")))</f>
        <v>0</v>
      </c>
      <c r="AE29" s="17">
        <f>IF(B29="","",TEXT(B29,"yyyy-mm-dd")&amp;"|"&amp;F29)</f>
        <v>0</v>
      </c>
      <c r="AF29" s="31">
        <f>IF(B29="","",IF(AND(G29="",I29=""),"Add - nothing planned yet",IF(COUNTIFS($AE$5:$AE$504,AE29)&gt;1,"Duplicate - two meals in one slot",IF(AND(G29&lt;&gt;"",H29="Not found"),"Missing - recipe ID not on the Recipes tab",IF(AND(B29&lt;TODAY(),OR(N29="Planned",N29="")),"Check - did you cook it?","OK")))))</f>
        <v>0</v>
      </c>
      <c r="AG29" s="43" t="s">
        <v>746</v>
      </c>
    </row>
    <row r="30" spans="1:33">
      <c r="A30" s="39">
        <f>IF(B30="","",MealPrefix&amp;TEXT(ROW()-4,"0000"))</f>
        <v>0</v>
      </c>
      <c r="B30" s="15">
        <v>46294</v>
      </c>
      <c r="C30" s="17">
        <f>IF(B30="","",TEXT(B30,"ddd"))</f>
        <v>0</v>
      </c>
      <c r="D30" s="18">
        <f>IF(B30="","",WEEKNUM(B30,IF(WeekStart="Sunday",1,2)))</f>
        <v>0</v>
      </c>
      <c r="E30" s="17">
        <f>IF(B30="","",TEXT(B30,"yyyy-mm"))</f>
        <v>0</v>
      </c>
      <c r="F30" s="32" t="s">
        <v>137</v>
      </c>
      <c r="G30" s="32" t="s">
        <v>920</v>
      </c>
      <c r="H30" s="17">
        <f>IF(G30&lt;&gt;"",IFERROR(INDEX(Recipes!$B$5:$B$204,MATCH(G30,Recipes!$A$5:$A$204,0)),"Not found"),I30)</f>
        <v>0</v>
      </c>
      <c r="J30" s="35">
        <v>4</v>
      </c>
      <c r="K30" s="45">
        <f>IF(B30="","",IF(J30="",DefaultServings,J30))</f>
        <v>0</v>
      </c>
      <c r="L30" s="45">
        <f>IF(G30="",0,IFERROR(K30/INDEX(Recipes!$G$5:$G$204,MATCH(G30,Recipes!$A$5:$A$204,0)),0))</f>
        <v>0</v>
      </c>
      <c r="M30" s="40" t="s">
        <v>312</v>
      </c>
      <c r="N30" s="42" t="s">
        <v>319</v>
      </c>
      <c r="O30" s="32" t="s">
        <v>736</v>
      </c>
      <c r="R30" s="40" t="s">
        <v>312</v>
      </c>
      <c r="S30" s="32" t="s">
        <v>157</v>
      </c>
      <c r="T30" s="25">
        <f>IF(G30="","",IFERROR(INDEX(Recipes!$AD$5:$AD$204,MATCH(G30,Recipes!$A$5:$A$204,0))*K30,""))</f>
        <v>0</v>
      </c>
      <c r="V30" s="30">
        <f>IF(G30="","",IFERROR(INDEX(Recipes!$AE$5:$AE$204,MATCH(G30,Recipes!$A$5:$A$204,0)),"Not found"))</f>
        <v>0</v>
      </c>
      <c r="W30" s="45">
        <f>IF(G30="","",IFERROR(INDEX(Recipes!$AF$5:$AF$204,MATCH(G30,Recipes!$A$5:$A$204,0)),"Not found"))</f>
        <v>0</v>
      </c>
      <c r="X30" s="45">
        <f>IF(G30="","",IFERROR(INDEX(Recipes!$AG$5:$AG$204,MATCH(G30,Recipes!$A$5:$A$204,0)),"Not found"))</f>
        <v>0</v>
      </c>
      <c r="Y30" s="45">
        <f>IF(G30="","",IFERROR(INDEX(Recipes!$AH$5:$AH$204,MATCH(G30,Recipes!$A$5:$A$204,0)),"Not found"))</f>
        <v>0</v>
      </c>
      <c r="Z30" s="45">
        <f>IF(G30="","",IFERROR(INDEX(Recipes!$AI$5:$AI$204,MATCH(G30,Recipes!$A$5:$A$204,0)),"Not found"))</f>
        <v>0</v>
      </c>
      <c r="AA30" s="30">
        <f>IF(OR(V30="",NOT(ISNUMBER(V30))),"",V30*K30)</f>
        <v>0</v>
      </c>
      <c r="AB30" s="18">
        <f>IF(G30="","",IFERROR(INDEX(Recipes!$J$5:$J$204,MATCH(G30,Recipes!$A$5:$A$204,0)),"Not found"))</f>
        <v>0</v>
      </c>
      <c r="AC30" s="17">
        <f>IF(G30="","",IFERROR(INDEX(Recipes!$C$5:$C$204,MATCH(G30,Recipes!$A$5:$A$204,0)),"Not found"))</f>
        <v>0</v>
      </c>
      <c r="AD30" s="46">
        <f>IF(B30="","",IF(G30&lt;&gt;"","Yes",IF(OR(I30="",ISNUMBER(SEARCH("takeaway",I30)),ISNUMBER(SEARCH("out",I30))),"No","Yes")))</f>
        <v>0</v>
      </c>
      <c r="AE30" s="17">
        <f>IF(B30="","",TEXT(B30,"yyyy-mm-dd")&amp;"|"&amp;F30)</f>
        <v>0</v>
      </c>
      <c r="AF30" s="31">
        <f>IF(B30="","",IF(AND(G30="",I30=""),"Add - nothing planned yet",IF(COUNTIFS($AE$5:$AE$504,AE30)&gt;1,"Duplicate - two meals in one slot",IF(AND(G30&lt;&gt;"",H30="Not found"),"Missing - recipe ID not on the Recipes tab",IF(AND(B30&lt;TODAY(),OR(N30="Planned",N30="")),"Check - did you cook it?","OK")))))</f>
        <v>0</v>
      </c>
      <c r="AG30" s="43" t="s">
        <v>157</v>
      </c>
    </row>
    <row r="31" spans="1:33">
      <c r="A31" s="39">
        <f>IF(B31="","",MealPrefix&amp;TEXT(ROW()-4,"0000"))</f>
        <v>0</v>
      </c>
      <c r="B31" s="15">
        <v>46295</v>
      </c>
      <c r="C31" s="17">
        <f>IF(B31="","",TEXT(B31,"ddd"))</f>
        <v>0</v>
      </c>
      <c r="D31" s="18">
        <f>IF(B31="","",WEEKNUM(B31,IF(WeekStart="Sunday",1,2)))</f>
        <v>0</v>
      </c>
      <c r="E31" s="17">
        <f>IF(B31="","",TEXT(B31,"yyyy-mm"))</f>
        <v>0</v>
      </c>
      <c r="F31" s="32" t="s">
        <v>167</v>
      </c>
      <c r="G31" s="32" t="s">
        <v>961</v>
      </c>
      <c r="H31" s="17">
        <f>IF(G31&lt;&gt;"",IFERROR(INDEX(Recipes!$B$5:$B$204,MATCH(G31,Recipes!$A$5:$A$204,0)),"Not found"),I31)</f>
        <v>0</v>
      </c>
      <c r="J31" s="35">
        <v>2</v>
      </c>
      <c r="K31" s="45">
        <f>IF(B31="","",IF(J31="",DefaultServings,J31))</f>
        <v>0</v>
      </c>
      <c r="L31" s="45">
        <f>IF(G31="",0,IFERROR(K31/INDEX(Recipes!$G$5:$G$204,MATCH(G31,Recipes!$A$5:$A$204,0)),0))</f>
        <v>0</v>
      </c>
      <c r="M31" s="40" t="s">
        <v>312</v>
      </c>
      <c r="N31" s="42" t="s">
        <v>319</v>
      </c>
      <c r="O31" s="32" t="s">
        <v>742</v>
      </c>
      <c r="R31" s="40" t="s">
        <v>312</v>
      </c>
      <c r="T31" s="25">
        <f>IF(G31="","",IFERROR(INDEX(Recipes!$AD$5:$AD$204,MATCH(G31,Recipes!$A$5:$A$204,0))*K31,""))</f>
        <v>0</v>
      </c>
      <c r="V31" s="30">
        <f>IF(G31="","",IFERROR(INDEX(Recipes!$AE$5:$AE$204,MATCH(G31,Recipes!$A$5:$A$204,0)),"Not found"))</f>
        <v>0</v>
      </c>
      <c r="W31" s="45">
        <f>IF(G31="","",IFERROR(INDEX(Recipes!$AF$5:$AF$204,MATCH(G31,Recipes!$A$5:$A$204,0)),"Not found"))</f>
        <v>0</v>
      </c>
      <c r="X31" s="45">
        <f>IF(G31="","",IFERROR(INDEX(Recipes!$AG$5:$AG$204,MATCH(G31,Recipes!$A$5:$A$204,0)),"Not found"))</f>
        <v>0</v>
      </c>
      <c r="Y31" s="45">
        <f>IF(G31="","",IFERROR(INDEX(Recipes!$AH$5:$AH$204,MATCH(G31,Recipes!$A$5:$A$204,0)),"Not found"))</f>
        <v>0</v>
      </c>
      <c r="Z31" s="45">
        <f>IF(G31="","",IFERROR(INDEX(Recipes!$AI$5:$AI$204,MATCH(G31,Recipes!$A$5:$A$204,0)),"Not found"))</f>
        <v>0</v>
      </c>
      <c r="AA31" s="30">
        <f>IF(OR(V31="",NOT(ISNUMBER(V31))),"",V31*K31)</f>
        <v>0</v>
      </c>
      <c r="AB31" s="18">
        <f>IF(G31="","",IFERROR(INDEX(Recipes!$J$5:$J$204,MATCH(G31,Recipes!$A$5:$A$204,0)),"Not found"))</f>
        <v>0</v>
      </c>
      <c r="AC31" s="17">
        <f>IF(G31="","",IFERROR(INDEX(Recipes!$C$5:$C$204,MATCH(G31,Recipes!$A$5:$A$204,0)),"Not found"))</f>
        <v>0</v>
      </c>
      <c r="AD31" s="46">
        <f>IF(B31="","",IF(G31&lt;&gt;"","Yes",IF(OR(I31="",ISNUMBER(SEARCH("takeaway",I31)),ISNUMBER(SEARCH("out",I31))),"No","Yes")))</f>
        <v>0</v>
      </c>
      <c r="AE31" s="17">
        <f>IF(B31="","",TEXT(B31,"yyyy-mm-dd")&amp;"|"&amp;F31)</f>
        <v>0</v>
      </c>
      <c r="AF31" s="31">
        <f>IF(B31="","",IF(AND(G31="",I31=""),"Add - nothing planned yet",IF(COUNTIFS($AE$5:$AE$504,AE31)&gt;1,"Duplicate - two meals in one slot",IF(AND(G31&lt;&gt;"",H31="Not found"),"Missing - recipe ID not on the Recipes tab",IF(AND(B31&lt;TODAY(),OR(N31="Planned",N31="")),"Check - did you cook it?","OK")))))</f>
        <v>0</v>
      </c>
      <c r="AG31" s="43" t="s">
        <v>746</v>
      </c>
    </row>
    <row r="32" spans="1:33">
      <c r="A32" s="39">
        <f>IF(B32="","",MealPrefix&amp;TEXT(ROW()-4,"0000"))</f>
        <v>0</v>
      </c>
      <c r="B32" s="15">
        <v>46295</v>
      </c>
      <c r="C32" s="17">
        <f>IF(B32="","",TEXT(B32,"ddd"))</f>
        <v>0</v>
      </c>
      <c r="D32" s="18">
        <f>IF(B32="","",WEEKNUM(B32,IF(WeekStart="Sunday",1,2)))</f>
        <v>0</v>
      </c>
      <c r="E32" s="17">
        <f>IF(B32="","",TEXT(B32,"yyyy-mm"))</f>
        <v>0</v>
      </c>
      <c r="F32" s="32" t="s">
        <v>137</v>
      </c>
      <c r="G32" s="32" t="s">
        <v>939</v>
      </c>
      <c r="H32" s="17">
        <f>IF(G32&lt;&gt;"",IFERROR(INDEX(Recipes!$B$5:$B$204,MATCH(G32,Recipes!$A$5:$A$204,0)),"Not found"),I32)</f>
        <v>0</v>
      </c>
      <c r="J32" s="35">
        <v>4</v>
      </c>
      <c r="K32" s="45">
        <f>IF(B32="","",IF(J32="",DefaultServings,J32))</f>
        <v>0</v>
      </c>
      <c r="L32" s="45">
        <f>IF(G32="",0,IFERROR(K32/INDEX(Recipes!$G$5:$G$204,MATCH(G32,Recipes!$A$5:$A$204,0)),0))</f>
        <v>0</v>
      </c>
      <c r="M32" s="40" t="s">
        <v>312</v>
      </c>
      <c r="N32" s="42" t="s">
        <v>319</v>
      </c>
      <c r="O32" s="32" t="s">
        <v>206</v>
      </c>
      <c r="R32" s="40" t="s">
        <v>312</v>
      </c>
      <c r="S32" s="32" t="s">
        <v>157</v>
      </c>
      <c r="T32" s="25">
        <f>IF(G32="","",IFERROR(INDEX(Recipes!$AD$5:$AD$204,MATCH(G32,Recipes!$A$5:$A$204,0))*K32,""))</f>
        <v>0</v>
      </c>
      <c r="V32" s="30">
        <f>IF(G32="","",IFERROR(INDEX(Recipes!$AE$5:$AE$204,MATCH(G32,Recipes!$A$5:$A$204,0)),"Not found"))</f>
        <v>0</v>
      </c>
      <c r="W32" s="45">
        <f>IF(G32="","",IFERROR(INDEX(Recipes!$AF$5:$AF$204,MATCH(G32,Recipes!$A$5:$A$204,0)),"Not found"))</f>
        <v>0</v>
      </c>
      <c r="X32" s="45">
        <f>IF(G32="","",IFERROR(INDEX(Recipes!$AG$5:$AG$204,MATCH(G32,Recipes!$A$5:$A$204,0)),"Not found"))</f>
        <v>0</v>
      </c>
      <c r="Y32" s="45">
        <f>IF(G32="","",IFERROR(INDEX(Recipes!$AH$5:$AH$204,MATCH(G32,Recipes!$A$5:$A$204,0)),"Not found"))</f>
        <v>0</v>
      </c>
      <c r="Z32" s="45">
        <f>IF(G32="","",IFERROR(INDEX(Recipes!$AI$5:$AI$204,MATCH(G32,Recipes!$A$5:$A$204,0)),"Not found"))</f>
        <v>0</v>
      </c>
      <c r="AA32" s="30">
        <f>IF(OR(V32="",NOT(ISNUMBER(V32))),"",V32*K32)</f>
        <v>0</v>
      </c>
      <c r="AB32" s="18">
        <f>IF(G32="","",IFERROR(INDEX(Recipes!$J$5:$J$204,MATCH(G32,Recipes!$A$5:$A$204,0)),"Not found"))</f>
        <v>0</v>
      </c>
      <c r="AC32" s="17">
        <f>IF(G32="","",IFERROR(INDEX(Recipes!$C$5:$C$204,MATCH(G32,Recipes!$A$5:$A$204,0)),"Not found"))</f>
        <v>0</v>
      </c>
      <c r="AD32" s="46">
        <f>IF(B32="","",IF(G32&lt;&gt;"","Yes",IF(OR(I32="",ISNUMBER(SEARCH("takeaway",I32)),ISNUMBER(SEARCH("out",I32))),"No","Yes")))</f>
        <v>0</v>
      </c>
      <c r="AE32" s="17">
        <f>IF(B32="","",TEXT(B32,"yyyy-mm-dd")&amp;"|"&amp;F32)</f>
        <v>0</v>
      </c>
      <c r="AF32" s="31">
        <f>IF(B32="","",IF(AND(G32="",I32=""),"Add - nothing planned yet",IF(COUNTIFS($AE$5:$AE$504,AE32)&gt;1,"Duplicate - two meals in one slot",IF(AND(G32&lt;&gt;"",H32="Not found"),"Missing - recipe ID not on the Recipes tab",IF(AND(B32&lt;TODAY(),OR(N32="Planned",N32="")),"Check - did you cook it?","OK")))))</f>
        <v>0</v>
      </c>
      <c r="AG32" s="43" t="s">
        <v>157</v>
      </c>
    </row>
    <row r="33" spans="1:33">
      <c r="A33" s="39">
        <f>IF(B33="","",MealPrefix&amp;TEXT(ROW()-4,"0000"))</f>
        <v>0</v>
      </c>
      <c r="B33" s="15">
        <v>46296</v>
      </c>
      <c r="C33" s="17">
        <f>IF(B33="","",TEXT(B33,"ddd"))</f>
        <v>0</v>
      </c>
      <c r="D33" s="18">
        <f>IF(B33="","",WEEKNUM(B33,IF(WeekStart="Sunday",1,2)))</f>
        <v>0</v>
      </c>
      <c r="E33" s="17">
        <f>IF(B33="","",TEXT(B33,"yyyy-mm"))</f>
        <v>0</v>
      </c>
      <c r="F33" s="32" t="s">
        <v>165</v>
      </c>
      <c r="G33" s="32" t="s">
        <v>950</v>
      </c>
      <c r="H33" s="17">
        <f>IF(G33&lt;&gt;"",IFERROR(INDEX(Recipes!$B$5:$B$204,MATCH(G33,Recipes!$A$5:$A$204,0)),"Not found"),I33)</f>
        <v>0</v>
      </c>
      <c r="J33" s="35">
        <v>3</v>
      </c>
      <c r="K33" s="45">
        <f>IF(B33="","",IF(J33="",DefaultServings,J33))</f>
        <v>0</v>
      </c>
      <c r="L33" s="45">
        <f>IF(G33="",0,IFERROR(K33/INDEX(Recipes!$G$5:$G$204,MATCH(G33,Recipes!$A$5:$A$204,0)),0))</f>
        <v>0</v>
      </c>
      <c r="M33" s="40" t="s">
        <v>312</v>
      </c>
      <c r="N33" s="42" t="s">
        <v>319</v>
      </c>
      <c r="O33" s="32" t="s">
        <v>206</v>
      </c>
      <c r="R33" s="40" t="s">
        <v>312</v>
      </c>
      <c r="T33" s="25">
        <f>IF(G33="","",IFERROR(INDEX(Recipes!$AD$5:$AD$204,MATCH(G33,Recipes!$A$5:$A$204,0))*K33,""))</f>
        <v>0</v>
      </c>
      <c r="V33" s="30">
        <f>IF(G33="","",IFERROR(INDEX(Recipes!$AE$5:$AE$204,MATCH(G33,Recipes!$A$5:$A$204,0)),"Not found"))</f>
        <v>0</v>
      </c>
      <c r="W33" s="45">
        <f>IF(G33="","",IFERROR(INDEX(Recipes!$AF$5:$AF$204,MATCH(G33,Recipes!$A$5:$A$204,0)),"Not found"))</f>
        <v>0</v>
      </c>
      <c r="X33" s="45">
        <f>IF(G33="","",IFERROR(INDEX(Recipes!$AG$5:$AG$204,MATCH(G33,Recipes!$A$5:$A$204,0)),"Not found"))</f>
        <v>0</v>
      </c>
      <c r="Y33" s="45">
        <f>IF(G33="","",IFERROR(INDEX(Recipes!$AH$5:$AH$204,MATCH(G33,Recipes!$A$5:$A$204,0)),"Not found"))</f>
        <v>0</v>
      </c>
      <c r="Z33" s="45">
        <f>IF(G33="","",IFERROR(INDEX(Recipes!$AI$5:$AI$204,MATCH(G33,Recipes!$A$5:$A$204,0)),"Not found"))</f>
        <v>0</v>
      </c>
      <c r="AA33" s="30">
        <f>IF(OR(V33="",NOT(ISNUMBER(V33))),"",V33*K33)</f>
        <v>0</v>
      </c>
      <c r="AB33" s="18">
        <f>IF(G33="","",IFERROR(INDEX(Recipes!$J$5:$J$204,MATCH(G33,Recipes!$A$5:$A$204,0)),"Not found"))</f>
        <v>0</v>
      </c>
      <c r="AC33" s="17">
        <f>IF(G33="","",IFERROR(INDEX(Recipes!$C$5:$C$204,MATCH(G33,Recipes!$A$5:$A$204,0)),"Not found"))</f>
        <v>0</v>
      </c>
      <c r="AD33" s="46">
        <f>IF(B33="","",IF(G33&lt;&gt;"","Yes",IF(OR(I33="",ISNUMBER(SEARCH("takeaway",I33)),ISNUMBER(SEARCH("out",I33))),"No","Yes")))</f>
        <v>0</v>
      </c>
      <c r="AE33" s="17">
        <f>IF(B33="","",TEXT(B33,"yyyy-mm-dd")&amp;"|"&amp;F33)</f>
        <v>0</v>
      </c>
      <c r="AF33" s="31">
        <f>IF(B33="","",IF(AND(G33="",I33=""),"Add - nothing planned yet",IF(COUNTIFS($AE$5:$AE$504,AE33)&gt;1,"Duplicate - two meals in one slot",IF(AND(G33&lt;&gt;"",H33="Not found"),"Missing - recipe ID not on the Recipes tab",IF(AND(B33&lt;TODAY(),OR(N33="Planned",N33="")),"Check - did you cook it?","OK")))))</f>
        <v>0</v>
      </c>
      <c r="AG33" s="43" t="s">
        <v>157</v>
      </c>
    </row>
    <row r="34" spans="1:33">
      <c r="A34" s="39">
        <f>IF(B34="","",MealPrefix&amp;TEXT(ROW()-4,"0000"))</f>
        <v>0</v>
      </c>
      <c r="B34" s="15">
        <v>46296</v>
      </c>
      <c r="C34" s="17">
        <f>IF(B34="","",TEXT(B34,"ddd"))</f>
        <v>0</v>
      </c>
      <c r="D34" s="18">
        <f>IF(B34="","",WEEKNUM(B34,IF(WeekStart="Sunday",1,2)))</f>
        <v>0</v>
      </c>
      <c r="E34" s="17">
        <f>IF(B34="","",TEXT(B34,"yyyy-mm"))</f>
        <v>0</v>
      </c>
      <c r="F34" s="32" t="s">
        <v>167</v>
      </c>
      <c r="G34" s="32" t="s">
        <v>960</v>
      </c>
      <c r="H34" s="17">
        <f>IF(G34&lt;&gt;"",IFERROR(INDEX(Recipes!$B$5:$B$204,MATCH(G34,Recipes!$A$5:$A$204,0)),"Not found"),I34)</f>
        <v>0</v>
      </c>
      <c r="J34" s="35">
        <v>2</v>
      </c>
      <c r="K34" s="45">
        <f>IF(B34="","",IF(J34="",DefaultServings,J34))</f>
        <v>0</v>
      </c>
      <c r="L34" s="45">
        <f>IF(G34="",0,IFERROR(K34/INDEX(Recipes!$G$5:$G$204,MATCH(G34,Recipes!$A$5:$A$204,0)),0))</f>
        <v>0</v>
      </c>
      <c r="M34" s="40" t="s">
        <v>312</v>
      </c>
      <c r="N34" s="42" t="s">
        <v>319</v>
      </c>
      <c r="O34" s="32" t="s">
        <v>742</v>
      </c>
      <c r="R34" s="40" t="s">
        <v>312</v>
      </c>
      <c r="T34" s="25">
        <f>IF(G34="","",IFERROR(INDEX(Recipes!$AD$5:$AD$204,MATCH(G34,Recipes!$A$5:$A$204,0))*K34,""))</f>
        <v>0</v>
      </c>
      <c r="V34" s="30">
        <f>IF(G34="","",IFERROR(INDEX(Recipes!$AE$5:$AE$204,MATCH(G34,Recipes!$A$5:$A$204,0)),"Not found"))</f>
        <v>0</v>
      </c>
      <c r="W34" s="45">
        <f>IF(G34="","",IFERROR(INDEX(Recipes!$AF$5:$AF$204,MATCH(G34,Recipes!$A$5:$A$204,0)),"Not found"))</f>
        <v>0</v>
      </c>
      <c r="X34" s="45">
        <f>IF(G34="","",IFERROR(INDEX(Recipes!$AG$5:$AG$204,MATCH(G34,Recipes!$A$5:$A$204,0)),"Not found"))</f>
        <v>0</v>
      </c>
      <c r="Y34" s="45">
        <f>IF(G34="","",IFERROR(INDEX(Recipes!$AH$5:$AH$204,MATCH(G34,Recipes!$A$5:$A$204,0)),"Not found"))</f>
        <v>0</v>
      </c>
      <c r="Z34" s="45">
        <f>IF(G34="","",IFERROR(INDEX(Recipes!$AI$5:$AI$204,MATCH(G34,Recipes!$A$5:$A$204,0)),"Not found"))</f>
        <v>0</v>
      </c>
      <c r="AA34" s="30">
        <f>IF(OR(V34="",NOT(ISNUMBER(V34))),"",V34*K34)</f>
        <v>0</v>
      </c>
      <c r="AB34" s="18">
        <f>IF(G34="","",IFERROR(INDEX(Recipes!$J$5:$J$204,MATCH(G34,Recipes!$A$5:$A$204,0)),"Not found"))</f>
        <v>0</v>
      </c>
      <c r="AC34" s="17">
        <f>IF(G34="","",IFERROR(INDEX(Recipes!$C$5:$C$204,MATCH(G34,Recipes!$A$5:$A$204,0)),"Not found"))</f>
        <v>0</v>
      </c>
      <c r="AD34" s="46">
        <f>IF(B34="","",IF(G34&lt;&gt;"","Yes",IF(OR(I34="",ISNUMBER(SEARCH("takeaway",I34)),ISNUMBER(SEARCH("out",I34))),"No","Yes")))</f>
        <v>0</v>
      </c>
      <c r="AE34" s="17">
        <f>IF(B34="","",TEXT(B34,"yyyy-mm-dd")&amp;"|"&amp;F34)</f>
        <v>0</v>
      </c>
      <c r="AF34" s="31">
        <f>IF(B34="","",IF(AND(G34="",I34=""),"Add - nothing planned yet",IF(COUNTIFS($AE$5:$AE$504,AE34)&gt;1,"Duplicate - two meals in one slot",IF(AND(G34&lt;&gt;"",H34="Not found"),"Missing - recipe ID not on the Recipes tab",IF(AND(B34&lt;TODAY(),OR(N34="Planned",N34="")),"Check - did you cook it?","OK")))))</f>
        <v>0</v>
      </c>
      <c r="AG34" s="43" t="s">
        <v>746</v>
      </c>
    </row>
    <row r="35" spans="1:33">
      <c r="A35" s="39">
        <f>IF(B35="","",MealPrefix&amp;TEXT(ROW()-4,"0000"))</f>
        <v>0</v>
      </c>
      <c r="B35" s="15">
        <v>46296</v>
      </c>
      <c r="C35" s="17">
        <f>IF(B35="","",TEXT(B35,"ddd"))</f>
        <v>0</v>
      </c>
      <c r="D35" s="18">
        <f>IF(B35="","",WEEKNUM(B35,IF(WeekStart="Sunday",1,2)))</f>
        <v>0</v>
      </c>
      <c r="E35" s="17">
        <f>IF(B35="","",TEXT(B35,"yyyy-mm"))</f>
        <v>0</v>
      </c>
      <c r="F35" s="32" t="s">
        <v>137</v>
      </c>
      <c r="G35" s="32" t="s">
        <v>962</v>
      </c>
      <c r="H35" s="17">
        <f>IF(G35&lt;&gt;"",IFERROR(INDEX(Recipes!$B$5:$B$204,MATCH(G35,Recipes!$A$5:$A$204,0)),"Not found"),I35)</f>
        <v>0</v>
      </c>
      <c r="J35" s="35">
        <v>4</v>
      </c>
      <c r="K35" s="45">
        <f>IF(B35="","",IF(J35="",DefaultServings,J35))</f>
        <v>0</v>
      </c>
      <c r="L35" s="45">
        <f>IF(G35="",0,IFERROR(K35/INDEX(Recipes!$G$5:$G$204,MATCH(G35,Recipes!$A$5:$A$204,0)),0))</f>
        <v>0</v>
      </c>
      <c r="M35" s="40" t="s">
        <v>312</v>
      </c>
      <c r="N35" s="42" t="s">
        <v>319</v>
      </c>
      <c r="O35" s="32" t="s">
        <v>736</v>
      </c>
      <c r="R35" s="40" t="s">
        <v>312</v>
      </c>
      <c r="S35" s="32" t="s">
        <v>157</v>
      </c>
      <c r="T35" s="25">
        <f>IF(G35="","",IFERROR(INDEX(Recipes!$AD$5:$AD$204,MATCH(G35,Recipes!$A$5:$A$204,0))*K35,""))</f>
        <v>0</v>
      </c>
      <c r="V35" s="30">
        <f>IF(G35="","",IFERROR(INDEX(Recipes!$AE$5:$AE$204,MATCH(G35,Recipes!$A$5:$A$204,0)),"Not found"))</f>
        <v>0</v>
      </c>
      <c r="W35" s="45">
        <f>IF(G35="","",IFERROR(INDEX(Recipes!$AF$5:$AF$204,MATCH(G35,Recipes!$A$5:$A$204,0)),"Not found"))</f>
        <v>0</v>
      </c>
      <c r="X35" s="45">
        <f>IF(G35="","",IFERROR(INDEX(Recipes!$AG$5:$AG$204,MATCH(G35,Recipes!$A$5:$A$204,0)),"Not found"))</f>
        <v>0</v>
      </c>
      <c r="Y35" s="45">
        <f>IF(G35="","",IFERROR(INDEX(Recipes!$AH$5:$AH$204,MATCH(G35,Recipes!$A$5:$A$204,0)),"Not found"))</f>
        <v>0</v>
      </c>
      <c r="Z35" s="45">
        <f>IF(G35="","",IFERROR(INDEX(Recipes!$AI$5:$AI$204,MATCH(G35,Recipes!$A$5:$A$204,0)),"Not found"))</f>
        <v>0</v>
      </c>
      <c r="AA35" s="30">
        <f>IF(OR(V35="",NOT(ISNUMBER(V35))),"",V35*K35)</f>
        <v>0</v>
      </c>
      <c r="AB35" s="18">
        <f>IF(G35="","",IFERROR(INDEX(Recipes!$J$5:$J$204,MATCH(G35,Recipes!$A$5:$A$204,0)),"Not found"))</f>
        <v>0</v>
      </c>
      <c r="AC35" s="17">
        <f>IF(G35="","",IFERROR(INDEX(Recipes!$C$5:$C$204,MATCH(G35,Recipes!$A$5:$A$204,0)),"Not found"))</f>
        <v>0</v>
      </c>
      <c r="AD35" s="46">
        <f>IF(B35="","",IF(G35&lt;&gt;"","Yes",IF(OR(I35="",ISNUMBER(SEARCH("takeaway",I35)),ISNUMBER(SEARCH("out",I35))),"No","Yes")))</f>
        <v>0</v>
      </c>
      <c r="AE35" s="17">
        <f>IF(B35="","",TEXT(B35,"yyyy-mm-dd")&amp;"|"&amp;F35)</f>
        <v>0</v>
      </c>
      <c r="AF35" s="31">
        <f>IF(B35="","",IF(AND(G35="",I35=""),"Add - nothing planned yet",IF(COUNTIFS($AE$5:$AE$504,AE35)&gt;1,"Duplicate - two meals in one slot",IF(AND(G35&lt;&gt;"",H35="Not found"),"Missing - recipe ID not on the Recipes tab",IF(AND(B35&lt;TODAY(),OR(N35="Planned",N35="")),"Check - did you cook it?","OK")))))</f>
        <v>0</v>
      </c>
      <c r="AG35" s="43" t="s">
        <v>157</v>
      </c>
    </row>
    <row r="36" spans="1:33">
      <c r="A36" s="39">
        <f>IF(B36="","",MealPrefix&amp;TEXT(ROW()-4,"0000"))</f>
        <v>0</v>
      </c>
      <c r="B36" s="15">
        <v>46297</v>
      </c>
      <c r="C36" s="17">
        <f>IF(B36="","",TEXT(B36,"ddd"))</f>
        <v>0</v>
      </c>
      <c r="D36" s="18">
        <f>IF(B36="","",WEEKNUM(B36,IF(WeekStart="Sunday",1,2)))</f>
        <v>0</v>
      </c>
      <c r="E36" s="17">
        <f>IF(B36="","",TEXT(B36,"yyyy-mm"))</f>
        <v>0</v>
      </c>
      <c r="F36" s="32" t="s">
        <v>167</v>
      </c>
      <c r="G36" s="32" t="s">
        <v>954</v>
      </c>
      <c r="H36" s="17">
        <f>IF(G36&lt;&gt;"",IFERROR(INDEX(Recipes!$B$5:$B$204,MATCH(G36,Recipes!$A$5:$A$204,0)),"Not found"),I36)</f>
        <v>0</v>
      </c>
      <c r="J36" s="35">
        <v>2</v>
      </c>
      <c r="K36" s="45">
        <f>IF(B36="","",IF(J36="",DefaultServings,J36))</f>
        <v>0</v>
      </c>
      <c r="L36" s="45">
        <f>IF(G36="",0,IFERROR(K36/INDEX(Recipes!$G$5:$G$204,MATCH(G36,Recipes!$A$5:$A$204,0)),0))</f>
        <v>0</v>
      </c>
      <c r="M36" s="40" t="s">
        <v>312</v>
      </c>
      <c r="N36" s="42" t="s">
        <v>319</v>
      </c>
      <c r="O36" s="32" t="s">
        <v>742</v>
      </c>
      <c r="R36" s="40" t="s">
        <v>312</v>
      </c>
      <c r="T36" s="25">
        <f>IF(G36="","",IFERROR(INDEX(Recipes!$AD$5:$AD$204,MATCH(G36,Recipes!$A$5:$A$204,0))*K36,""))</f>
        <v>0</v>
      </c>
      <c r="V36" s="30">
        <f>IF(G36="","",IFERROR(INDEX(Recipes!$AE$5:$AE$204,MATCH(G36,Recipes!$A$5:$A$204,0)),"Not found"))</f>
        <v>0</v>
      </c>
      <c r="W36" s="45">
        <f>IF(G36="","",IFERROR(INDEX(Recipes!$AF$5:$AF$204,MATCH(G36,Recipes!$A$5:$A$204,0)),"Not found"))</f>
        <v>0</v>
      </c>
      <c r="X36" s="45">
        <f>IF(G36="","",IFERROR(INDEX(Recipes!$AG$5:$AG$204,MATCH(G36,Recipes!$A$5:$A$204,0)),"Not found"))</f>
        <v>0</v>
      </c>
      <c r="Y36" s="45">
        <f>IF(G36="","",IFERROR(INDEX(Recipes!$AH$5:$AH$204,MATCH(G36,Recipes!$A$5:$A$204,0)),"Not found"))</f>
        <v>0</v>
      </c>
      <c r="Z36" s="45">
        <f>IF(G36="","",IFERROR(INDEX(Recipes!$AI$5:$AI$204,MATCH(G36,Recipes!$A$5:$A$204,0)),"Not found"))</f>
        <v>0</v>
      </c>
      <c r="AA36" s="30">
        <f>IF(OR(V36="",NOT(ISNUMBER(V36))),"",V36*K36)</f>
        <v>0</v>
      </c>
      <c r="AB36" s="18">
        <f>IF(G36="","",IFERROR(INDEX(Recipes!$J$5:$J$204,MATCH(G36,Recipes!$A$5:$A$204,0)),"Not found"))</f>
        <v>0</v>
      </c>
      <c r="AC36" s="17">
        <f>IF(G36="","",IFERROR(INDEX(Recipes!$C$5:$C$204,MATCH(G36,Recipes!$A$5:$A$204,0)),"Not found"))</f>
        <v>0</v>
      </c>
      <c r="AD36" s="46">
        <f>IF(B36="","",IF(G36&lt;&gt;"","Yes",IF(OR(I36="",ISNUMBER(SEARCH("takeaway",I36)),ISNUMBER(SEARCH("out",I36))),"No","Yes")))</f>
        <v>0</v>
      </c>
      <c r="AE36" s="17">
        <f>IF(B36="","",TEXT(B36,"yyyy-mm-dd")&amp;"|"&amp;F36)</f>
        <v>0</v>
      </c>
      <c r="AF36" s="31">
        <f>IF(B36="","",IF(AND(G36="",I36=""),"Add - nothing planned yet",IF(COUNTIFS($AE$5:$AE$504,AE36)&gt;1,"Duplicate - two meals in one slot",IF(AND(G36&lt;&gt;"",H36="Not found"),"Missing - recipe ID not on the Recipes tab",IF(AND(B36&lt;TODAY(),OR(N36="Planned",N36="")),"Check - did you cook it?","OK")))))</f>
        <v>0</v>
      </c>
      <c r="AG36" s="43" t="s">
        <v>746</v>
      </c>
    </row>
    <row r="37" spans="1:33">
      <c r="A37" s="39">
        <f>IF(B37="","",MealPrefix&amp;TEXT(ROW()-4,"0000"))</f>
        <v>0</v>
      </c>
      <c r="B37" s="15">
        <v>46297</v>
      </c>
      <c r="C37" s="17">
        <f>IF(B37="","",TEXT(B37,"ddd"))</f>
        <v>0</v>
      </c>
      <c r="D37" s="18">
        <f>IF(B37="","",WEEKNUM(B37,IF(WeekStart="Sunday",1,2)))</f>
        <v>0</v>
      </c>
      <c r="E37" s="17">
        <f>IF(B37="","",TEXT(B37,"yyyy-mm"))</f>
        <v>0</v>
      </c>
      <c r="F37" s="32" t="s">
        <v>137</v>
      </c>
      <c r="G37" s="32" t="s">
        <v>898</v>
      </c>
      <c r="H37" s="17">
        <f>IF(G37&lt;&gt;"",IFERROR(INDEX(Recipes!$B$5:$B$204,MATCH(G37,Recipes!$A$5:$A$204,0)),"Not found"),I37)</f>
        <v>0</v>
      </c>
      <c r="J37" s="35">
        <v>4</v>
      </c>
      <c r="K37" s="45">
        <f>IF(B37="","",IF(J37="",DefaultServings,J37))</f>
        <v>0</v>
      </c>
      <c r="L37" s="45">
        <f>IF(G37="",0,IFERROR(K37/INDEX(Recipes!$G$5:$G$204,MATCH(G37,Recipes!$A$5:$A$204,0)),0))</f>
        <v>0</v>
      </c>
      <c r="M37" s="40" t="s">
        <v>312</v>
      </c>
      <c r="N37" s="42" t="s">
        <v>319</v>
      </c>
      <c r="O37" s="32" t="s">
        <v>206</v>
      </c>
      <c r="Q37" s="38">
        <v>2</v>
      </c>
      <c r="R37" s="40" t="s">
        <v>311</v>
      </c>
      <c r="S37" s="32" t="s">
        <v>157</v>
      </c>
      <c r="T37" s="25">
        <f>IF(G37="","",IFERROR(INDEX(Recipes!$AD$5:$AD$204,MATCH(G37,Recipes!$A$5:$A$204,0))*K37,""))</f>
        <v>0</v>
      </c>
      <c r="V37" s="30">
        <f>IF(G37="","",IFERROR(INDEX(Recipes!$AE$5:$AE$204,MATCH(G37,Recipes!$A$5:$A$204,0)),"Not found"))</f>
        <v>0</v>
      </c>
      <c r="W37" s="45">
        <f>IF(G37="","",IFERROR(INDEX(Recipes!$AF$5:$AF$204,MATCH(G37,Recipes!$A$5:$A$204,0)),"Not found"))</f>
        <v>0</v>
      </c>
      <c r="X37" s="45">
        <f>IF(G37="","",IFERROR(INDEX(Recipes!$AG$5:$AG$204,MATCH(G37,Recipes!$A$5:$A$204,0)),"Not found"))</f>
        <v>0</v>
      </c>
      <c r="Y37" s="45">
        <f>IF(G37="","",IFERROR(INDEX(Recipes!$AH$5:$AH$204,MATCH(G37,Recipes!$A$5:$A$204,0)),"Not found"))</f>
        <v>0</v>
      </c>
      <c r="Z37" s="45">
        <f>IF(G37="","",IFERROR(INDEX(Recipes!$AI$5:$AI$204,MATCH(G37,Recipes!$A$5:$A$204,0)),"Not found"))</f>
        <v>0</v>
      </c>
      <c r="AA37" s="30">
        <f>IF(OR(V37="",NOT(ISNUMBER(V37))),"",V37*K37)</f>
        <v>0</v>
      </c>
      <c r="AB37" s="18">
        <f>IF(G37="","",IFERROR(INDEX(Recipes!$J$5:$J$204,MATCH(G37,Recipes!$A$5:$A$204,0)),"Not found"))</f>
        <v>0</v>
      </c>
      <c r="AC37" s="17">
        <f>IF(G37="","",IFERROR(INDEX(Recipes!$C$5:$C$204,MATCH(G37,Recipes!$A$5:$A$204,0)),"Not found"))</f>
        <v>0</v>
      </c>
      <c r="AD37" s="46">
        <f>IF(B37="","",IF(G37&lt;&gt;"","Yes",IF(OR(I37="",ISNUMBER(SEARCH("takeaway",I37)),ISNUMBER(SEARCH("out",I37))),"No","Yes")))</f>
        <v>0</v>
      </c>
      <c r="AE37" s="17">
        <f>IF(B37="","",TEXT(B37,"yyyy-mm-dd")&amp;"|"&amp;F37)</f>
        <v>0</v>
      </c>
      <c r="AF37" s="31">
        <f>IF(B37="","",IF(AND(G37="",I37=""),"Add - nothing planned yet",IF(COUNTIFS($AE$5:$AE$504,AE37)&gt;1,"Duplicate - two meals in one slot",IF(AND(G37&lt;&gt;"",H37="Not found"),"Missing - recipe ID not on the Recipes tab",IF(AND(B37&lt;TODAY(),OR(N37="Planned",N37="")),"Check - did you cook it?","OK")))))</f>
        <v>0</v>
      </c>
      <c r="AG37" s="43" t="s">
        <v>157</v>
      </c>
    </row>
    <row r="38" spans="1:33">
      <c r="A38" s="39">
        <f>IF(B38="","",MealPrefix&amp;TEXT(ROW()-4,"0000"))</f>
        <v>0</v>
      </c>
      <c r="B38" s="15">
        <v>46298</v>
      </c>
      <c r="C38" s="17">
        <f>IF(B38="","",TEXT(B38,"ddd"))</f>
        <v>0</v>
      </c>
      <c r="D38" s="18">
        <f>IF(B38="","",WEEKNUM(B38,IF(WeekStart="Sunday",1,2)))</f>
        <v>0</v>
      </c>
      <c r="E38" s="17">
        <f>IF(B38="","",TEXT(B38,"yyyy-mm"))</f>
        <v>0</v>
      </c>
      <c r="F38" s="32" t="s">
        <v>165</v>
      </c>
      <c r="G38" s="32" t="s">
        <v>946</v>
      </c>
      <c r="H38" s="17">
        <f>IF(G38&lt;&gt;"",IFERROR(INDEX(Recipes!$B$5:$B$204,MATCH(G38,Recipes!$A$5:$A$204,0)),"Not found"),I38)</f>
        <v>0</v>
      </c>
      <c r="J38" s="35">
        <v>3</v>
      </c>
      <c r="K38" s="45">
        <f>IF(B38="","",IF(J38="",DefaultServings,J38))</f>
        <v>0</v>
      </c>
      <c r="L38" s="45">
        <f>IF(G38="",0,IFERROR(K38/INDEX(Recipes!$G$5:$G$204,MATCH(G38,Recipes!$A$5:$A$204,0)),0))</f>
        <v>0</v>
      </c>
      <c r="M38" s="40" t="s">
        <v>312</v>
      </c>
      <c r="N38" s="42" t="s">
        <v>319</v>
      </c>
      <c r="O38" s="32" t="s">
        <v>206</v>
      </c>
      <c r="R38" s="40" t="s">
        <v>312</v>
      </c>
      <c r="T38" s="25">
        <f>IF(G38="","",IFERROR(INDEX(Recipes!$AD$5:$AD$204,MATCH(G38,Recipes!$A$5:$A$204,0))*K38,""))</f>
        <v>0</v>
      </c>
      <c r="V38" s="30">
        <f>IF(G38="","",IFERROR(INDEX(Recipes!$AE$5:$AE$204,MATCH(G38,Recipes!$A$5:$A$204,0)),"Not found"))</f>
        <v>0</v>
      </c>
      <c r="W38" s="45">
        <f>IF(G38="","",IFERROR(INDEX(Recipes!$AF$5:$AF$204,MATCH(G38,Recipes!$A$5:$A$204,0)),"Not found"))</f>
        <v>0</v>
      </c>
      <c r="X38" s="45">
        <f>IF(G38="","",IFERROR(INDEX(Recipes!$AG$5:$AG$204,MATCH(G38,Recipes!$A$5:$A$204,0)),"Not found"))</f>
        <v>0</v>
      </c>
      <c r="Y38" s="45">
        <f>IF(G38="","",IFERROR(INDEX(Recipes!$AH$5:$AH$204,MATCH(G38,Recipes!$A$5:$A$204,0)),"Not found"))</f>
        <v>0</v>
      </c>
      <c r="Z38" s="45">
        <f>IF(G38="","",IFERROR(INDEX(Recipes!$AI$5:$AI$204,MATCH(G38,Recipes!$A$5:$A$204,0)),"Not found"))</f>
        <v>0</v>
      </c>
      <c r="AA38" s="30">
        <f>IF(OR(V38="",NOT(ISNUMBER(V38))),"",V38*K38)</f>
        <v>0</v>
      </c>
      <c r="AB38" s="18">
        <f>IF(G38="","",IFERROR(INDEX(Recipes!$J$5:$J$204,MATCH(G38,Recipes!$A$5:$A$204,0)),"Not found"))</f>
        <v>0</v>
      </c>
      <c r="AC38" s="17">
        <f>IF(G38="","",IFERROR(INDEX(Recipes!$C$5:$C$204,MATCH(G38,Recipes!$A$5:$A$204,0)),"Not found"))</f>
        <v>0</v>
      </c>
      <c r="AD38" s="46">
        <f>IF(B38="","",IF(G38&lt;&gt;"","Yes",IF(OR(I38="",ISNUMBER(SEARCH("takeaway",I38)),ISNUMBER(SEARCH("out",I38))),"No","Yes")))</f>
        <v>0</v>
      </c>
      <c r="AE38" s="17">
        <f>IF(B38="","",TEXT(B38,"yyyy-mm-dd")&amp;"|"&amp;F38)</f>
        <v>0</v>
      </c>
      <c r="AF38" s="31">
        <f>IF(B38="","",IF(AND(G38="",I38=""),"Add - nothing planned yet",IF(COUNTIFS($AE$5:$AE$504,AE38)&gt;1,"Duplicate - two meals in one slot",IF(AND(G38&lt;&gt;"",H38="Not found"),"Missing - recipe ID not on the Recipes tab",IF(AND(B38&lt;TODAY(),OR(N38="Planned",N38="")),"Check - did you cook it?","OK")))))</f>
        <v>0</v>
      </c>
      <c r="AG38" s="43" t="s">
        <v>157</v>
      </c>
    </row>
    <row r="39" spans="1:33">
      <c r="A39" s="39">
        <f>IF(B39="","",MealPrefix&amp;TEXT(ROW()-4,"0000"))</f>
        <v>0</v>
      </c>
      <c r="B39" s="15">
        <v>46298</v>
      </c>
      <c r="C39" s="17">
        <f>IF(B39="","",TEXT(B39,"ddd"))</f>
        <v>0</v>
      </c>
      <c r="D39" s="18">
        <f>IF(B39="","",WEEKNUM(B39,IF(WeekStart="Sunday",1,2)))</f>
        <v>0</v>
      </c>
      <c r="E39" s="17">
        <f>IF(B39="","",TEXT(B39,"yyyy-mm"))</f>
        <v>0</v>
      </c>
      <c r="F39" s="32" t="s">
        <v>167</v>
      </c>
      <c r="H39" s="17">
        <f>IF(G39&lt;&gt;"",IFERROR(INDEX(Recipes!$B$5:$B$204,MATCH(G39,Recipes!$A$5:$A$204,0)),"Not found"),I39)</f>
        <v>0</v>
      </c>
      <c r="I39" s="32" t="s">
        <v>1046</v>
      </c>
      <c r="J39" s="35">
        <v>4</v>
      </c>
      <c r="K39" s="45">
        <f>IF(B39="","",IF(J39="",DefaultServings,J39))</f>
        <v>0</v>
      </c>
      <c r="L39" s="45">
        <f>IF(G39="",0,IFERROR(K39/INDEX(Recipes!$G$5:$G$204,MATCH(G39,Recipes!$A$5:$A$204,0)),0))</f>
        <v>0</v>
      </c>
      <c r="M39" s="40" t="s">
        <v>312</v>
      </c>
      <c r="N39" s="42" t="s">
        <v>319</v>
      </c>
      <c r="O39" s="32" t="s">
        <v>157</v>
      </c>
      <c r="R39" s="40" t="s">
        <v>312</v>
      </c>
      <c r="T39" s="25">
        <f>IF(G39="","",IFERROR(INDEX(Recipes!$AD$5:$AD$204,MATCH(G39,Recipes!$A$5:$A$204,0))*K39,""))</f>
        <v>0</v>
      </c>
      <c r="V39" s="30">
        <f>IF(G39="","",IFERROR(INDEX(Recipes!$AE$5:$AE$204,MATCH(G39,Recipes!$A$5:$A$204,0)),"Not found"))</f>
        <v>0</v>
      </c>
      <c r="W39" s="45">
        <f>IF(G39="","",IFERROR(INDEX(Recipes!$AF$5:$AF$204,MATCH(G39,Recipes!$A$5:$A$204,0)),"Not found"))</f>
        <v>0</v>
      </c>
      <c r="X39" s="45">
        <f>IF(G39="","",IFERROR(INDEX(Recipes!$AG$5:$AG$204,MATCH(G39,Recipes!$A$5:$A$204,0)),"Not found"))</f>
        <v>0</v>
      </c>
      <c r="Y39" s="45">
        <f>IF(G39="","",IFERROR(INDEX(Recipes!$AH$5:$AH$204,MATCH(G39,Recipes!$A$5:$A$204,0)),"Not found"))</f>
        <v>0</v>
      </c>
      <c r="Z39" s="45">
        <f>IF(G39="","",IFERROR(INDEX(Recipes!$AI$5:$AI$204,MATCH(G39,Recipes!$A$5:$A$204,0)),"Not found"))</f>
        <v>0</v>
      </c>
      <c r="AA39" s="30">
        <f>IF(OR(V39="",NOT(ISNUMBER(V39))),"",V39*K39)</f>
        <v>0</v>
      </c>
      <c r="AB39" s="18">
        <f>IF(G39="","",IFERROR(INDEX(Recipes!$J$5:$J$204,MATCH(G39,Recipes!$A$5:$A$204,0)),"Not found"))</f>
        <v>0</v>
      </c>
      <c r="AC39" s="17">
        <f>IF(G39="","",IFERROR(INDEX(Recipes!$C$5:$C$204,MATCH(G39,Recipes!$A$5:$A$204,0)),"Not found"))</f>
        <v>0</v>
      </c>
      <c r="AD39" s="46">
        <f>IF(B39="","",IF(G39&lt;&gt;"","Yes",IF(OR(I39="",ISNUMBER(SEARCH("takeaway",I39)),ISNUMBER(SEARCH("out",I39))),"No","Yes")))</f>
        <v>0</v>
      </c>
      <c r="AE39" s="17">
        <f>IF(B39="","",TEXT(B39,"yyyy-mm-dd")&amp;"|"&amp;F39)</f>
        <v>0</v>
      </c>
      <c r="AF39" s="31">
        <f>IF(B39="","",IF(AND(G39="",I39=""),"Add - nothing planned yet",IF(COUNTIFS($AE$5:$AE$504,AE39)&gt;1,"Duplicate - two meals in one slot",IF(AND(G39&lt;&gt;"",H39="Not found"),"Missing - recipe ID not on the Recipes tab",IF(AND(B39&lt;TODAY(),OR(N39="Planned",N39="")),"Check - did you cook it?","OK")))))</f>
        <v>0</v>
      </c>
      <c r="AG39" s="43" t="s">
        <v>157</v>
      </c>
    </row>
    <row r="40" spans="1:33">
      <c r="A40" s="39">
        <f>IF(B40="","",MealPrefix&amp;TEXT(ROW()-4,"0000"))</f>
        <v>0</v>
      </c>
      <c r="B40" s="15">
        <v>46298</v>
      </c>
      <c r="C40" s="17">
        <f>IF(B40="","",TEXT(B40,"ddd"))</f>
        <v>0</v>
      </c>
      <c r="D40" s="18">
        <f>IF(B40="","",WEEKNUM(B40,IF(WeekStart="Sunday",1,2)))</f>
        <v>0</v>
      </c>
      <c r="E40" s="17">
        <f>IF(B40="","",TEXT(B40,"yyyy-mm"))</f>
        <v>0</v>
      </c>
      <c r="F40" s="32" t="s">
        <v>137</v>
      </c>
      <c r="H40" s="17">
        <f>IF(G40&lt;&gt;"",IFERROR(INDEX(Recipes!$B$5:$B$204,MATCH(G40,Recipes!$A$5:$A$204,0)),"Not found"),I40)</f>
        <v>0</v>
      </c>
      <c r="I40" s="32" t="s">
        <v>1047</v>
      </c>
      <c r="J40" s="35">
        <v>4</v>
      </c>
      <c r="K40" s="45">
        <f>IF(B40="","",IF(J40="",DefaultServings,J40))</f>
        <v>0</v>
      </c>
      <c r="L40" s="45">
        <f>IF(G40="",0,IFERROR(K40/INDEX(Recipes!$G$5:$G$204,MATCH(G40,Recipes!$A$5:$A$204,0)),0))</f>
        <v>0</v>
      </c>
      <c r="M40" s="40" t="s">
        <v>312</v>
      </c>
      <c r="N40" s="42" t="s">
        <v>322</v>
      </c>
      <c r="O40" s="32" t="s">
        <v>157</v>
      </c>
      <c r="R40" s="40" t="s">
        <v>312</v>
      </c>
      <c r="T40" s="25">
        <f>IF(G40="","",IFERROR(INDEX(Recipes!$AD$5:$AD$204,MATCH(G40,Recipes!$A$5:$A$204,0))*K40,""))</f>
        <v>0</v>
      </c>
      <c r="U40" s="36">
        <v>38.5</v>
      </c>
      <c r="V40" s="30">
        <f>IF(G40="","",IFERROR(INDEX(Recipes!$AE$5:$AE$204,MATCH(G40,Recipes!$A$5:$A$204,0)),"Not found"))</f>
        <v>0</v>
      </c>
      <c r="W40" s="45">
        <f>IF(G40="","",IFERROR(INDEX(Recipes!$AF$5:$AF$204,MATCH(G40,Recipes!$A$5:$A$204,0)),"Not found"))</f>
        <v>0</v>
      </c>
      <c r="X40" s="45">
        <f>IF(G40="","",IFERROR(INDEX(Recipes!$AG$5:$AG$204,MATCH(G40,Recipes!$A$5:$A$204,0)),"Not found"))</f>
        <v>0</v>
      </c>
      <c r="Y40" s="45">
        <f>IF(G40="","",IFERROR(INDEX(Recipes!$AH$5:$AH$204,MATCH(G40,Recipes!$A$5:$A$204,0)),"Not found"))</f>
        <v>0</v>
      </c>
      <c r="Z40" s="45">
        <f>IF(G40="","",IFERROR(INDEX(Recipes!$AI$5:$AI$204,MATCH(G40,Recipes!$A$5:$A$204,0)),"Not found"))</f>
        <v>0</v>
      </c>
      <c r="AA40" s="30">
        <f>IF(OR(V40="",NOT(ISNUMBER(V40))),"",V40*K40)</f>
        <v>0</v>
      </c>
      <c r="AB40" s="18">
        <f>IF(G40="","",IFERROR(INDEX(Recipes!$J$5:$J$204,MATCH(G40,Recipes!$A$5:$A$204,0)),"Not found"))</f>
        <v>0</v>
      </c>
      <c r="AC40" s="17">
        <f>IF(G40="","",IFERROR(INDEX(Recipes!$C$5:$C$204,MATCH(G40,Recipes!$A$5:$A$204,0)),"Not found"))</f>
        <v>0</v>
      </c>
      <c r="AD40" s="46">
        <f>IF(B40="","",IF(G40&lt;&gt;"","Yes",IF(OR(I40="",ISNUMBER(SEARCH("takeaway",I40)),ISNUMBER(SEARCH("out",I40))),"No","Yes")))</f>
        <v>0</v>
      </c>
      <c r="AE40" s="17">
        <f>IF(B40="","",TEXT(B40,"yyyy-mm-dd")&amp;"|"&amp;F40)</f>
        <v>0</v>
      </c>
      <c r="AF40" s="31">
        <f>IF(B40="","",IF(AND(G40="",I40=""),"Add - nothing planned yet",IF(COUNTIFS($AE$5:$AE$504,AE40)&gt;1,"Duplicate - two meals in one slot",IF(AND(G40&lt;&gt;"",H40="Not found"),"Missing - recipe ID not on the Recipes tab",IF(AND(B40&lt;TODAY(),OR(N40="Planned",N40="")),"Check - did you cook it?","OK")))))</f>
        <v>0</v>
      </c>
      <c r="AG40" s="43" t="s">
        <v>1048</v>
      </c>
    </row>
    <row r="41" spans="1:33">
      <c r="A41" s="39">
        <f>IF(B41="","",MealPrefix&amp;TEXT(ROW()-4,"0000"))</f>
        <v>0</v>
      </c>
      <c r="B41" s="15">
        <v>46299</v>
      </c>
      <c r="C41" s="17">
        <f>IF(B41="","",TEXT(B41,"ddd"))</f>
        <v>0</v>
      </c>
      <c r="D41" s="18">
        <f>IF(B41="","",WEEKNUM(B41,IF(WeekStart="Sunday",1,2)))</f>
        <v>0</v>
      </c>
      <c r="E41" s="17">
        <f>IF(B41="","",TEXT(B41,"yyyy-mm"))</f>
        <v>0</v>
      </c>
      <c r="F41" s="32" t="s">
        <v>165</v>
      </c>
      <c r="G41" s="32" t="s">
        <v>950</v>
      </c>
      <c r="H41" s="17">
        <f>IF(G41&lt;&gt;"",IFERROR(INDEX(Recipes!$B$5:$B$204,MATCH(G41,Recipes!$A$5:$A$204,0)),"Not found"),I41)</f>
        <v>0</v>
      </c>
      <c r="J41" s="35">
        <v>3</v>
      </c>
      <c r="K41" s="45">
        <f>IF(B41="","",IF(J41="",DefaultServings,J41))</f>
        <v>0</v>
      </c>
      <c r="L41" s="45">
        <f>IF(G41="",0,IFERROR(K41/INDEX(Recipes!$G$5:$G$204,MATCH(G41,Recipes!$A$5:$A$204,0)),0))</f>
        <v>0</v>
      </c>
      <c r="M41" s="40" t="s">
        <v>312</v>
      </c>
      <c r="N41" s="42" t="s">
        <v>319</v>
      </c>
      <c r="O41" s="32" t="s">
        <v>206</v>
      </c>
      <c r="R41" s="40" t="s">
        <v>312</v>
      </c>
      <c r="T41" s="25">
        <f>IF(G41="","",IFERROR(INDEX(Recipes!$AD$5:$AD$204,MATCH(G41,Recipes!$A$5:$A$204,0))*K41,""))</f>
        <v>0</v>
      </c>
      <c r="V41" s="30">
        <f>IF(G41="","",IFERROR(INDEX(Recipes!$AE$5:$AE$204,MATCH(G41,Recipes!$A$5:$A$204,0)),"Not found"))</f>
        <v>0</v>
      </c>
      <c r="W41" s="45">
        <f>IF(G41="","",IFERROR(INDEX(Recipes!$AF$5:$AF$204,MATCH(G41,Recipes!$A$5:$A$204,0)),"Not found"))</f>
        <v>0</v>
      </c>
      <c r="X41" s="45">
        <f>IF(G41="","",IFERROR(INDEX(Recipes!$AG$5:$AG$204,MATCH(G41,Recipes!$A$5:$A$204,0)),"Not found"))</f>
        <v>0</v>
      </c>
      <c r="Y41" s="45">
        <f>IF(G41="","",IFERROR(INDEX(Recipes!$AH$5:$AH$204,MATCH(G41,Recipes!$A$5:$A$204,0)),"Not found"))</f>
        <v>0</v>
      </c>
      <c r="Z41" s="45">
        <f>IF(G41="","",IFERROR(INDEX(Recipes!$AI$5:$AI$204,MATCH(G41,Recipes!$A$5:$A$204,0)),"Not found"))</f>
        <v>0</v>
      </c>
      <c r="AA41" s="30">
        <f>IF(OR(V41="",NOT(ISNUMBER(V41))),"",V41*K41)</f>
        <v>0</v>
      </c>
      <c r="AB41" s="18">
        <f>IF(G41="","",IFERROR(INDEX(Recipes!$J$5:$J$204,MATCH(G41,Recipes!$A$5:$A$204,0)),"Not found"))</f>
        <v>0</v>
      </c>
      <c r="AC41" s="17">
        <f>IF(G41="","",IFERROR(INDEX(Recipes!$C$5:$C$204,MATCH(G41,Recipes!$A$5:$A$204,0)),"Not found"))</f>
        <v>0</v>
      </c>
      <c r="AD41" s="46">
        <f>IF(B41="","",IF(G41&lt;&gt;"","Yes",IF(OR(I41="",ISNUMBER(SEARCH("takeaway",I41)),ISNUMBER(SEARCH("out",I41))),"No","Yes")))</f>
        <v>0</v>
      </c>
      <c r="AE41" s="17">
        <f>IF(B41="","",TEXT(B41,"yyyy-mm-dd")&amp;"|"&amp;F41)</f>
        <v>0</v>
      </c>
      <c r="AF41" s="31">
        <f>IF(B41="","",IF(AND(G41="",I41=""),"Add - nothing planned yet",IF(COUNTIFS($AE$5:$AE$504,AE41)&gt;1,"Duplicate - two meals in one slot",IF(AND(G41&lt;&gt;"",H41="Not found"),"Missing - recipe ID not on the Recipes tab",IF(AND(B41&lt;TODAY(),OR(N41="Planned",N41="")),"Check - did you cook it?","OK")))))</f>
        <v>0</v>
      </c>
      <c r="AG41" s="43" t="s">
        <v>157</v>
      </c>
    </row>
    <row r="42" spans="1:33">
      <c r="A42" s="39">
        <f>IF(B42="","",MealPrefix&amp;TEXT(ROW()-4,"0000"))</f>
        <v>0</v>
      </c>
      <c r="B42" s="15">
        <v>46299</v>
      </c>
      <c r="C42" s="17">
        <f>IF(B42="","",TEXT(B42,"ddd"))</f>
        <v>0</v>
      </c>
      <c r="D42" s="18">
        <f>IF(B42="","",WEEKNUM(B42,IF(WeekStart="Sunday",1,2)))</f>
        <v>0</v>
      </c>
      <c r="E42" s="17">
        <f>IF(B42="","",TEXT(B42,"yyyy-mm"))</f>
        <v>0</v>
      </c>
      <c r="F42" s="32" t="s">
        <v>167</v>
      </c>
      <c r="H42" s="17">
        <f>IF(G42&lt;&gt;"",IFERROR(INDEX(Recipes!$B$5:$B$204,MATCH(G42,Recipes!$A$5:$A$204,0)),"Not found"),I42)</f>
        <v>0</v>
      </c>
      <c r="I42" s="32" t="s">
        <v>1046</v>
      </c>
      <c r="J42" s="35">
        <v>4</v>
      </c>
      <c r="K42" s="45">
        <f>IF(B42="","",IF(J42="",DefaultServings,J42))</f>
        <v>0</v>
      </c>
      <c r="L42" s="45">
        <f>IF(G42="",0,IFERROR(K42/INDEX(Recipes!$G$5:$G$204,MATCH(G42,Recipes!$A$5:$A$204,0)),0))</f>
        <v>0</v>
      </c>
      <c r="M42" s="40" t="s">
        <v>312</v>
      </c>
      <c r="N42" s="42" t="s">
        <v>319</v>
      </c>
      <c r="O42" s="32" t="s">
        <v>157</v>
      </c>
      <c r="R42" s="40" t="s">
        <v>312</v>
      </c>
      <c r="T42" s="25">
        <f>IF(G42="","",IFERROR(INDEX(Recipes!$AD$5:$AD$204,MATCH(G42,Recipes!$A$5:$A$204,0))*K42,""))</f>
        <v>0</v>
      </c>
      <c r="V42" s="30">
        <f>IF(G42="","",IFERROR(INDEX(Recipes!$AE$5:$AE$204,MATCH(G42,Recipes!$A$5:$A$204,0)),"Not found"))</f>
        <v>0</v>
      </c>
      <c r="W42" s="45">
        <f>IF(G42="","",IFERROR(INDEX(Recipes!$AF$5:$AF$204,MATCH(G42,Recipes!$A$5:$A$204,0)),"Not found"))</f>
        <v>0</v>
      </c>
      <c r="X42" s="45">
        <f>IF(G42="","",IFERROR(INDEX(Recipes!$AG$5:$AG$204,MATCH(G42,Recipes!$A$5:$A$204,0)),"Not found"))</f>
        <v>0</v>
      </c>
      <c r="Y42" s="45">
        <f>IF(G42="","",IFERROR(INDEX(Recipes!$AH$5:$AH$204,MATCH(G42,Recipes!$A$5:$A$204,0)),"Not found"))</f>
        <v>0</v>
      </c>
      <c r="Z42" s="45">
        <f>IF(G42="","",IFERROR(INDEX(Recipes!$AI$5:$AI$204,MATCH(G42,Recipes!$A$5:$A$204,0)),"Not found"))</f>
        <v>0</v>
      </c>
      <c r="AA42" s="30">
        <f>IF(OR(V42="",NOT(ISNUMBER(V42))),"",V42*K42)</f>
        <v>0</v>
      </c>
      <c r="AB42" s="18">
        <f>IF(G42="","",IFERROR(INDEX(Recipes!$J$5:$J$204,MATCH(G42,Recipes!$A$5:$A$204,0)),"Not found"))</f>
        <v>0</v>
      </c>
      <c r="AC42" s="17">
        <f>IF(G42="","",IFERROR(INDEX(Recipes!$C$5:$C$204,MATCH(G42,Recipes!$A$5:$A$204,0)),"Not found"))</f>
        <v>0</v>
      </c>
      <c r="AD42" s="46">
        <f>IF(B42="","",IF(G42&lt;&gt;"","Yes",IF(OR(I42="",ISNUMBER(SEARCH("takeaway",I42)),ISNUMBER(SEARCH("out",I42))),"No","Yes")))</f>
        <v>0</v>
      </c>
      <c r="AE42" s="17">
        <f>IF(B42="","",TEXT(B42,"yyyy-mm-dd")&amp;"|"&amp;F42)</f>
        <v>0</v>
      </c>
      <c r="AF42" s="31">
        <f>IF(B42="","",IF(AND(G42="",I42=""),"Add - nothing planned yet",IF(COUNTIFS($AE$5:$AE$504,AE42)&gt;1,"Duplicate - two meals in one slot",IF(AND(G42&lt;&gt;"",H42="Not found"),"Missing - recipe ID not on the Recipes tab",IF(AND(B42&lt;TODAY(),OR(N42="Planned",N42="")),"Check - did you cook it?","OK")))))</f>
        <v>0</v>
      </c>
      <c r="AG42" s="43" t="s">
        <v>157</v>
      </c>
    </row>
    <row r="43" spans="1:33">
      <c r="A43" s="39">
        <f>IF(B43="","",MealPrefix&amp;TEXT(ROW()-4,"0000"))</f>
        <v>0</v>
      </c>
      <c r="B43" s="15">
        <v>46299</v>
      </c>
      <c r="C43" s="17">
        <f>IF(B43="","",TEXT(B43,"ddd"))</f>
        <v>0</v>
      </c>
      <c r="D43" s="18">
        <f>IF(B43="","",WEEKNUM(B43,IF(WeekStart="Sunday",1,2)))</f>
        <v>0</v>
      </c>
      <c r="E43" s="17">
        <f>IF(B43="","",TEXT(B43,"yyyy-mm"))</f>
        <v>0</v>
      </c>
      <c r="F43" s="32" t="s">
        <v>137</v>
      </c>
      <c r="G43" s="32" t="s">
        <v>908</v>
      </c>
      <c r="H43" s="17">
        <f>IF(G43&lt;&gt;"",IFERROR(INDEX(Recipes!$B$5:$B$204,MATCH(G43,Recipes!$A$5:$A$204,0)),"Not found"),I43)</f>
        <v>0</v>
      </c>
      <c r="J43" s="35">
        <v>4</v>
      </c>
      <c r="K43" s="45">
        <f>IF(B43="","",IF(J43="",DefaultServings,J43))</f>
        <v>0</v>
      </c>
      <c r="L43" s="45">
        <f>IF(G43="",0,IFERROR(K43/INDEX(Recipes!$G$5:$G$204,MATCH(G43,Recipes!$A$5:$A$204,0)),0))</f>
        <v>0</v>
      </c>
      <c r="M43" s="40" t="s">
        <v>312</v>
      </c>
      <c r="N43" s="42" t="s">
        <v>319</v>
      </c>
      <c r="O43" s="32" t="s">
        <v>206</v>
      </c>
      <c r="R43" s="40" t="s">
        <v>312</v>
      </c>
      <c r="S43" s="32" t="s">
        <v>157</v>
      </c>
      <c r="T43" s="25">
        <f>IF(G43="","",IFERROR(INDEX(Recipes!$AD$5:$AD$204,MATCH(G43,Recipes!$A$5:$A$204,0))*K43,""))</f>
        <v>0</v>
      </c>
      <c r="V43" s="30">
        <f>IF(G43="","",IFERROR(INDEX(Recipes!$AE$5:$AE$204,MATCH(G43,Recipes!$A$5:$A$204,0)),"Not found"))</f>
        <v>0</v>
      </c>
      <c r="W43" s="45">
        <f>IF(G43="","",IFERROR(INDEX(Recipes!$AF$5:$AF$204,MATCH(G43,Recipes!$A$5:$A$204,0)),"Not found"))</f>
        <v>0</v>
      </c>
      <c r="X43" s="45">
        <f>IF(G43="","",IFERROR(INDEX(Recipes!$AG$5:$AG$204,MATCH(G43,Recipes!$A$5:$A$204,0)),"Not found"))</f>
        <v>0</v>
      </c>
      <c r="Y43" s="45">
        <f>IF(G43="","",IFERROR(INDEX(Recipes!$AH$5:$AH$204,MATCH(G43,Recipes!$A$5:$A$204,0)),"Not found"))</f>
        <v>0</v>
      </c>
      <c r="Z43" s="45">
        <f>IF(G43="","",IFERROR(INDEX(Recipes!$AI$5:$AI$204,MATCH(G43,Recipes!$A$5:$A$204,0)),"Not found"))</f>
        <v>0</v>
      </c>
      <c r="AA43" s="30">
        <f>IF(OR(V43="",NOT(ISNUMBER(V43))),"",V43*K43)</f>
        <v>0</v>
      </c>
      <c r="AB43" s="18">
        <f>IF(G43="","",IFERROR(INDEX(Recipes!$J$5:$J$204,MATCH(G43,Recipes!$A$5:$A$204,0)),"Not found"))</f>
        <v>0</v>
      </c>
      <c r="AC43" s="17">
        <f>IF(G43="","",IFERROR(INDEX(Recipes!$C$5:$C$204,MATCH(G43,Recipes!$A$5:$A$204,0)),"Not found"))</f>
        <v>0</v>
      </c>
      <c r="AD43" s="46">
        <f>IF(B43="","",IF(G43&lt;&gt;"","Yes",IF(OR(I43="",ISNUMBER(SEARCH("takeaway",I43)),ISNUMBER(SEARCH("out",I43))),"No","Yes")))</f>
        <v>0</v>
      </c>
      <c r="AE43" s="17">
        <f>IF(B43="","",TEXT(B43,"yyyy-mm-dd")&amp;"|"&amp;F43)</f>
        <v>0</v>
      </c>
      <c r="AF43" s="31">
        <f>IF(B43="","",IF(AND(G43="",I43=""),"Add - nothing planned yet",IF(COUNTIFS($AE$5:$AE$504,AE43)&gt;1,"Duplicate - two meals in one slot",IF(AND(G43&lt;&gt;"",H43="Not found"),"Missing - recipe ID not on the Recipes tab",IF(AND(B43&lt;TODAY(),OR(N43="Planned",N43="")),"Check - did you cook it?","OK")))))</f>
        <v>0</v>
      </c>
      <c r="AG43" s="43" t="s">
        <v>157</v>
      </c>
    </row>
    <row r="44" spans="1:33">
      <c r="A44" s="39">
        <f>IF(B44="","",MealPrefix&amp;TEXT(ROW()-4,"0000"))</f>
        <v>0</v>
      </c>
      <c r="B44" s="15">
        <v>46299</v>
      </c>
      <c r="C44" s="17">
        <f>IF(B44="","",TEXT(B44,"ddd"))</f>
        <v>0</v>
      </c>
      <c r="D44" s="18">
        <f>IF(B44="","",WEEKNUM(B44,IF(WeekStart="Sunday",1,2)))</f>
        <v>0</v>
      </c>
      <c r="E44" s="17">
        <f>IF(B44="","",TEXT(B44,"yyyy-mm"))</f>
        <v>0</v>
      </c>
      <c r="F44" s="32" t="s">
        <v>170</v>
      </c>
      <c r="G44" s="32" t="s">
        <v>966</v>
      </c>
      <c r="H44" s="17">
        <f>IF(G44&lt;&gt;"",IFERROR(INDEX(Recipes!$B$5:$B$204,MATCH(G44,Recipes!$A$5:$A$204,0)),"Not found"),I44)</f>
        <v>0</v>
      </c>
      <c r="J44" s="35">
        <v>6</v>
      </c>
      <c r="K44" s="45">
        <f>IF(B44="","",IF(J44="",DefaultServings,J44))</f>
        <v>0</v>
      </c>
      <c r="L44" s="45">
        <f>IF(G44="",0,IFERROR(K44/INDEX(Recipes!$G$5:$G$204,MATCH(G44,Recipes!$A$5:$A$204,0)),0))</f>
        <v>0</v>
      </c>
      <c r="M44" s="40" t="s">
        <v>312</v>
      </c>
      <c r="N44" s="42" t="s">
        <v>319</v>
      </c>
      <c r="O44" s="32" t="s">
        <v>742</v>
      </c>
      <c r="R44" s="40" t="s">
        <v>312</v>
      </c>
      <c r="T44" s="25">
        <f>IF(G44="","",IFERROR(INDEX(Recipes!$AD$5:$AD$204,MATCH(G44,Recipes!$A$5:$A$204,0))*K44,""))</f>
        <v>0</v>
      </c>
      <c r="V44" s="30">
        <f>IF(G44="","",IFERROR(INDEX(Recipes!$AE$5:$AE$204,MATCH(G44,Recipes!$A$5:$A$204,0)),"Not found"))</f>
        <v>0</v>
      </c>
      <c r="W44" s="45">
        <f>IF(G44="","",IFERROR(INDEX(Recipes!$AF$5:$AF$204,MATCH(G44,Recipes!$A$5:$A$204,0)),"Not found"))</f>
        <v>0</v>
      </c>
      <c r="X44" s="45">
        <f>IF(G44="","",IFERROR(INDEX(Recipes!$AG$5:$AG$204,MATCH(G44,Recipes!$A$5:$A$204,0)),"Not found"))</f>
        <v>0</v>
      </c>
      <c r="Y44" s="45">
        <f>IF(G44="","",IFERROR(INDEX(Recipes!$AH$5:$AH$204,MATCH(G44,Recipes!$A$5:$A$204,0)),"Not found"))</f>
        <v>0</v>
      </c>
      <c r="Z44" s="45">
        <f>IF(G44="","",IFERROR(INDEX(Recipes!$AI$5:$AI$204,MATCH(G44,Recipes!$A$5:$A$204,0)),"Not found"))</f>
        <v>0</v>
      </c>
      <c r="AA44" s="30">
        <f>IF(OR(V44="",NOT(ISNUMBER(V44))),"",V44*K44)</f>
        <v>0</v>
      </c>
      <c r="AB44" s="18">
        <f>IF(G44="","",IFERROR(INDEX(Recipes!$J$5:$J$204,MATCH(G44,Recipes!$A$5:$A$204,0)),"Not found"))</f>
        <v>0</v>
      </c>
      <c r="AC44" s="17">
        <f>IF(G44="","",IFERROR(INDEX(Recipes!$C$5:$C$204,MATCH(G44,Recipes!$A$5:$A$204,0)),"Not found"))</f>
        <v>0</v>
      </c>
      <c r="AD44" s="46">
        <f>IF(B44="","",IF(G44&lt;&gt;"","Yes",IF(OR(I44="",ISNUMBER(SEARCH("takeaway",I44)),ISNUMBER(SEARCH("out",I44))),"No","Yes")))</f>
        <v>0</v>
      </c>
      <c r="AE44" s="17">
        <f>IF(B44="","",TEXT(B44,"yyyy-mm-dd")&amp;"|"&amp;F44)</f>
        <v>0</v>
      </c>
      <c r="AF44" s="31">
        <f>IF(B44="","",IF(AND(G44="",I44=""),"Add - nothing planned yet",IF(COUNTIFS($AE$5:$AE$504,AE44)&gt;1,"Duplicate - two meals in one slot",IF(AND(G44&lt;&gt;"",H44="Not found"),"Missing - recipe ID not on the Recipes tab",IF(AND(B44&lt;TODAY(),OR(N44="Planned",N44="")),"Check - did you cook it?","OK")))))</f>
        <v>0</v>
      </c>
      <c r="AG44" s="43" t="s">
        <v>157</v>
      </c>
    </row>
    <row r="45" spans="1:33">
      <c r="A45" s="39">
        <f>IF(B45="","",MealPrefix&amp;TEXT(ROW()-4,"0000"))</f>
        <v>0</v>
      </c>
      <c r="B45" s="15">
        <v>46300</v>
      </c>
      <c r="C45" s="17">
        <f>IF(B45="","",TEXT(B45,"ddd"))</f>
        <v>0</v>
      </c>
      <c r="D45" s="18">
        <f>IF(B45="","",WEEKNUM(B45,IF(WeekStart="Sunday",1,2)))</f>
        <v>0</v>
      </c>
      <c r="E45" s="17">
        <f>IF(B45="","",TEXT(B45,"yyyy-mm"))</f>
        <v>0</v>
      </c>
      <c r="F45" s="32" t="s">
        <v>165</v>
      </c>
      <c r="G45" s="32" t="s">
        <v>946</v>
      </c>
      <c r="H45" s="17">
        <f>IF(G45&lt;&gt;"",IFERROR(INDEX(Recipes!$B$5:$B$204,MATCH(G45,Recipes!$A$5:$A$204,0)),"Not found"),I45)</f>
        <v>0</v>
      </c>
      <c r="J45" s="35">
        <v>3</v>
      </c>
      <c r="K45" s="45">
        <f>IF(B45="","",IF(J45="",DefaultServings,J45))</f>
        <v>0</v>
      </c>
      <c r="L45" s="45">
        <f>IF(G45="",0,IFERROR(K45/INDEX(Recipes!$G$5:$G$204,MATCH(G45,Recipes!$A$5:$A$204,0)),0))</f>
        <v>0</v>
      </c>
      <c r="M45" s="40" t="s">
        <v>312</v>
      </c>
      <c r="N45" s="42" t="s">
        <v>319</v>
      </c>
      <c r="O45" s="32" t="s">
        <v>206</v>
      </c>
      <c r="R45" s="40" t="s">
        <v>312</v>
      </c>
      <c r="T45" s="25">
        <f>IF(G45="","",IFERROR(INDEX(Recipes!$AD$5:$AD$204,MATCH(G45,Recipes!$A$5:$A$204,0))*K45,""))</f>
        <v>0</v>
      </c>
      <c r="V45" s="30">
        <f>IF(G45="","",IFERROR(INDEX(Recipes!$AE$5:$AE$204,MATCH(G45,Recipes!$A$5:$A$204,0)),"Not found"))</f>
        <v>0</v>
      </c>
      <c r="W45" s="45">
        <f>IF(G45="","",IFERROR(INDEX(Recipes!$AF$5:$AF$204,MATCH(G45,Recipes!$A$5:$A$204,0)),"Not found"))</f>
        <v>0</v>
      </c>
      <c r="X45" s="45">
        <f>IF(G45="","",IFERROR(INDEX(Recipes!$AG$5:$AG$204,MATCH(G45,Recipes!$A$5:$A$204,0)),"Not found"))</f>
        <v>0</v>
      </c>
      <c r="Y45" s="45">
        <f>IF(G45="","",IFERROR(INDEX(Recipes!$AH$5:$AH$204,MATCH(G45,Recipes!$A$5:$A$204,0)),"Not found"))</f>
        <v>0</v>
      </c>
      <c r="Z45" s="45">
        <f>IF(G45="","",IFERROR(INDEX(Recipes!$AI$5:$AI$204,MATCH(G45,Recipes!$A$5:$A$204,0)),"Not found"))</f>
        <v>0</v>
      </c>
      <c r="AA45" s="30">
        <f>IF(OR(V45="",NOT(ISNUMBER(V45))),"",V45*K45)</f>
        <v>0</v>
      </c>
      <c r="AB45" s="18">
        <f>IF(G45="","",IFERROR(INDEX(Recipes!$J$5:$J$204,MATCH(G45,Recipes!$A$5:$A$204,0)),"Not found"))</f>
        <v>0</v>
      </c>
      <c r="AC45" s="17">
        <f>IF(G45="","",IFERROR(INDEX(Recipes!$C$5:$C$204,MATCH(G45,Recipes!$A$5:$A$204,0)),"Not found"))</f>
        <v>0</v>
      </c>
      <c r="AD45" s="46">
        <f>IF(B45="","",IF(G45&lt;&gt;"","Yes",IF(OR(I45="",ISNUMBER(SEARCH("takeaway",I45)),ISNUMBER(SEARCH("out",I45))),"No","Yes")))</f>
        <v>0</v>
      </c>
      <c r="AE45" s="17">
        <f>IF(B45="","",TEXT(B45,"yyyy-mm-dd")&amp;"|"&amp;F45)</f>
        <v>0</v>
      </c>
      <c r="AF45" s="31">
        <f>IF(B45="","",IF(AND(G45="",I45=""),"Add - nothing planned yet",IF(COUNTIFS($AE$5:$AE$504,AE45)&gt;1,"Duplicate - two meals in one slot",IF(AND(G45&lt;&gt;"",H45="Not found"),"Missing - recipe ID not on the Recipes tab",IF(AND(B45&lt;TODAY(),OR(N45="Planned",N45="")),"Check - did you cook it?","OK")))))</f>
        <v>0</v>
      </c>
      <c r="AG45" s="43" t="s">
        <v>157</v>
      </c>
    </row>
    <row r="46" spans="1:33">
      <c r="A46" s="39">
        <f>IF(B46="","",MealPrefix&amp;TEXT(ROW()-4,"0000"))</f>
        <v>0</v>
      </c>
      <c r="B46" s="15">
        <v>46300</v>
      </c>
      <c r="C46" s="17">
        <f>IF(B46="","",TEXT(B46,"ddd"))</f>
        <v>0</v>
      </c>
      <c r="D46" s="18">
        <f>IF(B46="","",WEEKNUM(B46,IF(WeekStart="Sunday",1,2)))</f>
        <v>0</v>
      </c>
      <c r="E46" s="17">
        <f>IF(B46="","",TEXT(B46,"yyyy-mm"))</f>
        <v>0</v>
      </c>
      <c r="F46" s="32" t="s">
        <v>167</v>
      </c>
      <c r="G46" s="32" t="s">
        <v>954</v>
      </c>
      <c r="H46" s="17">
        <f>IF(G46&lt;&gt;"",IFERROR(INDEX(Recipes!$B$5:$B$204,MATCH(G46,Recipes!$A$5:$A$204,0)),"Not found"),I46)</f>
        <v>0</v>
      </c>
      <c r="J46" s="35">
        <v>2</v>
      </c>
      <c r="K46" s="45">
        <f>IF(B46="","",IF(J46="",DefaultServings,J46))</f>
        <v>0</v>
      </c>
      <c r="L46" s="45">
        <f>IF(G46="",0,IFERROR(K46/INDEX(Recipes!$G$5:$G$204,MATCH(G46,Recipes!$A$5:$A$204,0)),0))</f>
        <v>0</v>
      </c>
      <c r="M46" s="40" t="s">
        <v>312</v>
      </c>
      <c r="N46" s="42" t="s">
        <v>319</v>
      </c>
      <c r="O46" s="32" t="s">
        <v>742</v>
      </c>
      <c r="R46" s="40" t="s">
        <v>311</v>
      </c>
      <c r="T46" s="25">
        <f>IF(G46="","",IFERROR(INDEX(Recipes!$AD$5:$AD$204,MATCH(G46,Recipes!$A$5:$A$204,0))*K46,""))</f>
        <v>0</v>
      </c>
      <c r="V46" s="30">
        <f>IF(G46="","",IFERROR(INDEX(Recipes!$AE$5:$AE$204,MATCH(G46,Recipes!$A$5:$A$204,0)),"Not found"))</f>
        <v>0</v>
      </c>
      <c r="W46" s="45">
        <f>IF(G46="","",IFERROR(INDEX(Recipes!$AF$5:$AF$204,MATCH(G46,Recipes!$A$5:$A$204,0)),"Not found"))</f>
        <v>0</v>
      </c>
      <c r="X46" s="45">
        <f>IF(G46="","",IFERROR(INDEX(Recipes!$AG$5:$AG$204,MATCH(G46,Recipes!$A$5:$A$204,0)),"Not found"))</f>
        <v>0</v>
      </c>
      <c r="Y46" s="45">
        <f>IF(G46="","",IFERROR(INDEX(Recipes!$AH$5:$AH$204,MATCH(G46,Recipes!$A$5:$A$204,0)),"Not found"))</f>
        <v>0</v>
      </c>
      <c r="Z46" s="45">
        <f>IF(G46="","",IFERROR(INDEX(Recipes!$AI$5:$AI$204,MATCH(G46,Recipes!$A$5:$A$204,0)),"Not found"))</f>
        <v>0</v>
      </c>
      <c r="AA46" s="30">
        <f>IF(OR(V46="",NOT(ISNUMBER(V46))),"",V46*K46)</f>
        <v>0</v>
      </c>
      <c r="AB46" s="18">
        <f>IF(G46="","",IFERROR(INDEX(Recipes!$J$5:$J$204,MATCH(G46,Recipes!$A$5:$A$204,0)),"Not found"))</f>
        <v>0</v>
      </c>
      <c r="AC46" s="17">
        <f>IF(G46="","",IFERROR(INDEX(Recipes!$C$5:$C$204,MATCH(G46,Recipes!$A$5:$A$204,0)),"Not found"))</f>
        <v>0</v>
      </c>
      <c r="AD46" s="46">
        <f>IF(B46="","",IF(G46&lt;&gt;"","Yes",IF(OR(I46="",ISNUMBER(SEARCH("takeaway",I46)),ISNUMBER(SEARCH("out",I46))),"No","Yes")))</f>
        <v>0</v>
      </c>
      <c r="AE46" s="17">
        <f>IF(B46="","",TEXT(B46,"yyyy-mm-dd")&amp;"|"&amp;F46)</f>
        <v>0</v>
      </c>
      <c r="AF46" s="31">
        <f>IF(B46="","",IF(AND(G46="",I46=""),"Add - nothing planned yet",IF(COUNTIFS($AE$5:$AE$504,AE46)&gt;1,"Duplicate - two meals in one slot",IF(AND(G46&lt;&gt;"",H46="Not found"),"Missing - recipe ID not on the Recipes tab",IF(AND(B46&lt;TODAY(),OR(N46="Planned",N46="")),"Check - did you cook it?","OK")))))</f>
        <v>0</v>
      </c>
      <c r="AG46" s="43" t="s">
        <v>746</v>
      </c>
    </row>
    <row r="47" spans="1:33">
      <c r="A47" s="39">
        <f>IF(B47="","",MealPrefix&amp;TEXT(ROW()-4,"0000"))</f>
        <v>0</v>
      </c>
      <c r="B47" s="15">
        <v>46300</v>
      </c>
      <c r="C47" s="17">
        <f>IF(B47="","",TEXT(B47,"ddd"))</f>
        <v>0</v>
      </c>
      <c r="D47" s="18">
        <f>IF(B47="","",WEEKNUM(B47,IF(WeekStart="Sunday",1,2)))</f>
        <v>0</v>
      </c>
      <c r="E47" s="17">
        <f>IF(B47="","",TEXT(B47,"yyyy-mm"))</f>
        <v>0</v>
      </c>
      <c r="F47" s="32" t="s">
        <v>137</v>
      </c>
      <c r="G47" s="32" t="s">
        <v>887</v>
      </c>
      <c r="H47" s="17">
        <f>IF(G47&lt;&gt;"",IFERROR(INDEX(Recipes!$B$5:$B$204,MATCH(G47,Recipes!$A$5:$A$204,0)),"Not found"),I47)</f>
        <v>0</v>
      </c>
      <c r="J47" s="35">
        <v>4</v>
      </c>
      <c r="K47" s="45">
        <f>IF(B47="","",IF(J47="",DefaultServings,J47))</f>
        <v>0</v>
      </c>
      <c r="L47" s="45">
        <f>IF(G47="",0,IFERROR(K47/INDEX(Recipes!$G$5:$G$204,MATCH(G47,Recipes!$A$5:$A$204,0)),0))</f>
        <v>0</v>
      </c>
      <c r="M47" s="40" t="s">
        <v>312</v>
      </c>
      <c r="N47" s="42" t="s">
        <v>319</v>
      </c>
      <c r="O47" s="32" t="s">
        <v>206</v>
      </c>
      <c r="R47" s="40" t="s">
        <v>312</v>
      </c>
      <c r="S47" s="32" t="s">
        <v>157</v>
      </c>
      <c r="T47" s="25">
        <f>IF(G47="","",IFERROR(INDEX(Recipes!$AD$5:$AD$204,MATCH(G47,Recipes!$A$5:$A$204,0))*K47,""))</f>
        <v>0</v>
      </c>
      <c r="V47" s="30">
        <f>IF(G47="","",IFERROR(INDEX(Recipes!$AE$5:$AE$204,MATCH(G47,Recipes!$A$5:$A$204,0)),"Not found"))</f>
        <v>0</v>
      </c>
      <c r="W47" s="45">
        <f>IF(G47="","",IFERROR(INDEX(Recipes!$AF$5:$AF$204,MATCH(G47,Recipes!$A$5:$A$204,0)),"Not found"))</f>
        <v>0</v>
      </c>
      <c r="X47" s="45">
        <f>IF(G47="","",IFERROR(INDEX(Recipes!$AG$5:$AG$204,MATCH(G47,Recipes!$A$5:$A$204,0)),"Not found"))</f>
        <v>0</v>
      </c>
      <c r="Y47" s="45">
        <f>IF(G47="","",IFERROR(INDEX(Recipes!$AH$5:$AH$204,MATCH(G47,Recipes!$A$5:$A$204,0)),"Not found"))</f>
        <v>0</v>
      </c>
      <c r="Z47" s="45">
        <f>IF(G47="","",IFERROR(INDEX(Recipes!$AI$5:$AI$204,MATCH(G47,Recipes!$A$5:$A$204,0)),"Not found"))</f>
        <v>0</v>
      </c>
      <c r="AA47" s="30">
        <f>IF(OR(V47="",NOT(ISNUMBER(V47))),"",V47*K47)</f>
        <v>0</v>
      </c>
      <c r="AB47" s="18">
        <f>IF(G47="","",IFERROR(INDEX(Recipes!$J$5:$J$204,MATCH(G47,Recipes!$A$5:$A$204,0)),"Not found"))</f>
        <v>0</v>
      </c>
      <c r="AC47" s="17">
        <f>IF(G47="","",IFERROR(INDEX(Recipes!$C$5:$C$204,MATCH(G47,Recipes!$A$5:$A$204,0)),"Not found"))</f>
        <v>0</v>
      </c>
      <c r="AD47" s="46">
        <f>IF(B47="","",IF(G47&lt;&gt;"","Yes",IF(OR(I47="",ISNUMBER(SEARCH("takeaway",I47)),ISNUMBER(SEARCH("out",I47))),"No","Yes")))</f>
        <v>0</v>
      </c>
      <c r="AE47" s="17">
        <f>IF(B47="","",TEXT(B47,"yyyy-mm-dd")&amp;"|"&amp;F47)</f>
        <v>0</v>
      </c>
      <c r="AF47" s="31">
        <f>IF(B47="","",IF(AND(G47="",I47=""),"Add - nothing planned yet",IF(COUNTIFS($AE$5:$AE$504,AE47)&gt;1,"Duplicate - two meals in one slot",IF(AND(G47&lt;&gt;"",H47="Not found"),"Missing - recipe ID not on the Recipes tab",IF(AND(B47&lt;TODAY(),OR(N47="Planned",N47="")),"Check - did you cook it?","OK")))))</f>
        <v>0</v>
      </c>
      <c r="AG47" s="43" t="s">
        <v>157</v>
      </c>
    </row>
    <row r="48" spans="1:33">
      <c r="A48" s="39">
        <f>IF(B48="","",MealPrefix&amp;TEXT(ROW()-4,"0000"))</f>
        <v>0</v>
      </c>
      <c r="B48" s="15">
        <v>46301</v>
      </c>
      <c r="C48" s="17">
        <f>IF(B48="","",TEXT(B48,"ddd"))</f>
        <v>0</v>
      </c>
      <c r="D48" s="18">
        <f>IF(B48="","",WEEKNUM(B48,IF(WeekStart="Sunday",1,2)))</f>
        <v>0</v>
      </c>
      <c r="E48" s="17">
        <f>IF(B48="","",TEXT(B48,"yyyy-mm"))</f>
        <v>0</v>
      </c>
      <c r="F48" s="32" t="s">
        <v>165</v>
      </c>
      <c r="G48" s="32" t="s">
        <v>942</v>
      </c>
      <c r="H48" s="17">
        <f>IF(G48&lt;&gt;"",IFERROR(INDEX(Recipes!$B$5:$B$204,MATCH(G48,Recipes!$A$5:$A$204,0)),"Not found"),I48)</f>
        <v>0</v>
      </c>
      <c r="J48" s="35">
        <v>3</v>
      </c>
      <c r="K48" s="45">
        <f>IF(B48="","",IF(J48="",DefaultServings,J48))</f>
        <v>0</v>
      </c>
      <c r="L48" s="45">
        <f>IF(G48="",0,IFERROR(K48/INDEX(Recipes!$G$5:$G$204,MATCH(G48,Recipes!$A$5:$A$204,0)),0))</f>
        <v>0</v>
      </c>
      <c r="M48" s="40" t="s">
        <v>312</v>
      </c>
      <c r="N48" s="42" t="s">
        <v>319</v>
      </c>
      <c r="O48" s="32" t="s">
        <v>206</v>
      </c>
      <c r="R48" s="40" t="s">
        <v>312</v>
      </c>
      <c r="T48" s="25">
        <f>IF(G48="","",IFERROR(INDEX(Recipes!$AD$5:$AD$204,MATCH(G48,Recipes!$A$5:$A$204,0))*K48,""))</f>
        <v>0</v>
      </c>
      <c r="V48" s="30">
        <f>IF(G48="","",IFERROR(INDEX(Recipes!$AE$5:$AE$204,MATCH(G48,Recipes!$A$5:$A$204,0)),"Not found"))</f>
        <v>0</v>
      </c>
      <c r="W48" s="45">
        <f>IF(G48="","",IFERROR(INDEX(Recipes!$AF$5:$AF$204,MATCH(G48,Recipes!$A$5:$A$204,0)),"Not found"))</f>
        <v>0</v>
      </c>
      <c r="X48" s="45">
        <f>IF(G48="","",IFERROR(INDEX(Recipes!$AG$5:$AG$204,MATCH(G48,Recipes!$A$5:$A$204,0)),"Not found"))</f>
        <v>0</v>
      </c>
      <c r="Y48" s="45">
        <f>IF(G48="","",IFERROR(INDEX(Recipes!$AH$5:$AH$204,MATCH(G48,Recipes!$A$5:$A$204,0)),"Not found"))</f>
        <v>0</v>
      </c>
      <c r="Z48" s="45">
        <f>IF(G48="","",IFERROR(INDEX(Recipes!$AI$5:$AI$204,MATCH(G48,Recipes!$A$5:$A$204,0)),"Not found"))</f>
        <v>0</v>
      </c>
      <c r="AA48" s="30">
        <f>IF(OR(V48="",NOT(ISNUMBER(V48))),"",V48*K48)</f>
        <v>0</v>
      </c>
      <c r="AB48" s="18">
        <f>IF(G48="","",IFERROR(INDEX(Recipes!$J$5:$J$204,MATCH(G48,Recipes!$A$5:$A$204,0)),"Not found"))</f>
        <v>0</v>
      </c>
      <c r="AC48" s="17">
        <f>IF(G48="","",IFERROR(INDEX(Recipes!$C$5:$C$204,MATCH(G48,Recipes!$A$5:$A$204,0)),"Not found"))</f>
        <v>0</v>
      </c>
      <c r="AD48" s="46">
        <f>IF(B48="","",IF(G48&lt;&gt;"","Yes",IF(OR(I48="",ISNUMBER(SEARCH("takeaway",I48)),ISNUMBER(SEARCH("out",I48))),"No","Yes")))</f>
        <v>0</v>
      </c>
      <c r="AE48" s="17">
        <f>IF(B48="","",TEXT(B48,"yyyy-mm-dd")&amp;"|"&amp;F48)</f>
        <v>0</v>
      </c>
      <c r="AF48" s="31">
        <f>IF(B48="","",IF(AND(G48="",I48=""),"Add - nothing planned yet",IF(COUNTIFS($AE$5:$AE$504,AE48)&gt;1,"Duplicate - two meals in one slot",IF(AND(G48&lt;&gt;"",H48="Not found"),"Missing - recipe ID not on the Recipes tab",IF(AND(B48&lt;TODAY(),OR(N48="Planned",N48="")),"Check - did you cook it?","OK")))))</f>
        <v>0</v>
      </c>
      <c r="AG48" s="43" t="s">
        <v>157</v>
      </c>
    </row>
    <row r="49" spans="1:33">
      <c r="A49" s="39">
        <f>IF(B49="","",MealPrefix&amp;TEXT(ROW()-4,"0000"))</f>
        <v>0</v>
      </c>
      <c r="B49" s="15">
        <v>46301</v>
      </c>
      <c r="C49" s="17">
        <f>IF(B49="","",TEXT(B49,"ddd"))</f>
        <v>0</v>
      </c>
      <c r="D49" s="18">
        <f>IF(B49="","",WEEKNUM(B49,IF(WeekStart="Sunday",1,2)))</f>
        <v>0</v>
      </c>
      <c r="E49" s="17">
        <f>IF(B49="","",TEXT(B49,"yyyy-mm"))</f>
        <v>0</v>
      </c>
      <c r="F49" s="32" t="s">
        <v>167</v>
      </c>
      <c r="G49" s="32" t="s">
        <v>960</v>
      </c>
      <c r="H49" s="17">
        <f>IF(G49&lt;&gt;"",IFERROR(INDEX(Recipes!$B$5:$B$204,MATCH(G49,Recipes!$A$5:$A$204,0)),"Not found"),I49)</f>
        <v>0</v>
      </c>
      <c r="J49" s="35">
        <v>2</v>
      </c>
      <c r="K49" s="45">
        <f>IF(B49="","",IF(J49="",DefaultServings,J49))</f>
        <v>0</v>
      </c>
      <c r="L49" s="45">
        <f>IF(G49="",0,IFERROR(K49/INDEX(Recipes!$G$5:$G$204,MATCH(G49,Recipes!$A$5:$A$204,0)),0))</f>
        <v>0</v>
      </c>
      <c r="M49" s="40" t="s">
        <v>312</v>
      </c>
      <c r="N49" s="42" t="s">
        <v>319</v>
      </c>
      <c r="O49" s="32" t="s">
        <v>742</v>
      </c>
      <c r="R49" s="40" t="s">
        <v>312</v>
      </c>
      <c r="T49" s="25">
        <f>IF(G49="","",IFERROR(INDEX(Recipes!$AD$5:$AD$204,MATCH(G49,Recipes!$A$5:$A$204,0))*K49,""))</f>
        <v>0</v>
      </c>
      <c r="V49" s="30">
        <f>IF(G49="","",IFERROR(INDEX(Recipes!$AE$5:$AE$204,MATCH(G49,Recipes!$A$5:$A$204,0)),"Not found"))</f>
        <v>0</v>
      </c>
      <c r="W49" s="45">
        <f>IF(G49="","",IFERROR(INDEX(Recipes!$AF$5:$AF$204,MATCH(G49,Recipes!$A$5:$A$204,0)),"Not found"))</f>
        <v>0</v>
      </c>
      <c r="X49" s="45">
        <f>IF(G49="","",IFERROR(INDEX(Recipes!$AG$5:$AG$204,MATCH(G49,Recipes!$A$5:$A$204,0)),"Not found"))</f>
        <v>0</v>
      </c>
      <c r="Y49" s="45">
        <f>IF(G49="","",IFERROR(INDEX(Recipes!$AH$5:$AH$204,MATCH(G49,Recipes!$A$5:$A$204,0)),"Not found"))</f>
        <v>0</v>
      </c>
      <c r="Z49" s="45">
        <f>IF(G49="","",IFERROR(INDEX(Recipes!$AI$5:$AI$204,MATCH(G49,Recipes!$A$5:$A$204,0)),"Not found"))</f>
        <v>0</v>
      </c>
      <c r="AA49" s="30">
        <f>IF(OR(V49="",NOT(ISNUMBER(V49))),"",V49*K49)</f>
        <v>0</v>
      </c>
      <c r="AB49" s="18">
        <f>IF(G49="","",IFERROR(INDEX(Recipes!$J$5:$J$204,MATCH(G49,Recipes!$A$5:$A$204,0)),"Not found"))</f>
        <v>0</v>
      </c>
      <c r="AC49" s="17">
        <f>IF(G49="","",IFERROR(INDEX(Recipes!$C$5:$C$204,MATCH(G49,Recipes!$A$5:$A$204,0)),"Not found"))</f>
        <v>0</v>
      </c>
      <c r="AD49" s="46">
        <f>IF(B49="","",IF(G49&lt;&gt;"","Yes",IF(OR(I49="",ISNUMBER(SEARCH("takeaway",I49)),ISNUMBER(SEARCH("out",I49))),"No","Yes")))</f>
        <v>0</v>
      </c>
      <c r="AE49" s="17">
        <f>IF(B49="","",TEXT(B49,"yyyy-mm-dd")&amp;"|"&amp;F49)</f>
        <v>0</v>
      </c>
      <c r="AF49" s="31">
        <f>IF(B49="","",IF(AND(G49="",I49=""),"Add - nothing planned yet",IF(COUNTIFS($AE$5:$AE$504,AE49)&gt;1,"Duplicate - two meals in one slot",IF(AND(G49&lt;&gt;"",H49="Not found"),"Missing - recipe ID not on the Recipes tab",IF(AND(B49&lt;TODAY(),OR(N49="Planned",N49="")),"Check - did you cook it?","OK")))))</f>
        <v>0</v>
      </c>
      <c r="AG49" s="43" t="s">
        <v>746</v>
      </c>
    </row>
    <row r="50" spans="1:33">
      <c r="A50" s="39">
        <f>IF(B50="","",MealPrefix&amp;TEXT(ROW()-4,"0000"))</f>
        <v>0</v>
      </c>
      <c r="B50" s="15">
        <v>46301</v>
      </c>
      <c r="C50" s="17">
        <f>IF(B50="","",TEXT(B50,"ddd"))</f>
        <v>0</v>
      </c>
      <c r="D50" s="18">
        <f>IF(B50="","",WEEKNUM(B50,IF(WeekStart="Sunday",1,2)))</f>
        <v>0</v>
      </c>
      <c r="E50" s="17">
        <f>IF(B50="","",TEXT(B50,"yyyy-mm"))</f>
        <v>0</v>
      </c>
      <c r="F50" s="32" t="s">
        <v>137</v>
      </c>
      <c r="G50" s="32" t="s">
        <v>898</v>
      </c>
      <c r="H50" s="17">
        <f>IF(G50&lt;&gt;"",IFERROR(INDEX(Recipes!$B$5:$B$204,MATCH(G50,Recipes!$A$5:$A$204,0)),"Not found"),I50)</f>
        <v>0</v>
      </c>
      <c r="J50" s="35">
        <v>4</v>
      </c>
      <c r="K50" s="45">
        <f>IF(B50="","",IF(J50="",DefaultServings,J50))</f>
        <v>0</v>
      </c>
      <c r="L50" s="45">
        <f>IF(G50="",0,IFERROR(K50/INDEX(Recipes!$G$5:$G$204,MATCH(G50,Recipes!$A$5:$A$204,0)),0))</f>
        <v>0</v>
      </c>
      <c r="M50" s="40" t="s">
        <v>312</v>
      </c>
      <c r="N50" s="42" t="s">
        <v>319</v>
      </c>
      <c r="O50" s="32" t="s">
        <v>736</v>
      </c>
      <c r="Q50" s="38">
        <v>2</v>
      </c>
      <c r="R50" s="40" t="s">
        <v>311</v>
      </c>
      <c r="S50" s="32" t="s">
        <v>157</v>
      </c>
      <c r="T50" s="25">
        <f>IF(G50="","",IFERROR(INDEX(Recipes!$AD$5:$AD$204,MATCH(G50,Recipes!$A$5:$A$204,0))*K50,""))</f>
        <v>0</v>
      </c>
      <c r="V50" s="30">
        <f>IF(G50="","",IFERROR(INDEX(Recipes!$AE$5:$AE$204,MATCH(G50,Recipes!$A$5:$A$204,0)),"Not found"))</f>
        <v>0</v>
      </c>
      <c r="W50" s="45">
        <f>IF(G50="","",IFERROR(INDEX(Recipes!$AF$5:$AF$204,MATCH(G50,Recipes!$A$5:$A$204,0)),"Not found"))</f>
        <v>0</v>
      </c>
      <c r="X50" s="45">
        <f>IF(G50="","",IFERROR(INDEX(Recipes!$AG$5:$AG$204,MATCH(G50,Recipes!$A$5:$A$204,0)),"Not found"))</f>
        <v>0</v>
      </c>
      <c r="Y50" s="45">
        <f>IF(G50="","",IFERROR(INDEX(Recipes!$AH$5:$AH$204,MATCH(G50,Recipes!$A$5:$A$204,0)),"Not found"))</f>
        <v>0</v>
      </c>
      <c r="Z50" s="45">
        <f>IF(G50="","",IFERROR(INDEX(Recipes!$AI$5:$AI$204,MATCH(G50,Recipes!$A$5:$A$204,0)),"Not found"))</f>
        <v>0</v>
      </c>
      <c r="AA50" s="30">
        <f>IF(OR(V50="",NOT(ISNUMBER(V50))),"",V50*K50)</f>
        <v>0</v>
      </c>
      <c r="AB50" s="18">
        <f>IF(G50="","",IFERROR(INDEX(Recipes!$J$5:$J$204,MATCH(G50,Recipes!$A$5:$A$204,0)),"Not found"))</f>
        <v>0</v>
      </c>
      <c r="AC50" s="17">
        <f>IF(G50="","",IFERROR(INDEX(Recipes!$C$5:$C$204,MATCH(G50,Recipes!$A$5:$A$204,0)),"Not found"))</f>
        <v>0</v>
      </c>
      <c r="AD50" s="46">
        <f>IF(B50="","",IF(G50&lt;&gt;"","Yes",IF(OR(I50="",ISNUMBER(SEARCH("takeaway",I50)),ISNUMBER(SEARCH("out",I50))),"No","Yes")))</f>
        <v>0</v>
      </c>
      <c r="AE50" s="17">
        <f>IF(B50="","",TEXT(B50,"yyyy-mm-dd")&amp;"|"&amp;F50)</f>
        <v>0</v>
      </c>
      <c r="AF50" s="31">
        <f>IF(B50="","",IF(AND(G50="",I50=""),"Add - nothing planned yet",IF(COUNTIFS($AE$5:$AE$504,AE50)&gt;1,"Duplicate - two meals in one slot",IF(AND(G50&lt;&gt;"",H50="Not found"),"Missing - recipe ID not on the Recipes tab",IF(AND(B50&lt;TODAY(),OR(N50="Planned",N50="")),"Check - did you cook it?","OK")))))</f>
        <v>0</v>
      </c>
      <c r="AG50" s="43" t="s">
        <v>157</v>
      </c>
    </row>
    <row r="51" spans="1:33">
      <c r="A51" s="39">
        <f>IF(B51="","",MealPrefix&amp;TEXT(ROW()-4,"0000"))</f>
        <v>0</v>
      </c>
      <c r="B51" s="15">
        <v>46302</v>
      </c>
      <c r="C51" s="17">
        <f>IF(B51="","",TEXT(B51,"ddd"))</f>
        <v>0</v>
      </c>
      <c r="D51" s="18">
        <f>IF(B51="","",WEEKNUM(B51,IF(WeekStart="Sunday",1,2)))</f>
        <v>0</v>
      </c>
      <c r="E51" s="17">
        <f>IF(B51="","",TEXT(B51,"yyyy-mm"))</f>
        <v>0</v>
      </c>
      <c r="F51" s="32" t="s">
        <v>167</v>
      </c>
      <c r="G51" s="32" t="s">
        <v>961</v>
      </c>
      <c r="H51" s="17">
        <f>IF(G51&lt;&gt;"",IFERROR(INDEX(Recipes!$B$5:$B$204,MATCH(G51,Recipes!$A$5:$A$204,0)),"Not found"),I51)</f>
        <v>0</v>
      </c>
      <c r="J51" s="35">
        <v>2</v>
      </c>
      <c r="K51" s="45">
        <f>IF(B51="","",IF(J51="",DefaultServings,J51))</f>
        <v>0</v>
      </c>
      <c r="L51" s="45">
        <f>IF(G51="",0,IFERROR(K51/INDEX(Recipes!$G$5:$G$204,MATCH(G51,Recipes!$A$5:$A$204,0)),0))</f>
        <v>0</v>
      </c>
      <c r="M51" s="40" t="s">
        <v>312</v>
      </c>
      <c r="N51" s="42" t="s">
        <v>319</v>
      </c>
      <c r="O51" s="32" t="s">
        <v>742</v>
      </c>
      <c r="R51" s="40" t="s">
        <v>312</v>
      </c>
      <c r="T51" s="25">
        <f>IF(G51="","",IFERROR(INDEX(Recipes!$AD$5:$AD$204,MATCH(G51,Recipes!$A$5:$A$204,0))*K51,""))</f>
        <v>0</v>
      </c>
      <c r="V51" s="30">
        <f>IF(G51="","",IFERROR(INDEX(Recipes!$AE$5:$AE$204,MATCH(G51,Recipes!$A$5:$A$204,0)),"Not found"))</f>
        <v>0</v>
      </c>
      <c r="W51" s="45">
        <f>IF(G51="","",IFERROR(INDEX(Recipes!$AF$5:$AF$204,MATCH(G51,Recipes!$A$5:$A$204,0)),"Not found"))</f>
        <v>0</v>
      </c>
      <c r="X51" s="45">
        <f>IF(G51="","",IFERROR(INDEX(Recipes!$AG$5:$AG$204,MATCH(G51,Recipes!$A$5:$A$204,0)),"Not found"))</f>
        <v>0</v>
      </c>
      <c r="Y51" s="45">
        <f>IF(G51="","",IFERROR(INDEX(Recipes!$AH$5:$AH$204,MATCH(G51,Recipes!$A$5:$A$204,0)),"Not found"))</f>
        <v>0</v>
      </c>
      <c r="Z51" s="45">
        <f>IF(G51="","",IFERROR(INDEX(Recipes!$AI$5:$AI$204,MATCH(G51,Recipes!$A$5:$A$204,0)),"Not found"))</f>
        <v>0</v>
      </c>
      <c r="AA51" s="30">
        <f>IF(OR(V51="",NOT(ISNUMBER(V51))),"",V51*K51)</f>
        <v>0</v>
      </c>
      <c r="AB51" s="18">
        <f>IF(G51="","",IFERROR(INDEX(Recipes!$J$5:$J$204,MATCH(G51,Recipes!$A$5:$A$204,0)),"Not found"))</f>
        <v>0</v>
      </c>
      <c r="AC51" s="17">
        <f>IF(G51="","",IFERROR(INDEX(Recipes!$C$5:$C$204,MATCH(G51,Recipes!$A$5:$A$204,0)),"Not found"))</f>
        <v>0</v>
      </c>
      <c r="AD51" s="46">
        <f>IF(B51="","",IF(G51&lt;&gt;"","Yes",IF(OR(I51="",ISNUMBER(SEARCH("takeaway",I51)),ISNUMBER(SEARCH("out",I51))),"No","Yes")))</f>
        <v>0</v>
      </c>
      <c r="AE51" s="17">
        <f>IF(B51="","",TEXT(B51,"yyyy-mm-dd")&amp;"|"&amp;F51)</f>
        <v>0</v>
      </c>
      <c r="AF51" s="31">
        <f>IF(B51="","",IF(AND(G51="",I51=""),"Add - nothing planned yet",IF(COUNTIFS($AE$5:$AE$504,AE51)&gt;1,"Duplicate - two meals in one slot",IF(AND(G51&lt;&gt;"",H51="Not found"),"Missing - recipe ID not on the Recipes tab",IF(AND(B51&lt;TODAY(),OR(N51="Planned",N51="")),"Check - did you cook it?","OK")))))</f>
        <v>0</v>
      </c>
      <c r="AG51" s="43" t="s">
        <v>746</v>
      </c>
    </row>
    <row r="52" spans="1:33">
      <c r="A52" s="39">
        <f>IF(B52="","",MealPrefix&amp;TEXT(ROW()-4,"0000"))</f>
        <v>0</v>
      </c>
      <c r="B52" s="15">
        <v>46302</v>
      </c>
      <c r="C52" s="17">
        <f>IF(B52="","",TEXT(B52,"ddd"))</f>
        <v>0</v>
      </c>
      <c r="D52" s="18">
        <f>IF(B52="","",WEEKNUM(B52,IF(WeekStart="Sunday",1,2)))</f>
        <v>0</v>
      </c>
      <c r="E52" s="17">
        <f>IF(B52="","",TEXT(B52,"yyyy-mm"))</f>
        <v>0</v>
      </c>
      <c r="F52" s="32" t="s">
        <v>137</v>
      </c>
      <c r="G52" s="32" t="s">
        <v>908</v>
      </c>
      <c r="H52" s="17">
        <f>IF(G52&lt;&gt;"",IFERROR(INDEX(Recipes!$B$5:$B$204,MATCH(G52,Recipes!$A$5:$A$204,0)),"Not found"),I52)</f>
        <v>0</v>
      </c>
      <c r="J52" s="35">
        <v>4</v>
      </c>
      <c r="K52" s="45">
        <f>IF(B52="","",IF(J52="",DefaultServings,J52))</f>
        <v>0</v>
      </c>
      <c r="L52" s="45">
        <f>IF(G52="",0,IFERROR(K52/INDEX(Recipes!$G$5:$G$204,MATCH(G52,Recipes!$A$5:$A$204,0)),0))</f>
        <v>0</v>
      </c>
      <c r="M52" s="40" t="s">
        <v>312</v>
      </c>
      <c r="N52" s="42" t="s">
        <v>319</v>
      </c>
      <c r="O52" s="32" t="s">
        <v>206</v>
      </c>
      <c r="R52" s="40" t="s">
        <v>312</v>
      </c>
      <c r="S52" s="32" t="s">
        <v>157</v>
      </c>
      <c r="T52" s="25">
        <f>IF(G52="","",IFERROR(INDEX(Recipes!$AD$5:$AD$204,MATCH(G52,Recipes!$A$5:$A$204,0))*K52,""))</f>
        <v>0</v>
      </c>
      <c r="V52" s="30">
        <f>IF(G52="","",IFERROR(INDEX(Recipes!$AE$5:$AE$204,MATCH(G52,Recipes!$A$5:$A$204,0)),"Not found"))</f>
        <v>0</v>
      </c>
      <c r="W52" s="45">
        <f>IF(G52="","",IFERROR(INDEX(Recipes!$AF$5:$AF$204,MATCH(G52,Recipes!$A$5:$A$204,0)),"Not found"))</f>
        <v>0</v>
      </c>
      <c r="X52" s="45">
        <f>IF(G52="","",IFERROR(INDEX(Recipes!$AG$5:$AG$204,MATCH(G52,Recipes!$A$5:$A$204,0)),"Not found"))</f>
        <v>0</v>
      </c>
      <c r="Y52" s="45">
        <f>IF(G52="","",IFERROR(INDEX(Recipes!$AH$5:$AH$204,MATCH(G52,Recipes!$A$5:$A$204,0)),"Not found"))</f>
        <v>0</v>
      </c>
      <c r="Z52" s="45">
        <f>IF(G52="","",IFERROR(INDEX(Recipes!$AI$5:$AI$204,MATCH(G52,Recipes!$A$5:$A$204,0)),"Not found"))</f>
        <v>0</v>
      </c>
      <c r="AA52" s="30">
        <f>IF(OR(V52="",NOT(ISNUMBER(V52))),"",V52*K52)</f>
        <v>0</v>
      </c>
      <c r="AB52" s="18">
        <f>IF(G52="","",IFERROR(INDEX(Recipes!$J$5:$J$204,MATCH(G52,Recipes!$A$5:$A$204,0)),"Not found"))</f>
        <v>0</v>
      </c>
      <c r="AC52" s="17">
        <f>IF(G52="","",IFERROR(INDEX(Recipes!$C$5:$C$204,MATCH(G52,Recipes!$A$5:$A$204,0)),"Not found"))</f>
        <v>0</v>
      </c>
      <c r="AD52" s="46">
        <f>IF(B52="","",IF(G52&lt;&gt;"","Yes",IF(OR(I52="",ISNUMBER(SEARCH("takeaway",I52)),ISNUMBER(SEARCH("out",I52))),"No","Yes")))</f>
        <v>0</v>
      </c>
      <c r="AE52" s="17">
        <f>IF(B52="","",TEXT(B52,"yyyy-mm-dd")&amp;"|"&amp;F52)</f>
        <v>0</v>
      </c>
      <c r="AF52" s="31">
        <f>IF(B52="","",IF(AND(G52="",I52=""),"Add - nothing planned yet",IF(COUNTIFS($AE$5:$AE$504,AE52)&gt;1,"Duplicate - two meals in one slot",IF(AND(G52&lt;&gt;"",H52="Not found"),"Missing - recipe ID not on the Recipes tab",IF(AND(B52&lt;TODAY(),OR(N52="Planned",N52="")),"Check - did you cook it?","OK")))))</f>
        <v>0</v>
      </c>
      <c r="AG52" s="43" t="s">
        <v>157</v>
      </c>
    </row>
    <row r="53" spans="1:33">
      <c r="A53" s="39">
        <f>IF(B53="","",MealPrefix&amp;TEXT(ROW()-4,"0000"))</f>
        <v>0</v>
      </c>
      <c r="B53" s="15">
        <v>46303</v>
      </c>
      <c r="C53" s="17">
        <f>IF(B53="","",TEXT(B53,"ddd"))</f>
        <v>0</v>
      </c>
      <c r="D53" s="18">
        <f>IF(B53="","",WEEKNUM(B53,IF(WeekStart="Sunday",1,2)))</f>
        <v>0</v>
      </c>
      <c r="E53" s="17">
        <f>IF(B53="","",TEXT(B53,"yyyy-mm"))</f>
        <v>0</v>
      </c>
      <c r="F53" s="32" t="s">
        <v>165</v>
      </c>
      <c r="G53" s="32" t="s">
        <v>950</v>
      </c>
      <c r="H53" s="17">
        <f>IF(G53&lt;&gt;"",IFERROR(INDEX(Recipes!$B$5:$B$204,MATCH(G53,Recipes!$A$5:$A$204,0)),"Not found"),I53)</f>
        <v>0</v>
      </c>
      <c r="J53" s="35">
        <v>3</v>
      </c>
      <c r="K53" s="45">
        <f>IF(B53="","",IF(J53="",DefaultServings,J53))</f>
        <v>0</v>
      </c>
      <c r="L53" s="45">
        <f>IF(G53="",0,IFERROR(K53/INDEX(Recipes!$G$5:$G$204,MATCH(G53,Recipes!$A$5:$A$204,0)),0))</f>
        <v>0</v>
      </c>
      <c r="M53" s="40" t="s">
        <v>312</v>
      </c>
      <c r="N53" s="42" t="s">
        <v>319</v>
      </c>
      <c r="O53" s="32" t="s">
        <v>206</v>
      </c>
      <c r="R53" s="40" t="s">
        <v>312</v>
      </c>
      <c r="T53" s="25">
        <f>IF(G53="","",IFERROR(INDEX(Recipes!$AD$5:$AD$204,MATCH(G53,Recipes!$A$5:$A$204,0))*K53,""))</f>
        <v>0</v>
      </c>
      <c r="V53" s="30">
        <f>IF(G53="","",IFERROR(INDEX(Recipes!$AE$5:$AE$204,MATCH(G53,Recipes!$A$5:$A$204,0)),"Not found"))</f>
        <v>0</v>
      </c>
      <c r="W53" s="45">
        <f>IF(G53="","",IFERROR(INDEX(Recipes!$AF$5:$AF$204,MATCH(G53,Recipes!$A$5:$A$204,0)),"Not found"))</f>
        <v>0</v>
      </c>
      <c r="X53" s="45">
        <f>IF(G53="","",IFERROR(INDEX(Recipes!$AG$5:$AG$204,MATCH(G53,Recipes!$A$5:$A$204,0)),"Not found"))</f>
        <v>0</v>
      </c>
      <c r="Y53" s="45">
        <f>IF(G53="","",IFERROR(INDEX(Recipes!$AH$5:$AH$204,MATCH(G53,Recipes!$A$5:$A$204,0)),"Not found"))</f>
        <v>0</v>
      </c>
      <c r="Z53" s="45">
        <f>IF(G53="","",IFERROR(INDEX(Recipes!$AI$5:$AI$204,MATCH(G53,Recipes!$A$5:$A$204,0)),"Not found"))</f>
        <v>0</v>
      </c>
      <c r="AA53" s="30">
        <f>IF(OR(V53="",NOT(ISNUMBER(V53))),"",V53*K53)</f>
        <v>0</v>
      </c>
      <c r="AB53" s="18">
        <f>IF(G53="","",IFERROR(INDEX(Recipes!$J$5:$J$204,MATCH(G53,Recipes!$A$5:$A$204,0)),"Not found"))</f>
        <v>0</v>
      </c>
      <c r="AC53" s="17">
        <f>IF(G53="","",IFERROR(INDEX(Recipes!$C$5:$C$204,MATCH(G53,Recipes!$A$5:$A$204,0)),"Not found"))</f>
        <v>0</v>
      </c>
      <c r="AD53" s="46">
        <f>IF(B53="","",IF(G53&lt;&gt;"","Yes",IF(OR(I53="",ISNUMBER(SEARCH("takeaway",I53)),ISNUMBER(SEARCH("out",I53))),"No","Yes")))</f>
        <v>0</v>
      </c>
      <c r="AE53" s="17">
        <f>IF(B53="","",TEXT(B53,"yyyy-mm-dd")&amp;"|"&amp;F53)</f>
        <v>0</v>
      </c>
      <c r="AF53" s="31">
        <f>IF(B53="","",IF(AND(G53="",I53=""),"Add - nothing planned yet",IF(COUNTIFS($AE$5:$AE$504,AE53)&gt;1,"Duplicate - two meals in one slot",IF(AND(G53&lt;&gt;"",H53="Not found"),"Missing - recipe ID not on the Recipes tab",IF(AND(B53&lt;TODAY(),OR(N53="Planned",N53="")),"Check - did you cook it?","OK")))))</f>
        <v>0</v>
      </c>
      <c r="AG53" s="43" t="s">
        <v>157</v>
      </c>
    </row>
    <row r="54" spans="1:33">
      <c r="A54" s="39">
        <f>IF(B54="","",MealPrefix&amp;TEXT(ROW()-4,"0000"))</f>
        <v>0</v>
      </c>
      <c r="B54" s="15">
        <v>46303</v>
      </c>
      <c r="C54" s="17">
        <f>IF(B54="","",TEXT(B54,"ddd"))</f>
        <v>0</v>
      </c>
      <c r="D54" s="18">
        <f>IF(B54="","",WEEKNUM(B54,IF(WeekStart="Sunday",1,2)))</f>
        <v>0</v>
      </c>
      <c r="E54" s="17">
        <f>IF(B54="","",TEXT(B54,"yyyy-mm"))</f>
        <v>0</v>
      </c>
      <c r="F54" s="32" t="s">
        <v>167</v>
      </c>
      <c r="G54" s="32" t="s">
        <v>960</v>
      </c>
      <c r="H54" s="17">
        <f>IF(G54&lt;&gt;"",IFERROR(INDEX(Recipes!$B$5:$B$204,MATCH(G54,Recipes!$A$5:$A$204,0)),"Not found"),I54)</f>
        <v>0</v>
      </c>
      <c r="J54" s="35">
        <v>2</v>
      </c>
      <c r="K54" s="45">
        <f>IF(B54="","",IF(J54="",DefaultServings,J54))</f>
        <v>0</v>
      </c>
      <c r="L54" s="45">
        <f>IF(G54="",0,IFERROR(K54/INDEX(Recipes!$G$5:$G$204,MATCH(G54,Recipes!$A$5:$A$204,0)),0))</f>
        <v>0</v>
      </c>
      <c r="M54" s="40" t="s">
        <v>312</v>
      </c>
      <c r="N54" s="42" t="s">
        <v>319</v>
      </c>
      <c r="O54" s="32" t="s">
        <v>742</v>
      </c>
      <c r="R54" s="40" t="s">
        <v>312</v>
      </c>
      <c r="T54" s="25">
        <f>IF(G54="","",IFERROR(INDEX(Recipes!$AD$5:$AD$204,MATCH(G54,Recipes!$A$5:$A$204,0))*K54,""))</f>
        <v>0</v>
      </c>
      <c r="V54" s="30">
        <f>IF(G54="","",IFERROR(INDEX(Recipes!$AE$5:$AE$204,MATCH(G54,Recipes!$A$5:$A$204,0)),"Not found"))</f>
        <v>0</v>
      </c>
      <c r="W54" s="45">
        <f>IF(G54="","",IFERROR(INDEX(Recipes!$AF$5:$AF$204,MATCH(G54,Recipes!$A$5:$A$204,0)),"Not found"))</f>
        <v>0</v>
      </c>
      <c r="X54" s="45">
        <f>IF(G54="","",IFERROR(INDEX(Recipes!$AG$5:$AG$204,MATCH(G54,Recipes!$A$5:$A$204,0)),"Not found"))</f>
        <v>0</v>
      </c>
      <c r="Y54" s="45">
        <f>IF(G54="","",IFERROR(INDEX(Recipes!$AH$5:$AH$204,MATCH(G54,Recipes!$A$5:$A$204,0)),"Not found"))</f>
        <v>0</v>
      </c>
      <c r="Z54" s="45">
        <f>IF(G54="","",IFERROR(INDEX(Recipes!$AI$5:$AI$204,MATCH(G54,Recipes!$A$5:$A$204,0)),"Not found"))</f>
        <v>0</v>
      </c>
      <c r="AA54" s="30">
        <f>IF(OR(V54="",NOT(ISNUMBER(V54))),"",V54*K54)</f>
        <v>0</v>
      </c>
      <c r="AB54" s="18">
        <f>IF(G54="","",IFERROR(INDEX(Recipes!$J$5:$J$204,MATCH(G54,Recipes!$A$5:$A$204,0)),"Not found"))</f>
        <v>0</v>
      </c>
      <c r="AC54" s="17">
        <f>IF(G54="","",IFERROR(INDEX(Recipes!$C$5:$C$204,MATCH(G54,Recipes!$A$5:$A$204,0)),"Not found"))</f>
        <v>0</v>
      </c>
      <c r="AD54" s="46">
        <f>IF(B54="","",IF(G54&lt;&gt;"","Yes",IF(OR(I54="",ISNUMBER(SEARCH("takeaway",I54)),ISNUMBER(SEARCH("out",I54))),"No","Yes")))</f>
        <v>0</v>
      </c>
      <c r="AE54" s="17">
        <f>IF(B54="","",TEXT(B54,"yyyy-mm-dd")&amp;"|"&amp;F54)</f>
        <v>0</v>
      </c>
      <c r="AF54" s="31">
        <f>IF(B54="","",IF(AND(G54="",I54=""),"Add - nothing planned yet",IF(COUNTIFS($AE$5:$AE$504,AE54)&gt;1,"Duplicate - two meals in one slot",IF(AND(G54&lt;&gt;"",H54="Not found"),"Missing - recipe ID not on the Recipes tab",IF(AND(B54&lt;TODAY(),OR(N54="Planned",N54="")),"Check - did you cook it?","OK")))))</f>
        <v>0</v>
      </c>
      <c r="AG54" s="43" t="s">
        <v>746</v>
      </c>
    </row>
    <row r="55" spans="1:33">
      <c r="A55" s="39">
        <f>IF(B55="","",MealPrefix&amp;TEXT(ROW()-4,"0000"))</f>
        <v>0</v>
      </c>
      <c r="B55" s="15">
        <v>46303</v>
      </c>
      <c r="C55" s="17">
        <f>IF(B55="","",TEXT(B55,"ddd"))</f>
        <v>0</v>
      </c>
      <c r="D55" s="18">
        <f>IF(B55="","",WEEKNUM(B55,IF(WeekStart="Sunday",1,2)))</f>
        <v>0</v>
      </c>
      <c r="E55" s="17">
        <f>IF(B55="","",TEXT(B55,"yyyy-mm"))</f>
        <v>0</v>
      </c>
      <c r="F55" s="32" t="s">
        <v>137</v>
      </c>
      <c r="G55" s="32" t="s">
        <v>924</v>
      </c>
      <c r="H55" s="17">
        <f>IF(G55&lt;&gt;"",IFERROR(INDEX(Recipes!$B$5:$B$204,MATCH(G55,Recipes!$A$5:$A$204,0)),"Not found"),I55)</f>
        <v>0</v>
      </c>
      <c r="J55" s="35">
        <v>4</v>
      </c>
      <c r="K55" s="45">
        <f>IF(B55="","",IF(J55="",DefaultServings,J55))</f>
        <v>0</v>
      </c>
      <c r="L55" s="45">
        <f>IF(G55="",0,IFERROR(K55/INDEX(Recipes!$G$5:$G$204,MATCH(G55,Recipes!$A$5:$A$204,0)),0))</f>
        <v>0</v>
      </c>
      <c r="M55" s="40" t="s">
        <v>312</v>
      </c>
      <c r="N55" s="42" t="s">
        <v>319</v>
      </c>
      <c r="O55" s="32" t="s">
        <v>736</v>
      </c>
      <c r="R55" s="40" t="s">
        <v>312</v>
      </c>
      <c r="S55" s="32" t="s">
        <v>157</v>
      </c>
      <c r="T55" s="25">
        <f>IF(G55="","",IFERROR(INDEX(Recipes!$AD$5:$AD$204,MATCH(G55,Recipes!$A$5:$A$204,0))*K55,""))</f>
        <v>0</v>
      </c>
      <c r="V55" s="30">
        <f>IF(G55="","",IFERROR(INDEX(Recipes!$AE$5:$AE$204,MATCH(G55,Recipes!$A$5:$A$204,0)),"Not found"))</f>
        <v>0</v>
      </c>
      <c r="W55" s="45">
        <f>IF(G55="","",IFERROR(INDEX(Recipes!$AF$5:$AF$204,MATCH(G55,Recipes!$A$5:$A$204,0)),"Not found"))</f>
        <v>0</v>
      </c>
      <c r="X55" s="45">
        <f>IF(G55="","",IFERROR(INDEX(Recipes!$AG$5:$AG$204,MATCH(G55,Recipes!$A$5:$A$204,0)),"Not found"))</f>
        <v>0</v>
      </c>
      <c r="Y55" s="45">
        <f>IF(G55="","",IFERROR(INDEX(Recipes!$AH$5:$AH$204,MATCH(G55,Recipes!$A$5:$A$204,0)),"Not found"))</f>
        <v>0</v>
      </c>
      <c r="Z55" s="45">
        <f>IF(G55="","",IFERROR(INDEX(Recipes!$AI$5:$AI$204,MATCH(G55,Recipes!$A$5:$A$204,0)),"Not found"))</f>
        <v>0</v>
      </c>
      <c r="AA55" s="30">
        <f>IF(OR(V55="",NOT(ISNUMBER(V55))),"",V55*K55)</f>
        <v>0</v>
      </c>
      <c r="AB55" s="18">
        <f>IF(G55="","",IFERROR(INDEX(Recipes!$J$5:$J$204,MATCH(G55,Recipes!$A$5:$A$204,0)),"Not found"))</f>
        <v>0</v>
      </c>
      <c r="AC55" s="17">
        <f>IF(G55="","",IFERROR(INDEX(Recipes!$C$5:$C$204,MATCH(G55,Recipes!$A$5:$A$204,0)),"Not found"))</f>
        <v>0</v>
      </c>
      <c r="AD55" s="46">
        <f>IF(B55="","",IF(G55&lt;&gt;"","Yes",IF(OR(I55="",ISNUMBER(SEARCH("takeaway",I55)),ISNUMBER(SEARCH("out",I55))),"No","Yes")))</f>
        <v>0</v>
      </c>
      <c r="AE55" s="17">
        <f>IF(B55="","",TEXT(B55,"yyyy-mm-dd")&amp;"|"&amp;F55)</f>
        <v>0</v>
      </c>
      <c r="AF55" s="31">
        <f>IF(B55="","",IF(AND(G55="",I55=""),"Add - nothing planned yet",IF(COUNTIFS($AE$5:$AE$504,AE55)&gt;1,"Duplicate - two meals in one slot",IF(AND(G55&lt;&gt;"",H55="Not found"),"Missing - recipe ID not on the Recipes tab",IF(AND(B55&lt;TODAY(),OR(N55="Planned",N55="")),"Check - did you cook it?","OK")))))</f>
        <v>0</v>
      </c>
      <c r="AG55" s="43" t="s">
        <v>157</v>
      </c>
    </row>
    <row r="56" spans="1:33">
      <c r="A56" s="39">
        <f>IF(B56="","",MealPrefix&amp;TEXT(ROW()-4,"0000"))</f>
        <v>0</v>
      </c>
      <c r="B56" s="15">
        <v>46304</v>
      </c>
      <c r="C56" s="17">
        <f>IF(B56="","",TEXT(B56,"ddd"))</f>
        <v>0</v>
      </c>
      <c r="D56" s="18">
        <f>IF(B56="","",WEEKNUM(B56,IF(WeekStart="Sunday",1,2)))</f>
        <v>0</v>
      </c>
      <c r="E56" s="17">
        <f>IF(B56="","",TEXT(B56,"yyyy-mm"))</f>
        <v>0</v>
      </c>
      <c r="F56" s="32" t="s">
        <v>167</v>
      </c>
      <c r="G56" s="32" t="s">
        <v>954</v>
      </c>
      <c r="H56" s="17">
        <f>IF(G56&lt;&gt;"",IFERROR(INDEX(Recipes!$B$5:$B$204,MATCH(G56,Recipes!$A$5:$A$204,0)),"Not found"),I56)</f>
        <v>0</v>
      </c>
      <c r="J56" s="35">
        <v>2</v>
      </c>
      <c r="K56" s="45">
        <f>IF(B56="","",IF(J56="",DefaultServings,J56))</f>
        <v>0</v>
      </c>
      <c r="L56" s="45">
        <f>IF(G56="",0,IFERROR(K56/INDEX(Recipes!$G$5:$G$204,MATCH(G56,Recipes!$A$5:$A$204,0)),0))</f>
        <v>0</v>
      </c>
      <c r="M56" s="40" t="s">
        <v>312</v>
      </c>
      <c r="N56" s="42" t="s">
        <v>319</v>
      </c>
      <c r="O56" s="32" t="s">
        <v>742</v>
      </c>
      <c r="R56" s="40" t="s">
        <v>312</v>
      </c>
      <c r="T56" s="25">
        <f>IF(G56="","",IFERROR(INDEX(Recipes!$AD$5:$AD$204,MATCH(G56,Recipes!$A$5:$A$204,0))*K56,""))</f>
        <v>0</v>
      </c>
      <c r="V56" s="30">
        <f>IF(G56="","",IFERROR(INDEX(Recipes!$AE$5:$AE$204,MATCH(G56,Recipes!$A$5:$A$204,0)),"Not found"))</f>
        <v>0</v>
      </c>
      <c r="W56" s="45">
        <f>IF(G56="","",IFERROR(INDEX(Recipes!$AF$5:$AF$204,MATCH(G56,Recipes!$A$5:$A$204,0)),"Not found"))</f>
        <v>0</v>
      </c>
      <c r="X56" s="45">
        <f>IF(G56="","",IFERROR(INDEX(Recipes!$AG$5:$AG$204,MATCH(G56,Recipes!$A$5:$A$204,0)),"Not found"))</f>
        <v>0</v>
      </c>
      <c r="Y56" s="45">
        <f>IF(G56="","",IFERROR(INDEX(Recipes!$AH$5:$AH$204,MATCH(G56,Recipes!$A$5:$A$204,0)),"Not found"))</f>
        <v>0</v>
      </c>
      <c r="Z56" s="45">
        <f>IF(G56="","",IFERROR(INDEX(Recipes!$AI$5:$AI$204,MATCH(G56,Recipes!$A$5:$A$204,0)),"Not found"))</f>
        <v>0</v>
      </c>
      <c r="AA56" s="30">
        <f>IF(OR(V56="",NOT(ISNUMBER(V56))),"",V56*K56)</f>
        <v>0</v>
      </c>
      <c r="AB56" s="18">
        <f>IF(G56="","",IFERROR(INDEX(Recipes!$J$5:$J$204,MATCH(G56,Recipes!$A$5:$A$204,0)),"Not found"))</f>
        <v>0</v>
      </c>
      <c r="AC56" s="17">
        <f>IF(G56="","",IFERROR(INDEX(Recipes!$C$5:$C$204,MATCH(G56,Recipes!$A$5:$A$204,0)),"Not found"))</f>
        <v>0</v>
      </c>
      <c r="AD56" s="46">
        <f>IF(B56="","",IF(G56&lt;&gt;"","Yes",IF(OR(I56="",ISNUMBER(SEARCH("takeaway",I56)),ISNUMBER(SEARCH("out",I56))),"No","Yes")))</f>
        <v>0</v>
      </c>
      <c r="AE56" s="17">
        <f>IF(B56="","",TEXT(B56,"yyyy-mm-dd")&amp;"|"&amp;F56)</f>
        <v>0</v>
      </c>
      <c r="AF56" s="31">
        <f>IF(B56="","",IF(AND(G56="",I56=""),"Add - nothing planned yet",IF(COUNTIFS($AE$5:$AE$504,AE56)&gt;1,"Duplicate - two meals in one slot",IF(AND(G56&lt;&gt;"",H56="Not found"),"Missing - recipe ID not on the Recipes tab",IF(AND(B56&lt;TODAY(),OR(N56="Planned",N56="")),"Check - did you cook it?","OK")))))</f>
        <v>0</v>
      </c>
      <c r="AG56" s="43" t="s">
        <v>746</v>
      </c>
    </row>
    <row r="57" spans="1:33">
      <c r="A57" s="39">
        <f>IF(B57="","",MealPrefix&amp;TEXT(ROW()-4,"0000"))</f>
        <v>0</v>
      </c>
      <c r="B57" s="15">
        <v>46304</v>
      </c>
      <c r="C57" s="17">
        <f>IF(B57="","",TEXT(B57,"ddd"))</f>
        <v>0</v>
      </c>
      <c r="D57" s="18">
        <f>IF(B57="","",WEEKNUM(B57,IF(WeekStart="Sunday",1,2)))</f>
        <v>0</v>
      </c>
      <c r="E57" s="17">
        <f>IF(B57="","",TEXT(B57,"yyyy-mm"))</f>
        <v>0</v>
      </c>
      <c r="F57" s="32" t="s">
        <v>137</v>
      </c>
      <c r="G57" s="32" t="s">
        <v>925</v>
      </c>
      <c r="H57" s="17">
        <f>IF(G57&lt;&gt;"",IFERROR(INDEX(Recipes!$B$5:$B$204,MATCH(G57,Recipes!$A$5:$A$204,0)),"Not found"),I57)</f>
        <v>0</v>
      </c>
      <c r="J57" s="35">
        <v>4</v>
      </c>
      <c r="K57" s="45">
        <f>IF(B57="","",IF(J57="",DefaultServings,J57))</f>
        <v>0</v>
      </c>
      <c r="L57" s="45">
        <f>IF(G57="",0,IFERROR(K57/INDEX(Recipes!$G$5:$G$204,MATCH(G57,Recipes!$A$5:$A$204,0)),0))</f>
        <v>0</v>
      </c>
      <c r="M57" s="40" t="s">
        <v>312</v>
      </c>
      <c r="N57" s="42" t="s">
        <v>319</v>
      </c>
      <c r="O57" s="32" t="s">
        <v>206</v>
      </c>
      <c r="R57" s="40" t="s">
        <v>312</v>
      </c>
      <c r="S57" s="32" t="s">
        <v>157</v>
      </c>
      <c r="T57" s="25">
        <f>IF(G57="","",IFERROR(INDEX(Recipes!$AD$5:$AD$204,MATCH(G57,Recipes!$A$5:$A$204,0))*K57,""))</f>
        <v>0</v>
      </c>
      <c r="V57" s="30">
        <f>IF(G57="","",IFERROR(INDEX(Recipes!$AE$5:$AE$204,MATCH(G57,Recipes!$A$5:$A$204,0)),"Not found"))</f>
        <v>0</v>
      </c>
      <c r="W57" s="45">
        <f>IF(G57="","",IFERROR(INDEX(Recipes!$AF$5:$AF$204,MATCH(G57,Recipes!$A$5:$A$204,0)),"Not found"))</f>
        <v>0</v>
      </c>
      <c r="X57" s="45">
        <f>IF(G57="","",IFERROR(INDEX(Recipes!$AG$5:$AG$204,MATCH(G57,Recipes!$A$5:$A$204,0)),"Not found"))</f>
        <v>0</v>
      </c>
      <c r="Y57" s="45">
        <f>IF(G57="","",IFERROR(INDEX(Recipes!$AH$5:$AH$204,MATCH(G57,Recipes!$A$5:$A$204,0)),"Not found"))</f>
        <v>0</v>
      </c>
      <c r="Z57" s="45">
        <f>IF(G57="","",IFERROR(INDEX(Recipes!$AI$5:$AI$204,MATCH(G57,Recipes!$A$5:$A$204,0)),"Not found"))</f>
        <v>0</v>
      </c>
      <c r="AA57" s="30">
        <f>IF(OR(V57="",NOT(ISNUMBER(V57))),"",V57*K57)</f>
        <v>0</v>
      </c>
      <c r="AB57" s="18">
        <f>IF(G57="","",IFERROR(INDEX(Recipes!$J$5:$J$204,MATCH(G57,Recipes!$A$5:$A$204,0)),"Not found"))</f>
        <v>0</v>
      </c>
      <c r="AC57" s="17">
        <f>IF(G57="","",IFERROR(INDEX(Recipes!$C$5:$C$204,MATCH(G57,Recipes!$A$5:$A$204,0)),"Not found"))</f>
        <v>0</v>
      </c>
      <c r="AD57" s="46">
        <f>IF(B57="","",IF(G57&lt;&gt;"","Yes",IF(OR(I57="",ISNUMBER(SEARCH("takeaway",I57)),ISNUMBER(SEARCH("out",I57))),"No","Yes")))</f>
        <v>0</v>
      </c>
      <c r="AE57" s="17">
        <f>IF(B57="","",TEXT(B57,"yyyy-mm-dd")&amp;"|"&amp;F57)</f>
        <v>0</v>
      </c>
      <c r="AF57" s="31">
        <f>IF(B57="","",IF(AND(G57="",I57=""),"Add - nothing planned yet",IF(COUNTIFS($AE$5:$AE$504,AE57)&gt;1,"Duplicate - two meals in one slot",IF(AND(G57&lt;&gt;"",H57="Not found"),"Missing - recipe ID not on the Recipes tab",IF(AND(B57&lt;TODAY(),OR(N57="Planned",N57="")),"Check - did you cook it?","OK")))))</f>
        <v>0</v>
      </c>
      <c r="AG57" s="43" t="s">
        <v>157</v>
      </c>
    </row>
    <row r="58" spans="1:33">
      <c r="A58" s="39">
        <f>IF(B58="","",MealPrefix&amp;TEXT(ROW()-4,"0000"))</f>
        <v>0</v>
      </c>
      <c r="B58" s="15">
        <v>46305</v>
      </c>
      <c r="C58" s="17">
        <f>IF(B58="","",TEXT(B58,"ddd"))</f>
        <v>0</v>
      </c>
      <c r="D58" s="18">
        <f>IF(B58="","",WEEKNUM(B58,IF(WeekStart="Sunday",1,2)))</f>
        <v>0</v>
      </c>
      <c r="E58" s="17">
        <f>IF(B58="","",TEXT(B58,"yyyy-mm"))</f>
        <v>0</v>
      </c>
      <c r="F58" s="32" t="s">
        <v>165</v>
      </c>
      <c r="G58" s="32" t="s">
        <v>946</v>
      </c>
      <c r="H58" s="17">
        <f>IF(G58&lt;&gt;"",IFERROR(INDEX(Recipes!$B$5:$B$204,MATCH(G58,Recipes!$A$5:$A$204,0)),"Not found"),I58)</f>
        <v>0</v>
      </c>
      <c r="J58" s="35">
        <v>3</v>
      </c>
      <c r="K58" s="45">
        <f>IF(B58="","",IF(J58="",DefaultServings,J58))</f>
        <v>0</v>
      </c>
      <c r="L58" s="45">
        <f>IF(G58="",0,IFERROR(K58/INDEX(Recipes!$G$5:$G$204,MATCH(G58,Recipes!$A$5:$A$204,0)),0))</f>
        <v>0</v>
      </c>
      <c r="M58" s="40" t="s">
        <v>312</v>
      </c>
      <c r="N58" s="42" t="s">
        <v>319</v>
      </c>
      <c r="O58" s="32" t="s">
        <v>206</v>
      </c>
      <c r="R58" s="40" t="s">
        <v>312</v>
      </c>
      <c r="T58" s="25">
        <f>IF(G58="","",IFERROR(INDEX(Recipes!$AD$5:$AD$204,MATCH(G58,Recipes!$A$5:$A$204,0))*K58,""))</f>
        <v>0</v>
      </c>
      <c r="V58" s="30">
        <f>IF(G58="","",IFERROR(INDEX(Recipes!$AE$5:$AE$204,MATCH(G58,Recipes!$A$5:$A$204,0)),"Not found"))</f>
        <v>0</v>
      </c>
      <c r="W58" s="45">
        <f>IF(G58="","",IFERROR(INDEX(Recipes!$AF$5:$AF$204,MATCH(G58,Recipes!$A$5:$A$204,0)),"Not found"))</f>
        <v>0</v>
      </c>
      <c r="X58" s="45">
        <f>IF(G58="","",IFERROR(INDEX(Recipes!$AG$5:$AG$204,MATCH(G58,Recipes!$A$5:$A$204,0)),"Not found"))</f>
        <v>0</v>
      </c>
      <c r="Y58" s="45">
        <f>IF(G58="","",IFERROR(INDEX(Recipes!$AH$5:$AH$204,MATCH(G58,Recipes!$A$5:$A$204,0)),"Not found"))</f>
        <v>0</v>
      </c>
      <c r="Z58" s="45">
        <f>IF(G58="","",IFERROR(INDEX(Recipes!$AI$5:$AI$204,MATCH(G58,Recipes!$A$5:$A$204,0)),"Not found"))</f>
        <v>0</v>
      </c>
      <c r="AA58" s="30">
        <f>IF(OR(V58="",NOT(ISNUMBER(V58))),"",V58*K58)</f>
        <v>0</v>
      </c>
      <c r="AB58" s="18">
        <f>IF(G58="","",IFERROR(INDEX(Recipes!$J$5:$J$204,MATCH(G58,Recipes!$A$5:$A$204,0)),"Not found"))</f>
        <v>0</v>
      </c>
      <c r="AC58" s="17">
        <f>IF(G58="","",IFERROR(INDEX(Recipes!$C$5:$C$204,MATCH(G58,Recipes!$A$5:$A$204,0)),"Not found"))</f>
        <v>0</v>
      </c>
      <c r="AD58" s="46">
        <f>IF(B58="","",IF(G58&lt;&gt;"","Yes",IF(OR(I58="",ISNUMBER(SEARCH("takeaway",I58)),ISNUMBER(SEARCH("out",I58))),"No","Yes")))</f>
        <v>0</v>
      </c>
      <c r="AE58" s="17">
        <f>IF(B58="","",TEXT(B58,"yyyy-mm-dd")&amp;"|"&amp;F58)</f>
        <v>0</v>
      </c>
      <c r="AF58" s="31">
        <f>IF(B58="","",IF(AND(G58="",I58=""),"Add - nothing planned yet",IF(COUNTIFS($AE$5:$AE$504,AE58)&gt;1,"Duplicate - two meals in one slot",IF(AND(G58&lt;&gt;"",H58="Not found"),"Missing - recipe ID not on the Recipes tab",IF(AND(B58&lt;TODAY(),OR(N58="Planned",N58="")),"Check - did you cook it?","OK")))))</f>
        <v>0</v>
      </c>
      <c r="AG58" s="43" t="s">
        <v>157</v>
      </c>
    </row>
    <row r="59" spans="1:33">
      <c r="A59" s="39">
        <f>IF(B59="","",MealPrefix&amp;TEXT(ROW()-4,"0000"))</f>
        <v>0</v>
      </c>
      <c r="B59" s="15">
        <v>46305</v>
      </c>
      <c r="C59" s="17">
        <f>IF(B59="","",TEXT(B59,"ddd"))</f>
        <v>0</v>
      </c>
      <c r="D59" s="18">
        <f>IF(B59="","",WEEKNUM(B59,IF(WeekStart="Sunday",1,2)))</f>
        <v>0</v>
      </c>
      <c r="E59" s="17">
        <f>IF(B59="","",TEXT(B59,"yyyy-mm"))</f>
        <v>0</v>
      </c>
      <c r="F59" s="32" t="s">
        <v>167</v>
      </c>
      <c r="H59" s="17">
        <f>IF(G59&lt;&gt;"",IFERROR(INDEX(Recipes!$B$5:$B$204,MATCH(G59,Recipes!$A$5:$A$204,0)),"Not found"),I59)</f>
        <v>0</v>
      </c>
      <c r="I59" s="32" t="s">
        <v>1046</v>
      </c>
      <c r="J59" s="35">
        <v>4</v>
      </c>
      <c r="K59" s="45">
        <f>IF(B59="","",IF(J59="",DefaultServings,J59))</f>
        <v>0</v>
      </c>
      <c r="L59" s="45">
        <f>IF(G59="",0,IFERROR(K59/INDEX(Recipes!$G$5:$G$204,MATCH(G59,Recipes!$A$5:$A$204,0)),0))</f>
        <v>0</v>
      </c>
      <c r="M59" s="40" t="s">
        <v>312</v>
      </c>
      <c r="N59" s="42" t="s">
        <v>319</v>
      </c>
      <c r="O59" s="32" t="s">
        <v>157</v>
      </c>
      <c r="R59" s="40" t="s">
        <v>312</v>
      </c>
      <c r="T59" s="25">
        <f>IF(G59="","",IFERROR(INDEX(Recipes!$AD$5:$AD$204,MATCH(G59,Recipes!$A$5:$A$204,0))*K59,""))</f>
        <v>0</v>
      </c>
      <c r="V59" s="30">
        <f>IF(G59="","",IFERROR(INDEX(Recipes!$AE$5:$AE$204,MATCH(G59,Recipes!$A$5:$A$204,0)),"Not found"))</f>
        <v>0</v>
      </c>
      <c r="W59" s="45">
        <f>IF(G59="","",IFERROR(INDEX(Recipes!$AF$5:$AF$204,MATCH(G59,Recipes!$A$5:$A$204,0)),"Not found"))</f>
        <v>0</v>
      </c>
      <c r="X59" s="45">
        <f>IF(G59="","",IFERROR(INDEX(Recipes!$AG$5:$AG$204,MATCH(G59,Recipes!$A$5:$A$204,0)),"Not found"))</f>
        <v>0</v>
      </c>
      <c r="Y59" s="45">
        <f>IF(G59="","",IFERROR(INDEX(Recipes!$AH$5:$AH$204,MATCH(G59,Recipes!$A$5:$A$204,0)),"Not found"))</f>
        <v>0</v>
      </c>
      <c r="Z59" s="45">
        <f>IF(G59="","",IFERROR(INDEX(Recipes!$AI$5:$AI$204,MATCH(G59,Recipes!$A$5:$A$204,0)),"Not found"))</f>
        <v>0</v>
      </c>
      <c r="AA59" s="30">
        <f>IF(OR(V59="",NOT(ISNUMBER(V59))),"",V59*K59)</f>
        <v>0</v>
      </c>
      <c r="AB59" s="18">
        <f>IF(G59="","",IFERROR(INDEX(Recipes!$J$5:$J$204,MATCH(G59,Recipes!$A$5:$A$204,0)),"Not found"))</f>
        <v>0</v>
      </c>
      <c r="AC59" s="17">
        <f>IF(G59="","",IFERROR(INDEX(Recipes!$C$5:$C$204,MATCH(G59,Recipes!$A$5:$A$204,0)),"Not found"))</f>
        <v>0</v>
      </c>
      <c r="AD59" s="46">
        <f>IF(B59="","",IF(G59&lt;&gt;"","Yes",IF(OR(I59="",ISNUMBER(SEARCH("takeaway",I59)),ISNUMBER(SEARCH("out",I59))),"No","Yes")))</f>
        <v>0</v>
      </c>
      <c r="AE59" s="17">
        <f>IF(B59="","",TEXT(B59,"yyyy-mm-dd")&amp;"|"&amp;F59)</f>
        <v>0</v>
      </c>
      <c r="AF59" s="31">
        <f>IF(B59="","",IF(AND(G59="",I59=""),"Add - nothing planned yet",IF(COUNTIFS($AE$5:$AE$504,AE59)&gt;1,"Duplicate - two meals in one slot",IF(AND(G59&lt;&gt;"",H59="Not found"),"Missing - recipe ID not on the Recipes tab",IF(AND(B59&lt;TODAY(),OR(N59="Planned",N59="")),"Check - did you cook it?","OK")))))</f>
        <v>0</v>
      </c>
      <c r="AG59" s="43" t="s">
        <v>157</v>
      </c>
    </row>
    <row r="60" spans="1:33">
      <c r="A60" s="39">
        <f>IF(B60="","",MealPrefix&amp;TEXT(ROW()-4,"0000"))</f>
        <v>0</v>
      </c>
      <c r="B60" s="15">
        <v>46305</v>
      </c>
      <c r="C60" s="17">
        <f>IF(B60="","",TEXT(B60,"ddd"))</f>
        <v>0</v>
      </c>
      <c r="D60" s="18">
        <f>IF(B60="","",WEEKNUM(B60,IF(WeekStart="Sunday",1,2)))</f>
        <v>0</v>
      </c>
      <c r="E60" s="17">
        <f>IF(B60="","",TEXT(B60,"yyyy-mm"))</f>
        <v>0</v>
      </c>
      <c r="F60" s="32" t="s">
        <v>137</v>
      </c>
      <c r="G60" s="32" t="s">
        <v>915</v>
      </c>
      <c r="H60" s="17">
        <f>IF(G60&lt;&gt;"",IFERROR(INDEX(Recipes!$B$5:$B$204,MATCH(G60,Recipes!$A$5:$A$204,0)),"Not found"),I60)</f>
        <v>0</v>
      </c>
      <c r="J60" s="35">
        <v>4</v>
      </c>
      <c r="K60" s="45">
        <f>IF(B60="","",IF(J60="",DefaultServings,J60))</f>
        <v>0</v>
      </c>
      <c r="L60" s="45">
        <f>IF(G60="",0,IFERROR(K60/INDEX(Recipes!$G$5:$G$204,MATCH(G60,Recipes!$A$5:$A$204,0)),0))</f>
        <v>0</v>
      </c>
      <c r="M60" s="40" t="s">
        <v>312</v>
      </c>
      <c r="N60" s="42" t="s">
        <v>319</v>
      </c>
      <c r="O60" s="32" t="s">
        <v>206</v>
      </c>
      <c r="R60" s="40" t="s">
        <v>312</v>
      </c>
      <c r="S60" s="32" t="s">
        <v>157</v>
      </c>
      <c r="T60" s="25">
        <f>IF(G60="","",IFERROR(INDEX(Recipes!$AD$5:$AD$204,MATCH(G60,Recipes!$A$5:$A$204,0))*K60,""))</f>
        <v>0</v>
      </c>
      <c r="V60" s="30">
        <f>IF(G60="","",IFERROR(INDEX(Recipes!$AE$5:$AE$204,MATCH(G60,Recipes!$A$5:$A$204,0)),"Not found"))</f>
        <v>0</v>
      </c>
      <c r="W60" s="45">
        <f>IF(G60="","",IFERROR(INDEX(Recipes!$AF$5:$AF$204,MATCH(G60,Recipes!$A$5:$A$204,0)),"Not found"))</f>
        <v>0</v>
      </c>
      <c r="X60" s="45">
        <f>IF(G60="","",IFERROR(INDEX(Recipes!$AG$5:$AG$204,MATCH(G60,Recipes!$A$5:$A$204,0)),"Not found"))</f>
        <v>0</v>
      </c>
      <c r="Y60" s="45">
        <f>IF(G60="","",IFERROR(INDEX(Recipes!$AH$5:$AH$204,MATCH(G60,Recipes!$A$5:$A$204,0)),"Not found"))</f>
        <v>0</v>
      </c>
      <c r="Z60" s="45">
        <f>IF(G60="","",IFERROR(INDEX(Recipes!$AI$5:$AI$204,MATCH(G60,Recipes!$A$5:$A$204,0)),"Not found"))</f>
        <v>0</v>
      </c>
      <c r="AA60" s="30">
        <f>IF(OR(V60="",NOT(ISNUMBER(V60))),"",V60*K60)</f>
        <v>0</v>
      </c>
      <c r="AB60" s="18">
        <f>IF(G60="","",IFERROR(INDEX(Recipes!$J$5:$J$204,MATCH(G60,Recipes!$A$5:$A$204,0)),"Not found"))</f>
        <v>0</v>
      </c>
      <c r="AC60" s="17">
        <f>IF(G60="","",IFERROR(INDEX(Recipes!$C$5:$C$204,MATCH(G60,Recipes!$A$5:$A$204,0)),"Not found"))</f>
        <v>0</v>
      </c>
      <c r="AD60" s="46">
        <f>IF(B60="","",IF(G60&lt;&gt;"","Yes",IF(OR(I60="",ISNUMBER(SEARCH("takeaway",I60)),ISNUMBER(SEARCH("out",I60))),"No","Yes")))</f>
        <v>0</v>
      </c>
      <c r="AE60" s="17">
        <f>IF(B60="","",TEXT(B60,"yyyy-mm-dd")&amp;"|"&amp;F60)</f>
        <v>0</v>
      </c>
      <c r="AF60" s="31">
        <f>IF(B60="","",IF(AND(G60="",I60=""),"Add - nothing planned yet",IF(COUNTIFS($AE$5:$AE$504,AE60)&gt;1,"Duplicate - two meals in one slot",IF(AND(G60&lt;&gt;"",H60="Not found"),"Missing - recipe ID not on the Recipes tab",IF(AND(B60&lt;TODAY(),OR(N60="Planned",N60="")),"Check - did you cook it?","OK")))))</f>
        <v>0</v>
      </c>
      <c r="AG60" s="43" t="s">
        <v>157</v>
      </c>
    </row>
    <row r="61" spans="1:33">
      <c r="A61" s="39">
        <f>IF(B61="","",MealPrefix&amp;TEXT(ROW()-4,"0000"))</f>
        <v>0</v>
      </c>
      <c r="B61" s="15">
        <v>46306</v>
      </c>
      <c r="C61" s="17">
        <f>IF(B61="","",TEXT(B61,"ddd"))</f>
        <v>0</v>
      </c>
      <c r="D61" s="18">
        <f>IF(B61="","",WEEKNUM(B61,IF(WeekStart="Sunday",1,2)))</f>
        <v>0</v>
      </c>
      <c r="E61" s="17">
        <f>IF(B61="","",TEXT(B61,"yyyy-mm"))</f>
        <v>0</v>
      </c>
      <c r="F61" s="32" t="s">
        <v>165</v>
      </c>
      <c r="G61" s="32" t="s">
        <v>950</v>
      </c>
      <c r="H61" s="17">
        <f>IF(G61&lt;&gt;"",IFERROR(INDEX(Recipes!$B$5:$B$204,MATCH(G61,Recipes!$A$5:$A$204,0)),"Not found"),I61)</f>
        <v>0</v>
      </c>
      <c r="J61" s="35">
        <v>3</v>
      </c>
      <c r="K61" s="45">
        <f>IF(B61="","",IF(J61="",DefaultServings,J61))</f>
        <v>0</v>
      </c>
      <c r="L61" s="45">
        <f>IF(G61="",0,IFERROR(K61/INDEX(Recipes!$G$5:$G$204,MATCH(G61,Recipes!$A$5:$A$204,0)),0))</f>
        <v>0</v>
      </c>
      <c r="M61" s="40" t="s">
        <v>311</v>
      </c>
      <c r="N61" s="42" t="s">
        <v>317</v>
      </c>
      <c r="O61" s="32" t="s">
        <v>206</v>
      </c>
      <c r="R61" s="40" t="s">
        <v>312</v>
      </c>
      <c r="T61" s="25">
        <f>IF(G61="","",IFERROR(INDEX(Recipes!$AD$5:$AD$204,MATCH(G61,Recipes!$A$5:$A$204,0))*K61,""))</f>
        <v>0</v>
      </c>
      <c r="V61" s="30">
        <f>IF(G61="","",IFERROR(INDEX(Recipes!$AE$5:$AE$204,MATCH(G61,Recipes!$A$5:$A$204,0)),"Not found"))</f>
        <v>0</v>
      </c>
      <c r="W61" s="45">
        <f>IF(G61="","",IFERROR(INDEX(Recipes!$AF$5:$AF$204,MATCH(G61,Recipes!$A$5:$A$204,0)),"Not found"))</f>
        <v>0</v>
      </c>
      <c r="X61" s="45">
        <f>IF(G61="","",IFERROR(INDEX(Recipes!$AG$5:$AG$204,MATCH(G61,Recipes!$A$5:$A$204,0)),"Not found"))</f>
        <v>0</v>
      </c>
      <c r="Y61" s="45">
        <f>IF(G61="","",IFERROR(INDEX(Recipes!$AH$5:$AH$204,MATCH(G61,Recipes!$A$5:$A$204,0)),"Not found"))</f>
        <v>0</v>
      </c>
      <c r="Z61" s="45">
        <f>IF(G61="","",IFERROR(INDEX(Recipes!$AI$5:$AI$204,MATCH(G61,Recipes!$A$5:$A$204,0)),"Not found"))</f>
        <v>0</v>
      </c>
      <c r="AA61" s="30">
        <f>IF(OR(V61="",NOT(ISNUMBER(V61))),"",V61*K61)</f>
        <v>0</v>
      </c>
      <c r="AB61" s="18">
        <f>IF(G61="","",IFERROR(INDEX(Recipes!$J$5:$J$204,MATCH(G61,Recipes!$A$5:$A$204,0)),"Not found"))</f>
        <v>0</v>
      </c>
      <c r="AC61" s="17">
        <f>IF(G61="","",IFERROR(INDEX(Recipes!$C$5:$C$204,MATCH(G61,Recipes!$A$5:$A$204,0)),"Not found"))</f>
        <v>0</v>
      </c>
      <c r="AD61" s="46">
        <f>IF(B61="","",IF(G61&lt;&gt;"","Yes",IF(OR(I61="",ISNUMBER(SEARCH("takeaway",I61)),ISNUMBER(SEARCH("out",I61))),"No","Yes")))</f>
        <v>0</v>
      </c>
      <c r="AE61" s="17">
        <f>IF(B61="","",TEXT(B61,"yyyy-mm-dd")&amp;"|"&amp;F61)</f>
        <v>0</v>
      </c>
      <c r="AF61" s="31">
        <f>IF(B61="","",IF(AND(G61="",I61=""),"Add - nothing planned yet",IF(COUNTIFS($AE$5:$AE$504,AE61)&gt;1,"Duplicate - two meals in one slot",IF(AND(G61&lt;&gt;"",H61="Not found"),"Missing - recipe ID not on the Recipes tab",IF(AND(B61&lt;TODAY(),OR(N61="Planned",N61="")),"Check - did you cook it?","OK")))))</f>
        <v>0</v>
      </c>
      <c r="AG61" s="43" t="s">
        <v>157</v>
      </c>
    </row>
    <row r="62" spans="1:33">
      <c r="A62" s="39">
        <f>IF(B62="","",MealPrefix&amp;TEXT(ROW()-4,"0000"))</f>
        <v>0</v>
      </c>
      <c r="B62" s="15">
        <v>46306</v>
      </c>
      <c r="C62" s="17">
        <f>IF(B62="","",TEXT(B62,"ddd"))</f>
        <v>0</v>
      </c>
      <c r="D62" s="18">
        <f>IF(B62="","",WEEKNUM(B62,IF(WeekStart="Sunday",1,2)))</f>
        <v>0</v>
      </c>
      <c r="E62" s="17">
        <f>IF(B62="","",TEXT(B62,"yyyy-mm"))</f>
        <v>0</v>
      </c>
      <c r="F62" s="32" t="s">
        <v>167</v>
      </c>
      <c r="H62" s="17">
        <f>IF(G62&lt;&gt;"",IFERROR(INDEX(Recipes!$B$5:$B$204,MATCH(G62,Recipes!$A$5:$A$204,0)),"Not found"),I62)</f>
        <v>0</v>
      </c>
      <c r="I62" s="32" t="s">
        <v>1046</v>
      </c>
      <c r="J62" s="35">
        <v>4</v>
      </c>
      <c r="K62" s="45">
        <f>IF(B62="","",IF(J62="",DefaultServings,J62))</f>
        <v>0</v>
      </c>
      <c r="L62" s="45">
        <f>IF(G62="",0,IFERROR(K62/INDEX(Recipes!$G$5:$G$204,MATCH(G62,Recipes!$A$5:$A$204,0)),0))</f>
        <v>0</v>
      </c>
      <c r="M62" s="40" t="s">
        <v>312</v>
      </c>
      <c r="N62" s="42" t="s">
        <v>317</v>
      </c>
      <c r="O62" s="32" t="s">
        <v>157</v>
      </c>
      <c r="R62" s="40" t="s">
        <v>312</v>
      </c>
      <c r="T62" s="25">
        <f>IF(G62="","",IFERROR(INDEX(Recipes!$AD$5:$AD$204,MATCH(G62,Recipes!$A$5:$A$204,0))*K62,""))</f>
        <v>0</v>
      </c>
      <c r="V62" s="30">
        <f>IF(G62="","",IFERROR(INDEX(Recipes!$AE$5:$AE$204,MATCH(G62,Recipes!$A$5:$A$204,0)),"Not found"))</f>
        <v>0</v>
      </c>
      <c r="W62" s="45">
        <f>IF(G62="","",IFERROR(INDEX(Recipes!$AF$5:$AF$204,MATCH(G62,Recipes!$A$5:$A$204,0)),"Not found"))</f>
        <v>0</v>
      </c>
      <c r="X62" s="45">
        <f>IF(G62="","",IFERROR(INDEX(Recipes!$AG$5:$AG$204,MATCH(G62,Recipes!$A$5:$A$204,0)),"Not found"))</f>
        <v>0</v>
      </c>
      <c r="Y62" s="45">
        <f>IF(G62="","",IFERROR(INDEX(Recipes!$AH$5:$AH$204,MATCH(G62,Recipes!$A$5:$A$204,0)),"Not found"))</f>
        <v>0</v>
      </c>
      <c r="Z62" s="45">
        <f>IF(G62="","",IFERROR(INDEX(Recipes!$AI$5:$AI$204,MATCH(G62,Recipes!$A$5:$A$204,0)),"Not found"))</f>
        <v>0</v>
      </c>
      <c r="AA62" s="30">
        <f>IF(OR(V62="",NOT(ISNUMBER(V62))),"",V62*K62)</f>
        <v>0</v>
      </c>
      <c r="AB62" s="18">
        <f>IF(G62="","",IFERROR(INDEX(Recipes!$J$5:$J$204,MATCH(G62,Recipes!$A$5:$A$204,0)),"Not found"))</f>
        <v>0</v>
      </c>
      <c r="AC62" s="17">
        <f>IF(G62="","",IFERROR(INDEX(Recipes!$C$5:$C$204,MATCH(G62,Recipes!$A$5:$A$204,0)),"Not found"))</f>
        <v>0</v>
      </c>
      <c r="AD62" s="46">
        <f>IF(B62="","",IF(G62&lt;&gt;"","Yes",IF(OR(I62="",ISNUMBER(SEARCH("takeaway",I62)),ISNUMBER(SEARCH("out",I62))),"No","Yes")))</f>
        <v>0</v>
      </c>
      <c r="AE62" s="17">
        <f>IF(B62="","",TEXT(B62,"yyyy-mm-dd")&amp;"|"&amp;F62)</f>
        <v>0</v>
      </c>
      <c r="AF62" s="31">
        <f>IF(B62="","",IF(AND(G62="",I62=""),"Add - nothing planned yet",IF(COUNTIFS($AE$5:$AE$504,AE62)&gt;1,"Duplicate - two meals in one slot",IF(AND(G62&lt;&gt;"",H62="Not found"),"Missing - recipe ID not on the Recipes tab",IF(AND(B62&lt;TODAY(),OR(N62="Planned",N62="")),"Check - did you cook it?","OK")))))</f>
        <v>0</v>
      </c>
      <c r="AG62" s="43" t="s">
        <v>157</v>
      </c>
    </row>
    <row r="63" spans="1:33">
      <c r="A63" s="39">
        <f>IF(B63="","",MealPrefix&amp;TEXT(ROW()-4,"0000"))</f>
        <v>0</v>
      </c>
      <c r="B63" s="15">
        <v>46306</v>
      </c>
      <c r="C63" s="17">
        <f>IF(B63="","",TEXT(B63,"ddd"))</f>
        <v>0</v>
      </c>
      <c r="D63" s="18">
        <f>IF(B63="","",WEEKNUM(B63,IF(WeekStart="Sunday",1,2)))</f>
        <v>0</v>
      </c>
      <c r="E63" s="17">
        <f>IF(B63="","",TEXT(B63,"yyyy-mm"))</f>
        <v>0</v>
      </c>
      <c r="F63" s="32" t="s">
        <v>137</v>
      </c>
      <c r="G63" s="32" t="s">
        <v>933</v>
      </c>
      <c r="H63" s="17">
        <f>IF(G63&lt;&gt;"",IFERROR(INDEX(Recipes!$B$5:$B$204,MATCH(G63,Recipes!$A$5:$A$204,0)),"Not found"),I63)</f>
        <v>0</v>
      </c>
      <c r="J63" s="35">
        <v>4</v>
      </c>
      <c r="K63" s="45">
        <f>IF(B63="","",IF(J63="",DefaultServings,J63))</f>
        <v>0</v>
      </c>
      <c r="L63" s="45">
        <f>IF(G63="",0,IFERROR(K63/INDEX(Recipes!$G$5:$G$204,MATCH(G63,Recipes!$A$5:$A$204,0)),0))</f>
        <v>0</v>
      </c>
      <c r="M63" s="40" t="s">
        <v>311</v>
      </c>
      <c r="N63" s="42" t="s">
        <v>317</v>
      </c>
      <c r="O63" s="32" t="s">
        <v>206</v>
      </c>
      <c r="Q63" s="38">
        <v>2</v>
      </c>
      <c r="R63" s="40" t="s">
        <v>311</v>
      </c>
      <c r="S63" s="32" t="s">
        <v>157</v>
      </c>
      <c r="T63" s="25">
        <f>IF(G63="","",IFERROR(INDEX(Recipes!$AD$5:$AD$204,MATCH(G63,Recipes!$A$5:$A$204,0))*K63,""))</f>
        <v>0</v>
      </c>
      <c r="V63" s="30">
        <f>IF(G63="","",IFERROR(INDEX(Recipes!$AE$5:$AE$204,MATCH(G63,Recipes!$A$5:$A$204,0)),"Not found"))</f>
        <v>0</v>
      </c>
      <c r="W63" s="45">
        <f>IF(G63="","",IFERROR(INDEX(Recipes!$AF$5:$AF$204,MATCH(G63,Recipes!$A$5:$A$204,0)),"Not found"))</f>
        <v>0</v>
      </c>
      <c r="X63" s="45">
        <f>IF(G63="","",IFERROR(INDEX(Recipes!$AG$5:$AG$204,MATCH(G63,Recipes!$A$5:$A$204,0)),"Not found"))</f>
        <v>0</v>
      </c>
      <c r="Y63" s="45">
        <f>IF(G63="","",IFERROR(INDEX(Recipes!$AH$5:$AH$204,MATCH(G63,Recipes!$A$5:$A$204,0)),"Not found"))</f>
        <v>0</v>
      </c>
      <c r="Z63" s="45">
        <f>IF(G63="","",IFERROR(INDEX(Recipes!$AI$5:$AI$204,MATCH(G63,Recipes!$A$5:$A$204,0)),"Not found"))</f>
        <v>0</v>
      </c>
      <c r="AA63" s="30">
        <f>IF(OR(V63="",NOT(ISNUMBER(V63))),"",V63*K63)</f>
        <v>0</v>
      </c>
      <c r="AB63" s="18">
        <f>IF(G63="","",IFERROR(INDEX(Recipes!$J$5:$J$204,MATCH(G63,Recipes!$A$5:$A$204,0)),"Not found"))</f>
        <v>0</v>
      </c>
      <c r="AC63" s="17">
        <f>IF(G63="","",IFERROR(INDEX(Recipes!$C$5:$C$204,MATCH(G63,Recipes!$A$5:$A$204,0)),"Not found"))</f>
        <v>0</v>
      </c>
      <c r="AD63" s="46">
        <f>IF(B63="","",IF(G63&lt;&gt;"","Yes",IF(OR(I63="",ISNUMBER(SEARCH("takeaway",I63)),ISNUMBER(SEARCH("out",I63))),"No","Yes")))</f>
        <v>0</v>
      </c>
      <c r="AE63" s="17">
        <f>IF(B63="","",TEXT(B63,"yyyy-mm-dd")&amp;"|"&amp;F63)</f>
        <v>0</v>
      </c>
      <c r="AF63" s="31">
        <f>IF(B63="","",IF(AND(G63="",I63=""),"Add - nothing planned yet",IF(COUNTIFS($AE$5:$AE$504,AE63)&gt;1,"Duplicate - two meals in one slot",IF(AND(G63&lt;&gt;"",H63="Not found"),"Missing - recipe ID not on the Recipes tab",IF(AND(B63&lt;TODAY(),OR(N63="Planned",N63="")),"Check - did you cook it?","OK")))))</f>
        <v>0</v>
      </c>
      <c r="AG63" s="43" t="s">
        <v>157</v>
      </c>
    </row>
    <row r="64" spans="1:33">
      <c r="A64" s="39">
        <f>IF(B64="","",MealPrefix&amp;TEXT(ROW()-4,"0000"))</f>
        <v>0</v>
      </c>
      <c r="B64" s="15">
        <v>46306</v>
      </c>
      <c r="C64" s="17">
        <f>IF(B64="","",TEXT(B64,"ddd"))</f>
        <v>0</v>
      </c>
      <c r="D64" s="18">
        <f>IF(B64="","",WEEKNUM(B64,IF(WeekStart="Sunday",1,2)))</f>
        <v>0</v>
      </c>
      <c r="E64" s="17">
        <f>IF(B64="","",TEXT(B64,"yyyy-mm"))</f>
        <v>0</v>
      </c>
      <c r="F64" s="32" t="s">
        <v>170</v>
      </c>
      <c r="G64" s="32" t="s">
        <v>966</v>
      </c>
      <c r="H64" s="17">
        <f>IF(G64&lt;&gt;"",IFERROR(INDEX(Recipes!$B$5:$B$204,MATCH(G64,Recipes!$A$5:$A$204,0)),"Not found"),I64)</f>
        <v>0</v>
      </c>
      <c r="J64" s="35">
        <v>6</v>
      </c>
      <c r="K64" s="45">
        <f>IF(B64="","",IF(J64="",DefaultServings,J64))</f>
        <v>0</v>
      </c>
      <c r="L64" s="45">
        <f>IF(G64="",0,IFERROR(K64/INDEX(Recipes!$G$5:$G$204,MATCH(G64,Recipes!$A$5:$A$204,0)),0))</f>
        <v>0</v>
      </c>
      <c r="M64" s="40" t="s">
        <v>311</v>
      </c>
      <c r="N64" s="42" t="s">
        <v>317</v>
      </c>
      <c r="O64" s="32" t="s">
        <v>742</v>
      </c>
      <c r="R64" s="40" t="s">
        <v>312</v>
      </c>
      <c r="T64" s="25">
        <f>IF(G64="","",IFERROR(INDEX(Recipes!$AD$5:$AD$204,MATCH(G64,Recipes!$A$5:$A$204,0))*K64,""))</f>
        <v>0</v>
      </c>
      <c r="V64" s="30">
        <f>IF(G64="","",IFERROR(INDEX(Recipes!$AE$5:$AE$204,MATCH(G64,Recipes!$A$5:$A$204,0)),"Not found"))</f>
        <v>0</v>
      </c>
      <c r="W64" s="45">
        <f>IF(G64="","",IFERROR(INDEX(Recipes!$AF$5:$AF$204,MATCH(G64,Recipes!$A$5:$A$204,0)),"Not found"))</f>
        <v>0</v>
      </c>
      <c r="X64" s="45">
        <f>IF(G64="","",IFERROR(INDEX(Recipes!$AG$5:$AG$204,MATCH(G64,Recipes!$A$5:$A$204,0)),"Not found"))</f>
        <v>0</v>
      </c>
      <c r="Y64" s="45">
        <f>IF(G64="","",IFERROR(INDEX(Recipes!$AH$5:$AH$204,MATCH(G64,Recipes!$A$5:$A$204,0)),"Not found"))</f>
        <v>0</v>
      </c>
      <c r="Z64" s="45">
        <f>IF(G64="","",IFERROR(INDEX(Recipes!$AI$5:$AI$204,MATCH(G64,Recipes!$A$5:$A$204,0)),"Not found"))</f>
        <v>0</v>
      </c>
      <c r="AA64" s="30">
        <f>IF(OR(V64="",NOT(ISNUMBER(V64))),"",V64*K64)</f>
        <v>0</v>
      </c>
      <c r="AB64" s="18">
        <f>IF(G64="","",IFERROR(INDEX(Recipes!$J$5:$J$204,MATCH(G64,Recipes!$A$5:$A$204,0)),"Not found"))</f>
        <v>0</v>
      </c>
      <c r="AC64" s="17">
        <f>IF(G64="","",IFERROR(INDEX(Recipes!$C$5:$C$204,MATCH(G64,Recipes!$A$5:$A$204,0)),"Not found"))</f>
        <v>0</v>
      </c>
      <c r="AD64" s="46">
        <f>IF(B64="","",IF(G64&lt;&gt;"","Yes",IF(OR(I64="",ISNUMBER(SEARCH("takeaway",I64)),ISNUMBER(SEARCH("out",I64))),"No","Yes")))</f>
        <v>0</v>
      </c>
      <c r="AE64" s="17">
        <f>IF(B64="","",TEXT(B64,"yyyy-mm-dd")&amp;"|"&amp;F64)</f>
        <v>0</v>
      </c>
      <c r="AF64" s="31">
        <f>IF(B64="","",IF(AND(G64="",I64=""),"Add - nothing planned yet",IF(COUNTIFS($AE$5:$AE$504,AE64)&gt;1,"Duplicate - two meals in one slot",IF(AND(G64&lt;&gt;"",H64="Not found"),"Missing - recipe ID not on the Recipes tab",IF(AND(B64&lt;TODAY(),OR(N64="Planned",N64="")),"Check - did you cook it?","OK")))))</f>
        <v>0</v>
      </c>
      <c r="AG64" s="43" t="s">
        <v>157</v>
      </c>
    </row>
    <row r="65" spans="1:33">
      <c r="A65" s="39">
        <f>IF(B65="","",MealPrefix&amp;TEXT(ROW()-4,"0000"))</f>
        <v>0</v>
      </c>
      <c r="B65" s="15">
        <v>46307</v>
      </c>
      <c r="C65" s="17">
        <f>IF(B65="","",TEXT(B65,"ddd"))</f>
        <v>0</v>
      </c>
      <c r="D65" s="18">
        <f>IF(B65="","",WEEKNUM(B65,IF(WeekStart="Sunday",1,2)))</f>
        <v>0</v>
      </c>
      <c r="E65" s="17">
        <f>IF(B65="","",TEXT(B65,"yyyy-mm"))</f>
        <v>0</v>
      </c>
      <c r="F65" s="32" t="s">
        <v>165</v>
      </c>
      <c r="G65" s="32" t="s">
        <v>946</v>
      </c>
      <c r="H65" s="17">
        <f>IF(G65&lt;&gt;"",IFERROR(INDEX(Recipes!$B$5:$B$204,MATCH(G65,Recipes!$A$5:$A$204,0)),"Not found"),I65)</f>
        <v>0</v>
      </c>
      <c r="J65" s="35">
        <v>3</v>
      </c>
      <c r="K65" s="45">
        <f>IF(B65="","",IF(J65="",DefaultServings,J65))</f>
        <v>0</v>
      </c>
      <c r="L65" s="45">
        <f>IF(G65="",0,IFERROR(K65/INDEX(Recipes!$G$5:$G$204,MATCH(G65,Recipes!$A$5:$A$204,0)),0))</f>
        <v>0</v>
      </c>
      <c r="M65" s="40" t="s">
        <v>311</v>
      </c>
      <c r="N65" s="42" t="s">
        <v>317</v>
      </c>
      <c r="O65" s="32" t="s">
        <v>206</v>
      </c>
      <c r="R65" s="40" t="s">
        <v>312</v>
      </c>
      <c r="T65" s="25">
        <f>IF(G65="","",IFERROR(INDEX(Recipes!$AD$5:$AD$204,MATCH(G65,Recipes!$A$5:$A$204,0))*K65,""))</f>
        <v>0</v>
      </c>
      <c r="V65" s="30">
        <f>IF(G65="","",IFERROR(INDEX(Recipes!$AE$5:$AE$204,MATCH(G65,Recipes!$A$5:$A$204,0)),"Not found"))</f>
        <v>0</v>
      </c>
      <c r="W65" s="45">
        <f>IF(G65="","",IFERROR(INDEX(Recipes!$AF$5:$AF$204,MATCH(G65,Recipes!$A$5:$A$204,0)),"Not found"))</f>
        <v>0</v>
      </c>
      <c r="X65" s="45">
        <f>IF(G65="","",IFERROR(INDEX(Recipes!$AG$5:$AG$204,MATCH(G65,Recipes!$A$5:$A$204,0)),"Not found"))</f>
        <v>0</v>
      </c>
      <c r="Y65" s="45">
        <f>IF(G65="","",IFERROR(INDEX(Recipes!$AH$5:$AH$204,MATCH(G65,Recipes!$A$5:$A$204,0)),"Not found"))</f>
        <v>0</v>
      </c>
      <c r="Z65" s="45">
        <f>IF(G65="","",IFERROR(INDEX(Recipes!$AI$5:$AI$204,MATCH(G65,Recipes!$A$5:$A$204,0)),"Not found"))</f>
        <v>0</v>
      </c>
      <c r="AA65" s="30">
        <f>IF(OR(V65="",NOT(ISNUMBER(V65))),"",V65*K65)</f>
        <v>0</v>
      </c>
      <c r="AB65" s="18">
        <f>IF(G65="","",IFERROR(INDEX(Recipes!$J$5:$J$204,MATCH(G65,Recipes!$A$5:$A$204,0)),"Not found"))</f>
        <v>0</v>
      </c>
      <c r="AC65" s="17">
        <f>IF(G65="","",IFERROR(INDEX(Recipes!$C$5:$C$204,MATCH(G65,Recipes!$A$5:$A$204,0)),"Not found"))</f>
        <v>0</v>
      </c>
      <c r="AD65" s="46">
        <f>IF(B65="","",IF(G65&lt;&gt;"","Yes",IF(OR(I65="",ISNUMBER(SEARCH("takeaway",I65)),ISNUMBER(SEARCH("out",I65))),"No","Yes")))</f>
        <v>0</v>
      </c>
      <c r="AE65" s="17">
        <f>IF(B65="","",TEXT(B65,"yyyy-mm-dd")&amp;"|"&amp;F65)</f>
        <v>0</v>
      </c>
      <c r="AF65" s="31">
        <f>IF(B65="","",IF(AND(G65="",I65=""),"Add - nothing planned yet",IF(COUNTIFS($AE$5:$AE$504,AE65)&gt;1,"Duplicate - two meals in one slot",IF(AND(G65&lt;&gt;"",H65="Not found"),"Missing - recipe ID not on the Recipes tab",IF(AND(B65&lt;TODAY(),OR(N65="Planned",N65="")),"Check - did you cook it?","OK")))))</f>
        <v>0</v>
      </c>
      <c r="AG65" s="43" t="s">
        <v>157</v>
      </c>
    </row>
    <row r="66" spans="1:33">
      <c r="A66" s="39">
        <f>IF(B66="","",MealPrefix&amp;TEXT(ROW()-4,"0000"))</f>
        <v>0</v>
      </c>
      <c r="B66" s="15">
        <v>46307</v>
      </c>
      <c r="C66" s="17">
        <f>IF(B66="","",TEXT(B66,"ddd"))</f>
        <v>0</v>
      </c>
      <c r="D66" s="18">
        <f>IF(B66="","",WEEKNUM(B66,IF(WeekStart="Sunday",1,2)))</f>
        <v>0</v>
      </c>
      <c r="E66" s="17">
        <f>IF(B66="","",TEXT(B66,"yyyy-mm"))</f>
        <v>0</v>
      </c>
      <c r="F66" s="32" t="s">
        <v>167</v>
      </c>
      <c r="G66" s="32" t="s">
        <v>954</v>
      </c>
      <c r="H66" s="17">
        <f>IF(G66&lt;&gt;"",IFERROR(INDEX(Recipes!$B$5:$B$204,MATCH(G66,Recipes!$A$5:$A$204,0)),"Not found"),I66)</f>
        <v>0</v>
      </c>
      <c r="J66" s="35">
        <v>2</v>
      </c>
      <c r="K66" s="45">
        <f>IF(B66="","",IF(J66="",DefaultServings,J66))</f>
        <v>0</v>
      </c>
      <c r="L66" s="45">
        <f>IF(G66="",0,IFERROR(K66/INDEX(Recipes!$G$5:$G$204,MATCH(G66,Recipes!$A$5:$A$204,0)),0))</f>
        <v>0</v>
      </c>
      <c r="M66" s="40" t="s">
        <v>311</v>
      </c>
      <c r="N66" s="42" t="s">
        <v>317</v>
      </c>
      <c r="O66" s="32" t="s">
        <v>742</v>
      </c>
      <c r="R66" s="40" t="s">
        <v>311</v>
      </c>
      <c r="T66" s="25">
        <f>IF(G66="","",IFERROR(INDEX(Recipes!$AD$5:$AD$204,MATCH(G66,Recipes!$A$5:$A$204,0))*K66,""))</f>
        <v>0</v>
      </c>
      <c r="V66" s="30">
        <f>IF(G66="","",IFERROR(INDEX(Recipes!$AE$5:$AE$204,MATCH(G66,Recipes!$A$5:$A$204,0)),"Not found"))</f>
        <v>0</v>
      </c>
      <c r="W66" s="45">
        <f>IF(G66="","",IFERROR(INDEX(Recipes!$AF$5:$AF$204,MATCH(G66,Recipes!$A$5:$A$204,0)),"Not found"))</f>
        <v>0</v>
      </c>
      <c r="X66" s="45">
        <f>IF(G66="","",IFERROR(INDEX(Recipes!$AG$5:$AG$204,MATCH(G66,Recipes!$A$5:$A$204,0)),"Not found"))</f>
        <v>0</v>
      </c>
      <c r="Y66" s="45">
        <f>IF(G66="","",IFERROR(INDEX(Recipes!$AH$5:$AH$204,MATCH(G66,Recipes!$A$5:$A$204,0)),"Not found"))</f>
        <v>0</v>
      </c>
      <c r="Z66" s="45">
        <f>IF(G66="","",IFERROR(INDEX(Recipes!$AI$5:$AI$204,MATCH(G66,Recipes!$A$5:$A$204,0)),"Not found"))</f>
        <v>0</v>
      </c>
      <c r="AA66" s="30">
        <f>IF(OR(V66="",NOT(ISNUMBER(V66))),"",V66*K66)</f>
        <v>0</v>
      </c>
      <c r="AB66" s="18">
        <f>IF(G66="","",IFERROR(INDEX(Recipes!$J$5:$J$204,MATCH(G66,Recipes!$A$5:$A$204,0)),"Not found"))</f>
        <v>0</v>
      </c>
      <c r="AC66" s="17">
        <f>IF(G66="","",IFERROR(INDEX(Recipes!$C$5:$C$204,MATCH(G66,Recipes!$A$5:$A$204,0)),"Not found"))</f>
        <v>0</v>
      </c>
      <c r="AD66" s="46">
        <f>IF(B66="","",IF(G66&lt;&gt;"","Yes",IF(OR(I66="",ISNUMBER(SEARCH("takeaway",I66)),ISNUMBER(SEARCH("out",I66))),"No","Yes")))</f>
        <v>0</v>
      </c>
      <c r="AE66" s="17">
        <f>IF(B66="","",TEXT(B66,"yyyy-mm-dd")&amp;"|"&amp;F66)</f>
        <v>0</v>
      </c>
      <c r="AF66" s="31">
        <f>IF(B66="","",IF(AND(G66="",I66=""),"Add - nothing planned yet",IF(COUNTIFS($AE$5:$AE$504,AE66)&gt;1,"Duplicate - two meals in one slot",IF(AND(G66&lt;&gt;"",H66="Not found"),"Missing - recipe ID not on the Recipes tab",IF(AND(B66&lt;TODAY(),OR(N66="Planned",N66="")),"Check - did you cook it?","OK")))))</f>
        <v>0</v>
      </c>
      <c r="AG66" s="43" t="s">
        <v>746</v>
      </c>
    </row>
    <row r="67" spans="1:33">
      <c r="A67" s="39">
        <f>IF(B67="","",MealPrefix&amp;TEXT(ROW()-4,"0000"))</f>
        <v>0</v>
      </c>
      <c r="B67" s="15">
        <v>46307</v>
      </c>
      <c r="C67" s="17">
        <f>IF(B67="","",TEXT(B67,"ddd"))</f>
        <v>0</v>
      </c>
      <c r="D67" s="18">
        <f>IF(B67="","",WEEKNUM(B67,IF(WeekStart="Sunday",1,2)))</f>
        <v>0</v>
      </c>
      <c r="E67" s="17">
        <f>IF(B67="","",TEXT(B67,"yyyy-mm"))</f>
        <v>0</v>
      </c>
      <c r="F67" s="32" t="s">
        <v>137</v>
      </c>
      <c r="G67" s="32" t="s">
        <v>929</v>
      </c>
      <c r="H67" s="17">
        <f>IF(G67&lt;&gt;"",IFERROR(INDEX(Recipes!$B$5:$B$204,MATCH(G67,Recipes!$A$5:$A$204,0)),"Not found"),I67)</f>
        <v>0</v>
      </c>
      <c r="J67" s="35">
        <v>4</v>
      </c>
      <c r="K67" s="45">
        <f>IF(B67="","",IF(J67="",DefaultServings,J67))</f>
        <v>0</v>
      </c>
      <c r="L67" s="45">
        <f>IF(G67="",0,IFERROR(K67/INDEX(Recipes!$G$5:$G$204,MATCH(G67,Recipes!$A$5:$A$204,0)),0))</f>
        <v>0</v>
      </c>
      <c r="M67" s="40" t="s">
        <v>311</v>
      </c>
      <c r="N67" s="42" t="s">
        <v>317</v>
      </c>
      <c r="O67" s="32" t="s">
        <v>206</v>
      </c>
      <c r="Q67" s="38">
        <v>2</v>
      </c>
      <c r="R67" s="40" t="s">
        <v>311</v>
      </c>
      <c r="S67" s="32" t="s">
        <v>157</v>
      </c>
      <c r="T67" s="25">
        <f>IF(G67="","",IFERROR(INDEX(Recipes!$AD$5:$AD$204,MATCH(G67,Recipes!$A$5:$A$204,0))*K67,""))</f>
        <v>0</v>
      </c>
      <c r="V67" s="30">
        <f>IF(G67="","",IFERROR(INDEX(Recipes!$AE$5:$AE$204,MATCH(G67,Recipes!$A$5:$A$204,0)),"Not found"))</f>
        <v>0</v>
      </c>
      <c r="W67" s="45">
        <f>IF(G67="","",IFERROR(INDEX(Recipes!$AF$5:$AF$204,MATCH(G67,Recipes!$A$5:$A$204,0)),"Not found"))</f>
        <v>0</v>
      </c>
      <c r="X67" s="45">
        <f>IF(G67="","",IFERROR(INDEX(Recipes!$AG$5:$AG$204,MATCH(G67,Recipes!$A$5:$A$204,0)),"Not found"))</f>
        <v>0</v>
      </c>
      <c r="Y67" s="45">
        <f>IF(G67="","",IFERROR(INDEX(Recipes!$AH$5:$AH$204,MATCH(G67,Recipes!$A$5:$A$204,0)),"Not found"))</f>
        <v>0</v>
      </c>
      <c r="Z67" s="45">
        <f>IF(G67="","",IFERROR(INDEX(Recipes!$AI$5:$AI$204,MATCH(G67,Recipes!$A$5:$A$204,0)),"Not found"))</f>
        <v>0</v>
      </c>
      <c r="AA67" s="30">
        <f>IF(OR(V67="",NOT(ISNUMBER(V67))),"",V67*K67)</f>
        <v>0</v>
      </c>
      <c r="AB67" s="18">
        <f>IF(G67="","",IFERROR(INDEX(Recipes!$J$5:$J$204,MATCH(G67,Recipes!$A$5:$A$204,0)),"Not found"))</f>
        <v>0</v>
      </c>
      <c r="AC67" s="17">
        <f>IF(G67="","",IFERROR(INDEX(Recipes!$C$5:$C$204,MATCH(G67,Recipes!$A$5:$A$204,0)),"Not found"))</f>
        <v>0</v>
      </c>
      <c r="AD67" s="46">
        <f>IF(B67="","",IF(G67&lt;&gt;"","Yes",IF(OR(I67="",ISNUMBER(SEARCH("takeaway",I67)),ISNUMBER(SEARCH("out",I67))),"No","Yes")))</f>
        <v>0</v>
      </c>
      <c r="AE67" s="17">
        <f>IF(B67="","",TEXT(B67,"yyyy-mm-dd")&amp;"|"&amp;F67)</f>
        <v>0</v>
      </c>
      <c r="AF67" s="31">
        <f>IF(B67="","",IF(AND(G67="",I67=""),"Add - nothing planned yet",IF(COUNTIFS($AE$5:$AE$504,AE67)&gt;1,"Duplicate - two meals in one slot",IF(AND(G67&lt;&gt;"",H67="Not found"),"Missing - recipe ID not on the Recipes tab",IF(AND(B67&lt;TODAY(),OR(N67="Planned",N67="")),"Check - did you cook it?","OK")))))</f>
        <v>0</v>
      </c>
      <c r="AG67" s="43" t="s">
        <v>157</v>
      </c>
    </row>
    <row r="68" spans="1:33">
      <c r="A68" s="39">
        <f>IF(B68="","",MealPrefix&amp;TEXT(ROW()-4,"0000"))</f>
        <v>0</v>
      </c>
      <c r="B68" s="15">
        <v>46308</v>
      </c>
      <c r="C68" s="17">
        <f>IF(B68="","",TEXT(B68,"ddd"))</f>
        <v>0</v>
      </c>
      <c r="D68" s="18">
        <f>IF(B68="","",WEEKNUM(B68,IF(WeekStart="Sunday",1,2)))</f>
        <v>0</v>
      </c>
      <c r="E68" s="17">
        <f>IF(B68="","",TEXT(B68,"yyyy-mm"))</f>
        <v>0</v>
      </c>
      <c r="F68" s="32" t="s">
        <v>165</v>
      </c>
      <c r="G68" s="32" t="s">
        <v>942</v>
      </c>
      <c r="H68" s="17">
        <f>IF(G68&lt;&gt;"",IFERROR(INDEX(Recipes!$B$5:$B$204,MATCH(G68,Recipes!$A$5:$A$204,0)),"Not found"),I68)</f>
        <v>0</v>
      </c>
      <c r="J68" s="35">
        <v>3</v>
      </c>
      <c r="K68" s="45">
        <f>IF(B68="","",IF(J68="",DefaultServings,J68))</f>
        <v>0</v>
      </c>
      <c r="L68" s="45">
        <f>IF(G68="",0,IFERROR(K68/INDEX(Recipes!$G$5:$G$204,MATCH(G68,Recipes!$A$5:$A$204,0)),0))</f>
        <v>0</v>
      </c>
      <c r="M68" s="40" t="s">
        <v>311</v>
      </c>
      <c r="N68" s="42" t="s">
        <v>317</v>
      </c>
      <c r="O68" s="32" t="s">
        <v>206</v>
      </c>
      <c r="R68" s="40" t="s">
        <v>312</v>
      </c>
      <c r="T68" s="25">
        <f>IF(G68="","",IFERROR(INDEX(Recipes!$AD$5:$AD$204,MATCH(G68,Recipes!$A$5:$A$204,0))*K68,""))</f>
        <v>0</v>
      </c>
      <c r="V68" s="30">
        <f>IF(G68="","",IFERROR(INDEX(Recipes!$AE$5:$AE$204,MATCH(G68,Recipes!$A$5:$A$204,0)),"Not found"))</f>
        <v>0</v>
      </c>
      <c r="W68" s="45">
        <f>IF(G68="","",IFERROR(INDEX(Recipes!$AF$5:$AF$204,MATCH(G68,Recipes!$A$5:$A$204,0)),"Not found"))</f>
        <v>0</v>
      </c>
      <c r="X68" s="45">
        <f>IF(G68="","",IFERROR(INDEX(Recipes!$AG$5:$AG$204,MATCH(G68,Recipes!$A$5:$A$204,0)),"Not found"))</f>
        <v>0</v>
      </c>
      <c r="Y68" s="45">
        <f>IF(G68="","",IFERROR(INDEX(Recipes!$AH$5:$AH$204,MATCH(G68,Recipes!$A$5:$A$204,0)),"Not found"))</f>
        <v>0</v>
      </c>
      <c r="Z68" s="45">
        <f>IF(G68="","",IFERROR(INDEX(Recipes!$AI$5:$AI$204,MATCH(G68,Recipes!$A$5:$A$204,0)),"Not found"))</f>
        <v>0</v>
      </c>
      <c r="AA68" s="30">
        <f>IF(OR(V68="",NOT(ISNUMBER(V68))),"",V68*K68)</f>
        <v>0</v>
      </c>
      <c r="AB68" s="18">
        <f>IF(G68="","",IFERROR(INDEX(Recipes!$J$5:$J$204,MATCH(G68,Recipes!$A$5:$A$204,0)),"Not found"))</f>
        <v>0</v>
      </c>
      <c r="AC68" s="17">
        <f>IF(G68="","",IFERROR(INDEX(Recipes!$C$5:$C$204,MATCH(G68,Recipes!$A$5:$A$204,0)),"Not found"))</f>
        <v>0</v>
      </c>
      <c r="AD68" s="46">
        <f>IF(B68="","",IF(G68&lt;&gt;"","Yes",IF(OR(I68="",ISNUMBER(SEARCH("takeaway",I68)),ISNUMBER(SEARCH("out",I68))),"No","Yes")))</f>
        <v>0</v>
      </c>
      <c r="AE68" s="17">
        <f>IF(B68="","",TEXT(B68,"yyyy-mm-dd")&amp;"|"&amp;F68)</f>
        <v>0</v>
      </c>
      <c r="AF68" s="31">
        <f>IF(B68="","",IF(AND(G68="",I68=""),"Add - nothing planned yet",IF(COUNTIFS($AE$5:$AE$504,AE68)&gt;1,"Duplicate - two meals in one slot",IF(AND(G68&lt;&gt;"",H68="Not found"),"Missing - recipe ID not on the Recipes tab",IF(AND(B68&lt;TODAY(),OR(N68="Planned",N68="")),"Check - did you cook it?","OK")))))</f>
        <v>0</v>
      </c>
      <c r="AG68" s="43" t="s">
        <v>157</v>
      </c>
    </row>
    <row r="69" spans="1:33">
      <c r="A69" s="39">
        <f>IF(B69="","",MealPrefix&amp;TEXT(ROW()-4,"0000"))</f>
        <v>0</v>
      </c>
      <c r="B69" s="15">
        <v>46308</v>
      </c>
      <c r="C69" s="17">
        <f>IF(B69="","",TEXT(B69,"ddd"))</f>
        <v>0</v>
      </c>
      <c r="D69" s="18">
        <f>IF(B69="","",WEEKNUM(B69,IF(WeekStart="Sunday",1,2)))</f>
        <v>0</v>
      </c>
      <c r="E69" s="17">
        <f>IF(B69="","",TEXT(B69,"yyyy-mm"))</f>
        <v>0</v>
      </c>
      <c r="F69" s="32" t="s">
        <v>167</v>
      </c>
      <c r="G69" s="32" t="s">
        <v>960</v>
      </c>
      <c r="H69" s="17">
        <f>IF(G69&lt;&gt;"",IFERROR(INDEX(Recipes!$B$5:$B$204,MATCH(G69,Recipes!$A$5:$A$204,0)),"Not found"),I69)</f>
        <v>0</v>
      </c>
      <c r="J69" s="35">
        <v>2</v>
      </c>
      <c r="K69" s="45">
        <f>IF(B69="","",IF(J69="",DefaultServings,J69))</f>
        <v>0</v>
      </c>
      <c r="L69" s="45">
        <f>IF(G69="",0,IFERROR(K69/INDEX(Recipes!$G$5:$G$204,MATCH(G69,Recipes!$A$5:$A$204,0)),0))</f>
        <v>0</v>
      </c>
      <c r="M69" s="40" t="s">
        <v>311</v>
      </c>
      <c r="N69" s="42" t="s">
        <v>317</v>
      </c>
      <c r="O69" s="32" t="s">
        <v>742</v>
      </c>
      <c r="R69" s="40" t="s">
        <v>312</v>
      </c>
      <c r="T69" s="25">
        <f>IF(G69="","",IFERROR(INDEX(Recipes!$AD$5:$AD$204,MATCH(G69,Recipes!$A$5:$A$204,0))*K69,""))</f>
        <v>0</v>
      </c>
      <c r="V69" s="30">
        <f>IF(G69="","",IFERROR(INDEX(Recipes!$AE$5:$AE$204,MATCH(G69,Recipes!$A$5:$A$204,0)),"Not found"))</f>
        <v>0</v>
      </c>
      <c r="W69" s="45">
        <f>IF(G69="","",IFERROR(INDEX(Recipes!$AF$5:$AF$204,MATCH(G69,Recipes!$A$5:$A$204,0)),"Not found"))</f>
        <v>0</v>
      </c>
      <c r="X69" s="45">
        <f>IF(G69="","",IFERROR(INDEX(Recipes!$AG$5:$AG$204,MATCH(G69,Recipes!$A$5:$A$204,0)),"Not found"))</f>
        <v>0</v>
      </c>
      <c r="Y69" s="45">
        <f>IF(G69="","",IFERROR(INDEX(Recipes!$AH$5:$AH$204,MATCH(G69,Recipes!$A$5:$A$204,0)),"Not found"))</f>
        <v>0</v>
      </c>
      <c r="Z69" s="45">
        <f>IF(G69="","",IFERROR(INDEX(Recipes!$AI$5:$AI$204,MATCH(G69,Recipes!$A$5:$A$204,0)),"Not found"))</f>
        <v>0</v>
      </c>
      <c r="AA69" s="30">
        <f>IF(OR(V69="",NOT(ISNUMBER(V69))),"",V69*K69)</f>
        <v>0</v>
      </c>
      <c r="AB69" s="18">
        <f>IF(G69="","",IFERROR(INDEX(Recipes!$J$5:$J$204,MATCH(G69,Recipes!$A$5:$A$204,0)),"Not found"))</f>
        <v>0</v>
      </c>
      <c r="AC69" s="17">
        <f>IF(G69="","",IFERROR(INDEX(Recipes!$C$5:$C$204,MATCH(G69,Recipes!$A$5:$A$204,0)),"Not found"))</f>
        <v>0</v>
      </c>
      <c r="AD69" s="46">
        <f>IF(B69="","",IF(G69&lt;&gt;"","Yes",IF(OR(I69="",ISNUMBER(SEARCH("takeaway",I69)),ISNUMBER(SEARCH("out",I69))),"No","Yes")))</f>
        <v>0</v>
      </c>
      <c r="AE69" s="17">
        <f>IF(B69="","",TEXT(B69,"yyyy-mm-dd")&amp;"|"&amp;F69)</f>
        <v>0</v>
      </c>
      <c r="AF69" s="31">
        <f>IF(B69="","",IF(AND(G69="",I69=""),"Add - nothing planned yet",IF(COUNTIFS($AE$5:$AE$504,AE69)&gt;1,"Duplicate - two meals in one slot",IF(AND(G69&lt;&gt;"",H69="Not found"),"Missing - recipe ID not on the Recipes tab",IF(AND(B69&lt;TODAY(),OR(N69="Planned",N69="")),"Check - did you cook it?","OK")))))</f>
        <v>0</v>
      </c>
      <c r="AG69" s="43" t="s">
        <v>746</v>
      </c>
    </row>
    <row r="70" spans="1:33">
      <c r="A70" s="39">
        <f>IF(B70="","",MealPrefix&amp;TEXT(ROW()-4,"0000"))</f>
        <v>0</v>
      </c>
      <c r="B70" s="15">
        <v>46308</v>
      </c>
      <c r="C70" s="17">
        <f>IF(B70="","",TEXT(B70,"ddd"))</f>
        <v>0</v>
      </c>
      <c r="D70" s="18">
        <f>IF(B70="","",WEEKNUM(B70,IF(WeekStart="Sunday",1,2)))</f>
        <v>0</v>
      </c>
      <c r="E70" s="17">
        <f>IF(B70="","",TEXT(B70,"yyyy-mm"))</f>
        <v>0</v>
      </c>
      <c r="F70" s="32" t="s">
        <v>137</v>
      </c>
      <c r="G70" s="32" t="s">
        <v>920</v>
      </c>
      <c r="H70" s="17">
        <f>IF(G70&lt;&gt;"",IFERROR(INDEX(Recipes!$B$5:$B$204,MATCH(G70,Recipes!$A$5:$A$204,0)),"Not found"),I70)</f>
        <v>0</v>
      </c>
      <c r="J70" s="35">
        <v>4</v>
      </c>
      <c r="K70" s="45">
        <f>IF(B70="","",IF(J70="",DefaultServings,J70))</f>
        <v>0</v>
      </c>
      <c r="L70" s="45">
        <f>IF(G70="",0,IFERROR(K70/INDEX(Recipes!$G$5:$G$204,MATCH(G70,Recipes!$A$5:$A$204,0)),0))</f>
        <v>0</v>
      </c>
      <c r="M70" s="40" t="s">
        <v>311</v>
      </c>
      <c r="N70" s="42" t="s">
        <v>317</v>
      </c>
      <c r="O70" s="32" t="s">
        <v>736</v>
      </c>
      <c r="R70" s="40" t="s">
        <v>312</v>
      </c>
      <c r="S70" s="32" t="s">
        <v>157</v>
      </c>
      <c r="T70" s="25">
        <f>IF(G70="","",IFERROR(INDEX(Recipes!$AD$5:$AD$204,MATCH(G70,Recipes!$A$5:$A$204,0))*K70,""))</f>
        <v>0</v>
      </c>
      <c r="V70" s="30">
        <f>IF(G70="","",IFERROR(INDEX(Recipes!$AE$5:$AE$204,MATCH(G70,Recipes!$A$5:$A$204,0)),"Not found"))</f>
        <v>0</v>
      </c>
      <c r="W70" s="45">
        <f>IF(G70="","",IFERROR(INDEX(Recipes!$AF$5:$AF$204,MATCH(G70,Recipes!$A$5:$A$204,0)),"Not found"))</f>
        <v>0</v>
      </c>
      <c r="X70" s="45">
        <f>IF(G70="","",IFERROR(INDEX(Recipes!$AG$5:$AG$204,MATCH(G70,Recipes!$A$5:$A$204,0)),"Not found"))</f>
        <v>0</v>
      </c>
      <c r="Y70" s="45">
        <f>IF(G70="","",IFERROR(INDEX(Recipes!$AH$5:$AH$204,MATCH(G70,Recipes!$A$5:$A$204,0)),"Not found"))</f>
        <v>0</v>
      </c>
      <c r="Z70" s="45">
        <f>IF(G70="","",IFERROR(INDEX(Recipes!$AI$5:$AI$204,MATCH(G70,Recipes!$A$5:$A$204,0)),"Not found"))</f>
        <v>0</v>
      </c>
      <c r="AA70" s="30">
        <f>IF(OR(V70="",NOT(ISNUMBER(V70))),"",V70*K70)</f>
        <v>0</v>
      </c>
      <c r="AB70" s="18">
        <f>IF(G70="","",IFERROR(INDEX(Recipes!$J$5:$J$204,MATCH(G70,Recipes!$A$5:$A$204,0)),"Not found"))</f>
        <v>0</v>
      </c>
      <c r="AC70" s="17">
        <f>IF(G70="","",IFERROR(INDEX(Recipes!$C$5:$C$204,MATCH(G70,Recipes!$A$5:$A$204,0)),"Not found"))</f>
        <v>0</v>
      </c>
      <c r="AD70" s="46">
        <f>IF(B70="","",IF(G70&lt;&gt;"","Yes",IF(OR(I70="",ISNUMBER(SEARCH("takeaway",I70)),ISNUMBER(SEARCH("out",I70))),"No","Yes")))</f>
        <v>0</v>
      </c>
      <c r="AE70" s="17">
        <f>IF(B70="","",TEXT(B70,"yyyy-mm-dd")&amp;"|"&amp;F70)</f>
        <v>0</v>
      </c>
      <c r="AF70" s="31">
        <f>IF(B70="","",IF(AND(G70="",I70=""),"Add - nothing planned yet",IF(COUNTIFS($AE$5:$AE$504,AE70)&gt;1,"Duplicate - two meals in one slot",IF(AND(G70&lt;&gt;"",H70="Not found"),"Missing - recipe ID not on the Recipes tab",IF(AND(B70&lt;TODAY(),OR(N70="Planned",N70="")),"Check - did you cook it?","OK")))))</f>
        <v>0</v>
      </c>
      <c r="AG70" s="43" t="s">
        <v>157</v>
      </c>
    </row>
    <row r="71" spans="1:33">
      <c r="A71" s="39">
        <f>IF(B71="","",MealPrefix&amp;TEXT(ROW()-4,"0000"))</f>
        <v>0</v>
      </c>
      <c r="B71" s="15">
        <v>46309</v>
      </c>
      <c r="C71" s="17">
        <f>IF(B71="","",TEXT(B71,"ddd"))</f>
        <v>0</v>
      </c>
      <c r="D71" s="18">
        <f>IF(B71="","",WEEKNUM(B71,IF(WeekStart="Sunday",1,2)))</f>
        <v>0</v>
      </c>
      <c r="E71" s="17">
        <f>IF(B71="","",TEXT(B71,"yyyy-mm"))</f>
        <v>0</v>
      </c>
      <c r="F71" s="32" t="s">
        <v>167</v>
      </c>
      <c r="G71" s="32" t="s">
        <v>961</v>
      </c>
      <c r="H71" s="17">
        <f>IF(G71&lt;&gt;"",IFERROR(INDEX(Recipes!$B$5:$B$204,MATCH(G71,Recipes!$A$5:$A$204,0)),"Not found"),I71)</f>
        <v>0</v>
      </c>
      <c r="J71" s="35">
        <v>2</v>
      </c>
      <c r="K71" s="45">
        <f>IF(B71="","",IF(J71="",DefaultServings,J71))</f>
        <v>0</v>
      </c>
      <c r="L71" s="45">
        <f>IF(G71="",0,IFERROR(K71/INDEX(Recipes!$G$5:$G$204,MATCH(G71,Recipes!$A$5:$A$204,0)),0))</f>
        <v>0</v>
      </c>
      <c r="M71" s="40" t="s">
        <v>311</v>
      </c>
      <c r="N71" s="42" t="s">
        <v>317</v>
      </c>
      <c r="O71" s="32" t="s">
        <v>742</v>
      </c>
      <c r="R71" s="40" t="s">
        <v>312</v>
      </c>
      <c r="T71" s="25">
        <f>IF(G71="","",IFERROR(INDEX(Recipes!$AD$5:$AD$204,MATCH(G71,Recipes!$A$5:$A$204,0))*K71,""))</f>
        <v>0</v>
      </c>
      <c r="V71" s="30">
        <f>IF(G71="","",IFERROR(INDEX(Recipes!$AE$5:$AE$204,MATCH(G71,Recipes!$A$5:$A$204,0)),"Not found"))</f>
        <v>0</v>
      </c>
      <c r="W71" s="45">
        <f>IF(G71="","",IFERROR(INDEX(Recipes!$AF$5:$AF$204,MATCH(G71,Recipes!$A$5:$A$204,0)),"Not found"))</f>
        <v>0</v>
      </c>
      <c r="X71" s="45">
        <f>IF(G71="","",IFERROR(INDEX(Recipes!$AG$5:$AG$204,MATCH(G71,Recipes!$A$5:$A$204,0)),"Not found"))</f>
        <v>0</v>
      </c>
      <c r="Y71" s="45">
        <f>IF(G71="","",IFERROR(INDEX(Recipes!$AH$5:$AH$204,MATCH(G71,Recipes!$A$5:$A$204,0)),"Not found"))</f>
        <v>0</v>
      </c>
      <c r="Z71" s="45">
        <f>IF(G71="","",IFERROR(INDEX(Recipes!$AI$5:$AI$204,MATCH(G71,Recipes!$A$5:$A$204,0)),"Not found"))</f>
        <v>0</v>
      </c>
      <c r="AA71" s="30">
        <f>IF(OR(V71="",NOT(ISNUMBER(V71))),"",V71*K71)</f>
        <v>0</v>
      </c>
      <c r="AB71" s="18">
        <f>IF(G71="","",IFERROR(INDEX(Recipes!$J$5:$J$204,MATCH(G71,Recipes!$A$5:$A$204,0)),"Not found"))</f>
        <v>0</v>
      </c>
      <c r="AC71" s="17">
        <f>IF(G71="","",IFERROR(INDEX(Recipes!$C$5:$C$204,MATCH(G71,Recipes!$A$5:$A$204,0)),"Not found"))</f>
        <v>0</v>
      </c>
      <c r="AD71" s="46">
        <f>IF(B71="","",IF(G71&lt;&gt;"","Yes",IF(OR(I71="",ISNUMBER(SEARCH("takeaway",I71)),ISNUMBER(SEARCH("out",I71))),"No","Yes")))</f>
        <v>0</v>
      </c>
      <c r="AE71" s="17">
        <f>IF(B71="","",TEXT(B71,"yyyy-mm-dd")&amp;"|"&amp;F71)</f>
        <v>0</v>
      </c>
      <c r="AF71" s="31">
        <f>IF(B71="","",IF(AND(G71="",I71=""),"Add - nothing planned yet",IF(COUNTIFS($AE$5:$AE$504,AE71)&gt;1,"Duplicate - two meals in one slot",IF(AND(G71&lt;&gt;"",H71="Not found"),"Missing - recipe ID not on the Recipes tab",IF(AND(B71&lt;TODAY(),OR(N71="Planned",N71="")),"Check - did you cook it?","OK")))))</f>
        <v>0</v>
      </c>
      <c r="AG71" s="43" t="s">
        <v>746</v>
      </c>
    </row>
    <row r="72" spans="1:33">
      <c r="A72" s="39">
        <f>IF(B72="","",MealPrefix&amp;TEXT(ROW()-4,"0000"))</f>
        <v>0</v>
      </c>
      <c r="B72" s="15">
        <v>46309</v>
      </c>
      <c r="C72" s="17">
        <f>IF(B72="","",TEXT(B72,"ddd"))</f>
        <v>0</v>
      </c>
      <c r="D72" s="18">
        <f>IF(B72="","",WEEKNUM(B72,IF(WeekStart="Sunday",1,2)))</f>
        <v>0</v>
      </c>
      <c r="E72" s="17">
        <f>IF(B72="","",TEXT(B72,"yyyy-mm"))</f>
        <v>0</v>
      </c>
      <c r="F72" s="32" t="s">
        <v>137</v>
      </c>
      <c r="G72" s="32" t="s">
        <v>939</v>
      </c>
      <c r="H72" s="17">
        <f>IF(G72&lt;&gt;"",IFERROR(INDEX(Recipes!$B$5:$B$204,MATCH(G72,Recipes!$A$5:$A$204,0)),"Not found"),I72)</f>
        <v>0</v>
      </c>
      <c r="J72" s="35">
        <v>4</v>
      </c>
      <c r="K72" s="45">
        <f>IF(B72="","",IF(J72="",DefaultServings,J72))</f>
        <v>0</v>
      </c>
      <c r="L72" s="45">
        <f>IF(G72="",0,IFERROR(K72/INDEX(Recipes!$G$5:$G$204,MATCH(G72,Recipes!$A$5:$A$204,0)),0))</f>
        <v>0</v>
      </c>
      <c r="M72" s="40" t="s">
        <v>311</v>
      </c>
      <c r="N72" s="42" t="s">
        <v>317</v>
      </c>
      <c r="O72" s="32" t="s">
        <v>206</v>
      </c>
      <c r="R72" s="40" t="s">
        <v>312</v>
      </c>
      <c r="S72" s="32" t="s">
        <v>157</v>
      </c>
      <c r="T72" s="25">
        <f>IF(G72="","",IFERROR(INDEX(Recipes!$AD$5:$AD$204,MATCH(G72,Recipes!$A$5:$A$204,0))*K72,""))</f>
        <v>0</v>
      </c>
      <c r="V72" s="30">
        <f>IF(G72="","",IFERROR(INDEX(Recipes!$AE$5:$AE$204,MATCH(G72,Recipes!$A$5:$A$204,0)),"Not found"))</f>
        <v>0</v>
      </c>
      <c r="W72" s="45">
        <f>IF(G72="","",IFERROR(INDEX(Recipes!$AF$5:$AF$204,MATCH(G72,Recipes!$A$5:$A$204,0)),"Not found"))</f>
        <v>0</v>
      </c>
      <c r="X72" s="45">
        <f>IF(G72="","",IFERROR(INDEX(Recipes!$AG$5:$AG$204,MATCH(G72,Recipes!$A$5:$A$204,0)),"Not found"))</f>
        <v>0</v>
      </c>
      <c r="Y72" s="45">
        <f>IF(G72="","",IFERROR(INDEX(Recipes!$AH$5:$AH$204,MATCH(G72,Recipes!$A$5:$A$204,0)),"Not found"))</f>
        <v>0</v>
      </c>
      <c r="Z72" s="45">
        <f>IF(G72="","",IFERROR(INDEX(Recipes!$AI$5:$AI$204,MATCH(G72,Recipes!$A$5:$A$204,0)),"Not found"))</f>
        <v>0</v>
      </c>
      <c r="AA72" s="30">
        <f>IF(OR(V72="",NOT(ISNUMBER(V72))),"",V72*K72)</f>
        <v>0</v>
      </c>
      <c r="AB72" s="18">
        <f>IF(G72="","",IFERROR(INDEX(Recipes!$J$5:$J$204,MATCH(G72,Recipes!$A$5:$A$204,0)),"Not found"))</f>
        <v>0</v>
      </c>
      <c r="AC72" s="17">
        <f>IF(G72="","",IFERROR(INDEX(Recipes!$C$5:$C$204,MATCH(G72,Recipes!$A$5:$A$204,0)),"Not found"))</f>
        <v>0</v>
      </c>
      <c r="AD72" s="46">
        <f>IF(B72="","",IF(G72&lt;&gt;"","Yes",IF(OR(I72="",ISNUMBER(SEARCH("takeaway",I72)),ISNUMBER(SEARCH("out",I72))),"No","Yes")))</f>
        <v>0</v>
      </c>
      <c r="AE72" s="17">
        <f>IF(B72="","",TEXT(B72,"yyyy-mm-dd")&amp;"|"&amp;F72)</f>
        <v>0</v>
      </c>
      <c r="AF72" s="31">
        <f>IF(B72="","",IF(AND(G72="",I72=""),"Add - nothing planned yet",IF(COUNTIFS($AE$5:$AE$504,AE72)&gt;1,"Duplicate - two meals in one slot",IF(AND(G72&lt;&gt;"",H72="Not found"),"Missing - recipe ID not on the Recipes tab",IF(AND(B72&lt;TODAY(),OR(N72="Planned",N72="")),"Check - did you cook it?","OK")))))</f>
        <v>0</v>
      </c>
      <c r="AG72" s="43" t="s">
        <v>157</v>
      </c>
    </row>
    <row r="73" spans="1:33">
      <c r="A73" s="39">
        <f>IF(B73="","",MealPrefix&amp;TEXT(ROW()-4,"0000"))</f>
        <v>0</v>
      </c>
      <c r="B73" s="15">
        <v>46310</v>
      </c>
      <c r="C73" s="17">
        <f>IF(B73="","",TEXT(B73,"ddd"))</f>
        <v>0</v>
      </c>
      <c r="D73" s="18">
        <f>IF(B73="","",WEEKNUM(B73,IF(WeekStart="Sunday",1,2)))</f>
        <v>0</v>
      </c>
      <c r="E73" s="17">
        <f>IF(B73="","",TEXT(B73,"yyyy-mm"))</f>
        <v>0</v>
      </c>
      <c r="F73" s="32" t="s">
        <v>165</v>
      </c>
      <c r="G73" s="32" t="s">
        <v>950</v>
      </c>
      <c r="H73" s="17">
        <f>IF(G73&lt;&gt;"",IFERROR(INDEX(Recipes!$B$5:$B$204,MATCH(G73,Recipes!$A$5:$A$204,0)),"Not found"),I73)</f>
        <v>0</v>
      </c>
      <c r="J73" s="35">
        <v>3</v>
      </c>
      <c r="K73" s="45">
        <f>IF(B73="","",IF(J73="",DefaultServings,J73))</f>
        <v>0</v>
      </c>
      <c r="L73" s="45">
        <f>IF(G73="",0,IFERROR(K73/INDEX(Recipes!$G$5:$G$204,MATCH(G73,Recipes!$A$5:$A$204,0)),0))</f>
        <v>0</v>
      </c>
      <c r="M73" s="40" t="s">
        <v>311</v>
      </c>
      <c r="N73" s="42" t="s">
        <v>317</v>
      </c>
      <c r="O73" s="32" t="s">
        <v>206</v>
      </c>
      <c r="R73" s="40" t="s">
        <v>312</v>
      </c>
      <c r="T73" s="25">
        <f>IF(G73="","",IFERROR(INDEX(Recipes!$AD$5:$AD$204,MATCH(G73,Recipes!$A$5:$A$204,0))*K73,""))</f>
        <v>0</v>
      </c>
      <c r="V73" s="30">
        <f>IF(G73="","",IFERROR(INDEX(Recipes!$AE$5:$AE$204,MATCH(G73,Recipes!$A$5:$A$204,0)),"Not found"))</f>
        <v>0</v>
      </c>
      <c r="W73" s="45">
        <f>IF(G73="","",IFERROR(INDEX(Recipes!$AF$5:$AF$204,MATCH(G73,Recipes!$A$5:$A$204,0)),"Not found"))</f>
        <v>0</v>
      </c>
      <c r="X73" s="45">
        <f>IF(G73="","",IFERROR(INDEX(Recipes!$AG$5:$AG$204,MATCH(G73,Recipes!$A$5:$A$204,0)),"Not found"))</f>
        <v>0</v>
      </c>
      <c r="Y73" s="45">
        <f>IF(G73="","",IFERROR(INDEX(Recipes!$AH$5:$AH$204,MATCH(G73,Recipes!$A$5:$A$204,0)),"Not found"))</f>
        <v>0</v>
      </c>
      <c r="Z73" s="45">
        <f>IF(G73="","",IFERROR(INDEX(Recipes!$AI$5:$AI$204,MATCH(G73,Recipes!$A$5:$A$204,0)),"Not found"))</f>
        <v>0</v>
      </c>
      <c r="AA73" s="30">
        <f>IF(OR(V73="",NOT(ISNUMBER(V73))),"",V73*K73)</f>
        <v>0</v>
      </c>
      <c r="AB73" s="18">
        <f>IF(G73="","",IFERROR(INDEX(Recipes!$J$5:$J$204,MATCH(G73,Recipes!$A$5:$A$204,0)),"Not found"))</f>
        <v>0</v>
      </c>
      <c r="AC73" s="17">
        <f>IF(G73="","",IFERROR(INDEX(Recipes!$C$5:$C$204,MATCH(G73,Recipes!$A$5:$A$204,0)),"Not found"))</f>
        <v>0</v>
      </c>
      <c r="AD73" s="46">
        <f>IF(B73="","",IF(G73&lt;&gt;"","Yes",IF(OR(I73="",ISNUMBER(SEARCH("takeaway",I73)),ISNUMBER(SEARCH("out",I73))),"No","Yes")))</f>
        <v>0</v>
      </c>
      <c r="AE73" s="17">
        <f>IF(B73="","",TEXT(B73,"yyyy-mm-dd")&amp;"|"&amp;F73)</f>
        <v>0</v>
      </c>
      <c r="AF73" s="31">
        <f>IF(B73="","",IF(AND(G73="",I73=""),"Add - nothing planned yet",IF(COUNTIFS($AE$5:$AE$504,AE73)&gt;1,"Duplicate - two meals in one slot",IF(AND(G73&lt;&gt;"",H73="Not found"),"Missing - recipe ID not on the Recipes tab",IF(AND(B73&lt;TODAY(),OR(N73="Planned",N73="")),"Check - did you cook it?","OK")))))</f>
        <v>0</v>
      </c>
      <c r="AG73" s="43" t="s">
        <v>157</v>
      </c>
    </row>
    <row r="74" spans="1:33">
      <c r="A74" s="39">
        <f>IF(B74="","",MealPrefix&amp;TEXT(ROW()-4,"0000"))</f>
        <v>0</v>
      </c>
      <c r="B74" s="15">
        <v>46310</v>
      </c>
      <c r="C74" s="17">
        <f>IF(B74="","",TEXT(B74,"ddd"))</f>
        <v>0</v>
      </c>
      <c r="D74" s="18">
        <f>IF(B74="","",WEEKNUM(B74,IF(WeekStart="Sunday",1,2)))</f>
        <v>0</v>
      </c>
      <c r="E74" s="17">
        <f>IF(B74="","",TEXT(B74,"yyyy-mm"))</f>
        <v>0</v>
      </c>
      <c r="F74" s="32" t="s">
        <v>167</v>
      </c>
      <c r="G74" s="32" t="s">
        <v>960</v>
      </c>
      <c r="H74" s="17">
        <f>IF(G74&lt;&gt;"",IFERROR(INDEX(Recipes!$B$5:$B$204,MATCH(G74,Recipes!$A$5:$A$204,0)),"Not found"),I74)</f>
        <v>0</v>
      </c>
      <c r="J74" s="35">
        <v>2</v>
      </c>
      <c r="K74" s="45">
        <f>IF(B74="","",IF(J74="",DefaultServings,J74))</f>
        <v>0</v>
      </c>
      <c r="L74" s="45">
        <f>IF(G74="",0,IFERROR(K74/INDEX(Recipes!$G$5:$G$204,MATCH(G74,Recipes!$A$5:$A$204,0)),0))</f>
        <v>0</v>
      </c>
      <c r="M74" s="40" t="s">
        <v>311</v>
      </c>
      <c r="N74" s="42" t="s">
        <v>317</v>
      </c>
      <c r="O74" s="32" t="s">
        <v>742</v>
      </c>
      <c r="R74" s="40" t="s">
        <v>312</v>
      </c>
      <c r="T74" s="25">
        <f>IF(G74="","",IFERROR(INDEX(Recipes!$AD$5:$AD$204,MATCH(G74,Recipes!$A$5:$A$204,0))*K74,""))</f>
        <v>0</v>
      </c>
      <c r="V74" s="30">
        <f>IF(G74="","",IFERROR(INDEX(Recipes!$AE$5:$AE$204,MATCH(G74,Recipes!$A$5:$A$204,0)),"Not found"))</f>
        <v>0</v>
      </c>
      <c r="W74" s="45">
        <f>IF(G74="","",IFERROR(INDEX(Recipes!$AF$5:$AF$204,MATCH(G74,Recipes!$A$5:$A$204,0)),"Not found"))</f>
        <v>0</v>
      </c>
      <c r="X74" s="45">
        <f>IF(G74="","",IFERROR(INDEX(Recipes!$AG$5:$AG$204,MATCH(G74,Recipes!$A$5:$A$204,0)),"Not found"))</f>
        <v>0</v>
      </c>
      <c r="Y74" s="45">
        <f>IF(G74="","",IFERROR(INDEX(Recipes!$AH$5:$AH$204,MATCH(G74,Recipes!$A$5:$A$204,0)),"Not found"))</f>
        <v>0</v>
      </c>
      <c r="Z74" s="45">
        <f>IF(G74="","",IFERROR(INDEX(Recipes!$AI$5:$AI$204,MATCH(G74,Recipes!$A$5:$A$204,0)),"Not found"))</f>
        <v>0</v>
      </c>
      <c r="AA74" s="30">
        <f>IF(OR(V74="",NOT(ISNUMBER(V74))),"",V74*K74)</f>
        <v>0</v>
      </c>
      <c r="AB74" s="18">
        <f>IF(G74="","",IFERROR(INDEX(Recipes!$J$5:$J$204,MATCH(G74,Recipes!$A$5:$A$204,0)),"Not found"))</f>
        <v>0</v>
      </c>
      <c r="AC74" s="17">
        <f>IF(G74="","",IFERROR(INDEX(Recipes!$C$5:$C$204,MATCH(G74,Recipes!$A$5:$A$204,0)),"Not found"))</f>
        <v>0</v>
      </c>
      <c r="AD74" s="46">
        <f>IF(B74="","",IF(G74&lt;&gt;"","Yes",IF(OR(I74="",ISNUMBER(SEARCH("takeaway",I74)),ISNUMBER(SEARCH("out",I74))),"No","Yes")))</f>
        <v>0</v>
      </c>
      <c r="AE74" s="17">
        <f>IF(B74="","",TEXT(B74,"yyyy-mm-dd")&amp;"|"&amp;F74)</f>
        <v>0</v>
      </c>
      <c r="AF74" s="31">
        <f>IF(B74="","",IF(AND(G74="",I74=""),"Add - nothing planned yet",IF(COUNTIFS($AE$5:$AE$504,AE74)&gt;1,"Duplicate - two meals in one slot",IF(AND(G74&lt;&gt;"",H74="Not found"),"Missing - recipe ID not on the Recipes tab",IF(AND(B74&lt;TODAY(),OR(N74="Planned",N74="")),"Check - did you cook it?","OK")))))</f>
        <v>0</v>
      </c>
      <c r="AG74" s="43" t="s">
        <v>746</v>
      </c>
    </row>
    <row r="75" spans="1:33">
      <c r="A75" s="39">
        <f>IF(B75="","",MealPrefix&amp;TEXT(ROW()-4,"0000"))</f>
        <v>0</v>
      </c>
      <c r="B75" s="15">
        <v>46310</v>
      </c>
      <c r="C75" s="17">
        <f>IF(B75="","",TEXT(B75,"ddd"))</f>
        <v>0</v>
      </c>
      <c r="D75" s="18">
        <f>IF(B75="","",WEEKNUM(B75,IF(WeekStart="Sunday",1,2)))</f>
        <v>0</v>
      </c>
      <c r="E75" s="17">
        <f>IF(B75="","",TEXT(B75,"yyyy-mm"))</f>
        <v>0</v>
      </c>
      <c r="F75" s="32" t="s">
        <v>137</v>
      </c>
      <c r="G75" s="32" t="s">
        <v>962</v>
      </c>
      <c r="H75" s="17">
        <f>IF(G75&lt;&gt;"",IFERROR(INDEX(Recipes!$B$5:$B$204,MATCH(G75,Recipes!$A$5:$A$204,0)),"Not found"),I75)</f>
        <v>0</v>
      </c>
      <c r="J75" s="35">
        <v>4</v>
      </c>
      <c r="K75" s="45">
        <f>IF(B75="","",IF(J75="",DefaultServings,J75))</f>
        <v>0</v>
      </c>
      <c r="L75" s="45">
        <f>IF(G75="",0,IFERROR(K75/INDEX(Recipes!$G$5:$G$204,MATCH(G75,Recipes!$A$5:$A$204,0)),0))</f>
        <v>0</v>
      </c>
      <c r="M75" s="40" t="s">
        <v>311</v>
      </c>
      <c r="N75" s="42" t="s">
        <v>317</v>
      </c>
      <c r="O75" s="32" t="s">
        <v>736</v>
      </c>
      <c r="R75" s="40" t="s">
        <v>312</v>
      </c>
      <c r="S75" s="32" t="s">
        <v>157</v>
      </c>
      <c r="T75" s="25">
        <f>IF(G75="","",IFERROR(INDEX(Recipes!$AD$5:$AD$204,MATCH(G75,Recipes!$A$5:$A$204,0))*K75,""))</f>
        <v>0</v>
      </c>
      <c r="V75" s="30">
        <f>IF(G75="","",IFERROR(INDEX(Recipes!$AE$5:$AE$204,MATCH(G75,Recipes!$A$5:$A$204,0)),"Not found"))</f>
        <v>0</v>
      </c>
      <c r="W75" s="45">
        <f>IF(G75="","",IFERROR(INDEX(Recipes!$AF$5:$AF$204,MATCH(G75,Recipes!$A$5:$A$204,0)),"Not found"))</f>
        <v>0</v>
      </c>
      <c r="X75" s="45">
        <f>IF(G75="","",IFERROR(INDEX(Recipes!$AG$5:$AG$204,MATCH(G75,Recipes!$A$5:$A$204,0)),"Not found"))</f>
        <v>0</v>
      </c>
      <c r="Y75" s="45">
        <f>IF(G75="","",IFERROR(INDEX(Recipes!$AH$5:$AH$204,MATCH(G75,Recipes!$A$5:$A$204,0)),"Not found"))</f>
        <v>0</v>
      </c>
      <c r="Z75" s="45">
        <f>IF(G75="","",IFERROR(INDEX(Recipes!$AI$5:$AI$204,MATCH(G75,Recipes!$A$5:$A$204,0)),"Not found"))</f>
        <v>0</v>
      </c>
      <c r="AA75" s="30">
        <f>IF(OR(V75="",NOT(ISNUMBER(V75))),"",V75*K75)</f>
        <v>0</v>
      </c>
      <c r="AB75" s="18">
        <f>IF(G75="","",IFERROR(INDEX(Recipes!$J$5:$J$204,MATCH(G75,Recipes!$A$5:$A$204,0)),"Not found"))</f>
        <v>0</v>
      </c>
      <c r="AC75" s="17">
        <f>IF(G75="","",IFERROR(INDEX(Recipes!$C$5:$C$204,MATCH(G75,Recipes!$A$5:$A$204,0)),"Not found"))</f>
        <v>0</v>
      </c>
      <c r="AD75" s="46">
        <f>IF(B75="","",IF(G75&lt;&gt;"","Yes",IF(OR(I75="",ISNUMBER(SEARCH("takeaway",I75)),ISNUMBER(SEARCH("out",I75))),"No","Yes")))</f>
        <v>0</v>
      </c>
      <c r="AE75" s="17">
        <f>IF(B75="","",TEXT(B75,"yyyy-mm-dd")&amp;"|"&amp;F75)</f>
        <v>0</v>
      </c>
      <c r="AF75" s="31">
        <f>IF(B75="","",IF(AND(G75="",I75=""),"Add - nothing planned yet",IF(COUNTIFS($AE$5:$AE$504,AE75)&gt;1,"Duplicate - two meals in one slot",IF(AND(G75&lt;&gt;"",H75="Not found"),"Missing - recipe ID not on the Recipes tab",IF(AND(B75&lt;TODAY(),OR(N75="Planned",N75="")),"Check - did you cook it?","OK")))))</f>
        <v>0</v>
      </c>
      <c r="AG75" s="43" t="s">
        <v>157</v>
      </c>
    </row>
    <row r="76" spans="1:33">
      <c r="A76" s="39">
        <f>IF(B76="","",MealPrefix&amp;TEXT(ROW()-4,"0000"))</f>
        <v>0</v>
      </c>
      <c r="B76" s="15">
        <v>46311</v>
      </c>
      <c r="C76" s="17">
        <f>IF(B76="","",TEXT(B76,"ddd"))</f>
        <v>0</v>
      </c>
      <c r="D76" s="18">
        <f>IF(B76="","",WEEKNUM(B76,IF(WeekStart="Sunday",1,2)))</f>
        <v>0</v>
      </c>
      <c r="E76" s="17">
        <f>IF(B76="","",TEXT(B76,"yyyy-mm"))</f>
        <v>0</v>
      </c>
      <c r="F76" s="32" t="s">
        <v>167</v>
      </c>
      <c r="G76" s="32" t="s">
        <v>954</v>
      </c>
      <c r="H76" s="17">
        <f>IF(G76&lt;&gt;"",IFERROR(INDEX(Recipes!$B$5:$B$204,MATCH(G76,Recipes!$A$5:$A$204,0)),"Not found"),I76)</f>
        <v>0</v>
      </c>
      <c r="J76" s="35">
        <v>2</v>
      </c>
      <c r="K76" s="45">
        <f>IF(B76="","",IF(J76="",DefaultServings,J76))</f>
        <v>0</v>
      </c>
      <c r="L76" s="45">
        <f>IF(G76="",0,IFERROR(K76/INDEX(Recipes!$G$5:$G$204,MATCH(G76,Recipes!$A$5:$A$204,0)),0))</f>
        <v>0</v>
      </c>
      <c r="M76" s="40" t="s">
        <v>311</v>
      </c>
      <c r="N76" s="42" t="s">
        <v>317</v>
      </c>
      <c r="O76" s="32" t="s">
        <v>742</v>
      </c>
      <c r="R76" s="40" t="s">
        <v>312</v>
      </c>
      <c r="T76" s="25">
        <f>IF(G76="","",IFERROR(INDEX(Recipes!$AD$5:$AD$204,MATCH(G76,Recipes!$A$5:$A$204,0))*K76,""))</f>
        <v>0</v>
      </c>
      <c r="V76" s="30">
        <f>IF(G76="","",IFERROR(INDEX(Recipes!$AE$5:$AE$204,MATCH(G76,Recipes!$A$5:$A$204,0)),"Not found"))</f>
        <v>0</v>
      </c>
      <c r="W76" s="45">
        <f>IF(G76="","",IFERROR(INDEX(Recipes!$AF$5:$AF$204,MATCH(G76,Recipes!$A$5:$A$204,0)),"Not found"))</f>
        <v>0</v>
      </c>
      <c r="X76" s="45">
        <f>IF(G76="","",IFERROR(INDEX(Recipes!$AG$5:$AG$204,MATCH(G76,Recipes!$A$5:$A$204,0)),"Not found"))</f>
        <v>0</v>
      </c>
      <c r="Y76" s="45">
        <f>IF(G76="","",IFERROR(INDEX(Recipes!$AH$5:$AH$204,MATCH(G76,Recipes!$A$5:$A$204,0)),"Not found"))</f>
        <v>0</v>
      </c>
      <c r="Z76" s="45">
        <f>IF(G76="","",IFERROR(INDEX(Recipes!$AI$5:$AI$204,MATCH(G76,Recipes!$A$5:$A$204,0)),"Not found"))</f>
        <v>0</v>
      </c>
      <c r="AA76" s="30">
        <f>IF(OR(V76="",NOT(ISNUMBER(V76))),"",V76*K76)</f>
        <v>0</v>
      </c>
      <c r="AB76" s="18">
        <f>IF(G76="","",IFERROR(INDEX(Recipes!$J$5:$J$204,MATCH(G76,Recipes!$A$5:$A$204,0)),"Not found"))</f>
        <v>0</v>
      </c>
      <c r="AC76" s="17">
        <f>IF(G76="","",IFERROR(INDEX(Recipes!$C$5:$C$204,MATCH(G76,Recipes!$A$5:$A$204,0)),"Not found"))</f>
        <v>0</v>
      </c>
      <c r="AD76" s="46">
        <f>IF(B76="","",IF(G76&lt;&gt;"","Yes",IF(OR(I76="",ISNUMBER(SEARCH("takeaway",I76)),ISNUMBER(SEARCH("out",I76))),"No","Yes")))</f>
        <v>0</v>
      </c>
      <c r="AE76" s="17">
        <f>IF(B76="","",TEXT(B76,"yyyy-mm-dd")&amp;"|"&amp;F76)</f>
        <v>0</v>
      </c>
      <c r="AF76" s="31">
        <f>IF(B76="","",IF(AND(G76="",I76=""),"Add - nothing planned yet",IF(COUNTIFS($AE$5:$AE$504,AE76)&gt;1,"Duplicate - two meals in one slot",IF(AND(G76&lt;&gt;"",H76="Not found"),"Missing - recipe ID not on the Recipes tab",IF(AND(B76&lt;TODAY(),OR(N76="Planned",N76="")),"Check - did you cook it?","OK")))))</f>
        <v>0</v>
      </c>
      <c r="AG76" s="43" t="s">
        <v>746</v>
      </c>
    </row>
    <row r="77" spans="1:33">
      <c r="A77" s="39">
        <f>IF(B77="","",MealPrefix&amp;TEXT(ROW()-4,"0000"))</f>
        <v>0</v>
      </c>
      <c r="B77" s="15">
        <v>46311</v>
      </c>
      <c r="C77" s="17">
        <f>IF(B77="","",TEXT(B77,"ddd"))</f>
        <v>0</v>
      </c>
      <c r="D77" s="18">
        <f>IF(B77="","",WEEKNUM(B77,IF(WeekStart="Sunday",1,2)))</f>
        <v>0</v>
      </c>
      <c r="E77" s="17">
        <f>IF(B77="","",TEXT(B77,"yyyy-mm"))</f>
        <v>0</v>
      </c>
      <c r="F77" s="32" t="s">
        <v>137</v>
      </c>
      <c r="G77" s="32" t="s">
        <v>898</v>
      </c>
      <c r="H77" s="17">
        <f>IF(G77&lt;&gt;"",IFERROR(INDEX(Recipes!$B$5:$B$204,MATCH(G77,Recipes!$A$5:$A$204,0)),"Not found"),I77)</f>
        <v>0</v>
      </c>
      <c r="J77" s="35">
        <v>4</v>
      </c>
      <c r="K77" s="45">
        <f>IF(B77="","",IF(J77="",DefaultServings,J77))</f>
        <v>0</v>
      </c>
      <c r="L77" s="45">
        <f>IF(G77="",0,IFERROR(K77/INDEX(Recipes!$G$5:$G$204,MATCH(G77,Recipes!$A$5:$A$204,0)),0))</f>
        <v>0</v>
      </c>
      <c r="M77" s="40" t="s">
        <v>311</v>
      </c>
      <c r="N77" s="42" t="s">
        <v>317</v>
      </c>
      <c r="O77" s="32" t="s">
        <v>206</v>
      </c>
      <c r="Q77" s="38">
        <v>2</v>
      </c>
      <c r="R77" s="40" t="s">
        <v>311</v>
      </c>
      <c r="S77" s="32" t="s">
        <v>157</v>
      </c>
      <c r="T77" s="25">
        <f>IF(G77="","",IFERROR(INDEX(Recipes!$AD$5:$AD$204,MATCH(G77,Recipes!$A$5:$A$204,0))*K77,""))</f>
        <v>0</v>
      </c>
      <c r="V77" s="30">
        <f>IF(G77="","",IFERROR(INDEX(Recipes!$AE$5:$AE$204,MATCH(G77,Recipes!$A$5:$A$204,0)),"Not found"))</f>
        <v>0</v>
      </c>
      <c r="W77" s="45">
        <f>IF(G77="","",IFERROR(INDEX(Recipes!$AF$5:$AF$204,MATCH(G77,Recipes!$A$5:$A$204,0)),"Not found"))</f>
        <v>0</v>
      </c>
      <c r="X77" s="45">
        <f>IF(G77="","",IFERROR(INDEX(Recipes!$AG$5:$AG$204,MATCH(G77,Recipes!$A$5:$A$204,0)),"Not found"))</f>
        <v>0</v>
      </c>
      <c r="Y77" s="45">
        <f>IF(G77="","",IFERROR(INDEX(Recipes!$AH$5:$AH$204,MATCH(G77,Recipes!$A$5:$A$204,0)),"Not found"))</f>
        <v>0</v>
      </c>
      <c r="Z77" s="45">
        <f>IF(G77="","",IFERROR(INDEX(Recipes!$AI$5:$AI$204,MATCH(G77,Recipes!$A$5:$A$204,0)),"Not found"))</f>
        <v>0</v>
      </c>
      <c r="AA77" s="30">
        <f>IF(OR(V77="",NOT(ISNUMBER(V77))),"",V77*K77)</f>
        <v>0</v>
      </c>
      <c r="AB77" s="18">
        <f>IF(G77="","",IFERROR(INDEX(Recipes!$J$5:$J$204,MATCH(G77,Recipes!$A$5:$A$204,0)),"Not found"))</f>
        <v>0</v>
      </c>
      <c r="AC77" s="17">
        <f>IF(G77="","",IFERROR(INDEX(Recipes!$C$5:$C$204,MATCH(G77,Recipes!$A$5:$A$204,0)),"Not found"))</f>
        <v>0</v>
      </c>
      <c r="AD77" s="46">
        <f>IF(B77="","",IF(G77&lt;&gt;"","Yes",IF(OR(I77="",ISNUMBER(SEARCH("takeaway",I77)),ISNUMBER(SEARCH("out",I77))),"No","Yes")))</f>
        <v>0</v>
      </c>
      <c r="AE77" s="17">
        <f>IF(B77="","",TEXT(B77,"yyyy-mm-dd")&amp;"|"&amp;F77)</f>
        <v>0</v>
      </c>
      <c r="AF77" s="31">
        <f>IF(B77="","",IF(AND(G77="",I77=""),"Add - nothing planned yet",IF(COUNTIFS($AE$5:$AE$504,AE77)&gt;1,"Duplicate - two meals in one slot",IF(AND(G77&lt;&gt;"",H77="Not found"),"Missing - recipe ID not on the Recipes tab",IF(AND(B77&lt;TODAY(),OR(N77="Planned",N77="")),"Check - did you cook it?","OK")))))</f>
        <v>0</v>
      </c>
      <c r="AG77" s="43" t="s">
        <v>157</v>
      </c>
    </row>
    <row r="78" spans="1:33">
      <c r="A78" s="39">
        <f>IF(B78="","",MealPrefix&amp;TEXT(ROW()-4,"0000"))</f>
        <v>0</v>
      </c>
      <c r="B78" s="15">
        <v>46312</v>
      </c>
      <c r="C78" s="17">
        <f>IF(B78="","",TEXT(B78,"ddd"))</f>
        <v>0</v>
      </c>
      <c r="D78" s="18">
        <f>IF(B78="","",WEEKNUM(B78,IF(WeekStart="Sunday",1,2)))</f>
        <v>0</v>
      </c>
      <c r="E78" s="17">
        <f>IF(B78="","",TEXT(B78,"yyyy-mm"))</f>
        <v>0</v>
      </c>
      <c r="F78" s="32" t="s">
        <v>165</v>
      </c>
      <c r="G78" s="32" t="s">
        <v>946</v>
      </c>
      <c r="H78" s="17">
        <f>IF(G78&lt;&gt;"",IFERROR(INDEX(Recipes!$B$5:$B$204,MATCH(G78,Recipes!$A$5:$A$204,0)),"Not found"),I78)</f>
        <v>0</v>
      </c>
      <c r="J78" s="35">
        <v>3</v>
      </c>
      <c r="K78" s="45">
        <f>IF(B78="","",IF(J78="",DefaultServings,J78))</f>
        <v>0</v>
      </c>
      <c r="L78" s="45">
        <f>IF(G78="",0,IFERROR(K78/INDEX(Recipes!$G$5:$G$204,MATCH(G78,Recipes!$A$5:$A$204,0)),0))</f>
        <v>0</v>
      </c>
      <c r="M78" s="40" t="s">
        <v>311</v>
      </c>
      <c r="N78" s="42" t="s">
        <v>317</v>
      </c>
      <c r="O78" s="32" t="s">
        <v>206</v>
      </c>
      <c r="R78" s="40" t="s">
        <v>312</v>
      </c>
      <c r="T78" s="25">
        <f>IF(G78="","",IFERROR(INDEX(Recipes!$AD$5:$AD$204,MATCH(G78,Recipes!$A$5:$A$204,0))*K78,""))</f>
        <v>0</v>
      </c>
      <c r="V78" s="30">
        <f>IF(G78="","",IFERROR(INDEX(Recipes!$AE$5:$AE$204,MATCH(G78,Recipes!$A$5:$A$204,0)),"Not found"))</f>
        <v>0</v>
      </c>
      <c r="W78" s="45">
        <f>IF(G78="","",IFERROR(INDEX(Recipes!$AF$5:$AF$204,MATCH(G78,Recipes!$A$5:$A$204,0)),"Not found"))</f>
        <v>0</v>
      </c>
      <c r="X78" s="45">
        <f>IF(G78="","",IFERROR(INDEX(Recipes!$AG$5:$AG$204,MATCH(G78,Recipes!$A$5:$A$204,0)),"Not found"))</f>
        <v>0</v>
      </c>
      <c r="Y78" s="45">
        <f>IF(G78="","",IFERROR(INDEX(Recipes!$AH$5:$AH$204,MATCH(G78,Recipes!$A$5:$A$204,0)),"Not found"))</f>
        <v>0</v>
      </c>
      <c r="Z78" s="45">
        <f>IF(G78="","",IFERROR(INDEX(Recipes!$AI$5:$AI$204,MATCH(G78,Recipes!$A$5:$A$204,0)),"Not found"))</f>
        <v>0</v>
      </c>
      <c r="AA78" s="30">
        <f>IF(OR(V78="",NOT(ISNUMBER(V78))),"",V78*K78)</f>
        <v>0</v>
      </c>
      <c r="AB78" s="18">
        <f>IF(G78="","",IFERROR(INDEX(Recipes!$J$5:$J$204,MATCH(G78,Recipes!$A$5:$A$204,0)),"Not found"))</f>
        <v>0</v>
      </c>
      <c r="AC78" s="17">
        <f>IF(G78="","",IFERROR(INDEX(Recipes!$C$5:$C$204,MATCH(G78,Recipes!$A$5:$A$204,0)),"Not found"))</f>
        <v>0</v>
      </c>
      <c r="AD78" s="46">
        <f>IF(B78="","",IF(G78&lt;&gt;"","Yes",IF(OR(I78="",ISNUMBER(SEARCH("takeaway",I78)),ISNUMBER(SEARCH("out",I78))),"No","Yes")))</f>
        <v>0</v>
      </c>
      <c r="AE78" s="17">
        <f>IF(B78="","",TEXT(B78,"yyyy-mm-dd")&amp;"|"&amp;F78)</f>
        <v>0</v>
      </c>
      <c r="AF78" s="31">
        <f>IF(B78="","",IF(AND(G78="",I78=""),"Add - nothing planned yet",IF(COUNTIFS($AE$5:$AE$504,AE78)&gt;1,"Duplicate - two meals in one slot",IF(AND(G78&lt;&gt;"",H78="Not found"),"Missing - recipe ID not on the Recipes tab",IF(AND(B78&lt;TODAY(),OR(N78="Planned",N78="")),"Check - did you cook it?","OK")))))</f>
        <v>0</v>
      </c>
      <c r="AG78" s="43" t="s">
        <v>157</v>
      </c>
    </row>
    <row r="79" spans="1:33">
      <c r="A79" s="39">
        <f>IF(B79="","",MealPrefix&amp;TEXT(ROW()-4,"0000"))</f>
        <v>0</v>
      </c>
      <c r="B79" s="15">
        <v>46312</v>
      </c>
      <c r="C79" s="17">
        <f>IF(B79="","",TEXT(B79,"ddd"))</f>
        <v>0</v>
      </c>
      <c r="D79" s="18">
        <f>IF(B79="","",WEEKNUM(B79,IF(WeekStart="Sunday",1,2)))</f>
        <v>0</v>
      </c>
      <c r="E79" s="17">
        <f>IF(B79="","",TEXT(B79,"yyyy-mm"))</f>
        <v>0</v>
      </c>
      <c r="F79" s="32" t="s">
        <v>167</v>
      </c>
      <c r="H79" s="17">
        <f>IF(G79&lt;&gt;"",IFERROR(INDEX(Recipes!$B$5:$B$204,MATCH(G79,Recipes!$A$5:$A$204,0)),"Not found"),I79)</f>
        <v>0</v>
      </c>
      <c r="I79" s="32" t="s">
        <v>1046</v>
      </c>
      <c r="J79" s="35">
        <v>4</v>
      </c>
      <c r="K79" s="45">
        <f>IF(B79="","",IF(J79="",DefaultServings,J79))</f>
        <v>0</v>
      </c>
      <c r="L79" s="45">
        <f>IF(G79="",0,IFERROR(K79/INDEX(Recipes!$G$5:$G$204,MATCH(G79,Recipes!$A$5:$A$204,0)),0))</f>
        <v>0</v>
      </c>
      <c r="M79" s="40" t="s">
        <v>312</v>
      </c>
      <c r="N79" s="42" t="s">
        <v>317</v>
      </c>
      <c r="O79" s="32" t="s">
        <v>157</v>
      </c>
      <c r="R79" s="40" t="s">
        <v>312</v>
      </c>
      <c r="T79" s="25">
        <f>IF(G79="","",IFERROR(INDEX(Recipes!$AD$5:$AD$204,MATCH(G79,Recipes!$A$5:$A$204,0))*K79,""))</f>
        <v>0</v>
      </c>
      <c r="V79" s="30">
        <f>IF(G79="","",IFERROR(INDEX(Recipes!$AE$5:$AE$204,MATCH(G79,Recipes!$A$5:$A$204,0)),"Not found"))</f>
        <v>0</v>
      </c>
      <c r="W79" s="45">
        <f>IF(G79="","",IFERROR(INDEX(Recipes!$AF$5:$AF$204,MATCH(G79,Recipes!$A$5:$A$204,0)),"Not found"))</f>
        <v>0</v>
      </c>
      <c r="X79" s="45">
        <f>IF(G79="","",IFERROR(INDEX(Recipes!$AG$5:$AG$204,MATCH(G79,Recipes!$A$5:$A$204,0)),"Not found"))</f>
        <v>0</v>
      </c>
      <c r="Y79" s="45">
        <f>IF(G79="","",IFERROR(INDEX(Recipes!$AH$5:$AH$204,MATCH(G79,Recipes!$A$5:$A$204,0)),"Not found"))</f>
        <v>0</v>
      </c>
      <c r="Z79" s="45">
        <f>IF(G79="","",IFERROR(INDEX(Recipes!$AI$5:$AI$204,MATCH(G79,Recipes!$A$5:$A$204,0)),"Not found"))</f>
        <v>0</v>
      </c>
      <c r="AA79" s="30">
        <f>IF(OR(V79="",NOT(ISNUMBER(V79))),"",V79*K79)</f>
        <v>0</v>
      </c>
      <c r="AB79" s="18">
        <f>IF(G79="","",IFERROR(INDEX(Recipes!$J$5:$J$204,MATCH(G79,Recipes!$A$5:$A$204,0)),"Not found"))</f>
        <v>0</v>
      </c>
      <c r="AC79" s="17">
        <f>IF(G79="","",IFERROR(INDEX(Recipes!$C$5:$C$204,MATCH(G79,Recipes!$A$5:$A$204,0)),"Not found"))</f>
        <v>0</v>
      </c>
      <c r="AD79" s="46">
        <f>IF(B79="","",IF(G79&lt;&gt;"","Yes",IF(OR(I79="",ISNUMBER(SEARCH("takeaway",I79)),ISNUMBER(SEARCH("out",I79))),"No","Yes")))</f>
        <v>0</v>
      </c>
      <c r="AE79" s="17">
        <f>IF(B79="","",TEXT(B79,"yyyy-mm-dd")&amp;"|"&amp;F79)</f>
        <v>0</v>
      </c>
      <c r="AF79" s="31">
        <f>IF(B79="","",IF(AND(G79="",I79=""),"Add - nothing planned yet",IF(COUNTIFS($AE$5:$AE$504,AE79)&gt;1,"Duplicate - two meals in one slot",IF(AND(G79&lt;&gt;"",H79="Not found"),"Missing - recipe ID not on the Recipes tab",IF(AND(B79&lt;TODAY(),OR(N79="Planned",N79="")),"Check - did you cook it?","OK")))))</f>
        <v>0</v>
      </c>
      <c r="AG79" s="43" t="s">
        <v>157</v>
      </c>
    </row>
    <row r="80" spans="1:33">
      <c r="A80" s="39">
        <f>IF(B80="","",MealPrefix&amp;TEXT(ROW()-4,"0000"))</f>
        <v>0</v>
      </c>
      <c r="B80" s="15">
        <v>46312</v>
      </c>
      <c r="C80" s="17">
        <f>IF(B80="","",TEXT(B80,"ddd"))</f>
        <v>0</v>
      </c>
      <c r="D80" s="18">
        <f>IF(B80="","",WEEKNUM(B80,IF(WeekStart="Sunday",1,2)))</f>
        <v>0</v>
      </c>
      <c r="E80" s="17">
        <f>IF(B80="","",TEXT(B80,"yyyy-mm"))</f>
        <v>0</v>
      </c>
      <c r="F80" s="32" t="s">
        <v>137</v>
      </c>
      <c r="G80" s="32" t="s">
        <v>887</v>
      </c>
      <c r="H80" s="17">
        <f>IF(G80&lt;&gt;"",IFERROR(INDEX(Recipes!$B$5:$B$204,MATCH(G80,Recipes!$A$5:$A$204,0)),"Not found"),I80)</f>
        <v>0</v>
      </c>
      <c r="J80" s="35">
        <v>4</v>
      </c>
      <c r="K80" s="45">
        <f>IF(B80="","",IF(J80="",DefaultServings,J80))</f>
        <v>0</v>
      </c>
      <c r="L80" s="45">
        <f>IF(G80="",0,IFERROR(K80/INDEX(Recipes!$G$5:$G$204,MATCH(G80,Recipes!$A$5:$A$204,0)),0))</f>
        <v>0</v>
      </c>
      <c r="M80" s="40" t="s">
        <v>311</v>
      </c>
      <c r="N80" s="42" t="s">
        <v>317</v>
      </c>
      <c r="O80" s="32" t="s">
        <v>206</v>
      </c>
      <c r="R80" s="40" t="s">
        <v>312</v>
      </c>
      <c r="S80" s="32" t="s">
        <v>157</v>
      </c>
      <c r="T80" s="25">
        <f>IF(G80="","",IFERROR(INDEX(Recipes!$AD$5:$AD$204,MATCH(G80,Recipes!$A$5:$A$204,0))*K80,""))</f>
        <v>0</v>
      </c>
      <c r="V80" s="30">
        <f>IF(G80="","",IFERROR(INDEX(Recipes!$AE$5:$AE$204,MATCH(G80,Recipes!$A$5:$A$204,0)),"Not found"))</f>
        <v>0</v>
      </c>
      <c r="W80" s="45">
        <f>IF(G80="","",IFERROR(INDEX(Recipes!$AF$5:$AF$204,MATCH(G80,Recipes!$A$5:$A$204,0)),"Not found"))</f>
        <v>0</v>
      </c>
      <c r="X80" s="45">
        <f>IF(G80="","",IFERROR(INDEX(Recipes!$AG$5:$AG$204,MATCH(G80,Recipes!$A$5:$A$204,0)),"Not found"))</f>
        <v>0</v>
      </c>
      <c r="Y80" s="45">
        <f>IF(G80="","",IFERROR(INDEX(Recipes!$AH$5:$AH$204,MATCH(G80,Recipes!$A$5:$A$204,0)),"Not found"))</f>
        <v>0</v>
      </c>
      <c r="Z80" s="45">
        <f>IF(G80="","",IFERROR(INDEX(Recipes!$AI$5:$AI$204,MATCH(G80,Recipes!$A$5:$A$204,0)),"Not found"))</f>
        <v>0</v>
      </c>
      <c r="AA80" s="30">
        <f>IF(OR(V80="",NOT(ISNUMBER(V80))),"",V80*K80)</f>
        <v>0</v>
      </c>
      <c r="AB80" s="18">
        <f>IF(G80="","",IFERROR(INDEX(Recipes!$J$5:$J$204,MATCH(G80,Recipes!$A$5:$A$204,0)),"Not found"))</f>
        <v>0</v>
      </c>
      <c r="AC80" s="17">
        <f>IF(G80="","",IFERROR(INDEX(Recipes!$C$5:$C$204,MATCH(G80,Recipes!$A$5:$A$204,0)),"Not found"))</f>
        <v>0</v>
      </c>
      <c r="AD80" s="46">
        <f>IF(B80="","",IF(G80&lt;&gt;"","Yes",IF(OR(I80="",ISNUMBER(SEARCH("takeaway",I80)),ISNUMBER(SEARCH("out",I80))),"No","Yes")))</f>
        <v>0</v>
      </c>
      <c r="AE80" s="17">
        <f>IF(B80="","",TEXT(B80,"yyyy-mm-dd")&amp;"|"&amp;F80)</f>
        <v>0</v>
      </c>
      <c r="AF80" s="31">
        <f>IF(B80="","",IF(AND(G80="",I80=""),"Add - nothing planned yet",IF(COUNTIFS($AE$5:$AE$504,AE80)&gt;1,"Duplicate - two meals in one slot",IF(AND(G80&lt;&gt;"",H80="Not found"),"Missing - recipe ID not on the Recipes tab",IF(AND(B80&lt;TODAY(),OR(N80="Planned",N80="")),"Check - did you cook it?","OK")))))</f>
        <v>0</v>
      </c>
      <c r="AG80" s="43" t="s">
        <v>157</v>
      </c>
    </row>
    <row r="81" spans="1:33">
      <c r="A81" s="39">
        <f>IF(B81="","",MealPrefix&amp;TEXT(ROW()-4,"0000"))</f>
        <v>0</v>
      </c>
      <c r="B81" s="15">
        <v>46313</v>
      </c>
      <c r="C81" s="17">
        <f>IF(B81="","",TEXT(B81,"ddd"))</f>
        <v>0</v>
      </c>
      <c r="D81" s="18">
        <f>IF(B81="","",WEEKNUM(B81,IF(WeekStart="Sunday",1,2)))</f>
        <v>0</v>
      </c>
      <c r="E81" s="17">
        <f>IF(B81="","",TEXT(B81,"yyyy-mm"))</f>
        <v>0</v>
      </c>
      <c r="F81" s="32" t="s">
        <v>165</v>
      </c>
      <c r="G81" s="32" t="s">
        <v>950</v>
      </c>
      <c r="H81" s="17">
        <f>IF(G81&lt;&gt;"",IFERROR(INDEX(Recipes!$B$5:$B$204,MATCH(G81,Recipes!$A$5:$A$204,0)),"Not found"),I81)</f>
        <v>0</v>
      </c>
      <c r="J81" s="35">
        <v>3</v>
      </c>
      <c r="K81" s="45">
        <f>IF(B81="","",IF(J81="",DefaultServings,J81))</f>
        <v>0</v>
      </c>
      <c r="L81" s="45">
        <f>IF(G81="",0,IFERROR(K81/INDEX(Recipes!$G$5:$G$204,MATCH(G81,Recipes!$A$5:$A$204,0)),0))</f>
        <v>0</v>
      </c>
      <c r="M81" s="40" t="s">
        <v>311</v>
      </c>
      <c r="N81" s="42" t="s">
        <v>317</v>
      </c>
      <c r="O81" s="32" t="s">
        <v>206</v>
      </c>
      <c r="R81" s="40" t="s">
        <v>312</v>
      </c>
      <c r="T81" s="25">
        <f>IF(G81="","",IFERROR(INDEX(Recipes!$AD$5:$AD$204,MATCH(G81,Recipes!$A$5:$A$204,0))*K81,""))</f>
        <v>0</v>
      </c>
      <c r="V81" s="30">
        <f>IF(G81="","",IFERROR(INDEX(Recipes!$AE$5:$AE$204,MATCH(G81,Recipes!$A$5:$A$204,0)),"Not found"))</f>
        <v>0</v>
      </c>
      <c r="W81" s="45">
        <f>IF(G81="","",IFERROR(INDEX(Recipes!$AF$5:$AF$204,MATCH(G81,Recipes!$A$5:$A$204,0)),"Not found"))</f>
        <v>0</v>
      </c>
      <c r="X81" s="45">
        <f>IF(G81="","",IFERROR(INDEX(Recipes!$AG$5:$AG$204,MATCH(G81,Recipes!$A$5:$A$204,0)),"Not found"))</f>
        <v>0</v>
      </c>
      <c r="Y81" s="45">
        <f>IF(G81="","",IFERROR(INDEX(Recipes!$AH$5:$AH$204,MATCH(G81,Recipes!$A$5:$A$204,0)),"Not found"))</f>
        <v>0</v>
      </c>
      <c r="Z81" s="45">
        <f>IF(G81="","",IFERROR(INDEX(Recipes!$AI$5:$AI$204,MATCH(G81,Recipes!$A$5:$A$204,0)),"Not found"))</f>
        <v>0</v>
      </c>
      <c r="AA81" s="30">
        <f>IF(OR(V81="",NOT(ISNUMBER(V81))),"",V81*K81)</f>
        <v>0</v>
      </c>
      <c r="AB81" s="18">
        <f>IF(G81="","",IFERROR(INDEX(Recipes!$J$5:$J$204,MATCH(G81,Recipes!$A$5:$A$204,0)),"Not found"))</f>
        <v>0</v>
      </c>
      <c r="AC81" s="17">
        <f>IF(G81="","",IFERROR(INDEX(Recipes!$C$5:$C$204,MATCH(G81,Recipes!$A$5:$A$204,0)),"Not found"))</f>
        <v>0</v>
      </c>
      <c r="AD81" s="46">
        <f>IF(B81="","",IF(G81&lt;&gt;"","Yes",IF(OR(I81="",ISNUMBER(SEARCH("takeaway",I81)),ISNUMBER(SEARCH("out",I81))),"No","Yes")))</f>
        <v>0</v>
      </c>
      <c r="AE81" s="17">
        <f>IF(B81="","",TEXT(B81,"yyyy-mm-dd")&amp;"|"&amp;F81)</f>
        <v>0</v>
      </c>
      <c r="AF81" s="31">
        <f>IF(B81="","",IF(AND(G81="",I81=""),"Add - nothing planned yet",IF(COUNTIFS($AE$5:$AE$504,AE81)&gt;1,"Duplicate - two meals in one slot",IF(AND(G81&lt;&gt;"",H81="Not found"),"Missing - recipe ID not on the Recipes tab",IF(AND(B81&lt;TODAY(),OR(N81="Planned",N81="")),"Check - did you cook it?","OK")))))</f>
        <v>0</v>
      </c>
      <c r="AG81" s="43" t="s">
        <v>157</v>
      </c>
    </row>
    <row r="82" spans="1:33">
      <c r="A82" s="39">
        <f>IF(B82="","",MealPrefix&amp;TEXT(ROW()-4,"0000"))</f>
        <v>0</v>
      </c>
      <c r="B82" s="15">
        <v>46313</v>
      </c>
      <c r="C82" s="17">
        <f>IF(B82="","",TEXT(B82,"ddd"))</f>
        <v>0</v>
      </c>
      <c r="D82" s="18">
        <f>IF(B82="","",WEEKNUM(B82,IF(WeekStart="Sunday",1,2)))</f>
        <v>0</v>
      </c>
      <c r="E82" s="17">
        <f>IF(B82="","",TEXT(B82,"yyyy-mm"))</f>
        <v>0</v>
      </c>
      <c r="F82" s="32" t="s">
        <v>167</v>
      </c>
      <c r="H82" s="17">
        <f>IF(G82&lt;&gt;"",IFERROR(INDEX(Recipes!$B$5:$B$204,MATCH(G82,Recipes!$A$5:$A$204,0)),"Not found"),I82)</f>
        <v>0</v>
      </c>
      <c r="I82" s="32" t="s">
        <v>1046</v>
      </c>
      <c r="J82" s="35">
        <v>4</v>
      </c>
      <c r="K82" s="45">
        <f>IF(B82="","",IF(J82="",DefaultServings,J82))</f>
        <v>0</v>
      </c>
      <c r="L82" s="45">
        <f>IF(G82="",0,IFERROR(K82/INDEX(Recipes!$G$5:$G$204,MATCH(G82,Recipes!$A$5:$A$204,0)),0))</f>
        <v>0</v>
      </c>
      <c r="M82" s="40" t="s">
        <v>312</v>
      </c>
      <c r="N82" s="42" t="s">
        <v>317</v>
      </c>
      <c r="O82" s="32" t="s">
        <v>157</v>
      </c>
      <c r="R82" s="40" t="s">
        <v>312</v>
      </c>
      <c r="T82" s="25">
        <f>IF(G82="","",IFERROR(INDEX(Recipes!$AD$5:$AD$204,MATCH(G82,Recipes!$A$5:$A$204,0))*K82,""))</f>
        <v>0</v>
      </c>
      <c r="V82" s="30">
        <f>IF(G82="","",IFERROR(INDEX(Recipes!$AE$5:$AE$204,MATCH(G82,Recipes!$A$5:$A$204,0)),"Not found"))</f>
        <v>0</v>
      </c>
      <c r="W82" s="45">
        <f>IF(G82="","",IFERROR(INDEX(Recipes!$AF$5:$AF$204,MATCH(G82,Recipes!$A$5:$A$204,0)),"Not found"))</f>
        <v>0</v>
      </c>
      <c r="X82" s="45">
        <f>IF(G82="","",IFERROR(INDEX(Recipes!$AG$5:$AG$204,MATCH(G82,Recipes!$A$5:$A$204,0)),"Not found"))</f>
        <v>0</v>
      </c>
      <c r="Y82" s="45">
        <f>IF(G82="","",IFERROR(INDEX(Recipes!$AH$5:$AH$204,MATCH(G82,Recipes!$A$5:$A$204,0)),"Not found"))</f>
        <v>0</v>
      </c>
      <c r="Z82" s="45">
        <f>IF(G82="","",IFERROR(INDEX(Recipes!$AI$5:$AI$204,MATCH(G82,Recipes!$A$5:$A$204,0)),"Not found"))</f>
        <v>0</v>
      </c>
      <c r="AA82" s="30">
        <f>IF(OR(V82="",NOT(ISNUMBER(V82))),"",V82*K82)</f>
        <v>0</v>
      </c>
      <c r="AB82" s="18">
        <f>IF(G82="","",IFERROR(INDEX(Recipes!$J$5:$J$204,MATCH(G82,Recipes!$A$5:$A$204,0)),"Not found"))</f>
        <v>0</v>
      </c>
      <c r="AC82" s="17">
        <f>IF(G82="","",IFERROR(INDEX(Recipes!$C$5:$C$204,MATCH(G82,Recipes!$A$5:$A$204,0)),"Not found"))</f>
        <v>0</v>
      </c>
      <c r="AD82" s="46">
        <f>IF(B82="","",IF(G82&lt;&gt;"","Yes",IF(OR(I82="",ISNUMBER(SEARCH("takeaway",I82)),ISNUMBER(SEARCH("out",I82))),"No","Yes")))</f>
        <v>0</v>
      </c>
      <c r="AE82" s="17">
        <f>IF(B82="","",TEXT(B82,"yyyy-mm-dd")&amp;"|"&amp;F82)</f>
        <v>0</v>
      </c>
      <c r="AF82" s="31">
        <f>IF(B82="","",IF(AND(G82="",I82=""),"Add - nothing planned yet",IF(COUNTIFS($AE$5:$AE$504,AE82)&gt;1,"Duplicate - two meals in one slot",IF(AND(G82&lt;&gt;"",H82="Not found"),"Missing - recipe ID not on the Recipes tab",IF(AND(B82&lt;TODAY(),OR(N82="Planned",N82="")),"Check - did you cook it?","OK")))))</f>
        <v>0</v>
      </c>
      <c r="AG82" s="43" t="s">
        <v>157</v>
      </c>
    </row>
    <row r="83" spans="1:33">
      <c r="A83" s="39">
        <f>IF(B83="","",MealPrefix&amp;TEXT(ROW()-4,"0000"))</f>
        <v>0</v>
      </c>
      <c r="B83" s="15">
        <v>46313</v>
      </c>
      <c r="C83" s="17">
        <f>IF(B83="","",TEXT(B83,"ddd"))</f>
        <v>0</v>
      </c>
      <c r="D83" s="18">
        <f>IF(B83="","",WEEKNUM(B83,IF(WeekStart="Sunday",1,2)))</f>
        <v>0</v>
      </c>
      <c r="E83" s="17">
        <f>IF(B83="","",TEXT(B83,"yyyy-mm"))</f>
        <v>0</v>
      </c>
      <c r="F83" s="32" t="s">
        <v>137</v>
      </c>
      <c r="G83" s="32" t="s">
        <v>908</v>
      </c>
      <c r="H83" s="17">
        <f>IF(G83&lt;&gt;"",IFERROR(INDEX(Recipes!$B$5:$B$204,MATCH(G83,Recipes!$A$5:$A$204,0)),"Not found"),I83)</f>
        <v>0</v>
      </c>
      <c r="J83" s="35">
        <v>4</v>
      </c>
      <c r="K83" s="45">
        <f>IF(B83="","",IF(J83="",DefaultServings,J83))</f>
        <v>0</v>
      </c>
      <c r="L83" s="45">
        <f>IF(G83="",0,IFERROR(K83/INDEX(Recipes!$G$5:$G$204,MATCH(G83,Recipes!$A$5:$A$204,0)),0))</f>
        <v>0</v>
      </c>
      <c r="M83" s="40" t="s">
        <v>311</v>
      </c>
      <c r="N83" s="42" t="s">
        <v>317</v>
      </c>
      <c r="O83" s="32" t="s">
        <v>206</v>
      </c>
      <c r="R83" s="40" t="s">
        <v>312</v>
      </c>
      <c r="S83" s="32" t="s">
        <v>1049</v>
      </c>
      <c r="T83" s="25">
        <f>IF(G83="","",IFERROR(INDEX(Recipes!$AD$5:$AD$204,MATCH(G83,Recipes!$A$5:$A$204,0))*K83,""))</f>
        <v>0</v>
      </c>
      <c r="V83" s="30">
        <f>IF(G83="","",IFERROR(INDEX(Recipes!$AE$5:$AE$204,MATCH(G83,Recipes!$A$5:$A$204,0)),"Not found"))</f>
        <v>0</v>
      </c>
      <c r="W83" s="45">
        <f>IF(G83="","",IFERROR(INDEX(Recipes!$AF$5:$AF$204,MATCH(G83,Recipes!$A$5:$A$204,0)),"Not found"))</f>
        <v>0</v>
      </c>
      <c r="X83" s="45">
        <f>IF(G83="","",IFERROR(INDEX(Recipes!$AG$5:$AG$204,MATCH(G83,Recipes!$A$5:$A$204,0)),"Not found"))</f>
        <v>0</v>
      </c>
      <c r="Y83" s="45">
        <f>IF(G83="","",IFERROR(INDEX(Recipes!$AH$5:$AH$204,MATCH(G83,Recipes!$A$5:$A$204,0)),"Not found"))</f>
        <v>0</v>
      </c>
      <c r="Z83" s="45">
        <f>IF(G83="","",IFERROR(INDEX(Recipes!$AI$5:$AI$204,MATCH(G83,Recipes!$A$5:$A$204,0)),"Not found"))</f>
        <v>0</v>
      </c>
      <c r="AA83" s="30">
        <f>IF(OR(V83="",NOT(ISNUMBER(V83))),"",V83*K83)</f>
        <v>0</v>
      </c>
      <c r="AB83" s="18">
        <f>IF(G83="","",IFERROR(INDEX(Recipes!$J$5:$J$204,MATCH(G83,Recipes!$A$5:$A$204,0)),"Not found"))</f>
        <v>0</v>
      </c>
      <c r="AC83" s="17">
        <f>IF(G83="","",IFERROR(INDEX(Recipes!$C$5:$C$204,MATCH(G83,Recipes!$A$5:$A$204,0)),"Not found"))</f>
        <v>0</v>
      </c>
      <c r="AD83" s="46">
        <f>IF(B83="","",IF(G83&lt;&gt;"","Yes",IF(OR(I83="",ISNUMBER(SEARCH("takeaway",I83)),ISNUMBER(SEARCH("out",I83))),"No","Yes")))</f>
        <v>0</v>
      </c>
      <c r="AE83" s="17">
        <f>IF(B83="","",TEXT(B83,"yyyy-mm-dd")&amp;"|"&amp;F83)</f>
        <v>0</v>
      </c>
      <c r="AF83" s="31">
        <f>IF(B83="","",IF(AND(G83="",I83=""),"Add - nothing planned yet",IF(COUNTIFS($AE$5:$AE$504,AE83)&gt;1,"Duplicate - two meals in one slot",IF(AND(G83&lt;&gt;"",H83="Not found"),"Missing - recipe ID not on the Recipes tab",IF(AND(B83&lt;TODAY(),OR(N83="Planned",N83="")),"Check - did you cook it?","OK")))))</f>
        <v>0</v>
      </c>
      <c r="AG83" s="43" t="s">
        <v>157</v>
      </c>
    </row>
    <row r="84" spans="1:33">
      <c r="A84" s="39">
        <f>IF(B84="","",MealPrefix&amp;TEXT(ROW()-4,"0000"))</f>
        <v>0</v>
      </c>
      <c r="B84" s="15">
        <v>46313</v>
      </c>
      <c r="C84" s="17">
        <f>IF(B84="","",TEXT(B84,"ddd"))</f>
        <v>0</v>
      </c>
      <c r="D84" s="18">
        <f>IF(B84="","",WEEKNUM(B84,IF(WeekStart="Sunday",1,2)))</f>
        <v>0</v>
      </c>
      <c r="E84" s="17">
        <f>IF(B84="","",TEXT(B84,"yyyy-mm"))</f>
        <v>0</v>
      </c>
      <c r="F84" s="32" t="s">
        <v>170</v>
      </c>
      <c r="G84" s="32" t="s">
        <v>966</v>
      </c>
      <c r="H84" s="17">
        <f>IF(G84&lt;&gt;"",IFERROR(INDEX(Recipes!$B$5:$B$204,MATCH(G84,Recipes!$A$5:$A$204,0)),"Not found"),I84)</f>
        <v>0</v>
      </c>
      <c r="J84" s="35">
        <v>6</v>
      </c>
      <c r="K84" s="45">
        <f>IF(B84="","",IF(J84="",DefaultServings,J84))</f>
        <v>0</v>
      </c>
      <c r="L84" s="45">
        <f>IF(G84="",0,IFERROR(K84/INDEX(Recipes!$G$5:$G$204,MATCH(G84,Recipes!$A$5:$A$204,0)),0))</f>
        <v>0</v>
      </c>
      <c r="M84" s="40" t="s">
        <v>311</v>
      </c>
      <c r="N84" s="42" t="s">
        <v>317</v>
      </c>
      <c r="O84" s="32" t="s">
        <v>742</v>
      </c>
      <c r="R84" s="40" t="s">
        <v>312</v>
      </c>
      <c r="T84" s="25">
        <f>IF(G84="","",IFERROR(INDEX(Recipes!$AD$5:$AD$204,MATCH(G84,Recipes!$A$5:$A$204,0))*K84,""))</f>
        <v>0</v>
      </c>
      <c r="V84" s="30">
        <f>IF(G84="","",IFERROR(INDEX(Recipes!$AE$5:$AE$204,MATCH(G84,Recipes!$A$5:$A$204,0)),"Not found"))</f>
        <v>0</v>
      </c>
      <c r="W84" s="45">
        <f>IF(G84="","",IFERROR(INDEX(Recipes!$AF$5:$AF$204,MATCH(G84,Recipes!$A$5:$A$204,0)),"Not found"))</f>
        <v>0</v>
      </c>
      <c r="X84" s="45">
        <f>IF(G84="","",IFERROR(INDEX(Recipes!$AG$5:$AG$204,MATCH(G84,Recipes!$A$5:$A$204,0)),"Not found"))</f>
        <v>0</v>
      </c>
      <c r="Y84" s="45">
        <f>IF(G84="","",IFERROR(INDEX(Recipes!$AH$5:$AH$204,MATCH(G84,Recipes!$A$5:$A$204,0)),"Not found"))</f>
        <v>0</v>
      </c>
      <c r="Z84" s="45">
        <f>IF(G84="","",IFERROR(INDEX(Recipes!$AI$5:$AI$204,MATCH(G84,Recipes!$A$5:$A$204,0)),"Not found"))</f>
        <v>0</v>
      </c>
      <c r="AA84" s="30">
        <f>IF(OR(V84="",NOT(ISNUMBER(V84))),"",V84*K84)</f>
        <v>0</v>
      </c>
      <c r="AB84" s="18">
        <f>IF(G84="","",IFERROR(INDEX(Recipes!$J$5:$J$204,MATCH(G84,Recipes!$A$5:$A$204,0)),"Not found"))</f>
        <v>0</v>
      </c>
      <c r="AC84" s="17">
        <f>IF(G84="","",IFERROR(INDEX(Recipes!$C$5:$C$204,MATCH(G84,Recipes!$A$5:$A$204,0)),"Not found"))</f>
        <v>0</v>
      </c>
      <c r="AD84" s="46">
        <f>IF(B84="","",IF(G84&lt;&gt;"","Yes",IF(OR(I84="",ISNUMBER(SEARCH("takeaway",I84)),ISNUMBER(SEARCH("out",I84))),"No","Yes")))</f>
        <v>0</v>
      </c>
      <c r="AE84" s="17">
        <f>IF(B84="","",TEXT(B84,"yyyy-mm-dd")&amp;"|"&amp;F84)</f>
        <v>0</v>
      </c>
      <c r="AF84" s="31">
        <f>IF(B84="","",IF(AND(G84="",I84=""),"Add - nothing planned yet",IF(COUNTIFS($AE$5:$AE$504,AE84)&gt;1,"Duplicate - two meals in one slot",IF(AND(G84&lt;&gt;"",H84="Not found"),"Missing - recipe ID not on the Recipes tab",IF(AND(B84&lt;TODAY(),OR(N84="Planned",N84="")),"Check - did you cook it?","OK")))))</f>
        <v>0</v>
      </c>
      <c r="AG84" s="43" t="s">
        <v>157</v>
      </c>
    </row>
    <row r="85" spans="1:33">
      <c r="A85" s="39">
        <f>IF(B85="","",MealPrefix&amp;TEXT(ROW()-4,"0000"))</f>
        <v>0</v>
      </c>
      <c r="C85" s="17">
        <f>IF(B85="","",TEXT(B85,"ddd"))</f>
        <v>0</v>
      </c>
      <c r="D85" s="18">
        <f>IF(B85="","",WEEKNUM(B85,IF(WeekStart="Sunday",1,2)))</f>
        <v>0</v>
      </c>
      <c r="E85" s="17">
        <f>IF(B85="","",TEXT(B85,"yyyy-mm"))</f>
        <v>0</v>
      </c>
      <c r="H85" s="17">
        <f>IF(G85&lt;&gt;"",IFERROR(INDEX(Recipes!$B$5:$B$204,MATCH(G85,Recipes!$A$5:$A$204,0)),"Not found"),I85)</f>
        <v>0</v>
      </c>
      <c r="K85" s="45">
        <f>IF(B85="","",IF(J85="",DefaultServings,J85))</f>
        <v>0</v>
      </c>
      <c r="L85" s="45">
        <f>IF(G85="",0,IFERROR(K85/INDEX(Recipes!$G$5:$G$204,MATCH(G85,Recipes!$A$5:$A$204,0)),0))</f>
        <v>0</v>
      </c>
      <c r="T85" s="25">
        <f>IF(G85="","",IFERROR(INDEX(Recipes!$AD$5:$AD$204,MATCH(G85,Recipes!$A$5:$A$204,0))*K85,""))</f>
        <v>0</v>
      </c>
      <c r="V85" s="30">
        <f>IF(G85="","",IFERROR(INDEX(Recipes!$AE$5:$AE$204,MATCH(G85,Recipes!$A$5:$A$204,0)),"Not found"))</f>
        <v>0</v>
      </c>
      <c r="W85" s="45">
        <f>IF(G85="","",IFERROR(INDEX(Recipes!$AF$5:$AF$204,MATCH(G85,Recipes!$A$5:$A$204,0)),"Not found"))</f>
        <v>0</v>
      </c>
      <c r="X85" s="45">
        <f>IF(G85="","",IFERROR(INDEX(Recipes!$AG$5:$AG$204,MATCH(G85,Recipes!$A$5:$A$204,0)),"Not found"))</f>
        <v>0</v>
      </c>
      <c r="Y85" s="45">
        <f>IF(G85="","",IFERROR(INDEX(Recipes!$AH$5:$AH$204,MATCH(G85,Recipes!$A$5:$A$204,0)),"Not found"))</f>
        <v>0</v>
      </c>
      <c r="Z85" s="45">
        <f>IF(G85="","",IFERROR(INDEX(Recipes!$AI$5:$AI$204,MATCH(G85,Recipes!$A$5:$A$204,0)),"Not found"))</f>
        <v>0</v>
      </c>
      <c r="AA85" s="30">
        <f>IF(OR(V85="",NOT(ISNUMBER(V85))),"",V85*K85)</f>
        <v>0</v>
      </c>
      <c r="AB85" s="18">
        <f>IF(G85="","",IFERROR(INDEX(Recipes!$J$5:$J$204,MATCH(G85,Recipes!$A$5:$A$204,0)),"Not found"))</f>
        <v>0</v>
      </c>
      <c r="AC85" s="17">
        <f>IF(G85="","",IFERROR(INDEX(Recipes!$C$5:$C$204,MATCH(G85,Recipes!$A$5:$A$204,0)),"Not found"))</f>
        <v>0</v>
      </c>
      <c r="AD85" s="46">
        <f>IF(B85="","",IF(G85&lt;&gt;"","Yes",IF(OR(I85="",ISNUMBER(SEARCH("takeaway",I85)),ISNUMBER(SEARCH("out",I85))),"No","Yes")))</f>
        <v>0</v>
      </c>
      <c r="AE85" s="17">
        <f>IF(B85="","",TEXT(B85,"yyyy-mm-dd")&amp;"|"&amp;F85)</f>
        <v>0</v>
      </c>
      <c r="AF85" s="31">
        <f>IF(B85="","",IF(AND(G85="",I85=""),"Add - nothing planned yet",IF(COUNTIFS($AE$5:$AE$504,AE85)&gt;1,"Duplicate - two meals in one slot",IF(AND(G85&lt;&gt;"",H85="Not found"),"Missing - recipe ID not on the Recipes tab",IF(AND(B85&lt;TODAY(),OR(N85="Planned",N85="")),"Check - did you cook it?","OK")))))</f>
        <v>0</v>
      </c>
    </row>
    <row r="86" spans="1:33">
      <c r="A86" s="39">
        <f>IF(B86="","",MealPrefix&amp;TEXT(ROW()-4,"0000"))</f>
        <v>0</v>
      </c>
      <c r="C86" s="17">
        <f>IF(B86="","",TEXT(B86,"ddd"))</f>
        <v>0</v>
      </c>
      <c r="D86" s="18">
        <f>IF(B86="","",WEEKNUM(B86,IF(WeekStart="Sunday",1,2)))</f>
        <v>0</v>
      </c>
      <c r="E86" s="17">
        <f>IF(B86="","",TEXT(B86,"yyyy-mm"))</f>
        <v>0</v>
      </c>
      <c r="H86" s="17">
        <f>IF(G86&lt;&gt;"",IFERROR(INDEX(Recipes!$B$5:$B$204,MATCH(G86,Recipes!$A$5:$A$204,0)),"Not found"),I86)</f>
        <v>0</v>
      </c>
      <c r="K86" s="45">
        <f>IF(B86="","",IF(J86="",DefaultServings,J86))</f>
        <v>0</v>
      </c>
      <c r="L86" s="45">
        <f>IF(G86="",0,IFERROR(K86/INDEX(Recipes!$G$5:$G$204,MATCH(G86,Recipes!$A$5:$A$204,0)),0))</f>
        <v>0</v>
      </c>
      <c r="T86" s="25">
        <f>IF(G86="","",IFERROR(INDEX(Recipes!$AD$5:$AD$204,MATCH(G86,Recipes!$A$5:$A$204,0))*K86,""))</f>
        <v>0</v>
      </c>
      <c r="V86" s="30">
        <f>IF(G86="","",IFERROR(INDEX(Recipes!$AE$5:$AE$204,MATCH(G86,Recipes!$A$5:$A$204,0)),"Not found"))</f>
        <v>0</v>
      </c>
      <c r="W86" s="45">
        <f>IF(G86="","",IFERROR(INDEX(Recipes!$AF$5:$AF$204,MATCH(G86,Recipes!$A$5:$A$204,0)),"Not found"))</f>
        <v>0</v>
      </c>
      <c r="X86" s="45">
        <f>IF(G86="","",IFERROR(INDEX(Recipes!$AG$5:$AG$204,MATCH(G86,Recipes!$A$5:$A$204,0)),"Not found"))</f>
        <v>0</v>
      </c>
      <c r="Y86" s="45">
        <f>IF(G86="","",IFERROR(INDEX(Recipes!$AH$5:$AH$204,MATCH(G86,Recipes!$A$5:$A$204,0)),"Not found"))</f>
        <v>0</v>
      </c>
      <c r="Z86" s="45">
        <f>IF(G86="","",IFERROR(INDEX(Recipes!$AI$5:$AI$204,MATCH(G86,Recipes!$A$5:$A$204,0)),"Not found"))</f>
        <v>0</v>
      </c>
      <c r="AA86" s="30">
        <f>IF(OR(V86="",NOT(ISNUMBER(V86))),"",V86*K86)</f>
        <v>0</v>
      </c>
      <c r="AB86" s="18">
        <f>IF(G86="","",IFERROR(INDEX(Recipes!$J$5:$J$204,MATCH(G86,Recipes!$A$5:$A$204,0)),"Not found"))</f>
        <v>0</v>
      </c>
      <c r="AC86" s="17">
        <f>IF(G86="","",IFERROR(INDEX(Recipes!$C$5:$C$204,MATCH(G86,Recipes!$A$5:$A$204,0)),"Not found"))</f>
        <v>0</v>
      </c>
      <c r="AD86" s="46">
        <f>IF(B86="","",IF(G86&lt;&gt;"","Yes",IF(OR(I86="",ISNUMBER(SEARCH("takeaway",I86)),ISNUMBER(SEARCH("out",I86))),"No","Yes")))</f>
        <v>0</v>
      </c>
      <c r="AE86" s="17">
        <f>IF(B86="","",TEXT(B86,"yyyy-mm-dd")&amp;"|"&amp;F86)</f>
        <v>0</v>
      </c>
      <c r="AF86" s="31">
        <f>IF(B86="","",IF(AND(G86="",I86=""),"Add - nothing planned yet",IF(COUNTIFS($AE$5:$AE$504,AE86)&gt;1,"Duplicate - two meals in one slot",IF(AND(G86&lt;&gt;"",H86="Not found"),"Missing - recipe ID not on the Recipes tab",IF(AND(B86&lt;TODAY(),OR(N86="Planned",N86="")),"Check - did you cook it?","OK")))))</f>
        <v>0</v>
      </c>
    </row>
    <row r="87" spans="1:33">
      <c r="A87" s="39">
        <f>IF(B87="","",MealPrefix&amp;TEXT(ROW()-4,"0000"))</f>
        <v>0</v>
      </c>
      <c r="C87" s="17">
        <f>IF(B87="","",TEXT(B87,"ddd"))</f>
        <v>0</v>
      </c>
      <c r="D87" s="18">
        <f>IF(B87="","",WEEKNUM(B87,IF(WeekStart="Sunday",1,2)))</f>
        <v>0</v>
      </c>
      <c r="E87" s="17">
        <f>IF(B87="","",TEXT(B87,"yyyy-mm"))</f>
        <v>0</v>
      </c>
      <c r="H87" s="17">
        <f>IF(G87&lt;&gt;"",IFERROR(INDEX(Recipes!$B$5:$B$204,MATCH(G87,Recipes!$A$5:$A$204,0)),"Not found"),I87)</f>
        <v>0</v>
      </c>
      <c r="K87" s="45">
        <f>IF(B87="","",IF(J87="",DefaultServings,J87))</f>
        <v>0</v>
      </c>
      <c r="L87" s="45">
        <f>IF(G87="",0,IFERROR(K87/INDEX(Recipes!$G$5:$G$204,MATCH(G87,Recipes!$A$5:$A$204,0)),0))</f>
        <v>0</v>
      </c>
      <c r="T87" s="25">
        <f>IF(G87="","",IFERROR(INDEX(Recipes!$AD$5:$AD$204,MATCH(G87,Recipes!$A$5:$A$204,0))*K87,""))</f>
        <v>0</v>
      </c>
      <c r="V87" s="30">
        <f>IF(G87="","",IFERROR(INDEX(Recipes!$AE$5:$AE$204,MATCH(G87,Recipes!$A$5:$A$204,0)),"Not found"))</f>
        <v>0</v>
      </c>
      <c r="W87" s="45">
        <f>IF(G87="","",IFERROR(INDEX(Recipes!$AF$5:$AF$204,MATCH(G87,Recipes!$A$5:$A$204,0)),"Not found"))</f>
        <v>0</v>
      </c>
      <c r="X87" s="45">
        <f>IF(G87="","",IFERROR(INDEX(Recipes!$AG$5:$AG$204,MATCH(G87,Recipes!$A$5:$A$204,0)),"Not found"))</f>
        <v>0</v>
      </c>
      <c r="Y87" s="45">
        <f>IF(G87="","",IFERROR(INDEX(Recipes!$AH$5:$AH$204,MATCH(G87,Recipes!$A$5:$A$204,0)),"Not found"))</f>
        <v>0</v>
      </c>
      <c r="Z87" s="45">
        <f>IF(G87="","",IFERROR(INDEX(Recipes!$AI$5:$AI$204,MATCH(G87,Recipes!$A$5:$A$204,0)),"Not found"))</f>
        <v>0</v>
      </c>
      <c r="AA87" s="30">
        <f>IF(OR(V87="",NOT(ISNUMBER(V87))),"",V87*K87)</f>
        <v>0</v>
      </c>
      <c r="AB87" s="18">
        <f>IF(G87="","",IFERROR(INDEX(Recipes!$J$5:$J$204,MATCH(G87,Recipes!$A$5:$A$204,0)),"Not found"))</f>
        <v>0</v>
      </c>
      <c r="AC87" s="17">
        <f>IF(G87="","",IFERROR(INDEX(Recipes!$C$5:$C$204,MATCH(G87,Recipes!$A$5:$A$204,0)),"Not found"))</f>
        <v>0</v>
      </c>
      <c r="AD87" s="46">
        <f>IF(B87="","",IF(G87&lt;&gt;"","Yes",IF(OR(I87="",ISNUMBER(SEARCH("takeaway",I87)),ISNUMBER(SEARCH("out",I87))),"No","Yes")))</f>
        <v>0</v>
      </c>
      <c r="AE87" s="17">
        <f>IF(B87="","",TEXT(B87,"yyyy-mm-dd")&amp;"|"&amp;F87)</f>
        <v>0</v>
      </c>
      <c r="AF87" s="31">
        <f>IF(B87="","",IF(AND(G87="",I87=""),"Add - nothing planned yet",IF(COUNTIFS($AE$5:$AE$504,AE87)&gt;1,"Duplicate - two meals in one slot",IF(AND(G87&lt;&gt;"",H87="Not found"),"Missing - recipe ID not on the Recipes tab",IF(AND(B87&lt;TODAY(),OR(N87="Planned",N87="")),"Check - did you cook it?","OK")))))</f>
        <v>0</v>
      </c>
    </row>
    <row r="88" spans="1:33">
      <c r="A88" s="39">
        <f>IF(B88="","",MealPrefix&amp;TEXT(ROW()-4,"0000"))</f>
        <v>0</v>
      </c>
      <c r="C88" s="17">
        <f>IF(B88="","",TEXT(B88,"ddd"))</f>
        <v>0</v>
      </c>
      <c r="D88" s="18">
        <f>IF(B88="","",WEEKNUM(B88,IF(WeekStart="Sunday",1,2)))</f>
        <v>0</v>
      </c>
      <c r="E88" s="17">
        <f>IF(B88="","",TEXT(B88,"yyyy-mm"))</f>
        <v>0</v>
      </c>
      <c r="H88" s="17">
        <f>IF(G88&lt;&gt;"",IFERROR(INDEX(Recipes!$B$5:$B$204,MATCH(G88,Recipes!$A$5:$A$204,0)),"Not found"),I88)</f>
        <v>0</v>
      </c>
      <c r="K88" s="45">
        <f>IF(B88="","",IF(J88="",DefaultServings,J88))</f>
        <v>0</v>
      </c>
      <c r="L88" s="45">
        <f>IF(G88="",0,IFERROR(K88/INDEX(Recipes!$G$5:$G$204,MATCH(G88,Recipes!$A$5:$A$204,0)),0))</f>
        <v>0</v>
      </c>
      <c r="T88" s="25">
        <f>IF(G88="","",IFERROR(INDEX(Recipes!$AD$5:$AD$204,MATCH(G88,Recipes!$A$5:$A$204,0))*K88,""))</f>
        <v>0</v>
      </c>
      <c r="V88" s="30">
        <f>IF(G88="","",IFERROR(INDEX(Recipes!$AE$5:$AE$204,MATCH(G88,Recipes!$A$5:$A$204,0)),"Not found"))</f>
        <v>0</v>
      </c>
      <c r="W88" s="45">
        <f>IF(G88="","",IFERROR(INDEX(Recipes!$AF$5:$AF$204,MATCH(G88,Recipes!$A$5:$A$204,0)),"Not found"))</f>
        <v>0</v>
      </c>
      <c r="X88" s="45">
        <f>IF(G88="","",IFERROR(INDEX(Recipes!$AG$5:$AG$204,MATCH(G88,Recipes!$A$5:$A$204,0)),"Not found"))</f>
        <v>0</v>
      </c>
      <c r="Y88" s="45">
        <f>IF(G88="","",IFERROR(INDEX(Recipes!$AH$5:$AH$204,MATCH(G88,Recipes!$A$5:$A$204,0)),"Not found"))</f>
        <v>0</v>
      </c>
      <c r="Z88" s="45">
        <f>IF(G88="","",IFERROR(INDEX(Recipes!$AI$5:$AI$204,MATCH(G88,Recipes!$A$5:$A$204,0)),"Not found"))</f>
        <v>0</v>
      </c>
      <c r="AA88" s="30">
        <f>IF(OR(V88="",NOT(ISNUMBER(V88))),"",V88*K88)</f>
        <v>0</v>
      </c>
      <c r="AB88" s="18">
        <f>IF(G88="","",IFERROR(INDEX(Recipes!$J$5:$J$204,MATCH(G88,Recipes!$A$5:$A$204,0)),"Not found"))</f>
        <v>0</v>
      </c>
      <c r="AC88" s="17">
        <f>IF(G88="","",IFERROR(INDEX(Recipes!$C$5:$C$204,MATCH(G88,Recipes!$A$5:$A$204,0)),"Not found"))</f>
        <v>0</v>
      </c>
      <c r="AD88" s="46">
        <f>IF(B88="","",IF(G88&lt;&gt;"","Yes",IF(OR(I88="",ISNUMBER(SEARCH("takeaway",I88)),ISNUMBER(SEARCH("out",I88))),"No","Yes")))</f>
        <v>0</v>
      </c>
      <c r="AE88" s="17">
        <f>IF(B88="","",TEXT(B88,"yyyy-mm-dd")&amp;"|"&amp;F88)</f>
        <v>0</v>
      </c>
      <c r="AF88" s="31">
        <f>IF(B88="","",IF(AND(G88="",I88=""),"Add - nothing planned yet",IF(COUNTIFS($AE$5:$AE$504,AE88)&gt;1,"Duplicate - two meals in one slot",IF(AND(G88&lt;&gt;"",H88="Not found"),"Missing - recipe ID not on the Recipes tab",IF(AND(B88&lt;TODAY(),OR(N88="Planned",N88="")),"Check - did you cook it?","OK")))))</f>
        <v>0</v>
      </c>
    </row>
    <row r="89" spans="1:33">
      <c r="A89" s="39">
        <f>IF(B89="","",MealPrefix&amp;TEXT(ROW()-4,"0000"))</f>
        <v>0</v>
      </c>
      <c r="C89" s="17">
        <f>IF(B89="","",TEXT(B89,"ddd"))</f>
        <v>0</v>
      </c>
      <c r="D89" s="18">
        <f>IF(B89="","",WEEKNUM(B89,IF(WeekStart="Sunday",1,2)))</f>
        <v>0</v>
      </c>
      <c r="E89" s="17">
        <f>IF(B89="","",TEXT(B89,"yyyy-mm"))</f>
        <v>0</v>
      </c>
      <c r="H89" s="17">
        <f>IF(G89&lt;&gt;"",IFERROR(INDEX(Recipes!$B$5:$B$204,MATCH(G89,Recipes!$A$5:$A$204,0)),"Not found"),I89)</f>
        <v>0</v>
      </c>
      <c r="K89" s="45">
        <f>IF(B89="","",IF(J89="",DefaultServings,J89))</f>
        <v>0</v>
      </c>
      <c r="L89" s="45">
        <f>IF(G89="",0,IFERROR(K89/INDEX(Recipes!$G$5:$G$204,MATCH(G89,Recipes!$A$5:$A$204,0)),0))</f>
        <v>0</v>
      </c>
      <c r="T89" s="25">
        <f>IF(G89="","",IFERROR(INDEX(Recipes!$AD$5:$AD$204,MATCH(G89,Recipes!$A$5:$A$204,0))*K89,""))</f>
        <v>0</v>
      </c>
      <c r="V89" s="30">
        <f>IF(G89="","",IFERROR(INDEX(Recipes!$AE$5:$AE$204,MATCH(G89,Recipes!$A$5:$A$204,0)),"Not found"))</f>
        <v>0</v>
      </c>
      <c r="W89" s="45">
        <f>IF(G89="","",IFERROR(INDEX(Recipes!$AF$5:$AF$204,MATCH(G89,Recipes!$A$5:$A$204,0)),"Not found"))</f>
        <v>0</v>
      </c>
      <c r="X89" s="45">
        <f>IF(G89="","",IFERROR(INDEX(Recipes!$AG$5:$AG$204,MATCH(G89,Recipes!$A$5:$A$204,0)),"Not found"))</f>
        <v>0</v>
      </c>
      <c r="Y89" s="45">
        <f>IF(G89="","",IFERROR(INDEX(Recipes!$AH$5:$AH$204,MATCH(G89,Recipes!$A$5:$A$204,0)),"Not found"))</f>
        <v>0</v>
      </c>
      <c r="Z89" s="45">
        <f>IF(G89="","",IFERROR(INDEX(Recipes!$AI$5:$AI$204,MATCH(G89,Recipes!$A$5:$A$204,0)),"Not found"))</f>
        <v>0</v>
      </c>
      <c r="AA89" s="30">
        <f>IF(OR(V89="",NOT(ISNUMBER(V89))),"",V89*K89)</f>
        <v>0</v>
      </c>
      <c r="AB89" s="18">
        <f>IF(G89="","",IFERROR(INDEX(Recipes!$J$5:$J$204,MATCH(G89,Recipes!$A$5:$A$204,0)),"Not found"))</f>
        <v>0</v>
      </c>
      <c r="AC89" s="17">
        <f>IF(G89="","",IFERROR(INDEX(Recipes!$C$5:$C$204,MATCH(G89,Recipes!$A$5:$A$204,0)),"Not found"))</f>
        <v>0</v>
      </c>
      <c r="AD89" s="46">
        <f>IF(B89="","",IF(G89&lt;&gt;"","Yes",IF(OR(I89="",ISNUMBER(SEARCH("takeaway",I89)),ISNUMBER(SEARCH("out",I89))),"No","Yes")))</f>
        <v>0</v>
      </c>
      <c r="AE89" s="17">
        <f>IF(B89="","",TEXT(B89,"yyyy-mm-dd")&amp;"|"&amp;F89)</f>
        <v>0</v>
      </c>
      <c r="AF89" s="31">
        <f>IF(B89="","",IF(AND(G89="",I89=""),"Add - nothing planned yet",IF(COUNTIFS($AE$5:$AE$504,AE89)&gt;1,"Duplicate - two meals in one slot",IF(AND(G89&lt;&gt;"",H89="Not found"),"Missing - recipe ID not on the Recipes tab",IF(AND(B89&lt;TODAY(),OR(N89="Planned",N89="")),"Check - did you cook it?","OK")))))</f>
        <v>0</v>
      </c>
    </row>
    <row r="90" spans="1:33">
      <c r="A90" s="39">
        <f>IF(B90="","",MealPrefix&amp;TEXT(ROW()-4,"0000"))</f>
        <v>0</v>
      </c>
      <c r="C90" s="17">
        <f>IF(B90="","",TEXT(B90,"ddd"))</f>
        <v>0</v>
      </c>
      <c r="D90" s="18">
        <f>IF(B90="","",WEEKNUM(B90,IF(WeekStart="Sunday",1,2)))</f>
        <v>0</v>
      </c>
      <c r="E90" s="17">
        <f>IF(B90="","",TEXT(B90,"yyyy-mm"))</f>
        <v>0</v>
      </c>
      <c r="H90" s="17">
        <f>IF(G90&lt;&gt;"",IFERROR(INDEX(Recipes!$B$5:$B$204,MATCH(G90,Recipes!$A$5:$A$204,0)),"Not found"),I90)</f>
        <v>0</v>
      </c>
      <c r="K90" s="45">
        <f>IF(B90="","",IF(J90="",DefaultServings,J90))</f>
        <v>0</v>
      </c>
      <c r="L90" s="45">
        <f>IF(G90="",0,IFERROR(K90/INDEX(Recipes!$G$5:$G$204,MATCH(G90,Recipes!$A$5:$A$204,0)),0))</f>
        <v>0</v>
      </c>
      <c r="T90" s="25">
        <f>IF(G90="","",IFERROR(INDEX(Recipes!$AD$5:$AD$204,MATCH(G90,Recipes!$A$5:$A$204,0))*K90,""))</f>
        <v>0</v>
      </c>
      <c r="V90" s="30">
        <f>IF(G90="","",IFERROR(INDEX(Recipes!$AE$5:$AE$204,MATCH(G90,Recipes!$A$5:$A$204,0)),"Not found"))</f>
        <v>0</v>
      </c>
      <c r="W90" s="45">
        <f>IF(G90="","",IFERROR(INDEX(Recipes!$AF$5:$AF$204,MATCH(G90,Recipes!$A$5:$A$204,0)),"Not found"))</f>
        <v>0</v>
      </c>
      <c r="X90" s="45">
        <f>IF(G90="","",IFERROR(INDEX(Recipes!$AG$5:$AG$204,MATCH(G90,Recipes!$A$5:$A$204,0)),"Not found"))</f>
        <v>0</v>
      </c>
      <c r="Y90" s="45">
        <f>IF(G90="","",IFERROR(INDEX(Recipes!$AH$5:$AH$204,MATCH(G90,Recipes!$A$5:$A$204,0)),"Not found"))</f>
        <v>0</v>
      </c>
      <c r="Z90" s="45">
        <f>IF(G90="","",IFERROR(INDEX(Recipes!$AI$5:$AI$204,MATCH(G90,Recipes!$A$5:$A$204,0)),"Not found"))</f>
        <v>0</v>
      </c>
      <c r="AA90" s="30">
        <f>IF(OR(V90="",NOT(ISNUMBER(V90))),"",V90*K90)</f>
        <v>0</v>
      </c>
      <c r="AB90" s="18">
        <f>IF(G90="","",IFERROR(INDEX(Recipes!$J$5:$J$204,MATCH(G90,Recipes!$A$5:$A$204,0)),"Not found"))</f>
        <v>0</v>
      </c>
      <c r="AC90" s="17">
        <f>IF(G90="","",IFERROR(INDEX(Recipes!$C$5:$C$204,MATCH(G90,Recipes!$A$5:$A$204,0)),"Not found"))</f>
        <v>0</v>
      </c>
      <c r="AD90" s="46">
        <f>IF(B90="","",IF(G90&lt;&gt;"","Yes",IF(OR(I90="",ISNUMBER(SEARCH("takeaway",I90)),ISNUMBER(SEARCH("out",I90))),"No","Yes")))</f>
        <v>0</v>
      </c>
      <c r="AE90" s="17">
        <f>IF(B90="","",TEXT(B90,"yyyy-mm-dd")&amp;"|"&amp;F90)</f>
        <v>0</v>
      </c>
      <c r="AF90" s="31">
        <f>IF(B90="","",IF(AND(G90="",I90=""),"Add - nothing planned yet",IF(COUNTIFS($AE$5:$AE$504,AE90)&gt;1,"Duplicate - two meals in one slot",IF(AND(G90&lt;&gt;"",H90="Not found"),"Missing - recipe ID not on the Recipes tab",IF(AND(B90&lt;TODAY(),OR(N90="Planned",N90="")),"Check - did you cook it?","OK")))))</f>
        <v>0</v>
      </c>
    </row>
    <row r="91" spans="1:33">
      <c r="A91" s="39">
        <f>IF(B91="","",MealPrefix&amp;TEXT(ROW()-4,"0000"))</f>
        <v>0</v>
      </c>
      <c r="C91" s="17">
        <f>IF(B91="","",TEXT(B91,"ddd"))</f>
        <v>0</v>
      </c>
      <c r="D91" s="18">
        <f>IF(B91="","",WEEKNUM(B91,IF(WeekStart="Sunday",1,2)))</f>
        <v>0</v>
      </c>
      <c r="E91" s="17">
        <f>IF(B91="","",TEXT(B91,"yyyy-mm"))</f>
        <v>0</v>
      </c>
      <c r="H91" s="17">
        <f>IF(G91&lt;&gt;"",IFERROR(INDEX(Recipes!$B$5:$B$204,MATCH(G91,Recipes!$A$5:$A$204,0)),"Not found"),I91)</f>
        <v>0</v>
      </c>
      <c r="K91" s="45">
        <f>IF(B91="","",IF(J91="",DefaultServings,J91))</f>
        <v>0</v>
      </c>
      <c r="L91" s="45">
        <f>IF(G91="",0,IFERROR(K91/INDEX(Recipes!$G$5:$G$204,MATCH(G91,Recipes!$A$5:$A$204,0)),0))</f>
        <v>0</v>
      </c>
      <c r="T91" s="25">
        <f>IF(G91="","",IFERROR(INDEX(Recipes!$AD$5:$AD$204,MATCH(G91,Recipes!$A$5:$A$204,0))*K91,""))</f>
        <v>0</v>
      </c>
      <c r="V91" s="30">
        <f>IF(G91="","",IFERROR(INDEX(Recipes!$AE$5:$AE$204,MATCH(G91,Recipes!$A$5:$A$204,0)),"Not found"))</f>
        <v>0</v>
      </c>
      <c r="W91" s="45">
        <f>IF(G91="","",IFERROR(INDEX(Recipes!$AF$5:$AF$204,MATCH(G91,Recipes!$A$5:$A$204,0)),"Not found"))</f>
        <v>0</v>
      </c>
      <c r="X91" s="45">
        <f>IF(G91="","",IFERROR(INDEX(Recipes!$AG$5:$AG$204,MATCH(G91,Recipes!$A$5:$A$204,0)),"Not found"))</f>
        <v>0</v>
      </c>
      <c r="Y91" s="45">
        <f>IF(G91="","",IFERROR(INDEX(Recipes!$AH$5:$AH$204,MATCH(G91,Recipes!$A$5:$A$204,0)),"Not found"))</f>
        <v>0</v>
      </c>
      <c r="Z91" s="45">
        <f>IF(G91="","",IFERROR(INDEX(Recipes!$AI$5:$AI$204,MATCH(G91,Recipes!$A$5:$A$204,0)),"Not found"))</f>
        <v>0</v>
      </c>
      <c r="AA91" s="30">
        <f>IF(OR(V91="",NOT(ISNUMBER(V91))),"",V91*K91)</f>
        <v>0</v>
      </c>
      <c r="AB91" s="18">
        <f>IF(G91="","",IFERROR(INDEX(Recipes!$J$5:$J$204,MATCH(G91,Recipes!$A$5:$A$204,0)),"Not found"))</f>
        <v>0</v>
      </c>
      <c r="AC91" s="17">
        <f>IF(G91="","",IFERROR(INDEX(Recipes!$C$5:$C$204,MATCH(G91,Recipes!$A$5:$A$204,0)),"Not found"))</f>
        <v>0</v>
      </c>
      <c r="AD91" s="46">
        <f>IF(B91="","",IF(G91&lt;&gt;"","Yes",IF(OR(I91="",ISNUMBER(SEARCH("takeaway",I91)),ISNUMBER(SEARCH("out",I91))),"No","Yes")))</f>
        <v>0</v>
      </c>
      <c r="AE91" s="17">
        <f>IF(B91="","",TEXT(B91,"yyyy-mm-dd")&amp;"|"&amp;F91)</f>
        <v>0</v>
      </c>
      <c r="AF91" s="31">
        <f>IF(B91="","",IF(AND(G91="",I91=""),"Add - nothing planned yet",IF(COUNTIFS($AE$5:$AE$504,AE91)&gt;1,"Duplicate - two meals in one slot",IF(AND(G91&lt;&gt;"",H91="Not found"),"Missing - recipe ID not on the Recipes tab",IF(AND(B91&lt;TODAY(),OR(N91="Planned",N91="")),"Check - did you cook it?","OK")))))</f>
        <v>0</v>
      </c>
    </row>
    <row r="92" spans="1:33">
      <c r="A92" s="39">
        <f>IF(B92="","",MealPrefix&amp;TEXT(ROW()-4,"0000"))</f>
        <v>0</v>
      </c>
      <c r="C92" s="17">
        <f>IF(B92="","",TEXT(B92,"ddd"))</f>
        <v>0</v>
      </c>
      <c r="D92" s="18">
        <f>IF(B92="","",WEEKNUM(B92,IF(WeekStart="Sunday",1,2)))</f>
        <v>0</v>
      </c>
      <c r="E92" s="17">
        <f>IF(B92="","",TEXT(B92,"yyyy-mm"))</f>
        <v>0</v>
      </c>
      <c r="H92" s="17">
        <f>IF(G92&lt;&gt;"",IFERROR(INDEX(Recipes!$B$5:$B$204,MATCH(G92,Recipes!$A$5:$A$204,0)),"Not found"),I92)</f>
        <v>0</v>
      </c>
      <c r="K92" s="45">
        <f>IF(B92="","",IF(J92="",DefaultServings,J92))</f>
        <v>0</v>
      </c>
      <c r="L92" s="45">
        <f>IF(G92="",0,IFERROR(K92/INDEX(Recipes!$G$5:$G$204,MATCH(G92,Recipes!$A$5:$A$204,0)),0))</f>
        <v>0</v>
      </c>
      <c r="T92" s="25">
        <f>IF(G92="","",IFERROR(INDEX(Recipes!$AD$5:$AD$204,MATCH(G92,Recipes!$A$5:$A$204,0))*K92,""))</f>
        <v>0</v>
      </c>
      <c r="V92" s="30">
        <f>IF(G92="","",IFERROR(INDEX(Recipes!$AE$5:$AE$204,MATCH(G92,Recipes!$A$5:$A$204,0)),"Not found"))</f>
        <v>0</v>
      </c>
      <c r="W92" s="45">
        <f>IF(G92="","",IFERROR(INDEX(Recipes!$AF$5:$AF$204,MATCH(G92,Recipes!$A$5:$A$204,0)),"Not found"))</f>
        <v>0</v>
      </c>
      <c r="X92" s="45">
        <f>IF(G92="","",IFERROR(INDEX(Recipes!$AG$5:$AG$204,MATCH(G92,Recipes!$A$5:$A$204,0)),"Not found"))</f>
        <v>0</v>
      </c>
      <c r="Y92" s="45">
        <f>IF(G92="","",IFERROR(INDEX(Recipes!$AH$5:$AH$204,MATCH(G92,Recipes!$A$5:$A$204,0)),"Not found"))</f>
        <v>0</v>
      </c>
      <c r="Z92" s="45">
        <f>IF(G92="","",IFERROR(INDEX(Recipes!$AI$5:$AI$204,MATCH(G92,Recipes!$A$5:$A$204,0)),"Not found"))</f>
        <v>0</v>
      </c>
      <c r="AA92" s="30">
        <f>IF(OR(V92="",NOT(ISNUMBER(V92))),"",V92*K92)</f>
        <v>0</v>
      </c>
      <c r="AB92" s="18">
        <f>IF(G92="","",IFERROR(INDEX(Recipes!$J$5:$J$204,MATCH(G92,Recipes!$A$5:$A$204,0)),"Not found"))</f>
        <v>0</v>
      </c>
      <c r="AC92" s="17">
        <f>IF(G92="","",IFERROR(INDEX(Recipes!$C$5:$C$204,MATCH(G92,Recipes!$A$5:$A$204,0)),"Not found"))</f>
        <v>0</v>
      </c>
      <c r="AD92" s="46">
        <f>IF(B92="","",IF(G92&lt;&gt;"","Yes",IF(OR(I92="",ISNUMBER(SEARCH("takeaway",I92)),ISNUMBER(SEARCH("out",I92))),"No","Yes")))</f>
        <v>0</v>
      </c>
      <c r="AE92" s="17">
        <f>IF(B92="","",TEXT(B92,"yyyy-mm-dd")&amp;"|"&amp;F92)</f>
        <v>0</v>
      </c>
      <c r="AF92" s="31">
        <f>IF(B92="","",IF(AND(G92="",I92=""),"Add - nothing planned yet",IF(COUNTIFS($AE$5:$AE$504,AE92)&gt;1,"Duplicate - two meals in one slot",IF(AND(G92&lt;&gt;"",H92="Not found"),"Missing - recipe ID not on the Recipes tab",IF(AND(B92&lt;TODAY(),OR(N92="Planned",N92="")),"Check - did you cook it?","OK")))))</f>
        <v>0</v>
      </c>
    </row>
    <row r="93" spans="1:33">
      <c r="A93" s="39">
        <f>IF(B93="","",MealPrefix&amp;TEXT(ROW()-4,"0000"))</f>
        <v>0</v>
      </c>
      <c r="C93" s="17">
        <f>IF(B93="","",TEXT(B93,"ddd"))</f>
        <v>0</v>
      </c>
      <c r="D93" s="18">
        <f>IF(B93="","",WEEKNUM(B93,IF(WeekStart="Sunday",1,2)))</f>
        <v>0</v>
      </c>
      <c r="E93" s="17">
        <f>IF(B93="","",TEXT(B93,"yyyy-mm"))</f>
        <v>0</v>
      </c>
      <c r="H93" s="17">
        <f>IF(G93&lt;&gt;"",IFERROR(INDEX(Recipes!$B$5:$B$204,MATCH(G93,Recipes!$A$5:$A$204,0)),"Not found"),I93)</f>
        <v>0</v>
      </c>
      <c r="K93" s="45">
        <f>IF(B93="","",IF(J93="",DefaultServings,J93))</f>
        <v>0</v>
      </c>
      <c r="L93" s="45">
        <f>IF(G93="",0,IFERROR(K93/INDEX(Recipes!$G$5:$G$204,MATCH(G93,Recipes!$A$5:$A$204,0)),0))</f>
        <v>0</v>
      </c>
      <c r="T93" s="25">
        <f>IF(G93="","",IFERROR(INDEX(Recipes!$AD$5:$AD$204,MATCH(G93,Recipes!$A$5:$A$204,0))*K93,""))</f>
        <v>0</v>
      </c>
      <c r="V93" s="30">
        <f>IF(G93="","",IFERROR(INDEX(Recipes!$AE$5:$AE$204,MATCH(G93,Recipes!$A$5:$A$204,0)),"Not found"))</f>
        <v>0</v>
      </c>
      <c r="W93" s="45">
        <f>IF(G93="","",IFERROR(INDEX(Recipes!$AF$5:$AF$204,MATCH(G93,Recipes!$A$5:$A$204,0)),"Not found"))</f>
        <v>0</v>
      </c>
      <c r="X93" s="45">
        <f>IF(G93="","",IFERROR(INDEX(Recipes!$AG$5:$AG$204,MATCH(G93,Recipes!$A$5:$A$204,0)),"Not found"))</f>
        <v>0</v>
      </c>
      <c r="Y93" s="45">
        <f>IF(G93="","",IFERROR(INDEX(Recipes!$AH$5:$AH$204,MATCH(G93,Recipes!$A$5:$A$204,0)),"Not found"))</f>
        <v>0</v>
      </c>
      <c r="Z93" s="45">
        <f>IF(G93="","",IFERROR(INDEX(Recipes!$AI$5:$AI$204,MATCH(G93,Recipes!$A$5:$A$204,0)),"Not found"))</f>
        <v>0</v>
      </c>
      <c r="AA93" s="30">
        <f>IF(OR(V93="",NOT(ISNUMBER(V93))),"",V93*K93)</f>
        <v>0</v>
      </c>
      <c r="AB93" s="18">
        <f>IF(G93="","",IFERROR(INDEX(Recipes!$J$5:$J$204,MATCH(G93,Recipes!$A$5:$A$204,0)),"Not found"))</f>
        <v>0</v>
      </c>
      <c r="AC93" s="17">
        <f>IF(G93="","",IFERROR(INDEX(Recipes!$C$5:$C$204,MATCH(G93,Recipes!$A$5:$A$204,0)),"Not found"))</f>
        <v>0</v>
      </c>
      <c r="AD93" s="46">
        <f>IF(B93="","",IF(G93&lt;&gt;"","Yes",IF(OR(I93="",ISNUMBER(SEARCH("takeaway",I93)),ISNUMBER(SEARCH("out",I93))),"No","Yes")))</f>
        <v>0</v>
      </c>
      <c r="AE93" s="17">
        <f>IF(B93="","",TEXT(B93,"yyyy-mm-dd")&amp;"|"&amp;F93)</f>
        <v>0</v>
      </c>
      <c r="AF93" s="31">
        <f>IF(B93="","",IF(AND(G93="",I93=""),"Add - nothing planned yet",IF(COUNTIFS($AE$5:$AE$504,AE93)&gt;1,"Duplicate - two meals in one slot",IF(AND(G93&lt;&gt;"",H93="Not found"),"Missing - recipe ID not on the Recipes tab",IF(AND(B93&lt;TODAY(),OR(N93="Planned",N93="")),"Check - did you cook it?","OK")))))</f>
        <v>0</v>
      </c>
    </row>
    <row r="94" spans="1:33">
      <c r="A94" s="39">
        <f>IF(B94="","",MealPrefix&amp;TEXT(ROW()-4,"0000"))</f>
        <v>0</v>
      </c>
      <c r="C94" s="17">
        <f>IF(B94="","",TEXT(B94,"ddd"))</f>
        <v>0</v>
      </c>
      <c r="D94" s="18">
        <f>IF(B94="","",WEEKNUM(B94,IF(WeekStart="Sunday",1,2)))</f>
        <v>0</v>
      </c>
      <c r="E94" s="17">
        <f>IF(B94="","",TEXT(B94,"yyyy-mm"))</f>
        <v>0</v>
      </c>
      <c r="H94" s="17">
        <f>IF(G94&lt;&gt;"",IFERROR(INDEX(Recipes!$B$5:$B$204,MATCH(G94,Recipes!$A$5:$A$204,0)),"Not found"),I94)</f>
        <v>0</v>
      </c>
      <c r="K94" s="45">
        <f>IF(B94="","",IF(J94="",DefaultServings,J94))</f>
        <v>0</v>
      </c>
      <c r="L94" s="45">
        <f>IF(G94="",0,IFERROR(K94/INDEX(Recipes!$G$5:$G$204,MATCH(G94,Recipes!$A$5:$A$204,0)),0))</f>
        <v>0</v>
      </c>
      <c r="T94" s="25">
        <f>IF(G94="","",IFERROR(INDEX(Recipes!$AD$5:$AD$204,MATCH(G94,Recipes!$A$5:$A$204,0))*K94,""))</f>
        <v>0</v>
      </c>
      <c r="V94" s="30">
        <f>IF(G94="","",IFERROR(INDEX(Recipes!$AE$5:$AE$204,MATCH(G94,Recipes!$A$5:$A$204,0)),"Not found"))</f>
        <v>0</v>
      </c>
      <c r="W94" s="45">
        <f>IF(G94="","",IFERROR(INDEX(Recipes!$AF$5:$AF$204,MATCH(G94,Recipes!$A$5:$A$204,0)),"Not found"))</f>
        <v>0</v>
      </c>
      <c r="X94" s="45">
        <f>IF(G94="","",IFERROR(INDEX(Recipes!$AG$5:$AG$204,MATCH(G94,Recipes!$A$5:$A$204,0)),"Not found"))</f>
        <v>0</v>
      </c>
      <c r="Y94" s="45">
        <f>IF(G94="","",IFERROR(INDEX(Recipes!$AH$5:$AH$204,MATCH(G94,Recipes!$A$5:$A$204,0)),"Not found"))</f>
        <v>0</v>
      </c>
      <c r="Z94" s="45">
        <f>IF(G94="","",IFERROR(INDEX(Recipes!$AI$5:$AI$204,MATCH(G94,Recipes!$A$5:$A$204,0)),"Not found"))</f>
        <v>0</v>
      </c>
      <c r="AA94" s="30">
        <f>IF(OR(V94="",NOT(ISNUMBER(V94))),"",V94*K94)</f>
        <v>0</v>
      </c>
      <c r="AB94" s="18">
        <f>IF(G94="","",IFERROR(INDEX(Recipes!$J$5:$J$204,MATCH(G94,Recipes!$A$5:$A$204,0)),"Not found"))</f>
        <v>0</v>
      </c>
      <c r="AC94" s="17">
        <f>IF(G94="","",IFERROR(INDEX(Recipes!$C$5:$C$204,MATCH(G94,Recipes!$A$5:$A$204,0)),"Not found"))</f>
        <v>0</v>
      </c>
      <c r="AD94" s="46">
        <f>IF(B94="","",IF(G94&lt;&gt;"","Yes",IF(OR(I94="",ISNUMBER(SEARCH("takeaway",I94)),ISNUMBER(SEARCH("out",I94))),"No","Yes")))</f>
        <v>0</v>
      </c>
      <c r="AE94" s="17">
        <f>IF(B94="","",TEXT(B94,"yyyy-mm-dd")&amp;"|"&amp;F94)</f>
        <v>0</v>
      </c>
      <c r="AF94" s="31">
        <f>IF(B94="","",IF(AND(G94="",I94=""),"Add - nothing planned yet",IF(COUNTIFS($AE$5:$AE$504,AE94)&gt;1,"Duplicate - two meals in one slot",IF(AND(G94&lt;&gt;"",H94="Not found"),"Missing - recipe ID not on the Recipes tab",IF(AND(B94&lt;TODAY(),OR(N94="Planned",N94="")),"Check - did you cook it?","OK")))))</f>
        <v>0</v>
      </c>
    </row>
    <row r="95" spans="1:33">
      <c r="A95" s="39">
        <f>IF(B95="","",MealPrefix&amp;TEXT(ROW()-4,"0000"))</f>
        <v>0</v>
      </c>
      <c r="C95" s="17">
        <f>IF(B95="","",TEXT(B95,"ddd"))</f>
        <v>0</v>
      </c>
      <c r="D95" s="18">
        <f>IF(B95="","",WEEKNUM(B95,IF(WeekStart="Sunday",1,2)))</f>
        <v>0</v>
      </c>
      <c r="E95" s="17">
        <f>IF(B95="","",TEXT(B95,"yyyy-mm"))</f>
        <v>0</v>
      </c>
      <c r="H95" s="17">
        <f>IF(G95&lt;&gt;"",IFERROR(INDEX(Recipes!$B$5:$B$204,MATCH(G95,Recipes!$A$5:$A$204,0)),"Not found"),I95)</f>
        <v>0</v>
      </c>
      <c r="K95" s="45">
        <f>IF(B95="","",IF(J95="",DefaultServings,J95))</f>
        <v>0</v>
      </c>
      <c r="L95" s="45">
        <f>IF(G95="",0,IFERROR(K95/INDEX(Recipes!$G$5:$G$204,MATCH(G95,Recipes!$A$5:$A$204,0)),0))</f>
        <v>0</v>
      </c>
      <c r="T95" s="25">
        <f>IF(G95="","",IFERROR(INDEX(Recipes!$AD$5:$AD$204,MATCH(G95,Recipes!$A$5:$A$204,0))*K95,""))</f>
        <v>0</v>
      </c>
      <c r="V95" s="30">
        <f>IF(G95="","",IFERROR(INDEX(Recipes!$AE$5:$AE$204,MATCH(G95,Recipes!$A$5:$A$204,0)),"Not found"))</f>
        <v>0</v>
      </c>
      <c r="W95" s="45">
        <f>IF(G95="","",IFERROR(INDEX(Recipes!$AF$5:$AF$204,MATCH(G95,Recipes!$A$5:$A$204,0)),"Not found"))</f>
        <v>0</v>
      </c>
      <c r="X95" s="45">
        <f>IF(G95="","",IFERROR(INDEX(Recipes!$AG$5:$AG$204,MATCH(G95,Recipes!$A$5:$A$204,0)),"Not found"))</f>
        <v>0</v>
      </c>
      <c r="Y95" s="45">
        <f>IF(G95="","",IFERROR(INDEX(Recipes!$AH$5:$AH$204,MATCH(G95,Recipes!$A$5:$A$204,0)),"Not found"))</f>
        <v>0</v>
      </c>
      <c r="Z95" s="45">
        <f>IF(G95="","",IFERROR(INDEX(Recipes!$AI$5:$AI$204,MATCH(G95,Recipes!$A$5:$A$204,0)),"Not found"))</f>
        <v>0</v>
      </c>
      <c r="AA95" s="30">
        <f>IF(OR(V95="",NOT(ISNUMBER(V95))),"",V95*K95)</f>
        <v>0</v>
      </c>
      <c r="AB95" s="18">
        <f>IF(G95="","",IFERROR(INDEX(Recipes!$J$5:$J$204,MATCH(G95,Recipes!$A$5:$A$204,0)),"Not found"))</f>
        <v>0</v>
      </c>
      <c r="AC95" s="17">
        <f>IF(G95="","",IFERROR(INDEX(Recipes!$C$5:$C$204,MATCH(G95,Recipes!$A$5:$A$204,0)),"Not found"))</f>
        <v>0</v>
      </c>
      <c r="AD95" s="46">
        <f>IF(B95="","",IF(G95&lt;&gt;"","Yes",IF(OR(I95="",ISNUMBER(SEARCH("takeaway",I95)),ISNUMBER(SEARCH("out",I95))),"No","Yes")))</f>
        <v>0</v>
      </c>
      <c r="AE95" s="17">
        <f>IF(B95="","",TEXT(B95,"yyyy-mm-dd")&amp;"|"&amp;F95)</f>
        <v>0</v>
      </c>
      <c r="AF95" s="31">
        <f>IF(B95="","",IF(AND(G95="",I95=""),"Add - nothing planned yet",IF(COUNTIFS($AE$5:$AE$504,AE95)&gt;1,"Duplicate - two meals in one slot",IF(AND(G95&lt;&gt;"",H95="Not found"),"Missing - recipe ID not on the Recipes tab",IF(AND(B95&lt;TODAY(),OR(N95="Planned",N95="")),"Check - did you cook it?","OK")))))</f>
        <v>0</v>
      </c>
    </row>
    <row r="96" spans="1:33">
      <c r="A96" s="39">
        <f>IF(B96="","",MealPrefix&amp;TEXT(ROW()-4,"0000"))</f>
        <v>0</v>
      </c>
      <c r="C96" s="17">
        <f>IF(B96="","",TEXT(B96,"ddd"))</f>
        <v>0</v>
      </c>
      <c r="D96" s="18">
        <f>IF(B96="","",WEEKNUM(B96,IF(WeekStart="Sunday",1,2)))</f>
        <v>0</v>
      </c>
      <c r="E96" s="17">
        <f>IF(B96="","",TEXT(B96,"yyyy-mm"))</f>
        <v>0</v>
      </c>
      <c r="H96" s="17">
        <f>IF(G96&lt;&gt;"",IFERROR(INDEX(Recipes!$B$5:$B$204,MATCH(G96,Recipes!$A$5:$A$204,0)),"Not found"),I96)</f>
        <v>0</v>
      </c>
      <c r="K96" s="45">
        <f>IF(B96="","",IF(J96="",DefaultServings,J96))</f>
        <v>0</v>
      </c>
      <c r="L96" s="45">
        <f>IF(G96="",0,IFERROR(K96/INDEX(Recipes!$G$5:$G$204,MATCH(G96,Recipes!$A$5:$A$204,0)),0))</f>
        <v>0</v>
      </c>
      <c r="T96" s="25">
        <f>IF(G96="","",IFERROR(INDEX(Recipes!$AD$5:$AD$204,MATCH(G96,Recipes!$A$5:$A$204,0))*K96,""))</f>
        <v>0</v>
      </c>
      <c r="V96" s="30">
        <f>IF(G96="","",IFERROR(INDEX(Recipes!$AE$5:$AE$204,MATCH(G96,Recipes!$A$5:$A$204,0)),"Not found"))</f>
        <v>0</v>
      </c>
      <c r="W96" s="45">
        <f>IF(G96="","",IFERROR(INDEX(Recipes!$AF$5:$AF$204,MATCH(G96,Recipes!$A$5:$A$204,0)),"Not found"))</f>
        <v>0</v>
      </c>
      <c r="X96" s="45">
        <f>IF(G96="","",IFERROR(INDEX(Recipes!$AG$5:$AG$204,MATCH(G96,Recipes!$A$5:$A$204,0)),"Not found"))</f>
        <v>0</v>
      </c>
      <c r="Y96" s="45">
        <f>IF(G96="","",IFERROR(INDEX(Recipes!$AH$5:$AH$204,MATCH(G96,Recipes!$A$5:$A$204,0)),"Not found"))</f>
        <v>0</v>
      </c>
      <c r="Z96" s="45">
        <f>IF(G96="","",IFERROR(INDEX(Recipes!$AI$5:$AI$204,MATCH(G96,Recipes!$A$5:$A$204,0)),"Not found"))</f>
        <v>0</v>
      </c>
      <c r="AA96" s="30">
        <f>IF(OR(V96="",NOT(ISNUMBER(V96))),"",V96*K96)</f>
        <v>0</v>
      </c>
      <c r="AB96" s="18">
        <f>IF(G96="","",IFERROR(INDEX(Recipes!$J$5:$J$204,MATCH(G96,Recipes!$A$5:$A$204,0)),"Not found"))</f>
        <v>0</v>
      </c>
      <c r="AC96" s="17">
        <f>IF(G96="","",IFERROR(INDEX(Recipes!$C$5:$C$204,MATCH(G96,Recipes!$A$5:$A$204,0)),"Not found"))</f>
        <v>0</v>
      </c>
      <c r="AD96" s="46">
        <f>IF(B96="","",IF(G96&lt;&gt;"","Yes",IF(OR(I96="",ISNUMBER(SEARCH("takeaway",I96)),ISNUMBER(SEARCH("out",I96))),"No","Yes")))</f>
        <v>0</v>
      </c>
      <c r="AE96" s="17">
        <f>IF(B96="","",TEXT(B96,"yyyy-mm-dd")&amp;"|"&amp;F96)</f>
        <v>0</v>
      </c>
      <c r="AF96" s="31">
        <f>IF(B96="","",IF(AND(G96="",I96=""),"Add - nothing planned yet",IF(COUNTIFS($AE$5:$AE$504,AE96)&gt;1,"Duplicate - two meals in one slot",IF(AND(G96&lt;&gt;"",H96="Not found"),"Missing - recipe ID not on the Recipes tab",IF(AND(B96&lt;TODAY(),OR(N96="Planned",N96="")),"Check - did you cook it?","OK")))))</f>
        <v>0</v>
      </c>
    </row>
    <row r="97" spans="1:32">
      <c r="A97" s="39">
        <f>IF(B97="","",MealPrefix&amp;TEXT(ROW()-4,"0000"))</f>
        <v>0</v>
      </c>
      <c r="C97" s="17">
        <f>IF(B97="","",TEXT(B97,"ddd"))</f>
        <v>0</v>
      </c>
      <c r="D97" s="18">
        <f>IF(B97="","",WEEKNUM(B97,IF(WeekStart="Sunday",1,2)))</f>
        <v>0</v>
      </c>
      <c r="E97" s="17">
        <f>IF(B97="","",TEXT(B97,"yyyy-mm"))</f>
        <v>0</v>
      </c>
      <c r="H97" s="17">
        <f>IF(G97&lt;&gt;"",IFERROR(INDEX(Recipes!$B$5:$B$204,MATCH(G97,Recipes!$A$5:$A$204,0)),"Not found"),I97)</f>
        <v>0</v>
      </c>
      <c r="K97" s="45">
        <f>IF(B97="","",IF(J97="",DefaultServings,J97))</f>
        <v>0</v>
      </c>
      <c r="L97" s="45">
        <f>IF(G97="",0,IFERROR(K97/INDEX(Recipes!$G$5:$G$204,MATCH(G97,Recipes!$A$5:$A$204,0)),0))</f>
        <v>0</v>
      </c>
      <c r="T97" s="25">
        <f>IF(G97="","",IFERROR(INDEX(Recipes!$AD$5:$AD$204,MATCH(G97,Recipes!$A$5:$A$204,0))*K97,""))</f>
        <v>0</v>
      </c>
      <c r="V97" s="30">
        <f>IF(G97="","",IFERROR(INDEX(Recipes!$AE$5:$AE$204,MATCH(G97,Recipes!$A$5:$A$204,0)),"Not found"))</f>
        <v>0</v>
      </c>
      <c r="W97" s="45">
        <f>IF(G97="","",IFERROR(INDEX(Recipes!$AF$5:$AF$204,MATCH(G97,Recipes!$A$5:$A$204,0)),"Not found"))</f>
        <v>0</v>
      </c>
      <c r="X97" s="45">
        <f>IF(G97="","",IFERROR(INDEX(Recipes!$AG$5:$AG$204,MATCH(G97,Recipes!$A$5:$A$204,0)),"Not found"))</f>
        <v>0</v>
      </c>
      <c r="Y97" s="45">
        <f>IF(G97="","",IFERROR(INDEX(Recipes!$AH$5:$AH$204,MATCH(G97,Recipes!$A$5:$A$204,0)),"Not found"))</f>
        <v>0</v>
      </c>
      <c r="Z97" s="45">
        <f>IF(G97="","",IFERROR(INDEX(Recipes!$AI$5:$AI$204,MATCH(G97,Recipes!$A$5:$A$204,0)),"Not found"))</f>
        <v>0</v>
      </c>
      <c r="AA97" s="30">
        <f>IF(OR(V97="",NOT(ISNUMBER(V97))),"",V97*K97)</f>
        <v>0</v>
      </c>
      <c r="AB97" s="18">
        <f>IF(G97="","",IFERROR(INDEX(Recipes!$J$5:$J$204,MATCH(G97,Recipes!$A$5:$A$204,0)),"Not found"))</f>
        <v>0</v>
      </c>
      <c r="AC97" s="17">
        <f>IF(G97="","",IFERROR(INDEX(Recipes!$C$5:$C$204,MATCH(G97,Recipes!$A$5:$A$204,0)),"Not found"))</f>
        <v>0</v>
      </c>
      <c r="AD97" s="46">
        <f>IF(B97="","",IF(G97&lt;&gt;"","Yes",IF(OR(I97="",ISNUMBER(SEARCH("takeaway",I97)),ISNUMBER(SEARCH("out",I97))),"No","Yes")))</f>
        <v>0</v>
      </c>
      <c r="AE97" s="17">
        <f>IF(B97="","",TEXT(B97,"yyyy-mm-dd")&amp;"|"&amp;F97)</f>
        <v>0</v>
      </c>
      <c r="AF97" s="31">
        <f>IF(B97="","",IF(AND(G97="",I97=""),"Add - nothing planned yet",IF(COUNTIFS($AE$5:$AE$504,AE97)&gt;1,"Duplicate - two meals in one slot",IF(AND(G97&lt;&gt;"",H97="Not found"),"Missing - recipe ID not on the Recipes tab",IF(AND(B97&lt;TODAY(),OR(N97="Planned",N97="")),"Check - did you cook it?","OK")))))</f>
        <v>0</v>
      </c>
    </row>
    <row r="98" spans="1:32">
      <c r="A98" s="39">
        <f>IF(B98="","",MealPrefix&amp;TEXT(ROW()-4,"0000"))</f>
        <v>0</v>
      </c>
      <c r="C98" s="17">
        <f>IF(B98="","",TEXT(B98,"ddd"))</f>
        <v>0</v>
      </c>
      <c r="D98" s="18">
        <f>IF(B98="","",WEEKNUM(B98,IF(WeekStart="Sunday",1,2)))</f>
        <v>0</v>
      </c>
      <c r="E98" s="17">
        <f>IF(B98="","",TEXT(B98,"yyyy-mm"))</f>
        <v>0</v>
      </c>
      <c r="H98" s="17">
        <f>IF(G98&lt;&gt;"",IFERROR(INDEX(Recipes!$B$5:$B$204,MATCH(G98,Recipes!$A$5:$A$204,0)),"Not found"),I98)</f>
        <v>0</v>
      </c>
      <c r="K98" s="45">
        <f>IF(B98="","",IF(J98="",DefaultServings,J98))</f>
        <v>0</v>
      </c>
      <c r="L98" s="45">
        <f>IF(G98="",0,IFERROR(K98/INDEX(Recipes!$G$5:$G$204,MATCH(G98,Recipes!$A$5:$A$204,0)),0))</f>
        <v>0</v>
      </c>
      <c r="T98" s="25">
        <f>IF(G98="","",IFERROR(INDEX(Recipes!$AD$5:$AD$204,MATCH(G98,Recipes!$A$5:$A$204,0))*K98,""))</f>
        <v>0</v>
      </c>
      <c r="V98" s="30">
        <f>IF(G98="","",IFERROR(INDEX(Recipes!$AE$5:$AE$204,MATCH(G98,Recipes!$A$5:$A$204,0)),"Not found"))</f>
        <v>0</v>
      </c>
      <c r="W98" s="45">
        <f>IF(G98="","",IFERROR(INDEX(Recipes!$AF$5:$AF$204,MATCH(G98,Recipes!$A$5:$A$204,0)),"Not found"))</f>
        <v>0</v>
      </c>
      <c r="X98" s="45">
        <f>IF(G98="","",IFERROR(INDEX(Recipes!$AG$5:$AG$204,MATCH(G98,Recipes!$A$5:$A$204,0)),"Not found"))</f>
        <v>0</v>
      </c>
      <c r="Y98" s="45">
        <f>IF(G98="","",IFERROR(INDEX(Recipes!$AH$5:$AH$204,MATCH(G98,Recipes!$A$5:$A$204,0)),"Not found"))</f>
        <v>0</v>
      </c>
      <c r="Z98" s="45">
        <f>IF(G98="","",IFERROR(INDEX(Recipes!$AI$5:$AI$204,MATCH(G98,Recipes!$A$5:$A$204,0)),"Not found"))</f>
        <v>0</v>
      </c>
      <c r="AA98" s="30">
        <f>IF(OR(V98="",NOT(ISNUMBER(V98))),"",V98*K98)</f>
        <v>0</v>
      </c>
      <c r="AB98" s="18">
        <f>IF(G98="","",IFERROR(INDEX(Recipes!$J$5:$J$204,MATCH(G98,Recipes!$A$5:$A$204,0)),"Not found"))</f>
        <v>0</v>
      </c>
      <c r="AC98" s="17">
        <f>IF(G98="","",IFERROR(INDEX(Recipes!$C$5:$C$204,MATCH(G98,Recipes!$A$5:$A$204,0)),"Not found"))</f>
        <v>0</v>
      </c>
      <c r="AD98" s="46">
        <f>IF(B98="","",IF(G98&lt;&gt;"","Yes",IF(OR(I98="",ISNUMBER(SEARCH("takeaway",I98)),ISNUMBER(SEARCH("out",I98))),"No","Yes")))</f>
        <v>0</v>
      </c>
      <c r="AE98" s="17">
        <f>IF(B98="","",TEXT(B98,"yyyy-mm-dd")&amp;"|"&amp;F98)</f>
        <v>0</v>
      </c>
      <c r="AF98" s="31">
        <f>IF(B98="","",IF(AND(G98="",I98=""),"Add - nothing planned yet",IF(COUNTIFS($AE$5:$AE$504,AE98)&gt;1,"Duplicate - two meals in one slot",IF(AND(G98&lt;&gt;"",H98="Not found"),"Missing - recipe ID not on the Recipes tab",IF(AND(B98&lt;TODAY(),OR(N98="Planned",N98="")),"Check - did you cook it?","OK")))))</f>
        <v>0</v>
      </c>
    </row>
    <row r="99" spans="1:32">
      <c r="A99" s="39">
        <f>IF(B99="","",MealPrefix&amp;TEXT(ROW()-4,"0000"))</f>
        <v>0</v>
      </c>
      <c r="C99" s="17">
        <f>IF(B99="","",TEXT(B99,"ddd"))</f>
        <v>0</v>
      </c>
      <c r="D99" s="18">
        <f>IF(B99="","",WEEKNUM(B99,IF(WeekStart="Sunday",1,2)))</f>
        <v>0</v>
      </c>
      <c r="E99" s="17">
        <f>IF(B99="","",TEXT(B99,"yyyy-mm"))</f>
        <v>0</v>
      </c>
      <c r="H99" s="17">
        <f>IF(G99&lt;&gt;"",IFERROR(INDEX(Recipes!$B$5:$B$204,MATCH(G99,Recipes!$A$5:$A$204,0)),"Not found"),I99)</f>
        <v>0</v>
      </c>
      <c r="K99" s="45">
        <f>IF(B99="","",IF(J99="",DefaultServings,J99))</f>
        <v>0</v>
      </c>
      <c r="L99" s="45">
        <f>IF(G99="",0,IFERROR(K99/INDEX(Recipes!$G$5:$G$204,MATCH(G99,Recipes!$A$5:$A$204,0)),0))</f>
        <v>0</v>
      </c>
      <c r="T99" s="25">
        <f>IF(G99="","",IFERROR(INDEX(Recipes!$AD$5:$AD$204,MATCH(G99,Recipes!$A$5:$A$204,0))*K99,""))</f>
        <v>0</v>
      </c>
      <c r="V99" s="30">
        <f>IF(G99="","",IFERROR(INDEX(Recipes!$AE$5:$AE$204,MATCH(G99,Recipes!$A$5:$A$204,0)),"Not found"))</f>
        <v>0</v>
      </c>
      <c r="W99" s="45">
        <f>IF(G99="","",IFERROR(INDEX(Recipes!$AF$5:$AF$204,MATCH(G99,Recipes!$A$5:$A$204,0)),"Not found"))</f>
        <v>0</v>
      </c>
      <c r="X99" s="45">
        <f>IF(G99="","",IFERROR(INDEX(Recipes!$AG$5:$AG$204,MATCH(G99,Recipes!$A$5:$A$204,0)),"Not found"))</f>
        <v>0</v>
      </c>
      <c r="Y99" s="45">
        <f>IF(G99="","",IFERROR(INDEX(Recipes!$AH$5:$AH$204,MATCH(G99,Recipes!$A$5:$A$204,0)),"Not found"))</f>
        <v>0</v>
      </c>
      <c r="Z99" s="45">
        <f>IF(G99="","",IFERROR(INDEX(Recipes!$AI$5:$AI$204,MATCH(G99,Recipes!$A$5:$A$204,0)),"Not found"))</f>
        <v>0</v>
      </c>
      <c r="AA99" s="30">
        <f>IF(OR(V99="",NOT(ISNUMBER(V99))),"",V99*K99)</f>
        <v>0</v>
      </c>
      <c r="AB99" s="18">
        <f>IF(G99="","",IFERROR(INDEX(Recipes!$J$5:$J$204,MATCH(G99,Recipes!$A$5:$A$204,0)),"Not found"))</f>
        <v>0</v>
      </c>
      <c r="AC99" s="17">
        <f>IF(G99="","",IFERROR(INDEX(Recipes!$C$5:$C$204,MATCH(G99,Recipes!$A$5:$A$204,0)),"Not found"))</f>
        <v>0</v>
      </c>
      <c r="AD99" s="46">
        <f>IF(B99="","",IF(G99&lt;&gt;"","Yes",IF(OR(I99="",ISNUMBER(SEARCH("takeaway",I99)),ISNUMBER(SEARCH("out",I99))),"No","Yes")))</f>
        <v>0</v>
      </c>
      <c r="AE99" s="17">
        <f>IF(B99="","",TEXT(B99,"yyyy-mm-dd")&amp;"|"&amp;F99)</f>
        <v>0</v>
      </c>
      <c r="AF99" s="31">
        <f>IF(B99="","",IF(AND(G99="",I99=""),"Add - nothing planned yet",IF(COUNTIFS($AE$5:$AE$504,AE99)&gt;1,"Duplicate - two meals in one slot",IF(AND(G99&lt;&gt;"",H99="Not found"),"Missing - recipe ID not on the Recipes tab",IF(AND(B99&lt;TODAY(),OR(N99="Planned",N99="")),"Check - did you cook it?","OK")))))</f>
        <v>0</v>
      </c>
    </row>
    <row r="100" spans="1:32">
      <c r="A100" s="39">
        <f>IF(B100="","",MealPrefix&amp;TEXT(ROW()-4,"0000"))</f>
        <v>0</v>
      </c>
      <c r="C100" s="17">
        <f>IF(B100="","",TEXT(B100,"ddd"))</f>
        <v>0</v>
      </c>
      <c r="D100" s="18">
        <f>IF(B100="","",WEEKNUM(B100,IF(WeekStart="Sunday",1,2)))</f>
        <v>0</v>
      </c>
      <c r="E100" s="17">
        <f>IF(B100="","",TEXT(B100,"yyyy-mm"))</f>
        <v>0</v>
      </c>
      <c r="H100" s="17">
        <f>IF(G100&lt;&gt;"",IFERROR(INDEX(Recipes!$B$5:$B$204,MATCH(G100,Recipes!$A$5:$A$204,0)),"Not found"),I100)</f>
        <v>0</v>
      </c>
      <c r="K100" s="45">
        <f>IF(B100="","",IF(J100="",DefaultServings,J100))</f>
        <v>0</v>
      </c>
      <c r="L100" s="45">
        <f>IF(G100="",0,IFERROR(K100/INDEX(Recipes!$G$5:$G$204,MATCH(G100,Recipes!$A$5:$A$204,0)),0))</f>
        <v>0</v>
      </c>
      <c r="T100" s="25">
        <f>IF(G100="","",IFERROR(INDEX(Recipes!$AD$5:$AD$204,MATCH(G100,Recipes!$A$5:$A$204,0))*K100,""))</f>
        <v>0</v>
      </c>
      <c r="V100" s="30">
        <f>IF(G100="","",IFERROR(INDEX(Recipes!$AE$5:$AE$204,MATCH(G100,Recipes!$A$5:$A$204,0)),"Not found"))</f>
        <v>0</v>
      </c>
      <c r="W100" s="45">
        <f>IF(G100="","",IFERROR(INDEX(Recipes!$AF$5:$AF$204,MATCH(G100,Recipes!$A$5:$A$204,0)),"Not found"))</f>
        <v>0</v>
      </c>
      <c r="X100" s="45">
        <f>IF(G100="","",IFERROR(INDEX(Recipes!$AG$5:$AG$204,MATCH(G100,Recipes!$A$5:$A$204,0)),"Not found"))</f>
        <v>0</v>
      </c>
      <c r="Y100" s="45">
        <f>IF(G100="","",IFERROR(INDEX(Recipes!$AH$5:$AH$204,MATCH(G100,Recipes!$A$5:$A$204,0)),"Not found"))</f>
        <v>0</v>
      </c>
      <c r="Z100" s="45">
        <f>IF(G100="","",IFERROR(INDEX(Recipes!$AI$5:$AI$204,MATCH(G100,Recipes!$A$5:$A$204,0)),"Not found"))</f>
        <v>0</v>
      </c>
      <c r="AA100" s="30">
        <f>IF(OR(V100="",NOT(ISNUMBER(V100))),"",V100*K100)</f>
        <v>0</v>
      </c>
      <c r="AB100" s="18">
        <f>IF(G100="","",IFERROR(INDEX(Recipes!$J$5:$J$204,MATCH(G100,Recipes!$A$5:$A$204,0)),"Not found"))</f>
        <v>0</v>
      </c>
      <c r="AC100" s="17">
        <f>IF(G100="","",IFERROR(INDEX(Recipes!$C$5:$C$204,MATCH(G100,Recipes!$A$5:$A$204,0)),"Not found"))</f>
        <v>0</v>
      </c>
      <c r="AD100" s="46">
        <f>IF(B100="","",IF(G100&lt;&gt;"","Yes",IF(OR(I100="",ISNUMBER(SEARCH("takeaway",I100)),ISNUMBER(SEARCH("out",I100))),"No","Yes")))</f>
        <v>0</v>
      </c>
      <c r="AE100" s="17">
        <f>IF(B100="","",TEXT(B100,"yyyy-mm-dd")&amp;"|"&amp;F100)</f>
        <v>0</v>
      </c>
      <c r="AF100" s="31">
        <f>IF(B100="","",IF(AND(G100="",I100=""),"Add - nothing planned yet",IF(COUNTIFS($AE$5:$AE$504,AE100)&gt;1,"Duplicate - two meals in one slot",IF(AND(G100&lt;&gt;"",H100="Not found"),"Missing - recipe ID not on the Recipes tab",IF(AND(B100&lt;TODAY(),OR(N100="Planned",N100="")),"Check - did you cook it?","OK")))))</f>
        <v>0</v>
      </c>
    </row>
    <row r="101" spans="1:32">
      <c r="A101" s="39">
        <f>IF(B101="","",MealPrefix&amp;TEXT(ROW()-4,"0000"))</f>
        <v>0</v>
      </c>
      <c r="C101" s="17">
        <f>IF(B101="","",TEXT(B101,"ddd"))</f>
        <v>0</v>
      </c>
      <c r="D101" s="18">
        <f>IF(B101="","",WEEKNUM(B101,IF(WeekStart="Sunday",1,2)))</f>
        <v>0</v>
      </c>
      <c r="E101" s="17">
        <f>IF(B101="","",TEXT(B101,"yyyy-mm"))</f>
        <v>0</v>
      </c>
      <c r="H101" s="17">
        <f>IF(G101&lt;&gt;"",IFERROR(INDEX(Recipes!$B$5:$B$204,MATCH(G101,Recipes!$A$5:$A$204,0)),"Not found"),I101)</f>
        <v>0</v>
      </c>
      <c r="K101" s="45">
        <f>IF(B101="","",IF(J101="",DefaultServings,J101))</f>
        <v>0</v>
      </c>
      <c r="L101" s="45">
        <f>IF(G101="",0,IFERROR(K101/INDEX(Recipes!$G$5:$G$204,MATCH(G101,Recipes!$A$5:$A$204,0)),0))</f>
        <v>0</v>
      </c>
      <c r="T101" s="25">
        <f>IF(G101="","",IFERROR(INDEX(Recipes!$AD$5:$AD$204,MATCH(G101,Recipes!$A$5:$A$204,0))*K101,""))</f>
        <v>0</v>
      </c>
      <c r="V101" s="30">
        <f>IF(G101="","",IFERROR(INDEX(Recipes!$AE$5:$AE$204,MATCH(G101,Recipes!$A$5:$A$204,0)),"Not found"))</f>
        <v>0</v>
      </c>
      <c r="W101" s="45">
        <f>IF(G101="","",IFERROR(INDEX(Recipes!$AF$5:$AF$204,MATCH(G101,Recipes!$A$5:$A$204,0)),"Not found"))</f>
        <v>0</v>
      </c>
      <c r="X101" s="45">
        <f>IF(G101="","",IFERROR(INDEX(Recipes!$AG$5:$AG$204,MATCH(G101,Recipes!$A$5:$A$204,0)),"Not found"))</f>
        <v>0</v>
      </c>
      <c r="Y101" s="45">
        <f>IF(G101="","",IFERROR(INDEX(Recipes!$AH$5:$AH$204,MATCH(G101,Recipes!$A$5:$A$204,0)),"Not found"))</f>
        <v>0</v>
      </c>
      <c r="Z101" s="45">
        <f>IF(G101="","",IFERROR(INDEX(Recipes!$AI$5:$AI$204,MATCH(G101,Recipes!$A$5:$A$204,0)),"Not found"))</f>
        <v>0</v>
      </c>
      <c r="AA101" s="30">
        <f>IF(OR(V101="",NOT(ISNUMBER(V101))),"",V101*K101)</f>
        <v>0</v>
      </c>
      <c r="AB101" s="18">
        <f>IF(G101="","",IFERROR(INDEX(Recipes!$J$5:$J$204,MATCH(G101,Recipes!$A$5:$A$204,0)),"Not found"))</f>
        <v>0</v>
      </c>
      <c r="AC101" s="17">
        <f>IF(G101="","",IFERROR(INDEX(Recipes!$C$5:$C$204,MATCH(G101,Recipes!$A$5:$A$204,0)),"Not found"))</f>
        <v>0</v>
      </c>
      <c r="AD101" s="46">
        <f>IF(B101="","",IF(G101&lt;&gt;"","Yes",IF(OR(I101="",ISNUMBER(SEARCH("takeaway",I101)),ISNUMBER(SEARCH("out",I101))),"No","Yes")))</f>
        <v>0</v>
      </c>
      <c r="AE101" s="17">
        <f>IF(B101="","",TEXT(B101,"yyyy-mm-dd")&amp;"|"&amp;F101)</f>
        <v>0</v>
      </c>
      <c r="AF101" s="31">
        <f>IF(B101="","",IF(AND(G101="",I101=""),"Add - nothing planned yet",IF(COUNTIFS($AE$5:$AE$504,AE101)&gt;1,"Duplicate - two meals in one slot",IF(AND(G101&lt;&gt;"",H101="Not found"),"Missing - recipe ID not on the Recipes tab",IF(AND(B101&lt;TODAY(),OR(N101="Planned",N101="")),"Check - did you cook it?","OK")))))</f>
        <v>0</v>
      </c>
    </row>
    <row r="102" spans="1:32">
      <c r="A102" s="39">
        <f>IF(B102="","",MealPrefix&amp;TEXT(ROW()-4,"0000"))</f>
        <v>0</v>
      </c>
      <c r="C102" s="17">
        <f>IF(B102="","",TEXT(B102,"ddd"))</f>
        <v>0</v>
      </c>
      <c r="D102" s="18">
        <f>IF(B102="","",WEEKNUM(B102,IF(WeekStart="Sunday",1,2)))</f>
        <v>0</v>
      </c>
      <c r="E102" s="17">
        <f>IF(B102="","",TEXT(B102,"yyyy-mm"))</f>
        <v>0</v>
      </c>
      <c r="H102" s="17">
        <f>IF(G102&lt;&gt;"",IFERROR(INDEX(Recipes!$B$5:$B$204,MATCH(G102,Recipes!$A$5:$A$204,0)),"Not found"),I102)</f>
        <v>0</v>
      </c>
      <c r="K102" s="45">
        <f>IF(B102="","",IF(J102="",DefaultServings,J102))</f>
        <v>0</v>
      </c>
      <c r="L102" s="45">
        <f>IF(G102="",0,IFERROR(K102/INDEX(Recipes!$G$5:$G$204,MATCH(G102,Recipes!$A$5:$A$204,0)),0))</f>
        <v>0</v>
      </c>
      <c r="T102" s="25">
        <f>IF(G102="","",IFERROR(INDEX(Recipes!$AD$5:$AD$204,MATCH(G102,Recipes!$A$5:$A$204,0))*K102,""))</f>
        <v>0</v>
      </c>
      <c r="V102" s="30">
        <f>IF(G102="","",IFERROR(INDEX(Recipes!$AE$5:$AE$204,MATCH(G102,Recipes!$A$5:$A$204,0)),"Not found"))</f>
        <v>0</v>
      </c>
      <c r="W102" s="45">
        <f>IF(G102="","",IFERROR(INDEX(Recipes!$AF$5:$AF$204,MATCH(G102,Recipes!$A$5:$A$204,0)),"Not found"))</f>
        <v>0</v>
      </c>
      <c r="X102" s="45">
        <f>IF(G102="","",IFERROR(INDEX(Recipes!$AG$5:$AG$204,MATCH(G102,Recipes!$A$5:$A$204,0)),"Not found"))</f>
        <v>0</v>
      </c>
      <c r="Y102" s="45">
        <f>IF(G102="","",IFERROR(INDEX(Recipes!$AH$5:$AH$204,MATCH(G102,Recipes!$A$5:$A$204,0)),"Not found"))</f>
        <v>0</v>
      </c>
      <c r="Z102" s="45">
        <f>IF(G102="","",IFERROR(INDEX(Recipes!$AI$5:$AI$204,MATCH(G102,Recipes!$A$5:$A$204,0)),"Not found"))</f>
        <v>0</v>
      </c>
      <c r="AA102" s="30">
        <f>IF(OR(V102="",NOT(ISNUMBER(V102))),"",V102*K102)</f>
        <v>0</v>
      </c>
      <c r="AB102" s="18">
        <f>IF(G102="","",IFERROR(INDEX(Recipes!$J$5:$J$204,MATCH(G102,Recipes!$A$5:$A$204,0)),"Not found"))</f>
        <v>0</v>
      </c>
      <c r="AC102" s="17">
        <f>IF(G102="","",IFERROR(INDEX(Recipes!$C$5:$C$204,MATCH(G102,Recipes!$A$5:$A$204,0)),"Not found"))</f>
        <v>0</v>
      </c>
      <c r="AD102" s="46">
        <f>IF(B102="","",IF(G102&lt;&gt;"","Yes",IF(OR(I102="",ISNUMBER(SEARCH("takeaway",I102)),ISNUMBER(SEARCH("out",I102))),"No","Yes")))</f>
        <v>0</v>
      </c>
      <c r="AE102" s="17">
        <f>IF(B102="","",TEXT(B102,"yyyy-mm-dd")&amp;"|"&amp;F102)</f>
        <v>0</v>
      </c>
      <c r="AF102" s="31">
        <f>IF(B102="","",IF(AND(G102="",I102=""),"Add - nothing planned yet",IF(COUNTIFS($AE$5:$AE$504,AE102)&gt;1,"Duplicate - two meals in one slot",IF(AND(G102&lt;&gt;"",H102="Not found"),"Missing - recipe ID not on the Recipes tab",IF(AND(B102&lt;TODAY(),OR(N102="Planned",N102="")),"Check - did you cook it?","OK")))))</f>
        <v>0</v>
      </c>
    </row>
    <row r="103" spans="1:32">
      <c r="A103" s="39">
        <f>IF(B103="","",MealPrefix&amp;TEXT(ROW()-4,"0000"))</f>
        <v>0</v>
      </c>
      <c r="C103" s="17">
        <f>IF(B103="","",TEXT(B103,"ddd"))</f>
        <v>0</v>
      </c>
      <c r="D103" s="18">
        <f>IF(B103="","",WEEKNUM(B103,IF(WeekStart="Sunday",1,2)))</f>
        <v>0</v>
      </c>
      <c r="E103" s="17">
        <f>IF(B103="","",TEXT(B103,"yyyy-mm"))</f>
        <v>0</v>
      </c>
      <c r="H103" s="17">
        <f>IF(G103&lt;&gt;"",IFERROR(INDEX(Recipes!$B$5:$B$204,MATCH(G103,Recipes!$A$5:$A$204,0)),"Not found"),I103)</f>
        <v>0</v>
      </c>
      <c r="K103" s="45">
        <f>IF(B103="","",IF(J103="",DefaultServings,J103))</f>
        <v>0</v>
      </c>
      <c r="L103" s="45">
        <f>IF(G103="",0,IFERROR(K103/INDEX(Recipes!$G$5:$G$204,MATCH(G103,Recipes!$A$5:$A$204,0)),0))</f>
        <v>0</v>
      </c>
      <c r="T103" s="25">
        <f>IF(G103="","",IFERROR(INDEX(Recipes!$AD$5:$AD$204,MATCH(G103,Recipes!$A$5:$A$204,0))*K103,""))</f>
        <v>0</v>
      </c>
      <c r="V103" s="30">
        <f>IF(G103="","",IFERROR(INDEX(Recipes!$AE$5:$AE$204,MATCH(G103,Recipes!$A$5:$A$204,0)),"Not found"))</f>
        <v>0</v>
      </c>
      <c r="W103" s="45">
        <f>IF(G103="","",IFERROR(INDEX(Recipes!$AF$5:$AF$204,MATCH(G103,Recipes!$A$5:$A$204,0)),"Not found"))</f>
        <v>0</v>
      </c>
      <c r="X103" s="45">
        <f>IF(G103="","",IFERROR(INDEX(Recipes!$AG$5:$AG$204,MATCH(G103,Recipes!$A$5:$A$204,0)),"Not found"))</f>
        <v>0</v>
      </c>
      <c r="Y103" s="45">
        <f>IF(G103="","",IFERROR(INDEX(Recipes!$AH$5:$AH$204,MATCH(G103,Recipes!$A$5:$A$204,0)),"Not found"))</f>
        <v>0</v>
      </c>
      <c r="Z103" s="45">
        <f>IF(G103="","",IFERROR(INDEX(Recipes!$AI$5:$AI$204,MATCH(G103,Recipes!$A$5:$A$204,0)),"Not found"))</f>
        <v>0</v>
      </c>
      <c r="AA103" s="30">
        <f>IF(OR(V103="",NOT(ISNUMBER(V103))),"",V103*K103)</f>
        <v>0</v>
      </c>
      <c r="AB103" s="18">
        <f>IF(G103="","",IFERROR(INDEX(Recipes!$J$5:$J$204,MATCH(G103,Recipes!$A$5:$A$204,0)),"Not found"))</f>
        <v>0</v>
      </c>
      <c r="AC103" s="17">
        <f>IF(G103="","",IFERROR(INDEX(Recipes!$C$5:$C$204,MATCH(G103,Recipes!$A$5:$A$204,0)),"Not found"))</f>
        <v>0</v>
      </c>
      <c r="AD103" s="46">
        <f>IF(B103="","",IF(G103&lt;&gt;"","Yes",IF(OR(I103="",ISNUMBER(SEARCH("takeaway",I103)),ISNUMBER(SEARCH("out",I103))),"No","Yes")))</f>
        <v>0</v>
      </c>
      <c r="AE103" s="17">
        <f>IF(B103="","",TEXT(B103,"yyyy-mm-dd")&amp;"|"&amp;F103)</f>
        <v>0</v>
      </c>
      <c r="AF103" s="31">
        <f>IF(B103="","",IF(AND(G103="",I103=""),"Add - nothing planned yet",IF(COUNTIFS($AE$5:$AE$504,AE103)&gt;1,"Duplicate - two meals in one slot",IF(AND(G103&lt;&gt;"",H103="Not found"),"Missing - recipe ID not on the Recipes tab",IF(AND(B103&lt;TODAY(),OR(N103="Planned",N103="")),"Check - did you cook it?","OK")))))</f>
        <v>0</v>
      </c>
    </row>
    <row r="104" spans="1:32">
      <c r="A104" s="39">
        <f>IF(B104="","",MealPrefix&amp;TEXT(ROW()-4,"0000"))</f>
        <v>0</v>
      </c>
      <c r="C104" s="17">
        <f>IF(B104="","",TEXT(B104,"ddd"))</f>
        <v>0</v>
      </c>
      <c r="D104" s="18">
        <f>IF(B104="","",WEEKNUM(B104,IF(WeekStart="Sunday",1,2)))</f>
        <v>0</v>
      </c>
      <c r="E104" s="17">
        <f>IF(B104="","",TEXT(B104,"yyyy-mm"))</f>
        <v>0</v>
      </c>
      <c r="H104" s="17">
        <f>IF(G104&lt;&gt;"",IFERROR(INDEX(Recipes!$B$5:$B$204,MATCH(G104,Recipes!$A$5:$A$204,0)),"Not found"),I104)</f>
        <v>0</v>
      </c>
      <c r="K104" s="45">
        <f>IF(B104="","",IF(J104="",DefaultServings,J104))</f>
        <v>0</v>
      </c>
      <c r="L104" s="45">
        <f>IF(G104="",0,IFERROR(K104/INDEX(Recipes!$G$5:$G$204,MATCH(G104,Recipes!$A$5:$A$204,0)),0))</f>
        <v>0</v>
      </c>
      <c r="T104" s="25">
        <f>IF(G104="","",IFERROR(INDEX(Recipes!$AD$5:$AD$204,MATCH(G104,Recipes!$A$5:$A$204,0))*K104,""))</f>
        <v>0</v>
      </c>
      <c r="V104" s="30">
        <f>IF(G104="","",IFERROR(INDEX(Recipes!$AE$5:$AE$204,MATCH(G104,Recipes!$A$5:$A$204,0)),"Not found"))</f>
        <v>0</v>
      </c>
      <c r="W104" s="45">
        <f>IF(G104="","",IFERROR(INDEX(Recipes!$AF$5:$AF$204,MATCH(G104,Recipes!$A$5:$A$204,0)),"Not found"))</f>
        <v>0</v>
      </c>
      <c r="X104" s="45">
        <f>IF(G104="","",IFERROR(INDEX(Recipes!$AG$5:$AG$204,MATCH(G104,Recipes!$A$5:$A$204,0)),"Not found"))</f>
        <v>0</v>
      </c>
      <c r="Y104" s="45">
        <f>IF(G104="","",IFERROR(INDEX(Recipes!$AH$5:$AH$204,MATCH(G104,Recipes!$A$5:$A$204,0)),"Not found"))</f>
        <v>0</v>
      </c>
      <c r="Z104" s="45">
        <f>IF(G104="","",IFERROR(INDEX(Recipes!$AI$5:$AI$204,MATCH(G104,Recipes!$A$5:$A$204,0)),"Not found"))</f>
        <v>0</v>
      </c>
      <c r="AA104" s="30">
        <f>IF(OR(V104="",NOT(ISNUMBER(V104))),"",V104*K104)</f>
        <v>0</v>
      </c>
      <c r="AB104" s="18">
        <f>IF(G104="","",IFERROR(INDEX(Recipes!$J$5:$J$204,MATCH(G104,Recipes!$A$5:$A$204,0)),"Not found"))</f>
        <v>0</v>
      </c>
      <c r="AC104" s="17">
        <f>IF(G104="","",IFERROR(INDEX(Recipes!$C$5:$C$204,MATCH(G104,Recipes!$A$5:$A$204,0)),"Not found"))</f>
        <v>0</v>
      </c>
      <c r="AD104" s="46">
        <f>IF(B104="","",IF(G104&lt;&gt;"","Yes",IF(OR(I104="",ISNUMBER(SEARCH("takeaway",I104)),ISNUMBER(SEARCH("out",I104))),"No","Yes")))</f>
        <v>0</v>
      </c>
      <c r="AE104" s="17">
        <f>IF(B104="","",TEXT(B104,"yyyy-mm-dd")&amp;"|"&amp;F104)</f>
        <v>0</v>
      </c>
      <c r="AF104" s="31">
        <f>IF(B104="","",IF(AND(G104="",I104=""),"Add - nothing planned yet",IF(COUNTIFS($AE$5:$AE$504,AE104)&gt;1,"Duplicate - two meals in one slot",IF(AND(G104&lt;&gt;"",H104="Not found"),"Missing - recipe ID not on the Recipes tab",IF(AND(B104&lt;TODAY(),OR(N104="Planned",N104="")),"Check - did you cook it?","OK")))))</f>
        <v>0</v>
      </c>
    </row>
    <row r="105" spans="1:32">
      <c r="A105" s="39">
        <f>IF(B105="","",MealPrefix&amp;TEXT(ROW()-4,"0000"))</f>
        <v>0</v>
      </c>
      <c r="C105" s="17">
        <f>IF(B105="","",TEXT(B105,"ddd"))</f>
        <v>0</v>
      </c>
      <c r="D105" s="18">
        <f>IF(B105="","",WEEKNUM(B105,IF(WeekStart="Sunday",1,2)))</f>
        <v>0</v>
      </c>
      <c r="E105" s="17">
        <f>IF(B105="","",TEXT(B105,"yyyy-mm"))</f>
        <v>0</v>
      </c>
      <c r="H105" s="17">
        <f>IF(G105&lt;&gt;"",IFERROR(INDEX(Recipes!$B$5:$B$204,MATCH(G105,Recipes!$A$5:$A$204,0)),"Not found"),I105)</f>
        <v>0</v>
      </c>
      <c r="K105" s="45">
        <f>IF(B105="","",IF(J105="",DefaultServings,J105))</f>
        <v>0</v>
      </c>
      <c r="L105" s="45">
        <f>IF(G105="",0,IFERROR(K105/INDEX(Recipes!$G$5:$G$204,MATCH(G105,Recipes!$A$5:$A$204,0)),0))</f>
        <v>0</v>
      </c>
      <c r="T105" s="25">
        <f>IF(G105="","",IFERROR(INDEX(Recipes!$AD$5:$AD$204,MATCH(G105,Recipes!$A$5:$A$204,0))*K105,""))</f>
        <v>0</v>
      </c>
      <c r="V105" s="30">
        <f>IF(G105="","",IFERROR(INDEX(Recipes!$AE$5:$AE$204,MATCH(G105,Recipes!$A$5:$A$204,0)),"Not found"))</f>
        <v>0</v>
      </c>
      <c r="W105" s="45">
        <f>IF(G105="","",IFERROR(INDEX(Recipes!$AF$5:$AF$204,MATCH(G105,Recipes!$A$5:$A$204,0)),"Not found"))</f>
        <v>0</v>
      </c>
      <c r="X105" s="45">
        <f>IF(G105="","",IFERROR(INDEX(Recipes!$AG$5:$AG$204,MATCH(G105,Recipes!$A$5:$A$204,0)),"Not found"))</f>
        <v>0</v>
      </c>
      <c r="Y105" s="45">
        <f>IF(G105="","",IFERROR(INDEX(Recipes!$AH$5:$AH$204,MATCH(G105,Recipes!$A$5:$A$204,0)),"Not found"))</f>
        <v>0</v>
      </c>
      <c r="Z105" s="45">
        <f>IF(G105="","",IFERROR(INDEX(Recipes!$AI$5:$AI$204,MATCH(G105,Recipes!$A$5:$A$204,0)),"Not found"))</f>
        <v>0</v>
      </c>
      <c r="AA105" s="30">
        <f>IF(OR(V105="",NOT(ISNUMBER(V105))),"",V105*K105)</f>
        <v>0</v>
      </c>
      <c r="AB105" s="18">
        <f>IF(G105="","",IFERROR(INDEX(Recipes!$J$5:$J$204,MATCH(G105,Recipes!$A$5:$A$204,0)),"Not found"))</f>
        <v>0</v>
      </c>
      <c r="AC105" s="17">
        <f>IF(G105="","",IFERROR(INDEX(Recipes!$C$5:$C$204,MATCH(G105,Recipes!$A$5:$A$204,0)),"Not found"))</f>
        <v>0</v>
      </c>
      <c r="AD105" s="46">
        <f>IF(B105="","",IF(G105&lt;&gt;"","Yes",IF(OR(I105="",ISNUMBER(SEARCH("takeaway",I105)),ISNUMBER(SEARCH("out",I105))),"No","Yes")))</f>
        <v>0</v>
      </c>
      <c r="AE105" s="17">
        <f>IF(B105="","",TEXT(B105,"yyyy-mm-dd")&amp;"|"&amp;F105)</f>
        <v>0</v>
      </c>
      <c r="AF105" s="31">
        <f>IF(B105="","",IF(AND(G105="",I105=""),"Add - nothing planned yet",IF(COUNTIFS($AE$5:$AE$504,AE105)&gt;1,"Duplicate - two meals in one slot",IF(AND(G105&lt;&gt;"",H105="Not found"),"Missing - recipe ID not on the Recipes tab",IF(AND(B105&lt;TODAY(),OR(N105="Planned",N105="")),"Check - did you cook it?","OK")))))</f>
        <v>0</v>
      </c>
    </row>
    <row r="106" spans="1:32">
      <c r="A106" s="39">
        <f>IF(B106="","",MealPrefix&amp;TEXT(ROW()-4,"0000"))</f>
        <v>0</v>
      </c>
      <c r="C106" s="17">
        <f>IF(B106="","",TEXT(B106,"ddd"))</f>
        <v>0</v>
      </c>
      <c r="D106" s="18">
        <f>IF(B106="","",WEEKNUM(B106,IF(WeekStart="Sunday",1,2)))</f>
        <v>0</v>
      </c>
      <c r="E106" s="17">
        <f>IF(B106="","",TEXT(B106,"yyyy-mm"))</f>
        <v>0</v>
      </c>
      <c r="H106" s="17">
        <f>IF(G106&lt;&gt;"",IFERROR(INDEX(Recipes!$B$5:$B$204,MATCH(G106,Recipes!$A$5:$A$204,0)),"Not found"),I106)</f>
        <v>0</v>
      </c>
      <c r="K106" s="45">
        <f>IF(B106="","",IF(J106="",DefaultServings,J106))</f>
        <v>0</v>
      </c>
      <c r="L106" s="45">
        <f>IF(G106="",0,IFERROR(K106/INDEX(Recipes!$G$5:$G$204,MATCH(G106,Recipes!$A$5:$A$204,0)),0))</f>
        <v>0</v>
      </c>
      <c r="T106" s="25">
        <f>IF(G106="","",IFERROR(INDEX(Recipes!$AD$5:$AD$204,MATCH(G106,Recipes!$A$5:$A$204,0))*K106,""))</f>
        <v>0</v>
      </c>
      <c r="V106" s="30">
        <f>IF(G106="","",IFERROR(INDEX(Recipes!$AE$5:$AE$204,MATCH(G106,Recipes!$A$5:$A$204,0)),"Not found"))</f>
        <v>0</v>
      </c>
      <c r="W106" s="45">
        <f>IF(G106="","",IFERROR(INDEX(Recipes!$AF$5:$AF$204,MATCH(G106,Recipes!$A$5:$A$204,0)),"Not found"))</f>
        <v>0</v>
      </c>
      <c r="X106" s="45">
        <f>IF(G106="","",IFERROR(INDEX(Recipes!$AG$5:$AG$204,MATCH(G106,Recipes!$A$5:$A$204,0)),"Not found"))</f>
        <v>0</v>
      </c>
      <c r="Y106" s="45">
        <f>IF(G106="","",IFERROR(INDEX(Recipes!$AH$5:$AH$204,MATCH(G106,Recipes!$A$5:$A$204,0)),"Not found"))</f>
        <v>0</v>
      </c>
      <c r="Z106" s="45">
        <f>IF(G106="","",IFERROR(INDEX(Recipes!$AI$5:$AI$204,MATCH(G106,Recipes!$A$5:$A$204,0)),"Not found"))</f>
        <v>0</v>
      </c>
      <c r="AA106" s="30">
        <f>IF(OR(V106="",NOT(ISNUMBER(V106))),"",V106*K106)</f>
        <v>0</v>
      </c>
      <c r="AB106" s="18">
        <f>IF(G106="","",IFERROR(INDEX(Recipes!$J$5:$J$204,MATCH(G106,Recipes!$A$5:$A$204,0)),"Not found"))</f>
        <v>0</v>
      </c>
      <c r="AC106" s="17">
        <f>IF(G106="","",IFERROR(INDEX(Recipes!$C$5:$C$204,MATCH(G106,Recipes!$A$5:$A$204,0)),"Not found"))</f>
        <v>0</v>
      </c>
      <c r="AD106" s="46">
        <f>IF(B106="","",IF(G106&lt;&gt;"","Yes",IF(OR(I106="",ISNUMBER(SEARCH("takeaway",I106)),ISNUMBER(SEARCH("out",I106))),"No","Yes")))</f>
        <v>0</v>
      </c>
      <c r="AE106" s="17">
        <f>IF(B106="","",TEXT(B106,"yyyy-mm-dd")&amp;"|"&amp;F106)</f>
        <v>0</v>
      </c>
      <c r="AF106" s="31">
        <f>IF(B106="","",IF(AND(G106="",I106=""),"Add - nothing planned yet",IF(COUNTIFS($AE$5:$AE$504,AE106)&gt;1,"Duplicate - two meals in one slot",IF(AND(G106&lt;&gt;"",H106="Not found"),"Missing - recipe ID not on the Recipes tab",IF(AND(B106&lt;TODAY(),OR(N106="Planned",N106="")),"Check - did you cook it?","OK")))))</f>
        <v>0</v>
      </c>
    </row>
    <row r="107" spans="1:32">
      <c r="A107" s="39">
        <f>IF(B107="","",MealPrefix&amp;TEXT(ROW()-4,"0000"))</f>
        <v>0</v>
      </c>
      <c r="C107" s="17">
        <f>IF(B107="","",TEXT(B107,"ddd"))</f>
        <v>0</v>
      </c>
      <c r="D107" s="18">
        <f>IF(B107="","",WEEKNUM(B107,IF(WeekStart="Sunday",1,2)))</f>
        <v>0</v>
      </c>
      <c r="E107" s="17">
        <f>IF(B107="","",TEXT(B107,"yyyy-mm"))</f>
        <v>0</v>
      </c>
      <c r="H107" s="17">
        <f>IF(G107&lt;&gt;"",IFERROR(INDEX(Recipes!$B$5:$B$204,MATCH(G107,Recipes!$A$5:$A$204,0)),"Not found"),I107)</f>
        <v>0</v>
      </c>
      <c r="K107" s="45">
        <f>IF(B107="","",IF(J107="",DefaultServings,J107))</f>
        <v>0</v>
      </c>
      <c r="L107" s="45">
        <f>IF(G107="",0,IFERROR(K107/INDEX(Recipes!$G$5:$G$204,MATCH(G107,Recipes!$A$5:$A$204,0)),0))</f>
        <v>0</v>
      </c>
      <c r="T107" s="25">
        <f>IF(G107="","",IFERROR(INDEX(Recipes!$AD$5:$AD$204,MATCH(G107,Recipes!$A$5:$A$204,0))*K107,""))</f>
        <v>0</v>
      </c>
      <c r="V107" s="30">
        <f>IF(G107="","",IFERROR(INDEX(Recipes!$AE$5:$AE$204,MATCH(G107,Recipes!$A$5:$A$204,0)),"Not found"))</f>
        <v>0</v>
      </c>
      <c r="W107" s="45">
        <f>IF(G107="","",IFERROR(INDEX(Recipes!$AF$5:$AF$204,MATCH(G107,Recipes!$A$5:$A$204,0)),"Not found"))</f>
        <v>0</v>
      </c>
      <c r="X107" s="45">
        <f>IF(G107="","",IFERROR(INDEX(Recipes!$AG$5:$AG$204,MATCH(G107,Recipes!$A$5:$A$204,0)),"Not found"))</f>
        <v>0</v>
      </c>
      <c r="Y107" s="45">
        <f>IF(G107="","",IFERROR(INDEX(Recipes!$AH$5:$AH$204,MATCH(G107,Recipes!$A$5:$A$204,0)),"Not found"))</f>
        <v>0</v>
      </c>
      <c r="Z107" s="45">
        <f>IF(G107="","",IFERROR(INDEX(Recipes!$AI$5:$AI$204,MATCH(G107,Recipes!$A$5:$A$204,0)),"Not found"))</f>
        <v>0</v>
      </c>
      <c r="AA107" s="30">
        <f>IF(OR(V107="",NOT(ISNUMBER(V107))),"",V107*K107)</f>
        <v>0</v>
      </c>
      <c r="AB107" s="18">
        <f>IF(G107="","",IFERROR(INDEX(Recipes!$J$5:$J$204,MATCH(G107,Recipes!$A$5:$A$204,0)),"Not found"))</f>
        <v>0</v>
      </c>
      <c r="AC107" s="17">
        <f>IF(G107="","",IFERROR(INDEX(Recipes!$C$5:$C$204,MATCH(G107,Recipes!$A$5:$A$204,0)),"Not found"))</f>
        <v>0</v>
      </c>
      <c r="AD107" s="46">
        <f>IF(B107="","",IF(G107&lt;&gt;"","Yes",IF(OR(I107="",ISNUMBER(SEARCH("takeaway",I107)),ISNUMBER(SEARCH("out",I107))),"No","Yes")))</f>
        <v>0</v>
      </c>
      <c r="AE107" s="17">
        <f>IF(B107="","",TEXT(B107,"yyyy-mm-dd")&amp;"|"&amp;F107)</f>
        <v>0</v>
      </c>
      <c r="AF107" s="31">
        <f>IF(B107="","",IF(AND(G107="",I107=""),"Add - nothing planned yet",IF(COUNTIFS($AE$5:$AE$504,AE107)&gt;1,"Duplicate - two meals in one slot",IF(AND(G107&lt;&gt;"",H107="Not found"),"Missing - recipe ID not on the Recipes tab",IF(AND(B107&lt;TODAY(),OR(N107="Planned",N107="")),"Check - did you cook it?","OK")))))</f>
        <v>0</v>
      </c>
    </row>
    <row r="108" spans="1:32">
      <c r="A108" s="39">
        <f>IF(B108="","",MealPrefix&amp;TEXT(ROW()-4,"0000"))</f>
        <v>0</v>
      </c>
      <c r="C108" s="17">
        <f>IF(B108="","",TEXT(B108,"ddd"))</f>
        <v>0</v>
      </c>
      <c r="D108" s="18">
        <f>IF(B108="","",WEEKNUM(B108,IF(WeekStart="Sunday",1,2)))</f>
        <v>0</v>
      </c>
      <c r="E108" s="17">
        <f>IF(B108="","",TEXT(B108,"yyyy-mm"))</f>
        <v>0</v>
      </c>
      <c r="H108" s="17">
        <f>IF(G108&lt;&gt;"",IFERROR(INDEX(Recipes!$B$5:$B$204,MATCH(G108,Recipes!$A$5:$A$204,0)),"Not found"),I108)</f>
        <v>0</v>
      </c>
      <c r="K108" s="45">
        <f>IF(B108="","",IF(J108="",DefaultServings,J108))</f>
        <v>0</v>
      </c>
      <c r="L108" s="45">
        <f>IF(G108="",0,IFERROR(K108/INDEX(Recipes!$G$5:$G$204,MATCH(G108,Recipes!$A$5:$A$204,0)),0))</f>
        <v>0</v>
      </c>
      <c r="T108" s="25">
        <f>IF(G108="","",IFERROR(INDEX(Recipes!$AD$5:$AD$204,MATCH(G108,Recipes!$A$5:$A$204,0))*K108,""))</f>
        <v>0</v>
      </c>
      <c r="V108" s="30">
        <f>IF(G108="","",IFERROR(INDEX(Recipes!$AE$5:$AE$204,MATCH(G108,Recipes!$A$5:$A$204,0)),"Not found"))</f>
        <v>0</v>
      </c>
      <c r="W108" s="45">
        <f>IF(G108="","",IFERROR(INDEX(Recipes!$AF$5:$AF$204,MATCH(G108,Recipes!$A$5:$A$204,0)),"Not found"))</f>
        <v>0</v>
      </c>
      <c r="X108" s="45">
        <f>IF(G108="","",IFERROR(INDEX(Recipes!$AG$5:$AG$204,MATCH(G108,Recipes!$A$5:$A$204,0)),"Not found"))</f>
        <v>0</v>
      </c>
      <c r="Y108" s="45">
        <f>IF(G108="","",IFERROR(INDEX(Recipes!$AH$5:$AH$204,MATCH(G108,Recipes!$A$5:$A$204,0)),"Not found"))</f>
        <v>0</v>
      </c>
      <c r="Z108" s="45">
        <f>IF(G108="","",IFERROR(INDEX(Recipes!$AI$5:$AI$204,MATCH(G108,Recipes!$A$5:$A$204,0)),"Not found"))</f>
        <v>0</v>
      </c>
      <c r="AA108" s="30">
        <f>IF(OR(V108="",NOT(ISNUMBER(V108))),"",V108*K108)</f>
        <v>0</v>
      </c>
      <c r="AB108" s="18">
        <f>IF(G108="","",IFERROR(INDEX(Recipes!$J$5:$J$204,MATCH(G108,Recipes!$A$5:$A$204,0)),"Not found"))</f>
        <v>0</v>
      </c>
      <c r="AC108" s="17">
        <f>IF(G108="","",IFERROR(INDEX(Recipes!$C$5:$C$204,MATCH(G108,Recipes!$A$5:$A$204,0)),"Not found"))</f>
        <v>0</v>
      </c>
      <c r="AD108" s="46">
        <f>IF(B108="","",IF(G108&lt;&gt;"","Yes",IF(OR(I108="",ISNUMBER(SEARCH("takeaway",I108)),ISNUMBER(SEARCH("out",I108))),"No","Yes")))</f>
        <v>0</v>
      </c>
      <c r="AE108" s="17">
        <f>IF(B108="","",TEXT(B108,"yyyy-mm-dd")&amp;"|"&amp;F108)</f>
        <v>0</v>
      </c>
      <c r="AF108" s="31">
        <f>IF(B108="","",IF(AND(G108="",I108=""),"Add - nothing planned yet",IF(COUNTIFS($AE$5:$AE$504,AE108)&gt;1,"Duplicate - two meals in one slot",IF(AND(G108&lt;&gt;"",H108="Not found"),"Missing - recipe ID not on the Recipes tab",IF(AND(B108&lt;TODAY(),OR(N108="Planned",N108="")),"Check - did you cook it?","OK")))))</f>
        <v>0</v>
      </c>
    </row>
    <row r="109" spans="1:32">
      <c r="A109" s="39">
        <f>IF(B109="","",MealPrefix&amp;TEXT(ROW()-4,"0000"))</f>
        <v>0</v>
      </c>
      <c r="C109" s="17">
        <f>IF(B109="","",TEXT(B109,"ddd"))</f>
        <v>0</v>
      </c>
      <c r="D109" s="18">
        <f>IF(B109="","",WEEKNUM(B109,IF(WeekStart="Sunday",1,2)))</f>
        <v>0</v>
      </c>
      <c r="E109" s="17">
        <f>IF(B109="","",TEXT(B109,"yyyy-mm"))</f>
        <v>0</v>
      </c>
      <c r="H109" s="17">
        <f>IF(G109&lt;&gt;"",IFERROR(INDEX(Recipes!$B$5:$B$204,MATCH(G109,Recipes!$A$5:$A$204,0)),"Not found"),I109)</f>
        <v>0</v>
      </c>
      <c r="K109" s="45">
        <f>IF(B109="","",IF(J109="",DefaultServings,J109))</f>
        <v>0</v>
      </c>
      <c r="L109" s="45">
        <f>IF(G109="",0,IFERROR(K109/INDEX(Recipes!$G$5:$G$204,MATCH(G109,Recipes!$A$5:$A$204,0)),0))</f>
        <v>0</v>
      </c>
      <c r="T109" s="25">
        <f>IF(G109="","",IFERROR(INDEX(Recipes!$AD$5:$AD$204,MATCH(G109,Recipes!$A$5:$A$204,0))*K109,""))</f>
        <v>0</v>
      </c>
      <c r="V109" s="30">
        <f>IF(G109="","",IFERROR(INDEX(Recipes!$AE$5:$AE$204,MATCH(G109,Recipes!$A$5:$A$204,0)),"Not found"))</f>
        <v>0</v>
      </c>
      <c r="W109" s="45">
        <f>IF(G109="","",IFERROR(INDEX(Recipes!$AF$5:$AF$204,MATCH(G109,Recipes!$A$5:$A$204,0)),"Not found"))</f>
        <v>0</v>
      </c>
      <c r="X109" s="45">
        <f>IF(G109="","",IFERROR(INDEX(Recipes!$AG$5:$AG$204,MATCH(G109,Recipes!$A$5:$A$204,0)),"Not found"))</f>
        <v>0</v>
      </c>
      <c r="Y109" s="45">
        <f>IF(G109="","",IFERROR(INDEX(Recipes!$AH$5:$AH$204,MATCH(G109,Recipes!$A$5:$A$204,0)),"Not found"))</f>
        <v>0</v>
      </c>
      <c r="Z109" s="45">
        <f>IF(G109="","",IFERROR(INDEX(Recipes!$AI$5:$AI$204,MATCH(G109,Recipes!$A$5:$A$204,0)),"Not found"))</f>
        <v>0</v>
      </c>
      <c r="AA109" s="30">
        <f>IF(OR(V109="",NOT(ISNUMBER(V109))),"",V109*K109)</f>
        <v>0</v>
      </c>
      <c r="AB109" s="18">
        <f>IF(G109="","",IFERROR(INDEX(Recipes!$J$5:$J$204,MATCH(G109,Recipes!$A$5:$A$204,0)),"Not found"))</f>
        <v>0</v>
      </c>
      <c r="AC109" s="17">
        <f>IF(G109="","",IFERROR(INDEX(Recipes!$C$5:$C$204,MATCH(G109,Recipes!$A$5:$A$204,0)),"Not found"))</f>
        <v>0</v>
      </c>
      <c r="AD109" s="46">
        <f>IF(B109="","",IF(G109&lt;&gt;"","Yes",IF(OR(I109="",ISNUMBER(SEARCH("takeaway",I109)),ISNUMBER(SEARCH("out",I109))),"No","Yes")))</f>
        <v>0</v>
      </c>
      <c r="AE109" s="17">
        <f>IF(B109="","",TEXT(B109,"yyyy-mm-dd")&amp;"|"&amp;F109)</f>
        <v>0</v>
      </c>
      <c r="AF109" s="31">
        <f>IF(B109="","",IF(AND(G109="",I109=""),"Add - nothing planned yet",IF(COUNTIFS($AE$5:$AE$504,AE109)&gt;1,"Duplicate - two meals in one slot",IF(AND(G109&lt;&gt;"",H109="Not found"),"Missing - recipe ID not on the Recipes tab",IF(AND(B109&lt;TODAY(),OR(N109="Planned",N109="")),"Check - did you cook it?","OK")))))</f>
        <v>0</v>
      </c>
    </row>
    <row r="110" spans="1:32">
      <c r="A110" s="39">
        <f>IF(B110="","",MealPrefix&amp;TEXT(ROW()-4,"0000"))</f>
        <v>0</v>
      </c>
      <c r="C110" s="17">
        <f>IF(B110="","",TEXT(B110,"ddd"))</f>
        <v>0</v>
      </c>
      <c r="D110" s="18">
        <f>IF(B110="","",WEEKNUM(B110,IF(WeekStart="Sunday",1,2)))</f>
        <v>0</v>
      </c>
      <c r="E110" s="17">
        <f>IF(B110="","",TEXT(B110,"yyyy-mm"))</f>
        <v>0</v>
      </c>
      <c r="H110" s="17">
        <f>IF(G110&lt;&gt;"",IFERROR(INDEX(Recipes!$B$5:$B$204,MATCH(G110,Recipes!$A$5:$A$204,0)),"Not found"),I110)</f>
        <v>0</v>
      </c>
      <c r="K110" s="45">
        <f>IF(B110="","",IF(J110="",DefaultServings,J110))</f>
        <v>0</v>
      </c>
      <c r="L110" s="45">
        <f>IF(G110="",0,IFERROR(K110/INDEX(Recipes!$G$5:$G$204,MATCH(G110,Recipes!$A$5:$A$204,0)),0))</f>
        <v>0</v>
      </c>
      <c r="T110" s="25">
        <f>IF(G110="","",IFERROR(INDEX(Recipes!$AD$5:$AD$204,MATCH(G110,Recipes!$A$5:$A$204,0))*K110,""))</f>
        <v>0</v>
      </c>
      <c r="V110" s="30">
        <f>IF(G110="","",IFERROR(INDEX(Recipes!$AE$5:$AE$204,MATCH(G110,Recipes!$A$5:$A$204,0)),"Not found"))</f>
        <v>0</v>
      </c>
      <c r="W110" s="45">
        <f>IF(G110="","",IFERROR(INDEX(Recipes!$AF$5:$AF$204,MATCH(G110,Recipes!$A$5:$A$204,0)),"Not found"))</f>
        <v>0</v>
      </c>
      <c r="X110" s="45">
        <f>IF(G110="","",IFERROR(INDEX(Recipes!$AG$5:$AG$204,MATCH(G110,Recipes!$A$5:$A$204,0)),"Not found"))</f>
        <v>0</v>
      </c>
      <c r="Y110" s="45">
        <f>IF(G110="","",IFERROR(INDEX(Recipes!$AH$5:$AH$204,MATCH(G110,Recipes!$A$5:$A$204,0)),"Not found"))</f>
        <v>0</v>
      </c>
      <c r="Z110" s="45">
        <f>IF(G110="","",IFERROR(INDEX(Recipes!$AI$5:$AI$204,MATCH(G110,Recipes!$A$5:$A$204,0)),"Not found"))</f>
        <v>0</v>
      </c>
      <c r="AA110" s="30">
        <f>IF(OR(V110="",NOT(ISNUMBER(V110))),"",V110*K110)</f>
        <v>0</v>
      </c>
      <c r="AB110" s="18">
        <f>IF(G110="","",IFERROR(INDEX(Recipes!$J$5:$J$204,MATCH(G110,Recipes!$A$5:$A$204,0)),"Not found"))</f>
        <v>0</v>
      </c>
      <c r="AC110" s="17">
        <f>IF(G110="","",IFERROR(INDEX(Recipes!$C$5:$C$204,MATCH(G110,Recipes!$A$5:$A$204,0)),"Not found"))</f>
        <v>0</v>
      </c>
      <c r="AD110" s="46">
        <f>IF(B110="","",IF(G110&lt;&gt;"","Yes",IF(OR(I110="",ISNUMBER(SEARCH("takeaway",I110)),ISNUMBER(SEARCH("out",I110))),"No","Yes")))</f>
        <v>0</v>
      </c>
      <c r="AE110" s="17">
        <f>IF(B110="","",TEXT(B110,"yyyy-mm-dd")&amp;"|"&amp;F110)</f>
        <v>0</v>
      </c>
      <c r="AF110" s="31">
        <f>IF(B110="","",IF(AND(G110="",I110=""),"Add - nothing planned yet",IF(COUNTIFS($AE$5:$AE$504,AE110)&gt;1,"Duplicate - two meals in one slot",IF(AND(G110&lt;&gt;"",H110="Not found"),"Missing - recipe ID not on the Recipes tab",IF(AND(B110&lt;TODAY(),OR(N110="Planned",N110="")),"Check - did you cook it?","OK")))))</f>
        <v>0</v>
      </c>
    </row>
    <row r="111" spans="1:32">
      <c r="A111" s="39">
        <f>IF(B111="","",MealPrefix&amp;TEXT(ROW()-4,"0000"))</f>
        <v>0</v>
      </c>
      <c r="C111" s="17">
        <f>IF(B111="","",TEXT(B111,"ddd"))</f>
        <v>0</v>
      </c>
      <c r="D111" s="18">
        <f>IF(B111="","",WEEKNUM(B111,IF(WeekStart="Sunday",1,2)))</f>
        <v>0</v>
      </c>
      <c r="E111" s="17">
        <f>IF(B111="","",TEXT(B111,"yyyy-mm"))</f>
        <v>0</v>
      </c>
      <c r="H111" s="17">
        <f>IF(G111&lt;&gt;"",IFERROR(INDEX(Recipes!$B$5:$B$204,MATCH(G111,Recipes!$A$5:$A$204,0)),"Not found"),I111)</f>
        <v>0</v>
      </c>
      <c r="K111" s="45">
        <f>IF(B111="","",IF(J111="",DefaultServings,J111))</f>
        <v>0</v>
      </c>
      <c r="L111" s="45">
        <f>IF(G111="",0,IFERROR(K111/INDEX(Recipes!$G$5:$G$204,MATCH(G111,Recipes!$A$5:$A$204,0)),0))</f>
        <v>0</v>
      </c>
      <c r="T111" s="25">
        <f>IF(G111="","",IFERROR(INDEX(Recipes!$AD$5:$AD$204,MATCH(G111,Recipes!$A$5:$A$204,0))*K111,""))</f>
        <v>0</v>
      </c>
      <c r="V111" s="30">
        <f>IF(G111="","",IFERROR(INDEX(Recipes!$AE$5:$AE$204,MATCH(G111,Recipes!$A$5:$A$204,0)),"Not found"))</f>
        <v>0</v>
      </c>
      <c r="W111" s="45">
        <f>IF(G111="","",IFERROR(INDEX(Recipes!$AF$5:$AF$204,MATCH(G111,Recipes!$A$5:$A$204,0)),"Not found"))</f>
        <v>0</v>
      </c>
      <c r="X111" s="45">
        <f>IF(G111="","",IFERROR(INDEX(Recipes!$AG$5:$AG$204,MATCH(G111,Recipes!$A$5:$A$204,0)),"Not found"))</f>
        <v>0</v>
      </c>
      <c r="Y111" s="45">
        <f>IF(G111="","",IFERROR(INDEX(Recipes!$AH$5:$AH$204,MATCH(G111,Recipes!$A$5:$A$204,0)),"Not found"))</f>
        <v>0</v>
      </c>
      <c r="Z111" s="45">
        <f>IF(G111="","",IFERROR(INDEX(Recipes!$AI$5:$AI$204,MATCH(G111,Recipes!$A$5:$A$204,0)),"Not found"))</f>
        <v>0</v>
      </c>
      <c r="AA111" s="30">
        <f>IF(OR(V111="",NOT(ISNUMBER(V111))),"",V111*K111)</f>
        <v>0</v>
      </c>
      <c r="AB111" s="18">
        <f>IF(G111="","",IFERROR(INDEX(Recipes!$J$5:$J$204,MATCH(G111,Recipes!$A$5:$A$204,0)),"Not found"))</f>
        <v>0</v>
      </c>
      <c r="AC111" s="17">
        <f>IF(G111="","",IFERROR(INDEX(Recipes!$C$5:$C$204,MATCH(G111,Recipes!$A$5:$A$204,0)),"Not found"))</f>
        <v>0</v>
      </c>
      <c r="AD111" s="46">
        <f>IF(B111="","",IF(G111&lt;&gt;"","Yes",IF(OR(I111="",ISNUMBER(SEARCH("takeaway",I111)),ISNUMBER(SEARCH("out",I111))),"No","Yes")))</f>
        <v>0</v>
      </c>
      <c r="AE111" s="17">
        <f>IF(B111="","",TEXT(B111,"yyyy-mm-dd")&amp;"|"&amp;F111)</f>
        <v>0</v>
      </c>
      <c r="AF111" s="31">
        <f>IF(B111="","",IF(AND(G111="",I111=""),"Add - nothing planned yet",IF(COUNTIFS($AE$5:$AE$504,AE111)&gt;1,"Duplicate - two meals in one slot",IF(AND(G111&lt;&gt;"",H111="Not found"),"Missing - recipe ID not on the Recipes tab",IF(AND(B111&lt;TODAY(),OR(N111="Planned",N111="")),"Check - did you cook it?","OK")))))</f>
        <v>0</v>
      </c>
    </row>
    <row r="112" spans="1:32">
      <c r="A112" s="39">
        <f>IF(B112="","",MealPrefix&amp;TEXT(ROW()-4,"0000"))</f>
        <v>0</v>
      </c>
      <c r="C112" s="17">
        <f>IF(B112="","",TEXT(B112,"ddd"))</f>
        <v>0</v>
      </c>
      <c r="D112" s="18">
        <f>IF(B112="","",WEEKNUM(B112,IF(WeekStart="Sunday",1,2)))</f>
        <v>0</v>
      </c>
      <c r="E112" s="17">
        <f>IF(B112="","",TEXT(B112,"yyyy-mm"))</f>
        <v>0</v>
      </c>
      <c r="H112" s="17">
        <f>IF(G112&lt;&gt;"",IFERROR(INDEX(Recipes!$B$5:$B$204,MATCH(G112,Recipes!$A$5:$A$204,0)),"Not found"),I112)</f>
        <v>0</v>
      </c>
      <c r="K112" s="45">
        <f>IF(B112="","",IF(J112="",DefaultServings,J112))</f>
        <v>0</v>
      </c>
      <c r="L112" s="45">
        <f>IF(G112="",0,IFERROR(K112/INDEX(Recipes!$G$5:$G$204,MATCH(G112,Recipes!$A$5:$A$204,0)),0))</f>
        <v>0</v>
      </c>
      <c r="T112" s="25">
        <f>IF(G112="","",IFERROR(INDEX(Recipes!$AD$5:$AD$204,MATCH(G112,Recipes!$A$5:$A$204,0))*K112,""))</f>
        <v>0</v>
      </c>
      <c r="V112" s="30">
        <f>IF(G112="","",IFERROR(INDEX(Recipes!$AE$5:$AE$204,MATCH(G112,Recipes!$A$5:$A$204,0)),"Not found"))</f>
        <v>0</v>
      </c>
      <c r="W112" s="45">
        <f>IF(G112="","",IFERROR(INDEX(Recipes!$AF$5:$AF$204,MATCH(G112,Recipes!$A$5:$A$204,0)),"Not found"))</f>
        <v>0</v>
      </c>
      <c r="X112" s="45">
        <f>IF(G112="","",IFERROR(INDEX(Recipes!$AG$5:$AG$204,MATCH(G112,Recipes!$A$5:$A$204,0)),"Not found"))</f>
        <v>0</v>
      </c>
      <c r="Y112" s="45">
        <f>IF(G112="","",IFERROR(INDEX(Recipes!$AH$5:$AH$204,MATCH(G112,Recipes!$A$5:$A$204,0)),"Not found"))</f>
        <v>0</v>
      </c>
      <c r="Z112" s="45">
        <f>IF(G112="","",IFERROR(INDEX(Recipes!$AI$5:$AI$204,MATCH(G112,Recipes!$A$5:$A$204,0)),"Not found"))</f>
        <v>0</v>
      </c>
      <c r="AA112" s="30">
        <f>IF(OR(V112="",NOT(ISNUMBER(V112))),"",V112*K112)</f>
        <v>0</v>
      </c>
      <c r="AB112" s="18">
        <f>IF(G112="","",IFERROR(INDEX(Recipes!$J$5:$J$204,MATCH(G112,Recipes!$A$5:$A$204,0)),"Not found"))</f>
        <v>0</v>
      </c>
      <c r="AC112" s="17">
        <f>IF(G112="","",IFERROR(INDEX(Recipes!$C$5:$C$204,MATCH(G112,Recipes!$A$5:$A$204,0)),"Not found"))</f>
        <v>0</v>
      </c>
      <c r="AD112" s="46">
        <f>IF(B112="","",IF(G112&lt;&gt;"","Yes",IF(OR(I112="",ISNUMBER(SEARCH("takeaway",I112)),ISNUMBER(SEARCH("out",I112))),"No","Yes")))</f>
        <v>0</v>
      </c>
      <c r="AE112" s="17">
        <f>IF(B112="","",TEXT(B112,"yyyy-mm-dd")&amp;"|"&amp;F112)</f>
        <v>0</v>
      </c>
      <c r="AF112" s="31">
        <f>IF(B112="","",IF(AND(G112="",I112=""),"Add - nothing planned yet",IF(COUNTIFS($AE$5:$AE$504,AE112)&gt;1,"Duplicate - two meals in one slot",IF(AND(G112&lt;&gt;"",H112="Not found"),"Missing - recipe ID not on the Recipes tab",IF(AND(B112&lt;TODAY(),OR(N112="Planned",N112="")),"Check - did you cook it?","OK")))))</f>
        <v>0</v>
      </c>
    </row>
    <row r="113" spans="1:32">
      <c r="A113" s="39">
        <f>IF(B113="","",MealPrefix&amp;TEXT(ROW()-4,"0000"))</f>
        <v>0</v>
      </c>
      <c r="C113" s="17">
        <f>IF(B113="","",TEXT(B113,"ddd"))</f>
        <v>0</v>
      </c>
      <c r="D113" s="18">
        <f>IF(B113="","",WEEKNUM(B113,IF(WeekStart="Sunday",1,2)))</f>
        <v>0</v>
      </c>
      <c r="E113" s="17">
        <f>IF(B113="","",TEXT(B113,"yyyy-mm"))</f>
        <v>0</v>
      </c>
      <c r="H113" s="17">
        <f>IF(G113&lt;&gt;"",IFERROR(INDEX(Recipes!$B$5:$B$204,MATCH(G113,Recipes!$A$5:$A$204,0)),"Not found"),I113)</f>
        <v>0</v>
      </c>
      <c r="K113" s="45">
        <f>IF(B113="","",IF(J113="",DefaultServings,J113))</f>
        <v>0</v>
      </c>
      <c r="L113" s="45">
        <f>IF(G113="",0,IFERROR(K113/INDEX(Recipes!$G$5:$G$204,MATCH(G113,Recipes!$A$5:$A$204,0)),0))</f>
        <v>0</v>
      </c>
      <c r="T113" s="25">
        <f>IF(G113="","",IFERROR(INDEX(Recipes!$AD$5:$AD$204,MATCH(G113,Recipes!$A$5:$A$204,0))*K113,""))</f>
        <v>0</v>
      </c>
      <c r="V113" s="30">
        <f>IF(G113="","",IFERROR(INDEX(Recipes!$AE$5:$AE$204,MATCH(G113,Recipes!$A$5:$A$204,0)),"Not found"))</f>
        <v>0</v>
      </c>
      <c r="W113" s="45">
        <f>IF(G113="","",IFERROR(INDEX(Recipes!$AF$5:$AF$204,MATCH(G113,Recipes!$A$5:$A$204,0)),"Not found"))</f>
        <v>0</v>
      </c>
      <c r="X113" s="45">
        <f>IF(G113="","",IFERROR(INDEX(Recipes!$AG$5:$AG$204,MATCH(G113,Recipes!$A$5:$A$204,0)),"Not found"))</f>
        <v>0</v>
      </c>
      <c r="Y113" s="45">
        <f>IF(G113="","",IFERROR(INDEX(Recipes!$AH$5:$AH$204,MATCH(G113,Recipes!$A$5:$A$204,0)),"Not found"))</f>
        <v>0</v>
      </c>
      <c r="Z113" s="45">
        <f>IF(G113="","",IFERROR(INDEX(Recipes!$AI$5:$AI$204,MATCH(G113,Recipes!$A$5:$A$204,0)),"Not found"))</f>
        <v>0</v>
      </c>
      <c r="AA113" s="30">
        <f>IF(OR(V113="",NOT(ISNUMBER(V113))),"",V113*K113)</f>
        <v>0</v>
      </c>
      <c r="AB113" s="18">
        <f>IF(G113="","",IFERROR(INDEX(Recipes!$J$5:$J$204,MATCH(G113,Recipes!$A$5:$A$204,0)),"Not found"))</f>
        <v>0</v>
      </c>
      <c r="AC113" s="17">
        <f>IF(G113="","",IFERROR(INDEX(Recipes!$C$5:$C$204,MATCH(G113,Recipes!$A$5:$A$204,0)),"Not found"))</f>
        <v>0</v>
      </c>
      <c r="AD113" s="46">
        <f>IF(B113="","",IF(G113&lt;&gt;"","Yes",IF(OR(I113="",ISNUMBER(SEARCH("takeaway",I113)),ISNUMBER(SEARCH("out",I113))),"No","Yes")))</f>
        <v>0</v>
      </c>
      <c r="AE113" s="17">
        <f>IF(B113="","",TEXT(B113,"yyyy-mm-dd")&amp;"|"&amp;F113)</f>
        <v>0</v>
      </c>
      <c r="AF113" s="31">
        <f>IF(B113="","",IF(AND(G113="",I113=""),"Add - nothing planned yet",IF(COUNTIFS($AE$5:$AE$504,AE113)&gt;1,"Duplicate - two meals in one slot",IF(AND(G113&lt;&gt;"",H113="Not found"),"Missing - recipe ID not on the Recipes tab",IF(AND(B113&lt;TODAY(),OR(N113="Planned",N113="")),"Check - did you cook it?","OK")))))</f>
        <v>0</v>
      </c>
    </row>
    <row r="114" spans="1:32">
      <c r="A114" s="39">
        <f>IF(B114="","",MealPrefix&amp;TEXT(ROW()-4,"0000"))</f>
        <v>0</v>
      </c>
      <c r="C114" s="17">
        <f>IF(B114="","",TEXT(B114,"ddd"))</f>
        <v>0</v>
      </c>
      <c r="D114" s="18">
        <f>IF(B114="","",WEEKNUM(B114,IF(WeekStart="Sunday",1,2)))</f>
        <v>0</v>
      </c>
      <c r="E114" s="17">
        <f>IF(B114="","",TEXT(B114,"yyyy-mm"))</f>
        <v>0</v>
      </c>
      <c r="H114" s="17">
        <f>IF(G114&lt;&gt;"",IFERROR(INDEX(Recipes!$B$5:$B$204,MATCH(G114,Recipes!$A$5:$A$204,0)),"Not found"),I114)</f>
        <v>0</v>
      </c>
      <c r="K114" s="45">
        <f>IF(B114="","",IF(J114="",DefaultServings,J114))</f>
        <v>0</v>
      </c>
      <c r="L114" s="45">
        <f>IF(G114="",0,IFERROR(K114/INDEX(Recipes!$G$5:$G$204,MATCH(G114,Recipes!$A$5:$A$204,0)),0))</f>
        <v>0</v>
      </c>
      <c r="T114" s="25">
        <f>IF(G114="","",IFERROR(INDEX(Recipes!$AD$5:$AD$204,MATCH(G114,Recipes!$A$5:$A$204,0))*K114,""))</f>
        <v>0</v>
      </c>
      <c r="V114" s="30">
        <f>IF(G114="","",IFERROR(INDEX(Recipes!$AE$5:$AE$204,MATCH(G114,Recipes!$A$5:$A$204,0)),"Not found"))</f>
        <v>0</v>
      </c>
      <c r="W114" s="45">
        <f>IF(G114="","",IFERROR(INDEX(Recipes!$AF$5:$AF$204,MATCH(G114,Recipes!$A$5:$A$204,0)),"Not found"))</f>
        <v>0</v>
      </c>
      <c r="X114" s="45">
        <f>IF(G114="","",IFERROR(INDEX(Recipes!$AG$5:$AG$204,MATCH(G114,Recipes!$A$5:$A$204,0)),"Not found"))</f>
        <v>0</v>
      </c>
      <c r="Y114" s="45">
        <f>IF(G114="","",IFERROR(INDEX(Recipes!$AH$5:$AH$204,MATCH(G114,Recipes!$A$5:$A$204,0)),"Not found"))</f>
        <v>0</v>
      </c>
      <c r="Z114" s="45">
        <f>IF(G114="","",IFERROR(INDEX(Recipes!$AI$5:$AI$204,MATCH(G114,Recipes!$A$5:$A$204,0)),"Not found"))</f>
        <v>0</v>
      </c>
      <c r="AA114" s="30">
        <f>IF(OR(V114="",NOT(ISNUMBER(V114))),"",V114*K114)</f>
        <v>0</v>
      </c>
      <c r="AB114" s="18">
        <f>IF(G114="","",IFERROR(INDEX(Recipes!$J$5:$J$204,MATCH(G114,Recipes!$A$5:$A$204,0)),"Not found"))</f>
        <v>0</v>
      </c>
      <c r="AC114" s="17">
        <f>IF(G114="","",IFERROR(INDEX(Recipes!$C$5:$C$204,MATCH(G114,Recipes!$A$5:$A$204,0)),"Not found"))</f>
        <v>0</v>
      </c>
      <c r="AD114" s="46">
        <f>IF(B114="","",IF(G114&lt;&gt;"","Yes",IF(OR(I114="",ISNUMBER(SEARCH("takeaway",I114)),ISNUMBER(SEARCH("out",I114))),"No","Yes")))</f>
        <v>0</v>
      </c>
      <c r="AE114" s="17">
        <f>IF(B114="","",TEXT(B114,"yyyy-mm-dd")&amp;"|"&amp;F114)</f>
        <v>0</v>
      </c>
      <c r="AF114" s="31">
        <f>IF(B114="","",IF(AND(G114="",I114=""),"Add - nothing planned yet",IF(COUNTIFS($AE$5:$AE$504,AE114)&gt;1,"Duplicate - two meals in one slot",IF(AND(G114&lt;&gt;"",H114="Not found"),"Missing - recipe ID not on the Recipes tab",IF(AND(B114&lt;TODAY(),OR(N114="Planned",N114="")),"Check - did you cook it?","OK")))))</f>
        <v>0</v>
      </c>
    </row>
    <row r="115" spans="1:32">
      <c r="A115" s="39">
        <f>IF(B115="","",MealPrefix&amp;TEXT(ROW()-4,"0000"))</f>
        <v>0</v>
      </c>
      <c r="C115" s="17">
        <f>IF(B115="","",TEXT(B115,"ddd"))</f>
        <v>0</v>
      </c>
      <c r="D115" s="18">
        <f>IF(B115="","",WEEKNUM(B115,IF(WeekStart="Sunday",1,2)))</f>
        <v>0</v>
      </c>
      <c r="E115" s="17">
        <f>IF(B115="","",TEXT(B115,"yyyy-mm"))</f>
        <v>0</v>
      </c>
      <c r="H115" s="17">
        <f>IF(G115&lt;&gt;"",IFERROR(INDEX(Recipes!$B$5:$B$204,MATCH(G115,Recipes!$A$5:$A$204,0)),"Not found"),I115)</f>
        <v>0</v>
      </c>
      <c r="K115" s="45">
        <f>IF(B115="","",IF(J115="",DefaultServings,J115))</f>
        <v>0</v>
      </c>
      <c r="L115" s="45">
        <f>IF(G115="",0,IFERROR(K115/INDEX(Recipes!$G$5:$G$204,MATCH(G115,Recipes!$A$5:$A$204,0)),0))</f>
        <v>0</v>
      </c>
      <c r="T115" s="25">
        <f>IF(G115="","",IFERROR(INDEX(Recipes!$AD$5:$AD$204,MATCH(G115,Recipes!$A$5:$A$204,0))*K115,""))</f>
        <v>0</v>
      </c>
      <c r="V115" s="30">
        <f>IF(G115="","",IFERROR(INDEX(Recipes!$AE$5:$AE$204,MATCH(G115,Recipes!$A$5:$A$204,0)),"Not found"))</f>
        <v>0</v>
      </c>
      <c r="W115" s="45">
        <f>IF(G115="","",IFERROR(INDEX(Recipes!$AF$5:$AF$204,MATCH(G115,Recipes!$A$5:$A$204,0)),"Not found"))</f>
        <v>0</v>
      </c>
      <c r="X115" s="45">
        <f>IF(G115="","",IFERROR(INDEX(Recipes!$AG$5:$AG$204,MATCH(G115,Recipes!$A$5:$A$204,0)),"Not found"))</f>
        <v>0</v>
      </c>
      <c r="Y115" s="45">
        <f>IF(G115="","",IFERROR(INDEX(Recipes!$AH$5:$AH$204,MATCH(G115,Recipes!$A$5:$A$204,0)),"Not found"))</f>
        <v>0</v>
      </c>
      <c r="Z115" s="45">
        <f>IF(G115="","",IFERROR(INDEX(Recipes!$AI$5:$AI$204,MATCH(G115,Recipes!$A$5:$A$204,0)),"Not found"))</f>
        <v>0</v>
      </c>
      <c r="AA115" s="30">
        <f>IF(OR(V115="",NOT(ISNUMBER(V115))),"",V115*K115)</f>
        <v>0</v>
      </c>
      <c r="AB115" s="18">
        <f>IF(G115="","",IFERROR(INDEX(Recipes!$J$5:$J$204,MATCH(G115,Recipes!$A$5:$A$204,0)),"Not found"))</f>
        <v>0</v>
      </c>
      <c r="AC115" s="17">
        <f>IF(G115="","",IFERROR(INDEX(Recipes!$C$5:$C$204,MATCH(G115,Recipes!$A$5:$A$204,0)),"Not found"))</f>
        <v>0</v>
      </c>
      <c r="AD115" s="46">
        <f>IF(B115="","",IF(G115&lt;&gt;"","Yes",IF(OR(I115="",ISNUMBER(SEARCH("takeaway",I115)),ISNUMBER(SEARCH("out",I115))),"No","Yes")))</f>
        <v>0</v>
      </c>
      <c r="AE115" s="17">
        <f>IF(B115="","",TEXT(B115,"yyyy-mm-dd")&amp;"|"&amp;F115)</f>
        <v>0</v>
      </c>
      <c r="AF115" s="31">
        <f>IF(B115="","",IF(AND(G115="",I115=""),"Add - nothing planned yet",IF(COUNTIFS($AE$5:$AE$504,AE115)&gt;1,"Duplicate - two meals in one slot",IF(AND(G115&lt;&gt;"",H115="Not found"),"Missing - recipe ID not on the Recipes tab",IF(AND(B115&lt;TODAY(),OR(N115="Planned",N115="")),"Check - did you cook it?","OK")))))</f>
        <v>0</v>
      </c>
    </row>
    <row r="116" spans="1:32">
      <c r="A116" s="39">
        <f>IF(B116="","",MealPrefix&amp;TEXT(ROW()-4,"0000"))</f>
        <v>0</v>
      </c>
      <c r="C116" s="17">
        <f>IF(B116="","",TEXT(B116,"ddd"))</f>
        <v>0</v>
      </c>
      <c r="D116" s="18">
        <f>IF(B116="","",WEEKNUM(B116,IF(WeekStart="Sunday",1,2)))</f>
        <v>0</v>
      </c>
      <c r="E116" s="17">
        <f>IF(B116="","",TEXT(B116,"yyyy-mm"))</f>
        <v>0</v>
      </c>
      <c r="H116" s="17">
        <f>IF(G116&lt;&gt;"",IFERROR(INDEX(Recipes!$B$5:$B$204,MATCH(G116,Recipes!$A$5:$A$204,0)),"Not found"),I116)</f>
        <v>0</v>
      </c>
      <c r="K116" s="45">
        <f>IF(B116="","",IF(J116="",DefaultServings,J116))</f>
        <v>0</v>
      </c>
      <c r="L116" s="45">
        <f>IF(G116="",0,IFERROR(K116/INDEX(Recipes!$G$5:$G$204,MATCH(G116,Recipes!$A$5:$A$204,0)),0))</f>
        <v>0</v>
      </c>
      <c r="T116" s="25">
        <f>IF(G116="","",IFERROR(INDEX(Recipes!$AD$5:$AD$204,MATCH(G116,Recipes!$A$5:$A$204,0))*K116,""))</f>
        <v>0</v>
      </c>
      <c r="V116" s="30">
        <f>IF(G116="","",IFERROR(INDEX(Recipes!$AE$5:$AE$204,MATCH(G116,Recipes!$A$5:$A$204,0)),"Not found"))</f>
        <v>0</v>
      </c>
      <c r="W116" s="45">
        <f>IF(G116="","",IFERROR(INDEX(Recipes!$AF$5:$AF$204,MATCH(G116,Recipes!$A$5:$A$204,0)),"Not found"))</f>
        <v>0</v>
      </c>
      <c r="X116" s="45">
        <f>IF(G116="","",IFERROR(INDEX(Recipes!$AG$5:$AG$204,MATCH(G116,Recipes!$A$5:$A$204,0)),"Not found"))</f>
        <v>0</v>
      </c>
      <c r="Y116" s="45">
        <f>IF(G116="","",IFERROR(INDEX(Recipes!$AH$5:$AH$204,MATCH(G116,Recipes!$A$5:$A$204,0)),"Not found"))</f>
        <v>0</v>
      </c>
      <c r="Z116" s="45">
        <f>IF(G116="","",IFERROR(INDEX(Recipes!$AI$5:$AI$204,MATCH(G116,Recipes!$A$5:$A$204,0)),"Not found"))</f>
        <v>0</v>
      </c>
      <c r="AA116" s="30">
        <f>IF(OR(V116="",NOT(ISNUMBER(V116))),"",V116*K116)</f>
        <v>0</v>
      </c>
      <c r="AB116" s="18">
        <f>IF(G116="","",IFERROR(INDEX(Recipes!$J$5:$J$204,MATCH(G116,Recipes!$A$5:$A$204,0)),"Not found"))</f>
        <v>0</v>
      </c>
      <c r="AC116" s="17">
        <f>IF(G116="","",IFERROR(INDEX(Recipes!$C$5:$C$204,MATCH(G116,Recipes!$A$5:$A$204,0)),"Not found"))</f>
        <v>0</v>
      </c>
      <c r="AD116" s="46">
        <f>IF(B116="","",IF(G116&lt;&gt;"","Yes",IF(OR(I116="",ISNUMBER(SEARCH("takeaway",I116)),ISNUMBER(SEARCH("out",I116))),"No","Yes")))</f>
        <v>0</v>
      </c>
      <c r="AE116" s="17">
        <f>IF(B116="","",TEXT(B116,"yyyy-mm-dd")&amp;"|"&amp;F116)</f>
        <v>0</v>
      </c>
      <c r="AF116" s="31">
        <f>IF(B116="","",IF(AND(G116="",I116=""),"Add - nothing planned yet",IF(COUNTIFS($AE$5:$AE$504,AE116)&gt;1,"Duplicate - two meals in one slot",IF(AND(G116&lt;&gt;"",H116="Not found"),"Missing - recipe ID not on the Recipes tab",IF(AND(B116&lt;TODAY(),OR(N116="Planned",N116="")),"Check - did you cook it?","OK")))))</f>
        <v>0</v>
      </c>
    </row>
    <row r="117" spans="1:32">
      <c r="A117" s="39">
        <f>IF(B117="","",MealPrefix&amp;TEXT(ROW()-4,"0000"))</f>
        <v>0</v>
      </c>
      <c r="C117" s="17">
        <f>IF(B117="","",TEXT(B117,"ddd"))</f>
        <v>0</v>
      </c>
      <c r="D117" s="18">
        <f>IF(B117="","",WEEKNUM(B117,IF(WeekStart="Sunday",1,2)))</f>
        <v>0</v>
      </c>
      <c r="E117" s="17">
        <f>IF(B117="","",TEXT(B117,"yyyy-mm"))</f>
        <v>0</v>
      </c>
      <c r="H117" s="17">
        <f>IF(G117&lt;&gt;"",IFERROR(INDEX(Recipes!$B$5:$B$204,MATCH(G117,Recipes!$A$5:$A$204,0)),"Not found"),I117)</f>
        <v>0</v>
      </c>
      <c r="K117" s="45">
        <f>IF(B117="","",IF(J117="",DefaultServings,J117))</f>
        <v>0</v>
      </c>
      <c r="L117" s="45">
        <f>IF(G117="",0,IFERROR(K117/INDEX(Recipes!$G$5:$G$204,MATCH(G117,Recipes!$A$5:$A$204,0)),0))</f>
        <v>0</v>
      </c>
      <c r="T117" s="25">
        <f>IF(G117="","",IFERROR(INDEX(Recipes!$AD$5:$AD$204,MATCH(G117,Recipes!$A$5:$A$204,0))*K117,""))</f>
        <v>0</v>
      </c>
      <c r="V117" s="30">
        <f>IF(G117="","",IFERROR(INDEX(Recipes!$AE$5:$AE$204,MATCH(G117,Recipes!$A$5:$A$204,0)),"Not found"))</f>
        <v>0</v>
      </c>
      <c r="W117" s="45">
        <f>IF(G117="","",IFERROR(INDEX(Recipes!$AF$5:$AF$204,MATCH(G117,Recipes!$A$5:$A$204,0)),"Not found"))</f>
        <v>0</v>
      </c>
      <c r="X117" s="45">
        <f>IF(G117="","",IFERROR(INDEX(Recipes!$AG$5:$AG$204,MATCH(G117,Recipes!$A$5:$A$204,0)),"Not found"))</f>
        <v>0</v>
      </c>
      <c r="Y117" s="45">
        <f>IF(G117="","",IFERROR(INDEX(Recipes!$AH$5:$AH$204,MATCH(G117,Recipes!$A$5:$A$204,0)),"Not found"))</f>
        <v>0</v>
      </c>
      <c r="Z117" s="45">
        <f>IF(G117="","",IFERROR(INDEX(Recipes!$AI$5:$AI$204,MATCH(G117,Recipes!$A$5:$A$204,0)),"Not found"))</f>
        <v>0</v>
      </c>
      <c r="AA117" s="30">
        <f>IF(OR(V117="",NOT(ISNUMBER(V117))),"",V117*K117)</f>
        <v>0</v>
      </c>
      <c r="AB117" s="18">
        <f>IF(G117="","",IFERROR(INDEX(Recipes!$J$5:$J$204,MATCH(G117,Recipes!$A$5:$A$204,0)),"Not found"))</f>
        <v>0</v>
      </c>
      <c r="AC117" s="17">
        <f>IF(G117="","",IFERROR(INDEX(Recipes!$C$5:$C$204,MATCH(G117,Recipes!$A$5:$A$204,0)),"Not found"))</f>
        <v>0</v>
      </c>
      <c r="AD117" s="46">
        <f>IF(B117="","",IF(G117&lt;&gt;"","Yes",IF(OR(I117="",ISNUMBER(SEARCH("takeaway",I117)),ISNUMBER(SEARCH("out",I117))),"No","Yes")))</f>
        <v>0</v>
      </c>
      <c r="AE117" s="17">
        <f>IF(B117="","",TEXT(B117,"yyyy-mm-dd")&amp;"|"&amp;F117)</f>
        <v>0</v>
      </c>
      <c r="AF117" s="31">
        <f>IF(B117="","",IF(AND(G117="",I117=""),"Add - nothing planned yet",IF(COUNTIFS($AE$5:$AE$504,AE117)&gt;1,"Duplicate - two meals in one slot",IF(AND(G117&lt;&gt;"",H117="Not found"),"Missing - recipe ID not on the Recipes tab",IF(AND(B117&lt;TODAY(),OR(N117="Planned",N117="")),"Check - did you cook it?","OK")))))</f>
        <v>0</v>
      </c>
    </row>
    <row r="118" spans="1:32">
      <c r="A118" s="39">
        <f>IF(B118="","",MealPrefix&amp;TEXT(ROW()-4,"0000"))</f>
        <v>0</v>
      </c>
      <c r="C118" s="17">
        <f>IF(B118="","",TEXT(B118,"ddd"))</f>
        <v>0</v>
      </c>
      <c r="D118" s="18">
        <f>IF(B118="","",WEEKNUM(B118,IF(WeekStart="Sunday",1,2)))</f>
        <v>0</v>
      </c>
      <c r="E118" s="17">
        <f>IF(B118="","",TEXT(B118,"yyyy-mm"))</f>
        <v>0</v>
      </c>
      <c r="H118" s="17">
        <f>IF(G118&lt;&gt;"",IFERROR(INDEX(Recipes!$B$5:$B$204,MATCH(G118,Recipes!$A$5:$A$204,0)),"Not found"),I118)</f>
        <v>0</v>
      </c>
      <c r="K118" s="45">
        <f>IF(B118="","",IF(J118="",DefaultServings,J118))</f>
        <v>0</v>
      </c>
      <c r="L118" s="45">
        <f>IF(G118="",0,IFERROR(K118/INDEX(Recipes!$G$5:$G$204,MATCH(G118,Recipes!$A$5:$A$204,0)),0))</f>
        <v>0</v>
      </c>
      <c r="T118" s="25">
        <f>IF(G118="","",IFERROR(INDEX(Recipes!$AD$5:$AD$204,MATCH(G118,Recipes!$A$5:$A$204,0))*K118,""))</f>
        <v>0</v>
      </c>
      <c r="V118" s="30">
        <f>IF(G118="","",IFERROR(INDEX(Recipes!$AE$5:$AE$204,MATCH(G118,Recipes!$A$5:$A$204,0)),"Not found"))</f>
        <v>0</v>
      </c>
      <c r="W118" s="45">
        <f>IF(G118="","",IFERROR(INDEX(Recipes!$AF$5:$AF$204,MATCH(G118,Recipes!$A$5:$A$204,0)),"Not found"))</f>
        <v>0</v>
      </c>
      <c r="X118" s="45">
        <f>IF(G118="","",IFERROR(INDEX(Recipes!$AG$5:$AG$204,MATCH(G118,Recipes!$A$5:$A$204,0)),"Not found"))</f>
        <v>0</v>
      </c>
      <c r="Y118" s="45">
        <f>IF(G118="","",IFERROR(INDEX(Recipes!$AH$5:$AH$204,MATCH(G118,Recipes!$A$5:$A$204,0)),"Not found"))</f>
        <v>0</v>
      </c>
      <c r="Z118" s="45">
        <f>IF(G118="","",IFERROR(INDEX(Recipes!$AI$5:$AI$204,MATCH(G118,Recipes!$A$5:$A$204,0)),"Not found"))</f>
        <v>0</v>
      </c>
      <c r="AA118" s="30">
        <f>IF(OR(V118="",NOT(ISNUMBER(V118))),"",V118*K118)</f>
        <v>0</v>
      </c>
      <c r="AB118" s="18">
        <f>IF(G118="","",IFERROR(INDEX(Recipes!$J$5:$J$204,MATCH(G118,Recipes!$A$5:$A$204,0)),"Not found"))</f>
        <v>0</v>
      </c>
      <c r="AC118" s="17">
        <f>IF(G118="","",IFERROR(INDEX(Recipes!$C$5:$C$204,MATCH(G118,Recipes!$A$5:$A$204,0)),"Not found"))</f>
        <v>0</v>
      </c>
      <c r="AD118" s="46">
        <f>IF(B118="","",IF(G118&lt;&gt;"","Yes",IF(OR(I118="",ISNUMBER(SEARCH("takeaway",I118)),ISNUMBER(SEARCH("out",I118))),"No","Yes")))</f>
        <v>0</v>
      </c>
      <c r="AE118" s="17">
        <f>IF(B118="","",TEXT(B118,"yyyy-mm-dd")&amp;"|"&amp;F118)</f>
        <v>0</v>
      </c>
      <c r="AF118" s="31">
        <f>IF(B118="","",IF(AND(G118="",I118=""),"Add - nothing planned yet",IF(COUNTIFS($AE$5:$AE$504,AE118)&gt;1,"Duplicate - two meals in one slot",IF(AND(G118&lt;&gt;"",H118="Not found"),"Missing - recipe ID not on the Recipes tab",IF(AND(B118&lt;TODAY(),OR(N118="Planned",N118="")),"Check - did you cook it?","OK")))))</f>
        <v>0</v>
      </c>
    </row>
    <row r="119" spans="1:32">
      <c r="A119" s="39">
        <f>IF(B119="","",MealPrefix&amp;TEXT(ROW()-4,"0000"))</f>
        <v>0</v>
      </c>
      <c r="C119" s="17">
        <f>IF(B119="","",TEXT(B119,"ddd"))</f>
        <v>0</v>
      </c>
      <c r="D119" s="18">
        <f>IF(B119="","",WEEKNUM(B119,IF(WeekStart="Sunday",1,2)))</f>
        <v>0</v>
      </c>
      <c r="E119" s="17">
        <f>IF(B119="","",TEXT(B119,"yyyy-mm"))</f>
        <v>0</v>
      </c>
      <c r="H119" s="17">
        <f>IF(G119&lt;&gt;"",IFERROR(INDEX(Recipes!$B$5:$B$204,MATCH(G119,Recipes!$A$5:$A$204,0)),"Not found"),I119)</f>
        <v>0</v>
      </c>
      <c r="K119" s="45">
        <f>IF(B119="","",IF(J119="",DefaultServings,J119))</f>
        <v>0</v>
      </c>
      <c r="L119" s="45">
        <f>IF(G119="",0,IFERROR(K119/INDEX(Recipes!$G$5:$G$204,MATCH(G119,Recipes!$A$5:$A$204,0)),0))</f>
        <v>0</v>
      </c>
      <c r="T119" s="25">
        <f>IF(G119="","",IFERROR(INDEX(Recipes!$AD$5:$AD$204,MATCH(G119,Recipes!$A$5:$A$204,0))*K119,""))</f>
        <v>0</v>
      </c>
      <c r="V119" s="30">
        <f>IF(G119="","",IFERROR(INDEX(Recipes!$AE$5:$AE$204,MATCH(G119,Recipes!$A$5:$A$204,0)),"Not found"))</f>
        <v>0</v>
      </c>
      <c r="W119" s="45">
        <f>IF(G119="","",IFERROR(INDEX(Recipes!$AF$5:$AF$204,MATCH(G119,Recipes!$A$5:$A$204,0)),"Not found"))</f>
        <v>0</v>
      </c>
      <c r="X119" s="45">
        <f>IF(G119="","",IFERROR(INDEX(Recipes!$AG$5:$AG$204,MATCH(G119,Recipes!$A$5:$A$204,0)),"Not found"))</f>
        <v>0</v>
      </c>
      <c r="Y119" s="45">
        <f>IF(G119="","",IFERROR(INDEX(Recipes!$AH$5:$AH$204,MATCH(G119,Recipes!$A$5:$A$204,0)),"Not found"))</f>
        <v>0</v>
      </c>
      <c r="Z119" s="45">
        <f>IF(G119="","",IFERROR(INDEX(Recipes!$AI$5:$AI$204,MATCH(G119,Recipes!$A$5:$A$204,0)),"Not found"))</f>
        <v>0</v>
      </c>
      <c r="AA119" s="30">
        <f>IF(OR(V119="",NOT(ISNUMBER(V119))),"",V119*K119)</f>
        <v>0</v>
      </c>
      <c r="AB119" s="18">
        <f>IF(G119="","",IFERROR(INDEX(Recipes!$J$5:$J$204,MATCH(G119,Recipes!$A$5:$A$204,0)),"Not found"))</f>
        <v>0</v>
      </c>
      <c r="AC119" s="17">
        <f>IF(G119="","",IFERROR(INDEX(Recipes!$C$5:$C$204,MATCH(G119,Recipes!$A$5:$A$204,0)),"Not found"))</f>
        <v>0</v>
      </c>
      <c r="AD119" s="46">
        <f>IF(B119="","",IF(G119&lt;&gt;"","Yes",IF(OR(I119="",ISNUMBER(SEARCH("takeaway",I119)),ISNUMBER(SEARCH("out",I119))),"No","Yes")))</f>
        <v>0</v>
      </c>
      <c r="AE119" s="17">
        <f>IF(B119="","",TEXT(B119,"yyyy-mm-dd")&amp;"|"&amp;F119)</f>
        <v>0</v>
      </c>
      <c r="AF119" s="31">
        <f>IF(B119="","",IF(AND(G119="",I119=""),"Add - nothing planned yet",IF(COUNTIFS($AE$5:$AE$504,AE119)&gt;1,"Duplicate - two meals in one slot",IF(AND(G119&lt;&gt;"",H119="Not found"),"Missing - recipe ID not on the Recipes tab",IF(AND(B119&lt;TODAY(),OR(N119="Planned",N119="")),"Check - did you cook it?","OK")))))</f>
        <v>0</v>
      </c>
    </row>
    <row r="120" spans="1:32">
      <c r="A120" s="39">
        <f>IF(B120="","",MealPrefix&amp;TEXT(ROW()-4,"0000"))</f>
        <v>0</v>
      </c>
      <c r="C120" s="17">
        <f>IF(B120="","",TEXT(B120,"ddd"))</f>
        <v>0</v>
      </c>
      <c r="D120" s="18">
        <f>IF(B120="","",WEEKNUM(B120,IF(WeekStart="Sunday",1,2)))</f>
        <v>0</v>
      </c>
      <c r="E120" s="17">
        <f>IF(B120="","",TEXT(B120,"yyyy-mm"))</f>
        <v>0</v>
      </c>
      <c r="H120" s="17">
        <f>IF(G120&lt;&gt;"",IFERROR(INDEX(Recipes!$B$5:$B$204,MATCH(G120,Recipes!$A$5:$A$204,0)),"Not found"),I120)</f>
        <v>0</v>
      </c>
      <c r="K120" s="45">
        <f>IF(B120="","",IF(J120="",DefaultServings,J120))</f>
        <v>0</v>
      </c>
      <c r="L120" s="45">
        <f>IF(G120="",0,IFERROR(K120/INDEX(Recipes!$G$5:$G$204,MATCH(G120,Recipes!$A$5:$A$204,0)),0))</f>
        <v>0</v>
      </c>
      <c r="T120" s="25">
        <f>IF(G120="","",IFERROR(INDEX(Recipes!$AD$5:$AD$204,MATCH(G120,Recipes!$A$5:$A$204,0))*K120,""))</f>
        <v>0</v>
      </c>
      <c r="V120" s="30">
        <f>IF(G120="","",IFERROR(INDEX(Recipes!$AE$5:$AE$204,MATCH(G120,Recipes!$A$5:$A$204,0)),"Not found"))</f>
        <v>0</v>
      </c>
      <c r="W120" s="45">
        <f>IF(G120="","",IFERROR(INDEX(Recipes!$AF$5:$AF$204,MATCH(G120,Recipes!$A$5:$A$204,0)),"Not found"))</f>
        <v>0</v>
      </c>
      <c r="X120" s="45">
        <f>IF(G120="","",IFERROR(INDEX(Recipes!$AG$5:$AG$204,MATCH(G120,Recipes!$A$5:$A$204,0)),"Not found"))</f>
        <v>0</v>
      </c>
      <c r="Y120" s="45">
        <f>IF(G120="","",IFERROR(INDEX(Recipes!$AH$5:$AH$204,MATCH(G120,Recipes!$A$5:$A$204,0)),"Not found"))</f>
        <v>0</v>
      </c>
      <c r="Z120" s="45">
        <f>IF(G120="","",IFERROR(INDEX(Recipes!$AI$5:$AI$204,MATCH(G120,Recipes!$A$5:$A$204,0)),"Not found"))</f>
        <v>0</v>
      </c>
      <c r="AA120" s="30">
        <f>IF(OR(V120="",NOT(ISNUMBER(V120))),"",V120*K120)</f>
        <v>0</v>
      </c>
      <c r="AB120" s="18">
        <f>IF(G120="","",IFERROR(INDEX(Recipes!$J$5:$J$204,MATCH(G120,Recipes!$A$5:$A$204,0)),"Not found"))</f>
        <v>0</v>
      </c>
      <c r="AC120" s="17">
        <f>IF(G120="","",IFERROR(INDEX(Recipes!$C$5:$C$204,MATCH(G120,Recipes!$A$5:$A$204,0)),"Not found"))</f>
        <v>0</v>
      </c>
      <c r="AD120" s="46">
        <f>IF(B120="","",IF(G120&lt;&gt;"","Yes",IF(OR(I120="",ISNUMBER(SEARCH("takeaway",I120)),ISNUMBER(SEARCH("out",I120))),"No","Yes")))</f>
        <v>0</v>
      </c>
      <c r="AE120" s="17">
        <f>IF(B120="","",TEXT(B120,"yyyy-mm-dd")&amp;"|"&amp;F120)</f>
        <v>0</v>
      </c>
      <c r="AF120" s="31">
        <f>IF(B120="","",IF(AND(G120="",I120=""),"Add - nothing planned yet",IF(COUNTIFS($AE$5:$AE$504,AE120)&gt;1,"Duplicate - two meals in one slot",IF(AND(G120&lt;&gt;"",H120="Not found"),"Missing - recipe ID not on the Recipes tab",IF(AND(B120&lt;TODAY(),OR(N120="Planned",N120="")),"Check - did you cook it?","OK")))))</f>
        <v>0</v>
      </c>
    </row>
    <row r="121" spans="1:32">
      <c r="A121" s="39">
        <f>IF(B121="","",MealPrefix&amp;TEXT(ROW()-4,"0000"))</f>
        <v>0</v>
      </c>
      <c r="C121" s="17">
        <f>IF(B121="","",TEXT(B121,"ddd"))</f>
        <v>0</v>
      </c>
      <c r="D121" s="18">
        <f>IF(B121="","",WEEKNUM(B121,IF(WeekStart="Sunday",1,2)))</f>
        <v>0</v>
      </c>
      <c r="E121" s="17">
        <f>IF(B121="","",TEXT(B121,"yyyy-mm"))</f>
        <v>0</v>
      </c>
      <c r="H121" s="17">
        <f>IF(G121&lt;&gt;"",IFERROR(INDEX(Recipes!$B$5:$B$204,MATCH(G121,Recipes!$A$5:$A$204,0)),"Not found"),I121)</f>
        <v>0</v>
      </c>
      <c r="K121" s="45">
        <f>IF(B121="","",IF(J121="",DefaultServings,J121))</f>
        <v>0</v>
      </c>
      <c r="L121" s="45">
        <f>IF(G121="",0,IFERROR(K121/INDEX(Recipes!$G$5:$G$204,MATCH(G121,Recipes!$A$5:$A$204,0)),0))</f>
        <v>0</v>
      </c>
      <c r="T121" s="25">
        <f>IF(G121="","",IFERROR(INDEX(Recipes!$AD$5:$AD$204,MATCH(G121,Recipes!$A$5:$A$204,0))*K121,""))</f>
        <v>0</v>
      </c>
      <c r="V121" s="30">
        <f>IF(G121="","",IFERROR(INDEX(Recipes!$AE$5:$AE$204,MATCH(G121,Recipes!$A$5:$A$204,0)),"Not found"))</f>
        <v>0</v>
      </c>
      <c r="W121" s="45">
        <f>IF(G121="","",IFERROR(INDEX(Recipes!$AF$5:$AF$204,MATCH(G121,Recipes!$A$5:$A$204,0)),"Not found"))</f>
        <v>0</v>
      </c>
      <c r="X121" s="45">
        <f>IF(G121="","",IFERROR(INDEX(Recipes!$AG$5:$AG$204,MATCH(G121,Recipes!$A$5:$A$204,0)),"Not found"))</f>
        <v>0</v>
      </c>
      <c r="Y121" s="45">
        <f>IF(G121="","",IFERROR(INDEX(Recipes!$AH$5:$AH$204,MATCH(G121,Recipes!$A$5:$A$204,0)),"Not found"))</f>
        <v>0</v>
      </c>
      <c r="Z121" s="45">
        <f>IF(G121="","",IFERROR(INDEX(Recipes!$AI$5:$AI$204,MATCH(G121,Recipes!$A$5:$A$204,0)),"Not found"))</f>
        <v>0</v>
      </c>
      <c r="AA121" s="30">
        <f>IF(OR(V121="",NOT(ISNUMBER(V121))),"",V121*K121)</f>
        <v>0</v>
      </c>
      <c r="AB121" s="18">
        <f>IF(G121="","",IFERROR(INDEX(Recipes!$J$5:$J$204,MATCH(G121,Recipes!$A$5:$A$204,0)),"Not found"))</f>
        <v>0</v>
      </c>
      <c r="AC121" s="17">
        <f>IF(G121="","",IFERROR(INDEX(Recipes!$C$5:$C$204,MATCH(G121,Recipes!$A$5:$A$204,0)),"Not found"))</f>
        <v>0</v>
      </c>
      <c r="AD121" s="46">
        <f>IF(B121="","",IF(G121&lt;&gt;"","Yes",IF(OR(I121="",ISNUMBER(SEARCH("takeaway",I121)),ISNUMBER(SEARCH("out",I121))),"No","Yes")))</f>
        <v>0</v>
      </c>
      <c r="AE121" s="17">
        <f>IF(B121="","",TEXT(B121,"yyyy-mm-dd")&amp;"|"&amp;F121)</f>
        <v>0</v>
      </c>
      <c r="AF121" s="31">
        <f>IF(B121="","",IF(AND(G121="",I121=""),"Add - nothing planned yet",IF(COUNTIFS($AE$5:$AE$504,AE121)&gt;1,"Duplicate - two meals in one slot",IF(AND(G121&lt;&gt;"",H121="Not found"),"Missing - recipe ID not on the Recipes tab",IF(AND(B121&lt;TODAY(),OR(N121="Planned",N121="")),"Check - did you cook it?","OK")))))</f>
        <v>0</v>
      </c>
    </row>
    <row r="122" spans="1:32">
      <c r="A122" s="39">
        <f>IF(B122="","",MealPrefix&amp;TEXT(ROW()-4,"0000"))</f>
        <v>0</v>
      </c>
      <c r="C122" s="17">
        <f>IF(B122="","",TEXT(B122,"ddd"))</f>
        <v>0</v>
      </c>
      <c r="D122" s="18">
        <f>IF(B122="","",WEEKNUM(B122,IF(WeekStart="Sunday",1,2)))</f>
        <v>0</v>
      </c>
      <c r="E122" s="17">
        <f>IF(B122="","",TEXT(B122,"yyyy-mm"))</f>
        <v>0</v>
      </c>
      <c r="H122" s="17">
        <f>IF(G122&lt;&gt;"",IFERROR(INDEX(Recipes!$B$5:$B$204,MATCH(G122,Recipes!$A$5:$A$204,0)),"Not found"),I122)</f>
        <v>0</v>
      </c>
      <c r="K122" s="45">
        <f>IF(B122="","",IF(J122="",DefaultServings,J122))</f>
        <v>0</v>
      </c>
      <c r="L122" s="45">
        <f>IF(G122="",0,IFERROR(K122/INDEX(Recipes!$G$5:$G$204,MATCH(G122,Recipes!$A$5:$A$204,0)),0))</f>
        <v>0</v>
      </c>
      <c r="T122" s="25">
        <f>IF(G122="","",IFERROR(INDEX(Recipes!$AD$5:$AD$204,MATCH(G122,Recipes!$A$5:$A$204,0))*K122,""))</f>
        <v>0</v>
      </c>
      <c r="V122" s="30">
        <f>IF(G122="","",IFERROR(INDEX(Recipes!$AE$5:$AE$204,MATCH(G122,Recipes!$A$5:$A$204,0)),"Not found"))</f>
        <v>0</v>
      </c>
      <c r="W122" s="45">
        <f>IF(G122="","",IFERROR(INDEX(Recipes!$AF$5:$AF$204,MATCH(G122,Recipes!$A$5:$A$204,0)),"Not found"))</f>
        <v>0</v>
      </c>
      <c r="X122" s="45">
        <f>IF(G122="","",IFERROR(INDEX(Recipes!$AG$5:$AG$204,MATCH(G122,Recipes!$A$5:$A$204,0)),"Not found"))</f>
        <v>0</v>
      </c>
      <c r="Y122" s="45">
        <f>IF(G122="","",IFERROR(INDEX(Recipes!$AH$5:$AH$204,MATCH(G122,Recipes!$A$5:$A$204,0)),"Not found"))</f>
        <v>0</v>
      </c>
      <c r="Z122" s="45">
        <f>IF(G122="","",IFERROR(INDEX(Recipes!$AI$5:$AI$204,MATCH(G122,Recipes!$A$5:$A$204,0)),"Not found"))</f>
        <v>0</v>
      </c>
      <c r="AA122" s="30">
        <f>IF(OR(V122="",NOT(ISNUMBER(V122))),"",V122*K122)</f>
        <v>0</v>
      </c>
      <c r="AB122" s="18">
        <f>IF(G122="","",IFERROR(INDEX(Recipes!$J$5:$J$204,MATCH(G122,Recipes!$A$5:$A$204,0)),"Not found"))</f>
        <v>0</v>
      </c>
      <c r="AC122" s="17">
        <f>IF(G122="","",IFERROR(INDEX(Recipes!$C$5:$C$204,MATCH(G122,Recipes!$A$5:$A$204,0)),"Not found"))</f>
        <v>0</v>
      </c>
      <c r="AD122" s="46">
        <f>IF(B122="","",IF(G122&lt;&gt;"","Yes",IF(OR(I122="",ISNUMBER(SEARCH("takeaway",I122)),ISNUMBER(SEARCH("out",I122))),"No","Yes")))</f>
        <v>0</v>
      </c>
      <c r="AE122" s="17">
        <f>IF(B122="","",TEXT(B122,"yyyy-mm-dd")&amp;"|"&amp;F122)</f>
        <v>0</v>
      </c>
      <c r="AF122" s="31">
        <f>IF(B122="","",IF(AND(G122="",I122=""),"Add - nothing planned yet",IF(COUNTIFS($AE$5:$AE$504,AE122)&gt;1,"Duplicate - two meals in one slot",IF(AND(G122&lt;&gt;"",H122="Not found"),"Missing - recipe ID not on the Recipes tab",IF(AND(B122&lt;TODAY(),OR(N122="Planned",N122="")),"Check - did you cook it?","OK")))))</f>
        <v>0</v>
      </c>
    </row>
    <row r="123" spans="1:32">
      <c r="A123" s="39">
        <f>IF(B123="","",MealPrefix&amp;TEXT(ROW()-4,"0000"))</f>
        <v>0</v>
      </c>
      <c r="C123" s="17">
        <f>IF(B123="","",TEXT(B123,"ddd"))</f>
        <v>0</v>
      </c>
      <c r="D123" s="18">
        <f>IF(B123="","",WEEKNUM(B123,IF(WeekStart="Sunday",1,2)))</f>
        <v>0</v>
      </c>
      <c r="E123" s="17">
        <f>IF(B123="","",TEXT(B123,"yyyy-mm"))</f>
        <v>0</v>
      </c>
      <c r="H123" s="17">
        <f>IF(G123&lt;&gt;"",IFERROR(INDEX(Recipes!$B$5:$B$204,MATCH(G123,Recipes!$A$5:$A$204,0)),"Not found"),I123)</f>
        <v>0</v>
      </c>
      <c r="K123" s="45">
        <f>IF(B123="","",IF(J123="",DefaultServings,J123))</f>
        <v>0</v>
      </c>
      <c r="L123" s="45">
        <f>IF(G123="",0,IFERROR(K123/INDEX(Recipes!$G$5:$G$204,MATCH(G123,Recipes!$A$5:$A$204,0)),0))</f>
        <v>0</v>
      </c>
      <c r="T123" s="25">
        <f>IF(G123="","",IFERROR(INDEX(Recipes!$AD$5:$AD$204,MATCH(G123,Recipes!$A$5:$A$204,0))*K123,""))</f>
        <v>0</v>
      </c>
      <c r="V123" s="30">
        <f>IF(G123="","",IFERROR(INDEX(Recipes!$AE$5:$AE$204,MATCH(G123,Recipes!$A$5:$A$204,0)),"Not found"))</f>
        <v>0</v>
      </c>
      <c r="W123" s="45">
        <f>IF(G123="","",IFERROR(INDEX(Recipes!$AF$5:$AF$204,MATCH(G123,Recipes!$A$5:$A$204,0)),"Not found"))</f>
        <v>0</v>
      </c>
      <c r="X123" s="45">
        <f>IF(G123="","",IFERROR(INDEX(Recipes!$AG$5:$AG$204,MATCH(G123,Recipes!$A$5:$A$204,0)),"Not found"))</f>
        <v>0</v>
      </c>
      <c r="Y123" s="45">
        <f>IF(G123="","",IFERROR(INDEX(Recipes!$AH$5:$AH$204,MATCH(G123,Recipes!$A$5:$A$204,0)),"Not found"))</f>
        <v>0</v>
      </c>
      <c r="Z123" s="45">
        <f>IF(G123="","",IFERROR(INDEX(Recipes!$AI$5:$AI$204,MATCH(G123,Recipes!$A$5:$A$204,0)),"Not found"))</f>
        <v>0</v>
      </c>
      <c r="AA123" s="30">
        <f>IF(OR(V123="",NOT(ISNUMBER(V123))),"",V123*K123)</f>
        <v>0</v>
      </c>
      <c r="AB123" s="18">
        <f>IF(G123="","",IFERROR(INDEX(Recipes!$J$5:$J$204,MATCH(G123,Recipes!$A$5:$A$204,0)),"Not found"))</f>
        <v>0</v>
      </c>
      <c r="AC123" s="17">
        <f>IF(G123="","",IFERROR(INDEX(Recipes!$C$5:$C$204,MATCH(G123,Recipes!$A$5:$A$204,0)),"Not found"))</f>
        <v>0</v>
      </c>
      <c r="AD123" s="46">
        <f>IF(B123="","",IF(G123&lt;&gt;"","Yes",IF(OR(I123="",ISNUMBER(SEARCH("takeaway",I123)),ISNUMBER(SEARCH("out",I123))),"No","Yes")))</f>
        <v>0</v>
      </c>
      <c r="AE123" s="17">
        <f>IF(B123="","",TEXT(B123,"yyyy-mm-dd")&amp;"|"&amp;F123)</f>
        <v>0</v>
      </c>
      <c r="AF123" s="31">
        <f>IF(B123="","",IF(AND(G123="",I123=""),"Add - nothing planned yet",IF(COUNTIFS($AE$5:$AE$504,AE123)&gt;1,"Duplicate - two meals in one slot",IF(AND(G123&lt;&gt;"",H123="Not found"),"Missing - recipe ID not on the Recipes tab",IF(AND(B123&lt;TODAY(),OR(N123="Planned",N123="")),"Check - did you cook it?","OK")))))</f>
        <v>0</v>
      </c>
    </row>
    <row r="124" spans="1:32">
      <c r="A124" s="39">
        <f>IF(B124="","",MealPrefix&amp;TEXT(ROW()-4,"0000"))</f>
        <v>0</v>
      </c>
      <c r="C124" s="17">
        <f>IF(B124="","",TEXT(B124,"ddd"))</f>
        <v>0</v>
      </c>
      <c r="D124" s="18">
        <f>IF(B124="","",WEEKNUM(B124,IF(WeekStart="Sunday",1,2)))</f>
        <v>0</v>
      </c>
      <c r="E124" s="17">
        <f>IF(B124="","",TEXT(B124,"yyyy-mm"))</f>
        <v>0</v>
      </c>
      <c r="H124" s="17">
        <f>IF(G124&lt;&gt;"",IFERROR(INDEX(Recipes!$B$5:$B$204,MATCH(G124,Recipes!$A$5:$A$204,0)),"Not found"),I124)</f>
        <v>0</v>
      </c>
      <c r="K124" s="45">
        <f>IF(B124="","",IF(J124="",DefaultServings,J124))</f>
        <v>0</v>
      </c>
      <c r="L124" s="45">
        <f>IF(G124="",0,IFERROR(K124/INDEX(Recipes!$G$5:$G$204,MATCH(G124,Recipes!$A$5:$A$204,0)),0))</f>
        <v>0</v>
      </c>
      <c r="T124" s="25">
        <f>IF(G124="","",IFERROR(INDEX(Recipes!$AD$5:$AD$204,MATCH(G124,Recipes!$A$5:$A$204,0))*K124,""))</f>
        <v>0</v>
      </c>
      <c r="V124" s="30">
        <f>IF(G124="","",IFERROR(INDEX(Recipes!$AE$5:$AE$204,MATCH(G124,Recipes!$A$5:$A$204,0)),"Not found"))</f>
        <v>0</v>
      </c>
      <c r="W124" s="45">
        <f>IF(G124="","",IFERROR(INDEX(Recipes!$AF$5:$AF$204,MATCH(G124,Recipes!$A$5:$A$204,0)),"Not found"))</f>
        <v>0</v>
      </c>
      <c r="X124" s="45">
        <f>IF(G124="","",IFERROR(INDEX(Recipes!$AG$5:$AG$204,MATCH(G124,Recipes!$A$5:$A$204,0)),"Not found"))</f>
        <v>0</v>
      </c>
      <c r="Y124" s="45">
        <f>IF(G124="","",IFERROR(INDEX(Recipes!$AH$5:$AH$204,MATCH(G124,Recipes!$A$5:$A$204,0)),"Not found"))</f>
        <v>0</v>
      </c>
      <c r="Z124" s="45">
        <f>IF(G124="","",IFERROR(INDEX(Recipes!$AI$5:$AI$204,MATCH(G124,Recipes!$A$5:$A$204,0)),"Not found"))</f>
        <v>0</v>
      </c>
      <c r="AA124" s="30">
        <f>IF(OR(V124="",NOT(ISNUMBER(V124))),"",V124*K124)</f>
        <v>0</v>
      </c>
      <c r="AB124" s="18">
        <f>IF(G124="","",IFERROR(INDEX(Recipes!$J$5:$J$204,MATCH(G124,Recipes!$A$5:$A$204,0)),"Not found"))</f>
        <v>0</v>
      </c>
      <c r="AC124" s="17">
        <f>IF(G124="","",IFERROR(INDEX(Recipes!$C$5:$C$204,MATCH(G124,Recipes!$A$5:$A$204,0)),"Not found"))</f>
        <v>0</v>
      </c>
      <c r="AD124" s="46">
        <f>IF(B124="","",IF(G124&lt;&gt;"","Yes",IF(OR(I124="",ISNUMBER(SEARCH("takeaway",I124)),ISNUMBER(SEARCH("out",I124))),"No","Yes")))</f>
        <v>0</v>
      </c>
      <c r="AE124" s="17">
        <f>IF(B124="","",TEXT(B124,"yyyy-mm-dd")&amp;"|"&amp;F124)</f>
        <v>0</v>
      </c>
      <c r="AF124" s="31">
        <f>IF(B124="","",IF(AND(G124="",I124=""),"Add - nothing planned yet",IF(COUNTIFS($AE$5:$AE$504,AE124)&gt;1,"Duplicate - two meals in one slot",IF(AND(G124&lt;&gt;"",H124="Not found"),"Missing - recipe ID not on the Recipes tab",IF(AND(B124&lt;TODAY(),OR(N124="Planned",N124="")),"Check - did you cook it?","OK")))))</f>
        <v>0</v>
      </c>
    </row>
    <row r="125" spans="1:32">
      <c r="A125" s="39">
        <f>IF(B125="","",MealPrefix&amp;TEXT(ROW()-4,"0000"))</f>
        <v>0</v>
      </c>
      <c r="C125" s="17">
        <f>IF(B125="","",TEXT(B125,"ddd"))</f>
        <v>0</v>
      </c>
      <c r="D125" s="18">
        <f>IF(B125="","",WEEKNUM(B125,IF(WeekStart="Sunday",1,2)))</f>
        <v>0</v>
      </c>
      <c r="E125" s="17">
        <f>IF(B125="","",TEXT(B125,"yyyy-mm"))</f>
        <v>0</v>
      </c>
      <c r="H125" s="17">
        <f>IF(G125&lt;&gt;"",IFERROR(INDEX(Recipes!$B$5:$B$204,MATCH(G125,Recipes!$A$5:$A$204,0)),"Not found"),I125)</f>
        <v>0</v>
      </c>
      <c r="K125" s="45">
        <f>IF(B125="","",IF(J125="",DefaultServings,J125))</f>
        <v>0</v>
      </c>
      <c r="L125" s="45">
        <f>IF(G125="",0,IFERROR(K125/INDEX(Recipes!$G$5:$G$204,MATCH(G125,Recipes!$A$5:$A$204,0)),0))</f>
        <v>0</v>
      </c>
      <c r="T125" s="25">
        <f>IF(G125="","",IFERROR(INDEX(Recipes!$AD$5:$AD$204,MATCH(G125,Recipes!$A$5:$A$204,0))*K125,""))</f>
        <v>0</v>
      </c>
      <c r="V125" s="30">
        <f>IF(G125="","",IFERROR(INDEX(Recipes!$AE$5:$AE$204,MATCH(G125,Recipes!$A$5:$A$204,0)),"Not found"))</f>
        <v>0</v>
      </c>
      <c r="W125" s="45">
        <f>IF(G125="","",IFERROR(INDEX(Recipes!$AF$5:$AF$204,MATCH(G125,Recipes!$A$5:$A$204,0)),"Not found"))</f>
        <v>0</v>
      </c>
      <c r="X125" s="45">
        <f>IF(G125="","",IFERROR(INDEX(Recipes!$AG$5:$AG$204,MATCH(G125,Recipes!$A$5:$A$204,0)),"Not found"))</f>
        <v>0</v>
      </c>
      <c r="Y125" s="45">
        <f>IF(G125="","",IFERROR(INDEX(Recipes!$AH$5:$AH$204,MATCH(G125,Recipes!$A$5:$A$204,0)),"Not found"))</f>
        <v>0</v>
      </c>
      <c r="Z125" s="45">
        <f>IF(G125="","",IFERROR(INDEX(Recipes!$AI$5:$AI$204,MATCH(G125,Recipes!$A$5:$A$204,0)),"Not found"))</f>
        <v>0</v>
      </c>
      <c r="AA125" s="30">
        <f>IF(OR(V125="",NOT(ISNUMBER(V125))),"",V125*K125)</f>
        <v>0</v>
      </c>
      <c r="AB125" s="18">
        <f>IF(G125="","",IFERROR(INDEX(Recipes!$J$5:$J$204,MATCH(G125,Recipes!$A$5:$A$204,0)),"Not found"))</f>
        <v>0</v>
      </c>
      <c r="AC125" s="17">
        <f>IF(G125="","",IFERROR(INDEX(Recipes!$C$5:$C$204,MATCH(G125,Recipes!$A$5:$A$204,0)),"Not found"))</f>
        <v>0</v>
      </c>
      <c r="AD125" s="46">
        <f>IF(B125="","",IF(G125&lt;&gt;"","Yes",IF(OR(I125="",ISNUMBER(SEARCH("takeaway",I125)),ISNUMBER(SEARCH("out",I125))),"No","Yes")))</f>
        <v>0</v>
      </c>
      <c r="AE125" s="17">
        <f>IF(B125="","",TEXT(B125,"yyyy-mm-dd")&amp;"|"&amp;F125)</f>
        <v>0</v>
      </c>
      <c r="AF125" s="31">
        <f>IF(B125="","",IF(AND(G125="",I125=""),"Add - nothing planned yet",IF(COUNTIFS($AE$5:$AE$504,AE125)&gt;1,"Duplicate - two meals in one slot",IF(AND(G125&lt;&gt;"",H125="Not found"),"Missing - recipe ID not on the Recipes tab",IF(AND(B125&lt;TODAY(),OR(N125="Planned",N125="")),"Check - did you cook it?","OK")))))</f>
        <v>0</v>
      </c>
    </row>
    <row r="126" spans="1:32">
      <c r="A126" s="39">
        <f>IF(B126="","",MealPrefix&amp;TEXT(ROW()-4,"0000"))</f>
        <v>0</v>
      </c>
      <c r="C126" s="17">
        <f>IF(B126="","",TEXT(B126,"ddd"))</f>
        <v>0</v>
      </c>
      <c r="D126" s="18">
        <f>IF(B126="","",WEEKNUM(B126,IF(WeekStart="Sunday",1,2)))</f>
        <v>0</v>
      </c>
      <c r="E126" s="17">
        <f>IF(B126="","",TEXT(B126,"yyyy-mm"))</f>
        <v>0</v>
      </c>
      <c r="H126" s="17">
        <f>IF(G126&lt;&gt;"",IFERROR(INDEX(Recipes!$B$5:$B$204,MATCH(G126,Recipes!$A$5:$A$204,0)),"Not found"),I126)</f>
        <v>0</v>
      </c>
      <c r="K126" s="45">
        <f>IF(B126="","",IF(J126="",DefaultServings,J126))</f>
        <v>0</v>
      </c>
      <c r="L126" s="45">
        <f>IF(G126="",0,IFERROR(K126/INDEX(Recipes!$G$5:$G$204,MATCH(G126,Recipes!$A$5:$A$204,0)),0))</f>
        <v>0</v>
      </c>
      <c r="T126" s="25">
        <f>IF(G126="","",IFERROR(INDEX(Recipes!$AD$5:$AD$204,MATCH(G126,Recipes!$A$5:$A$204,0))*K126,""))</f>
        <v>0</v>
      </c>
      <c r="V126" s="30">
        <f>IF(G126="","",IFERROR(INDEX(Recipes!$AE$5:$AE$204,MATCH(G126,Recipes!$A$5:$A$204,0)),"Not found"))</f>
        <v>0</v>
      </c>
      <c r="W126" s="45">
        <f>IF(G126="","",IFERROR(INDEX(Recipes!$AF$5:$AF$204,MATCH(G126,Recipes!$A$5:$A$204,0)),"Not found"))</f>
        <v>0</v>
      </c>
      <c r="X126" s="45">
        <f>IF(G126="","",IFERROR(INDEX(Recipes!$AG$5:$AG$204,MATCH(G126,Recipes!$A$5:$A$204,0)),"Not found"))</f>
        <v>0</v>
      </c>
      <c r="Y126" s="45">
        <f>IF(G126="","",IFERROR(INDEX(Recipes!$AH$5:$AH$204,MATCH(G126,Recipes!$A$5:$A$204,0)),"Not found"))</f>
        <v>0</v>
      </c>
      <c r="Z126" s="45">
        <f>IF(G126="","",IFERROR(INDEX(Recipes!$AI$5:$AI$204,MATCH(G126,Recipes!$A$5:$A$204,0)),"Not found"))</f>
        <v>0</v>
      </c>
      <c r="AA126" s="30">
        <f>IF(OR(V126="",NOT(ISNUMBER(V126))),"",V126*K126)</f>
        <v>0</v>
      </c>
      <c r="AB126" s="18">
        <f>IF(G126="","",IFERROR(INDEX(Recipes!$J$5:$J$204,MATCH(G126,Recipes!$A$5:$A$204,0)),"Not found"))</f>
        <v>0</v>
      </c>
      <c r="AC126" s="17">
        <f>IF(G126="","",IFERROR(INDEX(Recipes!$C$5:$C$204,MATCH(G126,Recipes!$A$5:$A$204,0)),"Not found"))</f>
        <v>0</v>
      </c>
      <c r="AD126" s="46">
        <f>IF(B126="","",IF(G126&lt;&gt;"","Yes",IF(OR(I126="",ISNUMBER(SEARCH("takeaway",I126)),ISNUMBER(SEARCH("out",I126))),"No","Yes")))</f>
        <v>0</v>
      </c>
      <c r="AE126" s="17">
        <f>IF(B126="","",TEXT(B126,"yyyy-mm-dd")&amp;"|"&amp;F126)</f>
        <v>0</v>
      </c>
      <c r="AF126" s="31">
        <f>IF(B126="","",IF(AND(G126="",I126=""),"Add - nothing planned yet",IF(COUNTIFS($AE$5:$AE$504,AE126)&gt;1,"Duplicate - two meals in one slot",IF(AND(G126&lt;&gt;"",H126="Not found"),"Missing - recipe ID not on the Recipes tab",IF(AND(B126&lt;TODAY(),OR(N126="Planned",N126="")),"Check - did you cook it?","OK")))))</f>
        <v>0</v>
      </c>
    </row>
    <row r="127" spans="1:32">
      <c r="A127" s="39">
        <f>IF(B127="","",MealPrefix&amp;TEXT(ROW()-4,"0000"))</f>
        <v>0</v>
      </c>
      <c r="C127" s="17">
        <f>IF(B127="","",TEXT(B127,"ddd"))</f>
        <v>0</v>
      </c>
      <c r="D127" s="18">
        <f>IF(B127="","",WEEKNUM(B127,IF(WeekStart="Sunday",1,2)))</f>
        <v>0</v>
      </c>
      <c r="E127" s="17">
        <f>IF(B127="","",TEXT(B127,"yyyy-mm"))</f>
        <v>0</v>
      </c>
      <c r="H127" s="17">
        <f>IF(G127&lt;&gt;"",IFERROR(INDEX(Recipes!$B$5:$B$204,MATCH(G127,Recipes!$A$5:$A$204,0)),"Not found"),I127)</f>
        <v>0</v>
      </c>
      <c r="K127" s="45">
        <f>IF(B127="","",IF(J127="",DefaultServings,J127))</f>
        <v>0</v>
      </c>
      <c r="L127" s="45">
        <f>IF(G127="",0,IFERROR(K127/INDEX(Recipes!$G$5:$G$204,MATCH(G127,Recipes!$A$5:$A$204,0)),0))</f>
        <v>0</v>
      </c>
      <c r="T127" s="25">
        <f>IF(G127="","",IFERROR(INDEX(Recipes!$AD$5:$AD$204,MATCH(G127,Recipes!$A$5:$A$204,0))*K127,""))</f>
        <v>0</v>
      </c>
      <c r="V127" s="30">
        <f>IF(G127="","",IFERROR(INDEX(Recipes!$AE$5:$AE$204,MATCH(G127,Recipes!$A$5:$A$204,0)),"Not found"))</f>
        <v>0</v>
      </c>
      <c r="W127" s="45">
        <f>IF(G127="","",IFERROR(INDEX(Recipes!$AF$5:$AF$204,MATCH(G127,Recipes!$A$5:$A$204,0)),"Not found"))</f>
        <v>0</v>
      </c>
      <c r="X127" s="45">
        <f>IF(G127="","",IFERROR(INDEX(Recipes!$AG$5:$AG$204,MATCH(G127,Recipes!$A$5:$A$204,0)),"Not found"))</f>
        <v>0</v>
      </c>
      <c r="Y127" s="45">
        <f>IF(G127="","",IFERROR(INDEX(Recipes!$AH$5:$AH$204,MATCH(G127,Recipes!$A$5:$A$204,0)),"Not found"))</f>
        <v>0</v>
      </c>
      <c r="Z127" s="45">
        <f>IF(G127="","",IFERROR(INDEX(Recipes!$AI$5:$AI$204,MATCH(G127,Recipes!$A$5:$A$204,0)),"Not found"))</f>
        <v>0</v>
      </c>
      <c r="AA127" s="30">
        <f>IF(OR(V127="",NOT(ISNUMBER(V127))),"",V127*K127)</f>
        <v>0</v>
      </c>
      <c r="AB127" s="18">
        <f>IF(G127="","",IFERROR(INDEX(Recipes!$J$5:$J$204,MATCH(G127,Recipes!$A$5:$A$204,0)),"Not found"))</f>
        <v>0</v>
      </c>
      <c r="AC127" s="17">
        <f>IF(G127="","",IFERROR(INDEX(Recipes!$C$5:$C$204,MATCH(G127,Recipes!$A$5:$A$204,0)),"Not found"))</f>
        <v>0</v>
      </c>
      <c r="AD127" s="46">
        <f>IF(B127="","",IF(G127&lt;&gt;"","Yes",IF(OR(I127="",ISNUMBER(SEARCH("takeaway",I127)),ISNUMBER(SEARCH("out",I127))),"No","Yes")))</f>
        <v>0</v>
      </c>
      <c r="AE127" s="17">
        <f>IF(B127="","",TEXT(B127,"yyyy-mm-dd")&amp;"|"&amp;F127)</f>
        <v>0</v>
      </c>
      <c r="AF127" s="31">
        <f>IF(B127="","",IF(AND(G127="",I127=""),"Add - nothing planned yet",IF(COUNTIFS($AE$5:$AE$504,AE127)&gt;1,"Duplicate - two meals in one slot",IF(AND(G127&lt;&gt;"",H127="Not found"),"Missing - recipe ID not on the Recipes tab",IF(AND(B127&lt;TODAY(),OR(N127="Planned",N127="")),"Check - did you cook it?","OK")))))</f>
        <v>0</v>
      </c>
    </row>
    <row r="128" spans="1:32">
      <c r="A128" s="39">
        <f>IF(B128="","",MealPrefix&amp;TEXT(ROW()-4,"0000"))</f>
        <v>0</v>
      </c>
      <c r="C128" s="17">
        <f>IF(B128="","",TEXT(B128,"ddd"))</f>
        <v>0</v>
      </c>
      <c r="D128" s="18">
        <f>IF(B128="","",WEEKNUM(B128,IF(WeekStart="Sunday",1,2)))</f>
        <v>0</v>
      </c>
      <c r="E128" s="17">
        <f>IF(B128="","",TEXT(B128,"yyyy-mm"))</f>
        <v>0</v>
      </c>
      <c r="H128" s="17">
        <f>IF(G128&lt;&gt;"",IFERROR(INDEX(Recipes!$B$5:$B$204,MATCH(G128,Recipes!$A$5:$A$204,0)),"Not found"),I128)</f>
        <v>0</v>
      </c>
      <c r="K128" s="45">
        <f>IF(B128="","",IF(J128="",DefaultServings,J128))</f>
        <v>0</v>
      </c>
      <c r="L128" s="45">
        <f>IF(G128="",0,IFERROR(K128/INDEX(Recipes!$G$5:$G$204,MATCH(G128,Recipes!$A$5:$A$204,0)),0))</f>
        <v>0</v>
      </c>
      <c r="T128" s="25">
        <f>IF(G128="","",IFERROR(INDEX(Recipes!$AD$5:$AD$204,MATCH(G128,Recipes!$A$5:$A$204,0))*K128,""))</f>
        <v>0</v>
      </c>
      <c r="V128" s="30">
        <f>IF(G128="","",IFERROR(INDEX(Recipes!$AE$5:$AE$204,MATCH(G128,Recipes!$A$5:$A$204,0)),"Not found"))</f>
        <v>0</v>
      </c>
      <c r="W128" s="45">
        <f>IF(G128="","",IFERROR(INDEX(Recipes!$AF$5:$AF$204,MATCH(G128,Recipes!$A$5:$A$204,0)),"Not found"))</f>
        <v>0</v>
      </c>
      <c r="X128" s="45">
        <f>IF(G128="","",IFERROR(INDEX(Recipes!$AG$5:$AG$204,MATCH(G128,Recipes!$A$5:$A$204,0)),"Not found"))</f>
        <v>0</v>
      </c>
      <c r="Y128" s="45">
        <f>IF(G128="","",IFERROR(INDEX(Recipes!$AH$5:$AH$204,MATCH(G128,Recipes!$A$5:$A$204,0)),"Not found"))</f>
        <v>0</v>
      </c>
      <c r="Z128" s="45">
        <f>IF(G128="","",IFERROR(INDEX(Recipes!$AI$5:$AI$204,MATCH(G128,Recipes!$A$5:$A$204,0)),"Not found"))</f>
        <v>0</v>
      </c>
      <c r="AA128" s="30">
        <f>IF(OR(V128="",NOT(ISNUMBER(V128))),"",V128*K128)</f>
        <v>0</v>
      </c>
      <c r="AB128" s="18">
        <f>IF(G128="","",IFERROR(INDEX(Recipes!$J$5:$J$204,MATCH(G128,Recipes!$A$5:$A$204,0)),"Not found"))</f>
        <v>0</v>
      </c>
      <c r="AC128" s="17">
        <f>IF(G128="","",IFERROR(INDEX(Recipes!$C$5:$C$204,MATCH(G128,Recipes!$A$5:$A$204,0)),"Not found"))</f>
        <v>0</v>
      </c>
      <c r="AD128" s="46">
        <f>IF(B128="","",IF(G128&lt;&gt;"","Yes",IF(OR(I128="",ISNUMBER(SEARCH("takeaway",I128)),ISNUMBER(SEARCH("out",I128))),"No","Yes")))</f>
        <v>0</v>
      </c>
      <c r="AE128" s="17">
        <f>IF(B128="","",TEXT(B128,"yyyy-mm-dd")&amp;"|"&amp;F128)</f>
        <v>0</v>
      </c>
      <c r="AF128" s="31">
        <f>IF(B128="","",IF(AND(G128="",I128=""),"Add - nothing planned yet",IF(COUNTIFS($AE$5:$AE$504,AE128)&gt;1,"Duplicate - two meals in one slot",IF(AND(G128&lt;&gt;"",H128="Not found"),"Missing - recipe ID not on the Recipes tab",IF(AND(B128&lt;TODAY(),OR(N128="Planned",N128="")),"Check - did you cook it?","OK")))))</f>
        <v>0</v>
      </c>
    </row>
    <row r="129" spans="1:32">
      <c r="A129" s="39">
        <f>IF(B129="","",MealPrefix&amp;TEXT(ROW()-4,"0000"))</f>
        <v>0</v>
      </c>
      <c r="C129" s="17">
        <f>IF(B129="","",TEXT(B129,"ddd"))</f>
        <v>0</v>
      </c>
      <c r="D129" s="18">
        <f>IF(B129="","",WEEKNUM(B129,IF(WeekStart="Sunday",1,2)))</f>
        <v>0</v>
      </c>
      <c r="E129" s="17">
        <f>IF(B129="","",TEXT(B129,"yyyy-mm"))</f>
        <v>0</v>
      </c>
      <c r="H129" s="17">
        <f>IF(G129&lt;&gt;"",IFERROR(INDEX(Recipes!$B$5:$B$204,MATCH(G129,Recipes!$A$5:$A$204,0)),"Not found"),I129)</f>
        <v>0</v>
      </c>
      <c r="K129" s="45">
        <f>IF(B129="","",IF(J129="",DefaultServings,J129))</f>
        <v>0</v>
      </c>
      <c r="L129" s="45">
        <f>IF(G129="",0,IFERROR(K129/INDEX(Recipes!$G$5:$G$204,MATCH(G129,Recipes!$A$5:$A$204,0)),0))</f>
        <v>0</v>
      </c>
      <c r="T129" s="25">
        <f>IF(G129="","",IFERROR(INDEX(Recipes!$AD$5:$AD$204,MATCH(G129,Recipes!$A$5:$A$204,0))*K129,""))</f>
        <v>0</v>
      </c>
      <c r="V129" s="30">
        <f>IF(G129="","",IFERROR(INDEX(Recipes!$AE$5:$AE$204,MATCH(G129,Recipes!$A$5:$A$204,0)),"Not found"))</f>
        <v>0</v>
      </c>
      <c r="W129" s="45">
        <f>IF(G129="","",IFERROR(INDEX(Recipes!$AF$5:$AF$204,MATCH(G129,Recipes!$A$5:$A$204,0)),"Not found"))</f>
        <v>0</v>
      </c>
      <c r="X129" s="45">
        <f>IF(G129="","",IFERROR(INDEX(Recipes!$AG$5:$AG$204,MATCH(G129,Recipes!$A$5:$A$204,0)),"Not found"))</f>
        <v>0</v>
      </c>
      <c r="Y129" s="45">
        <f>IF(G129="","",IFERROR(INDEX(Recipes!$AH$5:$AH$204,MATCH(G129,Recipes!$A$5:$A$204,0)),"Not found"))</f>
        <v>0</v>
      </c>
      <c r="Z129" s="45">
        <f>IF(G129="","",IFERROR(INDEX(Recipes!$AI$5:$AI$204,MATCH(G129,Recipes!$A$5:$A$204,0)),"Not found"))</f>
        <v>0</v>
      </c>
      <c r="AA129" s="30">
        <f>IF(OR(V129="",NOT(ISNUMBER(V129))),"",V129*K129)</f>
        <v>0</v>
      </c>
      <c r="AB129" s="18">
        <f>IF(G129="","",IFERROR(INDEX(Recipes!$J$5:$J$204,MATCH(G129,Recipes!$A$5:$A$204,0)),"Not found"))</f>
        <v>0</v>
      </c>
      <c r="AC129" s="17">
        <f>IF(G129="","",IFERROR(INDEX(Recipes!$C$5:$C$204,MATCH(G129,Recipes!$A$5:$A$204,0)),"Not found"))</f>
        <v>0</v>
      </c>
      <c r="AD129" s="46">
        <f>IF(B129="","",IF(G129&lt;&gt;"","Yes",IF(OR(I129="",ISNUMBER(SEARCH("takeaway",I129)),ISNUMBER(SEARCH("out",I129))),"No","Yes")))</f>
        <v>0</v>
      </c>
      <c r="AE129" s="17">
        <f>IF(B129="","",TEXT(B129,"yyyy-mm-dd")&amp;"|"&amp;F129)</f>
        <v>0</v>
      </c>
      <c r="AF129" s="31">
        <f>IF(B129="","",IF(AND(G129="",I129=""),"Add - nothing planned yet",IF(COUNTIFS($AE$5:$AE$504,AE129)&gt;1,"Duplicate - two meals in one slot",IF(AND(G129&lt;&gt;"",H129="Not found"),"Missing - recipe ID not on the Recipes tab",IF(AND(B129&lt;TODAY(),OR(N129="Planned",N129="")),"Check - did you cook it?","OK")))))</f>
        <v>0</v>
      </c>
    </row>
    <row r="130" spans="1:32">
      <c r="A130" s="39">
        <f>IF(B130="","",MealPrefix&amp;TEXT(ROW()-4,"0000"))</f>
        <v>0</v>
      </c>
      <c r="C130" s="17">
        <f>IF(B130="","",TEXT(B130,"ddd"))</f>
        <v>0</v>
      </c>
      <c r="D130" s="18">
        <f>IF(B130="","",WEEKNUM(B130,IF(WeekStart="Sunday",1,2)))</f>
        <v>0</v>
      </c>
      <c r="E130" s="17">
        <f>IF(B130="","",TEXT(B130,"yyyy-mm"))</f>
        <v>0</v>
      </c>
      <c r="H130" s="17">
        <f>IF(G130&lt;&gt;"",IFERROR(INDEX(Recipes!$B$5:$B$204,MATCH(G130,Recipes!$A$5:$A$204,0)),"Not found"),I130)</f>
        <v>0</v>
      </c>
      <c r="K130" s="45">
        <f>IF(B130="","",IF(J130="",DefaultServings,J130))</f>
        <v>0</v>
      </c>
      <c r="L130" s="45">
        <f>IF(G130="",0,IFERROR(K130/INDEX(Recipes!$G$5:$G$204,MATCH(G130,Recipes!$A$5:$A$204,0)),0))</f>
        <v>0</v>
      </c>
      <c r="T130" s="25">
        <f>IF(G130="","",IFERROR(INDEX(Recipes!$AD$5:$AD$204,MATCH(G130,Recipes!$A$5:$A$204,0))*K130,""))</f>
        <v>0</v>
      </c>
      <c r="V130" s="30">
        <f>IF(G130="","",IFERROR(INDEX(Recipes!$AE$5:$AE$204,MATCH(G130,Recipes!$A$5:$A$204,0)),"Not found"))</f>
        <v>0</v>
      </c>
      <c r="W130" s="45">
        <f>IF(G130="","",IFERROR(INDEX(Recipes!$AF$5:$AF$204,MATCH(G130,Recipes!$A$5:$A$204,0)),"Not found"))</f>
        <v>0</v>
      </c>
      <c r="X130" s="45">
        <f>IF(G130="","",IFERROR(INDEX(Recipes!$AG$5:$AG$204,MATCH(G130,Recipes!$A$5:$A$204,0)),"Not found"))</f>
        <v>0</v>
      </c>
      <c r="Y130" s="45">
        <f>IF(G130="","",IFERROR(INDEX(Recipes!$AH$5:$AH$204,MATCH(G130,Recipes!$A$5:$A$204,0)),"Not found"))</f>
        <v>0</v>
      </c>
      <c r="Z130" s="45">
        <f>IF(G130="","",IFERROR(INDEX(Recipes!$AI$5:$AI$204,MATCH(G130,Recipes!$A$5:$A$204,0)),"Not found"))</f>
        <v>0</v>
      </c>
      <c r="AA130" s="30">
        <f>IF(OR(V130="",NOT(ISNUMBER(V130))),"",V130*K130)</f>
        <v>0</v>
      </c>
      <c r="AB130" s="18">
        <f>IF(G130="","",IFERROR(INDEX(Recipes!$J$5:$J$204,MATCH(G130,Recipes!$A$5:$A$204,0)),"Not found"))</f>
        <v>0</v>
      </c>
      <c r="AC130" s="17">
        <f>IF(G130="","",IFERROR(INDEX(Recipes!$C$5:$C$204,MATCH(G130,Recipes!$A$5:$A$204,0)),"Not found"))</f>
        <v>0</v>
      </c>
      <c r="AD130" s="46">
        <f>IF(B130="","",IF(G130&lt;&gt;"","Yes",IF(OR(I130="",ISNUMBER(SEARCH("takeaway",I130)),ISNUMBER(SEARCH("out",I130))),"No","Yes")))</f>
        <v>0</v>
      </c>
      <c r="AE130" s="17">
        <f>IF(B130="","",TEXT(B130,"yyyy-mm-dd")&amp;"|"&amp;F130)</f>
        <v>0</v>
      </c>
      <c r="AF130" s="31">
        <f>IF(B130="","",IF(AND(G130="",I130=""),"Add - nothing planned yet",IF(COUNTIFS($AE$5:$AE$504,AE130)&gt;1,"Duplicate - two meals in one slot",IF(AND(G130&lt;&gt;"",H130="Not found"),"Missing - recipe ID not on the Recipes tab",IF(AND(B130&lt;TODAY(),OR(N130="Planned",N130="")),"Check - did you cook it?","OK")))))</f>
        <v>0</v>
      </c>
    </row>
    <row r="131" spans="1:32">
      <c r="A131" s="39">
        <f>IF(B131="","",MealPrefix&amp;TEXT(ROW()-4,"0000"))</f>
        <v>0</v>
      </c>
      <c r="C131" s="17">
        <f>IF(B131="","",TEXT(B131,"ddd"))</f>
        <v>0</v>
      </c>
      <c r="D131" s="18">
        <f>IF(B131="","",WEEKNUM(B131,IF(WeekStart="Sunday",1,2)))</f>
        <v>0</v>
      </c>
      <c r="E131" s="17">
        <f>IF(B131="","",TEXT(B131,"yyyy-mm"))</f>
        <v>0</v>
      </c>
      <c r="H131" s="17">
        <f>IF(G131&lt;&gt;"",IFERROR(INDEX(Recipes!$B$5:$B$204,MATCH(G131,Recipes!$A$5:$A$204,0)),"Not found"),I131)</f>
        <v>0</v>
      </c>
      <c r="K131" s="45">
        <f>IF(B131="","",IF(J131="",DefaultServings,J131))</f>
        <v>0</v>
      </c>
      <c r="L131" s="45">
        <f>IF(G131="",0,IFERROR(K131/INDEX(Recipes!$G$5:$G$204,MATCH(G131,Recipes!$A$5:$A$204,0)),0))</f>
        <v>0</v>
      </c>
      <c r="T131" s="25">
        <f>IF(G131="","",IFERROR(INDEX(Recipes!$AD$5:$AD$204,MATCH(G131,Recipes!$A$5:$A$204,0))*K131,""))</f>
        <v>0</v>
      </c>
      <c r="V131" s="30">
        <f>IF(G131="","",IFERROR(INDEX(Recipes!$AE$5:$AE$204,MATCH(G131,Recipes!$A$5:$A$204,0)),"Not found"))</f>
        <v>0</v>
      </c>
      <c r="W131" s="45">
        <f>IF(G131="","",IFERROR(INDEX(Recipes!$AF$5:$AF$204,MATCH(G131,Recipes!$A$5:$A$204,0)),"Not found"))</f>
        <v>0</v>
      </c>
      <c r="X131" s="45">
        <f>IF(G131="","",IFERROR(INDEX(Recipes!$AG$5:$AG$204,MATCH(G131,Recipes!$A$5:$A$204,0)),"Not found"))</f>
        <v>0</v>
      </c>
      <c r="Y131" s="45">
        <f>IF(G131="","",IFERROR(INDEX(Recipes!$AH$5:$AH$204,MATCH(G131,Recipes!$A$5:$A$204,0)),"Not found"))</f>
        <v>0</v>
      </c>
      <c r="Z131" s="45">
        <f>IF(G131="","",IFERROR(INDEX(Recipes!$AI$5:$AI$204,MATCH(G131,Recipes!$A$5:$A$204,0)),"Not found"))</f>
        <v>0</v>
      </c>
      <c r="AA131" s="30">
        <f>IF(OR(V131="",NOT(ISNUMBER(V131))),"",V131*K131)</f>
        <v>0</v>
      </c>
      <c r="AB131" s="18">
        <f>IF(G131="","",IFERROR(INDEX(Recipes!$J$5:$J$204,MATCH(G131,Recipes!$A$5:$A$204,0)),"Not found"))</f>
        <v>0</v>
      </c>
      <c r="AC131" s="17">
        <f>IF(G131="","",IFERROR(INDEX(Recipes!$C$5:$C$204,MATCH(G131,Recipes!$A$5:$A$204,0)),"Not found"))</f>
        <v>0</v>
      </c>
      <c r="AD131" s="46">
        <f>IF(B131="","",IF(G131&lt;&gt;"","Yes",IF(OR(I131="",ISNUMBER(SEARCH("takeaway",I131)),ISNUMBER(SEARCH("out",I131))),"No","Yes")))</f>
        <v>0</v>
      </c>
      <c r="AE131" s="17">
        <f>IF(B131="","",TEXT(B131,"yyyy-mm-dd")&amp;"|"&amp;F131)</f>
        <v>0</v>
      </c>
      <c r="AF131" s="31">
        <f>IF(B131="","",IF(AND(G131="",I131=""),"Add - nothing planned yet",IF(COUNTIFS($AE$5:$AE$504,AE131)&gt;1,"Duplicate - two meals in one slot",IF(AND(G131&lt;&gt;"",H131="Not found"),"Missing - recipe ID not on the Recipes tab",IF(AND(B131&lt;TODAY(),OR(N131="Planned",N131="")),"Check - did you cook it?","OK")))))</f>
        <v>0</v>
      </c>
    </row>
    <row r="132" spans="1:32">
      <c r="A132" s="39">
        <f>IF(B132="","",MealPrefix&amp;TEXT(ROW()-4,"0000"))</f>
        <v>0</v>
      </c>
      <c r="C132" s="17">
        <f>IF(B132="","",TEXT(B132,"ddd"))</f>
        <v>0</v>
      </c>
      <c r="D132" s="18">
        <f>IF(B132="","",WEEKNUM(B132,IF(WeekStart="Sunday",1,2)))</f>
        <v>0</v>
      </c>
      <c r="E132" s="17">
        <f>IF(B132="","",TEXT(B132,"yyyy-mm"))</f>
        <v>0</v>
      </c>
      <c r="H132" s="17">
        <f>IF(G132&lt;&gt;"",IFERROR(INDEX(Recipes!$B$5:$B$204,MATCH(G132,Recipes!$A$5:$A$204,0)),"Not found"),I132)</f>
        <v>0</v>
      </c>
      <c r="K132" s="45">
        <f>IF(B132="","",IF(J132="",DefaultServings,J132))</f>
        <v>0</v>
      </c>
      <c r="L132" s="45">
        <f>IF(G132="",0,IFERROR(K132/INDEX(Recipes!$G$5:$G$204,MATCH(G132,Recipes!$A$5:$A$204,0)),0))</f>
        <v>0</v>
      </c>
      <c r="T132" s="25">
        <f>IF(G132="","",IFERROR(INDEX(Recipes!$AD$5:$AD$204,MATCH(G132,Recipes!$A$5:$A$204,0))*K132,""))</f>
        <v>0</v>
      </c>
      <c r="V132" s="30">
        <f>IF(G132="","",IFERROR(INDEX(Recipes!$AE$5:$AE$204,MATCH(G132,Recipes!$A$5:$A$204,0)),"Not found"))</f>
        <v>0</v>
      </c>
      <c r="W132" s="45">
        <f>IF(G132="","",IFERROR(INDEX(Recipes!$AF$5:$AF$204,MATCH(G132,Recipes!$A$5:$A$204,0)),"Not found"))</f>
        <v>0</v>
      </c>
      <c r="X132" s="45">
        <f>IF(G132="","",IFERROR(INDEX(Recipes!$AG$5:$AG$204,MATCH(G132,Recipes!$A$5:$A$204,0)),"Not found"))</f>
        <v>0</v>
      </c>
      <c r="Y132" s="45">
        <f>IF(G132="","",IFERROR(INDEX(Recipes!$AH$5:$AH$204,MATCH(G132,Recipes!$A$5:$A$204,0)),"Not found"))</f>
        <v>0</v>
      </c>
      <c r="Z132" s="45">
        <f>IF(G132="","",IFERROR(INDEX(Recipes!$AI$5:$AI$204,MATCH(G132,Recipes!$A$5:$A$204,0)),"Not found"))</f>
        <v>0</v>
      </c>
      <c r="AA132" s="30">
        <f>IF(OR(V132="",NOT(ISNUMBER(V132))),"",V132*K132)</f>
        <v>0</v>
      </c>
      <c r="AB132" s="18">
        <f>IF(G132="","",IFERROR(INDEX(Recipes!$J$5:$J$204,MATCH(G132,Recipes!$A$5:$A$204,0)),"Not found"))</f>
        <v>0</v>
      </c>
      <c r="AC132" s="17">
        <f>IF(G132="","",IFERROR(INDEX(Recipes!$C$5:$C$204,MATCH(G132,Recipes!$A$5:$A$204,0)),"Not found"))</f>
        <v>0</v>
      </c>
      <c r="AD132" s="46">
        <f>IF(B132="","",IF(G132&lt;&gt;"","Yes",IF(OR(I132="",ISNUMBER(SEARCH("takeaway",I132)),ISNUMBER(SEARCH("out",I132))),"No","Yes")))</f>
        <v>0</v>
      </c>
      <c r="AE132" s="17">
        <f>IF(B132="","",TEXT(B132,"yyyy-mm-dd")&amp;"|"&amp;F132)</f>
        <v>0</v>
      </c>
      <c r="AF132" s="31">
        <f>IF(B132="","",IF(AND(G132="",I132=""),"Add - nothing planned yet",IF(COUNTIFS($AE$5:$AE$504,AE132)&gt;1,"Duplicate - two meals in one slot",IF(AND(G132&lt;&gt;"",H132="Not found"),"Missing - recipe ID not on the Recipes tab",IF(AND(B132&lt;TODAY(),OR(N132="Planned",N132="")),"Check - did you cook it?","OK")))))</f>
        <v>0</v>
      </c>
    </row>
    <row r="133" spans="1:32">
      <c r="A133" s="39">
        <f>IF(B133="","",MealPrefix&amp;TEXT(ROW()-4,"0000"))</f>
        <v>0</v>
      </c>
      <c r="C133" s="17">
        <f>IF(B133="","",TEXT(B133,"ddd"))</f>
        <v>0</v>
      </c>
      <c r="D133" s="18">
        <f>IF(B133="","",WEEKNUM(B133,IF(WeekStart="Sunday",1,2)))</f>
        <v>0</v>
      </c>
      <c r="E133" s="17">
        <f>IF(B133="","",TEXT(B133,"yyyy-mm"))</f>
        <v>0</v>
      </c>
      <c r="H133" s="17">
        <f>IF(G133&lt;&gt;"",IFERROR(INDEX(Recipes!$B$5:$B$204,MATCH(G133,Recipes!$A$5:$A$204,0)),"Not found"),I133)</f>
        <v>0</v>
      </c>
      <c r="K133" s="45">
        <f>IF(B133="","",IF(J133="",DefaultServings,J133))</f>
        <v>0</v>
      </c>
      <c r="L133" s="45">
        <f>IF(G133="",0,IFERROR(K133/INDEX(Recipes!$G$5:$G$204,MATCH(G133,Recipes!$A$5:$A$204,0)),0))</f>
        <v>0</v>
      </c>
      <c r="T133" s="25">
        <f>IF(G133="","",IFERROR(INDEX(Recipes!$AD$5:$AD$204,MATCH(G133,Recipes!$A$5:$A$204,0))*K133,""))</f>
        <v>0</v>
      </c>
      <c r="V133" s="30">
        <f>IF(G133="","",IFERROR(INDEX(Recipes!$AE$5:$AE$204,MATCH(G133,Recipes!$A$5:$A$204,0)),"Not found"))</f>
        <v>0</v>
      </c>
      <c r="W133" s="45">
        <f>IF(G133="","",IFERROR(INDEX(Recipes!$AF$5:$AF$204,MATCH(G133,Recipes!$A$5:$A$204,0)),"Not found"))</f>
        <v>0</v>
      </c>
      <c r="X133" s="45">
        <f>IF(G133="","",IFERROR(INDEX(Recipes!$AG$5:$AG$204,MATCH(G133,Recipes!$A$5:$A$204,0)),"Not found"))</f>
        <v>0</v>
      </c>
      <c r="Y133" s="45">
        <f>IF(G133="","",IFERROR(INDEX(Recipes!$AH$5:$AH$204,MATCH(G133,Recipes!$A$5:$A$204,0)),"Not found"))</f>
        <v>0</v>
      </c>
      <c r="Z133" s="45">
        <f>IF(G133="","",IFERROR(INDEX(Recipes!$AI$5:$AI$204,MATCH(G133,Recipes!$A$5:$A$204,0)),"Not found"))</f>
        <v>0</v>
      </c>
      <c r="AA133" s="30">
        <f>IF(OR(V133="",NOT(ISNUMBER(V133))),"",V133*K133)</f>
        <v>0</v>
      </c>
      <c r="AB133" s="18">
        <f>IF(G133="","",IFERROR(INDEX(Recipes!$J$5:$J$204,MATCH(G133,Recipes!$A$5:$A$204,0)),"Not found"))</f>
        <v>0</v>
      </c>
      <c r="AC133" s="17">
        <f>IF(G133="","",IFERROR(INDEX(Recipes!$C$5:$C$204,MATCH(G133,Recipes!$A$5:$A$204,0)),"Not found"))</f>
        <v>0</v>
      </c>
      <c r="AD133" s="46">
        <f>IF(B133="","",IF(G133&lt;&gt;"","Yes",IF(OR(I133="",ISNUMBER(SEARCH("takeaway",I133)),ISNUMBER(SEARCH("out",I133))),"No","Yes")))</f>
        <v>0</v>
      </c>
      <c r="AE133" s="17">
        <f>IF(B133="","",TEXT(B133,"yyyy-mm-dd")&amp;"|"&amp;F133)</f>
        <v>0</v>
      </c>
      <c r="AF133" s="31">
        <f>IF(B133="","",IF(AND(G133="",I133=""),"Add - nothing planned yet",IF(COUNTIFS($AE$5:$AE$504,AE133)&gt;1,"Duplicate - two meals in one slot",IF(AND(G133&lt;&gt;"",H133="Not found"),"Missing - recipe ID not on the Recipes tab",IF(AND(B133&lt;TODAY(),OR(N133="Planned",N133="")),"Check - did you cook it?","OK")))))</f>
        <v>0</v>
      </c>
    </row>
    <row r="134" spans="1:32">
      <c r="A134" s="39">
        <f>IF(B134="","",MealPrefix&amp;TEXT(ROW()-4,"0000"))</f>
        <v>0</v>
      </c>
      <c r="C134" s="17">
        <f>IF(B134="","",TEXT(B134,"ddd"))</f>
        <v>0</v>
      </c>
      <c r="D134" s="18">
        <f>IF(B134="","",WEEKNUM(B134,IF(WeekStart="Sunday",1,2)))</f>
        <v>0</v>
      </c>
      <c r="E134" s="17">
        <f>IF(B134="","",TEXT(B134,"yyyy-mm"))</f>
        <v>0</v>
      </c>
      <c r="H134" s="17">
        <f>IF(G134&lt;&gt;"",IFERROR(INDEX(Recipes!$B$5:$B$204,MATCH(G134,Recipes!$A$5:$A$204,0)),"Not found"),I134)</f>
        <v>0</v>
      </c>
      <c r="K134" s="45">
        <f>IF(B134="","",IF(J134="",DefaultServings,J134))</f>
        <v>0</v>
      </c>
      <c r="L134" s="45">
        <f>IF(G134="",0,IFERROR(K134/INDEX(Recipes!$G$5:$G$204,MATCH(G134,Recipes!$A$5:$A$204,0)),0))</f>
        <v>0</v>
      </c>
      <c r="T134" s="25">
        <f>IF(G134="","",IFERROR(INDEX(Recipes!$AD$5:$AD$204,MATCH(G134,Recipes!$A$5:$A$204,0))*K134,""))</f>
        <v>0</v>
      </c>
      <c r="V134" s="30">
        <f>IF(G134="","",IFERROR(INDEX(Recipes!$AE$5:$AE$204,MATCH(G134,Recipes!$A$5:$A$204,0)),"Not found"))</f>
        <v>0</v>
      </c>
      <c r="W134" s="45">
        <f>IF(G134="","",IFERROR(INDEX(Recipes!$AF$5:$AF$204,MATCH(G134,Recipes!$A$5:$A$204,0)),"Not found"))</f>
        <v>0</v>
      </c>
      <c r="X134" s="45">
        <f>IF(G134="","",IFERROR(INDEX(Recipes!$AG$5:$AG$204,MATCH(G134,Recipes!$A$5:$A$204,0)),"Not found"))</f>
        <v>0</v>
      </c>
      <c r="Y134" s="45">
        <f>IF(G134="","",IFERROR(INDEX(Recipes!$AH$5:$AH$204,MATCH(G134,Recipes!$A$5:$A$204,0)),"Not found"))</f>
        <v>0</v>
      </c>
      <c r="Z134" s="45">
        <f>IF(G134="","",IFERROR(INDEX(Recipes!$AI$5:$AI$204,MATCH(G134,Recipes!$A$5:$A$204,0)),"Not found"))</f>
        <v>0</v>
      </c>
      <c r="AA134" s="30">
        <f>IF(OR(V134="",NOT(ISNUMBER(V134))),"",V134*K134)</f>
        <v>0</v>
      </c>
      <c r="AB134" s="18">
        <f>IF(G134="","",IFERROR(INDEX(Recipes!$J$5:$J$204,MATCH(G134,Recipes!$A$5:$A$204,0)),"Not found"))</f>
        <v>0</v>
      </c>
      <c r="AC134" s="17">
        <f>IF(G134="","",IFERROR(INDEX(Recipes!$C$5:$C$204,MATCH(G134,Recipes!$A$5:$A$204,0)),"Not found"))</f>
        <v>0</v>
      </c>
      <c r="AD134" s="46">
        <f>IF(B134="","",IF(G134&lt;&gt;"","Yes",IF(OR(I134="",ISNUMBER(SEARCH("takeaway",I134)),ISNUMBER(SEARCH("out",I134))),"No","Yes")))</f>
        <v>0</v>
      </c>
      <c r="AE134" s="17">
        <f>IF(B134="","",TEXT(B134,"yyyy-mm-dd")&amp;"|"&amp;F134)</f>
        <v>0</v>
      </c>
      <c r="AF134" s="31">
        <f>IF(B134="","",IF(AND(G134="",I134=""),"Add - nothing planned yet",IF(COUNTIFS($AE$5:$AE$504,AE134)&gt;1,"Duplicate - two meals in one slot",IF(AND(G134&lt;&gt;"",H134="Not found"),"Missing - recipe ID not on the Recipes tab",IF(AND(B134&lt;TODAY(),OR(N134="Planned",N134="")),"Check - did you cook it?","OK")))))</f>
        <v>0</v>
      </c>
    </row>
    <row r="135" spans="1:32">
      <c r="A135" s="39">
        <f>IF(B135="","",MealPrefix&amp;TEXT(ROW()-4,"0000"))</f>
        <v>0</v>
      </c>
      <c r="C135" s="17">
        <f>IF(B135="","",TEXT(B135,"ddd"))</f>
        <v>0</v>
      </c>
      <c r="D135" s="18">
        <f>IF(B135="","",WEEKNUM(B135,IF(WeekStart="Sunday",1,2)))</f>
        <v>0</v>
      </c>
      <c r="E135" s="17">
        <f>IF(B135="","",TEXT(B135,"yyyy-mm"))</f>
        <v>0</v>
      </c>
      <c r="H135" s="17">
        <f>IF(G135&lt;&gt;"",IFERROR(INDEX(Recipes!$B$5:$B$204,MATCH(G135,Recipes!$A$5:$A$204,0)),"Not found"),I135)</f>
        <v>0</v>
      </c>
      <c r="K135" s="45">
        <f>IF(B135="","",IF(J135="",DefaultServings,J135))</f>
        <v>0</v>
      </c>
      <c r="L135" s="45">
        <f>IF(G135="",0,IFERROR(K135/INDEX(Recipes!$G$5:$G$204,MATCH(G135,Recipes!$A$5:$A$204,0)),0))</f>
        <v>0</v>
      </c>
      <c r="T135" s="25">
        <f>IF(G135="","",IFERROR(INDEX(Recipes!$AD$5:$AD$204,MATCH(G135,Recipes!$A$5:$A$204,0))*K135,""))</f>
        <v>0</v>
      </c>
      <c r="V135" s="30">
        <f>IF(G135="","",IFERROR(INDEX(Recipes!$AE$5:$AE$204,MATCH(G135,Recipes!$A$5:$A$204,0)),"Not found"))</f>
        <v>0</v>
      </c>
      <c r="W135" s="45">
        <f>IF(G135="","",IFERROR(INDEX(Recipes!$AF$5:$AF$204,MATCH(G135,Recipes!$A$5:$A$204,0)),"Not found"))</f>
        <v>0</v>
      </c>
      <c r="X135" s="45">
        <f>IF(G135="","",IFERROR(INDEX(Recipes!$AG$5:$AG$204,MATCH(G135,Recipes!$A$5:$A$204,0)),"Not found"))</f>
        <v>0</v>
      </c>
      <c r="Y135" s="45">
        <f>IF(G135="","",IFERROR(INDEX(Recipes!$AH$5:$AH$204,MATCH(G135,Recipes!$A$5:$A$204,0)),"Not found"))</f>
        <v>0</v>
      </c>
      <c r="Z135" s="45">
        <f>IF(G135="","",IFERROR(INDEX(Recipes!$AI$5:$AI$204,MATCH(G135,Recipes!$A$5:$A$204,0)),"Not found"))</f>
        <v>0</v>
      </c>
      <c r="AA135" s="30">
        <f>IF(OR(V135="",NOT(ISNUMBER(V135))),"",V135*K135)</f>
        <v>0</v>
      </c>
      <c r="AB135" s="18">
        <f>IF(G135="","",IFERROR(INDEX(Recipes!$J$5:$J$204,MATCH(G135,Recipes!$A$5:$A$204,0)),"Not found"))</f>
        <v>0</v>
      </c>
      <c r="AC135" s="17">
        <f>IF(G135="","",IFERROR(INDEX(Recipes!$C$5:$C$204,MATCH(G135,Recipes!$A$5:$A$204,0)),"Not found"))</f>
        <v>0</v>
      </c>
      <c r="AD135" s="46">
        <f>IF(B135="","",IF(G135&lt;&gt;"","Yes",IF(OR(I135="",ISNUMBER(SEARCH("takeaway",I135)),ISNUMBER(SEARCH("out",I135))),"No","Yes")))</f>
        <v>0</v>
      </c>
      <c r="AE135" s="17">
        <f>IF(B135="","",TEXT(B135,"yyyy-mm-dd")&amp;"|"&amp;F135)</f>
        <v>0</v>
      </c>
      <c r="AF135" s="31">
        <f>IF(B135="","",IF(AND(G135="",I135=""),"Add - nothing planned yet",IF(COUNTIFS($AE$5:$AE$504,AE135)&gt;1,"Duplicate - two meals in one slot",IF(AND(G135&lt;&gt;"",H135="Not found"),"Missing - recipe ID not on the Recipes tab",IF(AND(B135&lt;TODAY(),OR(N135="Planned",N135="")),"Check - did you cook it?","OK")))))</f>
        <v>0</v>
      </c>
    </row>
    <row r="136" spans="1:32">
      <c r="A136" s="39">
        <f>IF(B136="","",MealPrefix&amp;TEXT(ROW()-4,"0000"))</f>
        <v>0</v>
      </c>
      <c r="C136" s="17">
        <f>IF(B136="","",TEXT(B136,"ddd"))</f>
        <v>0</v>
      </c>
      <c r="D136" s="18">
        <f>IF(B136="","",WEEKNUM(B136,IF(WeekStart="Sunday",1,2)))</f>
        <v>0</v>
      </c>
      <c r="E136" s="17">
        <f>IF(B136="","",TEXT(B136,"yyyy-mm"))</f>
        <v>0</v>
      </c>
      <c r="H136" s="17">
        <f>IF(G136&lt;&gt;"",IFERROR(INDEX(Recipes!$B$5:$B$204,MATCH(G136,Recipes!$A$5:$A$204,0)),"Not found"),I136)</f>
        <v>0</v>
      </c>
      <c r="K136" s="45">
        <f>IF(B136="","",IF(J136="",DefaultServings,J136))</f>
        <v>0</v>
      </c>
      <c r="L136" s="45">
        <f>IF(G136="",0,IFERROR(K136/INDEX(Recipes!$G$5:$G$204,MATCH(G136,Recipes!$A$5:$A$204,0)),0))</f>
        <v>0</v>
      </c>
      <c r="T136" s="25">
        <f>IF(G136="","",IFERROR(INDEX(Recipes!$AD$5:$AD$204,MATCH(G136,Recipes!$A$5:$A$204,0))*K136,""))</f>
        <v>0</v>
      </c>
      <c r="V136" s="30">
        <f>IF(G136="","",IFERROR(INDEX(Recipes!$AE$5:$AE$204,MATCH(G136,Recipes!$A$5:$A$204,0)),"Not found"))</f>
        <v>0</v>
      </c>
      <c r="W136" s="45">
        <f>IF(G136="","",IFERROR(INDEX(Recipes!$AF$5:$AF$204,MATCH(G136,Recipes!$A$5:$A$204,0)),"Not found"))</f>
        <v>0</v>
      </c>
      <c r="X136" s="45">
        <f>IF(G136="","",IFERROR(INDEX(Recipes!$AG$5:$AG$204,MATCH(G136,Recipes!$A$5:$A$204,0)),"Not found"))</f>
        <v>0</v>
      </c>
      <c r="Y136" s="45">
        <f>IF(G136="","",IFERROR(INDEX(Recipes!$AH$5:$AH$204,MATCH(G136,Recipes!$A$5:$A$204,0)),"Not found"))</f>
        <v>0</v>
      </c>
      <c r="Z136" s="45">
        <f>IF(G136="","",IFERROR(INDEX(Recipes!$AI$5:$AI$204,MATCH(G136,Recipes!$A$5:$A$204,0)),"Not found"))</f>
        <v>0</v>
      </c>
      <c r="AA136" s="30">
        <f>IF(OR(V136="",NOT(ISNUMBER(V136))),"",V136*K136)</f>
        <v>0</v>
      </c>
      <c r="AB136" s="18">
        <f>IF(G136="","",IFERROR(INDEX(Recipes!$J$5:$J$204,MATCH(G136,Recipes!$A$5:$A$204,0)),"Not found"))</f>
        <v>0</v>
      </c>
      <c r="AC136" s="17">
        <f>IF(G136="","",IFERROR(INDEX(Recipes!$C$5:$C$204,MATCH(G136,Recipes!$A$5:$A$204,0)),"Not found"))</f>
        <v>0</v>
      </c>
      <c r="AD136" s="46">
        <f>IF(B136="","",IF(G136&lt;&gt;"","Yes",IF(OR(I136="",ISNUMBER(SEARCH("takeaway",I136)),ISNUMBER(SEARCH("out",I136))),"No","Yes")))</f>
        <v>0</v>
      </c>
      <c r="AE136" s="17">
        <f>IF(B136="","",TEXT(B136,"yyyy-mm-dd")&amp;"|"&amp;F136)</f>
        <v>0</v>
      </c>
      <c r="AF136" s="31">
        <f>IF(B136="","",IF(AND(G136="",I136=""),"Add - nothing planned yet",IF(COUNTIFS($AE$5:$AE$504,AE136)&gt;1,"Duplicate - two meals in one slot",IF(AND(G136&lt;&gt;"",H136="Not found"),"Missing - recipe ID not on the Recipes tab",IF(AND(B136&lt;TODAY(),OR(N136="Planned",N136="")),"Check - did you cook it?","OK")))))</f>
        <v>0</v>
      </c>
    </row>
    <row r="137" spans="1:32">
      <c r="A137" s="39">
        <f>IF(B137="","",MealPrefix&amp;TEXT(ROW()-4,"0000"))</f>
        <v>0</v>
      </c>
      <c r="C137" s="17">
        <f>IF(B137="","",TEXT(B137,"ddd"))</f>
        <v>0</v>
      </c>
      <c r="D137" s="18">
        <f>IF(B137="","",WEEKNUM(B137,IF(WeekStart="Sunday",1,2)))</f>
        <v>0</v>
      </c>
      <c r="E137" s="17">
        <f>IF(B137="","",TEXT(B137,"yyyy-mm"))</f>
        <v>0</v>
      </c>
      <c r="H137" s="17">
        <f>IF(G137&lt;&gt;"",IFERROR(INDEX(Recipes!$B$5:$B$204,MATCH(G137,Recipes!$A$5:$A$204,0)),"Not found"),I137)</f>
        <v>0</v>
      </c>
      <c r="K137" s="45">
        <f>IF(B137="","",IF(J137="",DefaultServings,J137))</f>
        <v>0</v>
      </c>
      <c r="L137" s="45">
        <f>IF(G137="",0,IFERROR(K137/INDEX(Recipes!$G$5:$G$204,MATCH(G137,Recipes!$A$5:$A$204,0)),0))</f>
        <v>0</v>
      </c>
      <c r="T137" s="25">
        <f>IF(G137="","",IFERROR(INDEX(Recipes!$AD$5:$AD$204,MATCH(G137,Recipes!$A$5:$A$204,0))*K137,""))</f>
        <v>0</v>
      </c>
      <c r="V137" s="30">
        <f>IF(G137="","",IFERROR(INDEX(Recipes!$AE$5:$AE$204,MATCH(G137,Recipes!$A$5:$A$204,0)),"Not found"))</f>
        <v>0</v>
      </c>
      <c r="W137" s="45">
        <f>IF(G137="","",IFERROR(INDEX(Recipes!$AF$5:$AF$204,MATCH(G137,Recipes!$A$5:$A$204,0)),"Not found"))</f>
        <v>0</v>
      </c>
      <c r="X137" s="45">
        <f>IF(G137="","",IFERROR(INDEX(Recipes!$AG$5:$AG$204,MATCH(G137,Recipes!$A$5:$A$204,0)),"Not found"))</f>
        <v>0</v>
      </c>
      <c r="Y137" s="45">
        <f>IF(G137="","",IFERROR(INDEX(Recipes!$AH$5:$AH$204,MATCH(G137,Recipes!$A$5:$A$204,0)),"Not found"))</f>
        <v>0</v>
      </c>
      <c r="Z137" s="45">
        <f>IF(G137="","",IFERROR(INDEX(Recipes!$AI$5:$AI$204,MATCH(G137,Recipes!$A$5:$A$204,0)),"Not found"))</f>
        <v>0</v>
      </c>
      <c r="AA137" s="30">
        <f>IF(OR(V137="",NOT(ISNUMBER(V137))),"",V137*K137)</f>
        <v>0</v>
      </c>
      <c r="AB137" s="18">
        <f>IF(G137="","",IFERROR(INDEX(Recipes!$J$5:$J$204,MATCH(G137,Recipes!$A$5:$A$204,0)),"Not found"))</f>
        <v>0</v>
      </c>
      <c r="AC137" s="17">
        <f>IF(G137="","",IFERROR(INDEX(Recipes!$C$5:$C$204,MATCH(G137,Recipes!$A$5:$A$204,0)),"Not found"))</f>
        <v>0</v>
      </c>
      <c r="AD137" s="46">
        <f>IF(B137="","",IF(G137&lt;&gt;"","Yes",IF(OR(I137="",ISNUMBER(SEARCH("takeaway",I137)),ISNUMBER(SEARCH("out",I137))),"No","Yes")))</f>
        <v>0</v>
      </c>
      <c r="AE137" s="17">
        <f>IF(B137="","",TEXT(B137,"yyyy-mm-dd")&amp;"|"&amp;F137)</f>
        <v>0</v>
      </c>
      <c r="AF137" s="31">
        <f>IF(B137="","",IF(AND(G137="",I137=""),"Add - nothing planned yet",IF(COUNTIFS($AE$5:$AE$504,AE137)&gt;1,"Duplicate - two meals in one slot",IF(AND(G137&lt;&gt;"",H137="Not found"),"Missing - recipe ID not on the Recipes tab",IF(AND(B137&lt;TODAY(),OR(N137="Planned",N137="")),"Check - did you cook it?","OK")))))</f>
        <v>0</v>
      </c>
    </row>
    <row r="138" spans="1:32">
      <c r="A138" s="39">
        <f>IF(B138="","",MealPrefix&amp;TEXT(ROW()-4,"0000"))</f>
        <v>0</v>
      </c>
      <c r="C138" s="17">
        <f>IF(B138="","",TEXT(B138,"ddd"))</f>
        <v>0</v>
      </c>
      <c r="D138" s="18">
        <f>IF(B138="","",WEEKNUM(B138,IF(WeekStart="Sunday",1,2)))</f>
        <v>0</v>
      </c>
      <c r="E138" s="17">
        <f>IF(B138="","",TEXT(B138,"yyyy-mm"))</f>
        <v>0</v>
      </c>
      <c r="H138" s="17">
        <f>IF(G138&lt;&gt;"",IFERROR(INDEX(Recipes!$B$5:$B$204,MATCH(G138,Recipes!$A$5:$A$204,0)),"Not found"),I138)</f>
        <v>0</v>
      </c>
      <c r="K138" s="45">
        <f>IF(B138="","",IF(J138="",DefaultServings,J138))</f>
        <v>0</v>
      </c>
      <c r="L138" s="45">
        <f>IF(G138="",0,IFERROR(K138/INDEX(Recipes!$G$5:$G$204,MATCH(G138,Recipes!$A$5:$A$204,0)),0))</f>
        <v>0</v>
      </c>
      <c r="T138" s="25">
        <f>IF(G138="","",IFERROR(INDEX(Recipes!$AD$5:$AD$204,MATCH(G138,Recipes!$A$5:$A$204,0))*K138,""))</f>
        <v>0</v>
      </c>
      <c r="V138" s="30">
        <f>IF(G138="","",IFERROR(INDEX(Recipes!$AE$5:$AE$204,MATCH(G138,Recipes!$A$5:$A$204,0)),"Not found"))</f>
        <v>0</v>
      </c>
      <c r="W138" s="45">
        <f>IF(G138="","",IFERROR(INDEX(Recipes!$AF$5:$AF$204,MATCH(G138,Recipes!$A$5:$A$204,0)),"Not found"))</f>
        <v>0</v>
      </c>
      <c r="X138" s="45">
        <f>IF(G138="","",IFERROR(INDEX(Recipes!$AG$5:$AG$204,MATCH(G138,Recipes!$A$5:$A$204,0)),"Not found"))</f>
        <v>0</v>
      </c>
      <c r="Y138" s="45">
        <f>IF(G138="","",IFERROR(INDEX(Recipes!$AH$5:$AH$204,MATCH(G138,Recipes!$A$5:$A$204,0)),"Not found"))</f>
        <v>0</v>
      </c>
      <c r="Z138" s="45">
        <f>IF(G138="","",IFERROR(INDEX(Recipes!$AI$5:$AI$204,MATCH(G138,Recipes!$A$5:$A$204,0)),"Not found"))</f>
        <v>0</v>
      </c>
      <c r="AA138" s="30">
        <f>IF(OR(V138="",NOT(ISNUMBER(V138))),"",V138*K138)</f>
        <v>0</v>
      </c>
      <c r="AB138" s="18">
        <f>IF(G138="","",IFERROR(INDEX(Recipes!$J$5:$J$204,MATCH(G138,Recipes!$A$5:$A$204,0)),"Not found"))</f>
        <v>0</v>
      </c>
      <c r="AC138" s="17">
        <f>IF(G138="","",IFERROR(INDEX(Recipes!$C$5:$C$204,MATCH(G138,Recipes!$A$5:$A$204,0)),"Not found"))</f>
        <v>0</v>
      </c>
      <c r="AD138" s="46">
        <f>IF(B138="","",IF(G138&lt;&gt;"","Yes",IF(OR(I138="",ISNUMBER(SEARCH("takeaway",I138)),ISNUMBER(SEARCH("out",I138))),"No","Yes")))</f>
        <v>0</v>
      </c>
      <c r="AE138" s="17">
        <f>IF(B138="","",TEXT(B138,"yyyy-mm-dd")&amp;"|"&amp;F138)</f>
        <v>0</v>
      </c>
      <c r="AF138" s="31">
        <f>IF(B138="","",IF(AND(G138="",I138=""),"Add - nothing planned yet",IF(COUNTIFS($AE$5:$AE$504,AE138)&gt;1,"Duplicate - two meals in one slot",IF(AND(G138&lt;&gt;"",H138="Not found"),"Missing - recipe ID not on the Recipes tab",IF(AND(B138&lt;TODAY(),OR(N138="Planned",N138="")),"Check - did you cook it?","OK")))))</f>
        <v>0</v>
      </c>
    </row>
    <row r="139" spans="1:32">
      <c r="A139" s="39">
        <f>IF(B139="","",MealPrefix&amp;TEXT(ROW()-4,"0000"))</f>
        <v>0</v>
      </c>
      <c r="C139" s="17">
        <f>IF(B139="","",TEXT(B139,"ddd"))</f>
        <v>0</v>
      </c>
      <c r="D139" s="18">
        <f>IF(B139="","",WEEKNUM(B139,IF(WeekStart="Sunday",1,2)))</f>
        <v>0</v>
      </c>
      <c r="E139" s="17">
        <f>IF(B139="","",TEXT(B139,"yyyy-mm"))</f>
        <v>0</v>
      </c>
      <c r="H139" s="17">
        <f>IF(G139&lt;&gt;"",IFERROR(INDEX(Recipes!$B$5:$B$204,MATCH(G139,Recipes!$A$5:$A$204,0)),"Not found"),I139)</f>
        <v>0</v>
      </c>
      <c r="K139" s="45">
        <f>IF(B139="","",IF(J139="",DefaultServings,J139))</f>
        <v>0</v>
      </c>
      <c r="L139" s="45">
        <f>IF(G139="",0,IFERROR(K139/INDEX(Recipes!$G$5:$G$204,MATCH(G139,Recipes!$A$5:$A$204,0)),0))</f>
        <v>0</v>
      </c>
      <c r="T139" s="25">
        <f>IF(G139="","",IFERROR(INDEX(Recipes!$AD$5:$AD$204,MATCH(G139,Recipes!$A$5:$A$204,0))*K139,""))</f>
        <v>0</v>
      </c>
      <c r="V139" s="30">
        <f>IF(G139="","",IFERROR(INDEX(Recipes!$AE$5:$AE$204,MATCH(G139,Recipes!$A$5:$A$204,0)),"Not found"))</f>
        <v>0</v>
      </c>
      <c r="W139" s="45">
        <f>IF(G139="","",IFERROR(INDEX(Recipes!$AF$5:$AF$204,MATCH(G139,Recipes!$A$5:$A$204,0)),"Not found"))</f>
        <v>0</v>
      </c>
      <c r="X139" s="45">
        <f>IF(G139="","",IFERROR(INDEX(Recipes!$AG$5:$AG$204,MATCH(G139,Recipes!$A$5:$A$204,0)),"Not found"))</f>
        <v>0</v>
      </c>
      <c r="Y139" s="45">
        <f>IF(G139="","",IFERROR(INDEX(Recipes!$AH$5:$AH$204,MATCH(G139,Recipes!$A$5:$A$204,0)),"Not found"))</f>
        <v>0</v>
      </c>
      <c r="Z139" s="45">
        <f>IF(G139="","",IFERROR(INDEX(Recipes!$AI$5:$AI$204,MATCH(G139,Recipes!$A$5:$A$204,0)),"Not found"))</f>
        <v>0</v>
      </c>
      <c r="AA139" s="30">
        <f>IF(OR(V139="",NOT(ISNUMBER(V139))),"",V139*K139)</f>
        <v>0</v>
      </c>
      <c r="AB139" s="18">
        <f>IF(G139="","",IFERROR(INDEX(Recipes!$J$5:$J$204,MATCH(G139,Recipes!$A$5:$A$204,0)),"Not found"))</f>
        <v>0</v>
      </c>
      <c r="AC139" s="17">
        <f>IF(G139="","",IFERROR(INDEX(Recipes!$C$5:$C$204,MATCH(G139,Recipes!$A$5:$A$204,0)),"Not found"))</f>
        <v>0</v>
      </c>
      <c r="AD139" s="46">
        <f>IF(B139="","",IF(G139&lt;&gt;"","Yes",IF(OR(I139="",ISNUMBER(SEARCH("takeaway",I139)),ISNUMBER(SEARCH("out",I139))),"No","Yes")))</f>
        <v>0</v>
      </c>
      <c r="AE139" s="17">
        <f>IF(B139="","",TEXT(B139,"yyyy-mm-dd")&amp;"|"&amp;F139)</f>
        <v>0</v>
      </c>
      <c r="AF139" s="31">
        <f>IF(B139="","",IF(AND(G139="",I139=""),"Add - nothing planned yet",IF(COUNTIFS($AE$5:$AE$504,AE139)&gt;1,"Duplicate - two meals in one slot",IF(AND(G139&lt;&gt;"",H139="Not found"),"Missing - recipe ID not on the Recipes tab",IF(AND(B139&lt;TODAY(),OR(N139="Planned",N139="")),"Check - did you cook it?","OK")))))</f>
        <v>0</v>
      </c>
    </row>
    <row r="140" spans="1:32">
      <c r="A140" s="39">
        <f>IF(B140="","",MealPrefix&amp;TEXT(ROW()-4,"0000"))</f>
        <v>0</v>
      </c>
      <c r="C140" s="17">
        <f>IF(B140="","",TEXT(B140,"ddd"))</f>
        <v>0</v>
      </c>
      <c r="D140" s="18">
        <f>IF(B140="","",WEEKNUM(B140,IF(WeekStart="Sunday",1,2)))</f>
        <v>0</v>
      </c>
      <c r="E140" s="17">
        <f>IF(B140="","",TEXT(B140,"yyyy-mm"))</f>
        <v>0</v>
      </c>
      <c r="H140" s="17">
        <f>IF(G140&lt;&gt;"",IFERROR(INDEX(Recipes!$B$5:$B$204,MATCH(G140,Recipes!$A$5:$A$204,0)),"Not found"),I140)</f>
        <v>0</v>
      </c>
      <c r="K140" s="45">
        <f>IF(B140="","",IF(J140="",DefaultServings,J140))</f>
        <v>0</v>
      </c>
      <c r="L140" s="45">
        <f>IF(G140="",0,IFERROR(K140/INDEX(Recipes!$G$5:$G$204,MATCH(G140,Recipes!$A$5:$A$204,0)),0))</f>
        <v>0</v>
      </c>
      <c r="T140" s="25">
        <f>IF(G140="","",IFERROR(INDEX(Recipes!$AD$5:$AD$204,MATCH(G140,Recipes!$A$5:$A$204,0))*K140,""))</f>
        <v>0</v>
      </c>
      <c r="V140" s="30">
        <f>IF(G140="","",IFERROR(INDEX(Recipes!$AE$5:$AE$204,MATCH(G140,Recipes!$A$5:$A$204,0)),"Not found"))</f>
        <v>0</v>
      </c>
      <c r="W140" s="45">
        <f>IF(G140="","",IFERROR(INDEX(Recipes!$AF$5:$AF$204,MATCH(G140,Recipes!$A$5:$A$204,0)),"Not found"))</f>
        <v>0</v>
      </c>
      <c r="X140" s="45">
        <f>IF(G140="","",IFERROR(INDEX(Recipes!$AG$5:$AG$204,MATCH(G140,Recipes!$A$5:$A$204,0)),"Not found"))</f>
        <v>0</v>
      </c>
      <c r="Y140" s="45">
        <f>IF(G140="","",IFERROR(INDEX(Recipes!$AH$5:$AH$204,MATCH(G140,Recipes!$A$5:$A$204,0)),"Not found"))</f>
        <v>0</v>
      </c>
      <c r="Z140" s="45">
        <f>IF(G140="","",IFERROR(INDEX(Recipes!$AI$5:$AI$204,MATCH(G140,Recipes!$A$5:$A$204,0)),"Not found"))</f>
        <v>0</v>
      </c>
      <c r="AA140" s="30">
        <f>IF(OR(V140="",NOT(ISNUMBER(V140))),"",V140*K140)</f>
        <v>0</v>
      </c>
      <c r="AB140" s="18">
        <f>IF(G140="","",IFERROR(INDEX(Recipes!$J$5:$J$204,MATCH(G140,Recipes!$A$5:$A$204,0)),"Not found"))</f>
        <v>0</v>
      </c>
      <c r="AC140" s="17">
        <f>IF(G140="","",IFERROR(INDEX(Recipes!$C$5:$C$204,MATCH(G140,Recipes!$A$5:$A$204,0)),"Not found"))</f>
        <v>0</v>
      </c>
      <c r="AD140" s="46">
        <f>IF(B140="","",IF(G140&lt;&gt;"","Yes",IF(OR(I140="",ISNUMBER(SEARCH("takeaway",I140)),ISNUMBER(SEARCH("out",I140))),"No","Yes")))</f>
        <v>0</v>
      </c>
      <c r="AE140" s="17">
        <f>IF(B140="","",TEXT(B140,"yyyy-mm-dd")&amp;"|"&amp;F140)</f>
        <v>0</v>
      </c>
      <c r="AF140" s="31">
        <f>IF(B140="","",IF(AND(G140="",I140=""),"Add - nothing planned yet",IF(COUNTIFS($AE$5:$AE$504,AE140)&gt;1,"Duplicate - two meals in one slot",IF(AND(G140&lt;&gt;"",H140="Not found"),"Missing - recipe ID not on the Recipes tab",IF(AND(B140&lt;TODAY(),OR(N140="Planned",N140="")),"Check - did you cook it?","OK")))))</f>
        <v>0</v>
      </c>
    </row>
    <row r="141" spans="1:32">
      <c r="A141" s="39">
        <f>IF(B141="","",MealPrefix&amp;TEXT(ROW()-4,"0000"))</f>
        <v>0</v>
      </c>
      <c r="C141" s="17">
        <f>IF(B141="","",TEXT(B141,"ddd"))</f>
        <v>0</v>
      </c>
      <c r="D141" s="18">
        <f>IF(B141="","",WEEKNUM(B141,IF(WeekStart="Sunday",1,2)))</f>
        <v>0</v>
      </c>
      <c r="E141" s="17">
        <f>IF(B141="","",TEXT(B141,"yyyy-mm"))</f>
        <v>0</v>
      </c>
      <c r="H141" s="17">
        <f>IF(G141&lt;&gt;"",IFERROR(INDEX(Recipes!$B$5:$B$204,MATCH(G141,Recipes!$A$5:$A$204,0)),"Not found"),I141)</f>
        <v>0</v>
      </c>
      <c r="K141" s="45">
        <f>IF(B141="","",IF(J141="",DefaultServings,J141))</f>
        <v>0</v>
      </c>
      <c r="L141" s="45">
        <f>IF(G141="",0,IFERROR(K141/INDEX(Recipes!$G$5:$G$204,MATCH(G141,Recipes!$A$5:$A$204,0)),0))</f>
        <v>0</v>
      </c>
      <c r="T141" s="25">
        <f>IF(G141="","",IFERROR(INDEX(Recipes!$AD$5:$AD$204,MATCH(G141,Recipes!$A$5:$A$204,0))*K141,""))</f>
        <v>0</v>
      </c>
      <c r="V141" s="30">
        <f>IF(G141="","",IFERROR(INDEX(Recipes!$AE$5:$AE$204,MATCH(G141,Recipes!$A$5:$A$204,0)),"Not found"))</f>
        <v>0</v>
      </c>
      <c r="W141" s="45">
        <f>IF(G141="","",IFERROR(INDEX(Recipes!$AF$5:$AF$204,MATCH(G141,Recipes!$A$5:$A$204,0)),"Not found"))</f>
        <v>0</v>
      </c>
      <c r="X141" s="45">
        <f>IF(G141="","",IFERROR(INDEX(Recipes!$AG$5:$AG$204,MATCH(G141,Recipes!$A$5:$A$204,0)),"Not found"))</f>
        <v>0</v>
      </c>
      <c r="Y141" s="45">
        <f>IF(G141="","",IFERROR(INDEX(Recipes!$AH$5:$AH$204,MATCH(G141,Recipes!$A$5:$A$204,0)),"Not found"))</f>
        <v>0</v>
      </c>
      <c r="Z141" s="45">
        <f>IF(G141="","",IFERROR(INDEX(Recipes!$AI$5:$AI$204,MATCH(G141,Recipes!$A$5:$A$204,0)),"Not found"))</f>
        <v>0</v>
      </c>
      <c r="AA141" s="30">
        <f>IF(OR(V141="",NOT(ISNUMBER(V141))),"",V141*K141)</f>
        <v>0</v>
      </c>
      <c r="AB141" s="18">
        <f>IF(G141="","",IFERROR(INDEX(Recipes!$J$5:$J$204,MATCH(G141,Recipes!$A$5:$A$204,0)),"Not found"))</f>
        <v>0</v>
      </c>
      <c r="AC141" s="17">
        <f>IF(G141="","",IFERROR(INDEX(Recipes!$C$5:$C$204,MATCH(G141,Recipes!$A$5:$A$204,0)),"Not found"))</f>
        <v>0</v>
      </c>
      <c r="AD141" s="46">
        <f>IF(B141="","",IF(G141&lt;&gt;"","Yes",IF(OR(I141="",ISNUMBER(SEARCH("takeaway",I141)),ISNUMBER(SEARCH("out",I141))),"No","Yes")))</f>
        <v>0</v>
      </c>
      <c r="AE141" s="17">
        <f>IF(B141="","",TEXT(B141,"yyyy-mm-dd")&amp;"|"&amp;F141)</f>
        <v>0</v>
      </c>
      <c r="AF141" s="31">
        <f>IF(B141="","",IF(AND(G141="",I141=""),"Add - nothing planned yet",IF(COUNTIFS($AE$5:$AE$504,AE141)&gt;1,"Duplicate - two meals in one slot",IF(AND(G141&lt;&gt;"",H141="Not found"),"Missing - recipe ID not on the Recipes tab",IF(AND(B141&lt;TODAY(),OR(N141="Planned",N141="")),"Check - did you cook it?","OK")))))</f>
        <v>0</v>
      </c>
    </row>
    <row r="142" spans="1:32">
      <c r="A142" s="39">
        <f>IF(B142="","",MealPrefix&amp;TEXT(ROW()-4,"0000"))</f>
        <v>0</v>
      </c>
      <c r="C142" s="17">
        <f>IF(B142="","",TEXT(B142,"ddd"))</f>
        <v>0</v>
      </c>
      <c r="D142" s="18">
        <f>IF(B142="","",WEEKNUM(B142,IF(WeekStart="Sunday",1,2)))</f>
        <v>0</v>
      </c>
      <c r="E142" s="17">
        <f>IF(B142="","",TEXT(B142,"yyyy-mm"))</f>
        <v>0</v>
      </c>
      <c r="H142" s="17">
        <f>IF(G142&lt;&gt;"",IFERROR(INDEX(Recipes!$B$5:$B$204,MATCH(G142,Recipes!$A$5:$A$204,0)),"Not found"),I142)</f>
        <v>0</v>
      </c>
      <c r="K142" s="45">
        <f>IF(B142="","",IF(J142="",DefaultServings,J142))</f>
        <v>0</v>
      </c>
      <c r="L142" s="45">
        <f>IF(G142="",0,IFERROR(K142/INDEX(Recipes!$G$5:$G$204,MATCH(G142,Recipes!$A$5:$A$204,0)),0))</f>
        <v>0</v>
      </c>
      <c r="T142" s="25">
        <f>IF(G142="","",IFERROR(INDEX(Recipes!$AD$5:$AD$204,MATCH(G142,Recipes!$A$5:$A$204,0))*K142,""))</f>
        <v>0</v>
      </c>
      <c r="V142" s="30">
        <f>IF(G142="","",IFERROR(INDEX(Recipes!$AE$5:$AE$204,MATCH(G142,Recipes!$A$5:$A$204,0)),"Not found"))</f>
        <v>0</v>
      </c>
      <c r="W142" s="45">
        <f>IF(G142="","",IFERROR(INDEX(Recipes!$AF$5:$AF$204,MATCH(G142,Recipes!$A$5:$A$204,0)),"Not found"))</f>
        <v>0</v>
      </c>
      <c r="X142" s="45">
        <f>IF(G142="","",IFERROR(INDEX(Recipes!$AG$5:$AG$204,MATCH(G142,Recipes!$A$5:$A$204,0)),"Not found"))</f>
        <v>0</v>
      </c>
      <c r="Y142" s="45">
        <f>IF(G142="","",IFERROR(INDEX(Recipes!$AH$5:$AH$204,MATCH(G142,Recipes!$A$5:$A$204,0)),"Not found"))</f>
        <v>0</v>
      </c>
      <c r="Z142" s="45">
        <f>IF(G142="","",IFERROR(INDEX(Recipes!$AI$5:$AI$204,MATCH(G142,Recipes!$A$5:$A$204,0)),"Not found"))</f>
        <v>0</v>
      </c>
      <c r="AA142" s="30">
        <f>IF(OR(V142="",NOT(ISNUMBER(V142))),"",V142*K142)</f>
        <v>0</v>
      </c>
      <c r="AB142" s="18">
        <f>IF(G142="","",IFERROR(INDEX(Recipes!$J$5:$J$204,MATCH(G142,Recipes!$A$5:$A$204,0)),"Not found"))</f>
        <v>0</v>
      </c>
      <c r="AC142" s="17">
        <f>IF(G142="","",IFERROR(INDEX(Recipes!$C$5:$C$204,MATCH(G142,Recipes!$A$5:$A$204,0)),"Not found"))</f>
        <v>0</v>
      </c>
      <c r="AD142" s="46">
        <f>IF(B142="","",IF(G142&lt;&gt;"","Yes",IF(OR(I142="",ISNUMBER(SEARCH("takeaway",I142)),ISNUMBER(SEARCH("out",I142))),"No","Yes")))</f>
        <v>0</v>
      </c>
      <c r="AE142" s="17">
        <f>IF(B142="","",TEXT(B142,"yyyy-mm-dd")&amp;"|"&amp;F142)</f>
        <v>0</v>
      </c>
      <c r="AF142" s="31">
        <f>IF(B142="","",IF(AND(G142="",I142=""),"Add - nothing planned yet",IF(COUNTIFS($AE$5:$AE$504,AE142)&gt;1,"Duplicate - two meals in one slot",IF(AND(G142&lt;&gt;"",H142="Not found"),"Missing - recipe ID not on the Recipes tab",IF(AND(B142&lt;TODAY(),OR(N142="Planned",N142="")),"Check - did you cook it?","OK")))))</f>
        <v>0</v>
      </c>
    </row>
    <row r="143" spans="1:32">
      <c r="A143" s="39">
        <f>IF(B143="","",MealPrefix&amp;TEXT(ROW()-4,"0000"))</f>
        <v>0</v>
      </c>
      <c r="C143" s="17">
        <f>IF(B143="","",TEXT(B143,"ddd"))</f>
        <v>0</v>
      </c>
      <c r="D143" s="18">
        <f>IF(B143="","",WEEKNUM(B143,IF(WeekStart="Sunday",1,2)))</f>
        <v>0</v>
      </c>
      <c r="E143" s="17">
        <f>IF(B143="","",TEXT(B143,"yyyy-mm"))</f>
        <v>0</v>
      </c>
      <c r="H143" s="17">
        <f>IF(G143&lt;&gt;"",IFERROR(INDEX(Recipes!$B$5:$B$204,MATCH(G143,Recipes!$A$5:$A$204,0)),"Not found"),I143)</f>
        <v>0</v>
      </c>
      <c r="K143" s="45">
        <f>IF(B143="","",IF(J143="",DefaultServings,J143))</f>
        <v>0</v>
      </c>
      <c r="L143" s="45">
        <f>IF(G143="",0,IFERROR(K143/INDEX(Recipes!$G$5:$G$204,MATCH(G143,Recipes!$A$5:$A$204,0)),0))</f>
        <v>0</v>
      </c>
      <c r="T143" s="25">
        <f>IF(G143="","",IFERROR(INDEX(Recipes!$AD$5:$AD$204,MATCH(G143,Recipes!$A$5:$A$204,0))*K143,""))</f>
        <v>0</v>
      </c>
      <c r="V143" s="30">
        <f>IF(G143="","",IFERROR(INDEX(Recipes!$AE$5:$AE$204,MATCH(G143,Recipes!$A$5:$A$204,0)),"Not found"))</f>
        <v>0</v>
      </c>
      <c r="W143" s="45">
        <f>IF(G143="","",IFERROR(INDEX(Recipes!$AF$5:$AF$204,MATCH(G143,Recipes!$A$5:$A$204,0)),"Not found"))</f>
        <v>0</v>
      </c>
      <c r="X143" s="45">
        <f>IF(G143="","",IFERROR(INDEX(Recipes!$AG$5:$AG$204,MATCH(G143,Recipes!$A$5:$A$204,0)),"Not found"))</f>
        <v>0</v>
      </c>
      <c r="Y143" s="45">
        <f>IF(G143="","",IFERROR(INDEX(Recipes!$AH$5:$AH$204,MATCH(G143,Recipes!$A$5:$A$204,0)),"Not found"))</f>
        <v>0</v>
      </c>
      <c r="Z143" s="45">
        <f>IF(G143="","",IFERROR(INDEX(Recipes!$AI$5:$AI$204,MATCH(G143,Recipes!$A$5:$A$204,0)),"Not found"))</f>
        <v>0</v>
      </c>
      <c r="AA143" s="30">
        <f>IF(OR(V143="",NOT(ISNUMBER(V143))),"",V143*K143)</f>
        <v>0</v>
      </c>
      <c r="AB143" s="18">
        <f>IF(G143="","",IFERROR(INDEX(Recipes!$J$5:$J$204,MATCH(G143,Recipes!$A$5:$A$204,0)),"Not found"))</f>
        <v>0</v>
      </c>
      <c r="AC143" s="17">
        <f>IF(G143="","",IFERROR(INDEX(Recipes!$C$5:$C$204,MATCH(G143,Recipes!$A$5:$A$204,0)),"Not found"))</f>
        <v>0</v>
      </c>
      <c r="AD143" s="46">
        <f>IF(B143="","",IF(G143&lt;&gt;"","Yes",IF(OR(I143="",ISNUMBER(SEARCH("takeaway",I143)),ISNUMBER(SEARCH("out",I143))),"No","Yes")))</f>
        <v>0</v>
      </c>
      <c r="AE143" s="17">
        <f>IF(B143="","",TEXT(B143,"yyyy-mm-dd")&amp;"|"&amp;F143)</f>
        <v>0</v>
      </c>
      <c r="AF143" s="31">
        <f>IF(B143="","",IF(AND(G143="",I143=""),"Add - nothing planned yet",IF(COUNTIFS($AE$5:$AE$504,AE143)&gt;1,"Duplicate - two meals in one slot",IF(AND(G143&lt;&gt;"",H143="Not found"),"Missing - recipe ID not on the Recipes tab",IF(AND(B143&lt;TODAY(),OR(N143="Planned",N143="")),"Check - did you cook it?","OK")))))</f>
        <v>0</v>
      </c>
    </row>
    <row r="144" spans="1:32">
      <c r="A144" s="39">
        <f>IF(B144="","",MealPrefix&amp;TEXT(ROW()-4,"0000"))</f>
        <v>0</v>
      </c>
      <c r="C144" s="17">
        <f>IF(B144="","",TEXT(B144,"ddd"))</f>
        <v>0</v>
      </c>
      <c r="D144" s="18">
        <f>IF(B144="","",WEEKNUM(B144,IF(WeekStart="Sunday",1,2)))</f>
        <v>0</v>
      </c>
      <c r="E144" s="17">
        <f>IF(B144="","",TEXT(B144,"yyyy-mm"))</f>
        <v>0</v>
      </c>
      <c r="H144" s="17">
        <f>IF(G144&lt;&gt;"",IFERROR(INDEX(Recipes!$B$5:$B$204,MATCH(G144,Recipes!$A$5:$A$204,0)),"Not found"),I144)</f>
        <v>0</v>
      </c>
      <c r="K144" s="45">
        <f>IF(B144="","",IF(J144="",DefaultServings,J144))</f>
        <v>0</v>
      </c>
      <c r="L144" s="45">
        <f>IF(G144="",0,IFERROR(K144/INDEX(Recipes!$G$5:$G$204,MATCH(G144,Recipes!$A$5:$A$204,0)),0))</f>
        <v>0</v>
      </c>
      <c r="T144" s="25">
        <f>IF(G144="","",IFERROR(INDEX(Recipes!$AD$5:$AD$204,MATCH(G144,Recipes!$A$5:$A$204,0))*K144,""))</f>
        <v>0</v>
      </c>
      <c r="V144" s="30">
        <f>IF(G144="","",IFERROR(INDEX(Recipes!$AE$5:$AE$204,MATCH(G144,Recipes!$A$5:$A$204,0)),"Not found"))</f>
        <v>0</v>
      </c>
      <c r="W144" s="45">
        <f>IF(G144="","",IFERROR(INDEX(Recipes!$AF$5:$AF$204,MATCH(G144,Recipes!$A$5:$A$204,0)),"Not found"))</f>
        <v>0</v>
      </c>
      <c r="X144" s="45">
        <f>IF(G144="","",IFERROR(INDEX(Recipes!$AG$5:$AG$204,MATCH(G144,Recipes!$A$5:$A$204,0)),"Not found"))</f>
        <v>0</v>
      </c>
      <c r="Y144" s="45">
        <f>IF(G144="","",IFERROR(INDEX(Recipes!$AH$5:$AH$204,MATCH(G144,Recipes!$A$5:$A$204,0)),"Not found"))</f>
        <v>0</v>
      </c>
      <c r="Z144" s="45">
        <f>IF(G144="","",IFERROR(INDEX(Recipes!$AI$5:$AI$204,MATCH(G144,Recipes!$A$5:$A$204,0)),"Not found"))</f>
        <v>0</v>
      </c>
      <c r="AA144" s="30">
        <f>IF(OR(V144="",NOT(ISNUMBER(V144))),"",V144*K144)</f>
        <v>0</v>
      </c>
      <c r="AB144" s="18">
        <f>IF(G144="","",IFERROR(INDEX(Recipes!$J$5:$J$204,MATCH(G144,Recipes!$A$5:$A$204,0)),"Not found"))</f>
        <v>0</v>
      </c>
      <c r="AC144" s="17">
        <f>IF(G144="","",IFERROR(INDEX(Recipes!$C$5:$C$204,MATCH(G144,Recipes!$A$5:$A$204,0)),"Not found"))</f>
        <v>0</v>
      </c>
      <c r="AD144" s="46">
        <f>IF(B144="","",IF(G144&lt;&gt;"","Yes",IF(OR(I144="",ISNUMBER(SEARCH("takeaway",I144)),ISNUMBER(SEARCH("out",I144))),"No","Yes")))</f>
        <v>0</v>
      </c>
      <c r="AE144" s="17">
        <f>IF(B144="","",TEXT(B144,"yyyy-mm-dd")&amp;"|"&amp;F144)</f>
        <v>0</v>
      </c>
      <c r="AF144" s="31">
        <f>IF(B144="","",IF(AND(G144="",I144=""),"Add - nothing planned yet",IF(COUNTIFS($AE$5:$AE$504,AE144)&gt;1,"Duplicate - two meals in one slot",IF(AND(G144&lt;&gt;"",H144="Not found"),"Missing - recipe ID not on the Recipes tab",IF(AND(B144&lt;TODAY(),OR(N144="Planned",N144="")),"Check - did you cook it?","OK")))))</f>
        <v>0</v>
      </c>
    </row>
    <row r="145" spans="1:32">
      <c r="A145" s="39">
        <f>IF(B145="","",MealPrefix&amp;TEXT(ROW()-4,"0000"))</f>
        <v>0</v>
      </c>
      <c r="C145" s="17">
        <f>IF(B145="","",TEXT(B145,"ddd"))</f>
        <v>0</v>
      </c>
      <c r="D145" s="18">
        <f>IF(B145="","",WEEKNUM(B145,IF(WeekStart="Sunday",1,2)))</f>
        <v>0</v>
      </c>
      <c r="E145" s="17">
        <f>IF(B145="","",TEXT(B145,"yyyy-mm"))</f>
        <v>0</v>
      </c>
      <c r="H145" s="17">
        <f>IF(G145&lt;&gt;"",IFERROR(INDEX(Recipes!$B$5:$B$204,MATCH(G145,Recipes!$A$5:$A$204,0)),"Not found"),I145)</f>
        <v>0</v>
      </c>
      <c r="K145" s="45">
        <f>IF(B145="","",IF(J145="",DefaultServings,J145))</f>
        <v>0</v>
      </c>
      <c r="L145" s="45">
        <f>IF(G145="",0,IFERROR(K145/INDEX(Recipes!$G$5:$G$204,MATCH(G145,Recipes!$A$5:$A$204,0)),0))</f>
        <v>0</v>
      </c>
      <c r="T145" s="25">
        <f>IF(G145="","",IFERROR(INDEX(Recipes!$AD$5:$AD$204,MATCH(G145,Recipes!$A$5:$A$204,0))*K145,""))</f>
        <v>0</v>
      </c>
      <c r="V145" s="30">
        <f>IF(G145="","",IFERROR(INDEX(Recipes!$AE$5:$AE$204,MATCH(G145,Recipes!$A$5:$A$204,0)),"Not found"))</f>
        <v>0</v>
      </c>
      <c r="W145" s="45">
        <f>IF(G145="","",IFERROR(INDEX(Recipes!$AF$5:$AF$204,MATCH(G145,Recipes!$A$5:$A$204,0)),"Not found"))</f>
        <v>0</v>
      </c>
      <c r="X145" s="45">
        <f>IF(G145="","",IFERROR(INDEX(Recipes!$AG$5:$AG$204,MATCH(G145,Recipes!$A$5:$A$204,0)),"Not found"))</f>
        <v>0</v>
      </c>
      <c r="Y145" s="45">
        <f>IF(G145="","",IFERROR(INDEX(Recipes!$AH$5:$AH$204,MATCH(G145,Recipes!$A$5:$A$204,0)),"Not found"))</f>
        <v>0</v>
      </c>
      <c r="Z145" s="45">
        <f>IF(G145="","",IFERROR(INDEX(Recipes!$AI$5:$AI$204,MATCH(G145,Recipes!$A$5:$A$204,0)),"Not found"))</f>
        <v>0</v>
      </c>
      <c r="AA145" s="30">
        <f>IF(OR(V145="",NOT(ISNUMBER(V145))),"",V145*K145)</f>
        <v>0</v>
      </c>
      <c r="AB145" s="18">
        <f>IF(G145="","",IFERROR(INDEX(Recipes!$J$5:$J$204,MATCH(G145,Recipes!$A$5:$A$204,0)),"Not found"))</f>
        <v>0</v>
      </c>
      <c r="AC145" s="17">
        <f>IF(G145="","",IFERROR(INDEX(Recipes!$C$5:$C$204,MATCH(G145,Recipes!$A$5:$A$204,0)),"Not found"))</f>
        <v>0</v>
      </c>
      <c r="AD145" s="46">
        <f>IF(B145="","",IF(G145&lt;&gt;"","Yes",IF(OR(I145="",ISNUMBER(SEARCH("takeaway",I145)),ISNUMBER(SEARCH("out",I145))),"No","Yes")))</f>
        <v>0</v>
      </c>
      <c r="AE145" s="17">
        <f>IF(B145="","",TEXT(B145,"yyyy-mm-dd")&amp;"|"&amp;F145)</f>
        <v>0</v>
      </c>
      <c r="AF145" s="31">
        <f>IF(B145="","",IF(AND(G145="",I145=""),"Add - nothing planned yet",IF(COUNTIFS($AE$5:$AE$504,AE145)&gt;1,"Duplicate - two meals in one slot",IF(AND(G145&lt;&gt;"",H145="Not found"),"Missing - recipe ID not on the Recipes tab",IF(AND(B145&lt;TODAY(),OR(N145="Planned",N145="")),"Check - did you cook it?","OK")))))</f>
        <v>0</v>
      </c>
    </row>
    <row r="146" spans="1:32">
      <c r="A146" s="39">
        <f>IF(B146="","",MealPrefix&amp;TEXT(ROW()-4,"0000"))</f>
        <v>0</v>
      </c>
      <c r="C146" s="17">
        <f>IF(B146="","",TEXT(B146,"ddd"))</f>
        <v>0</v>
      </c>
      <c r="D146" s="18">
        <f>IF(B146="","",WEEKNUM(B146,IF(WeekStart="Sunday",1,2)))</f>
        <v>0</v>
      </c>
      <c r="E146" s="17">
        <f>IF(B146="","",TEXT(B146,"yyyy-mm"))</f>
        <v>0</v>
      </c>
      <c r="H146" s="17">
        <f>IF(G146&lt;&gt;"",IFERROR(INDEX(Recipes!$B$5:$B$204,MATCH(G146,Recipes!$A$5:$A$204,0)),"Not found"),I146)</f>
        <v>0</v>
      </c>
      <c r="K146" s="45">
        <f>IF(B146="","",IF(J146="",DefaultServings,J146))</f>
        <v>0</v>
      </c>
      <c r="L146" s="45">
        <f>IF(G146="",0,IFERROR(K146/INDEX(Recipes!$G$5:$G$204,MATCH(G146,Recipes!$A$5:$A$204,0)),0))</f>
        <v>0</v>
      </c>
      <c r="T146" s="25">
        <f>IF(G146="","",IFERROR(INDEX(Recipes!$AD$5:$AD$204,MATCH(G146,Recipes!$A$5:$A$204,0))*K146,""))</f>
        <v>0</v>
      </c>
      <c r="V146" s="30">
        <f>IF(G146="","",IFERROR(INDEX(Recipes!$AE$5:$AE$204,MATCH(G146,Recipes!$A$5:$A$204,0)),"Not found"))</f>
        <v>0</v>
      </c>
      <c r="W146" s="45">
        <f>IF(G146="","",IFERROR(INDEX(Recipes!$AF$5:$AF$204,MATCH(G146,Recipes!$A$5:$A$204,0)),"Not found"))</f>
        <v>0</v>
      </c>
      <c r="X146" s="45">
        <f>IF(G146="","",IFERROR(INDEX(Recipes!$AG$5:$AG$204,MATCH(G146,Recipes!$A$5:$A$204,0)),"Not found"))</f>
        <v>0</v>
      </c>
      <c r="Y146" s="45">
        <f>IF(G146="","",IFERROR(INDEX(Recipes!$AH$5:$AH$204,MATCH(G146,Recipes!$A$5:$A$204,0)),"Not found"))</f>
        <v>0</v>
      </c>
      <c r="Z146" s="45">
        <f>IF(G146="","",IFERROR(INDEX(Recipes!$AI$5:$AI$204,MATCH(G146,Recipes!$A$5:$A$204,0)),"Not found"))</f>
        <v>0</v>
      </c>
      <c r="AA146" s="30">
        <f>IF(OR(V146="",NOT(ISNUMBER(V146))),"",V146*K146)</f>
        <v>0</v>
      </c>
      <c r="AB146" s="18">
        <f>IF(G146="","",IFERROR(INDEX(Recipes!$J$5:$J$204,MATCH(G146,Recipes!$A$5:$A$204,0)),"Not found"))</f>
        <v>0</v>
      </c>
      <c r="AC146" s="17">
        <f>IF(G146="","",IFERROR(INDEX(Recipes!$C$5:$C$204,MATCH(G146,Recipes!$A$5:$A$204,0)),"Not found"))</f>
        <v>0</v>
      </c>
      <c r="AD146" s="46">
        <f>IF(B146="","",IF(G146&lt;&gt;"","Yes",IF(OR(I146="",ISNUMBER(SEARCH("takeaway",I146)),ISNUMBER(SEARCH("out",I146))),"No","Yes")))</f>
        <v>0</v>
      </c>
      <c r="AE146" s="17">
        <f>IF(B146="","",TEXT(B146,"yyyy-mm-dd")&amp;"|"&amp;F146)</f>
        <v>0</v>
      </c>
      <c r="AF146" s="31">
        <f>IF(B146="","",IF(AND(G146="",I146=""),"Add - nothing planned yet",IF(COUNTIFS($AE$5:$AE$504,AE146)&gt;1,"Duplicate - two meals in one slot",IF(AND(G146&lt;&gt;"",H146="Not found"),"Missing - recipe ID not on the Recipes tab",IF(AND(B146&lt;TODAY(),OR(N146="Planned",N146="")),"Check - did you cook it?","OK")))))</f>
        <v>0</v>
      </c>
    </row>
    <row r="147" spans="1:32">
      <c r="A147" s="39">
        <f>IF(B147="","",MealPrefix&amp;TEXT(ROW()-4,"0000"))</f>
        <v>0</v>
      </c>
      <c r="C147" s="17">
        <f>IF(B147="","",TEXT(B147,"ddd"))</f>
        <v>0</v>
      </c>
      <c r="D147" s="18">
        <f>IF(B147="","",WEEKNUM(B147,IF(WeekStart="Sunday",1,2)))</f>
        <v>0</v>
      </c>
      <c r="E147" s="17">
        <f>IF(B147="","",TEXT(B147,"yyyy-mm"))</f>
        <v>0</v>
      </c>
      <c r="H147" s="17">
        <f>IF(G147&lt;&gt;"",IFERROR(INDEX(Recipes!$B$5:$B$204,MATCH(G147,Recipes!$A$5:$A$204,0)),"Not found"),I147)</f>
        <v>0</v>
      </c>
      <c r="K147" s="45">
        <f>IF(B147="","",IF(J147="",DefaultServings,J147))</f>
        <v>0</v>
      </c>
      <c r="L147" s="45">
        <f>IF(G147="",0,IFERROR(K147/INDEX(Recipes!$G$5:$G$204,MATCH(G147,Recipes!$A$5:$A$204,0)),0))</f>
        <v>0</v>
      </c>
      <c r="T147" s="25">
        <f>IF(G147="","",IFERROR(INDEX(Recipes!$AD$5:$AD$204,MATCH(G147,Recipes!$A$5:$A$204,0))*K147,""))</f>
        <v>0</v>
      </c>
      <c r="V147" s="30">
        <f>IF(G147="","",IFERROR(INDEX(Recipes!$AE$5:$AE$204,MATCH(G147,Recipes!$A$5:$A$204,0)),"Not found"))</f>
        <v>0</v>
      </c>
      <c r="W147" s="45">
        <f>IF(G147="","",IFERROR(INDEX(Recipes!$AF$5:$AF$204,MATCH(G147,Recipes!$A$5:$A$204,0)),"Not found"))</f>
        <v>0</v>
      </c>
      <c r="X147" s="45">
        <f>IF(G147="","",IFERROR(INDEX(Recipes!$AG$5:$AG$204,MATCH(G147,Recipes!$A$5:$A$204,0)),"Not found"))</f>
        <v>0</v>
      </c>
      <c r="Y147" s="45">
        <f>IF(G147="","",IFERROR(INDEX(Recipes!$AH$5:$AH$204,MATCH(G147,Recipes!$A$5:$A$204,0)),"Not found"))</f>
        <v>0</v>
      </c>
      <c r="Z147" s="45">
        <f>IF(G147="","",IFERROR(INDEX(Recipes!$AI$5:$AI$204,MATCH(G147,Recipes!$A$5:$A$204,0)),"Not found"))</f>
        <v>0</v>
      </c>
      <c r="AA147" s="30">
        <f>IF(OR(V147="",NOT(ISNUMBER(V147))),"",V147*K147)</f>
        <v>0</v>
      </c>
      <c r="AB147" s="18">
        <f>IF(G147="","",IFERROR(INDEX(Recipes!$J$5:$J$204,MATCH(G147,Recipes!$A$5:$A$204,0)),"Not found"))</f>
        <v>0</v>
      </c>
      <c r="AC147" s="17">
        <f>IF(G147="","",IFERROR(INDEX(Recipes!$C$5:$C$204,MATCH(G147,Recipes!$A$5:$A$204,0)),"Not found"))</f>
        <v>0</v>
      </c>
      <c r="AD147" s="46">
        <f>IF(B147="","",IF(G147&lt;&gt;"","Yes",IF(OR(I147="",ISNUMBER(SEARCH("takeaway",I147)),ISNUMBER(SEARCH("out",I147))),"No","Yes")))</f>
        <v>0</v>
      </c>
      <c r="AE147" s="17">
        <f>IF(B147="","",TEXT(B147,"yyyy-mm-dd")&amp;"|"&amp;F147)</f>
        <v>0</v>
      </c>
      <c r="AF147" s="31">
        <f>IF(B147="","",IF(AND(G147="",I147=""),"Add - nothing planned yet",IF(COUNTIFS($AE$5:$AE$504,AE147)&gt;1,"Duplicate - two meals in one slot",IF(AND(G147&lt;&gt;"",H147="Not found"),"Missing - recipe ID not on the Recipes tab",IF(AND(B147&lt;TODAY(),OR(N147="Planned",N147="")),"Check - did you cook it?","OK")))))</f>
        <v>0</v>
      </c>
    </row>
    <row r="148" spans="1:32">
      <c r="A148" s="39">
        <f>IF(B148="","",MealPrefix&amp;TEXT(ROW()-4,"0000"))</f>
        <v>0</v>
      </c>
      <c r="C148" s="17">
        <f>IF(B148="","",TEXT(B148,"ddd"))</f>
        <v>0</v>
      </c>
      <c r="D148" s="18">
        <f>IF(B148="","",WEEKNUM(B148,IF(WeekStart="Sunday",1,2)))</f>
        <v>0</v>
      </c>
      <c r="E148" s="17">
        <f>IF(B148="","",TEXT(B148,"yyyy-mm"))</f>
        <v>0</v>
      </c>
      <c r="H148" s="17">
        <f>IF(G148&lt;&gt;"",IFERROR(INDEX(Recipes!$B$5:$B$204,MATCH(G148,Recipes!$A$5:$A$204,0)),"Not found"),I148)</f>
        <v>0</v>
      </c>
      <c r="K148" s="45">
        <f>IF(B148="","",IF(J148="",DefaultServings,J148))</f>
        <v>0</v>
      </c>
      <c r="L148" s="45">
        <f>IF(G148="",0,IFERROR(K148/INDEX(Recipes!$G$5:$G$204,MATCH(G148,Recipes!$A$5:$A$204,0)),0))</f>
        <v>0</v>
      </c>
      <c r="T148" s="25">
        <f>IF(G148="","",IFERROR(INDEX(Recipes!$AD$5:$AD$204,MATCH(G148,Recipes!$A$5:$A$204,0))*K148,""))</f>
        <v>0</v>
      </c>
      <c r="V148" s="30">
        <f>IF(G148="","",IFERROR(INDEX(Recipes!$AE$5:$AE$204,MATCH(G148,Recipes!$A$5:$A$204,0)),"Not found"))</f>
        <v>0</v>
      </c>
      <c r="W148" s="45">
        <f>IF(G148="","",IFERROR(INDEX(Recipes!$AF$5:$AF$204,MATCH(G148,Recipes!$A$5:$A$204,0)),"Not found"))</f>
        <v>0</v>
      </c>
      <c r="X148" s="45">
        <f>IF(G148="","",IFERROR(INDEX(Recipes!$AG$5:$AG$204,MATCH(G148,Recipes!$A$5:$A$204,0)),"Not found"))</f>
        <v>0</v>
      </c>
      <c r="Y148" s="45">
        <f>IF(G148="","",IFERROR(INDEX(Recipes!$AH$5:$AH$204,MATCH(G148,Recipes!$A$5:$A$204,0)),"Not found"))</f>
        <v>0</v>
      </c>
      <c r="Z148" s="45">
        <f>IF(G148="","",IFERROR(INDEX(Recipes!$AI$5:$AI$204,MATCH(G148,Recipes!$A$5:$A$204,0)),"Not found"))</f>
        <v>0</v>
      </c>
      <c r="AA148" s="30">
        <f>IF(OR(V148="",NOT(ISNUMBER(V148))),"",V148*K148)</f>
        <v>0</v>
      </c>
      <c r="AB148" s="18">
        <f>IF(G148="","",IFERROR(INDEX(Recipes!$J$5:$J$204,MATCH(G148,Recipes!$A$5:$A$204,0)),"Not found"))</f>
        <v>0</v>
      </c>
      <c r="AC148" s="17">
        <f>IF(G148="","",IFERROR(INDEX(Recipes!$C$5:$C$204,MATCH(G148,Recipes!$A$5:$A$204,0)),"Not found"))</f>
        <v>0</v>
      </c>
      <c r="AD148" s="46">
        <f>IF(B148="","",IF(G148&lt;&gt;"","Yes",IF(OR(I148="",ISNUMBER(SEARCH("takeaway",I148)),ISNUMBER(SEARCH("out",I148))),"No","Yes")))</f>
        <v>0</v>
      </c>
      <c r="AE148" s="17">
        <f>IF(B148="","",TEXT(B148,"yyyy-mm-dd")&amp;"|"&amp;F148)</f>
        <v>0</v>
      </c>
      <c r="AF148" s="31">
        <f>IF(B148="","",IF(AND(G148="",I148=""),"Add - nothing planned yet",IF(COUNTIFS($AE$5:$AE$504,AE148)&gt;1,"Duplicate - two meals in one slot",IF(AND(G148&lt;&gt;"",H148="Not found"),"Missing - recipe ID not on the Recipes tab",IF(AND(B148&lt;TODAY(),OR(N148="Planned",N148="")),"Check - did you cook it?","OK")))))</f>
        <v>0</v>
      </c>
    </row>
    <row r="149" spans="1:32">
      <c r="A149" s="39">
        <f>IF(B149="","",MealPrefix&amp;TEXT(ROW()-4,"0000"))</f>
        <v>0</v>
      </c>
      <c r="C149" s="17">
        <f>IF(B149="","",TEXT(B149,"ddd"))</f>
        <v>0</v>
      </c>
      <c r="D149" s="18">
        <f>IF(B149="","",WEEKNUM(B149,IF(WeekStart="Sunday",1,2)))</f>
        <v>0</v>
      </c>
      <c r="E149" s="17">
        <f>IF(B149="","",TEXT(B149,"yyyy-mm"))</f>
        <v>0</v>
      </c>
      <c r="H149" s="17">
        <f>IF(G149&lt;&gt;"",IFERROR(INDEX(Recipes!$B$5:$B$204,MATCH(G149,Recipes!$A$5:$A$204,0)),"Not found"),I149)</f>
        <v>0</v>
      </c>
      <c r="K149" s="45">
        <f>IF(B149="","",IF(J149="",DefaultServings,J149))</f>
        <v>0</v>
      </c>
      <c r="L149" s="45">
        <f>IF(G149="",0,IFERROR(K149/INDEX(Recipes!$G$5:$G$204,MATCH(G149,Recipes!$A$5:$A$204,0)),0))</f>
        <v>0</v>
      </c>
      <c r="T149" s="25">
        <f>IF(G149="","",IFERROR(INDEX(Recipes!$AD$5:$AD$204,MATCH(G149,Recipes!$A$5:$A$204,0))*K149,""))</f>
        <v>0</v>
      </c>
      <c r="V149" s="30">
        <f>IF(G149="","",IFERROR(INDEX(Recipes!$AE$5:$AE$204,MATCH(G149,Recipes!$A$5:$A$204,0)),"Not found"))</f>
        <v>0</v>
      </c>
      <c r="W149" s="45">
        <f>IF(G149="","",IFERROR(INDEX(Recipes!$AF$5:$AF$204,MATCH(G149,Recipes!$A$5:$A$204,0)),"Not found"))</f>
        <v>0</v>
      </c>
      <c r="X149" s="45">
        <f>IF(G149="","",IFERROR(INDEX(Recipes!$AG$5:$AG$204,MATCH(G149,Recipes!$A$5:$A$204,0)),"Not found"))</f>
        <v>0</v>
      </c>
      <c r="Y149" s="45">
        <f>IF(G149="","",IFERROR(INDEX(Recipes!$AH$5:$AH$204,MATCH(G149,Recipes!$A$5:$A$204,0)),"Not found"))</f>
        <v>0</v>
      </c>
      <c r="Z149" s="45">
        <f>IF(G149="","",IFERROR(INDEX(Recipes!$AI$5:$AI$204,MATCH(G149,Recipes!$A$5:$A$204,0)),"Not found"))</f>
        <v>0</v>
      </c>
      <c r="AA149" s="30">
        <f>IF(OR(V149="",NOT(ISNUMBER(V149))),"",V149*K149)</f>
        <v>0</v>
      </c>
      <c r="AB149" s="18">
        <f>IF(G149="","",IFERROR(INDEX(Recipes!$J$5:$J$204,MATCH(G149,Recipes!$A$5:$A$204,0)),"Not found"))</f>
        <v>0</v>
      </c>
      <c r="AC149" s="17">
        <f>IF(G149="","",IFERROR(INDEX(Recipes!$C$5:$C$204,MATCH(G149,Recipes!$A$5:$A$204,0)),"Not found"))</f>
        <v>0</v>
      </c>
      <c r="AD149" s="46">
        <f>IF(B149="","",IF(G149&lt;&gt;"","Yes",IF(OR(I149="",ISNUMBER(SEARCH("takeaway",I149)),ISNUMBER(SEARCH("out",I149))),"No","Yes")))</f>
        <v>0</v>
      </c>
      <c r="AE149" s="17">
        <f>IF(B149="","",TEXT(B149,"yyyy-mm-dd")&amp;"|"&amp;F149)</f>
        <v>0</v>
      </c>
      <c r="AF149" s="31">
        <f>IF(B149="","",IF(AND(G149="",I149=""),"Add - nothing planned yet",IF(COUNTIFS($AE$5:$AE$504,AE149)&gt;1,"Duplicate - two meals in one slot",IF(AND(G149&lt;&gt;"",H149="Not found"),"Missing - recipe ID not on the Recipes tab",IF(AND(B149&lt;TODAY(),OR(N149="Planned",N149="")),"Check - did you cook it?","OK")))))</f>
        <v>0</v>
      </c>
    </row>
    <row r="150" spans="1:32">
      <c r="A150" s="39">
        <f>IF(B150="","",MealPrefix&amp;TEXT(ROW()-4,"0000"))</f>
        <v>0</v>
      </c>
      <c r="C150" s="17">
        <f>IF(B150="","",TEXT(B150,"ddd"))</f>
        <v>0</v>
      </c>
      <c r="D150" s="18">
        <f>IF(B150="","",WEEKNUM(B150,IF(WeekStart="Sunday",1,2)))</f>
        <v>0</v>
      </c>
      <c r="E150" s="17">
        <f>IF(B150="","",TEXT(B150,"yyyy-mm"))</f>
        <v>0</v>
      </c>
      <c r="H150" s="17">
        <f>IF(G150&lt;&gt;"",IFERROR(INDEX(Recipes!$B$5:$B$204,MATCH(G150,Recipes!$A$5:$A$204,0)),"Not found"),I150)</f>
        <v>0</v>
      </c>
      <c r="K150" s="45">
        <f>IF(B150="","",IF(J150="",DefaultServings,J150))</f>
        <v>0</v>
      </c>
      <c r="L150" s="45">
        <f>IF(G150="",0,IFERROR(K150/INDEX(Recipes!$G$5:$G$204,MATCH(G150,Recipes!$A$5:$A$204,0)),0))</f>
        <v>0</v>
      </c>
      <c r="T150" s="25">
        <f>IF(G150="","",IFERROR(INDEX(Recipes!$AD$5:$AD$204,MATCH(G150,Recipes!$A$5:$A$204,0))*K150,""))</f>
        <v>0</v>
      </c>
      <c r="V150" s="30">
        <f>IF(G150="","",IFERROR(INDEX(Recipes!$AE$5:$AE$204,MATCH(G150,Recipes!$A$5:$A$204,0)),"Not found"))</f>
        <v>0</v>
      </c>
      <c r="W150" s="45">
        <f>IF(G150="","",IFERROR(INDEX(Recipes!$AF$5:$AF$204,MATCH(G150,Recipes!$A$5:$A$204,0)),"Not found"))</f>
        <v>0</v>
      </c>
      <c r="X150" s="45">
        <f>IF(G150="","",IFERROR(INDEX(Recipes!$AG$5:$AG$204,MATCH(G150,Recipes!$A$5:$A$204,0)),"Not found"))</f>
        <v>0</v>
      </c>
      <c r="Y150" s="45">
        <f>IF(G150="","",IFERROR(INDEX(Recipes!$AH$5:$AH$204,MATCH(G150,Recipes!$A$5:$A$204,0)),"Not found"))</f>
        <v>0</v>
      </c>
      <c r="Z150" s="45">
        <f>IF(G150="","",IFERROR(INDEX(Recipes!$AI$5:$AI$204,MATCH(G150,Recipes!$A$5:$A$204,0)),"Not found"))</f>
        <v>0</v>
      </c>
      <c r="AA150" s="30">
        <f>IF(OR(V150="",NOT(ISNUMBER(V150))),"",V150*K150)</f>
        <v>0</v>
      </c>
      <c r="AB150" s="18">
        <f>IF(G150="","",IFERROR(INDEX(Recipes!$J$5:$J$204,MATCH(G150,Recipes!$A$5:$A$204,0)),"Not found"))</f>
        <v>0</v>
      </c>
      <c r="AC150" s="17">
        <f>IF(G150="","",IFERROR(INDEX(Recipes!$C$5:$C$204,MATCH(G150,Recipes!$A$5:$A$204,0)),"Not found"))</f>
        <v>0</v>
      </c>
      <c r="AD150" s="46">
        <f>IF(B150="","",IF(G150&lt;&gt;"","Yes",IF(OR(I150="",ISNUMBER(SEARCH("takeaway",I150)),ISNUMBER(SEARCH("out",I150))),"No","Yes")))</f>
        <v>0</v>
      </c>
      <c r="AE150" s="17">
        <f>IF(B150="","",TEXT(B150,"yyyy-mm-dd")&amp;"|"&amp;F150)</f>
        <v>0</v>
      </c>
      <c r="AF150" s="31">
        <f>IF(B150="","",IF(AND(G150="",I150=""),"Add - nothing planned yet",IF(COUNTIFS($AE$5:$AE$504,AE150)&gt;1,"Duplicate - two meals in one slot",IF(AND(G150&lt;&gt;"",H150="Not found"),"Missing - recipe ID not on the Recipes tab",IF(AND(B150&lt;TODAY(),OR(N150="Planned",N150="")),"Check - did you cook it?","OK")))))</f>
        <v>0</v>
      </c>
    </row>
    <row r="151" spans="1:32">
      <c r="A151" s="39">
        <f>IF(B151="","",MealPrefix&amp;TEXT(ROW()-4,"0000"))</f>
        <v>0</v>
      </c>
      <c r="C151" s="17">
        <f>IF(B151="","",TEXT(B151,"ddd"))</f>
        <v>0</v>
      </c>
      <c r="D151" s="18">
        <f>IF(B151="","",WEEKNUM(B151,IF(WeekStart="Sunday",1,2)))</f>
        <v>0</v>
      </c>
      <c r="E151" s="17">
        <f>IF(B151="","",TEXT(B151,"yyyy-mm"))</f>
        <v>0</v>
      </c>
      <c r="H151" s="17">
        <f>IF(G151&lt;&gt;"",IFERROR(INDEX(Recipes!$B$5:$B$204,MATCH(G151,Recipes!$A$5:$A$204,0)),"Not found"),I151)</f>
        <v>0</v>
      </c>
      <c r="K151" s="45">
        <f>IF(B151="","",IF(J151="",DefaultServings,J151))</f>
        <v>0</v>
      </c>
      <c r="L151" s="45">
        <f>IF(G151="",0,IFERROR(K151/INDEX(Recipes!$G$5:$G$204,MATCH(G151,Recipes!$A$5:$A$204,0)),0))</f>
        <v>0</v>
      </c>
      <c r="T151" s="25">
        <f>IF(G151="","",IFERROR(INDEX(Recipes!$AD$5:$AD$204,MATCH(G151,Recipes!$A$5:$A$204,0))*K151,""))</f>
        <v>0</v>
      </c>
      <c r="V151" s="30">
        <f>IF(G151="","",IFERROR(INDEX(Recipes!$AE$5:$AE$204,MATCH(G151,Recipes!$A$5:$A$204,0)),"Not found"))</f>
        <v>0</v>
      </c>
      <c r="W151" s="45">
        <f>IF(G151="","",IFERROR(INDEX(Recipes!$AF$5:$AF$204,MATCH(G151,Recipes!$A$5:$A$204,0)),"Not found"))</f>
        <v>0</v>
      </c>
      <c r="X151" s="45">
        <f>IF(G151="","",IFERROR(INDEX(Recipes!$AG$5:$AG$204,MATCH(G151,Recipes!$A$5:$A$204,0)),"Not found"))</f>
        <v>0</v>
      </c>
      <c r="Y151" s="45">
        <f>IF(G151="","",IFERROR(INDEX(Recipes!$AH$5:$AH$204,MATCH(G151,Recipes!$A$5:$A$204,0)),"Not found"))</f>
        <v>0</v>
      </c>
      <c r="Z151" s="45">
        <f>IF(G151="","",IFERROR(INDEX(Recipes!$AI$5:$AI$204,MATCH(G151,Recipes!$A$5:$A$204,0)),"Not found"))</f>
        <v>0</v>
      </c>
      <c r="AA151" s="30">
        <f>IF(OR(V151="",NOT(ISNUMBER(V151))),"",V151*K151)</f>
        <v>0</v>
      </c>
      <c r="AB151" s="18">
        <f>IF(G151="","",IFERROR(INDEX(Recipes!$J$5:$J$204,MATCH(G151,Recipes!$A$5:$A$204,0)),"Not found"))</f>
        <v>0</v>
      </c>
      <c r="AC151" s="17">
        <f>IF(G151="","",IFERROR(INDEX(Recipes!$C$5:$C$204,MATCH(G151,Recipes!$A$5:$A$204,0)),"Not found"))</f>
        <v>0</v>
      </c>
      <c r="AD151" s="46">
        <f>IF(B151="","",IF(G151&lt;&gt;"","Yes",IF(OR(I151="",ISNUMBER(SEARCH("takeaway",I151)),ISNUMBER(SEARCH("out",I151))),"No","Yes")))</f>
        <v>0</v>
      </c>
      <c r="AE151" s="17">
        <f>IF(B151="","",TEXT(B151,"yyyy-mm-dd")&amp;"|"&amp;F151)</f>
        <v>0</v>
      </c>
      <c r="AF151" s="31">
        <f>IF(B151="","",IF(AND(G151="",I151=""),"Add - nothing planned yet",IF(COUNTIFS($AE$5:$AE$504,AE151)&gt;1,"Duplicate - two meals in one slot",IF(AND(G151&lt;&gt;"",H151="Not found"),"Missing - recipe ID not on the Recipes tab",IF(AND(B151&lt;TODAY(),OR(N151="Planned",N151="")),"Check - did you cook it?","OK")))))</f>
        <v>0</v>
      </c>
    </row>
    <row r="152" spans="1:32">
      <c r="A152" s="39">
        <f>IF(B152="","",MealPrefix&amp;TEXT(ROW()-4,"0000"))</f>
        <v>0</v>
      </c>
      <c r="C152" s="17">
        <f>IF(B152="","",TEXT(B152,"ddd"))</f>
        <v>0</v>
      </c>
      <c r="D152" s="18">
        <f>IF(B152="","",WEEKNUM(B152,IF(WeekStart="Sunday",1,2)))</f>
        <v>0</v>
      </c>
      <c r="E152" s="17">
        <f>IF(B152="","",TEXT(B152,"yyyy-mm"))</f>
        <v>0</v>
      </c>
      <c r="H152" s="17">
        <f>IF(G152&lt;&gt;"",IFERROR(INDEX(Recipes!$B$5:$B$204,MATCH(G152,Recipes!$A$5:$A$204,0)),"Not found"),I152)</f>
        <v>0</v>
      </c>
      <c r="K152" s="45">
        <f>IF(B152="","",IF(J152="",DefaultServings,J152))</f>
        <v>0</v>
      </c>
      <c r="L152" s="45">
        <f>IF(G152="",0,IFERROR(K152/INDEX(Recipes!$G$5:$G$204,MATCH(G152,Recipes!$A$5:$A$204,0)),0))</f>
        <v>0</v>
      </c>
      <c r="T152" s="25">
        <f>IF(G152="","",IFERROR(INDEX(Recipes!$AD$5:$AD$204,MATCH(G152,Recipes!$A$5:$A$204,0))*K152,""))</f>
        <v>0</v>
      </c>
      <c r="V152" s="30">
        <f>IF(G152="","",IFERROR(INDEX(Recipes!$AE$5:$AE$204,MATCH(G152,Recipes!$A$5:$A$204,0)),"Not found"))</f>
        <v>0</v>
      </c>
      <c r="W152" s="45">
        <f>IF(G152="","",IFERROR(INDEX(Recipes!$AF$5:$AF$204,MATCH(G152,Recipes!$A$5:$A$204,0)),"Not found"))</f>
        <v>0</v>
      </c>
      <c r="X152" s="45">
        <f>IF(G152="","",IFERROR(INDEX(Recipes!$AG$5:$AG$204,MATCH(G152,Recipes!$A$5:$A$204,0)),"Not found"))</f>
        <v>0</v>
      </c>
      <c r="Y152" s="45">
        <f>IF(G152="","",IFERROR(INDEX(Recipes!$AH$5:$AH$204,MATCH(G152,Recipes!$A$5:$A$204,0)),"Not found"))</f>
        <v>0</v>
      </c>
      <c r="Z152" s="45">
        <f>IF(G152="","",IFERROR(INDEX(Recipes!$AI$5:$AI$204,MATCH(G152,Recipes!$A$5:$A$204,0)),"Not found"))</f>
        <v>0</v>
      </c>
      <c r="AA152" s="30">
        <f>IF(OR(V152="",NOT(ISNUMBER(V152))),"",V152*K152)</f>
        <v>0</v>
      </c>
      <c r="AB152" s="18">
        <f>IF(G152="","",IFERROR(INDEX(Recipes!$J$5:$J$204,MATCH(G152,Recipes!$A$5:$A$204,0)),"Not found"))</f>
        <v>0</v>
      </c>
      <c r="AC152" s="17">
        <f>IF(G152="","",IFERROR(INDEX(Recipes!$C$5:$C$204,MATCH(G152,Recipes!$A$5:$A$204,0)),"Not found"))</f>
        <v>0</v>
      </c>
      <c r="AD152" s="46">
        <f>IF(B152="","",IF(G152&lt;&gt;"","Yes",IF(OR(I152="",ISNUMBER(SEARCH("takeaway",I152)),ISNUMBER(SEARCH("out",I152))),"No","Yes")))</f>
        <v>0</v>
      </c>
      <c r="AE152" s="17">
        <f>IF(B152="","",TEXT(B152,"yyyy-mm-dd")&amp;"|"&amp;F152)</f>
        <v>0</v>
      </c>
      <c r="AF152" s="31">
        <f>IF(B152="","",IF(AND(G152="",I152=""),"Add - nothing planned yet",IF(COUNTIFS($AE$5:$AE$504,AE152)&gt;1,"Duplicate - two meals in one slot",IF(AND(G152&lt;&gt;"",H152="Not found"),"Missing - recipe ID not on the Recipes tab",IF(AND(B152&lt;TODAY(),OR(N152="Planned",N152="")),"Check - did you cook it?","OK")))))</f>
        <v>0</v>
      </c>
    </row>
    <row r="153" spans="1:32">
      <c r="A153" s="39">
        <f>IF(B153="","",MealPrefix&amp;TEXT(ROW()-4,"0000"))</f>
        <v>0</v>
      </c>
      <c r="C153" s="17">
        <f>IF(B153="","",TEXT(B153,"ddd"))</f>
        <v>0</v>
      </c>
      <c r="D153" s="18">
        <f>IF(B153="","",WEEKNUM(B153,IF(WeekStart="Sunday",1,2)))</f>
        <v>0</v>
      </c>
      <c r="E153" s="17">
        <f>IF(B153="","",TEXT(B153,"yyyy-mm"))</f>
        <v>0</v>
      </c>
      <c r="H153" s="17">
        <f>IF(G153&lt;&gt;"",IFERROR(INDEX(Recipes!$B$5:$B$204,MATCH(G153,Recipes!$A$5:$A$204,0)),"Not found"),I153)</f>
        <v>0</v>
      </c>
      <c r="K153" s="45">
        <f>IF(B153="","",IF(J153="",DefaultServings,J153))</f>
        <v>0</v>
      </c>
      <c r="L153" s="45">
        <f>IF(G153="",0,IFERROR(K153/INDEX(Recipes!$G$5:$G$204,MATCH(G153,Recipes!$A$5:$A$204,0)),0))</f>
        <v>0</v>
      </c>
      <c r="T153" s="25">
        <f>IF(G153="","",IFERROR(INDEX(Recipes!$AD$5:$AD$204,MATCH(G153,Recipes!$A$5:$A$204,0))*K153,""))</f>
        <v>0</v>
      </c>
      <c r="V153" s="30">
        <f>IF(G153="","",IFERROR(INDEX(Recipes!$AE$5:$AE$204,MATCH(G153,Recipes!$A$5:$A$204,0)),"Not found"))</f>
        <v>0</v>
      </c>
      <c r="W153" s="45">
        <f>IF(G153="","",IFERROR(INDEX(Recipes!$AF$5:$AF$204,MATCH(G153,Recipes!$A$5:$A$204,0)),"Not found"))</f>
        <v>0</v>
      </c>
      <c r="X153" s="45">
        <f>IF(G153="","",IFERROR(INDEX(Recipes!$AG$5:$AG$204,MATCH(G153,Recipes!$A$5:$A$204,0)),"Not found"))</f>
        <v>0</v>
      </c>
      <c r="Y153" s="45">
        <f>IF(G153="","",IFERROR(INDEX(Recipes!$AH$5:$AH$204,MATCH(G153,Recipes!$A$5:$A$204,0)),"Not found"))</f>
        <v>0</v>
      </c>
      <c r="Z153" s="45">
        <f>IF(G153="","",IFERROR(INDEX(Recipes!$AI$5:$AI$204,MATCH(G153,Recipes!$A$5:$A$204,0)),"Not found"))</f>
        <v>0</v>
      </c>
      <c r="AA153" s="30">
        <f>IF(OR(V153="",NOT(ISNUMBER(V153))),"",V153*K153)</f>
        <v>0</v>
      </c>
      <c r="AB153" s="18">
        <f>IF(G153="","",IFERROR(INDEX(Recipes!$J$5:$J$204,MATCH(G153,Recipes!$A$5:$A$204,0)),"Not found"))</f>
        <v>0</v>
      </c>
      <c r="AC153" s="17">
        <f>IF(G153="","",IFERROR(INDEX(Recipes!$C$5:$C$204,MATCH(G153,Recipes!$A$5:$A$204,0)),"Not found"))</f>
        <v>0</v>
      </c>
      <c r="AD153" s="46">
        <f>IF(B153="","",IF(G153&lt;&gt;"","Yes",IF(OR(I153="",ISNUMBER(SEARCH("takeaway",I153)),ISNUMBER(SEARCH("out",I153))),"No","Yes")))</f>
        <v>0</v>
      </c>
      <c r="AE153" s="17">
        <f>IF(B153="","",TEXT(B153,"yyyy-mm-dd")&amp;"|"&amp;F153)</f>
        <v>0</v>
      </c>
      <c r="AF153" s="31">
        <f>IF(B153="","",IF(AND(G153="",I153=""),"Add - nothing planned yet",IF(COUNTIFS($AE$5:$AE$504,AE153)&gt;1,"Duplicate - two meals in one slot",IF(AND(G153&lt;&gt;"",H153="Not found"),"Missing - recipe ID not on the Recipes tab",IF(AND(B153&lt;TODAY(),OR(N153="Planned",N153="")),"Check - did you cook it?","OK")))))</f>
        <v>0</v>
      </c>
    </row>
    <row r="154" spans="1:32">
      <c r="A154" s="39">
        <f>IF(B154="","",MealPrefix&amp;TEXT(ROW()-4,"0000"))</f>
        <v>0</v>
      </c>
      <c r="C154" s="17">
        <f>IF(B154="","",TEXT(B154,"ddd"))</f>
        <v>0</v>
      </c>
      <c r="D154" s="18">
        <f>IF(B154="","",WEEKNUM(B154,IF(WeekStart="Sunday",1,2)))</f>
        <v>0</v>
      </c>
      <c r="E154" s="17">
        <f>IF(B154="","",TEXT(B154,"yyyy-mm"))</f>
        <v>0</v>
      </c>
      <c r="H154" s="17">
        <f>IF(G154&lt;&gt;"",IFERROR(INDEX(Recipes!$B$5:$B$204,MATCH(G154,Recipes!$A$5:$A$204,0)),"Not found"),I154)</f>
        <v>0</v>
      </c>
      <c r="K154" s="45">
        <f>IF(B154="","",IF(J154="",DefaultServings,J154))</f>
        <v>0</v>
      </c>
      <c r="L154" s="45">
        <f>IF(G154="",0,IFERROR(K154/INDEX(Recipes!$G$5:$G$204,MATCH(G154,Recipes!$A$5:$A$204,0)),0))</f>
        <v>0</v>
      </c>
      <c r="T154" s="25">
        <f>IF(G154="","",IFERROR(INDEX(Recipes!$AD$5:$AD$204,MATCH(G154,Recipes!$A$5:$A$204,0))*K154,""))</f>
        <v>0</v>
      </c>
      <c r="V154" s="30">
        <f>IF(G154="","",IFERROR(INDEX(Recipes!$AE$5:$AE$204,MATCH(G154,Recipes!$A$5:$A$204,0)),"Not found"))</f>
        <v>0</v>
      </c>
      <c r="W154" s="45">
        <f>IF(G154="","",IFERROR(INDEX(Recipes!$AF$5:$AF$204,MATCH(G154,Recipes!$A$5:$A$204,0)),"Not found"))</f>
        <v>0</v>
      </c>
      <c r="X154" s="45">
        <f>IF(G154="","",IFERROR(INDEX(Recipes!$AG$5:$AG$204,MATCH(G154,Recipes!$A$5:$A$204,0)),"Not found"))</f>
        <v>0</v>
      </c>
      <c r="Y154" s="45">
        <f>IF(G154="","",IFERROR(INDEX(Recipes!$AH$5:$AH$204,MATCH(G154,Recipes!$A$5:$A$204,0)),"Not found"))</f>
        <v>0</v>
      </c>
      <c r="Z154" s="45">
        <f>IF(G154="","",IFERROR(INDEX(Recipes!$AI$5:$AI$204,MATCH(G154,Recipes!$A$5:$A$204,0)),"Not found"))</f>
        <v>0</v>
      </c>
      <c r="AA154" s="30">
        <f>IF(OR(V154="",NOT(ISNUMBER(V154))),"",V154*K154)</f>
        <v>0</v>
      </c>
      <c r="AB154" s="18">
        <f>IF(G154="","",IFERROR(INDEX(Recipes!$J$5:$J$204,MATCH(G154,Recipes!$A$5:$A$204,0)),"Not found"))</f>
        <v>0</v>
      </c>
      <c r="AC154" s="17">
        <f>IF(G154="","",IFERROR(INDEX(Recipes!$C$5:$C$204,MATCH(G154,Recipes!$A$5:$A$204,0)),"Not found"))</f>
        <v>0</v>
      </c>
      <c r="AD154" s="46">
        <f>IF(B154="","",IF(G154&lt;&gt;"","Yes",IF(OR(I154="",ISNUMBER(SEARCH("takeaway",I154)),ISNUMBER(SEARCH("out",I154))),"No","Yes")))</f>
        <v>0</v>
      </c>
      <c r="AE154" s="17">
        <f>IF(B154="","",TEXT(B154,"yyyy-mm-dd")&amp;"|"&amp;F154)</f>
        <v>0</v>
      </c>
      <c r="AF154" s="31">
        <f>IF(B154="","",IF(AND(G154="",I154=""),"Add - nothing planned yet",IF(COUNTIFS($AE$5:$AE$504,AE154)&gt;1,"Duplicate - two meals in one slot",IF(AND(G154&lt;&gt;"",H154="Not found"),"Missing - recipe ID not on the Recipes tab",IF(AND(B154&lt;TODAY(),OR(N154="Planned",N154="")),"Check - did you cook it?","OK")))))</f>
        <v>0</v>
      </c>
    </row>
    <row r="155" spans="1:32">
      <c r="A155" s="39">
        <f>IF(B155="","",MealPrefix&amp;TEXT(ROW()-4,"0000"))</f>
        <v>0</v>
      </c>
      <c r="C155" s="17">
        <f>IF(B155="","",TEXT(B155,"ddd"))</f>
        <v>0</v>
      </c>
      <c r="D155" s="18">
        <f>IF(B155="","",WEEKNUM(B155,IF(WeekStart="Sunday",1,2)))</f>
        <v>0</v>
      </c>
      <c r="E155" s="17">
        <f>IF(B155="","",TEXT(B155,"yyyy-mm"))</f>
        <v>0</v>
      </c>
      <c r="H155" s="17">
        <f>IF(G155&lt;&gt;"",IFERROR(INDEX(Recipes!$B$5:$B$204,MATCH(G155,Recipes!$A$5:$A$204,0)),"Not found"),I155)</f>
        <v>0</v>
      </c>
      <c r="K155" s="45">
        <f>IF(B155="","",IF(J155="",DefaultServings,J155))</f>
        <v>0</v>
      </c>
      <c r="L155" s="45">
        <f>IF(G155="",0,IFERROR(K155/INDEX(Recipes!$G$5:$G$204,MATCH(G155,Recipes!$A$5:$A$204,0)),0))</f>
        <v>0</v>
      </c>
      <c r="T155" s="25">
        <f>IF(G155="","",IFERROR(INDEX(Recipes!$AD$5:$AD$204,MATCH(G155,Recipes!$A$5:$A$204,0))*K155,""))</f>
        <v>0</v>
      </c>
      <c r="V155" s="30">
        <f>IF(G155="","",IFERROR(INDEX(Recipes!$AE$5:$AE$204,MATCH(G155,Recipes!$A$5:$A$204,0)),"Not found"))</f>
        <v>0</v>
      </c>
      <c r="W155" s="45">
        <f>IF(G155="","",IFERROR(INDEX(Recipes!$AF$5:$AF$204,MATCH(G155,Recipes!$A$5:$A$204,0)),"Not found"))</f>
        <v>0</v>
      </c>
      <c r="X155" s="45">
        <f>IF(G155="","",IFERROR(INDEX(Recipes!$AG$5:$AG$204,MATCH(G155,Recipes!$A$5:$A$204,0)),"Not found"))</f>
        <v>0</v>
      </c>
      <c r="Y155" s="45">
        <f>IF(G155="","",IFERROR(INDEX(Recipes!$AH$5:$AH$204,MATCH(G155,Recipes!$A$5:$A$204,0)),"Not found"))</f>
        <v>0</v>
      </c>
      <c r="Z155" s="45">
        <f>IF(G155="","",IFERROR(INDEX(Recipes!$AI$5:$AI$204,MATCH(G155,Recipes!$A$5:$A$204,0)),"Not found"))</f>
        <v>0</v>
      </c>
      <c r="AA155" s="30">
        <f>IF(OR(V155="",NOT(ISNUMBER(V155))),"",V155*K155)</f>
        <v>0</v>
      </c>
      <c r="AB155" s="18">
        <f>IF(G155="","",IFERROR(INDEX(Recipes!$J$5:$J$204,MATCH(G155,Recipes!$A$5:$A$204,0)),"Not found"))</f>
        <v>0</v>
      </c>
      <c r="AC155" s="17">
        <f>IF(G155="","",IFERROR(INDEX(Recipes!$C$5:$C$204,MATCH(G155,Recipes!$A$5:$A$204,0)),"Not found"))</f>
        <v>0</v>
      </c>
      <c r="AD155" s="46">
        <f>IF(B155="","",IF(G155&lt;&gt;"","Yes",IF(OR(I155="",ISNUMBER(SEARCH("takeaway",I155)),ISNUMBER(SEARCH("out",I155))),"No","Yes")))</f>
        <v>0</v>
      </c>
      <c r="AE155" s="17">
        <f>IF(B155="","",TEXT(B155,"yyyy-mm-dd")&amp;"|"&amp;F155)</f>
        <v>0</v>
      </c>
      <c r="AF155" s="31">
        <f>IF(B155="","",IF(AND(G155="",I155=""),"Add - nothing planned yet",IF(COUNTIFS($AE$5:$AE$504,AE155)&gt;1,"Duplicate - two meals in one slot",IF(AND(G155&lt;&gt;"",H155="Not found"),"Missing - recipe ID not on the Recipes tab",IF(AND(B155&lt;TODAY(),OR(N155="Planned",N155="")),"Check - did you cook it?","OK")))))</f>
        <v>0</v>
      </c>
    </row>
    <row r="156" spans="1:32">
      <c r="A156" s="39">
        <f>IF(B156="","",MealPrefix&amp;TEXT(ROW()-4,"0000"))</f>
        <v>0</v>
      </c>
      <c r="C156" s="17">
        <f>IF(B156="","",TEXT(B156,"ddd"))</f>
        <v>0</v>
      </c>
      <c r="D156" s="18">
        <f>IF(B156="","",WEEKNUM(B156,IF(WeekStart="Sunday",1,2)))</f>
        <v>0</v>
      </c>
      <c r="E156" s="17">
        <f>IF(B156="","",TEXT(B156,"yyyy-mm"))</f>
        <v>0</v>
      </c>
      <c r="H156" s="17">
        <f>IF(G156&lt;&gt;"",IFERROR(INDEX(Recipes!$B$5:$B$204,MATCH(G156,Recipes!$A$5:$A$204,0)),"Not found"),I156)</f>
        <v>0</v>
      </c>
      <c r="K156" s="45">
        <f>IF(B156="","",IF(J156="",DefaultServings,J156))</f>
        <v>0</v>
      </c>
      <c r="L156" s="45">
        <f>IF(G156="",0,IFERROR(K156/INDEX(Recipes!$G$5:$G$204,MATCH(G156,Recipes!$A$5:$A$204,0)),0))</f>
        <v>0</v>
      </c>
      <c r="T156" s="25">
        <f>IF(G156="","",IFERROR(INDEX(Recipes!$AD$5:$AD$204,MATCH(G156,Recipes!$A$5:$A$204,0))*K156,""))</f>
        <v>0</v>
      </c>
      <c r="V156" s="30">
        <f>IF(G156="","",IFERROR(INDEX(Recipes!$AE$5:$AE$204,MATCH(G156,Recipes!$A$5:$A$204,0)),"Not found"))</f>
        <v>0</v>
      </c>
      <c r="W156" s="45">
        <f>IF(G156="","",IFERROR(INDEX(Recipes!$AF$5:$AF$204,MATCH(G156,Recipes!$A$5:$A$204,0)),"Not found"))</f>
        <v>0</v>
      </c>
      <c r="X156" s="45">
        <f>IF(G156="","",IFERROR(INDEX(Recipes!$AG$5:$AG$204,MATCH(G156,Recipes!$A$5:$A$204,0)),"Not found"))</f>
        <v>0</v>
      </c>
      <c r="Y156" s="45">
        <f>IF(G156="","",IFERROR(INDEX(Recipes!$AH$5:$AH$204,MATCH(G156,Recipes!$A$5:$A$204,0)),"Not found"))</f>
        <v>0</v>
      </c>
      <c r="Z156" s="45">
        <f>IF(G156="","",IFERROR(INDEX(Recipes!$AI$5:$AI$204,MATCH(G156,Recipes!$A$5:$A$204,0)),"Not found"))</f>
        <v>0</v>
      </c>
      <c r="AA156" s="30">
        <f>IF(OR(V156="",NOT(ISNUMBER(V156))),"",V156*K156)</f>
        <v>0</v>
      </c>
      <c r="AB156" s="18">
        <f>IF(G156="","",IFERROR(INDEX(Recipes!$J$5:$J$204,MATCH(G156,Recipes!$A$5:$A$204,0)),"Not found"))</f>
        <v>0</v>
      </c>
      <c r="AC156" s="17">
        <f>IF(G156="","",IFERROR(INDEX(Recipes!$C$5:$C$204,MATCH(G156,Recipes!$A$5:$A$204,0)),"Not found"))</f>
        <v>0</v>
      </c>
      <c r="AD156" s="46">
        <f>IF(B156="","",IF(G156&lt;&gt;"","Yes",IF(OR(I156="",ISNUMBER(SEARCH("takeaway",I156)),ISNUMBER(SEARCH("out",I156))),"No","Yes")))</f>
        <v>0</v>
      </c>
      <c r="AE156" s="17">
        <f>IF(B156="","",TEXT(B156,"yyyy-mm-dd")&amp;"|"&amp;F156)</f>
        <v>0</v>
      </c>
      <c r="AF156" s="31">
        <f>IF(B156="","",IF(AND(G156="",I156=""),"Add - nothing planned yet",IF(COUNTIFS($AE$5:$AE$504,AE156)&gt;1,"Duplicate - two meals in one slot",IF(AND(G156&lt;&gt;"",H156="Not found"),"Missing - recipe ID not on the Recipes tab",IF(AND(B156&lt;TODAY(),OR(N156="Planned",N156="")),"Check - did you cook it?","OK")))))</f>
        <v>0</v>
      </c>
    </row>
    <row r="157" spans="1:32">
      <c r="A157" s="39">
        <f>IF(B157="","",MealPrefix&amp;TEXT(ROW()-4,"0000"))</f>
        <v>0</v>
      </c>
      <c r="C157" s="17">
        <f>IF(B157="","",TEXT(B157,"ddd"))</f>
        <v>0</v>
      </c>
      <c r="D157" s="18">
        <f>IF(B157="","",WEEKNUM(B157,IF(WeekStart="Sunday",1,2)))</f>
        <v>0</v>
      </c>
      <c r="E157" s="17">
        <f>IF(B157="","",TEXT(B157,"yyyy-mm"))</f>
        <v>0</v>
      </c>
      <c r="H157" s="17">
        <f>IF(G157&lt;&gt;"",IFERROR(INDEX(Recipes!$B$5:$B$204,MATCH(G157,Recipes!$A$5:$A$204,0)),"Not found"),I157)</f>
        <v>0</v>
      </c>
      <c r="K157" s="45">
        <f>IF(B157="","",IF(J157="",DefaultServings,J157))</f>
        <v>0</v>
      </c>
      <c r="L157" s="45">
        <f>IF(G157="",0,IFERROR(K157/INDEX(Recipes!$G$5:$G$204,MATCH(G157,Recipes!$A$5:$A$204,0)),0))</f>
        <v>0</v>
      </c>
      <c r="T157" s="25">
        <f>IF(G157="","",IFERROR(INDEX(Recipes!$AD$5:$AD$204,MATCH(G157,Recipes!$A$5:$A$204,0))*K157,""))</f>
        <v>0</v>
      </c>
      <c r="V157" s="30">
        <f>IF(G157="","",IFERROR(INDEX(Recipes!$AE$5:$AE$204,MATCH(G157,Recipes!$A$5:$A$204,0)),"Not found"))</f>
        <v>0</v>
      </c>
      <c r="W157" s="45">
        <f>IF(G157="","",IFERROR(INDEX(Recipes!$AF$5:$AF$204,MATCH(G157,Recipes!$A$5:$A$204,0)),"Not found"))</f>
        <v>0</v>
      </c>
      <c r="X157" s="45">
        <f>IF(G157="","",IFERROR(INDEX(Recipes!$AG$5:$AG$204,MATCH(G157,Recipes!$A$5:$A$204,0)),"Not found"))</f>
        <v>0</v>
      </c>
      <c r="Y157" s="45">
        <f>IF(G157="","",IFERROR(INDEX(Recipes!$AH$5:$AH$204,MATCH(G157,Recipes!$A$5:$A$204,0)),"Not found"))</f>
        <v>0</v>
      </c>
      <c r="Z157" s="45">
        <f>IF(G157="","",IFERROR(INDEX(Recipes!$AI$5:$AI$204,MATCH(G157,Recipes!$A$5:$A$204,0)),"Not found"))</f>
        <v>0</v>
      </c>
      <c r="AA157" s="30">
        <f>IF(OR(V157="",NOT(ISNUMBER(V157))),"",V157*K157)</f>
        <v>0</v>
      </c>
      <c r="AB157" s="18">
        <f>IF(G157="","",IFERROR(INDEX(Recipes!$J$5:$J$204,MATCH(G157,Recipes!$A$5:$A$204,0)),"Not found"))</f>
        <v>0</v>
      </c>
      <c r="AC157" s="17">
        <f>IF(G157="","",IFERROR(INDEX(Recipes!$C$5:$C$204,MATCH(G157,Recipes!$A$5:$A$204,0)),"Not found"))</f>
        <v>0</v>
      </c>
      <c r="AD157" s="46">
        <f>IF(B157="","",IF(G157&lt;&gt;"","Yes",IF(OR(I157="",ISNUMBER(SEARCH("takeaway",I157)),ISNUMBER(SEARCH("out",I157))),"No","Yes")))</f>
        <v>0</v>
      </c>
      <c r="AE157" s="17">
        <f>IF(B157="","",TEXT(B157,"yyyy-mm-dd")&amp;"|"&amp;F157)</f>
        <v>0</v>
      </c>
      <c r="AF157" s="31">
        <f>IF(B157="","",IF(AND(G157="",I157=""),"Add - nothing planned yet",IF(COUNTIFS($AE$5:$AE$504,AE157)&gt;1,"Duplicate - two meals in one slot",IF(AND(G157&lt;&gt;"",H157="Not found"),"Missing - recipe ID not on the Recipes tab",IF(AND(B157&lt;TODAY(),OR(N157="Planned",N157="")),"Check - did you cook it?","OK")))))</f>
        <v>0</v>
      </c>
    </row>
    <row r="158" spans="1:32">
      <c r="A158" s="39">
        <f>IF(B158="","",MealPrefix&amp;TEXT(ROW()-4,"0000"))</f>
        <v>0</v>
      </c>
      <c r="C158" s="17">
        <f>IF(B158="","",TEXT(B158,"ddd"))</f>
        <v>0</v>
      </c>
      <c r="D158" s="18">
        <f>IF(B158="","",WEEKNUM(B158,IF(WeekStart="Sunday",1,2)))</f>
        <v>0</v>
      </c>
      <c r="E158" s="17">
        <f>IF(B158="","",TEXT(B158,"yyyy-mm"))</f>
        <v>0</v>
      </c>
      <c r="H158" s="17">
        <f>IF(G158&lt;&gt;"",IFERROR(INDEX(Recipes!$B$5:$B$204,MATCH(G158,Recipes!$A$5:$A$204,0)),"Not found"),I158)</f>
        <v>0</v>
      </c>
      <c r="K158" s="45">
        <f>IF(B158="","",IF(J158="",DefaultServings,J158))</f>
        <v>0</v>
      </c>
      <c r="L158" s="45">
        <f>IF(G158="",0,IFERROR(K158/INDEX(Recipes!$G$5:$G$204,MATCH(G158,Recipes!$A$5:$A$204,0)),0))</f>
        <v>0</v>
      </c>
      <c r="T158" s="25">
        <f>IF(G158="","",IFERROR(INDEX(Recipes!$AD$5:$AD$204,MATCH(G158,Recipes!$A$5:$A$204,0))*K158,""))</f>
        <v>0</v>
      </c>
      <c r="V158" s="30">
        <f>IF(G158="","",IFERROR(INDEX(Recipes!$AE$5:$AE$204,MATCH(G158,Recipes!$A$5:$A$204,0)),"Not found"))</f>
        <v>0</v>
      </c>
      <c r="W158" s="45">
        <f>IF(G158="","",IFERROR(INDEX(Recipes!$AF$5:$AF$204,MATCH(G158,Recipes!$A$5:$A$204,0)),"Not found"))</f>
        <v>0</v>
      </c>
      <c r="X158" s="45">
        <f>IF(G158="","",IFERROR(INDEX(Recipes!$AG$5:$AG$204,MATCH(G158,Recipes!$A$5:$A$204,0)),"Not found"))</f>
        <v>0</v>
      </c>
      <c r="Y158" s="45">
        <f>IF(G158="","",IFERROR(INDEX(Recipes!$AH$5:$AH$204,MATCH(G158,Recipes!$A$5:$A$204,0)),"Not found"))</f>
        <v>0</v>
      </c>
      <c r="Z158" s="45">
        <f>IF(G158="","",IFERROR(INDEX(Recipes!$AI$5:$AI$204,MATCH(G158,Recipes!$A$5:$A$204,0)),"Not found"))</f>
        <v>0</v>
      </c>
      <c r="AA158" s="30">
        <f>IF(OR(V158="",NOT(ISNUMBER(V158))),"",V158*K158)</f>
        <v>0</v>
      </c>
      <c r="AB158" s="18">
        <f>IF(G158="","",IFERROR(INDEX(Recipes!$J$5:$J$204,MATCH(G158,Recipes!$A$5:$A$204,0)),"Not found"))</f>
        <v>0</v>
      </c>
      <c r="AC158" s="17">
        <f>IF(G158="","",IFERROR(INDEX(Recipes!$C$5:$C$204,MATCH(G158,Recipes!$A$5:$A$204,0)),"Not found"))</f>
        <v>0</v>
      </c>
      <c r="AD158" s="46">
        <f>IF(B158="","",IF(G158&lt;&gt;"","Yes",IF(OR(I158="",ISNUMBER(SEARCH("takeaway",I158)),ISNUMBER(SEARCH("out",I158))),"No","Yes")))</f>
        <v>0</v>
      </c>
      <c r="AE158" s="17">
        <f>IF(B158="","",TEXT(B158,"yyyy-mm-dd")&amp;"|"&amp;F158)</f>
        <v>0</v>
      </c>
      <c r="AF158" s="31">
        <f>IF(B158="","",IF(AND(G158="",I158=""),"Add - nothing planned yet",IF(COUNTIFS($AE$5:$AE$504,AE158)&gt;1,"Duplicate - two meals in one slot",IF(AND(G158&lt;&gt;"",H158="Not found"),"Missing - recipe ID not on the Recipes tab",IF(AND(B158&lt;TODAY(),OR(N158="Planned",N158="")),"Check - did you cook it?","OK")))))</f>
        <v>0</v>
      </c>
    </row>
    <row r="159" spans="1:32">
      <c r="A159" s="39">
        <f>IF(B159="","",MealPrefix&amp;TEXT(ROW()-4,"0000"))</f>
        <v>0</v>
      </c>
      <c r="C159" s="17">
        <f>IF(B159="","",TEXT(B159,"ddd"))</f>
        <v>0</v>
      </c>
      <c r="D159" s="18">
        <f>IF(B159="","",WEEKNUM(B159,IF(WeekStart="Sunday",1,2)))</f>
        <v>0</v>
      </c>
      <c r="E159" s="17">
        <f>IF(B159="","",TEXT(B159,"yyyy-mm"))</f>
        <v>0</v>
      </c>
      <c r="H159" s="17">
        <f>IF(G159&lt;&gt;"",IFERROR(INDEX(Recipes!$B$5:$B$204,MATCH(G159,Recipes!$A$5:$A$204,0)),"Not found"),I159)</f>
        <v>0</v>
      </c>
      <c r="K159" s="45">
        <f>IF(B159="","",IF(J159="",DefaultServings,J159))</f>
        <v>0</v>
      </c>
      <c r="L159" s="45">
        <f>IF(G159="",0,IFERROR(K159/INDEX(Recipes!$G$5:$G$204,MATCH(G159,Recipes!$A$5:$A$204,0)),0))</f>
        <v>0</v>
      </c>
      <c r="T159" s="25">
        <f>IF(G159="","",IFERROR(INDEX(Recipes!$AD$5:$AD$204,MATCH(G159,Recipes!$A$5:$A$204,0))*K159,""))</f>
        <v>0</v>
      </c>
      <c r="V159" s="30">
        <f>IF(G159="","",IFERROR(INDEX(Recipes!$AE$5:$AE$204,MATCH(G159,Recipes!$A$5:$A$204,0)),"Not found"))</f>
        <v>0</v>
      </c>
      <c r="W159" s="45">
        <f>IF(G159="","",IFERROR(INDEX(Recipes!$AF$5:$AF$204,MATCH(G159,Recipes!$A$5:$A$204,0)),"Not found"))</f>
        <v>0</v>
      </c>
      <c r="X159" s="45">
        <f>IF(G159="","",IFERROR(INDEX(Recipes!$AG$5:$AG$204,MATCH(G159,Recipes!$A$5:$A$204,0)),"Not found"))</f>
        <v>0</v>
      </c>
      <c r="Y159" s="45">
        <f>IF(G159="","",IFERROR(INDEX(Recipes!$AH$5:$AH$204,MATCH(G159,Recipes!$A$5:$A$204,0)),"Not found"))</f>
        <v>0</v>
      </c>
      <c r="Z159" s="45">
        <f>IF(G159="","",IFERROR(INDEX(Recipes!$AI$5:$AI$204,MATCH(G159,Recipes!$A$5:$A$204,0)),"Not found"))</f>
        <v>0</v>
      </c>
      <c r="AA159" s="30">
        <f>IF(OR(V159="",NOT(ISNUMBER(V159))),"",V159*K159)</f>
        <v>0</v>
      </c>
      <c r="AB159" s="18">
        <f>IF(G159="","",IFERROR(INDEX(Recipes!$J$5:$J$204,MATCH(G159,Recipes!$A$5:$A$204,0)),"Not found"))</f>
        <v>0</v>
      </c>
      <c r="AC159" s="17">
        <f>IF(G159="","",IFERROR(INDEX(Recipes!$C$5:$C$204,MATCH(G159,Recipes!$A$5:$A$204,0)),"Not found"))</f>
        <v>0</v>
      </c>
      <c r="AD159" s="46">
        <f>IF(B159="","",IF(G159&lt;&gt;"","Yes",IF(OR(I159="",ISNUMBER(SEARCH("takeaway",I159)),ISNUMBER(SEARCH("out",I159))),"No","Yes")))</f>
        <v>0</v>
      </c>
      <c r="AE159" s="17">
        <f>IF(B159="","",TEXT(B159,"yyyy-mm-dd")&amp;"|"&amp;F159)</f>
        <v>0</v>
      </c>
      <c r="AF159" s="31">
        <f>IF(B159="","",IF(AND(G159="",I159=""),"Add - nothing planned yet",IF(COUNTIFS($AE$5:$AE$504,AE159)&gt;1,"Duplicate - two meals in one slot",IF(AND(G159&lt;&gt;"",H159="Not found"),"Missing - recipe ID not on the Recipes tab",IF(AND(B159&lt;TODAY(),OR(N159="Planned",N159="")),"Check - did you cook it?","OK")))))</f>
        <v>0</v>
      </c>
    </row>
    <row r="160" spans="1:32">
      <c r="A160" s="39">
        <f>IF(B160="","",MealPrefix&amp;TEXT(ROW()-4,"0000"))</f>
        <v>0</v>
      </c>
      <c r="C160" s="17">
        <f>IF(B160="","",TEXT(B160,"ddd"))</f>
        <v>0</v>
      </c>
      <c r="D160" s="18">
        <f>IF(B160="","",WEEKNUM(B160,IF(WeekStart="Sunday",1,2)))</f>
        <v>0</v>
      </c>
      <c r="E160" s="17">
        <f>IF(B160="","",TEXT(B160,"yyyy-mm"))</f>
        <v>0</v>
      </c>
      <c r="H160" s="17">
        <f>IF(G160&lt;&gt;"",IFERROR(INDEX(Recipes!$B$5:$B$204,MATCH(G160,Recipes!$A$5:$A$204,0)),"Not found"),I160)</f>
        <v>0</v>
      </c>
      <c r="K160" s="45">
        <f>IF(B160="","",IF(J160="",DefaultServings,J160))</f>
        <v>0</v>
      </c>
      <c r="L160" s="45">
        <f>IF(G160="",0,IFERROR(K160/INDEX(Recipes!$G$5:$G$204,MATCH(G160,Recipes!$A$5:$A$204,0)),0))</f>
        <v>0</v>
      </c>
      <c r="T160" s="25">
        <f>IF(G160="","",IFERROR(INDEX(Recipes!$AD$5:$AD$204,MATCH(G160,Recipes!$A$5:$A$204,0))*K160,""))</f>
        <v>0</v>
      </c>
      <c r="V160" s="30">
        <f>IF(G160="","",IFERROR(INDEX(Recipes!$AE$5:$AE$204,MATCH(G160,Recipes!$A$5:$A$204,0)),"Not found"))</f>
        <v>0</v>
      </c>
      <c r="W160" s="45">
        <f>IF(G160="","",IFERROR(INDEX(Recipes!$AF$5:$AF$204,MATCH(G160,Recipes!$A$5:$A$204,0)),"Not found"))</f>
        <v>0</v>
      </c>
      <c r="X160" s="45">
        <f>IF(G160="","",IFERROR(INDEX(Recipes!$AG$5:$AG$204,MATCH(G160,Recipes!$A$5:$A$204,0)),"Not found"))</f>
        <v>0</v>
      </c>
      <c r="Y160" s="45">
        <f>IF(G160="","",IFERROR(INDEX(Recipes!$AH$5:$AH$204,MATCH(G160,Recipes!$A$5:$A$204,0)),"Not found"))</f>
        <v>0</v>
      </c>
      <c r="Z160" s="45">
        <f>IF(G160="","",IFERROR(INDEX(Recipes!$AI$5:$AI$204,MATCH(G160,Recipes!$A$5:$A$204,0)),"Not found"))</f>
        <v>0</v>
      </c>
      <c r="AA160" s="30">
        <f>IF(OR(V160="",NOT(ISNUMBER(V160))),"",V160*K160)</f>
        <v>0</v>
      </c>
      <c r="AB160" s="18">
        <f>IF(G160="","",IFERROR(INDEX(Recipes!$J$5:$J$204,MATCH(G160,Recipes!$A$5:$A$204,0)),"Not found"))</f>
        <v>0</v>
      </c>
      <c r="AC160" s="17">
        <f>IF(G160="","",IFERROR(INDEX(Recipes!$C$5:$C$204,MATCH(G160,Recipes!$A$5:$A$204,0)),"Not found"))</f>
        <v>0</v>
      </c>
      <c r="AD160" s="46">
        <f>IF(B160="","",IF(G160&lt;&gt;"","Yes",IF(OR(I160="",ISNUMBER(SEARCH("takeaway",I160)),ISNUMBER(SEARCH("out",I160))),"No","Yes")))</f>
        <v>0</v>
      </c>
      <c r="AE160" s="17">
        <f>IF(B160="","",TEXT(B160,"yyyy-mm-dd")&amp;"|"&amp;F160)</f>
        <v>0</v>
      </c>
      <c r="AF160" s="31">
        <f>IF(B160="","",IF(AND(G160="",I160=""),"Add - nothing planned yet",IF(COUNTIFS($AE$5:$AE$504,AE160)&gt;1,"Duplicate - two meals in one slot",IF(AND(G160&lt;&gt;"",H160="Not found"),"Missing - recipe ID not on the Recipes tab",IF(AND(B160&lt;TODAY(),OR(N160="Planned",N160="")),"Check - did you cook it?","OK")))))</f>
        <v>0</v>
      </c>
    </row>
    <row r="161" spans="1:32">
      <c r="A161" s="39">
        <f>IF(B161="","",MealPrefix&amp;TEXT(ROW()-4,"0000"))</f>
        <v>0</v>
      </c>
      <c r="C161" s="17">
        <f>IF(B161="","",TEXT(B161,"ddd"))</f>
        <v>0</v>
      </c>
      <c r="D161" s="18">
        <f>IF(B161="","",WEEKNUM(B161,IF(WeekStart="Sunday",1,2)))</f>
        <v>0</v>
      </c>
      <c r="E161" s="17">
        <f>IF(B161="","",TEXT(B161,"yyyy-mm"))</f>
        <v>0</v>
      </c>
      <c r="H161" s="17">
        <f>IF(G161&lt;&gt;"",IFERROR(INDEX(Recipes!$B$5:$B$204,MATCH(G161,Recipes!$A$5:$A$204,0)),"Not found"),I161)</f>
        <v>0</v>
      </c>
      <c r="K161" s="45">
        <f>IF(B161="","",IF(J161="",DefaultServings,J161))</f>
        <v>0</v>
      </c>
      <c r="L161" s="45">
        <f>IF(G161="",0,IFERROR(K161/INDEX(Recipes!$G$5:$G$204,MATCH(G161,Recipes!$A$5:$A$204,0)),0))</f>
        <v>0</v>
      </c>
      <c r="T161" s="25">
        <f>IF(G161="","",IFERROR(INDEX(Recipes!$AD$5:$AD$204,MATCH(G161,Recipes!$A$5:$A$204,0))*K161,""))</f>
        <v>0</v>
      </c>
      <c r="V161" s="30">
        <f>IF(G161="","",IFERROR(INDEX(Recipes!$AE$5:$AE$204,MATCH(G161,Recipes!$A$5:$A$204,0)),"Not found"))</f>
        <v>0</v>
      </c>
      <c r="W161" s="45">
        <f>IF(G161="","",IFERROR(INDEX(Recipes!$AF$5:$AF$204,MATCH(G161,Recipes!$A$5:$A$204,0)),"Not found"))</f>
        <v>0</v>
      </c>
      <c r="X161" s="45">
        <f>IF(G161="","",IFERROR(INDEX(Recipes!$AG$5:$AG$204,MATCH(G161,Recipes!$A$5:$A$204,0)),"Not found"))</f>
        <v>0</v>
      </c>
      <c r="Y161" s="45">
        <f>IF(G161="","",IFERROR(INDEX(Recipes!$AH$5:$AH$204,MATCH(G161,Recipes!$A$5:$A$204,0)),"Not found"))</f>
        <v>0</v>
      </c>
      <c r="Z161" s="45">
        <f>IF(G161="","",IFERROR(INDEX(Recipes!$AI$5:$AI$204,MATCH(G161,Recipes!$A$5:$A$204,0)),"Not found"))</f>
        <v>0</v>
      </c>
      <c r="AA161" s="30">
        <f>IF(OR(V161="",NOT(ISNUMBER(V161))),"",V161*K161)</f>
        <v>0</v>
      </c>
      <c r="AB161" s="18">
        <f>IF(G161="","",IFERROR(INDEX(Recipes!$J$5:$J$204,MATCH(G161,Recipes!$A$5:$A$204,0)),"Not found"))</f>
        <v>0</v>
      </c>
      <c r="AC161" s="17">
        <f>IF(G161="","",IFERROR(INDEX(Recipes!$C$5:$C$204,MATCH(G161,Recipes!$A$5:$A$204,0)),"Not found"))</f>
        <v>0</v>
      </c>
      <c r="AD161" s="46">
        <f>IF(B161="","",IF(G161&lt;&gt;"","Yes",IF(OR(I161="",ISNUMBER(SEARCH("takeaway",I161)),ISNUMBER(SEARCH("out",I161))),"No","Yes")))</f>
        <v>0</v>
      </c>
      <c r="AE161" s="17">
        <f>IF(B161="","",TEXT(B161,"yyyy-mm-dd")&amp;"|"&amp;F161)</f>
        <v>0</v>
      </c>
      <c r="AF161" s="31">
        <f>IF(B161="","",IF(AND(G161="",I161=""),"Add - nothing planned yet",IF(COUNTIFS($AE$5:$AE$504,AE161)&gt;1,"Duplicate - two meals in one slot",IF(AND(G161&lt;&gt;"",H161="Not found"),"Missing - recipe ID not on the Recipes tab",IF(AND(B161&lt;TODAY(),OR(N161="Planned",N161="")),"Check - did you cook it?","OK")))))</f>
        <v>0</v>
      </c>
    </row>
    <row r="162" spans="1:32">
      <c r="A162" s="39">
        <f>IF(B162="","",MealPrefix&amp;TEXT(ROW()-4,"0000"))</f>
        <v>0</v>
      </c>
      <c r="C162" s="17">
        <f>IF(B162="","",TEXT(B162,"ddd"))</f>
        <v>0</v>
      </c>
      <c r="D162" s="18">
        <f>IF(B162="","",WEEKNUM(B162,IF(WeekStart="Sunday",1,2)))</f>
        <v>0</v>
      </c>
      <c r="E162" s="17">
        <f>IF(B162="","",TEXT(B162,"yyyy-mm"))</f>
        <v>0</v>
      </c>
      <c r="H162" s="17">
        <f>IF(G162&lt;&gt;"",IFERROR(INDEX(Recipes!$B$5:$B$204,MATCH(G162,Recipes!$A$5:$A$204,0)),"Not found"),I162)</f>
        <v>0</v>
      </c>
      <c r="K162" s="45">
        <f>IF(B162="","",IF(J162="",DefaultServings,J162))</f>
        <v>0</v>
      </c>
      <c r="L162" s="45">
        <f>IF(G162="",0,IFERROR(K162/INDEX(Recipes!$G$5:$G$204,MATCH(G162,Recipes!$A$5:$A$204,0)),0))</f>
        <v>0</v>
      </c>
      <c r="T162" s="25">
        <f>IF(G162="","",IFERROR(INDEX(Recipes!$AD$5:$AD$204,MATCH(G162,Recipes!$A$5:$A$204,0))*K162,""))</f>
        <v>0</v>
      </c>
      <c r="V162" s="30">
        <f>IF(G162="","",IFERROR(INDEX(Recipes!$AE$5:$AE$204,MATCH(G162,Recipes!$A$5:$A$204,0)),"Not found"))</f>
        <v>0</v>
      </c>
      <c r="W162" s="45">
        <f>IF(G162="","",IFERROR(INDEX(Recipes!$AF$5:$AF$204,MATCH(G162,Recipes!$A$5:$A$204,0)),"Not found"))</f>
        <v>0</v>
      </c>
      <c r="X162" s="45">
        <f>IF(G162="","",IFERROR(INDEX(Recipes!$AG$5:$AG$204,MATCH(G162,Recipes!$A$5:$A$204,0)),"Not found"))</f>
        <v>0</v>
      </c>
      <c r="Y162" s="45">
        <f>IF(G162="","",IFERROR(INDEX(Recipes!$AH$5:$AH$204,MATCH(G162,Recipes!$A$5:$A$204,0)),"Not found"))</f>
        <v>0</v>
      </c>
      <c r="Z162" s="45">
        <f>IF(G162="","",IFERROR(INDEX(Recipes!$AI$5:$AI$204,MATCH(G162,Recipes!$A$5:$A$204,0)),"Not found"))</f>
        <v>0</v>
      </c>
      <c r="AA162" s="30">
        <f>IF(OR(V162="",NOT(ISNUMBER(V162))),"",V162*K162)</f>
        <v>0</v>
      </c>
      <c r="AB162" s="18">
        <f>IF(G162="","",IFERROR(INDEX(Recipes!$J$5:$J$204,MATCH(G162,Recipes!$A$5:$A$204,0)),"Not found"))</f>
        <v>0</v>
      </c>
      <c r="AC162" s="17">
        <f>IF(G162="","",IFERROR(INDEX(Recipes!$C$5:$C$204,MATCH(G162,Recipes!$A$5:$A$204,0)),"Not found"))</f>
        <v>0</v>
      </c>
      <c r="AD162" s="46">
        <f>IF(B162="","",IF(G162&lt;&gt;"","Yes",IF(OR(I162="",ISNUMBER(SEARCH("takeaway",I162)),ISNUMBER(SEARCH("out",I162))),"No","Yes")))</f>
        <v>0</v>
      </c>
      <c r="AE162" s="17">
        <f>IF(B162="","",TEXT(B162,"yyyy-mm-dd")&amp;"|"&amp;F162)</f>
        <v>0</v>
      </c>
      <c r="AF162" s="31">
        <f>IF(B162="","",IF(AND(G162="",I162=""),"Add - nothing planned yet",IF(COUNTIFS($AE$5:$AE$504,AE162)&gt;1,"Duplicate - two meals in one slot",IF(AND(G162&lt;&gt;"",H162="Not found"),"Missing - recipe ID not on the Recipes tab",IF(AND(B162&lt;TODAY(),OR(N162="Planned",N162="")),"Check - did you cook it?","OK")))))</f>
        <v>0</v>
      </c>
    </row>
    <row r="163" spans="1:32">
      <c r="A163" s="39">
        <f>IF(B163="","",MealPrefix&amp;TEXT(ROW()-4,"0000"))</f>
        <v>0</v>
      </c>
      <c r="C163" s="17">
        <f>IF(B163="","",TEXT(B163,"ddd"))</f>
        <v>0</v>
      </c>
      <c r="D163" s="18">
        <f>IF(B163="","",WEEKNUM(B163,IF(WeekStart="Sunday",1,2)))</f>
        <v>0</v>
      </c>
      <c r="E163" s="17">
        <f>IF(B163="","",TEXT(B163,"yyyy-mm"))</f>
        <v>0</v>
      </c>
      <c r="H163" s="17">
        <f>IF(G163&lt;&gt;"",IFERROR(INDEX(Recipes!$B$5:$B$204,MATCH(G163,Recipes!$A$5:$A$204,0)),"Not found"),I163)</f>
        <v>0</v>
      </c>
      <c r="K163" s="45">
        <f>IF(B163="","",IF(J163="",DefaultServings,J163))</f>
        <v>0</v>
      </c>
      <c r="L163" s="45">
        <f>IF(G163="",0,IFERROR(K163/INDEX(Recipes!$G$5:$G$204,MATCH(G163,Recipes!$A$5:$A$204,0)),0))</f>
        <v>0</v>
      </c>
      <c r="T163" s="25">
        <f>IF(G163="","",IFERROR(INDEX(Recipes!$AD$5:$AD$204,MATCH(G163,Recipes!$A$5:$A$204,0))*K163,""))</f>
        <v>0</v>
      </c>
      <c r="V163" s="30">
        <f>IF(G163="","",IFERROR(INDEX(Recipes!$AE$5:$AE$204,MATCH(G163,Recipes!$A$5:$A$204,0)),"Not found"))</f>
        <v>0</v>
      </c>
      <c r="W163" s="45">
        <f>IF(G163="","",IFERROR(INDEX(Recipes!$AF$5:$AF$204,MATCH(G163,Recipes!$A$5:$A$204,0)),"Not found"))</f>
        <v>0</v>
      </c>
      <c r="X163" s="45">
        <f>IF(G163="","",IFERROR(INDEX(Recipes!$AG$5:$AG$204,MATCH(G163,Recipes!$A$5:$A$204,0)),"Not found"))</f>
        <v>0</v>
      </c>
      <c r="Y163" s="45">
        <f>IF(G163="","",IFERROR(INDEX(Recipes!$AH$5:$AH$204,MATCH(G163,Recipes!$A$5:$A$204,0)),"Not found"))</f>
        <v>0</v>
      </c>
      <c r="Z163" s="45">
        <f>IF(G163="","",IFERROR(INDEX(Recipes!$AI$5:$AI$204,MATCH(G163,Recipes!$A$5:$A$204,0)),"Not found"))</f>
        <v>0</v>
      </c>
      <c r="AA163" s="30">
        <f>IF(OR(V163="",NOT(ISNUMBER(V163))),"",V163*K163)</f>
        <v>0</v>
      </c>
      <c r="AB163" s="18">
        <f>IF(G163="","",IFERROR(INDEX(Recipes!$J$5:$J$204,MATCH(G163,Recipes!$A$5:$A$204,0)),"Not found"))</f>
        <v>0</v>
      </c>
      <c r="AC163" s="17">
        <f>IF(G163="","",IFERROR(INDEX(Recipes!$C$5:$C$204,MATCH(G163,Recipes!$A$5:$A$204,0)),"Not found"))</f>
        <v>0</v>
      </c>
      <c r="AD163" s="46">
        <f>IF(B163="","",IF(G163&lt;&gt;"","Yes",IF(OR(I163="",ISNUMBER(SEARCH("takeaway",I163)),ISNUMBER(SEARCH("out",I163))),"No","Yes")))</f>
        <v>0</v>
      </c>
      <c r="AE163" s="17">
        <f>IF(B163="","",TEXT(B163,"yyyy-mm-dd")&amp;"|"&amp;F163)</f>
        <v>0</v>
      </c>
      <c r="AF163" s="31">
        <f>IF(B163="","",IF(AND(G163="",I163=""),"Add - nothing planned yet",IF(COUNTIFS($AE$5:$AE$504,AE163)&gt;1,"Duplicate - two meals in one slot",IF(AND(G163&lt;&gt;"",H163="Not found"),"Missing - recipe ID not on the Recipes tab",IF(AND(B163&lt;TODAY(),OR(N163="Planned",N163="")),"Check - did you cook it?","OK")))))</f>
        <v>0</v>
      </c>
    </row>
    <row r="164" spans="1:32">
      <c r="A164" s="39">
        <f>IF(B164="","",MealPrefix&amp;TEXT(ROW()-4,"0000"))</f>
        <v>0</v>
      </c>
      <c r="C164" s="17">
        <f>IF(B164="","",TEXT(B164,"ddd"))</f>
        <v>0</v>
      </c>
      <c r="D164" s="18">
        <f>IF(B164="","",WEEKNUM(B164,IF(WeekStart="Sunday",1,2)))</f>
        <v>0</v>
      </c>
      <c r="E164" s="17">
        <f>IF(B164="","",TEXT(B164,"yyyy-mm"))</f>
        <v>0</v>
      </c>
      <c r="H164" s="17">
        <f>IF(G164&lt;&gt;"",IFERROR(INDEX(Recipes!$B$5:$B$204,MATCH(G164,Recipes!$A$5:$A$204,0)),"Not found"),I164)</f>
        <v>0</v>
      </c>
      <c r="K164" s="45">
        <f>IF(B164="","",IF(J164="",DefaultServings,J164))</f>
        <v>0</v>
      </c>
      <c r="L164" s="45">
        <f>IF(G164="",0,IFERROR(K164/INDEX(Recipes!$G$5:$G$204,MATCH(G164,Recipes!$A$5:$A$204,0)),0))</f>
        <v>0</v>
      </c>
      <c r="T164" s="25">
        <f>IF(G164="","",IFERROR(INDEX(Recipes!$AD$5:$AD$204,MATCH(G164,Recipes!$A$5:$A$204,0))*K164,""))</f>
        <v>0</v>
      </c>
      <c r="V164" s="30">
        <f>IF(G164="","",IFERROR(INDEX(Recipes!$AE$5:$AE$204,MATCH(G164,Recipes!$A$5:$A$204,0)),"Not found"))</f>
        <v>0</v>
      </c>
      <c r="W164" s="45">
        <f>IF(G164="","",IFERROR(INDEX(Recipes!$AF$5:$AF$204,MATCH(G164,Recipes!$A$5:$A$204,0)),"Not found"))</f>
        <v>0</v>
      </c>
      <c r="X164" s="45">
        <f>IF(G164="","",IFERROR(INDEX(Recipes!$AG$5:$AG$204,MATCH(G164,Recipes!$A$5:$A$204,0)),"Not found"))</f>
        <v>0</v>
      </c>
      <c r="Y164" s="45">
        <f>IF(G164="","",IFERROR(INDEX(Recipes!$AH$5:$AH$204,MATCH(G164,Recipes!$A$5:$A$204,0)),"Not found"))</f>
        <v>0</v>
      </c>
      <c r="Z164" s="45">
        <f>IF(G164="","",IFERROR(INDEX(Recipes!$AI$5:$AI$204,MATCH(G164,Recipes!$A$5:$A$204,0)),"Not found"))</f>
        <v>0</v>
      </c>
      <c r="AA164" s="30">
        <f>IF(OR(V164="",NOT(ISNUMBER(V164))),"",V164*K164)</f>
        <v>0</v>
      </c>
      <c r="AB164" s="18">
        <f>IF(G164="","",IFERROR(INDEX(Recipes!$J$5:$J$204,MATCH(G164,Recipes!$A$5:$A$204,0)),"Not found"))</f>
        <v>0</v>
      </c>
      <c r="AC164" s="17">
        <f>IF(G164="","",IFERROR(INDEX(Recipes!$C$5:$C$204,MATCH(G164,Recipes!$A$5:$A$204,0)),"Not found"))</f>
        <v>0</v>
      </c>
      <c r="AD164" s="46">
        <f>IF(B164="","",IF(G164&lt;&gt;"","Yes",IF(OR(I164="",ISNUMBER(SEARCH("takeaway",I164)),ISNUMBER(SEARCH("out",I164))),"No","Yes")))</f>
        <v>0</v>
      </c>
      <c r="AE164" s="17">
        <f>IF(B164="","",TEXT(B164,"yyyy-mm-dd")&amp;"|"&amp;F164)</f>
        <v>0</v>
      </c>
      <c r="AF164" s="31">
        <f>IF(B164="","",IF(AND(G164="",I164=""),"Add - nothing planned yet",IF(COUNTIFS($AE$5:$AE$504,AE164)&gt;1,"Duplicate - two meals in one slot",IF(AND(G164&lt;&gt;"",H164="Not found"),"Missing - recipe ID not on the Recipes tab",IF(AND(B164&lt;TODAY(),OR(N164="Planned",N164="")),"Check - did you cook it?","OK")))))</f>
        <v>0</v>
      </c>
    </row>
    <row r="165" spans="1:32">
      <c r="A165" s="39">
        <f>IF(B165="","",MealPrefix&amp;TEXT(ROW()-4,"0000"))</f>
        <v>0</v>
      </c>
      <c r="C165" s="17">
        <f>IF(B165="","",TEXT(B165,"ddd"))</f>
        <v>0</v>
      </c>
      <c r="D165" s="18">
        <f>IF(B165="","",WEEKNUM(B165,IF(WeekStart="Sunday",1,2)))</f>
        <v>0</v>
      </c>
      <c r="E165" s="17">
        <f>IF(B165="","",TEXT(B165,"yyyy-mm"))</f>
        <v>0</v>
      </c>
      <c r="H165" s="17">
        <f>IF(G165&lt;&gt;"",IFERROR(INDEX(Recipes!$B$5:$B$204,MATCH(G165,Recipes!$A$5:$A$204,0)),"Not found"),I165)</f>
        <v>0</v>
      </c>
      <c r="K165" s="45">
        <f>IF(B165="","",IF(J165="",DefaultServings,J165))</f>
        <v>0</v>
      </c>
      <c r="L165" s="45">
        <f>IF(G165="",0,IFERROR(K165/INDEX(Recipes!$G$5:$G$204,MATCH(G165,Recipes!$A$5:$A$204,0)),0))</f>
        <v>0</v>
      </c>
      <c r="T165" s="25">
        <f>IF(G165="","",IFERROR(INDEX(Recipes!$AD$5:$AD$204,MATCH(G165,Recipes!$A$5:$A$204,0))*K165,""))</f>
        <v>0</v>
      </c>
      <c r="V165" s="30">
        <f>IF(G165="","",IFERROR(INDEX(Recipes!$AE$5:$AE$204,MATCH(G165,Recipes!$A$5:$A$204,0)),"Not found"))</f>
        <v>0</v>
      </c>
      <c r="W165" s="45">
        <f>IF(G165="","",IFERROR(INDEX(Recipes!$AF$5:$AF$204,MATCH(G165,Recipes!$A$5:$A$204,0)),"Not found"))</f>
        <v>0</v>
      </c>
      <c r="X165" s="45">
        <f>IF(G165="","",IFERROR(INDEX(Recipes!$AG$5:$AG$204,MATCH(G165,Recipes!$A$5:$A$204,0)),"Not found"))</f>
        <v>0</v>
      </c>
      <c r="Y165" s="45">
        <f>IF(G165="","",IFERROR(INDEX(Recipes!$AH$5:$AH$204,MATCH(G165,Recipes!$A$5:$A$204,0)),"Not found"))</f>
        <v>0</v>
      </c>
      <c r="Z165" s="45">
        <f>IF(G165="","",IFERROR(INDEX(Recipes!$AI$5:$AI$204,MATCH(G165,Recipes!$A$5:$A$204,0)),"Not found"))</f>
        <v>0</v>
      </c>
      <c r="AA165" s="30">
        <f>IF(OR(V165="",NOT(ISNUMBER(V165))),"",V165*K165)</f>
        <v>0</v>
      </c>
      <c r="AB165" s="18">
        <f>IF(G165="","",IFERROR(INDEX(Recipes!$J$5:$J$204,MATCH(G165,Recipes!$A$5:$A$204,0)),"Not found"))</f>
        <v>0</v>
      </c>
      <c r="AC165" s="17">
        <f>IF(G165="","",IFERROR(INDEX(Recipes!$C$5:$C$204,MATCH(G165,Recipes!$A$5:$A$204,0)),"Not found"))</f>
        <v>0</v>
      </c>
      <c r="AD165" s="46">
        <f>IF(B165="","",IF(G165&lt;&gt;"","Yes",IF(OR(I165="",ISNUMBER(SEARCH("takeaway",I165)),ISNUMBER(SEARCH("out",I165))),"No","Yes")))</f>
        <v>0</v>
      </c>
      <c r="AE165" s="17">
        <f>IF(B165="","",TEXT(B165,"yyyy-mm-dd")&amp;"|"&amp;F165)</f>
        <v>0</v>
      </c>
      <c r="AF165" s="31">
        <f>IF(B165="","",IF(AND(G165="",I165=""),"Add - nothing planned yet",IF(COUNTIFS($AE$5:$AE$504,AE165)&gt;1,"Duplicate - two meals in one slot",IF(AND(G165&lt;&gt;"",H165="Not found"),"Missing - recipe ID not on the Recipes tab",IF(AND(B165&lt;TODAY(),OR(N165="Planned",N165="")),"Check - did you cook it?","OK")))))</f>
        <v>0</v>
      </c>
    </row>
    <row r="166" spans="1:32">
      <c r="A166" s="39">
        <f>IF(B166="","",MealPrefix&amp;TEXT(ROW()-4,"0000"))</f>
        <v>0</v>
      </c>
      <c r="C166" s="17">
        <f>IF(B166="","",TEXT(B166,"ddd"))</f>
        <v>0</v>
      </c>
      <c r="D166" s="18">
        <f>IF(B166="","",WEEKNUM(B166,IF(WeekStart="Sunday",1,2)))</f>
        <v>0</v>
      </c>
      <c r="E166" s="17">
        <f>IF(B166="","",TEXT(B166,"yyyy-mm"))</f>
        <v>0</v>
      </c>
      <c r="H166" s="17">
        <f>IF(G166&lt;&gt;"",IFERROR(INDEX(Recipes!$B$5:$B$204,MATCH(G166,Recipes!$A$5:$A$204,0)),"Not found"),I166)</f>
        <v>0</v>
      </c>
      <c r="K166" s="45">
        <f>IF(B166="","",IF(J166="",DefaultServings,J166))</f>
        <v>0</v>
      </c>
      <c r="L166" s="45">
        <f>IF(G166="",0,IFERROR(K166/INDEX(Recipes!$G$5:$G$204,MATCH(G166,Recipes!$A$5:$A$204,0)),0))</f>
        <v>0</v>
      </c>
      <c r="T166" s="25">
        <f>IF(G166="","",IFERROR(INDEX(Recipes!$AD$5:$AD$204,MATCH(G166,Recipes!$A$5:$A$204,0))*K166,""))</f>
        <v>0</v>
      </c>
      <c r="V166" s="30">
        <f>IF(G166="","",IFERROR(INDEX(Recipes!$AE$5:$AE$204,MATCH(G166,Recipes!$A$5:$A$204,0)),"Not found"))</f>
        <v>0</v>
      </c>
      <c r="W166" s="45">
        <f>IF(G166="","",IFERROR(INDEX(Recipes!$AF$5:$AF$204,MATCH(G166,Recipes!$A$5:$A$204,0)),"Not found"))</f>
        <v>0</v>
      </c>
      <c r="X166" s="45">
        <f>IF(G166="","",IFERROR(INDEX(Recipes!$AG$5:$AG$204,MATCH(G166,Recipes!$A$5:$A$204,0)),"Not found"))</f>
        <v>0</v>
      </c>
      <c r="Y166" s="45">
        <f>IF(G166="","",IFERROR(INDEX(Recipes!$AH$5:$AH$204,MATCH(G166,Recipes!$A$5:$A$204,0)),"Not found"))</f>
        <v>0</v>
      </c>
      <c r="Z166" s="45">
        <f>IF(G166="","",IFERROR(INDEX(Recipes!$AI$5:$AI$204,MATCH(G166,Recipes!$A$5:$A$204,0)),"Not found"))</f>
        <v>0</v>
      </c>
      <c r="AA166" s="30">
        <f>IF(OR(V166="",NOT(ISNUMBER(V166))),"",V166*K166)</f>
        <v>0</v>
      </c>
      <c r="AB166" s="18">
        <f>IF(G166="","",IFERROR(INDEX(Recipes!$J$5:$J$204,MATCH(G166,Recipes!$A$5:$A$204,0)),"Not found"))</f>
        <v>0</v>
      </c>
      <c r="AC166" s="17">
        <f>IF(G166="","",IFERROR(INDEX(Recipes!$C$5:$C$204,MATCH(G166,Recipes!$A$5:$A$204,0)),"Not found"))</f>
        <v>0</v>
      </c>
      <c r="AD166" s="46">
        <f>IF(B166="","",IF(G166&lt;&gt;"","Yes",IF(OR(I166="",ISNUMBER(SEARCH("takeaway",I166)),ISNUMBER(SEARCH("out",I166))),"No","Yes")))</f>
        <v>0</v>
      </c>
      <c r="AE166" s="17">
        <f>IF(B166="","",TEXT(B166,"yyyy-mm-dd")&amp;"|"&amp;F166)</f>
        <v>0</v>
      </c>
      <c r="AF166" s="31">
        <f>IF(B166="","",IF(AND(G166="",I166=""),"Add - nothing planned yet",IF(COUNTIFS($AE$5:$AE$504,AE166)&gt;1,"Duplicate - two meals in one slot",IF(AND(G166&lt;&gt;"",H166="Not found"),"Missing - recipe ID not on the Recipes tab",IF(AND(B166&lt;TODAY(),OR(N166="Planned",N166="")),"Check - did you cook it?","OK")))))</f>
        <v>0</v>
      </c>
    </row>
    <row r="167" spans="1:32">
      <c r="A167" s="39">
        <f>IF(B167="","",MealPrefix&amp;TEXT(ROW()-4,"0000"))</f>
        <v>0</v>
      </c>
      <c r="C167" s="17">
        <f>IF(B167="","",TEXT(B167,"ddd"))</f>
        <v>0</v>
      </c>
      <c r="D167" s="18">
        <f>IF(B167="","",WEEKNUM(B167,IF(WeekStart="Sunday",1,2)))</f>
        <v>0</v>
      </c>
      <c r="E167" s="17">
        <f>IF(B167="","",TEXT(B167,"yyyy-mm"))</f>
        <v>0</v>
      </c>
      <c r="H167" s="17">
        <f>IF(G167&lt;&gt;"",IFERROR(INDEX(Recipes!$B$5:$B$204,MATCH(G167,Recipes!$A$5:$A$204,0)),"Not found"),I167)</f>
        <v>0</v>
      </c>
      <c r="K167" s="45">
        <f>IF(B167="","",IF(J167="",DefaultServings,J167))</f>
        <v>0</v>
      </c>
      <c r="L167" s="45">
        <f>IF(G167="",0,IFERROR(K167/INDEX(Recipes!$G$5:$G$204,MATCH(G167,Recipes!$A$5:$A$204,0)),0))</f>
        <v>0</v>
      </c>
      <c r="T167" s="25">
        <f>IF(G167="","",IFERROR(INDEX(Recipes!$AD$5:$AD$204,MATCH(G167,Recipes!$A$5:$A$204,0))*K167,""))</f>
        <v>0</v>
      </c>
      <c r="V167" s="30">
        <f>IF(G167="","",IFERROR(INDEX(Recipes!$AE$5:$AE$204,MATCH(G167,Recipes!$A$5:$A$204,0)),"Not found"))</f>
        <v>0</v>
      </c>
      <c r="W167" s="45">
        <f>IF(G167="","",IFERROR(INDEX(Recipes!$AF$5:$AF$204,MATCH(G167,Recipes!$A$5:$A$204,0)),"Not found"))</f>
        <v>0</v>
      </c>
      <c r="X167" s="45">
        <f>IF(G167="","",IFERROR(INDEX(Recipes!$AG$5:$AG$204,MATCH(G167,Recipes!$A$5:$A$204,0)),"Not found"))</f>
        <v>0</v>
      </c>
      <c r="Y167" s="45">
        <f>IF(G167="","",IFERROR(INDEX(Recipes!$AH$5:$AH$204,MATCH(G167,Recipes!$A$5:$A$204,0)),"Not found"))</f>
        <v>0</v>
      </c>
      <c r="Z167" s="45">
        <f>IF(G167="","",IFERROR(INDEX(Recipes!$AI$5:$AI$204,MATCH(G167,Recipes!$A$5:$A$204,0)),"Not found"))</f>
        <v>0</v>
      </c>
      <c r="AA167" s="30">
        <f>IF(OR(V167="",NOT(ISNUMBER(V167))),"",V167*K167)</f>
        <v>0</v>
      </c>
      <c r="AB167" s="18">
        <f>IF(G167="","",IFERROR(INDEX(Recipes!$J$5:$J$204,MATCH(G167,Recipes!$A$5:$A$204,0)),"Not found"))</f>
        <v>0</v>
      </c>
      <c r="AC167" s="17">
        <f>IF(G167="","",IFERROR(INDEX(Recipes!$C$5:$C$204,MATCH(G167,Recipes!$A$5:$A$204,0)),"Not found"))</f>
        <v>0</v>
      </c>
      <c r="AD167" s="46">
        <f>IF(B167="","",IF(G167&lt;&gt;"","Yes",IF(OR(I167="",ISNUMBER(SEARCH("takeaway",I167)),ISNUMBER(SEARCH("out",I167))),"No","Yes")))</f>
        <v>0</v>
      </c>
      <c r="AE167" s="17">
        <f>IF(B167="","",TEXT(B167,"yyyy-mm-dd")&amp;"|"&amp;F167)</f>
        <v>0</v>
      </c>
      <c r="AF167" s="31">
        <f>IF(B167="","",IF(AND(G167="",I167=""),"Add - nothing planned yet",IF(COUNTIFS($AE$5:$AE$504,AE167)&gt;1,"Duplicate - two meals in one slot",IF(AND(G167&lt;&gt;"",H167="Not found"),"Missing - recipe ID not on the Recipes tab",IF(AND(B167&lt;TODAY(),OR(N167="Planned",N167="")),"Check - did you cook it?","OK")))))</f>
        <v>0</v>
      </c>
    </row>
    <row r="168" spans="1:32">
      <c r="A168" s="39">
        <f>IF(B168="","",MealPrefix&amp;TEXT(ROW()-4,"0000"))</f>
        <v>0</v>
      </c>
      <c r="C168" s="17">
        <f>IF(B168="","",TEXT(B168,"ddd"))</f>
        <v>0</v>
      </c>
      <c r="D168" s="18">
        <f>IF(B168="","",WEEKNUM(B168,IF(WeekStart="Sunday",1,2)))</f>
        <v>0</v>
      </c>
      <c r="E168" s="17">
        <f>IF(B168="","",TEXT(B168,"yyyy-mm"))</f>
        <v>0</v>
      </c>
      <c r="H168" s="17">
        <f>IF(G168&lt;&gt;"",IFERROR(INDEX(Recipes!$B$5:$B$204,MATCH(G168,Recipes!$A$5:$A$204,0)),"Not found"),I168)</f>
        <v>0</v>
      </c>
      <c r="K168" s="45">
        <f>IF(B168="","",IF(J168="",DefaultServings,J168))</f>
        <v>0</v>
      </c>
      <c r="L168" s="45">
        <f>IF(G168="",0,IFERROR(K168/INDEX(Recipes!$G$5:$G$204,MATCH(G168,Recipes!$A$5:$A$204,0)),0))</f>
        <v>0</v>
      </c>
      <c r="T168" s="25">
        <f>IF(G168="","",IFERROR(INDEX(Recipes!$AD$5:$AD$204,MATCH(G168,Recipes!$A$5:$A$204,0))*K168,""))</f>
        <v>0</v>
      </c>
      <c r="V168" s="30">
        <f>IF(G168="","",IFERROR(INDEX(Recipes!$AE$5:$AE$204,MATCH(G168,Recipes!$A$5:$A$204,0)),"Not found"))</f>
        <v>0</v>
      </c>
      <c r="W168" s="45">
        <f>IF(G168="","",IFERROR(INDEX(Recipes!$AF$5:$AF$204,MATCH(G168,Recipes!$A$5:$A$204,0)),"Not found"))</f>
        <v>0</v>
      </c>
      <c r="X168" s="45">
        <f>IF(G168="","",IFERROR(INDEX(Recipes!$AG$5:$AG$204,MATCH(G168,Recipes!$A$5:$A$204,0)),"Not found"))</f>
        <v>0</v>
      </c>
      <c r="Y168" s="45">
        <f>IF(G168="","",IFERROR(INDEX(Recipes!$AH$5:$AH$204,MATCH(G168,Recipes!$A$5:$A$204,0)),"Not found"))</f>
        <v>0</v>
      </c>
      <c r="Z168" s="45">
        <f>IF(G168="","",IFERROR(INDEX(Recipes!$AI$5:$AI$204,MATCH(G168,Recipes!$A$5:$A$204,0)),"Not found"))</f>
        <v>0</v>
      </c>
      <c r="AA168" s="30">
        <f>IF(OR(V168="",NOT(ISNUMBER(V168))),"",V168*K168)</f>
        <v>0</v>
      </c>
      <c r="AB168" s="18">
        <f>IF(G168="","",IFERROR(INDEX(Recipes!$J$5:$J$204,MATCH(G168,Recipes!$A$5:$A$204,0)),"Not found"))</f>
        <v>0</v>
      </c>
      <c r="AC168" s="17">
        <f>IF(G168="","",IFERROR(INDEX(Recipes!$C$5:$C$204,MATCH(G168,Recipes!$A$5:$A$204,0)),"Not found"))</f>
        <v>0</v>
      </c>
      <c r="AD168" s="46">
        <f>IF(B168="","",IF(G168&lt;&gt;"","Yes",IF(OR(I168="",ISNUMBER(SEARCH("takeaway",I168)),ISNUMBER(SEARCH("out",I168))),"No","Yes")))</f>
        <v>0</v>
      </c>
      <c r="AE168" s="17">
        <f>IF(B168="","",TEXT(B168,"yyyy-mm-dd")&amp;"|"&amp;F168)</f>
        <v>0</v>
      </c>
      <c r="AF168" s="31">
        <f>IF(B168="","",IF(AND(G168="",I168=""),"Add - nothing planned yet",IF(COUNTIFS($AE$5:$AE$504,AE168)&gt;1,"Duplicate - two meals in one slot",IF(AND(G168&lt;&gt;"",H168="Not found"),"Missing - recipe ID not on the Recipes tab",IF(AND(B168&lt;TODAY(),OR(N168="Planned",N168="")),"Check - did you cook it?","OK")))))</f>
        <v>0</v>
      </c>
    </row>
    <row r="169" spans="1:32">
      <c r="A169" s="39">
        <f>IF(B169="","",MealPrefix&amp;TEXT(ROW()-4,"0000"))</f>
        <v>0</v>
      </c>
      <c r="C169" s="17">
        <f>IF(B169="","",TEXT(B169,"ddd"))</f>
        <v>0</v>
      </c>
      <c r="D169" s="18">
        <f>IF(B169="","",WEEKNUM(B169,IF(WeekStart="Sunday",1,2)))</f>
        <v>0</v>
      </c>
      <c r="E169" s="17">
        <f>IF(B169="","",TEXT(B169,"yyyy-mm"))</f>
        <v>0</v>
      </c>
      <c r="H169" s="17">
        <f>IF(G169&lt;&gt;"",IFERROR(INDEX(Recipes!$B$5:$B$204,MATCH(G169,Recipes!$A$5:$A$204,0)),"Not found"),I169)</f>
        <v>0</v>
      </c>
      <c r="K169" s="45">
        <f>IF(B169="","",IF(J169="",DefaultServings,J169))</f>
        <v>0</v>
      </c>
      <c r="L169" s="45">
        <f>IF(G169="",0,IFERROR(K169/INDEX(Recipes!$G$5:$G$204,MATCH(G169,Recipes!$A$5:$A$204,0)),0))</f>
        <v>0</v>
      </c>
      <c r="T169" s="25">
        <f>IF(G169="","",IFERROR(INDEX(Recipes!$AD$5:$AD$204,MATCH(G169,Recipes!$A$5:$A$204,0))*K169,""))</f>
        <v>0</v>
      </c>
      <c r="V169" s="30">
        <f>IF(G169="","",IFERROR(INDEX(Recipes!$AE$5:$AE$204,MATCH(G169,Recipes!$A$5:$A$204,0)),"Not found"))</f>
        <v>0</v>
      </c>
      <c r="W169" s="45">
        <f>IF(G169="","",IFERROR(INDEX(Recipes!$AF$5:$AF$204,MATCH(G169,Recipes!$A$5:$A$204,0)),"Not found"))</f>
        <v>0</v>
      </c>
      <c r="X169" s="45">
        <f>IF(G169="","",IFERROR(INDEX(Recipes!$AG$5:$AG$204,MATCH(G169,Recipes!$A$5:$A$204,0)),"Not found"))</f>
        <v>0</v>
      </c>
      <c r="Y169" s="45">
        <f>IF(G169="","",IFERROR(INDEX(Recipes!$AH$5:$AH$204,MATCH(G169,Recipes!$A$5:$A$204,0)),"Not found"))</f>
        <v>0</v>
      </c>
      <c r="Z169" s="45">
        <f>IF(G169="","",IFERROR(INDEX(Recipes!$AI$5:$AI$204,MATCH(G169,Recipes!$A$5:$A$204,0)),"Not found"))</f>
        <v>0</v>
      </c>
      <c r="AA169" s="30">
        <f>IF(OR(V169="",NOT(ISNUMBER(V169))),"",V169*K169)</f>
        <v>0</v>
      </c>
      <c r="AB169" s="18">
        <f>IF(G169="","",IFERROR(INDEX(Recipes!$J$5:$J$204,MATCH(G169,Recipes!$A$5:$A$204,0)),"Not found"))</f>
        <v>0</v>
      </c>
      <c r="AC169" s="17">
        <f>IF(G169="","",IFERROR(INDEX(Recipes!$C$5:$C$204,MATCH(G169,Recipes!$A$5:$A$204,0)),"Not found"))</f>
        <v>0</v>
      </c>
      <c r="AD169" s="46">
        <f>IF(B169="","",IF(G169&lt;&gt;"","Yes",IF(OR(I169="",ISNUMBER(SEARCH("takeaway",I169)),ISNUMBER(SEARCH("out",I169))),"No","Yes")))</f>
        <v>0</v>
      </c>
      <c r="AE169" s="17">
        <f>IF(B169="","",TEXT(B169,"yyyy-mm-dd")&amp;"|"&amp;F169)</f>
        <v>0</v>
      </c>
      <c r="AF169" s="31">
        <f>IF(B169="","",IF(AND(G169="",I169=""),"Add - nothing planned yet",IF(COUNTIFS($AE$5:$AE$504,AE169)&gt;1,"Duplicate - two meals in one slot",IF(AND(G169&lt;&gt;"",H169="Not found"),"Missing - recipe ID not on the Recipes tab",IF(AND(B169&lt;TODAY(),OR(N169="Planned",N169="")),"Check - did you cook it?","OK")))))</f>
        <v>0</v>
      </c>
    </row>
    <row r="170" spans="1:32">
      <c r="A170" s="39">
        <f>IF(B170="","",MealPrefix&amp;TEXT(ROW()-4,"0000"))</f>
        <v>0</v>
      </c>
      <c r="C170" s="17">
        <f>IF(B170="","",TEXT(B170,"ddd"))</f>
        <v>0</v>
      </c>
      <c r="D170" s="18">
        <f>IF(B170="","",WEEKNUM(B170,IF(WeekStart="Sunday",1,2)))</f>
        <v>0</v>
      </c>
      <c r="E170" s="17">
        <f>IF(B170="","",TEXT(B170,"yyyy-mm"))</f>
        <v>0</v>
      </c>
      <c r="H170" s="17">
        <f>IF(G170&lt;&gt;"",IFERROR(INDEX(Recipes!$B$5:$B$204,MATCH(G170,Recipes!$A$5:$A$204,0)),"Not found"),I170)</f>
        <v>0</v>
      </c>
      <c r="K170" s="45">
        <f>IF(B170="","",IF(J170="",DefaultServings,J170))</f>
        <v>0</v>
      </c>
      <c r="L170" s="45">
        <f>IF(G170="",0,IFERROR(K170/INDEX(Recipes!$G$5:$G$204,MATCH(G170,Recipes!$A$5:$A$204,0)),0))</f>
        <v>0</v>
      </c>
      <c r="T170" s="25">
        <f>IF(G170="","",IFERROR(INDEX(Recipes!$AD$5:$AD$204,MATCH(G170,Recipes!$A$5:$A$204,0))*K170,""))</f>
        <v>0</v>
      </c>
      <c r="V170" s="30">
        <f>IF(G170="","",IFERROR(INDEX(Recipes!$AE$5:$AE$204,MATCH(G170,Recipes!$A$5:$A$204,0)),"Not found"))</f>
        <v>0</v>
      </c>
      <c r="W170" s="45">
        <f>IF(G170="","",IFERROR(INDEX(Recipes!$AF$5:$AF$204,MATCH(G170,Recipes!$A$5:$A$204,0)),"Not found"))</f>
        <v>0</v>
      </c>
      <c r="X170" s="45">
        <f>IF(G170="","",IFERROR(INDEX(Recipes!$AG$5:$AG$204,MATCH(G170,Recipes!$A$5:$A$204,0)),"Not found"))</f>
        <v>0</v>
      </c>
      <c r="Y170" s="45">
        <f>IF(G170="","",IFERROR(INDEX(Recipes!$AH$5:$AH$204,MATCH(G170,Recipes!$A$5:$A$204,0)),"Not found"))</f>
        <v>0</v>
      </c>
      <c r="Z170" s="45">
        <f>IF(G170="","",IFERROR(INDEX(Recipes!$AI$5:$AI$204,MATCH(G170,Recipes!$A$5:$A$204,0)),"Not found"))</f>
        <v>0</v>
      </c>
      <c r="AA170" s="30">
        <f>IF(OR(V170="",NOT(ISNUMBER(V170))),"",V170*K170)</f>
        <v>0</v>
      </c>
      <c r="AB170" s="18">
        <f>IF(G170="","",IFERROR(INDEX(Recipes!$J$5:$J$204,MATCH(G170,Recipes!$A$5:$A$204,0)),"Not found"))</f>
        <v>0</v>
      </c>
      <c r="AC170" s="17">
        <f>IF(G170="","",IFERROR(INDEX(Recipes!$C$5:$C$204,MATCH(G170,Recipes!$A$5:$A$204,0)),"Not found"))</f>
        <v>0</v>
      </c>
      <c r="AD170" s="46">
        <f>IF(B170="","",IF(G170&lt;&gt;"","Yes",IF(OR(I170="",ISNUMBER(SEARCH("takeaway",I170)),ISNUMBER(SEARCH("out",I170))),"No","Yes")))</f>
        <v>0</v>
      </c>
      <c r="AE170" s="17">
        <f>IF(B170="","",TEXT(B170,"yyyy-mm-dd")&amp;"|"&amp;F170)</f>
        <v>0</v>
      </c>
      <c r="AF170" s="31">
        <f>IF(B170="","",IF(AND(G170="",I170=""),"Add - nothing planned yet",IF(COUNTIFS($AE$5:$AE$504,AE170)&gt;1,"Duplicate - two meals in one slot",IF(AND(G170&lt;&gt;"",H170="Not found"),"Missing - recipe ID not on the Recipes tab",IF(AND(B170&lt;TODAY(),OR(N170="Planned",N170="")),"Check - did you cook it?","OK")))))</f>
        <v>0</v>
      </c>
    </row>
    <row r="171" spans="1:32">
      <c r="A171" s="39">
        <f>IF(B171="","",MealPrefix&amp;TEXT(ROW()-4,"0000"))</f>
        <v>0</v>
      </c>
      <c r="C171" s="17">
        <f>IF(B171="","",TEXT(B171,"ddd"))</f>
        <v>0</v>
      </c>
      <c r="D171" s="18">
        <f>IF(B171="","",WEEKNUM(B171,IF(WeekStart="Sunday",1,2)))</f>
        <v>0</v>
      </c>
      <c r="E171" s="17">
        <f>IF(B171="","",TEXT(B171,"yyyy-mm"))</f>
        <v>0</v>
      </c>
      <c r="H171" s="17">
        <f>IF(G171&lt;&gt;"",IFERROR(INDEX(Recipes!$B$5:$B$204,MATCH(G171,Recipes!$A$5:$A$204,0)),"Not found"),I171)</f>
        <v>0</v>
      </c>
      <c r="K171" s="45">
        <f>IF(B171="","",IF(J171="",DefaultServings,J171))</f>
        <v>0</v>
      </c>
      <c r="L171" s="45">
        <f>IF(G171="",0,IFERROR(K171/INDEX(Recipes!$G$5:$G$204,MATCH(G171,Recipes!$A$5:$A$204,0)),0))</f>
        <v>0</v>
      </c>
      <c r="T171" s="25">
        <f>IF(G171="","",IFERROR(INDEX(Recipes!$AD$5:$AD$204,MATCH(G171,Recipes!$A$5:$A$204,0))*K171,""))</f>
        <v>0</v>
      </c>
      <c r="V171" s="30">
        <f>IF(G171="","",IFERROR(INDEX(Recipes!$AE$5:$AE$204,MATCH(G171,Recipes!$A$5:$A$204,0)),"Not found"))</f>
        <v>0</v>
      </c>
      <c r="W171" s="45">
        <f>IF(G171="","",IFERROR(INDEX(Recipes!$AF$5:$AF$204,MATCH(G171,Recipes!$A$5:$A$204,0)),"Not found"))</f>
        <v>0</v>
      </c>
      <c r="X171" s="45">
        <f>IF(G171="","",IFERROR(INDEX(Recipes!$AG$5:$AG$204,MATCH(G171,Recipes!$A$5:$A$204,0)),"Not found"))</f>
        <v>0</v>
      </c>
      <c r="Y171" s="45">
        <f>IF(G171="","",IFERROR(INDEX(Recipes!$AH$5:$AH$204,MATCH(G171,Recipes!$A$5:$A$204,0)),"Not found"))</f>
        <v>0</v>
      </c>
      <c r="Z171" s="45">
        <f>IF(G171="","",IFERROR(INDEX(Recipes!$AI$5:$AI$204,MATCH(G171,Recipes!$A$5:$A$204,0)),"Not found"))</f>
        <v>0</v>
      </c>
      <c r="AA171" s="30">
        <f>IF(OR(V171="",NOT(ISNUMBER(V171))),"",V171*K171)</f>
        <v>0</v>
      </c>
      <c r="AB171" s="18">
        <f>IF(G171="","",IFERROR(INDEX(Recipes!$J$5:$J$204,MATCH(G171,Recipes!$A$5:$A$204,0)),"Not found"))</f>
        <v>0</v>
      </c>
      <c r="AC171" s="17">
        <f>IF(G171="","",IFERROR(INDEX(Recipes!$C$5:$C$204,MATCH(G171,Recipes!$A$5:$A$204,0)),"Not found"))</f>
        <v>0</v>
      </c>
      <c r="AD171" s="46">
        <f>IF(B171="","",IF(G171&lt;&gt;"","Yes",IF(OR(I171="",ISNUMBER(SEARCH("takeaway",I171)),ISNUMBER(SEARCH("out",I171))),"No","Yes")))</f>
        <v>0</v>
      </c>
      <c r="AE171" s="17">
        <f>IF(B171="","",TEXT(B171,"yyyy-mm-dd")&amp;"|"&amp;F171)</f>
        <v>0</v>
      </c>
      <c r="AF171" s="31">
        <f>IF(B171="","",IF(AND(G171="",I171=""),"Add - nothing planned yet",IF(COUNTIFS($AE$5:$AE$504,AE171)&gt;1,"Duplicate - two meals in one slot",IF(AND(G171&lt;&gt;"",H171="Not found"),"Missing - recipe ID not on the Recipes tab",IF(AND(B171&lt;TODAY(),OR(N171="Planned",N171="")),"Check - did you cook it?","OK")))))</f>
        <v>0</v>
      </c>
    </row>
    <row r="172" spans="1:32">
      <c r="A172" s="39">
        <f>IF(B172="","",MealPrefix&amp;TEXT(ROW()-4,"0000"))</f>
        <v>0</v>
      </c>
      <c r="C172" s="17">
        <f>IF(B172="","",TEXT(B172,"ddd"))</f>
        <v>0</v>
      </c>
      <c r="D172" s="18">
        <f>IF(B172="","",WEEKNUM(B172,IF(WeekStart="Sunday",1,2)))</f>
        <v>0</v>
      </c>
      <c r="E172" s="17">
        <f>IF(B172="","",TEXT(B172,"yyyy-mm"))</f>
        <v>0</v>
      </c>
      <c r="H172" s="17">
        <f>IF(G172&lt;&gt;"",IFERROR(INDEX(Recipes!$B$5:$B$204,MATCH(G172,Recipes!$A$5:$A$204,0)),"Not found"),I172)</f>
        <v>0</v>
      </c>
      <c r="K172" s="45">
        <f>IF(B172="","",IF(J172="",DefaultServings,J172))</f>
        <v>0</v>
      </c>
      <c r="L172" s="45">
        <f>IF(G172="",0,IFERROR(K172/INDEX(Recipes!$G$5:$G$204,MATCH(G172,Recipes!$A$5:$A$204,0)),0))</f>
        <v>0</v>
      </c>
      <c r="T172" s="25">
        <f>IF(G172="","",IFERROR(INDEX(Recipes!$AD$5:$AD$204,MATCH(G172,Recipes!$A$5:$A$204,0))*K172,""))</f>
        <v>0</v>
      </c>
      <c r="V172" s="30">
        <f>IF(G172="","",IFERROR(INDEX(Recipes!$AE$5:$AE$204,MATCH(G172,Recipes!$A$5:$A$204,0)),"Not found"))</f>
        <v>0</v>
      </c>
      <c r="W172" s="45">
        <f>IF(G172="","",IFERROR(INDEX(Recipes!$AF$5:$AF$204,MATCH(G172,Recipes!$A$5:$A$204,0)),"Not found"))</f>
        <v>0</v>
      </c>
      <c r="X172" s="45">
        <f>IF(G172="","",IFERROR(INDEX(Recipes!$AG$5:$AG$204,MATCH(G172,Recipes!$A$5:$A$204,0)),"Not found"))</f>
        <v>0</v>
      </c>
      <c r="Y172" s="45">
        <f>IF(G172="","",IFERROR(INDEX(Recipes!$AH$5:$AH$204,MATCH(G172,Recipes!$A$5:$A$204,0)),"Not found"))</f>
        <v>0</v>
      </c>
      <c r="Z172" s="45">
        <f>IF(G172="","",IFERROR(INDEX(Recipes!$AI$5:$AI$204,MATCH(G172,Recipes!$A$5:$A$204,0)),"Not found"))</f>
        <v>0</v>
      </c>
      <c r="AA172" s="30">
        <f>IF(OR(V172="",NOT(ISNUMBER(V172))),"",V172*K172)</f>
        <v>0</v>
      </c>
      <c r="AB172" s="18">
        <f>IF(G172="","",IFERROR(INDEX(Recipes!$J$5:$J$204,MATCH(G172,Recipes!$A$5:$A$204,0)),"Not found"))</f>
        <v>0</v>
      </c>
      <c r="AC172" s="17">
        <f>IF(G172="","",IFERROR(INDEX(Recipes!$C$5:$C$204,MATCH(G172,Recipes!$A$5:$A$204,0)),"Not found"))</f>
        <v>0</v>
      </c>
      <c r="AD172" s="46">
        <f>IF(B172="","",IF(G172&lt;&gt;"","Yes",IF(OR(I172="",ISNUMBER(SEARCH("takeaway",I172)),ISNUMBER(SEARCH("out",I172))),"No","Yes")))</f>
        <v>0</v>
      </c>
      <c r="AE172" s="17">
        <f>IF(B172="","",TEXT(B172,"yyyy-mm-dd")&amp;"|"&amp;F172)</f>
        <v>0</v>
      </c>
      <c r="AF172" s="31">
        <f>IF(B172="","",IF(AND(G172="",I172=""),"Add - nothing planned yet",IF(COUNTIFS($AE$5:$AE$504,AE172)&gt;1,"Duplicate - two meals in one slot",IF(AND(G172&lt;&gt;"",H172="Not found"),"Missing - recipe ID not on the Recipes tab",IF(AND(B172&lt;TODAY(),OR(N172="Planned",N172="")),"Check - did you cook it?","OK")))))</f>
        <v>0</v>
      </c>
    </row>
    <row r="173" spans="1:32">
      <c r="A173" s="39">
        <f>IF(B173="","",MealPrefix&amp;TEXT(ROW()-4,"0000"))</f>
        <v>0</v>
      </c>
      <c r="C173" s="17">
        <f>IF(B173="","",TEXT(B173,"ddd"))</f>
        <v>0</v>
      </c>
      <c r="D173" s="18">
        <f>IF(B173="","",WEEKNUM(B173,IF(WeekStart="Sunday",1,2)))</f>
        <v>0</v>
      </c>
      <c r="E173" s="17">
        <f>IF(B173="","",TEXT(B173,"yyyy-mm"))</f>
        <v>0</v>
      </c>
      <c r="H173" s="17">
        <f>IF(G173&lt;&gt;"",IFERROR(INDEX(Recipes!$B$5:$B$204,MATCH(G173,Recipes!$A$5:$A$204,0)),"Not found"),I173)</f>
        <v>0</v>
      </c>
      <c r="K173" s="45">
        <f>IF(B173="","",IF(J173="",DefaultServings,J173))</f>
        <v>0</v>
      </c>
      <c r="L173" s="45">
        <f>IF(G173="",0,IFERROR(K173/INDEX(Recipes!$G$5:$G$204,MATCH(G173,Recipes!$A$5:$A$204,0)),0))</f>
        <v>0</v>
      </c>
      <c r="T173" s="25">
        <f>IF(G173="","",IFERROR(INDEX(Recipes!$AD$5:$AD$204,MATCH(G173,Recipes!$A$5:$A$204,0))*K173,""))</f>
        <v>0</v>
      </c>
      <c r="V173" s="30">
        <f>IF(G173="","",IFERROR(INDEX(Recipes!$AE$5:$AE$204,MATCH(G173,Recipes!$A$5:$A$204,0)),"Not found"))</f>
        <v>0</v>
      </c>
      <c r="W173" s="45">
        <f>IF(G173="","",IFERROR(INDEX(Recipes!$AF$5:$AF$204,MATCH(G173,Recipes!$A$5:$A$204,0)),"Not found"))</f>
        <v>0</v>
      </c>
      <c r="X173" s="45">
        <f>IF(G173="","",IFERROR(INDEX(Recipes!$AG$5:$AG$204,MATCH(G173,Recipes!$A$5:$A$204,0)),"Not found"))</f>
        <v>0</v>
      </c>
      <c r="Y173" s="45">
        <f>IF(G173="","",IFERROR(INDEX(Recipes!$AH$5:$AH$204,MATCH(G173,Recipes!$A$5:$A$204,0)),"Not found"))</f>
        <v>0</v>
      </c>
      <c r="Z173" s="45">
        <f>IF(G173="","",IFERROR(INDEX(Recipes!$AI$5:$AI$204,MATCH(G173,Recipes!$A$5:$A$204,0)),"Not found"))</f>
        <v>0</v>
      </c>
      <c r="AA173" s="30">
        <f>IF(OR(V173="",NOT(ISNUMBER(V173))),"",V173*K173)</f>
        <v>0</v>
      </c>
      <c r="AB173" s="18">
        <f>IF(G173="","",IFERROR(INDEX(Recipes!$J$5:$J$204,MATCH(G173,Recipes!$A$5:$A$204,0)),"Not found"))</f>
        <v>0</v>
      </c>
      <c r="AC173" s="17">
        <f>IF(G173="","",IFERROR(INDEX(Recipes!$C$5:$C$204,MATCH(G173,Recipes!$A$5:$A$204,0)),"Not found"))</f>
        <v>0</v>
      </c>
      <c r="AD173" s="46">
        <f>IF(B173="","",IF(G173&lt;&gt;"","Yes",IF(OR(I173="",ISNUMBER(SEARCH("takeaway",I173)),ISNUMBER(SEARCH("out",I173))),"No","Yes")))</f>
        <v>0</v>
      </c>
      <c r="AE173" s="17">
        <f>IF(B173="","",TEXT(B173,"yyyy-mm-dd")&amp;"|"&amp;F173)</f>
        <v>0</v>
      </c>
      <c r="AF173" s="31">
        <f>IF(B173="","",IF(AND(G173="",I173=""),"Add - nothing planned yet",IF(COUNTIFS($AE$5:$AE$504,AE173)&gt;1,"Duplicate - two meals in one slot",IF(AND(G173&lt;&gt;"",H173="Not found"),"Missing - recipe ID not on the Recipes tab",IF(AND(B173&lt;TODAY(),OR(N173="Planned",N173="")),"Check - did you cook it?","OK")))))</f>
        <v>0</v>
      </c>
    </row>
    <row r="174" spans="1:32">
      <c r="A174" s="39">
        <f>IF(B174="","",MealPrefix&amp;TEXT(ROW()-4,"0000"))</f>
        <v>0</v>
      </c>
      <c r="C174" s="17">
        <f>IF(B174="","",TEXT(B174,"ddd"))</f>
        <v>0</v>
      </c>
      <c r="D174" s="18">
        <f>IF(B174="","",WEEKNUM(B174,IF(WeekStart="Sunday",1,2)))</f>
        <v>0</v>
      </c>
      <c r="E174" s="17">
        <f>IF(B174="","",TEXT(B174,"yyyy-mm"))</f>
        <v>0</v>
      </c>
      <c r="H174" s="17">
        <f>IF(G174&lt;&gt;"",IFERROR(INDEX(Recipes!$B$5:$B$204,MATCH(G174,Recipes!$A$5:$A$204,0)),"Not found"),I174)</f>
        <v>0</v>
      </c>
      <c r="K174" s="45">
        <f>IF(B174="","",IF(J174="",DefaultServings,J174))</f>
        <v>0</v>
      </c>
      <c r="L174" s="45">
        <f>IF(G174="",0,IFERROR(K174/INDEX(Recipes!$G$5:$G$204,MATCH(G174,Recipes!$A$5:$A$204,0)),0))</f>
        <v>0</v>
      </c>
      <c r="T174" s="25">
        <f>IF(G174="","",IFERROR(INDEX(Recipes!$AD$5:$AD$204,MATCH(G174,Recipes!$A$5:$A$204,0))*K174,""))</f>
        <v>0</v>
      </c>
      <c r="V174" s="30">
        <f>IF(G174="","",IFERROR(INDEX(Recipes!$AE$5:$AE$204,MATCH(G174,Recipes!$A$5:$A$204,0)),"Not found"))</f>
        <v>0</v>
      </c>
      <c r="W174" s="45">
        <f>IF(G174="","",IFERROR(INDEX(Recipes!$AF$5:$AF$204,MATCH(G174,Recipes!$A$5:$A$204,0)),"Not found"))</f>
        <v>0</v>
      </c>
      <c r="X174" s="45">
        <f>IF(G174="","",IFERROR(INDEX(Recipes!$AG$5:$AG$204,MATCH(G174,Recipes!$A$5:$A$204,0)),"Not found"))</f>
        <v>0</v>
      </c>
      <c r="Y174" s="45">
        <f>IF(G174="","",IFERROR(INDEX(Recipes!$AH$5:$AH$204,MATCH(G174,Recipes!$A$5:$A$204,0)),"Not found"))</f>
        <v>0</v>
      </c>
      <c r="Z174" s="45">
        <f>IF(G174="","",IFERROR(INDEX(Recipes!$AI$5:$AI$204,MATCH(G174,Recipes!$A$5:$A$204,0)),"Not found"))</f>
        <v>0</v>
      </c>
      <c r="AA174" s="30">
        <f>IF(OR(V174="",NOT(ISNUMBER(V174))),"",V174*K174)</f>
        <v>0</v>
      </c>
      <c r="AB174" s="18">
        <f>IF(G174="","",IFERROR(INDEX(Recipes!$J$5:$J$204,MATCH(G174,Recipes!$A$5:$A$204,0)),"Not found"))</f>
        <v>0</v>
      </c>
      <c r="AC174" s="17">
        <f>IF(G174="","",IFERROR(INDEX(Recipes!$C$5:$C$204,MATCH(G174,Recipes!$A$5:$A$204,0)),"Not found"))</f>
        <v>0</v>
      </c>
      <c r="AD174" s="46">
        <f>IF(B174="","",IF(G174&lt;&gt;"","Yes",IF(OR(I174="",ISNUMBER(SEARCH("takeaway",I174)),ISNUMBER(SEARCH("out",I174))),"No","Yes")))</f>
        <v>0</v>
      </c>
      <c r="AE174" s="17">
        <f>IF(B174="","",TEXT(B174,"yyyy-mm-dd")&amp;"|"&amp;F174)</f>
        <v>0</v>
      </c>
      <c r="AF174" s="31">
        <f>IF(B174="","",IF(AND(G174="",I174=""),"Add - nothing planned yet",IF(COUNTIFS($AE$5:$AE$504,AE174)&gt;1,"Duplicate - two meals in one slot",IF(AND(G174&lt;&gt;"",H174="Not found"),"Missing - recipe ID not on the Recipes tab",IF(AND(B174&lt;TODAY(),OR(N174="Planned",N174="")),"Check - did you cook it?","OK")))))</f>
        <v>0</v>
      </c>
    </row>
    <row r="175" spans="1:32">
      <c r="A175" s="39">
        <f>IF(B175="","",MealPrefix&amp;TEXT(ROW()-4,"0000"))</f>
        <v>0</v>
      </c>
      <c r="C175" s="17">
        <f>IF(B175="","",TEXT(B175,"ddd"))</f>
        <v>0</v>
      </c>
      <c r="D175" s="18">
        <f>IF(B175="","",WEEKNUM(B175,IF(WeekStart="Sunday",1,2)))</f>
        <v>0</v>
      </c>
      <c r="E175" s="17">
        <f>IF(B175="","",TEXT(B175,"yyyy-mm"))</f>
        <v>0</v>
      </c>
      <c r="H175" s="17">
        <f>IF(G175&lt;&gt;"",IFERROR(INDEX(Recipes!$B$5:$B$204,MATCH(G175,Recipes!$A$5:$A$204,0)),"Not found"),I175)</f>
        <v>0</v>
      </c>
      <c r="K175" s="45">
        <f>IF(B175="","",IF(J175="",DefaultServings,J175))</f>
        <v>0</v>
      </c>
      <c r="L175" s="45">
        <f>IF(G175="",0,IFERROR(K175/INDEX(Recipes!$G$5:$G$204,MATCH(G175,Recipes!$A$5:$A$204,0)),0))</f>
        <v>0</v>
      </c>
      <c r="T175" s="25">
        <f>IF(G175="","",IFERROR(INDEX(Recipes!$AD$5:$AD$204,MATCH(G175,Recipes!$A$5:$A$204,0))*K175,""))</f>
        <v>0</v>
      </c>
      <c r="V175" s="30">
        <f>IF(G175="","",IFERROR(INDEX(Recipes!$AE$5:$AE$204,MATCH(G175,Recipes!$A$5:$A$204,0)),"Not found"))</f>
        <v>0</v>
      </c>
      <c r="W175" s="45">
        <f>IF(G175="","",IFERROR(INDEX(Recipes!$AF$5:$AF$204,MATCH(G175,Recipes!$A$5:$A$204,0)),"Not found"))</f>
        <v>0</v>
      </c>
      <c r="X175" s="45">
        <f>IF(G175="","",IFERROR(INDEX(Recipes!$AG$5:$AG$204,MATCH(G175,Recipes!$A$5:$A$204,0)),"Not found"))</f>
        <v>0</v>
      </c>
      <c r="Y175" s="45">
        <f>IF(G175="","",IFERROR(INDEX(Recipes!$AH$5:$AH$204,MATCH(G175,Recipes!$A$5:$A$204,0)),"Not found"))</f>
        <v>0</v>
      </c>
      <c r="Z175" s="45">
        <f>IF(G175="","",IFERROR(INDEX(Recipes!$AI$5:$AI$204,MATCH(G175,Recipes!$A$5:$A$204,0)),"Not found"))</f>
        <v>0</v>
      </c>
      <c r="AA175" s="30">
        <f>IF(OR(V175="",NOT(ISNUMBER(V175))),"",V175*K175)</f>
        <v>0</v>
      </c>
      <c r="AB175" s="18">
        <f>IF(G175="","",IFERROR(INDEX(Recipes!$J$5:$J$204,MATCH(G175,Recipes!$A$5:$A$204,0)),"Not found"))</f>
        <v>0</v>
      </c>
      <c r="AC175" s="17">
        <f>IF(G175="","",IFERROR(INDEX(Recipes!$C$5:$C$204,MATCH(G175,Recipes!$A$5:$A$204,0)),"Not found"))</f>
        <v>0</v>
      </c>
      <c r="AD175" s="46">
        <f>IF(B175="","",IF(G175&lt;&gt;"","Yes",IF(OR(I175="",ISNUMBER(SEARCH("takeaway",I175)),ISNUMBER(SEARCH("out",I175))),"No","Yes")))</f>
        <v>0</v>
      </c>
      <c r="AE175" s="17">
        <f>IF(B175="","",TEXT(B175,"yyyy-mm-dd")&amp;"|"&amp;F175)</f>
        <v>0</v>
      </c>
      <c r="AF175" s="31">
        <f>IF(B175="","",IF(AND(G175="",I175=""),"Add - nothing planned yet",IF(COUNTIFS($AE$5:$AE$504,AE175)&gt;1,"Duplicate - two meals in one slot",IF(AND(G175&lt;&gt;"",H175="Not found"),"Missing - recipe ID not on the Recipes tab",IF(AND(B175&lt;TODAY(),OR(N175="Planned",N175="")),"Check - did you cook it?","OK")))))</f>
        <v>0</v>
      </c>
    </row>
    <row r="176" spans="1:32">
      <c r="A176" s="39">
        <f>IF(B176="","",MealPrefix&amp;TEXT(ROW()-4,"0000"))</f>
        <v>0</v>
      </c>
      <c r="C176" s="17">
        <f>IF(B176="","",TEXT(B176,"ddd"))</f>
        <v>0</v>
      </c>
      <c r="D176" s="18">
        <f>IF(B176="","",WEEKNUM(B176,IF(WeekStart="Sunday",1,2)))</f>
        <v>0</v>
      </c>
      <c r="E176" s="17">
        <f>IF(B176="","",TEXT(B176,"yyyy-mm"))</f>
        <v>0</v>
      </c>
      <c r="H176" s="17">
        <f>IF(G176&lt;&gt;"",IFERROR(INDEX(Recipes!$B$5:$B$204,MATCH(G176,Recipes!$A$5:$A$204,0)),"Not found"),I176)</f>
        <v>0</v>
      </c>
      <c r="K176" s="45">
        <f>IF(B176="","",IF(J176="",DefaultServings,J176))</f>
        <v>0</v>
      </c>
      <c r="L176" s="45">
        <f>IF(G176="",0,IFERROR(K176/INDEX(Recipes!$G$5:$G$204,MATCH(G176,Recipes!$A$5:$A$204,0)),0))</f>
        <v>0</v>
      </c>
      <c r="T176" s="25">
        <f>IF(G176="","",IFERROR(INDEX(Recipes!$AD$5:$AD$204,MATCH(G176,Recipes!$A$5:$A$204,0))*K176,""))</f>
        <v>0</v>
      </c>
      <c r="V176" s="30">
        <f>IF(G176="","",IFERROR(INDEX(Recipes!$AE$5:$AE$204,MATCH(G176,Recipes!$A$5:$A$204,0)),"Not found"))</f>
        <v>0</v>
      </c>
      <c r="W176" s="45">
        <f>IF(G176="","",IFERROR(INDEX(Recipes!$AF$5:$AF$204,MATCH(G176,Recipes!$A$5:$A$204,0)),"Not found"))</f>
        <v>0</v>
      </c>
      <c r="X176" s="45">
        <f>IF(G176="","",IFERROR(INDEX(Recipes!$AG$5:$AG$204,MATCH(G176,Recipes!$A$5:$A$204,0)),"Not found"))</f>
        <v>0</v>
      </c>
      <c r="Y176" s="45">
        <f>IF(G176="","",IFERROR(INDEX(Recipes!$AH$5:$AH$204,MATCH(G176,Recipes!$A$5:$A$204,0)),"Not found"))</f>
        <v>0</v>
      </c>
      <c r="Z176" s="45">
        <f>IF(G176="","",IFERROR(INDEX(Recipes!$AI$5:$AI$204,MATCH(G176,Recipes!$A$5:$A$204,0)),"Not found"))</f>
        <v>0</v>
      </c>
      <c r="AA176" s="30">
        <f>IF(OR(V176="",NOT(ISNUMBER(V176))),"",V176*K176)</f>
        <v>0</v>
      </c>
      <c r="AB176" s="18">
        <f>IF(G176="","",IFERROR(INDEX(Recipes!$J$5:$J$204,MATCH(G176,Recipes!$A$5:$A$204,0)),"Not found"))</f>
        <v>0</v>
      </c>
      <c r="AC176" s="17">
        <f>IF(G176="","",IFERROR(INDEX(Recipes!$C$5:$C$204,MATCH(G176,Recipes!$A$5:$A$204,0)),"Not found"))</f>
        <v>0</v>
      </c>
      <c r="AD176" s="46">
        <f>IF(B176="","",IF(G176&lt;&gt;"","Yes",IF(OR(I176="",ISNUMBER(SEARCH("takeaway",I176)),ISNUMBER(SEARCH("out",I176))),"No","Yes")))</f>
        <v>0</v>
      </c>
      <c r="AE176" s="17">
        <f>IF(B176="","",TEXT(B176,"yyyy-mm-dd")&amp;"|"&amp;F176)</f>
        <v>0</v>
      </c>
      <c r="AF176" s="31">
        <f>IF(B176="","",IF(AND(G176="",I176=""),"Add - nothing planned yet",IF(COUNTIFS($AE$5:$AE$504,AE176)&gt;1,"Duplicate - two meals in one slot",IF(AND(G176&lt;&gt;"",H176="Not found"),"Missing - recipe ID not on the Recipes tab",IF(AND(B176&lt;TODAY(),OR(N176="Planned",N176="")),"Check - did you cook it?","OK")))))</f>
        <v>0</v>
      </c>
    </row>
    <row r="177" spans="1:32">
      <c r="A177" s="39">
        <f>IF(B177="","",MealPrefix&amp;TEXT(ROW()-4,"0000"))</f>
        <v>0</v>
      </c>
      <c r="C177" s="17">
        <f>IF(B177="","",TEXT(B177,"ddd"))</f>
        <v>0</v>
      </c>
      <c r="D177" s="18">
        <f>IF(B177="","",WEEKNUM(B177,IF(WeekStart="Sunday",1,2)))</f>
        <v>0</v>
      </c>
      <c r="E177" s="17">
        <f>IF(B177="","",TEXT(B177,"yyyy-mm"))</f>
        <v>0</v>
      </c>
      <c r="H177" s="17">
        <f>IF(G177&lt;&gt;"",IFERROR(INDEX(Recipes!$B$5:$B$204,MATCH(G177,Recipes!$A$5:$A$204,0)),"Not found"),I177)</f>
        <v>0</v>
      </c>
      <c r="K177" s="45">
        <f>IF(B177="","",IF(J177="",DefaultServings,J177))</f>
        <v>0</v>
      </c>
      <c r="L177" s="45">
        <f>IF(G177="",0,IFERROR(K177/INDEX(Recipes!$G$5:$G$204,MATCH(G177,Recipes!$A$5:$A$204,0)),0))</f>
        <v>0</v>
      </c>
      <c r="T177" s="25">
        <f>IF(G177="","",IFERROR(INDEX(Recipes!$AD$5:$AD$204,MATCH(G177,Recipes!$A$5:$A$204,0))*K177,""))</f>
        <v>0</v>
      </c>
      <c r="V177" s="30">
        <f>IF(G177="","",IFERROR(INDEX(Recipes!$AE$5:$AE$204,MATCH(G177,Recipes!$A$5:$A$204,0)),"Not found"))</f>
        <v>0</v>
      </c>
      <c r="W177" s="45">
        <f>IF(G177="","",IFERROR(INDEX(Recipes!$AF$5:$AF$204,MATCH(G177,Recipes!$A$5:$A$204,0)),"Not found"))</f>
        <v>0</v>
      </c>
      <c r="X177" s="45">
        <f>IF(G177="","",IFERROR(INDEX(Recipes!$AG$5:$AG$204,MATCH(G177,Recipes!$A$5:$A$204,0)),"Not found"))</f>
        <v>0</v>
      </c>
      <c r="Y177" s="45">
        <f>IF(G177="","",IFERROR(INDEX(Recipes!$AH$5:$AH$204,MATCH(G177,Recipes!$A$5:$A$204,0)),"Not found"))</f>
        <v>0</v>
      </c>
      <c r="Z177" s="45">
        <f>IF(G177="","",IFERROR(INDEX(Recipes!$AI$5:$AI$204,MATCH(G177,Recipes!$A$5:$A$204,0)),"Not found"))</f>
        <v>0</v>
      </c>
      <c r="AA177" s="30">
        <f>IF(OR(V177="",NOT(ISNUMBER(V177))),"",V177*K177)</f>
        <v>0</v>
      </c>
      <c r="AB177" s="18">
        <f>IF(G177="","",IFERROR(INDEX(Recipes!$J$5:$J$204,MATCH(G177,Recipes!$A$5:$A$204,0)),"Not found"))</f>
        <v>0</v>
      </c>
      <c r="AC177" s="17">
        <f>IF(G177="","",IFERROR(INDEX(Recipes!$C$5:$C$204,MATCH(G177,Recipes!$A$5:$A$204,0)),"Not found"))</f>
        <v>0</v>
      </c>
      <c r="AD177" s="46">
        <f>IF(B177="","",IF(G177&lt;&gt;"","Yes",IF(OR(I177="",ISNUMBER(SEARCH("takeaway",I177)),ISNUMBER(SEARCH("out",I177))),"No","Yes")))</f>
        <v>0</v>
      </c>
      <c r="AE177" s="17">
        <f>IF(B177="","",TEXT(B177,"yyyy-mm-dd")&amp;"|"&amp;F177)</f>
        <v>0</v>
      </c>
      <c r="AF177" s="31">
        <f>IF(B177="","",IF(AND(G177="",I177=""),"Add - nothing planned yet",IF(COUNTIFS($AE$5:$AE$504,AE177)&gt;1,"Duplicate - two meals in one slot",IF(AND(G177&lt;&gt;"",H177="Not found"),"Missing - recipe ID not on the Recipes tab",IF(AND(B177&lt;TODAY(),OR(N177="Planned",N177="")),"Check - did you cook it?","OK")))))</f>
        <v>0</v>
      </c>
    </row>
    <row r="178" spans="1:32">
      <c r="A178" s="39">
        <f>IF(B178="","",MealPrefix&amp;TEXT(ROW()-4,"0000"))</f>
        <v>0</v>
      </c>
      <c r="C178" s="17">
        <f>IF(B178="","",TEXT(B178,"ddd"))</f>
        <v>0</v>
      </c>
      <c r="D178" s="18">
        <f>IF(B178="","",WEEKNUM(B178,IF(WeekStart="Sunday",1,2)))</f>
        <v>0</v>
      </c>
      <c r="E178" s="17">
        <f>IF(B178="","",TEXT(B178,"yyyy-mm"))</f>
        <v>0</v>
      </c>
      <c r="H178" s="17">
        <f>IF(G178&lt;&gt;"",IFERROR(INDEX(Recipes!$B$5:$B$204,MATCH(G178,Recipes!$A$5:$A$204,0)),"Not found"),I178)</f>
        <v>0</v>
      </c>
      <c r="K178" s="45">
        <f>IF(B178="","",IF(J178="",DefaultServings,J178))</f>
        <v>0</v>
      </c>
      <c r="L178" s="45">
        <f>IF(G178="",0,IFERROR(K178/INDEX(Recipes!$G$5:$G$204,MATCH(G178,Recipes!$A$5:$A$204,0)),0))</f>
        <v>0</v>
      </c>
      <c r="T178" s="25">
        <f>IF(G178="","",IFERROR(INDEX(Recipes!$AD$5:$AD$204,MATCH(G178,Recipes!$A$5:$A$204,0))*K178,""))</f>
        <v>0</v>
      </c>
      <c r="V178" s="30">
        <f>IF(G178="","",IFERROR(INDEX(Recipes!$AE$5:$AE$204,MATCH(G178,Recipes!$A$5:$A$204,0)),"Not found"))</f>
        <v>0</v>
      </c>
      <c r="W178" s="45">
        <f>IF(G178="","",IFERROR(INDEX(Recipes!$AF$5:$AF$204,MATCH(G178,Recipes!$A$5:$A$204,0)),"Not found"))</f>
        <v>0</v>
      </c>
      <c r="X178" s="45">
        <f>IF(G178="","",IFERROR(INDEX(Recipes!$AG$5:$AG$204,MATCH(G178,Recipes!$A$5:$A$204,0)),"Not found"))</f>
        <v>0</v>
      </c>
      <c r="Y178" s="45">
        <f>IF(G178="","",IFERROR(INDEX(Recipes!$AH$5:$AH$204,MATCH(G178,Recipes!$A$5:$A$204,0)),"Not found"))</f>
        <v>0</v>
      </c>
      <c r="Z178" s="45">
        <f>IF(G178="","",IFERROR(INDEX(Recipes!$AI$5:$AI$204,MATCH(G178,Recipes!$A$5:$A$204,0)),"Not found"))</f>
        <v>0</v>
      </c>
      <c r="AA178" s="30">
        <f>IF(OR(V178="",NOT(ISNUMBER(V178))),"",V178*K178)</f>
        <v>0</v>
      </c>
      <c r="AB178" s="18">
        <f>IF(G178="","",IFERROR(INDEX(Recipes!$J$5:$J$204,MATCH(G178,Recipes!$A$5:$A$204,0)),"Not found"))</f>
        <v>0</v>
      </c>
      <c r="AC178" s="17">
        <f>IF(G178="","",IFERROR(INDEX(Recipes!$C$5:$C$204,MATCH(G178,Recipes!$A$5:$A$204,0)),"Not found"))</f>
        <v>0</v>
      </c>
      <c r="AD178" s="46">
        <f>IF(B178="","",IF(G178&lt;&gt;"","Yes",IF(OR(I178="",ISNUMBER(SEARCH("takeaway",I178)),ISNUMBER(SEARCH("out",I178))),"No","Yes")))</f>
        <v>0</v>
      </c>
      <c r="AE178" s="17">
        <f>IF(B178="","",TEXT(B178,"yyyy-mm-dd")&amp;"|"&amp;F178)</f>
        <v>0</v>
      </c>
      <c r="AF178" s="31">
        <f>IF(B178="","",IF(AND(G178="",I178=""),"Add - nothing planned yet",IF(COUNTIFS($AE$5:$AE$504,AE178)&gt;1,"Duplicate - two meals in one slot",IF(AND(G178&lt;&gt;"",H178="Not found"),"Missing - recipe ID not on the Recipes tab",IF(AND(B178&lt;TODAY(),OR(N178="Planned",N178="")),"Check - did you cook it?","OK")))))</f>
        <v>0</v>
      </c>
    </row>
    <row r="179" spans="1:32">
      <c r="A179" s="39">
        <f>IF(B179="","",MealPrefix&amp;TEXT(ROW()-4,"0000"))</f>
        <v>0</v>
      </c>
      <c r="C179" s="17">
        <f>IF(B179="","",TEXT(B179,"ddd"))</f>
        <v>0</v>
      </c>
      <c r="D179" s="18">
        <f>IF(B179="","",WEEKNUM(B179,IF(WeekStart="Sunday",1,2)))</f>
        <v>0</v>
      </c>
      <c r="E179" s="17">
        <f>IF(B179="","",TEXT(B179,"yyyy-mm"))</f>
        <v>0</v>
      </c>
      <c r="H179" s="17">
        <f>IF(G179&lt;&gt;"",IFERROR(INDEX(Recipes!$B$5:$B$204,MATCH(G179,Recipes!$A$5:$A$204,0)),"Not found"),I179)</f>
        <v>0</v>
      </c>
      <c r="K179" s="45">
        <f>IF(B179="","",IF(J179="",DefaultServings,J179))</f>
        <v>0</v>
      </c>
      <c r="L179" s="45">
        <f>IF(G179="",0,IFERROR(K179/INDEX(Recipes!$G$5:$G$204,MATCH(G179,Recipes!$A$5:$A$204,0)),0))</f>
        <v>0</v>
      </c>
      <c r="T179" s="25">
        <f>IF(G179="","",IFERROR(INDEX(Recipes!$AD$5:$AD$204,MATCH(G179,Recipes!$A$5:$A$204,0))*K179,""))</f>
        <v>0</v>
      </c>
      <c r="V179" s="30">
        <f>IF(G179="","",IFERROR(INDEX(Recipes!$AE$5:$AE$204,MATCH(G179,Recipes!$A$5:$A$204,0)),"Not found"))</f>
        <v>0</v>
      </c>
      <c r="W179" s="45">
        <f>IF(G179="","",IFERROR(INDEX(Recipes!$AF$5:$AF$204,MATCH(G179,Recipes!$A$5:$A$204,0)),"Not found"))</f>
        <v>0</v>
      </c>
      <c r="X179" s="45">
        <f>IF(G179="","",IFERROR(INDEX(Recipes!$AG$5:$AG$204,MATCH(G179,Recipes!$A$5:$A$204,0)),"Not found"))</f>
        <v>0</v>
      </c>
      <c r="Y179" s="45">
        <f>IF(G179="","",IFERROR(INDEX(Recipes!$AH$5:$AH$204,MATCH(G179,Recipes!$A$5:$A$204,0)),"Not found"))</f>
        <v>0</v>
      </c>
      <c r="Z179" s="45">
        <f>IF(G179="","",IFERROR(INDEX(Recipes!$AI$5:$AI$204,MATCH(G179,Recipes!$A$5:$A$204,0)),"Not found"))</f>
        <v>0</v>
      </c>
      <c r="AA179" s="30">
        <f>IF(OR(V179="",NOT(ISNUMBER(V179))),"",V179*K179)</f>
        <v>0</v>
      </c>
      <c r="AB179" s="18">
        <f>IF(G179="","",IFERROR(INDEX(Recipes!$J$5:$J$204,MATCH(G179,Recipes!$A$5:$A$204,0)),"Not found"))</f>
        <v>0</v>
      </c>
      <c r="AC179" s="17">
        <f>IF(G179="","",IFERROR(INDEX(Recipes!$C$5:$C$204,MATCH(G179,Recipes!$A$5:$A$204,0)),"Not found"))</f>
        <v>0</v>
      </c>
      <c r="AD179" s="46">
        <f>IF(B179="","",IF(G179&lt;&gt;"","Yes",IF(OR(I179="",ISNUMBER(SEARCH("takeaway",I179)),ISNUMBER(SEARCH("out",I179))),"No","Yes")))</f>
        <v>0</v>
      </c>
      <c r="AE179" s="17">
        <f>IF(B179="","",TEXT(B179,"yyyy-mm-dd")&amp;"|"&amp;F179)</f>
        <v>0</v>
      </c>
      <c r="AF179" s="31">
        <f>IF(B179="","",IF(AND(G179="",I179=""),"Add - nothing planned yet",IF(COUNTIFS($AE$5:$AE$504,AE179)&gt;1,"Duplicate - two meals in one slot",IF(AND(G179&lt;&gt;"",H179="Not found"),"Missing - recipe ID not on the Recipes tab",IF(AND(B179&lt;TODAY(),OR(N179="Planned",N179="")),"Check - did you cook it?","OK")))))</f>
        <v>0</v>
      </c>
    </row>
    <row r="180" spans="1:32">
      <c r="A180" s="39">
        <f>IF(B180="","",MealPrefix&amp;TEXT(ROW()-4,"0000"))</f>
        <v>0</v>
      </c>
      <c r="C180" s="17">
        <f>IF(B180="","",TEXT(B180,"ddd"))</f>
        <v>0</v>
      </c>
      <c r="D180" s="18">
        <f>IF(B180="","",WEEKNUM(B180,IF(WeekStart="Sunday",1,2)))</f>
        <v>0</v>
      </c>
      <c r="E180" s="17">
        <f>IF(B180="","",TEXT(B180,"yyyy-mm"))</f>
        <v>0</v>
      </c>
      <c r="H180" s="17">
        <f>IF(G180&lt;&gt;"",IFERROR(INDEX(Recipes!$B$5:$B$204,MATCH(G180,Recipes!$A$5:$A$204,0)),"Not found"),I180)</f>
        <v>0</v>
      </c>
      <c r="K180" s="45">
        <f>IF(B180="","",IF(J180="",DefaultServings,J180))</f>
        <v>0</v>
      </c>
      <c r="L180" s="45">
        <f>IF(G180="",0,IFERROR(K180/INDEX(Recipes!$G$5:$G$204,MATCH(G180,Recipes!$A$5:$A$204,0)),0))</f>
        <v>0</v>
      </c>
      <c r="T180" s="25">
        <f>IF(G180="","",IFERROR(INDEX(Recipes!$AD$5:$AD$204,MATCH(G180,Recipes!$A$5:$A$204,0))*K180,""))</f>
        <v>0</v>
      </c>
      <c r="V180" s="30">
        <f>IF(G180="","",IFERROR(INDEX(Recipes!$AE$5:$AE$204,MATCH(G180,Recipes!$A$5:$A$204,0)),"Not found"))</f>
        <v>0</v>
      </c>
      <c r="W180" s="45">
        <f>IF(G180="","",IFERROR(INDEX(Recipes!$AF$5:$AF$204,MATCH(G180,Recipes!$A$5:$A$204,0)),"Not found"))</f>
        <v>0</v>
      </c>
      <c r="X180" s="45">
        <f>IF(G180="","",IFERROR(INDEX(Recipes!$AG$5:$AG$204,MATCH(G180,Recipes!$A$5:$A$204,0)),"Not found"))</f>
        <v>0</v>
      </c>
      <c r="Y180" s="45">
        <f>IF(G180="","",IFERROR(INDEX(Recipes!$AH$5:$AH$204,MATCH(G180,Recipes!$A$5:$A$204,0)),"Not found"))</f>
        <v>0</v>
      </c>
      <c r="Z180" s="45">
        <f>IF(G180="","",IFERROR(INDEX(Recipes!$AI$5:$AI$204,MATCH(G180,Recipes!$A$5:$A$204,0)),"Not found"))</f>
        <v>0</v>
      </c>
      <c r="AA180" s="30">
        <f>IF(OR(V180="",NOT(ISNUMBER(V180))),"",V180*K180)</f>
        <v>0</v>
      </c>
      <c r="AB180" s="18">
        <f>IF(G180="","",IFERROR(INDEX(Recipes!$J$5:$J$204,MATCH(G180,Recipes!$A$5:$A$204,0)),"Not found"))</f>
        <v>0</v>
      </c>
      <c r="AC180" s="17">
        <f>IF(G180="","",IFERROR(INDEX(Recipes!$C$5:$C$204,MATCH(G180,Recipes!$A$5:$A$204,0)),"Not found"))</f>
        <v>0</v>
      </c>
      <c r="AD180" s="46">
        <f>IF(B180="","",IF(G180&lt;&gt;"","Yes",IF(OR(I180="",ISNUMBER(SEARCH("takeaway",I180)),ISNUMBER(SEARCH("out",I180))),"No","Yes")))</f>
        <v>0</v>
      </c>
      <c r="AE180" s="17">
        <f>IF(B180="","",TEXT(B180,"yyyy-mm-dd")&amp;"|"&amp;F180)</f>
        <v>0</v>
      </c>
      <c r="AF180" s="31">
        <f>IF(B180="","",IF(AND(G180="",I180=""),"Add - nothing planned yet",IF(COUNTIFS($AE$5:$AE$504,AE180)&gt;1,"Duplicate - two meals in one slot",IF(AND(G180&lt;&gt;"",H180="Not found"),"Missing - recipe ID not on the Recipes tab",IF(AND(B180&lt;TODAY(),OR(N180="Planned",N180="")),"Check - did you cook it?","OK")))))</f>
        <v>0</v>
      </c>
    </row>
    <row r="181" spans="1:32">
      <c r="A181" s="39">
        <f>IF(B181="","",MealPrefix&amp;TEXT(ROW()-4,"0000"))</f>
        <v>0</v>
      </c>
      <c r="C181" s="17">
        <f>IF(B181="","",TEXT(B181,"ddd"))</f>
        <v>0</v>
      </c>
      <c r="D181" s="18">
        <f>IF(B181="","",WEEKNUM(B181,IF(WeekStart="Sunday",1,2)))</f>
        <v>0</v>
      </c>
      <c r="E181" s="17">
        <f>IF(B181="","",TEXT(B181,"yyyy-mm"))</f>
        <v>0</v>
      </c>
      <c r="H181" s="17">
        <f>IF(G181&lt;&gt;"",IFERROR(INDEX(Recipes!$B$5:$B$204,MATCH(G181,Recipes!$A$5:$A$204,0)),"Not found"),I181)</f>
        <v>0</v>
      </c>
      <c r="K181" s="45">
        <f>IF(B181="","",IF(J181="",DefaultServings,J181))</f>
        <v>0</v>
      </c>
      <c r="L181" s="45">
        <f>IF(G181="",0,IFERROR(K181/INDEX(Recipes!$G$5:$G$204,MATCH(G181,Recipes!$A$5:$A$204,0)),0))</f>
        <v>0</v>
      </c>
      <c r="T181" s="25">
        <f>IF(G181="","",IFERROR(INDEX(Recipes!$AD$5:$AD$204,MATCH(G181,Recipes!$A$5:$A$204,0))*K181,""))</f>
        <v>0</v>
      </c>
      <c r="V181" s="30">
        <f>IF(G181="","",IFERROR(INDEX(Recipes!$AE$5:$AE$204,MATCH(G181,Recipes!$A$5:$A$204,0)),"Not found"))</f>
        <v>0</v>
      </c>
      <c r="W181" s="45">
        <f>IF(G181="","",IFERROR(INDEX(Recipes!$AF$5:$AF$204,MATCH(G181,Recipes!$A$5:$A$204,0)),"Not found"))</f>
        <v>0</v>
      </c>
      <c r="X181" s="45">
        <f>IF(G181="","",IFERROR(INDEX(Recipes!$AG$5:$AG$204,MATCH(G181,Recipes!$A$5:$A$204,0)),"Not found"))</f>
        <v>0</v>
      </c>
      <c r="Y181" s="45">
        <f>IF(G181="","",IFERROR(INDEX(Recipes!$AH$5:$AH$204,MATCH(G181,Recipes!$A$5:$A$204,0)),"Not found"))</f>
        <v>0</v>
      </c>
      <c r="Z181" s="45">
        <f>IF(G181="","",IFERROR(INDEX(Recipes!$AI$5:$AI$204,MATCH(G181,Recipes!$A$5:$A$204,0)),"Not found"))</f>
        <v>0</v>
      </c>
      <c r="AA181" s="30">
        <f>IF(OR(V181="",NOT(ISNUMBER(V181))),"",V181*K181)</f>
        <v>0</v>
      </c>
      <c r="AB181" s="18">
        <f>IF(G181="","",IFERROR(INDEX(Recipes!$J$5:$J$204,MATCH(G181,Recipes!$A$5:$A$204,0)),"Not found"))</f>
        <v>0</v>
      </c>
      <c r="AC181" s="17">
        <f>IF(G181="","",IFERROR(INDEX(Recipes!$C$5:$C$204,MATCH(G181,Recipes!$A$5:$A$204,0)),"Not found"))</f>
        <v>0</v>
      </c>
      <c r="AD181" s="46">
        <f>IF(B181="","",IF(G181&lt;&gt;"","Yes",IF(OR(I181="",ISNUMBER(SEARCH("takeaway",I181)),ISNUMBER(SEARCH("out",I181))),"No","Yes")))</f>
        <v>0</v>
      </c>
      <c r="AE181" s="17">
        <f>IF(B181="","",TEXT(B181,"yyyy-mm-dd")&amp;"|"&amp;F181)</f>
        <v>0</v>
      </c>
      <c r="AF181" s="31">
        <f>IF(B181="","",IF(AND(G181="",I181=""),"Add - nothing planned yet",IF(COUNTIFS($AE$5:$AE$504,AE181)&gt;1,"Duplicate - two meals in one slot",IF(AND(G181&lt;&gt;"",H181="Not found"),"Missing - recipe ID not on the Recipes tab",IF(AND(B181&lt;TODAY(),OR(N181="Planned",N181="")),"Check - did you cook it?","OK")))))</f>
        <v>0</v>
      </c>
    </row>
    <row r="182" spans="1:32">
      <c r="A182" s="39">
        <f>IF(B182="","",MealPrefix&amp;TEXT(ROW()-4,"0000"))</f>
        <v>0</v>
      </c>
      <c r="C182" s="17">
        <f>IF(B182="","",TEXT(B182,"ddd"))</f>
        <v>0</v>
      </c>
      <c r="D182" s="18">
        <f>IF(B182="","",WEEKNUM(B182,IF(WeekStart="Sunday",1,2)))</f>
        <v>0</v>
      </c>
      <c r="E182" s="17">
        <f>IF(B182="","",TEXT(B182,"yyyy-mm"))</f>
        <v>0</v>
      </c>
      <c r="H182" s="17">
        <f>IF(G182&lt;&gt;"",IFERROR(INDEX(Recipes!$B$5:$B$204,MATCH(G182,Recipes!$A$5:$A$204,0)),"Not found"),I182)</f>
        <v>0</v>
      </c>
      <c r="K182" s="45">
        <f>IF(B182="","",IF(J182="",DefaultServings,J182))</f>
        <v>0</v>
      </c>
      <c r="L182" s="45">
        <f>IF(G182="",0,IFERROR(K182/INDEX(Recipes!$G$5:$G$204,MATCH(G182,Recipes!$A$5:$A$204,0)),0))</f>
        <v>0</v>
      </c>
      <c r="T182" s="25">
        <f>IF(G182="","",IFERROR(INDEX(Recipes!$AD$5:$AD$204,MATCH(G182,Recipes!$A$5:$A$204,0))*K182,""))</f>
        <v>0</v>
      </c>
      <c r="V182" s="30">
        <f>IF(G182="","",IFERROR(INDEX(Recipes!$AE$5:$AE$204,MATCH(G182,Recipes!$A$5:$A$204,0)),"Not found"))</f>
        <v>0</v>
      </c>
      <c r="W182" s="45">
        <f>IF(G182="","",IFERROR(INDEX(Recipes!$AF$5:$AF$204,MATCH(G182,Recipes!$A$5:$A$204,0)),"Not found"))</f>
        <v>0</v>
      </c>
      <c r="X182" s="45">
        <f>IF(G182="","",IFERROR(INDEX(Recipes!$AG$5:$AG$204,MATCH(G182,Recipes!$A$5:$A$204,0)),"Not found"))</f>
        <v>0</v>
      </c>
      <c r="Y182" s="45">
        <f>IF(G182="","",IFERROR(INDEX(Recipes!$AH$5:$AH$204,MATCH(G182,Recipes!$A$5:$A$204,0)),"Not found"))</f>
        <v>0</v>
      </c>
      <c r="Z182" s="45">
        <f>IF(G182="","",IFERROR(INDEX(Recipes!$AI$5:$AI$204,MATCH(G182,Recipes!$A$5:$A$204,0)),"Not found"))</f>
        <v>0</v>
      </c>
      <c r="AA182" s="30">
        <f>IF(OR(V182="",NOT(ISNUMBER(V182))),"",V182*K182)</f>
        <v>0</v>
      </c>
      <c r="AB182" s="18">
        <f>IF(G182="","",IFERROR(INDEX(Recipes!$J$5:$J$204,MATCH(G182,Recipes!$A$5:$A$204,0)),"Not found"))</f>
        <v>0</v>
      </c>
      <c r="AC182" s="17">
        <f>IF(G182="","",IFERROR(INDEX(Recipes!$C$5:$C$204,MATCH(G182,Recipes!$A$5:$A$204,0)),"Not found"))</f>
        <v>0</v>
      </c>
      <c r="AD182" s="46">
        <f>IF(B182="","",IF(G182&lt;&gt;"","Yes",IF(OR(I182="",ISNUMBER(SEARCH("takeaway",I182)),ISNUMBER(SEARCH("out",I182))),"No","Yes")))</f>
        <v>0</v>
      </c>
      <c r="AE182" s="17">
        <f>IF(B182="","",TEXT(B182,"yyyy-mm-dd")&amp;"|"&amp;F182)</f>
        <v>0</v>
      </c>
      <c r="AF182" s="31">
        <f>IF(B182="","",IF(AND(G182="",I182=""),"Add - nothing planned yet",IF(COUNTIFS($AE$5:$AE$504,AE182)&gt;1,"Duplicate - two meals in one slot",IF(AND(G182&lt;&gt;"",H182="Not found"),"Missing - recipe ID not on the Recipes tab",IF(AND(B182&lt;TODAY(),OR(N182="Planned",N182="")),"Check - did you cook it?","OK")))))</f>
        <v>0</v>
      </c>
    </row>
    <row r="183" spans="1:32">
      <c r="A183" s="39">
        <f>IF(B183="","",MealPrefix&amp;TEXT(ROW()-4,"0000"))</f>
        <v>0</v>
      </c>
      <c r="C183" s="17">
        <f>IF(B183="","",TEXT(B183,"ddd"))</f>
        <v>0</v>
      </c>
      <c r="D183" s="18">
        <f>IF(B183="","",WEEKNUM(B183,IF(WeekStart="Sunday",1,2)))</f>
        <v>0</v>
      </c>
      <c r="E183" s="17">
        <f>IF(B183="","",TEXT(B183,"yyyy-mm"))</f>
        <v>0</v>
      </c>
      <c r="H183" s="17">
        <f>IF(G183&lt;&gt;"",IFERROR(INDEX(Recipes!$B$5:$B$204,MATCH(G183,Recipes!$A$5:$A$204,0)),"Not found"),I183)</f>
        <v>0</v>
      </c>
      <c r="K183" s="45">
        <f>IF(B183="","",IF(J183="",DefaultServings,J183))</f>
        <v>0</v>
      </c>
      <c r="L183" s="45">
        <f>IF(G183="",0,IFERROR(K183/INDEX(Recipes!$G$5:$G$204,MATCH(G183,Recipes!$A$5:$A$204,0)),0))</f>
        <v>0</v>
      </c>
      <c r="T183" s="25">
        <f>IF(G183="","",IFERROR(INDEX(Recipes!$AD$5:$AD$204,MATCH(G183,Recipes!$A$5:$A$204,0))*K183,""))</f>
        <v>0</v>
      </c>
      <c r="V183" s="30">
        <f>IF(G183="","",IFERROR(INDEX(Recipes!$AE$5:$AE$204,MATCH(G183,Recipes!$A$5:$A$204,0)),"Not found"))</f>
        <v>0</v>
      </c>
      <c r="W183" s="45">
        <f>IF(G183="","",IFERROR(INDEX(Recipes!$AF$5:$AF$204,MATCH(G183,Recipes!$A$5:$A$204,0)),"Not found"))</f>
        <v>0</v>
      </c>
      <c r="X183" s="45">
        <f>IF(G183="","",IFERROR(INDEX(Recipes!$AG$5:$AG$204,MATCH(G183,Recipes!$A$5:$A$204,0)),"Not found"))</f>
        <v>0</v>
      </c>
      <c r="Y183" s="45">
        <f>IF(G183="","",IFERROR(INDEX(Recipes!$AH$5:$AH$204,MATCH(G183,Recipes!$A$5:$A$204,0)),"Not found"))</f>
        <v>0</v>
      </c>
      <c r="Z183" s="45">
        <f>IF(G183="","",IFERROR(INDEX(Recipes!$AI$5:$AI$204,MATCH(G183,Recipes!$A$5:$A$204,0)),"Not found"))</f>
        <v>0</v>
      </c>
      <c r="AA183" s="30">
        <f>IF(OR(V183="",NOT(ISNUMBER(V183))),"",V183*K183)</f>
        <v>0</v>
      </c>
      <c r="AB183" s="18">
        <f>IF(G183="","",IFERROR(INDEX(Recipes!$J$5:$J$204,MATCH(G183,Recipes!$A$5:$A$204,0)),"Not found"))</f>
        <v>0</v>
      </c>
      <c r="AC183" s="17">
        <f>IF(G183="","",IFERROR(INDEX(Recipes!$C$5:$C$204,MATCH(G183,Recipes!$A$5:$A$204,0)),"Not found"))</f>
        <v>0</v>
      </c>
      <c r="AD183" s="46">
        <f>IF(B183="","",IF(G183&lt;&gt;"","Yes",IF(OR(I183="",ISNUMBER(SEARCH("takeaway",I183)),ISNUMBER(SEARCH("out",I183))),"No","Yes")))</f>
        <v>0</v>
      </c>
      <c r="AE183" s="17">
        <f>IF(B183="","",TEXT(B183,"yyyy-mm-dd")&amp;"|"&amp;F183)</f>
        <v>0</v>
      </c>
      <c r="AF183" s="31">
        <f>IF(B183="","",IF(AND(G183="",I183=""),"Add - nothing planned yet",IF(COUNTIFS($AE$5:$AE$504,AE183)&gt;1,"Duplicate - two meals in one slot",IF(AND(G183&lt;&gt;"",H183="Not found"),"Missing - recipe ID not on the Recipes tab",IF(AND(B183&lt;TODAY(),OR(N183="Planned",N183="")),"Check - did you cook it?","OK")))))</f>
        <v>0</v>
      </c>
    </row>
    <row r="184" spans="1:32">
      <c r="A184" s="39">
        <f>IF(B184="","",MealPrefix&amp;TEXT(ROW()-4,"0000"))</f>
        <v>0</v>
      </c>
      <c r="C184" s="17">
        <f>IF(B184="","",TEXT(B184,"ddd"))</f>
        <v>0</v>
      </c>
      <c r="D184" s="18">
        <f>IF(B184="","",WEEKNUM(B184,IF(WeekStart="Sunday",1,2)))</f>
        <v>0</v>
      </c>
      <c r="E184" s="17">
        <f>IF(B184="","",TEXT(B184,"yyyy-mm"))</f>
        <v>0</v>
      </c>
      <c r="H184" s="17">
        <f>IF(G184&lt;&gt;"",IFERROR(INDEX(Recipes!$B$5:$B$204,MATCH(G184,Recipes!$A$5:$A$204,0)),"Not found"),I184)</f>
        <v>0</v>
      </c>
      <c r="K184" s="45">
        <f>IF(B184="","",IF(J184="",DefaultServings,J184))</f>
        <v>0</v>
      </c>
      <c r="L184" s="45">
        <f>IF(G184="",0,IFERROR(K184/INDEX(Recipes!$G$5:$G$204,MATCH(G184,Recipes!$A$5:$A$204,0)),0))</f>
        <v>0</v>
      </c>
      <c r="T184" s="25">
        <f>IF(G184="","",IFERROR(INDEX(Recipes!$AD$5:$AD$204,MATCH(G184,Recipes!$A$5:$A$204,0))*K184,""))</f>
        <v>0</v>
      </c>
      <c r="V184" s="30">
        <f>IF(G184="","",IFERROR(INDEX(Recipes!$AE$5:$AE$204,MATCH(G184,Recipes!$A$5:$A$204,0)),"Not found"))</f>
        <v>0</v>
      </c>
      <c r="W184" s="45">
        <f>IF(G184="","",IFERROR(INDEX(Recipes!$AF$5:$AF$204,MATCH(G184,Recipes!$A$5:$A$204,0)),"Not found"))</f>
        <v>0</v>
      </c>
      <c r="X184" s="45">
        <f>IF(G184="","",IFERROR(INDEX(Recipes!$AG$5:$AG$204,MATCH(G184,Recipes!$A$5:$A$204,0)),"Not found"))</f>
        <v>0</v>
      </c>
      <c r="Y184" s="45">
        <f>IF(G184="","",IFERROR(INDEX(Recipes!$AH$5:$AH$204,MATCH(G184,Recipes!$A$5:$A$204,0)),"Not found"))</f>
        <v>0</v>
      </c>
      <c r="Z184" s="45">
        <f>IF(G184="","",IFERROR(INDEX(Recipes!$AI$5:$AI$204,MATCH(G184,Recipes!$A$5:$A$204,0)),"Not found"))</f>
        <v>0</v>
      </c>
      <c r="AA184" s="30">
        <f>IF(OR(V184="",NOT(ISNUMBER(V184))),"",V184*K184)</f>
        <v>0</v>
      </c>
      <c r="AB184" s="18">
        <f>IF(G184="","",IFERROR(INDEX(Recipes!$J$5:$J$204,MATCH(G184,Recipes!$A$5:$A$204,0)),"Not found"))</f>
        <v>0</v>
      </c>
      <c r="AC184" s="17">
        <f>IF(G184="","",IFERROR(INDEX(Recipes!$C$5:$C$204,MATCH(G184,Recipes!$A$5:$A$204,0)),"Not found"))</f>
        <v>0</v>
      </c>
      <c r="AD184" s="46">
        <f>IF(B184="","",IF(G184&lt;&gt;"","Yes",IF(OR(I184="",ISNUMBER(SEARCH("takeaway",I184)),ISNUMBER(SEARCH("out",I184))),"No","Yes")))</f>
        <v>0</v>
      </c>
      <c r="AE184" s="17">
        <f>IF(B184="","",TEXT(B184,"yyyy-mm-dd")&amp;"|"&amp;F184)</f>
        <v>0</v>
      </c>
      <c r="AF184" s="31">
        <f>IF(B184="","",IF(AND(G184="",I184=""),"Add - nothing planned yet",IF(COUNTIFS($AE$5:$AE$504,AE184)&gt;1,"Duplicate - two meals in one slot",IF(AND(G184&lt;&gt;"",H184="Not found"),"Missing - recipe ID not on the Recipes tab",IF(AND(B184&lt;TODAY(),OR(N184="Planned",N184="")),"Check - did you cook it?","OK")))))</f>
        <v>0</v>
      </c>
    </row>
    <row r="185" spans="1:32">
      <c r="A185" s="39">
        <f>IF(B185="","",MealPrefix&amp;TEXT(ROW()-4,"0000"))</f>
        <v>0</v>
      </c>
      <c r="C185" s="17">
        <f>IF(B185="","",TEXT(B185,"ddd"))</f>
        <v>0</v>
      </c>
      <c r="D185" s="18">
        <f>IF(B185="","",WEEKNUM(B185,IF(WeekStart="Sunday",1,2)))</f>
        <v>0</v>
      </c>
      <c r="E185" s="17">
        <f>IF(B185="","",TEXT(B185,"yyyy-mm"))</f>
        <v>0</v>
      </c>
      <c r="H185" s="17">
        <f>IF(G185&lt;&gt;"",IFERROR(INDEX(Recipes!$B$5:$B$204,MATCH(G185,Recipes!$A$5:$A$204,0)),"Not found"),I185)</f>
        <v>0</v>
      </c>
      <c r="K185" s="45">
        <f>IF(B185="","",IF(J185="",DefaultServings,J185))</f>
        <v>0</v>
      </c>
      <c r="L185" s="45">
        <f>IF(G185="",0,IFERROR(K185/INDEX(Recipes!$G$5:$G$204,MATCH(G185,Recipes!$A$5:$A$204,0)),0))</f>
        <v>0</v>
      </c>
      <c r="T185" s="25">
        <f>IF(G185="","",IFERROR(INDEX(Recipes!$AD$5:$AD$204,MATCH(G185,Recipes!$A$5:$A$204,0))*K185,""))</f>
        <v>0</v>
      </c>
      <c r="V185" s="30">
        <f>IF(G185="","",IFERROR(INDEX(Recipes!$AE$5:$AE$204,MATCH(G185,Recipes!$A$5:$A$204,0)),"Not found"))</f>
        <v>0</v>
      </c>
      <c r="W185" s="45">
        <f>IF(G185="","",IFERROR(INDEX(Recipes!$AF$5:$AF$204,MATCH(G185,Recipes!$A$5:$A$204,0)),"Not found"))</f>
        <v>0</v>
      </c>
      <c r="X185" s="45">
        <f>IF(G185="","",IFERROR(INDEX(Recipes!$AG$5:$AG$204,MATCH(G185,Recipes!$A$5:$A$204,0)),"Not found"))</f>
        <v>0</v>
      </c>
      <c r="Y185" s="45">
        <f>IF(G185="","",IFERROR(INDEX(Recipes!$AH$5:$AH$204,MATCH(G185,Recipes!$A$5:$A$204,0)),"Not found"))</f>
        <v>0</v>
      </c>
      <c r="Z185" s="45">
        <f>IF(G185="","",IFERROR(INDEX(Recipes!$AI$5:$AI$204,MATCH(G185,Recipes!$A$5:$A$204,0)),"Not found"))</f>
        <v>0</v>
      </c>
      <c r="AA185" s="30">
        <f>IF(OR(V185="",NOT(ISNUMBER(V185))),"",V185*K185)</f>
        <v>0</v>
      </c>
      <c r="AB185" s="18">
        <f>IF(G185="","",IFERROR(INDEX(Recipes!$J$5:$J$204,MATCH(G185,Recipes!$A$5:$A$204,0)),"Not found"))</f>
        <v>0</v>
      </c>
      <c r="AC185" s="17">
        <f>IF(G185="","",IFERROR(INDEX(Recipes!$C$5:$C$204,MATCH(G185,Recipes!$A$5:$A$204,0)),"Not found"))</f>
        <v>0</v>
      </c>
      <c r="AD185" s="46">
        <f>IF(B185="","",IF(G185&lt;&gt;"","Yes",IF(OR(I185="",ISNUMBER(SEARCH("takeaway",I185)),ISNUMBER(SEARCH("out",I185))),"No","Yes")))</f>
        <v>0</v>
      </c>
      <c r="AE185" s="17">
        <f>IF(B185="","",TEXT(B185,"yyyy-mm-dd")&amp;"|"&amp;F185)</f>
        <v>0</v>
      </c>
      <c r="AF185" s="31">
        <f>IF(B185="","",IF(AND(G185="",I185=""),"Add - nothing planned yet",IF(COUNTIFS($AE$5:$AE$504,AE185)&gt;1,"Duplicate - two meals in one slot",IF(AND(G185&lt;&gt;"",H185="Not found"),"Missing - recipe ID not on the Recipes tab",IF(AND(B185&lt;TODAY(),OR(N185="Planned",N185="")),"Check - did you cook it?","OK")))))</f>
        <v>0</v>
      </c>
    </row>
    <row r="186" spans="1:32">
      <c r="A186" s="39">
        <f>IF(B186="","",MealPrefix&amp;TEXT(ROW()-4,"0000"))</f>
        <v>0</v>
      </c>
      <c r="C186" s="17">
        <f>IF(B186="","",TEXT(B186,"ddd"))</f>
        <v>0</v>
      </c>
      <c r="D186" s="18">
        <f>IF(B186="","",WEEKNUM(B186,IF(WeekStart="Sunday",1,2)))</f>
        <v>0</v>
      </c>
      <c r="E186" s="17">
        <f>IF(B186="","",TEXT(B186,"yyyy-mm"))</f>
        <v>0</v>
      </c>
      <c r="H186" s="17">
        <f>IF(G186&lt;&gt;"",IFERROR(INDEX(Recipes!$B$5:$B$204,MATCH(G186,Recipes!$A$5:$A$204,0)),"Not found"),I186)</f>
        <v>0</v>
      </c>
      <c r="K186" s="45">
        <f>IF(B186="","",IF(J186="",DefaultServings,J186))</f>
        <v>0</v>
      </c>
      <c r="L186" s="45">
        <f>IF(G186="",0,IFERROR(K186/INDEX(Recipes!$G$5:$G$204,MATCH(G186,Recipes!$A$5:$A$204,0)),0))</f>
        <v>0</v>
      </c>
      <c r="T186" s="25">
        <f>IF(G186="","",IFERROR(INDEX(Recipes!$AD$5:$AD$204,MATCH(G186,Recipes!$A$5:$A$204,0))*K186,""))</f>
        <v>0</v>
      </c>
      <c r="V186" s="30">
        <f>IF(G186="","",IFERROR(INDEX(Recipes!$AE$5:$AE$204,MATCH(G186,Recipes!$A$5:$A$204,0)),"Not found"))</f>
        <v>0</v>
      </c>
      <c r="W186" s="45">
        <f>IF(G186="","",IFERROR(INDEX(Recipes!$AF$5:$AF$204,MATCH(G186,Recipes!$A$5:$A$204,0)),"Not found"))</f>
        <v>0</v>
      </c>
      <c r="X186" s="45">
        <f>IF(G186="","",IFERROR(INDEX(Recipes!$AG$5:$AG$204,MATCH(G186,Recipes!$A$5:$A$204,0)),"Not found"))</f>
        <v>0</v>
      </c>
      <c r="Y186" s="45">
        <f>IF(G186="","",IFERROR(INDEX(Recipes!$AH$5:$AH$204,MATCH(G186,Recipes!$A$5:$A$204,0)),"Not found"))</f>
        <v>0</v>
      </c>
      <c r="Z186" s="45">
        <f>IF(G186="","",IFERROR(INDEX(Recipes!$AI$5:$AI$204,MATCH(G186,Recipes!$A$5:$A$204,0)),"Not found"))</f>
        <v>0</v>
      </c>
      <c r="AA186" s="30">
        <f>IF(OR(V186="",NOT(ISNUMBER(V186))),"",V186*K186)</f>
        <v>0</v>
      </c>
      <c r="AB186" s="18">
        <f>IF(G186="","",IFERROR(INDEX(Recipes!$J$5:$J$204,MATCH(G186,Recipes!$A$5:$A$204,0)),"Not found"))</f>
        <v>0</v>
      </c>
      <c r="AC186" s="17">
        <f>IF(G186="","",IFERROR(INDEX(Recipes!$C$5:$C$204,MATCH(G186,Recipes!$A$5:$A$204,0)),"Not found"))</f>
        <v>0</v>
      </c>
      <c r="AD186" s="46">
        <f>IF(B186="","",IF(G186&lt;&gt;"","Yes",IF(OR(I186="",ISNUMBER(SEARCH("takeaway",I186)),ISNUMBER(SEARCH("out",I186))),"No","Yes")))</f>
        <v>0</v>
      </c>
      <c r="AE186" s="17">
        <f>IF(B186="","",TEXT(B186,"yyyy-mm-dd")&amp;"|"&amp;F186)</f>
        <v>0</v>
      </c>
      <c r="AF186" s="31">
        <f>IF(B186="","",IF(AND(G186="",I186=""),"Add - nothing planned yet",IF(COUNTIFS($AE$5:$AE$504,AE186)&gt;1,"Duplicate - two meals in one slot",IF(AND(G186&lt;&gt;"",H186="Not found"),"Missing - recipe ID not on the Recipes tab",IF(AND(B186&lt;TODAY(),OR(N186="Planned",N186="")),"Check - did you cook it?","OK")))))</f>
        <v>0</v>
      </c>
    </row>
    <row r="187" spans="1:32">
      <c r="A187" s="39">
        <f>IF(B187="","",MealPrefix&amp;TEXT(ROW()-4,"0000"))</f>
        <v>0</v>
      </c>
      <c r="C187" s="17">
        <f>IF(B187="","",TEXT(B187,"ddd"))</f>
        <v>0</v>
      </c>
      <c r="D187" s="18">
        <f>IF(B187="","",WEEKNUM(B187,IF(WeekStart="Sunday",1,2)))</f>
        <v>0</v>
      </c>
      <c r="E187" s="17">
        <f>IF(B187="","",TEXT(B187,"yyyy-mm"))</f>
        <v>0</v>
      </c>
      <c r="H187" s="17">
        <f>IF(G187&lt;&gt;"",IFERROR(INDEX(Recipes!$B$5:$B$204,MATCH(G187,Recipes!$A$5:$A$204,0)),"Not found"),I187)</f>
        <v>0</v>
      </c>
      <c r="K187" s="45">
        <f>IF(B187="","",IF(J187="",DefaultServings,J187))</f>
        <v>0</v>
      </c>
      <c r="L187" s="45">
        <f>IF(G187="",0,IFERROR(K187/INDEX(Recipes!$G$5:$G$204,MATCH(G187,Recipes!$A$5:$A$204,0)),0))</f>
        <v>0</v>
      </c>
      <c r="T187" s="25">
        <f>IF(G187="","",IFERROR(INDEX(Recipes!$AD$5:$AD$204,MATCH(G187,Recipes!$A$5:$A$204,0))*K187,""))</f>
        <v>0</v>
      </c>
      <c r="V187" s="30">
        <f>IF(G187="","",IFERROR(INDEX(Recipes!$AE$5:$AE$204,MATCH(G187,Recipes!$A$5:$A$204,0)),"Not found"))</f>
        <v>0</v>
      </c>
      <c r="W187" s="45">
        <f>IF(G187="","",IFERROR(INDEX(Recipes!$AF$5:$AF$204,MATCH(G187,Recipes!$A$5:$A$204,0)),"Not found"))</f>
        <v>0</v>
      </c>
      <c r="X187" s="45">
        <f>IF(G187="","",IFERROR(INDEX(Recipes!$AG$5:$AG$204,MATCH(G187,Recipes!$A$5:$A$204,0)),"Not found"))</f>
        <v>0</v>
      </c>
      <c r="Y187" s="45">
        <f>IF(G187="","",IFERROR(INDEX(Recipes!$AH$5:$AH$204,MATCH(G187,Recipes!$A$5:$A$204,0)),"Not found"))</f>
        <v>0</v>
      </c>
      <c r="Z187" s="45">
        <f>IF(G187="","",IFERROR(INDEX(Recipes!$AI$5:$AI$204,MATCH(G187,Recipes!$A$5:$A$204,0)),"Not found"))</f>
        <v>0</v>
      </c>
      <c r="AA187" s="30">
        <f>IF(OR(V187="",NOT(ISNUMBER(V187))),"",V187*K187)</f>
        <v>0</v>
      </c>
      <c r="AB187" s="18">
        <f>IF(G187="","",IFERROR(INDEX(Recipes!$J$5:$J$204,MATCH(G187,Recipes!$A$5:$A$204,0)),"Not found"))</f>
        <v>0</v>
      </c>
      <c r="AC187" s="17">
        <f>IF(G187="","",IFERROR(INDEX(Recipes!$C$5:$C$204,MATCH(G187,Recipes!$A$5:$A$204,0)),"Not found"))</f>
        <v>0</v>
      </c>
      <c r="AD187" s="46">
        <f>IF(B187="","",IF(G187&lt;&gt;"","Yes",IF(OR(I187="",ISNUMBER(SEARCH("takeaway",I187)),ISNUMBER(SEARCH("out",I187))),"No","Yes")))</f>
        <v>0</v>
      </c>
      <c r="AE187" s="17">
        <f>IF(B187="","",TEXT(B187,"yyyy-mm-dd")&amp;"|"&amp;F187)</f>
        <v>0</v>
      </c>
      <c r="AF187" s="31">
        <f>IF(B187="","",IF(AND(G187="",I187=""),"Add - nothing planned yet",IF(COUNTIFS($AE$5:$AE$504,AE187)&gt;1,"Duplicate - two meals in one slot",IF(AND(G187&lt;&gt;"",H187="Not found"),"Missing - recipe ID not on the Recipes tab",IF(AND(B187&lt;TODAY(),OR(N187="Planned",N187="")),"Check - did you cook it?","OK")))))</f>
        <v>0</v>
      </c>
    </row>
    <row r="188" spans="1:32">
      <c r="A188" s="39">
        <f>IF(B188="","",MealPrefix&amp;TEXT(ROW()-4,"0000"))</f>
        <v>0</v>
      </c>
      <c r="C188" s="17">
        <f>IF(B188="","",TEXT(B188,"ddd"))</f>
        <v>0</v>
      </c>
      <c r="D188" s="18">
        <f>IF(B188="","",WEEKNUM(B188,IF(WeekStart="Sunday",1,2)))</f>
        <v>0</v>
      </c>
      <c r="E188" s="17">
        <f>IF(B188="","",TEXT(B188,"yyyy-mm"))</f>
        <v>0</v>
      </c>
      <c r="H188" s="17">
        <f>IF(G188&lt;&gt;"",IFERROR(INDEX(Recipes!$B$5:$B$204,MATCH(G188,Recipes!$A$5:$A$204,0)),"Not found"),I188)</f>
        <v>0</v>
      </c>
      <c r="K188" s="45">
        <f>IF(B188="","",IF(J188="",DefaultServings,J188))</f>
        <v>0</v>
      </c>
      <c r="L188" s="45">
        <f>IF(G188="",0,IFERROR(K188/INDEX(Recipes!$G$5:$G$204,MATCH(G188,Recipes!$A$5:$A$204,0)),0))</f>
        <v>0</v>
      </c>
      <c r="T188" s="25">
        <f>IF(G188="","",IFERROR(INDEX(Recipes!$AD$5:$AD$204,MATCH(G188,Recipes!$A$5:$A$204,0))*K188,""))</f>
        <v>0</v>
      </c>
      <c r="V188" s="30">
        <f>IF(G188="","",IFERROR(INDEX(Recipes!$AE$5:$AE$204,MATCH(G188,Recipes!$A$5:$A$204,0)),"Not found"))</f>
        <v>0</v>
      </c>
      <c r="W188" s="45">
        <f>IF(G188="","",IFERROR(INDEX(Recipes!$AF$5:$AF$204,MATCH(G188,Recipes!$A$5:$A$204,0)),"Not found"))</f>
        <v>0</v>
      </c>
      <c r="X188" s="45">
        <f>IF(G188="","",IFERROR(INDEX(Recipes!$AG$5:$AG$204,MATCH(G188,Recipes!$A$5:$A$204,0)),"Not found"))</f>
        <v>0</v>
      </c>
      <c r="Y188" s="45">
        <f>IF(G188="","",IFERROR(INDEX(Recipes!$AH$5:$AH$204,MATCH(G188,Recipes!$A$5:$A$204,0)),"Not found"))</f>
        <v>0</v>
      </c>
      <c r="Z188" s="45">
        <f>IF(G188="","",IFERROR(INDEX(Recipes!$AI$5:$AI$204,MATCH(G188,Recipes!$A$5:$A$204,0)),"Not found"))</f>
        <v>0</v>
      </c>
      <c r="AA188" s="30">
        <f>IF(OR(V188="",NOT(ISNUMBER(V188))),"",V188*K188)</f>
        <v>0</v>
      </c>
      <c r="AB188" s="18">
        <f>IF(G188="","",IFERROR(INDEX(Recipes!$J$5:$J$204,MATCH(G188,Recipes!$A$5:$A$204,0)),"Not found"))</f>
        <v>0</v>
      </c>
      <c r="AC188" s="17">
        <f>IF(G188="","",IFERROR(INDEX(Recipes!$C$5:$C$204,MATCH(G188,Recipes!$A$5:$A$204,0)),"Not found"))</f>
        <v>0</v>
      </c>
      <c r="AD188" s="46">
        <f>IF(B188="","",IF(G188&lt;&gt;"","Yes",IF(OR(I188="",ISNUMBER(SEARCH("takeaway",I188)),ISNUMBER(SEARCH("out",I188))),"No","Yes")))</f>
        <v>0</v>
      </c>
      <c r="AE188" s="17">
        <f>IF(B188="","",TEXT(B188,"yyyy-mm-dd")&amp;"|"&amp;F188)</f>
        <v>0</v>
      </c>
      <c r="AF188" s="31">
        <f>IF(B188="","",IF(AND(G188="",I188=""),"Add - nothing planned yet",IF(COUNTIFS($AE$5:$AE$504,AE188)&gt;1,"Duplicate - two meals in one slot",IF(AND(G188&lt;&gt;"",H188="Not found"),"Missing - recipe ID not on the Recipes tab",IF(AND(B188&lt;TODAY(),OR(N188="Planned",N188="")),"Check - did you cook it?","OK")))))</f>
        <v>0</v>
      </c>
    </row>
    <row r="189" spans="1:32">
      <c r="A189" s="39">
        <f>IF(B189="","",MealPrefix&amp;TEXT(ROW()-4,"0000"))</f>
        <v>0</v>
      </c>
      <c r="C189" s="17">
        <f>IF(B189="","",TEXT(B189,"ddd"))</f>
        <v>0</v>
      </c>
      <c r="D189" s="18">
        <f>IF(B189="","",WEEKNUM(B189,IF(WeekStart="Sunday",1,2)))</f>
        <v>0</v>
      </c>
      <c r="E189" s="17">
        <f>IF(B189="","",TEXT(B189,"yyyy-mm"))</f>
        <v>0</v>
      </c>
      <c r="H189" s="17">
        <f>IF(G189&lt;&gt;"",IFERROR(INDEX(Recipes!$B$5:$B$204,MATCH(G189,Recipes!$A$5:$A$204,0)),"Not found"),I189)</f>
        <v>0</v>
      </c>
      <c r="K189" s="45">
        <f>IF(B189="","",IF(J189="",DefaultServings,J189))</f>
        <v>0</v>
      </c>
      <c r="L189" s="45">
        <f>IF(G189="",0,IFERROR(K189/INDEX(Recipes!$G$5:$G$204,MATCH(G189,Recipes!$A$5:$A$204,0)),0))</f>
        <v>0</v>
      </c>
      <c r="T189" s="25">
        <f>IF(G189="","",IFERROR(INDEX(Recipes!$AD$5:$AD$204,MATCH(G189,Recipes!$A$5:$A$204,0))*K189,""))</f>
        <v>0</v>
      </c>
      <c r="V189" s="30">
        <f>IF(G189="","",IFERROR(INDEX(Recipes!$AE$5:$AE$204,MATCH(G189,Recipes!$A$5:$A$204,0)),"Not found"))</f>
        <v>0</v>
      </c>
      <c r="W189" s="45">
        <f>IF(G189="","",IFERROR(INDEX(Recipes!$AF$5:$AF$204,MATCH(G189,Recipes!$A$5:$A$204,0)),"Not found"))</f>
        <v>0</v>
      </c>
      <c r="X189" s="45">
        <f>IF(G189="","",IFERROR(INDEX(Recipes!$AG$5:$AG$204,MATCH(G189,Recipes!$A$5:$A$204,0)),"Not found"))</f>
        <v>0</v>
      </c>
      <c r="Y189" s="45">
        <f>IF(G189="","",IFERROR(INDEX(Recipes!$AH$5:$AH$204,MATCH(G189,Recipes!$A$5:$A$204,0)),"Not found"))</f>
        <v>0</v>
      </c>
      <c r="Z189" s="45">
        <f>IF(G189="","",IFERROR(INDEX(Recipes!$AI$5:$AI$204,MATCH(G189,Recipes!$A$5:$A$204,0)),"Not found"))</f>
        <v>0</v>
      </c>
      <c r="AA189" s="30">
        <f>IF(OR(V189="",NOT(ISNUMBER(V189))),"",V189*K189)</f>
        <v>0</v>
      </c>
      <c r="AB189" s="18">
        <f>IF(G189="","",IFERROR(INDEX(Recipes!$J$5:$J$204,MATCH(G189,Recipes!$A$5:$A$204,0)),"Not found"))</f>
        <v>0</v>
      </c>
      <c r="AC189" s="17">
        <f>IF(G189="","",IFERROR(INDEX(Recipes!$C$5:$C$204,MATCH(G189,Recipes!$A$5:$A$204,0)),"Not found"))</f>
        <v>0</v>
      </c>
      <c r="AD189" s="46">
        <f>IF(B189="","",IF(G189&lt;&gt;"","Yes",IF(OR(I189="",ISNUMBER(SEARCH("takeaway",I189)),ISNUMBER(SEARCH("out",I189))),"No","Yes")))</f>
        <v>0</v>
      </c>
      <c r="AE189" s="17">
        <f>IF(B189="","",TEXT(B189,"yyyy-mm-dd")&amp;"|"&amp;F189)</f>
        <v>0</v>
      </c>
      <c r="AF189" s="31">
        <f>IF(B189="","",IF(AND(G189="",I189=""),"Add - nothing planned yet",IF(COUNTIFS($AE$5:$AE$504,AE189)&gt;1,"Duplicate - two meals in one slot",IF(AND(G189&lt;&gt;"",H189="Not found"),"Missing - recipe ID not on the Recipes tab",IF(AND(B189&lt;TODAY(),OR(N189="Planned",N189="")),"Check - did you cook it?","OK")))))</f>
        <v>0</v>
      </c>
    </row>
    <row r="190" spans="1:32">
      <c r="A190" s="39">
        <f>IF(B190="","",MealPrefix&amp;TEXT(ROW()-4,"0000"))</f>
        <v>0</v>
      </c>
      <c r="C190" s="17">
        <f>IF(B190="","",TEXT(B190,"ddd"))</f>
        <v>0</v>
      </c>
      <c r="D190" s="18">
        <f>IF(B190="","",WEEKNUM(B190,IF(WeekStart="Sunday",1,2)))</f>
        <v>0</v>
      </c>
      <c r="E190" s="17">
        <f>IF(B190="","",TEXT(B190,"yyyy-mm"))</f>
        <v>0</v>
      </c>
      <c r="H190" s="17">
        <f>IF(G190&lt;&gt;"",IFERROR(INDEX(Recipes!$B$5:$B$204,MATCH(G190,Recipes!$A$5:$A$204,0)),"Not found"),I190)</f>
        <v>0</v>
      </c>
      <c r="K190" s="45">
        <f>IF(B190="","",IF(J190="",DefaultServings,J190))</f>
        <v>0</v>
      </c>
      <c r="L190" s="45">
        <f>IF(G190="",0,IFERROR(K190/INDEX(Recipes!$G$5:$G$204,MATCH(G190,Recipes!$A$5:$A$204,0)),0))</f>
        <v>0</v>
      </c>
      <c r="T190" s="25">
        <f>IF(G190="","",IFERROR(INDEX(Recipes!$AD$5:$AD$204,MATCH(G190,Recipes!$A$5:$A$204,0))*K190,""))</f>
        <v>0</v>
      </c>
      <c r="V190" s="30">
        <f>IF(G190="","",IFERROR(INDEX(Recipes!$AE$5:$AE$204,MATCH(G190,Recipes!$A$5:$A$204,0)),"Not found"))</f>
        <v>0</v>
      </c>
      <c r="W190" s="45">
        <f>IF(G190="","",IFERROR(INDEX(Recipes!$AF$5:$AF$204,MATCH(G190,Recipes!$A$5:$A$204,0)),"Not found"))</f>
        <v>0</v>
      </c>
      <c r="X190" s="45">
        <f>IF(G190="","",IFERROR(INDEX(Recipes!$AG$5:$AG$204,MATCH(G190,Recipes!$A$5:$A$204,0)),"Not found"))</f>
        <v>0</v>
      </c>
      <c r="Y190" s="45">
        <f>IF(G190="","",IFERROR(INDEX(Recipes!$AH$5:$AH$204,MATCH(G190,Recipes!$A$5:$A$204,0)),"Not found"))</f>
        <v>0</v>
      </c>
      <c r="Z190" s="45">
        <f>IF(G190="","",IFERROR(INDEX(Recipes!$AI$5:$AI$204,MATCH(G190,Recipes!$A$5:$A$204,0)),"Not found"))</f>
        <v>0</v>
      </c>
      <c r="AA190" s="30">
        <f>IF(OR(V190="",NOT(ISNUMBER(V190))),"",V190*K190)</f>
        <v>0</v>
      </c>
      <c r="AB190" s="18">
        <f>IF(G190="","",IFERROR(INDEX(Recipes!$J$5:$J$204,MATCH(G190,Recipes!$A$5:$A$204,0)),"Not found"))</f>
        <v>0</v>
      </c>
      <c r="AC190" s="17">
        <f>IF(G190="","",IFERROR(INDEX(Recipes!$C$5:$C$204,MATCH(G190,Recipes!$A$5:$A$204,0)),"Not found"))</f>
        <v>0</v>
      </c>
      <c r="AD190" s="46">
        <f>IF(B190="","",IF(G190&lt;&gt;"","Yes",IF(OR(I190="",ISNUMBER(SEARCH("takeaway",I190)),ISNUMBER(SEARCH("out",I190))),"No","Yes")))</f>
        <v>0</v>
      </c>
      <c r="AE190" s="17">
        <f>IF(B190="","",TEXT(B190,"yyyy-mm-dd")&amp;"|"&amp;F190)</f>
        <v>0</v>
      </c>
      <c r="AF190" s="31">
        <f>IF(B190="","",IF(AND(G190="",I190=""),"Add - nothing planned yet",IF(COUNTIFS($AE$5:$AE$504,AE190)&gt;1,"Duplicate - two meals in one slot",IF(AND(G190&lt;&gt;"",H190="Not found"),"Missing - recipe ID not on the Recipes tab",IF(AND(B190&lt;TODAY(),OR(N190="Planned",N190="")),"Check - did you cook it?","OK")))))</f>
        <v>0</v>
      </c>
    </row>
    <row r="191" spans="1:32">
      <c r="A191" s="39">
        <f>IF(B191="","",MealPrefix&amp;TEXT(ROW()-4,"0000"))</f>
        <v>0</v>
      </c>
      <c r="C191" s="17">
        <f>IF(B191="","",TEXT(B191,"ddd"))</f>
        <v>0</v>
      </c>
      <c r="D191" s="18">
        <f>IF(B191="","",WEEKNUM(B191,IF(WeekStart="Sunday",1,2)))</f>
        <v>0</v>
      </c>
      <c r="E191" s="17">
        <f>IF(B191="","",TEXT(B191,"yyyy-mm"))</f>
        <v>0</v>
      </c>
      <c r="H191" s="17">
        <f>IF(G191&lt;&gt;"",IFERROR(INDEX(Recipes!$B$5:$B$204,MATCH(G191,Recipes!$A$5:$A$204,0)),"Not found"),I191)</f>
        <v>0</v>
      </c>
      <c r="K191" s="45">
        <f>IF(B191="","",IF(J191="",DefaultServings,J191))</f>
        <v>0</v>
      </c>
      <c r="L191" s="45">
        <f>IF(G191="",0,IFERROR(K191/INDEX(Recipes!$G$5:$G$204,MATCH(G191,Recipes!$A$5:$A$204,0)),0))</f>
        <v>0</v>
      </c>
      <c r="T191" s="25">
        <f>IF(G191="","",IFERROR(INDEX(Recipes!$AD$5:$AD$204,MATCH(G191,Recipes!$A$5:$A$204,0))*K191,""))</f>
        <v>0</v>
      </c>
      <c r="V191" s="30">
        <f>IF(G191="","",IFERROR(INDEX(Recipes!$AE$5:$AE$204,MATCH(G191,Recipes!$A$5:$A$204,0)),"Not found"))</f>
        <v>0</v>
      </c>
      <c r="W191" s="45">
        <f>IF(G191="","",IFERROR(INDEX(Recipes!$AF$5:$AF$204,MATCH(G191,Recipes!$A$5:$A$204,0)),"Not found"))</f>
        <v>0</v>
      </c>
      <c r="X191" s="45">
        <f>IF(G191="","",IFERROR(INDEX(Recipes!$AG$5:$AG$204,MATCH(G191,Recipes!$A$5:$A$204,0)),"Not found"))</f>
        <v>0</v>
      </c>
      <c r="Y191" s="45">
        <f>IF(G191="","",IFERROR(INDEX(Recipes!$AH$5:$AH$204,MATCH(G191,Recipes!$A$5:$A$204,0)),"Not found"))</f>
        <v>0</v>
      </c>
      <c r="Z191" s="45">
        <f>IF(G191="","",IFERROR(INDEX(Recipes!$AI$5:$AI$204,MATCH(G191,Recipes!$A$5:$A$204,0)),"Not found"))</f>
        <v>0</v>
      </c>
      <c r="AA191" s="30">
        <f>IF(OR(V191="",NOT(ISNUMBER(V191))),"",V191*K191)</f>
        <v>0</v>
      </c>
      <c r="AB191" s="18">
        <f>IF(G191="","",IFERROR(INDEX(Recipes!$J$5:$J$204,MATCH(G191,Recipes!$A$5:$A$204,0)),"Not found"))</f>
        <v>0</v>
      </c>
      <c r="AC191" s="17">
        <f>IF(G191="","",IFERROR(INDEX(Recipes!$C$5:$C$204,MATCH(G191,Recipes!$A$5:$A$204,0)),"Not found"))</f>
        <v>0</v>
      </c>
      <c r="AD191" s="46">
        <f>IF(B191="","",IF(G191&lt;&gt;"","Yes",IF(OR(I191="",ISNUMBER(SEARCH("takeaway",I191)),ISNUMBER(SEARCH("out",I191))),"No","Yes")))</f>
        <v>0</v>
      </c>
      <c r="AE191" s="17">
        <f>IF(B191="","",TEXT(B191,"yyyy-mm-dd")&amp;"|"&amp;F191)</f>
        <v>0</v>
      </c>
      <c r="AF191" s="31">
        <f>IF(B191="","",IF(AND(G191="",I191=""),"Add - nothing planned yet",IF(COUNTIFS($AE$5:$AE$504,AE191)&gt;1,"Duplicate - two meals in one slot",IF(AND(G191&lt;&gt;"",H191="Not found"),"Missing - recipe ID not on the Recipes tab",IF(AND(B191&lt;TODAY(),OR(N191="Planned",N191="")),"Check - did you cook it?","OK")))))</f>
        <v>0</v>
      </c>
    </row>
    <row r="192" spans="1:32">
      <c r="A192" s="39">
        <f>IF(B192="","",MealPrefix&amp;TEXT(ROW()-4,"0000"))</f>
        <v>0</v>
      </c>
      <c r="C192" s="17">
        <f>IF(B192="","",TEXT(B192,"ddd"))</f>
        <v>0</v>
      </c>
      <c r="D192" s="18">
        <f>IF(B192="","",WEEKNUM(B192,IF(WeekStart="Sunday",1,2)))</f>
        <v>0</v>
      </c>
      <c r="E192" s="17">
        <f>IF(B192="","",TEXT(B192,"yyyy-mm"))</f>
        <v>0</v>
      </c>
      <c r="H192" s="17">
        <f>IF(G192&lt;&gt;"",IFERROR(INDEX(Recipes!$B$5:$B$204,MATCH(G192,Recipes!$A$5:$A$204,0)),"Not found"),I192)</f>
        <v>0</v>
      </c>
      <c r="K192" s="45">
        <f>IF(B192="","",IF(J192="",DefaultServings,J192))</f>
        <v>0</v>
      </c>
      <c r="L192" s="45">
        <f>IF(G192="",0,IFERROR(K192/INDEX(Recipes!$G$5:$G$204,MATCH(G192,Recipes!$A$5:$A$204,0)),0))</f>
        <v>0</v>
      </c>
      <c r="T192" s="25">
        <f>IF(G192="","",IFERROR(INDEX(Recipes!$AD$5:$AD$204,MATCH(G192,Recipes!$A$5:$A$204,0))*K192,""))</f>
        <v>0</v>
      </c>
      <c r="V192" s="30">
        <f>IF(G192="","",IFERROR(INDEX(Recipes!$AE$5:$AE$204,MATCH(G192,Recipes!$A$5:$A$204,0)),"Not found"))</f>
        <v>0</v>
      </c>
      <c r="W192" s="45">
        <f>IF(G192="","",IFERROR(INDEX(Recipes!$AF$5:$AF$204,MATCH(G192,Recipes!$A$5:$A$204,0)),"Not found"))</f>
        <v>0</v>
      </c>
      <c r="X192" s="45">
        <f>IF(G192="","",IFERROR(INDEX(Recipes!$AG$5:$AG$204,MATCH(G192,Recipes!$A$5:$A$204,0)),"Not found"))</f>
        <v>0</v>
      </c>
      <c r="Y192" s="45">
        <f>IF(G192="","",IFERROR(INDEX(Recipes!$AH$5:$AH$204,MATCH(G192,Recipes!$A$5:$A$204,0)),"Not found"))</f>
        <v>0</v>
      </c>
      <c r="Z192" s="45">
        <f>IF(G192="","",IFERROR(INDEX(Recipes!$AI$5:$AI$204,MATCH(G192,Recipes!$A$5:$A$204,0)),"Not found"))</f>
        <v>0</v>
      </c>
      <c r="AA192" s="30">
        <f>IF(OR(V192="",NOT(ISNUMBER(V192))),"",V192*K192)</f>
        <v>0</v>
      </c>
      <c r="AB192" s="18">
        <f>IF(G192="","",IFERROR(INDEX(Recipes!$J$5:$J$204,MATCH(G192,Recipes!$A$5:$A$204,0)),"Not found"))</f>
        <v>0</v>
      </c>
      <c r="AC192" s="17">
        <f>IF(G192="","",IFERROR(INDEX(Recipes!$C$5:$C$204,MATCH(G192,Recipes!$A$5:$A$204,0)),"Not found"))</f>
        <v>0</v>
      </c>
      <c r="AD192" s="46">
        <f>IF(B192="","",IF(G192&lt;&gt;"","Yes",IF(OR(I192="",ISNUMBER(SEARCH("takeaway",I192)),ISNUMBER(SEARCH("out",I192))),"No","Yes")))</f>
        <v>0</v>
      </c>
      <c r="AE192" s="17">
        <f>IF(B192="","",TEXT(B192,"yyyy-mm-dd")&amp;"|"&amp;F192)</f>
        <v>0</v>
      </c>
      <c r="AF192" s="31">
        <f>IF(B192="","",IF(AND(G192="",I192=""),"Add - nothing planned yet",IF(COUNTIFS($AE$5:$AE$504,AE192)&gt;1,"Duplicate - two meals in one slot",IF(AND(G192&lt;&gt;"",H192="Not found"),"Missing - recipe ID not on the Recipes tab",IF(AND(B192&lt;TODAY(),OR(N192="Planned",N192="")),"Check - did you cook it?","OK")))))</f>
        <v>0</v>
      </c>
    </row>
    <row r="193" spans="1:32">
      <c r="A193" s="39">
        <f>IF(B193="","",MealPrefix&amp;TEXT(ROW()-4,"0000"))</f>
        <v>0</v>
      </c>
      <c r="C193" s="17">
        <f>IF(B193="","",TEXT(B193,"ddd"))</f>
        <v>0</v>
      </c>
      <c r="D193" s="18">
        <f>IF(B193="","",WEEKNUM(B193,IF(WeekStart="Sunday",1,2)))</f>
        <v>0</v>
      </c>
      <c r="E193" s="17">
        <f>IF(B193="","",TEXT(B193,"yyyy-mm"))</f>
        <v>0</v>
      </c>
      <c r="H193" s="17">
        <f>IF(G193&lt;&gt;"",IFERROR(INDEX(Recipes!$B$5:$B$204,MATCH(G193,Recipes!$A$5:$A$204,0)),"Not found"),I193)</f>
        <v>0</v>
      </c>
      <c r="K193" s="45">
        <f>IF(B193="","",IF(J193="",DefaultServings,J193))</f>
        <v>0</v>
      </c>
      <c r="L193" s="45">
        <f>IF(G193="",0,IFERROR(K193/INDEX(Recipes!$G$5:$G$204,MATCH(G193,Recipes!$A$5:$A$204,0)),0))</f>
        <v>0</v>
      </c>
      <c r="T193" s="25">
        <f>IF(G193="","",IFERROR(INDEX(Recipes!$AD$5:$AD$204,MATCH(G193,Recipes!$A$5:$A$204,0))*K193,""))</f>
        <v>0</v>
      </c>
      <c r="V193" s="30">
        <f>IF(G193="","",IFERROR(INDEX(Recipes!$AE$5:$AE$204,MATCH(G193,Recipes!$A$5:$A$204,0)),"Not found"))</f>
        <v>0</v>
      </c>
      <c r="W193" s="45">
        <f>IF(G193="","",IFERROR(INDEX(Recipes!$AF$5:$AF$204,MATCH(G193,Recipes!$A$5:$A$204,0)),"Not found"))</f>
        <v>0</v>
      </c>
      <c r="X193" s="45">
        <f>IF(G193="","",IFERROR(INDEX(Recipes!$AG$5:$AG$204,MATCH(G193,Recipes!$A$5:$A$204,0)),"Not found"))</f>
        <v>0</v>
      </c>
      <c r="Y193" s="45">
        <f>IF(G193="","",IFERROR(INDEX(Recipes!$AH$5:$AH$204,MATCH(G193,Recipes!$A$5:$A$204,0)),"Not found"))</f>
        <v>0</v>
      </c>
      <c r="Z193" s="45">
        <f>IF(G193="","",IFERROR(INDEX(Recipes!$AI$5:$AI$204,MATCH(G193,Recipes!$A$5:$A$204,0)),"Not found"))</f>
        <v>0</v>
      </c>
      <c r="AA193" s="30">
        <f>IF(OR(V193="",NOT(ISNUMBER(V193))),"",V193*K193)</f>
        <v>0</v>
      </c>
      <c r="AB193" s="18">
        <f>IF(G193="","",IFERROR(INDEX(Recipes!$J$5:$J$204,MATCH(G193,Recipes!$A$5:$A$204,0)),"Not found"))</f>
        <v>0</v>
      </c>
      <c r="AC193" s="17">
        <f>IF(G193="","",IFERROR(INDEX(Recipes!$C$5:$C$204,MATCH(G193,Recipes!$A$5:$A$204,0)),"Not found"))</f>
        <v>0</v>
      </c>
      <c r="AD193" s="46">
        <f>IF(B193="","",IF(G193&lt;&gt;"","Yes",IF(OR(I193="",ISNUMBER(SEARCH("takeaway",I193)),ISNUMBER(SEARCH("out",I193))),"No","Yes")))</f>
        <v>0</v>
      </c>
      <c r="AE193" s="17">
        <f>IF(B193="","",TEXT(B193,"yyyy-mm-dd")&amp;"|"&amp;F193)</f>
        <v>0</v>
      </c>
      <c r="AF193" s="31">
        <f>IF(B193="","",IF(AND(G193="",I193=""),"Add - nothing planned yet",IF(COUNTIFS($AE$5:$AE$504,AE193)&gt;1,"Duplicate - two meals in one slot",IF(AND(G193&lt;&gt;"",H193="Not found"),"Missing - recipe ID not on the Recipes tab",IF(AND(B193&lt;TODAY(),OR(N193="Planned",N193="")),"Check - did you cook it?","OK")))))</f>
        <v>0</v>
      </c>
    </row>
    <row r="194" spans="1:32">
      <c r="A194" s="39">
        <f>IF(B194="","",MealPrefix&amp;TEXT(ROW()-4,"0000"))</f>
        <v>0</v>
      </c>
      <c r="C194" s="17">
        <f>IF(B194="","",TEXT(B194,"ddd"))</f>
        <v>0</v>
      </c>
      <c r="D194" s="18">
        <f>IF(B194="","",WEEKNUM(B194,IF(WeekStart="Sunday",1,2)))</f>
        <v>0</v>
      </c>
      <c r="E194" s="17">
        <f>IF(B194="","",TEXT(B194,"yyyy-mm"))</f>
        <v>0</v>
      </c>
      <c r="H194" s="17">
        <f>IF(G194&lt;&gt;"",IFERROR(INDEX(Recipes!$B$5:$B$204,MATCH(G194,Recipes!$A$5:$A$204,0)),"Not found"),I194)</f>
        <v>0</v>
      </c>
      <c r="K194" s="45">
        <f>IF(B194="","",IF(J194="",DefaultServings,J194))</f>
        <v>0</v>
      </c>
      <c r="L194" s="45">
        <f>IF(G194="",0,IFERROR(K194/INDEX(Recipes!$G$5:$G$204,MATCH(G194,Recipes!$A$5:$A$204,0)),0))</f>
        <v>0</v>
      </c>
      <c r="T194" s="25">
        <f>IF(G194="","",IFERROR(INDEX(Recipes!$AD$5:$AD$204,MATCH(G194,Recipes!$A$5:$A$204,0))*K194,""))</f>
        <v>0</v>
      </c>
      <c r="V194" s="30">
        <f>IF(G194="","",IFERROR(INDEX(Recipes!$AE$5:$AE$204,MATCH(G194,Recipes!$A$5:$A$204,0)),"Not found"))</f>
        <v>0</v>
      </c>
      <c r="W194" s="45">
        <f>IF(G194="","",IFERROR(INDEX(Recipes!$AF$5:$AF$204,MATCH(G194,Recipes!$A$5:$A$204,0)),"Not found"))</f>
        <v>0</v>
      </c>
      <c r="X194" s="45">
        <f>IF(G194="","",IFERROR(INDEX(Recipes!$AG$5:$AG$204,MATCH(G194,Recipes!$A$5:$A$204,0)),"Not found"))</f>
        <v>0</v>
      </c>
      <c r="Y194" s="45">
        <f>IF(G194="","",IFERROR(INDEX(Recipes!$AH$5:$AH$204,MATCH(G194,Recipes!$A$5:$A$204,0)),"Not found"))</f>
        <v>0</v>
      </c>
      <c r="Z194" s="45">
        <f>IF(G194="","",IFERROR(INDEX(Recipes!$AI$5:$AI$204,MATCH(G194,Recipes!$A$5:$A$204,0)),"Not found"))</f>
        <v>0</v>
      </c>
      <c r="AA194" s="30">
        <f>IF(OR(V194="",NOT(ISNUMBER(V194))),"",V194*K194)</f>
        <v>0</v>
      </c>
      <c r="AB194" s="18">
        <f>IF(G194="","",IFERROR(INDEX(Recipes!$J$5:$J$204,MATCH(G194,Recipes!$A$5:$A$204,0)),"Not found"))</f>
        <v>0</v>
      </c>
      <c r="AC194" s="17">
        <f>IF(G194="","",IFERROR(INDEX(Recipes!$C$5:$C$204,MATCH(G194,Recipes!$A$5:$A$204,0)),"Not found"))</f>
        <v>0</v>
      </c>
      <c r="AD194" s="46">
        <f>IF(B194="","",IF(G194&lt;&gt;"","Yes",IF(OR(I194="",ISNUMBER(SEARCH("takeaway",I194)),ISNUMBER(SEARCH("out",I194))),"No","Yes")))</f>
        <v>0</v>
      </c>
      <c r="AE194" s="17">
        <f>IF(B194="","",TEXT(B194,"yyyy-mm-dd")&amp;"|"&amp;F194)</f>
        <v>0</v>
      </c>
      <c r="AF194" s="31">
        <f>IF(B194="","",IF(AND(G194="",I194=""),"Add - nothing planned yet",IF(COUNTIFS($AE$5:$AE$504,AE194)&gt;1,"Duplicate - two meals in one slot",IF(AND(G194&lt;&gt;"",H194="Not found"),"Missing - recipe ID not on the Recipes tab",IF(AND(B194&lt;TODAY(),OR(N194="Planned",N194="")),"Check - did you cook it?","OK")))))</f>
        <v>0</v>
      </c>
    </row>
    <row r="195" spans="1:32">
      <c r="A195" s="39">
        <f>IF(B195="","",MealPrefix&amp;TEXT(ROW()-4,"0000"))</f>
        <v>0</v>
      </c>
      <c r="C195" s="17">
        <f>IF(B195="","",TEXT(B195,"ddd"))</f>
        <v>0</v>
      </c>
      <c r="D195" s="18">
        <f>IF(B195="","",WEEKNUM(B195,IF(WeekStart="Sunday",1,2)))</f>
        <v>0</v>
      </c>
      <c r="E195" s="17">
        <f>IF(B195="","",TEXT(B195,"yyyy-mm"))</f>
        <v>0</v>
      </c>
      <c r="H195" s="17">
        <f>IF(G195&lt;&gt;"",IFERROR(INDEX(Recipes!$B$5:$B$204,MATCH(G195,Recipes!$A$5:$A$204,0)),"Not found"),I195)</f>
        <v>0</v>
      </c>
      <c r="K195" s="45">
        <f>IF(B195="","",IF(J195="",DefaultServings,J195))</f>
        <v>0</v>
      </c>
      <c r="L195" s="45">
        <f>IF(G195="",0,IFERROR(K195/INDEX(Recipes!$G$5:$G$204,MATCH(G195,Recipes!$A$5:$A$204,0)),0))</f>
        <v>0</v>
      </c>
      <c r="T195" s="25">
        <f>IF(G195="","",IFERROR(INDEX(Recipes!$AD$5:$AD$204,MATCH(G195,Recipes!$A$5:$A$204,0))*K195,""))</f>
        <v>0</v>
      </c>
      <c r="V195" s="30">
        <f>IF(G195="","",IFERROR(INDEX(Recipes!$AE$5:$AE$204,MATCH(G195,Recipes!$A$5:$A$204,0)),"Not found"))</f>
        <v>0</v>
      </c>
      <c r="W195" s="45">
        <f>IF(G195="","",IFERROR(INDEX(Recipes!$AF$5:$AF$204,MATCH(G195,Recipes!$A$5:$A$204,0)),"Not found"))</f>
        <v>0</v>
      </c>
      <c r="X195" s="45">
        <f>IF(G195="","",IFERROR(INDEX(Recipes!$AG$5:$AG$204,MATCH(G195,Recipes!$A$5:$A$204,0)),"Not found"))</f>
        <v>0</v>
      </c>
      <c r="Y195" s="45">
        <f>IF(G195="","",IFERROR(INDEX(Recipes!$AH$5:$AH$204,MATCH(G195,Recipes!$A$5:$A$204,0)),"Not found"))</f>
        <v>0</v>
      </c>
      <c r="Z195" s="45">
        <f>IF(G195="","",IFERROR(INDEX(Recipes!$AI$5:$AI$204,MATCH(G195,Recipes!$A$5:$A$204,0)),"Not found"))</f>
        <v>0</v>
      </c>
      <c r="AA195" s="30">
        <f>IF(OR(V195="",NOT(ISNUMBER(V195))),"",V195*K195)</f>
        <v>0</v>
      </c>
      <c r="AB195" s="18">
        <f>IF(G195="","",IFERROR(INDEX(Recipes!$J$5:$J$204,MATCH(G195,Recipes!$A$5:$A$204,0)),"Not found"))</f>
        <v>0</v>
      </c>
      <c r="AC195" s="17">
        <f>IF(G195="","",IFERROR(INDEX(Recipes!$C$5:$C$204,MATCH(G195,Recipes!$A$5:$A$204,0)),"Not found"))</f>
        <v>0</v>
      </c>
      <c r="AD195" s="46">
        <f>IF(B195="","",IF(G195&lt;&gt;"","Yes",IF(OR(I195="",ISNUMBER(SEARCH("takeaway",I195)),ISNUMBER(SEARCH("out",I195))),"No","Yes")))</f>
        <v>0</v>
      </c>
      <c r="AE195" s="17">
        <f>IF(B195="","",TEXT(B195,"yyyy-mm-dd")&amp;"|"&amp;F195)</f>
        <v>0</v>
      </c>
      <c r="AF195" s="31">
        <f>IF(B195="","",IF(AND(G195="",I195=""),"Add - nothing planned yet",IF(COUNTIFS($AE$5:$AE$504,AE195)&gt;1,"Duplicate - two meals in one slot",IF(AND(G195&lt;&gt;"",H195="Not found"),"Missing - recipe ID not on the Recipes tab",IF(AND(B195&lt;TODAY(),OR(N195="Planned",N195="")),"Check - did you cook it?","OK")))))</f>
        <v>0</v>
      </c>
    </row>
    <row r="196" spans="1:32">
      <c r="A196" s="39">
        <f>IF(B196="","",MealPrefix&amp;TEXT(ROW()-4,"0000"))</f>
        <v>0</v>
      </c>
      <c r="C196" s="17">
        <f>IF(B196="","",TEXT(B196,"ddd"))</f>
        <v>0</v>
      </c>
      <c r="D196" s="18">
        <f>IF(B196="","",WEEKNUM(B196,IF(WeekStart="Sunday",1,2)))</f>
        <v>0</v>
      </c>
      <c r="E196" s="17">
        <f>IF(B196="","",TEXT(B196,"yyyy-mm"))</f>
        <v>0</v>
      </c>
      <c r="H196" s="17">
        <f>IF(G196&lt;&gt;"",IFERROR(INDEX(Recipes!$B$5:$B$204,MATCH(G196,Recipes!$A$5:$A$204,0)),"Not found"),I196)</f>
        <v>0</v>
      </c>
      <c r="K196" s="45">
        <f>IF(B196="","",IF(J196="",DefaultServings,J196))</f>
        <v>0</v>
      </c>
      <c r="L196" s="45">
        <f>IF(G196="",0,IFERROR(K196/INDEX(Recipes!$G$5:$G$204,MATCH(G196,Recipes!$A$5:$A$204,0)),0))</f>
        <v>0</v>
      </c>
      <c r="T196" s="25">
        <f>IF(G196="","",IFERROR(INDEX(Recipes!$AD$5:$AD$204,MATCH(G196,Recipes!$A$5:$A$204,0))*K196,""))</f>
        <v>0</v>
      </c>
      <c r="V196" s="30">
        <f>IF(G196="","",IFERROR(INDEX(Recipes!$AE$5:$AE$204,MATCH(G196,Recipes!$A$5:$A$204,0)),"Not found"))</f>
        <v>0</v>
      </c>
      <c r="W196" s="45">
        <f>IF(G196="","",IFERROR(INDEX(Recipes!$AF$5:$AF$204,MATCH(G196,Recipes!$A$5:$A$204,0)),"Not found"))</f>
        <v>0</v>
      </c>
      <c r="X196" s="45">
        <f>IF(G196="","",IFERROR(INDEX(Recipes!$AG$5:$AG$204,MATCH(G196,Recipes!$A$5:$A$204,0)),"Not found"))</f>
        <v>0</v>
      </c>
      <c r="Y196" s="45">
        <f>IF(G196="","",IFERROR(INDEX(Recipes!$AH$5:$AH$204,MATCH(G196,Recipes!$A$5:$A$204,0)),"Not found"))</f>
        <v>0</v>
      </c>
      <c r="Z196" s="45">
        <f>IF(G196="","",IFERROR(INDEX(Recipes!$AI$5:$AI$204,MATCH(G196,Recipes!$A$5:$A$204,0)),"Not found"))</f>
        <v>0</v>
      </c>
      <c r="AA196" s="30">
        <f>IF(OR(V196="",NOT(ISNUMBER(V196))),"",V196*K196)</f>
        <v>0</v>
      </c>
      <c r="AB196" s="18">
        <f>IF(G196="","",IFERROR(INDEX(Recipes!$J$5:$J$204,MATCH(G196,Recipes!$A$5:$A$204,0)),"Not found"))</f>
        <v>0</v>
      </c>
      <c r="AC196" s="17">
        <f>IF(G196="","",IFERROR(INDEX(Recipes!$C$5:$C$204,MATCH(G196,Recipes!$A$5:$A$204,0)),"Not found"))</f>
        <v>0</v>
      </c>
      <c r="AD196" s="46">
        <f>IF(B196="","",IF(G196&lt;&gt;"","Yes",IF(OR(I196="",ISNUMBER(SEARCH("takeaway",I196)),ISNUMBER(SEARCH("out",I196))),"No","Yes")))</f>
        <v>0</v>
      </c>
      <c r="AE196" s="17">
        <f>IF(B196="","",TEXT(B196,"yyyy-mm-dd")&amp;"|"&amp;F196)</f>
        <v>0</v>
      </c>
      <c r="AF196" s="31">
        <f>IF(B196="","",IF(AND(G196="",I196=""),"Add - nothing planned yet",IF(COUNTIFS($AE$5:$AE$504,AE196)&gt;1,"Duplicate - two meals in one slot",IF(AND(G196&lt;&gt;"",H196="Not found"),"Missing - recipe ID not on the Recipes tab",IF(AND(B196&lt;TODAY(),OR(N196="Planned",N196="")),"Check - did you cook it?","OK")))))</f>
        <v>0</v>
      </c>
    </row>
    <row r="197" spans="1:32">
      <c r="A197" s="39">
        <f>IF(B197="","",MealPrefix&amp;TEXT(ROW()-4,"0000"))</f>
        <v>0</v>
      </c>
      <c r="C197" s="17">
        <f>IF(B197="","",TEXT(B197,"ddd"))</f>
        <v>0</v>
      </c>
      <c r="D197" s="18">
        <f>IF(B197="","",WEEKNUM(B197,IF(WeekStart="Sunday",1,2)))</f>
        <v>0</v>
      </c>
      <c r="E197" s="17">
        <f>IF(B197="","",TEXT(B197,"yyyy-mm"))</f>
        <v>0</v>
      </c>
      <c r="H197" s="17">
        <f>IF(G197&lt;&gt;"",IFERROR(INDEX(Recipes!$B$5:$B$204,MATCH(G197,Recipes!$A$5:$A$204,0)),"Not found"),I197)</f>
        <v>0</v>
      </c>
      <c r="K197" s="45">
        <f>IF(B197="","",IF(J197="",DefaultServings,J197))</f>
        <v>0</v>
      </c>
      <c r="L197" s="45">
        <f>IF(G197="",0,IFERROR(K197/INDEX(Recipes!$G$5:$G$204,MATCH(G197,Recipes!$A$5:$A$204,0)),0))</f>
        <v>0</v>
      </c>
      <c r="T197" s="25">
        <f>IF(G197="","",IFERROR(INDEX(Recipes!$AD$5:$AD$204,MATCH(G197,Recipes!$A$5:$A$204,0))*K197,""))</f>
        <v>0</v>
      </c>
      <c r="V197" s="30">
        <f>IF(G197="","",IFERROR(INDEX(Recipes!$AE$5:$AE$204,MATCH(G197,Recipes!$A$5:$A$204,0)),"Not found"))</f>
        <v>0</v>
      </c>
      <c r="W197" s="45">
        <f>IF(G197="","",IFERROR(INDEX(Recipes!$AF$5:$AF$204,MATCH(G197,Recipes!$A$5:$A$204,0)),"Not found"))</f>
        <v>0</v>
      </c>
      <c r="X197" s="45">
        <f>IF(G197="","",IFERROR(INDEX(Recipes!$AG$5:$AG$204,MATCH(G197,Recipes!$A$5:$A$204,0)),"Not found"))</f>
        <v>0</v>
      </c>
      <c r="Y197" s="45">
        <f>IF(G197="","",IFERROR(INDEX(Recipes!$AH$5:$AH$204,MATCH(G197,Recipes!$A$5:$A$204,0)),"Not found"))</f>
        <v>0</v>
      </c>
      <c r="Z197" s="45">
        <f>IF(G197="","",IFERROR(INDEX(Recipes!$AI$5:$AI$204,MATCH(G197,Recipes!$A$5:$A$204,0)),"Not found"))</f>
        <v>0</v>
      </c>
      <c r="AA197" s="30">
        <f>IF(OR(V197="",NOT(ISNUMBER(V197))),"",V197*K197)</f>
        <v>0</v>
      </c>
      <c r="AB197" s="18">
        <f>IF(G197="","",IFERROR(INDEX(Recipes!$J$5:$J$204,MATCH(G197,Recipes!$A$5:$A$204,0)),"Not found"))</f>
        <v>0</v>
      </c>
      <c r="AC197" s="17">
        <f>IF(G197="","",IFERROR(INDEX(Recipes!$C$5:$C$204,MATCH(G197,Recipes!$A$5:$A$204,0)),"Not found"))</f>
        <v>0</v>
      </c>
      <c r="AD197" s="46">
        <f>IF(B197="","",IF(G197&lt;&gt;"","Yes",IF(OR(I197="",ISNUMBER(SEARCH("takeaway",I197)),ISNUMBER(SEARCH("out",I197))),"No","Yes")))</f>
        <v>0</v>
      </c>
      <c r="AE197" s="17">
        <f>IF(B197="","",TEXT(B197,"yyyy-mm-dd")&amp;"|"&amp;F197)</f>
        <v>0</v>
      </c>
      <c r="AF197" s="31">
        <f>IF(B197="","",IF(AND(G197="",I197=""),"Add - nothing planned yet",IF(COUNTIFS($AE$5:$AE$504,AE197)&gt;1,"Duplicate - two meals in one slot",IF(AND(G197&lt;&gt;"",H197="Not found"),"Missing - recipe ID not on the Recipes tab",IF(AND(B197&lt;TODAY(),OR(N197="Planned",N197="")),"Check - did you cook it?","OK")))))</f>
        <v>0</v>
      </c>
    </row>
    <row r="198" spans="1:32">
      <c r="A198" s="39">
        <f>IF(B198="","",MealPrefix&amp;TEXT(ROW()-4,"0000"))</f>
        <v>0</v>
      </c>
      <c r="C198" s="17">
        <f>IF(B198="","",TEXT(B198,"ddd"))</f>
        <v>0</v>
      </c>
      <c r="D198" s="18">
        <f>IF(B198="","",WEEKNUM(B198,IF(WeekStart="Sunday",1,2)))</f>
        <v>0</v>
      </c>
      <c r="E198" s="17">
        <f>IF(B198="","",TEXT(B198,"yyyy-mm"))</f>
        <v>0</v>
      </c>
      <c r="H198" s="17">
        <f>IF(G198&lt;&gt;"",IFERROR(INDEX(Recipes!$B$5:$B$204,MATCH(G198,Recipes!$A$5:$A$204,0)),"Not found"),I198)</f>
        <v>0</v>
      </c>
      <c r="K198" s="45">
        <f>IF(B198="","",IF(J198="",DefaultServings,J198))</f>
        <v>0</v>
      </c>
      <c r="L198" s="45">
        <f>IF(G198="",0,IFERROR(K198/INDEX(Recipes!$G$5:$G$204,MATCH(G198,Recipes!$A$5:$A$204,0)),0))</f>
        <v>0</v>
      </c>
      <c r="T198" s="25">
        <f>IF(G198="","",IFERROR(INDEX(Recipes!$AD$5:$AD$204,MATCH(G198,Recipes!$A$5:$A$204,0))*K198,""))</f>
        <v>0</v>
      </c>
      <c r="V198" s="30">
        <f>IF(G198="","",IFERROR(INDEX(Recipes!$AE$5:$AE$204,MATCH(G198,Recipes!$A$5:$A$204,0)),"Not found"))</f>
        <v>0</v>
      </c>
      <c r="W198" s="45">
        <f>IF(G198="","",IFERROR(INDEX(Recipes!$AF$5:$AF$204,MATCH(G198,Recipes!$A$5:$A$204,0)),"Not found"))</f>
        <v>0</v>
      </c>
      <c r="X198" s="45">
        <f>IF(G198="","",IFERROR(INDEX(Recipes!$AG$5:$AG$204,MATCH(G198,Recipes!$A$5:$A$204,0)),"Not found"))</f>
        <v>0</v>
      </c>
      <c r="Y198" s="45">
        <f>IF(G198="","",IFERROR(INDEX(Recipes!$AH$5:$AH$204,MATCH(G198,Recipes!$A$5:$A$204,0)),"Not found"))</f>
        <v>0</v>
      </c>
      <c r="Z198" s="45">
        <f>IF(G198="","",IFERROR(INDEX(Recipes!$AI$5:$AI$204,MATCH(G198,Recipes!$A$5:$A$204,0)),"Not found"))</f>
        <v>0</v>
      </c>
      <c r="AA198" s="30">
        <f>IF(OR(V198="",NOT(ISNUMBER(V198))),"",V198*K198)</f>
        <v>0</v>
      </c>
      <c r="AB198" s="18">
        <f>IF(G198="","",IFERROR(INDEX(Recipes!$J$5:$J$204,MATCH(G198,Recipes!$A$5:$A$204,0)),"Not found"))</f>
        <v>0</v>
      </c>
      <c r="AC198" s="17">
        <f>IF(G198="","",IFERROR(INDEX(Recipes!$C$5:$C$204,MATCH(G198,Recipes!$A$5:$A$204,0)),"Not found"))</f>
        <v>0</v>
      </c>
      <c r="AD198" s="46">
        <f>IF(B198="","",IF(G198&lt;&gt;"","Yes",IF(OR(I198="",ISNUMBER(SEARCH("takeaway",I198)),ISNUMBER(SEARCH("out",I198))),"No","Yes")))</f>
        <v>0</v>
      </c>
      <c r="AE198" s="17">
        <f>IF(B198="","",TEXT(B198,"yyyy-mm-dd")&amp;"|"&amp;F198)</f>
        <v>0</v>
      </c>
      <c r="AF198" s="31">
        <f>IF(B198="","",IF(AND(G198="",I198=""),"Add - nothing planned yet",IF(COUNTIFS($AE$5:$AE$504,AE198)&gt;1,"Duplicate - two meals in one slot",IF(AND(G198&lt;&gt;"",H198="Not found"),"Missing - recipe ID not on the Recipes tab",IF(AND(B198&lt;TODAY(),OR(N198="Planned",N198="")),"Check - did you cook it?","OK")))))</f>
        <v>0</v>
      </c>
    </row>
    <row r="199" spans="1:32">
      <c r="A199" s="39">
        <f>IF(B199="","",MealPrefix&amp;TEXT(ROW()-4,"0000"))</f>
        <v>0</v>
      </c>
      <c r="C199" s="17">
        <f>IF(B199="","",TEXT(B199,"ddd"))</f>
        <v>0</v>
      </c>
      <c r="D199" s="18">
        <f>IF(B199="","",WEEKNUM(B199,IF(WeekStart="Sunday",1,2)))</f>
        <v>0</v>
      </c>
      <c r="E199" s="17">
        <f>IF(B199="","",TEXT(B199,"yyyy-mm"))</f>
        <v>0</v>
      </c>
      <c r="H199" s="17">
        <f>IF(G199&lt;&gt;"",IFERROR(INDEX(Recipes!$B$5:$B$204,MATCH(G199,Recipes!$A$5:$A$204,0)),"Not found"),I199)</f>
        <v>0</v>
      </c>
      <c r="K199" s="45">
        <f>IF(B199="","",IF(J199="",DefaultServings,J199))</f>
        <v>0</v>
      </c>
      <c r="L199" s="45">
        <f>IF(G199="",0,IFERROR(K199/INDEX(Recipes!$G$5:$G$204,MATCH(G199,Recipes!$A$5:$A$204,0)),0))</f>
        <v>0</v>
      </c>
      <c r="T199" s="25">
        <f>IF(G199="","",IFERROR(INDEX(Recipes!$AD$5:$AD$204,MATCH(G199,Recipes!$A$5:$A$204,0))*K199,""))</f>
        <v>0</v>
      </c>
      <c r="V199" s="30">
        <f>IF(G199="","",IFERROR(INDEX(Recipes!$AE$5:$AE$204,MATCH(G199,Recipes!$A$5:$A$204,0)),"Not found"))</f>
        <v>0</v>
      </c>
      <c r="W199" s="45">
        <f>IF(G199="","",IFERROR(INDEX(Recipes!$AF$5:$AF$204,MATCH(G199,Recipes!$A$5:$A$204,0)),"Not found"))</f>
        <v>0</v>
      </c>
      <c r="X199" s="45">
        <f>IF(G199="","",IFERROR(INDEX(Recipes!$AG$5:$AG$204,MATCH(G199,Recipes!$A$5:$A$204,0)),"Not found"))</f>
        <v>0</v>
      </c>
      <c r="Y199" s="45">
        <f>IF(G199="","",IFERROR(INDEX(Recipes!$AH$5:$AH$204,MATCH(G199,Recipes!$A$5:$A$204,0)),"Not found"))</f>
        <v>0</v>
      </c>
      <c r="Z199" s="45">
        <f>IF(G199="","",IFERROR(INDEX(Recipes!$AI$5:$AI$204,MATCH(G199,Recipes!$A$5:$A$204,0)),"Not found"))</f>
        <v>0</v>
      </c>
      <c r="AA199" s="30">
        <f>IF(OR(V199="",NOT(ISNUMBER(V199))),"",V199*K199)</f>
        <v>0</v>
      </c>
      <c r="AB199" s="18">
        <f>IF(G199="","",IFERROR(INDEX(Recipes!$J$5:$J$204,MATCH(G199,Recipes!$A$5:$A$204,0)),"Not found"))</f>
        <v>0</v>
      </c>
      <c r="AC199" s="17">
        <f>IF(G199="","",IFERROR(INDEX(Recipes!$C$5:$C$204,MATCH(G199,Recipes!$A$5:$A$204,0)),"Not found"))</f>
        <v>0</v>
      </c>
      <c r="AD199" s="46">
        <f>IF(B199="","",IF(G199&lt;&gt;"","Yes",IF(OR(I199="",ISNUMBER(SEARCH("takeaway",I199)),ISNUMBER(SEARCH("out",I199))),"No","Yes")))</f>
        <v>0</v>
      </c>
      <c r="AE199" s="17">
        <f>IF(B199="","",TEXT(B199,"yyyy-mm-dd")&amp;"|"&amp;F199)</f>
        <v>0</v>
      </c>
      <c r="AF199" s="31">
        <f>IF(B199="","",IF(AND(G199="",I199=""),"Add - nothing planned yet",IF(COUNTIFS($AE$5:$AE$504,AE199)&gt;1,"Duplicate - two meals in one slot",IF(AND(G199&lt;&gt;"",H199="Not found"),"Missing - recipe ID not on the Recipes tab",IF(AND(B199&lt;TODAY(),OR(N199="Planned",N199="")),"Check - did you cook it?","OK")))))</f>
        <v>0</v>
      </c>
    </row>
    <row r="200" spans="1:32">
      <c r="A200" s="39">
        <f>IF(B200="","",MealPrefix&amp;TEXT(ROW()-4,"0000"))</f>
        <v>0</v>
      </c>
      <c r="C200" s="17">
        <f>IF(B200="","",TEXT(B200,"ddd"))</f>
        <v>0</v>
      </c>
      <c r="D200" s="18">
        <f>IF(B200="","",WEEKNUM(B200,IF(WeekStart="Sunday",1,2)))</f>
        <v>0</v>
      </c>
      <c r="E200" s="17">
        <f>IF(B200="","",TEXT(B200,"yyyy-mm"))</f>
        <v>0</v>
      </c>
      <c r="H200" s="17">
        <f>IF(G200&lt;&gt;"",IFERROR(INDEX(Recipes!$B$5:$B$204,MATCH(G200,Recipes!$A$5:$A$204,0)),"Not found"),I200)</f>
        <v>0</v>
      </c>
      <c r="K200" s="45">
        <f>IF(B200="","",IF(J200="",DefaultServings,J200))</f>
        <v>0</v>
      </c>
      <c r="L200" s="45">
        <f>IF(G200="",0,IFERROR(K200/INDEX(Recipes!$G$5:$G$204,MATCH(G200,Recipes!$A$5:$A$204,0)),0))</f>
        <v>0</v>
      </c>
      <c r="T200" s="25">
        <f>IF(G200="","",IFERROR(INDEX(Recipes!$AD$5:$AD$204,MATCH(G200,Recipes!$A$5:$A$204,0))*K200,""))</f>
        <v>0</v>
      </c>
      <c r="V200" s="30">
        <f>IF(G200="","",IFERROR(INDEX(Recipes!$AE$5:$AE$204,MATCH(G200,Recipes!$A$5:$A$204,0)),"Not found"))</f>
        <v>0</v>
      </c>
      <c r="W200" s="45">
        <f>IF(G200="","",IFERROR(INDEX(Recipes!$AF$5:$AF$204,MATCH(G200,Recipes!$A$5:$A$204,0)),"Not found"))</f>
        <v>0</v>
      </c>
      <c r="X200" s="45">
        <f>IF(G200="","",IFERROR(INDEX(Recipes!$AG$5:$AG$204,MATCH(G200,Recipes!$A$5:$A$204,0)),"Not found"))</f>
        <v>0</v>
      </c>
      <c r="Y200" s="45">
        <f>IF(G200="","",IFERROR(INDEX(Recipes!$AH$5:$AH$204,MATCH(G200,Recipes!$A$5:$A$204,0)),"Not found"))</f>
        <v>0</v>
      </c>
      <c r="Z200" s="45">
        <f>IF(G200="","",IFERROR(INDEX(Recipes!$AI$5:$AI$204,MATCH(G200,Recipes!$A$5:$A$204,0)),"Not found"))</f>
        <v>0</v>
      </c>
      <c r="AA200" s="30">
        <f>IF(OR(V200="",NOT(ISNUMBER(V200))),"",V200*K200)</f>
        <v>0</v>
      </c>
      <c r="AB200" s="18">
        <f>IF(G200="","",IFERROR(INDEX(Recipes!$J$5:$J$204,MATCH(G200,Recipes!$A$5:$A$204,0)),"Not found"))</f>
        <v>0</v>
      </c>
      <c r="AC200" s="17">
        <f>IF(G200="","",IFERROR(INDEX(Recipes!$C$5:$C$204,MATCH(G200,Recipes!$A$5:$A$204,0)),"Not found"))</f>
        <v>0</v>
      </c>
      <c r="AD200" s="46">
        <f>IF(B200="","",IF(G200&lt;&gt;"","Yes",IF(OR(I200="",ISNUMBER(SEARCH("takeaway",I200)),ISNUMBER(SEARCH("out",I200))),"No","Yes")))</f>
        <v>0</v>
      </c>
      <c r="AE200" s="17">
        <f>IF(B200="","",TEXT(B200,"yyyy-mm-dd")&amp;"|"&amp;F200)</f>
        <v>0</v>
      </c>
      <c r="AF200" s="31">
        <f>IF(B200="","",IF(AND(G200="",I200=""),"Add - nothing planned yet",IF(COUNTIFS($AE$5:$AE$504,AE200)&gt;1,"Duplicate - two meals in one slot",IF(AND(G200&lt;&gt;"",H200="Not found"),"Missing - recipe ID not on the Recipes tab",IF(AND(B200&lt;TODAY(),OR(N200="Planned",N200="")),"Check - did you cook it?","OK")))))</f>
        <v>0</v>
      </c>
    </row>
    <row r="201" spans="1:32">
      <c r="A201" s="39">
        <f>IF(B201="","",MealPrefix&amp;TEXT(ROW()-4,"0000"))</f>
        <v>0</v>
      </c>
      <c r="C201" s="17">
        <f>IF(B201="","",TEXT(B201,"ddd"))</f>
        <v>0</v>
      </c>
      <c r="D201" s="18">
        <f>IF(B201="","",WEEKNUM(B201,IF(WeekStart="Sunday",1,2)))</f>
        <v>0</v>
      </c>
      <c r="E201" s="17">
        <f>IF(B201="","",TEXT(B201,"yyyy-mm"))</f>
        <v>0</v>
      </c>
      <c r="H201" s="17">
        <f>IF(G201&lt;&gt;"",IFERROR(INDEX(Recipes!$B$5:$B$204,MATCH(G201,Recipes!$A$5:$A$204,0)),"Not found"),I201)</f>
        <v>0</v>
      </c>
      <c r="K201" s="45">
        <f>IF(B201="","",IF(J201="",DefaultServings,J201))</f>
        <v>0</v>
      </c>
      <c r="L201" s="45">
        <f>IF(G201="",0,IFERROR(K201/INDEX(Recipes!$G$5:$G$204,MATCH(G201,Recipes!$A$5:$A$204,0)),0))</f>
        <v>0</v>
      </c>
      <c r="T201" s="25">
        <f>IF(G201="","",IFERROR(INDEX(Recipes!$AD$5:$AD$204,MATCH(G201,Recipes!$A$5:$A$204,0))*K201,""))</f>
        <v>0</v>
      </c>
      <c r="V201" s="30">
        <f>IF(G201="","",IFERROR(INDEX(Recipes!$AE$5:$AE$204,MATCH(G201,Recipes!$A$5:$A$204,0)),"Not found"))</f>
        <v>0</v>
      </c>
      <c r="W201" s="45">
        <f>IF(G201="","",IFERROR(INDEX(Recipes!$AF$5:$AF$204,MATCH(G201,Recipes!$A$5:$A$204,0)),"Not found"))</f>
        <v>0</v>
      </c>
      <c r="X201" s="45">
        <f>IF(G201="","",IFERROR(INDEX(Recipes!$AG$5:$AG$204,MATCH(G201,Recipes!$A$5:$A$204,0)),"Not found"))</f>
        <v>0</v>
      </c>
      <c r="Y201" s="45">
        <f>IF(G201="","",IFERROR(INDEX(Recipes!$AH$5:$AH$204,MATCH(G201,Recipes!$A$5:$A$204,0)),"Not found"))</f>
        <v>0</v>
      </c>
      <c r="Z201" s="45">
        <f>IF(G201="","",IFERROR(INDEX(Recipes!$AI$5:$AI$204,MATCH(G201,Recipes!$A$5:$A$204,0)),"Not found"))</f>
        <v>0</v>
      </c>
      <c r="AA201" s="30">
        <f>IF(OR(V201="",NOT(ISNUMBER(V201))),"",V201*K201)</f>
        <v>0</v>
      </c>
      <c r="AB201" s="18">
        <f>IF(G201="","",IFERROR(INDEX(Recipes!$J$5:$J$204,MATCH(G201,Recipes!$A$5:$A$204,0)),"Not found"))</f>
        <v>0</v>
      </c>
      <c r="AC201" s="17">
        <f>IF(G201="","",IFERROR(INDEX(Recipes!$C$5:$C$204,MATCH(G201,Recipes!$A$5:$A$204,0)),"Not found"))</f>
        <v>0</v>
      </c>
      <c r="AD201" s="46">
        <f>IF(B201="","",IF(G201&lt;&gt;"","Yes",IF(OR(I201="",ISNUMBER(SEARCH("takeaway",I201)),ISNUMBER(SEARCH("out",I201))),"No","Yes")))</f>
        <v>0</v>
      </c>
      <c r="AE201" s="17">
        <f>IF(B201="","",TEXT(B201,"yyyy-mm-dd")&amp;"|"&amp;F201)</f>
        <v>0</v>
      </c>
      <c r="AF201" s="31">
        <f>IF(B201="","",IF(AND(G201="",I201=""),"Add - nothing planned yet",IF(COUNTIFS($AE$5:$AE$504,AE201)&gt;1,"Duplicate - two meals in one slot",IF(AND(G201&lt;&gt;"",H201="Not found"),"Missing - recipe ID not on the Recipes tab",IF(AND(B201&lt;TODAY(),OR(N201="Planned",N201="")),"Check - did you cook it?","OK")))))</f>
        <v>0</v>
      </c>
    </row>
    <row r="202" spans="1:32">
      <c r="A202" s="39">
        <f>IF(B202="","",MealPrefix&amp;TEXT(ROW()-4,"0000"))</f>
        <v>0</v>
      </c>
      <c r="C202" s="17">
        <f>IF(B202="","",TEXT(B202,"ddd"))</f>
        <v>0</v>
      </c>
      <c r="D202" s="18">
        <f>IF(B202="","",WEEKNUM(B202,IF(WeekStart="Sunday",1,2)))</f>
        <v>0</v>
      </c>
      <c r="E202" s="17">
        <f>IF(B202="","",TEXT(B202,"yyyy-mm"))</f>
        <v>0</v>
      </c>
      <c r="H202" s="17">
        <f>IF(G202&lt;&gt;"",IFERROR(INDEX(Recipes!$B$5:$B$204,MATCH(G202,Recipes!$A$5:$A$204,0)),"Not found"),I202)</f>
        <v>0</v>
      </c>
      <c r="K202" s="45">
        <f>IF(B202="","",IF(J202="",DefaultServings,J202))</f>
        <v>0</v>
      </c>
      <c r="L202" s="45">
        <f>IF(G202="",0,IFERROR(K202/INDEX(Recipes!$G$5:$G$204,MATCH(G202,Recipes!$A$5:$A$204,0)),0))</f>
        <v>0</v>
      </c>
      <c r="T202" s="25">
        <f>IF(G202="","",IFERROR(INDEX(Recipes!$AD$5:$AD$204,MATCH(G202,Recipes!$A$5:$A$204,0))*K202,""))</f>
        <v>0</v>
      </c>
      <c r="V202" s="30">
        <f>IF(G202="","",IFERROR(INDEX(Recipes!$AE$5:$AE$204,MATCH(G202,Recipes!$A$5:$A$204,0)),"Not found"))</f>
        <v>0</v>
      </c>
      <c r="W202" s="45">
        <f>IF(G202="","",IFERROR(INDEX(Recipes!$AF$5:$AF$204,MATCH(G202,Recipes!$A$5:$A$204,0)),"Not found"))</f>
        <v>0</v>
      </c>
      <c r="X202" s="45">
        <f>IF(G202="","",IFERROR(INDEX(Recipes!$AG$5:$AG$204,MATCH(G202,Recipes!$A$5:$A$204,0)),"Not found"))</f>
        <v>0</v>
      </c>
      <c r="Y202" s="45">
        <f>IF(G202="","",IFERROR(INDEX(Recipes!$AH$5:$AH$204,MATCH(G202,Recipes!$A$5:$A$204,0)),"Not found"))</f>
        <v>0</v>
      </c>
      <c r="Z202" s="45">
        <f>IF(G202="","",IFERROR(INDEX(Recipes!$AI$5:$AI$204,MATCH(G202,Recipes!$A$5:$A$204,0)),"Not found"))</f>
        <v>0</v>
      </c>
      <c r="AA202" s="30">
        <f>IF(OR(V202="",NOT(ISNUMBER(V202))),"",V202*K202)</f>
        <v>0</v>
      </c>
      <c r="AB202" s="18">
        <f>IF(G202="","",IFERROR(INDEX(Recipes!$J$5:$J$204,MATCH(G202,Recipes!$A$5:$A$204,0)),"Not found"))</f>
        <v>0</v>
      </c>
      <c r="AC202" s="17">
        <f>IF(G202="","",IFERROR(INDEX(Recipes!$C$5:$C$204,MATCH(G202,Recipes!$A$5:$A$204,0)),"Not found"))</f>
        <v>0</v>
      </c>
      <c r="AD202" s="46">
        <f>IF(B202="","",IF(G202&lt;&gt;"","Yes",IF(OR(I202="",ISNUMBER(SEARCH("takeaway",I202)),ISNUMBER(SEARCH("out",I202))),"No","Yes")))</f>
        <v>0</v>
      </c>
      <c r="AE202" s="17">
        <f>IF(B202="","",TEXT(B202,"yyyy-mm-dd")&amp;"|"&amp;F202)</f>
        <v>0</v>
      </c>
      <c r="AF202" s="31">
        <f>IF(B202="","",IF(AND(G202="",I202=""),"Add - nothing planned yet",IF(COUNTIFS($AE$5:$AE$504,AE202)&gt;1,"Duplicate - two meals in one slot",IF(AND(G202&lt;&gt;"",H202="Not found"),"Missing - recipe ID not on the Recipes tab",IF(AND(B202&lt;TODAY(),OR(N202="Planned",N202="")),"Check - did you cook it?","OK")))))</f>
        <v>0</v>
      </c>
    </row>
    <row r="203" spans="1:32">
      <c r="A203" s="39">
        <f>IF(B203="","",MealPrefix&amp;TEXT(ROW()-4,"0000"))</f>
        <v>0</v>
      </c>
      <c r="C203" s="17">
        <f>IF(B203="","",TEXT(B203,"ddd"))</f>
        <v>0</v>
      </c>
      <c r="D203" s="18">
        <f>IF(B203="","",WEEKNUM(B203,IF(WeekStart="Sunday",1,2)))</f>
        <v>0</v>
      </c>
      <c r="E203" s="17">
        <f>IF(B203="","",TEXT(B203,"yyyy-mm"))</f>
        <v>0</v>
      </c>
      <c r="H203" s="17">
        <f>IF(G203&lt;&gt;"",IFERROR(INDEX(Recipes!$B$5:$B$204,MATCH(G203,Recipes!$A$5:$A$204,0)),"Not found"),I203)</f>
        <v>0</v>
      </c>
      <c r="K203" s="45">
        <f>IF(B203="","",IF(J203="",DefaultServings,J203))</f>
        <v>0</v>
      </c>
      <c r="L203" s="45">
        <f>IF(G203="",0,IFERROR(K203/INDEX(Recipes!$G$5:$G$204,MATCH(G203,Recipes!$A$5:$A$204,0)),0))</f>
        <v>0</v>
      </c>
      <c r="T203" s="25">
        <f>IF(G203="","",IFERROR(INDEX(Recipes!$AD$5:$AD$204,MATCH(G203,Recipes!$A$5:$A$204,0))*K203,""))</f>
        <v>0</v>
      </c>
      <c r="V203" s="30">
        <f>IF(G203="","",IFERROR(INDEX(Recipes!$AE$5:$AE$204,MATCH(G203,Recipes!$A$5:$A$204,0)),"Not found"))</f>
        <v>0</v>
      </c>
      <c r="W203" s="45">
        <f>IF(G203="","",IFERROR(INDEX(Recipes!$AF$5:$AF$204,MATCH(G203,Recipes!$A$5:$A$204,0)),"Not found"))</f>
        <v>0</v>
      </c>
      <c r="X203" s="45">
        <f>IF(G203="","",IFERROR(INDEX(Recipes!$AG$5:$AG$204,MATCH(G203,Recipes!$A$5:$A$204,0)),"Not found"))</f>
        <v>0</v>
      </c>
      <c r="Y203" s="45">
        <f>IF(G203="","",IFERROR(INDEX(Recipes!$AH$5:$AH$204,MATCH(G203,Recipes!$A$5:$A$204,0)),"Not found"))</f>
        <v>0</v>
      </c>
      <c r="Z203" s="45">
        <f>IF(G203="","",IFERROR(INDEX(Recipes!$AI$5:$AI$204,MATCH(G203,Recipes!$A$5:$A$204,0)),"Not found"))</f>
        <v>0</v>
      </c>
      <c r="AA203" s="30">
        <f>IF(OR(V203="",NOT(ISNUMBER(V203))),"",V203*K203)</f>
        <v>0</v>
      </c>
      <c r="AB203" s="18">
        <f>IF(G203="","",IFERROR(INDEX(Recipes!$J$5:$J$204,MATCH(G203,Recipes!$A$5:$A$204,0)),"Not found"))</f>
        <v>0</v>
      </c>
      <c r="AC203" s="17">
        <f>IF(G203="","",IFERROR(INDEX(Recipes!$C$5:$C$204,MATCH(G203,Recipes!$A$5:$A$204,0)),"Not found"))</f>
        <v>0</v>
      </c>
      <c r="AD203" s="46">
        <f>IF(B203="","",IF(G203&lt;&gt;"","Yes",IF(OR(I203="",ISNUMBER(SEARCH("takeaway",I203)),ISNUMBER(SEARCH("out",I203))),"No","Yes")))</f>
        <v>0</v>
      </c>
      <c r="AE203" s="17">
        <f>IF(B203="","",TEXT(B203,"yyyy-mm-dd")&amp;"|"&amp;F203)</f>
        <v>0</v>
      </c>
      <c r="AF203" s="31">
        <f>IF(B203="","",IF(AND(G203="",I203=""),"Add - nothing planned yet",IF(COUNTIFS($AE$5:$AE$504,AE203)&gt;1,"Duplicate - two meals in one slot",IF(AND(G203&lt;&gt;"",H203="Not found"),"Missing - recipe ID not on the Recipes tab",IF(AND(B203&lt;TODAY(),OR(N203="Planned",N203="")),"Check - did you cook it?","OK")))))</f>
        <v>0</v>
      </c>
    </row>
    <row r="204" spans="1:32">
      <c r="A204" s="39">
        <f>IF(B204="","",MealPrefix&amp;TEXT(ROW()-4,"0000"))</f>
        <v>0</v>
      </c>
      <c r="C204" s="17">
        <f>IF(B204="","",TEXT(B204,"ddd"))</f>
        <v>0</v>
      </c>
      <c r="D204" s="18">
        <f>IF(B204="","",WEEKNUM(B204,IF(WeekStart="Sunday",1,2)))</f>
        <v>0</v>
      </c>
      <c r="E204" s="17">
        <f>IF(B204="","",TEXT(B204,"yyyy-mm"))</f>
        <v>0</v>
      </c>
      <c r="H204" s="17">
        <f>IF(G204&lt;&gt;"",IFERROR(INDEX(Recipes!$B$5:$B$204,MATCH(G204,Recipes!$A$5:$A$204,0)),"Not found"),I204)</f>
        <v>0</v>
      </c>
      <c r="K204" s="45">
        <f>IF(B204="","",IF(J204="",DefaultServings,J204))</f>
        <v>0</v>
      </c>
      <c r="L204" s="45">
        <f>IF(G204="",0,IFERROR(K204/INDEX(Recipes!$G$5:$G$204,MATCH(G204,Recipes!$A$5:$A$204,0)),0))</f>
        <v>0</v>
      </c>
      <c r="T204" s="25">
        <f>IF(G204="","",IFERROR(INDEX(Recipes!$AD$5:$AD$204,MATCH(G204,Recipes!$A$5:$A$204,0))*K204,""))</f>
        <v>0</v>
      </c>
      <c r="V204" s="30">
        <f>IF(G204="","",IFERROR(INDEX(Recipes!$AE$5:$AE$204,MATCH(G204,Recipes!$A$5:$A$204,0)),"Not found"))</f>
        <v>0</v>
      </c>
      <c r="W204" s="45">
        <f>IF(G204="","",IFERROR(INDEX(Recipes!$AF$5:$AF$204,MATCH(G204,Recipes!$A$5:$A$204,0)),"Not found"))</f>
        <v>0</v>
      </c>
      <c r="X204" s="45">
        <f>IF(G204="","",IFERROR(INDEX(Recipes!$AG$5:$AG$204,MATCH(G204,Recipes!$A$5:$A$204,0)),"Not found"))</f>
        <v>0</v>
      </c>
      <c r="Y204" s="45">
        <f>IF(G204="","",IFERROR(INDEX(Recipes!$AH$5:$AH$204,MATCH(G204,Recipes!$A$5:$A$204,0)),"Not found"))</f>
        <v>0</v>
      </c>
      <c r="Z204" s="45">
        <f>IF(G204="","",IFERROR(INDEX(Recipes!$AI$5:$AI$204,MATCH(G204,Recipes!$A$5:$A$204,0)),"Not found"))</f>
        <v>0</v>
      </c>
      <c r="AA204" s="30">
        <f>IF(OR(V204="",NOT(ISNUMBER(V204))),"",V204*K204)</f>
        <v>0</v>
      </c>
      <c r="AB204" s="18">
        <f>IF(G204="","",IFERROR(INDEX(Recipes!$J$5:$J$204,MATCH(G204,Recipes!$A$5:$A$204,0)),"Not found"))</f>
        <v>0</v>
      </c>
      <c r="AC204" s="17">
        <f>IF(G204="","",IFERROR(INDEX(Recipes!$C$5:$C$204,MATCH(G204,Recipes!$A$5:$A$204,0)),"Not found"))</f>
        <v>0</v>
      </c>
      <c r="AD204" s="46">
        <f>IF(B204="","",IF(G204&lt;&gt;"","Yes",IF(OR(I204="",ISNUMBER(SEARCH("takeaway",I204)),ISNUMBER(SEARCH("out",I204))),"No","Yes")))</f>
        <v>0</v>
      </c>
      <c r="AE204" s="17">
        <f>IF(B204="","",TEXT(B204,"yyyy-mm-dd")&amp;"|"&amp;F204)</f>
        <v>0</v>
      </c>
      <c r="AF204" s="31">
        <f>IF(B204="","",IF(AND(G204="",I204=""),"Add - nothing planned yet",IF(COUNTIFS($AE$5:$AE$504,AE204)&gt;1,"Duplicate - two meals in one slot",IF(AND(G204&lt;&gt;"",H204="Not found"),"Missing - recipe ID not on the Recipes tab",IF(AND(B204&lt;TODAY(),OR(N204="Planned",N204="")),"Check - did you cook it?","OK")))))</f>
        <v>0</v>
      </c>
    </row>
    <row r="205" spans="1:32">
      <c r="A205" s="39">
        <f>IF(B205="","",MealPrefix&amp;TEXT(ROW()-4,"0000"))</f>
        <v>0</v>
      </c>
      <c r="C205" s="17">
        <f>IF(B205="","",TEXT(B205,"ddd"))</f>
        <v>0</v>
      </c>
      <c r="D205" s="18">
        <f>IF(B205="","",WEEKNUM(B205,IF(WeekStart="Sunday",1,2)))</f>
        <v>0</v>
      </c>
      <c r="E205" s="17">
        <f>IF(B205="","",TEXT(B205,"yyyy-mm"))</f>
        <v>0</v>
      </c>
      <c r="H205" s="17">
        <f>IF(G205&lt;&gt;"",IFERROR(INDEX(Recipes!$B$5:$B$204,MATCH(G205,Recipes!$A$5:$A$204,0)),"Not found"),I205)</f>
        <v>0</v>
      </c>
      <c r="K205" s="45">
        <f>IF(B205="","",IF(J205="",DefaultServings,J205))</f>
        <v>0</v>
      </c>
      <c r="L205" s="45">
        <f>IF(G205="",0,IFERROR(K205/INDEX(Recipes!$G$5:$G$204,MATCH(G205,Recipes!$A$5:$A$204,0)),0))</f>
        <v>0</v>
      </c>
      <c r="T205" s="25">
        <f>IF(G205="","",IFERROR(INDEX(Recipes!$AD$5:$AD$204,MATCH(G205,Recipes!$A$5:$A$204,0))*K205,""))</f>
        <v>0</v>
      </c>
      <c r="V205" s="30">
        <f>IF(G205="","",IFERROR(INDEX(Recipes!$AE$5:$AE$204,MATCH(G205,Recipes!$A$5:$A$204,0)),"Not found"))</f>
        <v>0</v>
      </c>
      <c r="W205" s="45">
        <f>IF(G205="","",IFERROR(INDEX(Recipes!$AF$5:$AF$204,MATCH(G205,Recipes!$A$5:$A$204,0)),"Not found"))</f>
        <v>0</v>
      </c>
      <c r="X205" s="45">
        <f>IF(G205="","",IFERROR(INDEX(Recipes!$AG$5:$AG$204,MATCH(G205,Recipes!$A$5:$A$204,0)),"Not found"))</f>
        <v>0</v>
      </c>
      <c r="Y205" s="45">
        <f>IF(G205="","",IFERROR(INDEX(Recipes!$AH$5:$AH$204,MATCH(G205,Recipes!$A$5:$A$204,0)),"Not found"))</f>
        <v>0</v>
      </c>
      <c r="Z205" s="45">
        <f>IF(G205="","",IFERROR(INDEX(Recipes!$AI$5:$AI$204,MATCH(G205,Recipes!$A$5:$A$204,0)),"Not found"))</f>
        <v>0</v>
      </c>
      <c r="AA205" s="30">
        <f>IF(OR(V205="",NOT(ISNUMBER(V205))),"",V205*K205)</f>
        <v>0</v>
      </c>
      <c r="AB205" s="18">
        <f>IF(G205="","",IFERROR(INDEX(Recipes!$J$5:$J$204,MATCH(G205,Recipes!$A$5:$A$204,0)),"Not found"))</f>
        <v>0</v>
      </c>
      <c r="AC205" s="17">
        <f>IF(G205="","",IFERROR(INDEX(Recipes!$C$5:$C$204,MATCH(G205,Recipes!$A$5:$A$204,0)),"Not found"))</f>
        <v>0</v>
      </c>
      <c r="AD205" s="46">
        <f>IF(B205="","",IF(G205&lt;&gt;"","Yes",IF(OR(I205="",ISNUMBER(SEARCH("takeaway",I205)),ISNUMBER(SEARCH("out",I205))),"No","Yes")))</f>
        <v>0</v>
      </c>
      <c r="AE205" s="17">
        <f>IF(B205="","",TEXT(B205,"yyyy-mm-dd")&amp;"|"&amp;F205)</f>
        <v>0</v>
      </c>
      <c r="AF205" s="31">
        <f>IF(B205="","",IF(AND(G205="",I205=""),"Add - nothing planned yet",IF(COUNTIFS($AE$5:$AE$504,AE205)&gt;1,"Duplicate - two meals in one slot",IF(AND(G205&lt;&gt;"",H205="Not found"),"Missing - recipe ID not on the Recipes tab",IF(AND(B205&lt;TODAY(),OR(N205="Planned",N205="")),"Check - did you cook it?","OK")))))</f>
        <v>0</v>
      </c>
    </row>
    <row r="206" spans="1:32">
      <c r="A206" s="39">
        <f>IF(B206="","",MealPrefix&amp;TEXT(ROW()-4,"0000"))</f>
        <v>0</v>
      </c>
      <c r="C206" s="17">
        <f>IF(B206="","",TEXT(B206,"ddd"))</f>
        <v>0</v>
      </c>
      <c r="D206" s="18">
        <f>IF(B206="","",WEEKNUM(B206,IF(WeekStart="Sunday",1,2)))</f>
        <v>0</v>
      </c>
      <c r="E206" s="17">
        <f>IF(B206="","",TEXT(B206,"yyyy-mm"))</f>
        <v>0</v>
      </c>
      <c r="H206" s="17">
        <f>IF(G206&lt;&gt;"",IFERROR(INDEX(Recipes!$B$5:$B$204,MATCH(G206,Recipes!$A$5:$A$204,0)),"Not found"),I206)</f>
        <v>0</v>
      </c>
      <c r="K206" s="45">
        <f>IF(B206="","",IF(J206="",DefaultServings,J206))</f>
        <v>0</v>
      </c>
      <c r="L206" s="45">
        <f>IF(G206="",0,IFERROR(K206/INDEX(Recipes!$G$5:$G$204,MATCH(G206,Recipes!$A$5:$A$204,0)),0))</f>
        <v>0</v>
      </c>
      <c r="T206" s="25">
        <f>IF(G206="","",IFERROR(INDEX(Recipes!$AD$5:$AD$204,MATCH(G206,Recipes!$A$5:$A$204,0))*K206,""))</f>
        <v>0</v>
      </c>
      <c r="V206" s="30">
        <f>IF(G206="","",IFERROR(INDEX(Recipes!$AE$5:$AE$204,MATCH(G206,Recipes!$A$5:$A$204,0)),"Not found"))</f>
        <v>0</v>
      </c>
      <c r="W206" s="45">
        <f>IF(G206="","",IFERROR(INDEX(Recipes!$AF$5:$AF$204,MATCH(G206,Recipes!$A$5:$A$204,0)),"Not found"))</f>
        <v>0</v>
      </c>
      <c r="X206" s="45">
        <f>IF(G206="","",IFERROR(INDEX(Recipes!$AG$5:$AG$204,MATCH(G206,Recipes!$A$5:$A$204,0)),"Not found"))</f>
        <v>0</v>
      </c>
      <c r="Y206" s="45">
        <f>IF(G206="","",IFERROR(INDEX(Recipes!$AH$5:$AH$204,MATCH(G206,Recipes!$A$5:$A$204,0)),"Not found"))</f>
        <v>0</v>
      </c>
      <c r="Z206" s="45">
        <f>IF(G206="","",IFERROR(INDEX(Recipes!$AI$5:$AI$204,MATCH(G206,Recipes!$A$5:$A$204,0)),"Not found"))</f>
        <v>0</v>
      </c>
      <c r="AA206" s="30">
        <f>IF(OR(V206="",NOT(ISNUMBER(V206))),"",V206*K206)</f>
        <v>0</v>
      </c>
      <c r="AB206" s="18">
        <f>IF(G206="","",IFERROR(INDEX(Recipes!$J$5:$J$204,MATCH(G206,Recipes!$A$5:$A$204,0)),"Not found"))</f>
        <v>0</v>
      </c>
      <c r="AC206" s="17">
        <f>IF(G206="","",IFERROR(INDEX(Recipes!$C$5:$C$204,MATCH(G206,Recipes!$A$5:$A$204,0)),"Not found"))</f>
        <v>0</v>
      </c>
      <c r="AD206" s="46">
        <f>IF(B206="","",IF(G206&lt;&gt;"","Yes",IF(OR(I206="",ISNUMBER(SEARCH("takeaway",I206)),ISNUMBER(SEARCH("out",I206))),"No","Yes")))</f>
        <v>0</v>
      </c>
      <c r="AE206" s="17">
        <f>IF(B206="","",TEXT(B206,"yyyy-mm-dd")&amp;"|"&amp;F206)</f>
        <v>0</v>
      </c>
      <c r="AF206" s="31">
        <f>IF(B206="","",IF(AND(G206="",I206=""),"Add - nothing planned yet",IF(COUNTIFS($AE$5:$AE$504,AE206)&gt;1,"Duplicate - two meals in one slot",IF(AND(G206&lt;&gt;"",H206="Not found"),"Missing - recipe ID not on the Recipes tab",IF(AND(B206&lt;TODAY(),OR(N206="Planned",N206="")),"Check - did you cook it?","OK")))))</f>
        <v>0</v>
      </c>
    </row>
    <row r="207" spans="1:32">
      <c r="A207" s="39">
        <f>IF(B207="","",MealPrefix&amp;TEXT(ROW()-4,"0000"))</f>
        <v>0</v>
      </c>
      <c r="C207" s="17">
        <f>IF(B207="","",TEXT(B207,"ddd"))</f>
        <v>0</v>
      </c>
      <c r="D207" s="18">
        <f>IF(B207="","",WEEKNUM(B207,IF(WeekStart="Sunday",1,2)))</f>
        <v>0</v>
      </c>
      <c r="E207" s="17">
        <f>IF(B207="","",TEXT(B207,"yyyy-mm"))</f>
        <v>0</v>
      </c>
      <c r="H207" s="17">
        <f>IF(G207&lt;&gt;"",IFERROR(INDEX(Recipes!$B$5:$B$204,MATCH(G207,Recipes!$A$5:$A$204,0)),"Not found"),I207)</f>
        <v>0</v>
      </c>
      <c r="K207" s="45">
        <f>IF(B207="","",IF(J207="",DefaultServings,J207))</f>
        <v>0</v>
      </c>
      <c r="L207" s="45">
        <f>IF(G207="",0,IFERROR(K207/INDEX(Recipes!$G$5:$G$204,MATCH(G207,Recipes!$A$5:$A$204,0)),0))</f>
        <v>0</v>
      </c>
      <c r="T207" s="25">
        <f>IF(G207="","",IFERROR(INDEX(Recipes!$AD$5:$AD$204,MATCH(G207,Recipes!$A$5:$A$204,0))*K207,""))</f>
        <v>0</v>
      </c>
      <c r="V207" s="30">
        <f>IF(G207="","",IFERROR(INDEX(Recipes!$AE$5:$AE$204,MATCH(G207,Recipes!$A$5:$A$204,0)),"Not found"))</f>
        <v>0</v>
      </c>
      <c r="W207" s="45">
        <f>IF(G207="","",IFERROR(INDEX(Recipes!$AF$5:$AF$204,MATCH(G207,Recipes!$A$5:$A$204,0)),"Not found"))</f>
        <v>0</v>
      </c>
      <c r="X207" s="45">
        <f>IF(G207="","",IFERROR(INDEX(Recipes!$AG$5:$AG$204,MATCH(G207,Recipes!$A$5:$A$204,0)),"Not found"))</f>
        <v>0</v>
      </c>
      <c r="Y207" s="45">
        <f>IF(G207="","",IFERROR(INDEX(Recipes!$AH$5:$AH$204,MATCH(G207,Recipes!$A$5:$A$204,0)),"Not found"))</f>
        <v>0</v>
      </c>
      <c r="Z207" s="45">
        <f>IF(G207="","",IFERROR(INDEX(Recipes!$AI$5:$AI$204,MATCH(G207,Recipes!$A$5:$A$204,0)),"Not found"))</f>
        <v>0</v>
      </c>
      <c r="AA207" s="30">
        <f>IF(OR(V207="",NOT(ISNUMBER(V207))),"",V207*K207)</f>
        <v>0</v>
      </c>
      <c r="AB207" s="18">
        <f>IF(G207="","",IFERROR(INDEX(Recipes!$J$5:$J$204,MATCH(G207,Recipes!$A$5:$A$204,0)),"Not found"))</f>
        <v>0</v>
      </c>
      <c r="AC207" s="17">
        <f>IF(G207="","",IFERROR(INDEX(Recipes!$C$5:$C$204,MATCH(G207,Recipes!$A$5:$A$204,0)),"Not found"))</f>
        <v>0</v>
      </c>
      <c r="AD207" s="46">
        <f>IF(B207="","",IF(G207&lt;&gt;"","Yes",IF(OR(I207="",ISNUMBER(SEARCH("takeaway",I207)),ISNUMBER(SEARCH("out",I207))),"No","Yes")))</f>
        <v>0</v>
      </c>
      <c r="AE207" s="17">
        <f>IF(B207="","",TEXT(B207,"yyyy-mm-dd")&amp;"|"&amp;F207)</f>
        <v>0</v>
      </c>
      <c r="AF207" s="31">
        <f>IF(B207="","",IF(AND(G207="",I207=""),"Add - nothing planned yet",IF(COUNTIFS($AE$5:$AE$504,AE207)&gt;1,"Duplicate - two meals in one slot",IF(AND(G207&lt;&gt;"",H207="Not found"),"Missing - recipe ID not on the Recipes tab",IF(AND(B207&lt;TODAY(),OR(N207="Planned",N207="")),"Check - did you cook it?","OK")))))</f>
        <v>0</v>
      </c>
    </row>
    <row r="208" spans="1:32">
      <c r="A208" s="39">
        <f>IF(B208="","",MealPrefix&amp;TEXT(ROW()-4,"0000"))</f>
        <v>0</v>
      </c>
      <c r="C208" s="17">
        <f>IF(B208="","",TEXT(B208,"ddd"))</f>
        <v>0</v>
      </c>
      <c r="D208" s="18">
        <f>IF(B208="","",WEEKNUM(B208,IF(WeekStart="Sunday",1,2)))</f>
        <v>0</v>
      </c>
      <c r="E208" s="17">
        <f>IF(B208="","",TEXT(B208,"yyyy-mm"))</f>
        <v>0</v>
      </c>
      <c r="H208" s="17">
        <f>IF(G208&lt;&gt;"",IFERROR(INDEX(Recipes!$B$5:$B$204,MATCH(G208,Recipes!$A$5:$A$204,0)),"Not found"),I208)</f>
        <v>0</v>
      </c>
      <c r="K208" s="45">
        <f>IF(B208="","",IF(J208="",DefaultServings,J208))</f>
        <v>0</v>
      </c>
      <c r="L208" s="45">
        <f>IF(G208="",0,IFERROR(K208/INDEX(Recipes!$G$5:$G$204,MATCH(G208,Recipes!$A$5:$A$204,0)),0))</f>
        <v>0</v>
      </c>
      <c r="T208" s="25">
        <f>IF(G208="","",IFERROR(INDEX(Recipes!$AD$5:$AD$204,MATCH(G208,Recipes!$A$5:$A$204,0))*K208,""))</f>
        <v>0</v>
      </c>
      <c r="V208" s="30">
        <f>IF(G208="","",IFERROR(INDEX(Recipes!$AE$5:$AE$204,MATCH(G208,Recipes!$A$5:$A$204,0)),"Not found"))</f>
        <v>0</v>
      </c>
      <c r="W208" s="45">
        <f>IF(G208="","",IFERROR(INDEX(Recipes!$AF$5:$AF$204,MATCH(G208,Recipes!$A$5:$A$204,0)),"Not found"))</f>
        <v>0</v>
      </c>
      <c r="X208" s="45">
        <f>IF(G208="","",IFERROR(INDEX(Recipes!$AG$5:$AG$204,MATCH(G208,Recipes!$A$5:$A$204,0)),"Not found"))</f>
        <v>0</v>
      </c>
      <c r="Y208" s="45">
        <f>IF(G208="","",IFERROR(INDEX(Recipes!$AH$5:$AH$204,MATCH(G208,Recipes!$A$5:$A$204,0)),"Not found"))</f>
        <v>0</v>
      </c>
      <c r="Z208" s="45">
        <f>IF(G208="","",IFERROR(INDEX(Recipes!$AI$5:$AI$204,MATCH(G208,Recipes!$A$5:$A$204,0)),"Not found"))</f>
        <v>0</v>
      </c>
      <c r="AA208" s="30">
        <f>IF(OR(V208="",NOT(ISNUMBER(V208))),"",V208*K208)</f>
        <v>0</v>
      </c>
      <c r="AB208" s="18">
        <f>IF(G208="","",IFERROR(INDEX(Recipes!$J$5:$J$204,MATCH(G208,Recipes!$A$5:$A$204,0)),"Not found"))</f>
        <v>0</v>
      </c>
      <c r="AC208" s="17">
        <f>IF(G208="","",IFERROR(INDEX(Recipes!$C$5:$C$204,MATCH(G208,Recipes!$A$5:$A$204,0)),"Not found"))</f>
        <v>0</v>
      </c>
      <c r="AD208" s="46">
        <f>IF(B208="","",IF(G208&lt;&gt;"","Yes",IF(OR(I208="",ISNUMBER(SEARCH("takeaway",I208)),ISNUMBER(SEARCH("out",I208))),"No","Yes")))</f>
        <v>0</v>
      </c>
      <c r="AE208" s="17">
        <f>IF(B208="","",TEXT(B208,"yyyy-mm-dd")&amp;"|"&amp;F208)</f>
        <v>0</v>
      </c>
      <c r="AF208" s="31">
        <f>IF(B208="","",IF(AND(G208="",I208=""),"Add - nothing planned yet",IF(COUNTIFS($AE$5:$AE$504,AE208)&gt;1,"Duplicate - two meals in one slot",IF(AND(G208&lt;&gt;"",H208="Not found"),"Missing - recipe ID not on the Recipes tab",IF(AND(B208&lt;TODAY(),OR(N208="Planned",N208="")),"Check - did you cook it?","OK")))))</f>
        <v>0</v>
      </c>
    </row>
    <row r="209" spans="1:32">
      <c r="A209" s="39">
        <f>IF(B209="","",MealPrefix&amp;TEXT(ROW()-4,"0000"))</f>
        <v>0</v>
      </c>
      <c r="C209" s="17">
        <f>IF(B209="","",TEXT(B209,"ddd"))</f>
        <v>0</v>
      </c>
      <c r="D209" s="18">
        <f>IF(B209="","",WEEKNUM(B209,IF(WeekStart="Sunday",1,2)))</f>
        <v>0</v>
      </c>
      <c r="E209" s="17">
        <f>IF(B209="","",TEXT(B209,"yyyy-mm"))</f>
        <v>0</v>
      </c>
      <c r="H209" s="17">
        <f>IF(G209&lt;&gt;"",IFERROR(INDEX(Recipes!$B$5:$B$204,MATCH(G209,Recipes!$A$5:$A$204,0)),"Not found"),I209)</f>
        <v>0</v>
      </c>
      <c r="K209" s="45">
        <f>IF(B209="","",IF(J209="",DefaultServings,J209))</f>
        <v>0</v>
      </c>
      <c r="L209" s="45">
        <f>IF(G209="",0,IFERROR(K209/INDEX(Recipes!$G$5:$G$204,MATCH(G209,Recipes!$A$5:$A$204,0)),0))</f>
        <v>0</v>
      </c>
      <c r="T209" s="25">
        <f>IF(G209="","",IFERROR(INDEX(Recipes!$AD$5:$AD$204,MATCH(G209,Recipes!$A$5:$A$204,0))*K209,""))</f>
        <v>0</v>
      </c>
      <c r="V209" s="30">
        <f>IF(G209="","",IFERROR(INDEX(Recipes!$AE$5:$AE$204,MATCH(G209,Recipes!$A$5:$A$204,0)),"Not found"))</f>
        <v>0</v>
      </c>
      <c r="W209" s="45">
        <f>IF(G209="","",IFERROR(INDEX(Recipes!$AF$5:$AF$204,MATCH(G209,Recipes!$A$5:$A$204,0)),"Not found"))</f>
        <v>0</v>
      </c>
      <c r="X209" s="45">
        <f>IF(G209="","",IFERROR(INDEX(Recipes!$AG$5:$AG$204,MATCH(G209,Recipes!$A$5:$A$204,0)),"Not found"))</f>
        <v>0</v>
      </c>
      <c r="Y209" s="45">
        <f>IF(G209="","",IFERROR(INDEX(Recipes!$AH$5:$AH$204,MATCH(G209,Recipes!$A$5:$A$204,0)),"Not found"))</f>
        <v>0</v>
      </c>
      <c r="Z209" s="45">
        <f>IF(G209="","",IFERROR(INDEX(Recipes!$AI$5:$AI$204,MATCH(G209,Recipes!$A$5:$A$204,0)),"Not found"))</f>
        <v>0</v>
      </c>
      <c r="AA209" s="30">
        <f>IF(OR(V209="",NOT(ISNUMBER(V209))),"",V209*K209)</f>
        <v>0</v>
      </c>
      <c r="AB209" s="18">
        <f>IF(G209="","",IFERROR(INDEX(Recipes!$J$5:$J$204,MATCH(G209,Recipes!$A$5:$A$204,0)),"Not found"))</f>
        <v>0</v>
      </c>
      <c r="AC209" s="17">
        <f>IF(G209="","",IFERROR(INDEX(Recipes!$C$5:$C$204,MATCH(G209,Recipes!$A$5:$A$204,0)),"Not found"))</f>
        <v>0</v>
      </c>
      <c r="AD209" s="46">
        <f>IF(B209="","",IF(G209&lt;&gt;"","Yes",IF(OR(I209="",ISNUMBER(SEARCH("takeaway",I209)),ISNUMBER(SEARCH("out",I209))),"No","Yes")))</f>
        <v>0</v>
      </c>
      <c r="AE209" s="17">
        <f>IF(B209="","",TEXT(B209,"yyyy-mm-dd")&amp;"|"&amp;F209)</f>
        <v>0</v>
      </c>
      <c r="AF209" s="31">
        <f>IF(B209="","",IF(AND(G209="",I209=""),"Add - nothing planned yet",IF(COUNTIFS($AE$5:$AE$504,AE209)&gt;1,"Duplicate - two meals in one slot",IF(AND(G209&lt;&gt;"",H209="Not found"),"Missing - recipe ID not on the Recipes tab",IF(AND(B209&lt;TODAY(),OR(N209="Planned",N209="")),"Check - did you cook it?","OK")))))</f>
        <v>0</v>
      </c>
    </row>
    <row r="210" spans="1:32">
      <c r="A210" s="39">
        <f>IF(B210="","",MealPrefix&amp;TEXT(ROW()-4,"0000"))</f>
        <v>0</v>
      </c>
      <c r="C210" s="17">
        <f>IF(B210="","",TEXT(B210,"ddd"))</f>
        <v>0</v>
      </c>
      <c r="D210" s="18">
        <f>IF(B210="","",WEEKNUM(B210,IF(WeekStart="Sunday",1,2)))</f>
        <v>0</v>
      </c>
      <c r="E210" s="17">
        <f>IF(B210="","",TEXT(B210,"yyyy-mm"))</f>
        <v>0</v>
      </c>
      <c r="H210" s="17">
        <f>IF(G210&lt;&gt;"",IFERROR(INDEX(Recipes!$B$5:$B$204,MATCH(G210,Recipes!$A$5:$A$204,0)),"Not found"),I210)</f>
        <v>0</v>
      </c>
      <c r="K210" s="45">
        <f>IF(B210="","",IF(J210="",DefaultServings,J210))</f>
        <v>0</v>
      </c>
      <c r="L210" s="45">
        <f>IF(G210="",0,IFERROR(K210/INDEX(Recipes!$G$5:$G$204,MATCH(G210,Recipes!$A$5:$A$204,0)),0))</f>
        <v>0</v>
      </c>
      <c r="T210" s="25">
        <f>IF(G210="","",IFERROR(INDEX(Recipes!$AD$5:$AD$204,MATCH(G210,Recipes!$A$5:$A$204,0))*K210,""))</f>
        <v>0</v>
      </c>
      <c r="V210" s="30">
        <f>IF(G210="","",IFERROR(INDEX(Recipes!$AE$5:$AE$204,MATCH(G210,Recipes!$A$5:$A$204,0)),"Not found"))</f>
        <v>0</v>
      </c>
      <c r="W210" s="45">
        <f>IF(G210="","",IFERROR(INDEX(Recipes!$AF$5:$AF$204,MATCH(G210,Recipes!$A$5:$A$204,0)),"Not found"))</f>
        <v>0</v>
      </c>
      <c r="X210" s="45">
        <f>IF(G210="","",IFERROR(INDEX(Recipes!$AG$5:$AG$204,MATCH(G210,Recipes!$A$5:$A$204,0)),"Not found"))</f>
        <v>0</v>
      </c>
      <c r="Y210" s="45">
        <f>IF(G210="","",IFERROR(INDEX(Recipes!$AH$5:$AH$204,MATCH(G210,Recipes!$A$5:$A$204,0)),"Not found"))</f>
        <v>0</v>
      </c>
      <c r="Z210" s="45">
        <f>IF(G210="","",IFERROR(INDEX(Recipes!$AI$5:$AI$204,MATCH(G210,Recipes!$A$5:$A$204,0)),"Not found"))</f>
        <v>0</v>
      </c>
      <c r="AA210" s="30">
        <f>IF(OR(V210="",NOT(ISNUMBER(V210))),"",V210*K210)</f>
        <v>0</v>
      </c>
      <c r="AB210" s="18">
        <f>IF(G210="","",IFERROR(INDEX(Recipes!$J$5:$J$204,MATCH(G210,Recipes!$A$5:$A$204,0)),"Not found"))</f>
        <v>0</v>
      </c>
      <c r="AC210" s="17">
        <f>IF(G210="","",IFERROR(INDEX(Recipes!$C$5:$C$204,MATCH(G210,Recipes!$A$5:$A$204,0)),"Not found"))</f>
        <v>0</v>
      </c>
      <c r="AD210" s="46">
        <f>IF(B210="","",IF(G210&lt;&gt;"","Yes",IF(OR(I210="",ISNUMBER(SEARCH("takeaway",I210)),ISNUMBER(SEARCH("out",I210))),"No","Yes")))</f>
        <v>0</v>
      </c>
      <c r="AE210" s="17">
        <f>IF(B210="","",TEXT(B210,"yyyy-mm-dd")&amp;"|"&amp;F210)</f>
        <v>0</v>
      </c>
      <c r="AF210" s="31">
        <f>IF(B210="","",IF(AND(G210="",I210=""),"Add - nothing planned yet",IF(COUNTIFS($AE$5:$AE$504,AE210)&gt;1,"Duplicate - two meals in one slot",IF(AND(G210&lt;&gt;"",H210="Not found"),"Missing - recipe ID not on the Recipes tab",IF(AND(B210&lt;TODAY(),OR(N210="Planned",N210="")),"Check - did you cook it?","OK")))))</f>
        <v>0</v>
      </c>
    </row>
    <row r="211" spans="1:32">
      <c r="A211" s="39">
        <f>IF(B211="","",MealPrefix&amp;TEXT(ROW()-4,"0000"))</f>
        <v>0</v>
      </c>
      <c r="C211" s="17">
        <f>IF(B211="","",TEXT(B211,"ddd"))</f>
        <v>0</v>
      </c>
      <c r="D211" s="18">
        <f>IF(B211="","",WEEKNUM(B211,IF(WeekStart="Sunday",1,2)))</f>
        <v>0</v>
      </c>
      <c r="E211" s="17">
        <f>IF(B211="","",TEXT(B211,"yyyy-mm"))</f>
        <v>0</v>
      </c>
      <c r="H211" s="17">
        <f>IF(G211&lt;&gt;"",IFERROR(INDEX(Recipes!$B$5:$B$204,MATCH(G211,Recipes!$A$5:$A$204,0)),"Not found"),I211)</f>
        <v>0</v>
      </c>
      <c r="K211" s="45">
        <f>IF(B211="","",IF(J211="",DefaultServings,J211))</f>
        <v>0</v>
      </c>
      <c r="L211" s="45">
        <f>IF(G211="",0,IFERROR(K211/INDEX(Recipes!$G$5:$G$204,MATCH(G211,Recipes!$A$5:$A$204,0)),0))</f>
        <v>0</v>
      </c>
      <c r="T211" s="25">
        <f>IF(G211="","",IFERROR(INDEX(Recipes!$AD$5:$AD$204,MATCH(G211,Recipes!$A$5:$A$204,0))*K211,""))</f>
        <v>0</v>
      </c>
      <c r="V211" s="30">
        <f>IF(G211="","",IFERROR(INDEX(Recipes!$AE$5:$AE$204,MATCH(G211,Recipes!$A$5:$A$204,0)),"Not found"))</f>
        <v>0</v>
      </c>
      <c r="W211" s="45">
        <f>IF(G211="","",IFERROR(INDEX(Recipes!$AF$5:$AF$204,MATCH(G211,Recipes!$A$5:$A$204,0)),"Not found"))</f>
        <v>0</v>
      </c>
      <c r="X211" s="45">
        <f>IF(G211="","",IFERROR(INDEX(Recipes!$AG$5:$AG$204,MATCH(G211,Recipes!$A$5:$A$204,0)),"Not found"))</f>
        <v>0</v>
      </c>
      <c r="Y211" s="45">
        <f>IF(G211="","",IFERROR(INDEX(Recipes!$AH$5:$AH$204,MATCH(G211,Recipes!$A$5:$A$204,0)),"Not found"))</f>
        <v>0</v>
      </c>
      <c r="Z211" s="45">
        <f>IF(G211="","",IFERROR(INDEX(Recipes!$AI$5:$AI$204,MATCH(G211,Recipes!$A$5:$A$204,0)),"Not found"))</f>
        <v>0</v>
      </c>
      <c r="AA211" s="30">
        <f>IF(OR(V211="",NOT(ISNUMBER(V211))),"",V211*K211)</f>
        <v>0</v>
      </c>
      <c r="AB211" s="18">
        <f>IF(G211="","",IFERROR(INDEX(Recipes!$J$5:$J$204,MATCH(G211,Recipes!$A$5:$A$204,0)),"Not found"))</f>
        <v>0</v>
      </c>
      <c r="AC211" s="17">
        <f>IF(G211="","",IFERROR(INDEX(Recipes!$C$5:$C$204,MATCH(G211,Recipes!$A$5:$A$204,0)),"Not found"))</f>
        <v>0</v>
      </c>
      <c r="AD211" s="46">
        <f>IF(B211="","",IF(G211&lt;&gt;"","Yes",IF(OR(I211="",ISNUMBER(SEARCH("takeaway",I211)),ISNUMBER(SEARCH("out",I211))),"No","Yes")))</f>
        <v>0</v>
      </c>
      <c r="AE211" s="17">
        <f>IF(B211="","",TEXT(B211,"yyyy-mm-dd")&amp;"|"&amp;F211)</f>
        <v>0</v>
      </c>
      <c r="AF211" s="31">
        <f>IF(B211="","",IF(AND(G211="",I211=""),"Add - nothing planned yet",IF(COUNTIFS($AE$5:$AE$504,AE211)&gt;1,"Duplicate - two meals in one slot",IF(AND(G211&lt;&gt;"",H211="Not found"),"Missing - recipe ID not on the Recipes tab",IF(AND(B211&lt;TODAY(),OR(N211="Planned",N211="")),"Check - did you cook it?","OK")))))</f>
        <v>0</v>
      </c>
    </row>
    <row r="212" spans="1:32">
      <c r="A212" s="39">
        <f>IF(B212="","",MealPrefix&amp;TEXT(ROW()-4,"0000"))</f>
        <v>0</v>
      </c>
      <c r="C212" s="17">
        <f>IF(B212="","",TEXT(B212,"ddd"))</f>
        <v>0</v>
      </c>
      <c r="D212" s="18">
        <f>IF(B212="","",WEEKNUM(B212,IF(WeekStart="Sunday",1,2)))</f>
        <v>0</v>
      </c>
      <c r="E212" s="17">
        <f>IF(B212="","",TEXT(B212,"yyyy-mm"))</f>
        <v>0</v>
      </c>
      <c r="H212" s="17">
        <f>IF(G212&lt;&gt;"",IFERROR(INDEX(Recipes!$B$5:$B$204,MATCH(G212,Recipes!$A$5:$A$204,0)),"Not found"),I212)</f>
        <v>0</v>
      </c>
      <c r="K212" s="45">
        <f>IF(B212="","",IF(J212="",DefaultServings,J212))</f>
        <v>0</v>
      </c>
      <c r="L212" s="45">
        <f>IF(G212="",0,IFERROR(K212/INDEX(Recipes!$G$5:$G$204,MATCH(G212,Recipes!$A$5:$A$204,0)),0))</f>
        <v>0</v>
      </c>
      <c r="T212" s="25">
        <f>IF(G212="","",IFERROR(INDEX(Recipes!$AD$5:$AD$204,MATCH(G212,Recipes!$A$5:$A$204,0))*K212,""))</f>
        <v>0</v>
      </c>
      <c r="V212" s="30">
        <f>IF(G212="","",IFERROR(INDEX(Recipes!$AE$5:$AE$204,MATCH(G212,Recipes!$A$5:$A$204,0)),"Not found"))</f>
        <v>0</v>
      </c>
      <c r="W212" s="45">
        <f>IF(G212="","",IFERROR(INDEX(Recipes!$AF$5:$AF$204,MATCH(G212,Recipes!$A$5:$A$204,0)),"Not found"))</f>
        <v>0</v>
      </c>
      <c r="X212" s="45">
        <f>IF(G212="","",IFERROR(INDEX(Recipes!$AG$5:$AG$204,MATCH(G212,Recipes!$A$5:$A$204,0)),"Not found"))</f>
        <v>0</v>
      </c>
      <c r="Y212" s="45">
        <f>IF(G212="","",IFERROR(INDEX(Recipes!$AH$5:$AH$204,MATCH(G212,Recipes!$A$5:$A$204,0)),"Not found"))</f>
        <v>0</v>
      </c>
      <c r="Z212" s="45">
        <f>IF(G212="","",IFERROR(INDEX(Recipes!$AI$5:$AI$204,MATCH(G212,Recipes!$A$5:$A$204,0)),"Not found"))</f>
        <v>0</v>
      </c>
      <c r="AA212" s="30">
        <f>IF(OR(V212="",NOT(ISNUMBER(V212))),"",V212*K212)</f>
        <v>0</v>
      </c>
      <c r="AB212" s="18">
        <f>IF(G212="","",IFERROR(INDEX(Recipes!$J$5:$J$204,MATCH(G212,Recipes!$A$5:$A$204,0)),"Not found"))</f>
        <v>0</v>
      </c>
      <c r="AC212" s="17">
        <f>IF(G212="","",IFERROR(INDEX(Recipes!$C$5:$C$204,MATCH(G212,Recipes!$A$5:$A$204,0)),"Not found"))</f>
        <v>0</v>
      </c>
      <c r="AD212" s="46">
        <f>IF(B212="","",IF(G212&lt;&gt;"","Yes",IF(OR(I212="",ISNUMBER(SEARCH("takeaway",I212)),ISNUMBER(SEARCH("out",I212))),"No","Yes")))</f>
        <v>0</v>
      </c>
      <c r="AE212" s="17">
        <f>IF(B212="","",TEXT(B212,"yyyy-mm-dd")&amp;"|"&amp;F212)</f>
        <v>0</v>
      </c>
      <c r="AF212" s="31">
        <f>IF(B212="","",IF(AND(G212="",I212=""),"Add - nothing planned yet",IF(COUNTIFS($AE$5:$AE$504,AE212)&gt;1,"Duplicate - two meals in one slot",IF(AND(G212&lt;&gt;"",H212="Not found"),"Missing - recipe ID not on the Recipes tab",IF(AND(B212&lt;TODAY(),OR(N212="Planned",N212="")),"Check - did you cook it?","OK")))))</f>
        <v>0</v>
      </c>
    </row>
    <row r="213" spans="1:32">
      <c r="A213" s="39">
        <f>IF(B213="","",MealPrefix&amp;TEXT(ROW()-4,"0000"))</f>
        <v>0</v>
      </c>
      <c r="C213" s="17">
        <f>IF(B213="","",TEXT(B213,"ddd"))</f>
        <v>0</v>
      </c>
      <c r="D213" s="18">
        <f>IF(B213="","",WEEKNUM(B213,IF(WeekStart="Sunday",1,2)))</f>
        <v>0</v>
      </c>
      <c r="E213" s="17">
        <f>IF(B213="","",TEXT(B213,"yyyy-mm"))</f>
        <v>0</v>
      </c>
      <c r="H213" s="17">
        <f>IF(G213&lt;&gt;"",IFERROR(INDEX(Recipes!$B$5:$B$204,MATCH(G213,Recipes!$A$5:$A$204,0)),"Not found"),I213)</f>
        <v>0</v>
      </c>
      <c r="K213" s="45">
        <f>IF(B213="","",IF(J213="",DefaultServings,J213))</f>
        <v>0</v>
      </c>
      <c r="L213" s="45">
        <f>IF(G213="",0,IFERROR(K213/INDEX(Recipes!$G$5:$G$204,MATCH(G213,Recipes!$A$5:$A$204,0)),0))</f>
        <v>0</v>
      </c>
      <c r="T213" s="25">
        <f>IF(G213="","",IFERROR(INDEX(Recipes!$AD$5:$AD$204,MATCH(G213,Recipes!$A$5:$A$204,0))*K213,""))</f>
        <v>0</v>
      </c>
      <c r="V213" s="30">
        <f>IF(G213="","",IFERROR(INDEX(Recipes!$AE$5:$AE$204,MATCH(G213,Recipes!$A$5:$A$204,0)),"Not found"))</f>
        <v>0</v>
      </c>
      <c r="W213" s="45">
        <f>IF(G213="","",IFERROR(INDEX(Recipes!$AF$5:$AF$204,MATCH(G213,Recipes!$A$5:$A$204,0)),"Not found"))</f>
        <v>0</v>
      </c>
      <c r="X213" s="45">
        <f>IF(G213="","",IFERROR(INDEX(Recipes!$AG$5:$AG$204,MATCH(G213,Recipes!$A$5:$A$204,0)),"Not found"))</f>
        <v>0</v>
      </c>
      <c r="Y213" s="45">
        <f>IF(G213="","",IFERROR(INDEX(Recipes!$AH$5:$AH$204,MATCH(G213,Recipes!$A$5:$A$204,0)),"Not found"))</f>
        <v>0</v>
      </c>
      <c r="Z213" s="45">
        <f>IF(G213="","",IFERROR(INDEX(Recipes!$AI$5:$AI$204,MATCH(G213,Recipes!$A$5:$A$204,0)),"Not found"))</f>
        <v>0</v>
      </c>
      <c r="AA213" s="30">
        <f>IF(OR(V213="",NOT(ISNUMBER(V213))),"",V213*K213)</f>
        <v>0</v>
      </c>
      <c r="AB213" s="18">
        <f>IF(G213="","",IFERROR(INDEX(Recipes!$J$5:$J$204,MATCH(G213,Recipes!$A$5:$A$204,0)),"Not found"))</f>
        <v>0</v>
      </c>
      <c r="AC213" s="17">
        <f>IF(G213="","",IFERROR(INDEX(Recipes!$C$5:$C$204,MATCH(G213,Recipes!$A$5:$A$204,0)),"Not found"))</f>
        <v>0</v>
      </c>
      <c r="AD213" s="46">
        <f>IF(B213="","",IF(G213&lt;&gt;"","Yes",IF(OR(I213="",ISNUMBER(SEARCH("takeaway",I213)),ISNUMBER(SEARCH("out",I213))),"No","Yes")))</f>
        <v>0</v>
      </c>
      <c r="AE213" s="17">
        <f>IF(B213="","",TEXT(B213,"yyyy-mm-dd")&amp;"|"&amp;F213)</f>
        <v>0</v>
      </c>
      <c r="AF213" s="31">
        <f>IF(B213="","",IF(AND(G213="",I213=""),"Add - nothing planned yet",IF(COUNTIFS($AE$5:$AE$504,AE213)&gt;1,"Duplicate - two meals in one slot",IF(AND(G213&lt;&gt;"",H213="Not found"),"Missing - recipe ID not on the Recipes tab",IF(AND(B213&lt;TODAY(),OR(N213="Planned",N213="")),"Check - did you cook it?","OK")))))</f>
        <v>0</v>
      </c>
    </row>
    <row r="214" spans="1:32">
      <c r="A214" s="39">
        <f>IF(B214="","",MealPrefix&amp;TEXT(ROW()-4,"0000"))</f>
        <v>0</v>
      </c>
      <c r="C214" s="17">
        <f>IF(B214="","",TEXT(B214,"ddd"))</f>
        <v>0</v>
      </c>
      <c r="D214" s="18">
        <f>IF(B214="","",WEEKNUM(B214,IF(WeekStart="Sunday",1,2)))</f>
        <v>0</v>
      </c>
      <c r="E214" s="17">
        <f>IF(B214="","",TEXT(B214,"yyyy-mm"))</f>
        <v>0</v>
      </c>
      <c r="H214" s="17">
        <f>IF(G214&lt;&gt;"",IFERROR(INDEX(Recipes!$B$5:$B$204,MATCH(G214,Recipes!$A$5:$A$204,0)),"Not found"),I214)</f>
        <v>0</v>
      </c>
      <c r="K214" s="45">
        <f>IF(B214="","",IF(J214="",DefaultServings,J214))</f>
        <v>0</v>
      </c>
      <c r="L214" s="45">
        <f>IF(G214="",0,IFERROR(K214/INDEX(Recipes!$G$5:$G$204,MATCH(G214,Recipes!$A$5:$A$204,0)),0))</f>
        <v>0</v>
      </c>
      <c r="T214" s="25">
        <f>IF(G214="","",IFERROR(INDEX(Recipes!$AD$5:$AD$204,MATCH(G214,Recipes!$A$5:$A$204,0))*K214,""))</f>
        <v>0</v>
      </c>
      <c r="V214" s="30">
        <f>IF(G214="","",IFERROR(INDEX(Recipes!$AE$5:$AE$204,MATCH(G214,Recipes!$A$5:$A$204,0)),"Not found"))</f>
        <v>0</v>
      </c>
      <c r="W214" s="45">
        <f>IF(G214="","",IFERROR(INDEX(Recipes!$AF$5:$AF$204,MATCH(G214,Recipes!$A$5:$A$204,0)),"Not found"))</f>
        <v>0</v>
      </c>
      <c r="X214" s="45">
        <f>IF(G214="","",IFERROR(INDEX(Recipes!$AG$5:$AG$204,MATCH(G214,Recipes!$A$5:$A$204,0)),"Not found"))</f>
        <v>0</v>
      </c>
      <c r="Y214" s="45">
        <f>IF(G214="","",IFERROR(INDEX(Recipes!$AH$5:$AH$204,MATCH(G214,Recipes!$A$5:$A$204,0)),"Not found"))</f>
        <v>0</v>
      </c>
      <c r="Z214" s="45">
        <f>IF(G214="","",IFERROR(INDEX(Recipes!$AI$5:$AI$204,MATCH(G214,Recipes!$A$5:$A$204,0)),"Not found"))</f>
        <v>0</v>
      </c>
      <c r="AA214" s="30">
        <f>IF(OR(V214="",NOT(ISNUMBER(V214))),"",V214*K214)</f>
        <v>0</v>
      </c>
      <c r="AB214" s="18">
        <f>IF(G214="","",IFERROR(INDEX(Recipes!$J$5:$J$204,MATCH(G214,Recipes!$A$5:$A$204,0)),"Not found"))</f>
        <v>0</v>
      </c>
      <c r="AC214" s="17">
        <f>IF(G214="","",IFERROR(INDEX(Recipes!$C$5:$C$204,MATCH(G214,Recipes!$A$5:$A$204,0)),"Not found"))</f>
        <v>0</v>
      </c>
      <c r="AD214" s="46">
        <f>IF(B214="","",IF(G214&lt;&gt;"","Yes",IF(OR(I214="",ISNUMBER(SEARCH("takeaway",I214)),ISNUMBER(SEARCH("out",I214))),"No","Yes")))</f>
        <v>0</v>
      </c>
      <c r="AE214" s="17">
        <f>IF(B214="","",TEXT(B214,"yyyy-mm-dd")&amp;"|"&amp;F214)</f>
        <v>0</v>
      </c>
      <c r="AF214" s="31">
        <f>IF(B214="","",IF(AND(G214="",I214=""),"Add - nothing planned yet",IF(COUNTIFS($AE$5:$AE$504,AE214)&gt;1,"Duplicate - two meals in one slot",IF(AND(G214&lt;&gt;"",H214="Not found"),"Missing - recipe ID not on the Recipes tab",IF(AND(B214&lt;TODAY(),OR(N214="Planned",N214="")),"Check - did you cook it?","OK")))))</f>
        <v>0</v>
      </c>
    </row>
    <row r="215" spans="1:32">
      <c r="A215" s="39">
        <f>IF(B215="","",MealPrefix&amp;TEXT(ROW()-4,"0000"))</f>
        <v>0</v>
      </c>
      <c r="C215" s="17">
        <f>IF(B215="","",TEXT(B215,"ddd"))</f>
        <v>0</v>
      </c>
      <c r="D215" s="18">
        <f>IF(B215="","",WEEKNUM(B215,IF(WeekStart="Sunday",1,2)))</f>
        <v>0</v>
      </c>
      <c r="E215" s="17">
        <f>IF(B215="","",TEXT(B215,"yyyy-mm"))</f>
        <v>0</v>
      </c>
      <c r="H215" s="17">
        <f>IF(G215&lt;&gt;"",IFERROR(INDEX(Recipes!$B$5:$B$204,MATCH(G215,Recipes!$A$5:$A$204,0)),"Not found"),I215)</f>
        <v>0</v>
      </c>
      <c r="K215" s="45">
        <f>IF(B215="","",IF(J215="",DefaultServings,J215))</f>
        <v>0</v>
      </c>
      <c r="L215" s="45">
        <f>IF(G215="",0,IFERROR(K215/INDEX(Recipes!$G$5:$G$204,MATCH(G215,Recipes!$A$5:$A$204,0)),0))</f>
        <v>0</v>
      </c>
      <c r="T215" s="25">
        <f>IF(G215="","",IFERROR(INDEX(Recipes!$AD$5:$AD$204,MATCH(G215,Recipes!$A$5:$A$204,0))*K215,""))</f>
        <v>0</v>
      </c>
      <c r="V215" s="30">
        <f>IF(G215="","",IFERROR(INDEX(Recipes!$AE$5:$AE$204,MATCH(G215,Recipes!$A$5:$A$204,0)),"Not found"))</f>
        <v>0</v>
      </c>
      <c r="W215" s="45">
        <f>IF(G215="","",IFERROR(INDEX(Recipes!$AF$5:$AF$204,MATCH(G215,Recipes!$A$5:$A$204,0)),"Not found"))</f>
        <v>0</v>
      </c>
      <c r="X215" s="45">
        <f>IF(G215="","",IFERROR(INDEX(Recipes!$AG$5:$AG$204,MATCH(G215,Recipes!$A$5:$A$204,0)),"Not found"))</f>
        <v>0</v>
      </c>
      <c r="Y215" s="45">
        <f>IF(G215="","",IFERROR(INDEX(Recipes!$AH$5:$AH$204,MATCH(G215,Recipes!$A$5:$A$204,0)),"Not found"))</f>
        <v>0</v>
      </c>
      <c r="Z215" s="45">
        <f>IF(G215="","",IFERROR(INDEX(Recipes!$AI$5:$AI$204,MATCH(G215,Recipes!$A$5:$A$204,0)),"Not found"))</f>
        <v>0</v>
      </c>
      <c r="AA215" s="30">
        <f>IF(OR(V215="",NOT(ISNUMBER(V215))),"",V215*K215)</f>
        <v>0</v>
      </c>
      <c r="AB215" s="18">
        <f>IF(G215="","",IFERROR(INDEX(Recipes!$J$5:$J$204,MATCH(G215,Recipes!$A$5:$A$204,0)),"Not found"))</f>
        <v>0</v>
      </c>
      <c r="AC215" s="17">
        <f>IF(G215="","",IFERROR(INDEX(Recipes!$C$5:$C$204,MATCH(G215,Recipes!$A$5:$A$204,0)),"Not found"))</f>
        <v>0</v>
      </c>
      <c r="AD215" s="46">
        <f>IF(B215="","",IF(G215&lt;&gt;"","Yes",IF(OR(I215="",ISNUMBER(SEARCH("takeaway",I215)),ISNUMBER(SEARCH("out",I215))),"No","Yes")))</f>
        <v>0</v>
      </c>
      <c r="AE215" s="17">
        <f>IF(B215="","",TEXT(B215,"yyyy-mm-dd")&amp;"|"&amp;F215)</f>
        <v>0</v>
      </c>
      <c r="AF215" s="31">
        <f>IF(B215="","",IF(AND(G215="",I215=""),"Add - nothing planned yet",IF(COUNTIFS($AE$5:$AE$504,AE215)&gt;1,"Duplicate - two meals in one slot",IF(AND(G215&lt;&gt;"",H215="Not found"),"Missing - recipe ID not on the Recipes tab",IF(AND(B215&lt;TODAY(),OR(N215="Planned",N215="")),"Check - did you cook it?","OK")))))</f>
        <v>0</v>
      </c>
    </row>
    <row r="216" spans="1:32">
      <c r="A216" s="39">
        <f>IF(B216="","",MealPrefix&amp;TEXT(ROW()-4,"0000"))</f>
        <v>0</v>
      </c>
      <c r="C216" s="17">
        <f>IF(B216="","",TEXT(B216,"ddd"))</f>
        <v>0</v>
      </c>
      <c r="D216" s="18">
        <f>IF(B216="","",WEEKNUM(B216,IF(WeekStart="Sunday",1,2)))</f>
        <v>0</v>
      </c>
      <c r="E216" s="17">
        <f>IF(B216="","",TEXT(B216,"yyyy-mm"))</f>
        <v>0</v>
      </c>
      <c r="H216" s="17">
        <f>IF(G216&lt;&gt;"",IFERROR(INDEX(Recipes!$B$5:$B$204,MATCH(G216,Recipes!$A$5:$A$204,0)),"Not found"),I216)</f>
        <v>0</v>
      </c>
      <c r="K216" s="45">
        <f>IF(B216="","",IF(J216="",DefaultServings,J216))</f>
        <v>0</v>
      </c>
      <c r="L216" s="45">
        <f>IF(G216="",0,IFERROR(K216/INDEX(Recipes!$G$5:$G$204,MATCH(G216,Recipes!$A$5:$A$204,0)),0))</f>
        <v>0</v>
      </c>
      <c r="T216" s="25">
        <f>IF(G216="","",IFERROR(INDEX(Recipes!$AD$5:$AD$204,MATCH(G216,Recipes!$A$5:$A$204,0))*K216,""))</f>
        <v>0</v>
      </c>
      <c r="V216" s="30">
        <f>IF(G216="","",IFERROR(INDEX(Recipes!$AE$5:$AE$204,MATCH(G216,Recipes!$A$5:$A$204,0)),"Not found"))</f>
        <v>0</v>
      </c>
      <c r="W216" s="45">
        <f>IF(G216="","",IFERROR(INDEX(Recipes!$AF$5:$AF$204,MATCH(G216,Recipes!$A$5:$A$204,0)),"Not found"))</f>
        <v>0</v>
      </c>
      <c r="X216" s="45">
        <f>IF(G216="","",IFERROR(INDEX(Recipes!$AG$5:$AG$204,MATCH(G216,Recipes!$A$5:$A$204,0)),"Not found"))</f>
        <v>0</v>
      </c>
      <c r="Y216" s="45">
        <f>IF(G216="","",IFERROR(INDEX(Recipes!$AH$5:$AH$204,MATCH(G216,Recipes!$A$5:$A$204,0)),"Not found"))</f>
        <v>0</v>
      </c>
      <c r="Z216" s="45">
        <f>IF(G216="","",IFERROR(INDEX(Recipes!$AI$5:$AI$204,MATCH(G216,Recipes!$A$5:$A$204,0)),"Not found"))</f>
        <v>0</v>
      </c>
      <c r="AA216" s="30">
        <f>IF(OR(V216="",NOT(ISNUMBER(V216))),"",V216*K216)</f>
        <v>0</v>
      </c>
      <c r="AB216" s="18">
        <f>IF(G216="","",IFERROR(INDEX(Recipes!$J$5:$J$204,MATCH(G216,Recipes!$A$5:$A$204,0)),"Not found"))</f>
        <v>0</v>
      </c>
      <c r="AC216" s="17">
        <f>IF(G216="","",IFERROR(INDEX(Recipes!$C$5:$C$204,MATCH(G216,Recipes!$A$5:$A$204,0)),"Not found"))</f>
        <v>0</v>
      </c>
      <c r="AD216" s="46">
        <f>IF(B216="","",IF(G216&lt;&gt;"","Yes",IF(OR(I216="",ISNUMBER(SEARCH("takeaway",I216)),ISNUMBER(SEARCH("out",I216))),"No","Yes")))</f>
        <v>0</v>
      </c>
      <c r="AE216" s="17">
        <f>IF(B216="","",TEXT(B216,"yyyy-mm-dd")&amp;"|"&amp;F216)</f>
        <v>0</v>
      </c>
      <c r="AF216" s="31">
        <f>IF(B216="","",IF(AND(G216="",I216=""),"Add - nothing planned yet",IF(COUNTIFS($AE$5:$AE$504,AE216)&gt;1,"Duplicate - two meals in one slot",IF(AND(G216&lt;&gt;"",H216="Not found"),"Missing - recipe ID not on the Recipes tab",IF(AND(B216&lt;TODAY(),OR(N216="Planned",N216="")),"Check - did you cook it?","OK")))))</f>
        <v>0</v>
      </c>
    </row>
    <row r="217" spans="1:32">
      <c r="A217" s="39">
        <f>IF(B217="","",MealPrefix&amp;TEXT(ROW()-4,"0000"))</f>
        <v>0</v>
      </c>
      <c r="C217" s="17">
        <f>IF(B217="","",TEXT(B217,"ddd"))</f>
        <v>0</v>
      </c>
      <c r="D217" s="18">
        <f>IF(B217="","",WEEKNUM(B217,IF(WeekStart="Sunday",1,2)))</f>
        <v>0</v>
      </c>
      <c r="E217" s="17">
        <f>IF(B217="","",TEXT(B217,"yyyy-mm"))</f>
        <v>0</v>
      </c>
      <c r="H217" s="17">
        <f>IF(G217&lt;&gt;"",IFERROR(INDEX(Recipes!$B$5:$B$204,MATCH(G217,Recipes!$A$5:$A$204,0)),"Not found"),I217)</f>
        <v>0</v>
      </c>
      <c r="K217" s="45">
        <f>IF(B217="","",IF(J217="",DefaultServings,J217))</f>
        <v>0</v>
      </c>
      <c r="L217" s="45">
        <f>IF(G217="",0,IFERROR(K217/INDEX(Recipes!$G$5:$G$204,MATCH(G217,Recipes!$A$5:$A$204,0)),0))</f>
        <v>0</v>
      </c>
      <c r="T217" s="25">
        <f>IF(G217="","",IFERROR(INDEX(Recipes!$AD$5:$AD$204,MATCH(G217,Recipes!$A$5:$A$204,0))*K217,""))</f>
        <v>0</v>
      </c>
      <c r="V217" s="30">
        <f>IF(G217="","",IFERROR(INDEX(Recipes!$AE$5:$AE$204,MATCH(G217,Recipes!$A$5:$A$204,0)),"Not found"))</f>
        <v>0</v>
      </c>
      <c r="W217" s="45">
        <f>IF(G217="","",IFERROR(INDEX(Recipes!$AF$5:$AF$204,MATCH(G217,Recipes!$A$5:$A$204,0)),"Not found"))</f>
        <v>0</v>
      </c>
      <c r="X217" s="45">
        <f>IF(G217="","",IFERROR(INDEX(Recipes!$AG$5:$AG$204,MATCH(G217,Recipes!$A$5:$A$204,0)),"Not found"))</f>
        <v>0</v>
      </c>
      <c r="Y217" s="45">
        <f>IF(G217="","",IFERROR(INDEX(Recipes!$AH$5:$AH$204,MATCH(G217,Recipes!$A$5:$A$204,0)),"Not found"))</f>
        <v>0</v>
      </c>
      <c r="Z217" s="45">
        <f>IF(G217="","",IFERROR(INDEX(Recipes!$AI$5:$AI$204,MATCH(G217,Recipes!$A$5:$A$204,0)),"Not found"))</f>
        <v>0</v>
      </c>
      <c r="AA217" s="30">
        <f>IF(OR(V217="",NOT(ISNUMBER(V217))),"",V217*K217)</f>
        <v>0</v>
      </c>
      <c r="AB217" s="18">
        <f>IF(G217="","",IFERROR(INDEX(Recipes!$J$5:$J$204,MATCH(G217,Recipes!$A$5:$A$204,0)),"Not found"))</f>
        <v>0</v>
      </c>
      <c r="AC217" s="17">
        <f>IF(G217="","",IFERROR(INDEX(Recipes!$C$5:$C$204,MATCH(G217,Recipes!$A$5:$A$204,0)),"Not found"))</f>
        <v>0</v>
      </c>
      <c r="AD217" s="46">
        <f>IF(B217="","",IF(G217&lt;&gt;"","Yes",IF(OR(I217="",ISNUMBER(SEARCH("takeaway",I217)),ISNUMBER(SEARCH("out",I217))),"No","Yes")))</f>
        <v>0</v>
      </c>
      <c r="AE217" s="17">
        <f>IF(B217="","",TEXT(B217,"yyyy-mm-dd")&amp;"|"&amp;F217)</f>
        <v>0</v>
      </c>
      <c r="AF217" s="31">
        <f>IF(B217="","",IF(AND(G217="",I217=""),"Add - nothing planned yet",IF(COUNTIFS($AE$5:$AE$504,AE217)&gt;1,"Duplicate - two meals in one slot",IF(AND(G217&lt;&gt;"",H217="Not found"),"Missing - recipe ID not on the Recipes tab",IF(AND(B217&lt;TODAY(),OR(N217="Planned",N217="")),"Check - did you cook it?","OK")))))</f>
        <v>0</v>
      </c>
    </row>
    <row r="218" spans="1:32">
      <c r="A218" s="39">
        <f>IF(B218="","",MealPrefix&amp;TEXT(ROW()-4,"0000"))</f>
        <v>0</v>
      </c>
      <c r="C218" s="17">
        <f>IF(B218="","",TEXT(B218,"ddd"))</f>
        <v>0</v>
      </c>
      <c r="D218" s="18">
        <f>IF(B218="","",WEEKNUM(B218,IF(WeekStart="Sunday",1,2)))</f>
        <v>0</v>
      </c>
      <c r="E218" s="17">
        <f>IF(B218="","",TEXT(B218,"yyyy-mm"))</f>
        <v>0</v>
      </c>
      <c r="H218" s="17">
        <f>IF(G218&lt;&gt;"",IFERROR(INDEX(Recipes!$B$5:$B$204,MATCH(G218,Recipes!$A$5:$A$204,0)),"Not found"),I218)</f>
        <v>0</v>
      </c>
      <c r="K218" s="45">
        <f>IF(B218="","",IF(J218="",DefaultServings,J218))</f>
        <v>0</v>
      </c>
      <c r="L218" s="45">
        <f>IF(G218="",0,IFERROR(K218/INDEX(Recipes!$G$5:$G$204,MATCH(G218,Recipes!$A$5:$A$204,0)),0))</f>
        <v>0</v>
      </c>
      <c r="T218" s="25">
        <f>IF(G218="","",IFERROR(INDEX(Recipes!$AD$5:$AD$204,MATCH(G218,Recipes!$A$5:$A$204,0))*K218,""))</f>
        <v>0</v>
      </c>
      <c r="V218" s="30">
        <f>IF(G218="","",IFERROR(INDEX(Recipes!$AE$5:$AE$204,MATCH(G218,Recipes!$A$5:$A$204,0)),"Not found"))</f>
        <v>0</v>
      </c>
      <c r="W218" s="45">
        <f>IF(G218="","",IFERROR(INDEX(Recipes!$AF$5:$AF$204,MATCH(G218,Recipes!$A$5:$A$204,0)),"Not found"))</f>
        <v>0</v>
      </c>
      <c r="X218" s="45">
        <f>IF(G218="","",IFERROR(INDEX(Recipes!$AG$5:$AG$204,MATCH(G218,Recipes!$A$5:$A$204,0)),"Not found"))</f>
        <v>0</v>
      </c>
      <c r="Y218" s="45">
        <f>IF(G218="","",IFERROR(INDEX(Recipes!$AH$5:$AH$204,MATCH(G218,Recipes!$A$5:$A$204,0)),"Not found"))</f>
        <v>0</v>
      </c>
      <c r="Z218" s="45">
        <f>IF(G218="","",IFERROR(INDEX(Recipes!$AI$5:$AI$204,MATCH(G218,Recipes!$A$5:$A$204,0)),"Not found"))</f>
        <v>0</v>
      </c>
      <c r="AA218" s="30">
        <f>IF(OR(V218="",NOT(ISNUMBER(V218))),"",V218*K218)</f>
        <v>0</v>
      </c>
      <c r="AB218" s="18">
        <f>IF(G218="","",IFERROR(INDEX(Recipes!$J$5:$J$204,MATCH(G218,Recipes!$A$5:$A$204,0)),"Not found"))</f>
        <v>0</v>
      </c>
      <c r="AC218" s="17">
        <f>IF(G218="","",IFERROR(INDEX(Recipes!$C$5:$C$204,MATCH(G218,Recipes!$A$5:$A$204,0)),"Not found"))</f>
        <v>0</v>
      </c>
      <c r="AD218" s="46">
        <f>IF(B218="","",IF(G218&lt;&gt;"","Yes",IF(OR(I218="",ISNUMBER(SEARCH("takeaway",I218)),ISNUMBER(SEARCH("out",I218))),"No","Yes")))</f>
        <v>0</v>
      </c>
      <c r="AE218" s="17">
        <f>IF(B218="","",TEXT(B218,"yyyy-mm-dd")&amp;"|"&amp;F218)</f>
        <v>0</v>
      </c>
      <c r="AF218" s="31">
        <f>IF(B218="","",IF(AND(G218="",I218=""),"Add - nothing planned yet",IF(COUNTIFS($AE$5:$AE$504,AE218)&gt;1,"Duplicate - two meals in one slot",IF(AND(G218&lt;&gt;"",H218="Not found"),"Missing - recipe ID not on the Recipes tab",IF(AND(B218&lt;TODAY(),OR(N218="Planned",N218="")),"Check - did you cook it?","OK")))))</f>
        <v>0</v>
      </c>
    </row>
    <row r="219" spans="1:32">
      <c r="A219" s="39">
        <f>IF(B219="","",MealPrefix&amp;TEXT(ROW()-4,"0000"))</f>
        <v>0</v>
      </c>
      <c r="C219" s="17">
        <f>IF(B219="","",TEXT(B219,"ddd"))</f>
        <v>0</v>
      </c>
      <c r="D219" s="18">
        <f>IF(B219="","",WEEKNUM(B219,IF(WeekStart="Sunday",1,2)))</f>
        <v>0</v>
      </c>
      <c r="E219" s="17">
        <f>IF(B219="","",TEXT(B219,"yyyy-mm"))</f>
        <v>0</v>
      </c>
      <c r="H219" s="17">
        <f>IF(G219&lt;&gt;"",IFERROR(INDEX(Recipes!$B$5:$B$204,MATCH(G219,Recipes!$A$5:$A$204,0)),"Not found"),I219)</f>
        <v>0</v>
      </c>
      <c r="K219" s="45">
        <f>IF(B219="","",IF(J219="",DefaultServings,J219))</f>
        <v>0</v>
      </c>
      <c r="L219" s="45">
        <f>IF(G219="",0,IFERROR(K219/INDEX(Recipes!$G$5:$G$204,MATCH(G219,Recipes!$A$5:$A$204,0)),0))</f>
        <v>0</v>
      </c>
      <c r="T219" s="25">
        <f>IF(G219="","",IFERROR(INDEX(Recipes!$AD$5:$AD$204,MATCH(G219,Recipes!$A$5:$A$204,0))*K219,""))</f>
        <v>0</v>
      </c>
      <c r="V219" s="30">
        <f>IF(G219="","",IFERROR(INDEX(Recipes!$AE$5:$AE$204,MATCH(G219,Recipes!$A$5:$A$204,0)),"Not found"))</f>
        <v>0</v>
      </c>
      <c r="W219" s="45">
        <f>IF(G219="","",IFERROR(INDEX(Recipes!$AF$5:$AF$204,MATCH(G219,Recipes!$A$5:$A$204,0)),"Not found"))</f>
        <v>0</v>
      </c>
      <c r="X219" s="45">
        <f>IF(G219="","",IFERROR(INDEX(Recipes!$AG$5:$AG$204,MATCH(G219,Recipes!$A$5:$A$204,0)),"Not found"))</f>
        <v>0</v>
      </c>
      <c r="Y219" s="45">
        <f>IF(G219="","",IFERROR(INDEX(Recipes!$AH$5:$AH$204,MATCH(G219,Recipes!$A$5:$A$204,0)),"Not found"))</f>
        <v>0</v>
      </c>
      <c r="Z219" s="45">
        <f>IF(G219="","",IFERROR(INDEX(Recipes!$AI$5:$AI$204,MATCH(G219,Recipes!$A$5:$A$204,0)),"Not found"))</f>
        <v>0</v>
      </c>
      <c r="AA219" s="30">
        <f>IF(OR(V219="",NOT(ISNUMBER(V219))),"",V219*K219)</f>
        <v>0</v>
      </c>
      <c r="AB219" s="18">
        <f>IF(G219="","",IFERROR(INDEX(Recipes!$J$5:$J$204,MATCH(G219,Recipes!$A$5:$A$204,0)),"Not found"))</f>
        <v>0</v>
      </c>
      <c r="AC219" s="17">
        <f>IF(G219="","",IFERROR(INDEX(Recipes!$C$5:$C$204,MATCH(G219,Recipes!$A$5:$A$204,0)),"Not found"))</f>
        <v>0</v>
      </c>
      <c r="AD219" s="46">
        <f>IF(B219="","",IF(G219&lt;&gt;"","Yes",IF(OR(I219="",ISNUMBER(SEARCH("takeaway",I219)),ISNUMBER(SEARCH("out",I219))),"No","Yes")))</f>
        <v>0</v>
      </c>
      <c r="AE219" s="17">
        <f>IF(B219="","",TEXT(B219,"yyyy-mm-dd")&amp;"|"&amp;F219)</f>
        <v>0</v>
      </c>
      <c r="AF219" s="31">
        <f>IF(B219="","",IF(AND(G219="",I219=""),"Add - nothing planned yet",IF(COUNTIFS($AE$5:$AE$504,AE219)&gt;1,"Duplicate - two meals in one slot",IF(AND(G219&lt;&gt;"",H219="Not found"),"Missing - recipe ID not on the Recipes tab",IF(AND(B219&lt;TODAY(),OR(N219="Planned",N219="")),"Check - did you cook it?","OK")))))</f>
        <v>0</v>
      </c>
    </row>
    <row r="220" spans="1:32">
      <c r="A220" s="39">
        <f>IF(B220="","",MealPrefix&amp;TEXT(ROW()-4,"0000"))</f>
        <v>0</v>
      </c>
      <c r="C220" s="17">
        <f>IF(B220="","",TEXT(B220,"ddd"))</f>
        <v>0</v>
      </c>
      <c r="D220" s="18">
        <f>IF(B220="","",WEEKNUM(B220,IF(WeekStart="Sunday",1,2)))</f>
        <v>0</v>
      </c>
      <c r="E220" s="17">
        <f>IF(B220="","",TEXT(B220,"yyyy-mm"))</f>
        <v>0</v>
      </c>
      <c r="H220" s="17">
        <f>IF(G220&lt;&gt;"",IFERROR(INDEX(Recipes!$B$5:$B$204,MATCH(G220,Recipes!$A$5:$A$204,0)),"Not found"),I220)</f>
        <v>0</v>
      </c>
      <c r="K220" s="45">
        <f>IF(B220="","",IF(J220="",DefaultServings,J220))</f>
        <v>0</v>
      </c>
      <c r="L220" s="45">
        <f>IF(G220="",0,IFERROR(K220/INDEX(Recipes!$G$5:$G$204,MATCH(G220,Recipes!$A$5:$A$204,0)),0))</f>
        <v>0</v>
      </c>
      <c r="T220" s="25">
        <f>IF(G220="","",IFERROR(INDEX(Recipes!$AD$5:$AD$204,MATCH(G220,Recipes!$A$5:$A$204,0))*K220,""))</f>
        <v>0</v>
      </c>
      <c r="V220" s="30">
        <f>IF(G220="","",IFERROR(INDEX(Recipes!$AE$5:$AE$204,MATCH(G220,Recipes!$A$5:$A$204,0)),"Not found"))</f>
        <v>0</v>
      </c>
      <c r="W220" s="45">
        <f>IF(G220="","",IFERROR(INDEX(Recipes!$AF$5:$AF$204,MATCH(G220,Recipes!$A$5:$A$204,0)),"Not found"))</f>
        <v>0</v>
      </c>
      <c r="X220" s="45">
        <f>IF(G220="","",IFERROR(INDEX(Recipes!$AG$5:$AG$204,MATCH(G220,Recipes!$A$5:$A$204,0)),"Not found"))</f>
        <v>0</v>
      </c>
      <c r="Y220" s="45">
        <f>IF(G220="","",IFERROR(INDEX(Recipes!$AH$5:$AH$204,MATCH(G220,Recipes!$A$5:$A$204,0)),"Not found"))</f>
        <v>0</v>
      </c>
      <c r="Z220" s="45">
        <f>IF(G220="","",IFERROR(INDEX(Recipes!$AI$5:$AI$204,MATCH(G220,Recipes!$A$5:$A$204,0)),"Not found"))</f>
        <v>0</v>
      </c>
      <c r="AA220" s="30">
        <f>IF(OR(V220="",NOT(ISNUMBER(V220))),"",V220*K220)</f>
        <v>0</v>
      </c>
      <c r="AB220" s="18">
        <f>IF(G220="","",IFERROR(INDEX(Recipes!$J$5:$J$204,MATCH(G220,Recipes!$A$5:$A$204,0)),"Not found"))</f>
        <v>0</v>
      </c>
      <c r="AC220" s="17">
        <f>IF(G220="","",IFERROR(INDEX(Recipes!$C$5:$C$204,MATCH(G220,Recipes!$A$5:$A$204,0)),"Not found"))</f>
        <v>0</v>
      </c>
      <c r="AD220" s="46">
        <f>IF(B220="","",IF(G220&lt;&gt;"","Yes",IF(OR(I220="",ISNUMBER(SEARCH("takeaway",I220)),ISNUMBER(SEARCH("out",I220))),"No","Yes")))</f>
        <v>0</v>
      </c>
      <c r="AE220" s="17">
        <f>IF(B220="","",TEXT(B220,"yyyy-mm-dd")&amp;"|"&amp;F220)</f>
        <v>0</v>
      </c>
      <c r="AF220" s="31">
        <f>IF(B220="","",IF(AND(G220="",I220=""),"Add - nothing planned yet",IF(COUNTIFS($AE$5:$AE$504,AE220)&gt;1,"Duplicate - two meals in one slot",IF(AND(G220&lt;&gt;"",H220="Not found"),"Missing - recipe ID not on the Recipes tab",IF(AND(B220&lt;TODAY(),OR(N220="Planned",N220="")),"Check - did you cook it?","OK")))))</f>
        <v>0</v>
      </c>
    </row>
    <row r="221" spans="1:32">
      <c r="A221" s="39">
        <f>IF(B221="","",MealPrefix&amp;TEXT(ROW()-4,"0000"))</f>
        <v>0</v>
      </c>
      <c r="C221" s="17">
        <f>IF(B221="","",TEXT(B221,"ddd"))</f>
        <v>0</v>
      </c>
      <c r="D221" s="18">
        <f>IF(B221="","",WEEKNUM(B221,IF(WeekStart="Sunday",1,2)))</f>
        <v>0</v>
      </c>
      <c r="E221" s="17">
        <f>IF(B221="","",TEXT(B221,"yyyy-mm"))</f>
        <v>0</v>
      </c>
      <c r="H221" s="17">
        <f>IF(G221&lt;&gt;"",IFERROR(INDEX(Recipes!$B$5:$B$204,MATCH(G221,Recipes!$A$5:$A$204,0)),"Not found"),I221)</f>
        <v>0</v>
      </c>
      <c r="K221" s="45">
        <f>IF(B221="","",IF(J221="",DefaultServings,J221))</f>
        <v>0</v>
      </c>
      <c r="L221" s="45">
        <f>IF(G221="",0,IFERROR(K221/INDEX(Recipes!$G$5:$G$204,MATCH(G221,Recipes!$A$5:$A$204,0)),0))</f>
        <v>0</v>
      </c>
      <c r="T221" s="25">
        <f>IF(G221="","",IFERROR(INDEX(Recipes!$AD$5:$AD$204,MATCH(G221,Recipes!$A$5:$A$204,0))*K221,""))</f>
        <v>0</v>
      </c>
      <c r="V221" s="30">
        <f>IF(G221="","",IFERROR(INDEX(Recipes!$AE$5:$AE$204,MATCH(G221,Recipes!$A$5:$A$204,0)),"Not found"))</f>
        <v>0</v>
      </c>
      <c r="W221" s="45">
        <f>IF(G221="","",IFERROR(INDEX(Recipes!$AF$5:$AF$204,MATCH(G221,Recipes!$A$5:$A$204,0)),"Not found"))</f>
        <v>0</v>
      </c>
      <c r="X221" s="45">
        <f>IF(G221="","",IFERROR(INDEX(Recipes!$AG$5:$AG$204,MATCH(G221,Recipes!$A$5:$A$204,0)),"Not found"))</f>
        <v>0</v>
      </c>
      <c r="Y221" s="45">
        <f>IF(G221="","",IFERROR(INDEX(Recipes!$AH$5:$AH$204,MATCH(G221,Recipes!$A$5:$A$204,0)),"Not found"))</f>
        <v>0</v>
      </c>
      <c r="Z221" s="45">
        <f>IF(G221="","",IFERROR(INDEX(Recipes!$AI$5:$AI$204,MATCH(G221,Recipes!$A$5:$A$204,0)),"Not found"))</f>
        <v>0</v>
      </c>
      <c r="AA221" s="30">
        <f>IF(OR(V221="",NOT(ISNUMBER(V221))),"",V221*K221)</f>
        <v>0</v>
      </c>
      <c r="AB221" s="18">
        <f>IF(G221="","",IFERROR(INDEX(Recipes!$J$5:$J$204,MATCH(G221,Recipes!$A$5:$A$204,0)),"Not found"))</f>
        <v>0</v>
      </c>
      <c r="AC221" s="17">
        <f>IF(G221="","",IFERROR(INDEX(Recipes!$C$5:$C$204,MATCH(G221,Recipes!$A$5:$A$204,0)),"Not found"))</f>
        <v>0</v>
      </c>
      <c r="AD221" s="46">
        <f>IF(B221="","",IF(G221&lt;&gt;"","Yes",IF(OR(I221="",ISNUMBER(SEARCH("takeaway",I221)),ISNUMBER(SEARCH("out",I221))),"No","Yes")))</f>
        <v>0</v>
      </c>
      <c r="AE221" s="17">
        <f>IF(B221="","",TEXT(B221,"yyyy-mm-dd")&amp;"|"&amp;F221)</f>
        <v>0</v>
      </c>
      <c r="AF221" s="31">
        <f>IF(B221="","",IF(AND(G221="",I221=""),"Add - nothing planned yet",IF(COUNTIFS($AE$5:$AE$504,AE221)&gt;1,"Duplicate - two meals in one slot",IF(AND(G221&lt;&gt;"",H221="Not found"),"Missing - recipe ID not on the Recipes tab",IF(AND(B221&lt;TODAY(),OR(N221="Planned",N221="")),"Check - did you cook it?","OK")))))</f>
        <v>0</v>
      </c>
    </row>
    <row r="222" spans="1:32">
      <c r="A222" s="39">
        <f>IF(B222="","",MealPrefix&amp;TEXT(ROW()-4,"0000"))</f>
        <v>0</v>
      </c>
      <c r="C222" s="17">
        <f>IF(B222="","",TEXT(B222,"ddd"))</f>
        <v>0</v>
      </c>
      <c r="D222" s="18">
        <f>IF(B222="","",WEEKNUM(B222,IF(WeekStart="Sunday",1,2)))</f>
        <v>0</v>
      </c>
      <c r="E222" s="17">
        <f>IF(B222="","",TEXT(B222,"yyyy-mm"))</f>
        <v>0</v>
      </c>
      <c r="H222" s="17">
        <f>IF(G222&lt;&gt;"",IFERROR(INDEX(Recipes!$B$5:$B$204,MATCH(G222,Recipes!$A$5:$A$204,0)),"Not found"),I222)</f>
        <v>0</v>
      </c>
      <c r="K222" s="45">
        <f>IF(B222="","",IF(J222="",DefaultServings,J222))</f>
        <v>0</v>
      </c>
      <c r="L222" s="45">
        <f>IF(G222="",0,IFERROR(K222/INDEX(Recipes!$G$5:$G$204,MATCH(G222,Recipes!$A$5:$A$204,0)),0))</f>
        <v>0</v>
      </c>
      <c r="T222" s="25">
        <f>IF(G222="","",IFERROR(INDEX(Recipes!$AD$5:$AD$204,MATCH(G222,Recipes!$A$5:$A$204,0))*K222,""))</f>
        <v>0</v>
      </c>
      <c r="V222" s="30">
        <f>IF(G222="","",IFERROR(INDEX(Recipes!$AE$5:$AE$204,MATCH(G222,Recipes!$A$5:$A$204,0)),"Not found"))</f>
        <v>0</v>
      </c>
      <c r="W222" s="45">
        <f>IF(G222="","",IFERROR(INDEX(Recipes!$AF$5:$AF$204,MATCH(G222,Recipes!$A$5:$A$204,0)),"Not found"))</f>
        <v>0</v>
      </c>
      <c r="X222" s="45">
        <f>IF(G222="","",IFERROR(INDEX(Recipes!$AG$5:$AG$204,MATCH(G222,Recipes!$A$5:$A$204,0)),"Not found"))</f>
        <v>0</v>
      </c>
      <c r="Y222" s="45">
        <f>IF(G222="","",IFERROR(INDEX(Recipes!$AH$5:$AH$204,MATCH(G222,Recipes!$A$5:$A$204,0)),"Not found"))</f>
        <v>0</v>
      </c>
      <c r="Z222" s="45">
        <f>IF(G222="","",IFERROR(INDEX(Recipes!$AI$5:$AI$204,MATCH(G222,Recipes!$A$5:$A$204,0)),"Not found"))</f>
        <v>0</v>
      </c>
      <c r="AA222" s="30">
        <f>IF(OR(V222="",NOT(ISNUMBER(V222))),"",V222*K222)</f>
        <v>0</v>
      </c>
      <c r="AB222" s="18">
        <f>IF(G222="","",IFERROR(INDEX(Recipes!$J$5:$J$204,MATCH(G222,Recipes!$A$5:$A$204,0)),"Not found"))</f>
        <v>0</v>
      </c>
      <c r="AC222" s="17">
        <f>IF(G222="","",IFERROR(INDEX(Recipes!$C$5:$C$204,MATCH(G222,Recipes!$A$5:$A$204,0)),"Not found"))</f>
        <v>0</v>
      </c>
      <c r="AD222" s="46">
        <f>IF(B222="","",IF(G222&lt;&gt;"","Yes",IF(OR(I222="",ISNUMBER(SEARCH("takeaway",I222)),ISNUMBER(SEARCH("out",I222))),"No","Yes")))</f>
        <v>0</v>
      </c>
      <c r="AE222" s="17">
        <f>IF(B222="","",TEXT(B222,"yyyy-mm-dd")&amp;"|"&amp;F222)</f>
        <v>0</v>
      </c>
      <c r="AF222" s="31">
        <f>IF(B222="","",IF(AND(G222="",I222=""),"Add - nothing planned yet",IF(COUNTIFS($AE$5:$AE$504,AE222)&gt;1,"Duplicate - two meals in one slot",IF(AND(G222&lt;&gt;"",H222="Not found"),"Missing - recipe ID not on the Recipes tab",IF(AND(B222&lt;TODAY(),OR(N222="Planned",N222="")),"Check - did you cook it?","OK")))))</f>
        <v>0</v>
      </c>
    </row>
    <row r="223" spans="1:32">
      <c r="A223" s="39">
        <f>IF(B223="","",MealPrefix&amp;TEXT(ROW()-4,"0000"))</f>
        <v>0</v>
      </c>
      <c r="C223" s="17">
        <f>IF(B223="","",TEXT(B223,"ddd"))</f>
        <v>0</v>
      </c>
      <c r="D223" s="18">
        <f>IF(B223="","",WEEKNUM(B223,IF(WeekStart="Sunday",1,2)))</f>
        <v>0</v>
      </c>
      <c r="E223" s="17">
        <f>IF(B223="","",TEXT(B223,"yyyy-mm"))</f>
        <v>0</v>
      </c>
      <c r="H223" s="17">
        <f>IF(G223&lt;&gt;"",IFERROR(INDEX(Recipes!$B$5:$B$204,MATCH(G223,Recipes!$A$5:$A$204,0)),"Not found"),I223)</f>
        <v>0</v>
      </c>
      <c r="K223" s="45">
        <f>IF(B223="","",IF(J223="",DefaultServings,J223))</f>
        <v>0</v>
      </c>
      <c r="L223" s="45">
        <f>IF(G223="",0,IFERROR(K223/INDEX(Recipes!$G$5:$G$204,MATCH(G223,Recipes!$A$5:$A$204,0)),0))</f>
        <v>0</v>
      </c>
      <c r="T223" s="25">
        <f>IF(G223="","",IFERROR(INDEX(Recipes!$AD$5:$AD$204,MATCH(G223,Recipes!$A$5:$A$204,0))*K223,""))</f>
        <v>0</v>
      </c>
      <c r="V223" s="30">
        <f>IF(G223="","",IFERROR(INDEX(Recipes!$AE$5:$AE$204,MATCH(G223,Recipes!$A$5:$A$204,0)),"Not found"))</f>
        <v>0</v>
      </c>
      <c r="W223" s="45">
        <f>IF(G223="","",IFERROR(INDEX(Recipes!$AF$5:$AF$204,MATCH(G223,Recipes!$A$5:$A$204,0)),"Not found"))</f>
        <v>0</v>
      </c>
      <c r="X223" s="45">
        <f>IF(G223="","",IFERROR(INDEX(Recipes!$AG$5:$AG$204,MATCH(G223,Recipes!$A$5:$A$204,0)),"Not found"))</f>
        <v>0</v>
      </c>
      <c r="Y223" s="45">
        <f>IF(G223="","",IFERROR(INDEX(Recipes!$AH$5:$AH$204,MATCH(G223,Recipes!$A$5:$A$204,0)),"Not found"))</f>
        <v>0</v>
      </c>
      <c r="Z223" s="45">
        <f>IF(G223="","",IFERROR(INDEX(Recipes!$AI$5:$AI$204,MATCH(G223,Recipes!$A$5:$A$204,0)),"Not found"))</f>
        <v>0</v>
      </c>
      <c r="AA223" s="30">
        <f>IF(OR(V223="",NOT(ISNUMBER(V223))),"",V223*K223)</f>
        <v>0</v>
      </c>
      <c r="AB223" s="18">
        <f>IF(G223="","",IFERROR(INDEX(Recipes!$J$5:$J$204,MATCH(G223,Recipes!$A$5:$A$204,0)),"Not found"))</f>
        <v>0</v>
      </c>
      <c r="AC223" s="17">
        <f>IF(G223="","",IFERROR(INDEX(Recipes!$C$5:$C$204,MATCH(G223,Recipes!$A$5:$A$204,0)),"Not found"))</f>
        <v>0</v>
      </c>
      <c r="AD223" s="46">
        <f>IF(B223="","",IF(G223&lt;&gt;"","Yes",IF(OR(I223="",ISNUMBER(SEARCH("takeaway",I223)),ISNUMBER(SEARCH("out",I223))),"No","Yes")))</f>
        <v>0</v>
      </c>
      <c r="AE223" s="17">
        <f>IF(B223="","",TEXT(B223,"yyyy-mm-dd")&amp;"|"&amp;F223)</f>
        <v>0</v>
      </c>
      <c r="AF223" s="31">
        <f>IF(B223="","",IF(AND(G223="",I223=""),"Add - nothing planned yet",IF(COUNTIFS($AE$5:$AE$504,AE223)&gt;1,"Duplicate - two meals in one slot",IF(AND(G223&lt;&gt;"",H223="Not found"),"Missing - recipe ID not on the Recipes tab",IF(AND(B223&lt;TODAY(),OR(N223="Planned",N223="")),"Check - did you cook it?","OK")))))</f>
        <v>0</v>
      </c>
    </row>
    <row r="224" spans="1:32">
      <c r="A224" s="39">
        <f>IF(B224="","",MealPrefix&amp;TEXT(ROW()-4,"0000"))</f>
        <v>0</v>
      </c>
      <c r="C224" s="17">
        <f>IF(B224="","",TEXT(B224,"ddd"))</f>
        <v>0</v>
      </c>
      <c r="D224" s="18">
        <f>IF(B224="","",WEEKNUM(B224,IF(WeekStart="Sunday",1,2)))</f>
        <v>0</v>
      </c>
      <c r="E224" s="17">
        <f>IF(B224="","",TEXT(B224,"yyyy-mm"))</f>
        <v>0</v>
      </c>
      <c r="H224" s="17">
        <f>IF(G224&lt;&gt;"",IFERROR(INDEX(Recipes!$B$5:$B$204,MATCH(G224,Recipes!$A$5:$A$204,0)),"Not found"),I224)</f>
        <v>0</v>
      </c>
      <c r="K224" s="45">
        <f>IF(B224="","",IF(J224="",DefaultServings,J224))</f>
        <v>0</v>
      </c>
      <c r="L224" s="45">
        <f>IF(G224="",0,IFERROR(K224/INDEX(Recipes!$G$5:$G$204,MATCH(G224,Recipes!$A$5:$A$204,0)),0))</f>
        <v>0</v>
      </c>
      <c r="T224" s="25">
        <f>IF(G224="","",IFERROR(INDEX(Recipes!$AD$5:$AD$204,MATCH(G224,Recipes!$A$5:$A$204,0))*K224,""))</f>
        <v>0</v>
      </c>
      <c r="V224" s="30">
        <f>IF(G224="","",IFERROR(INDEX(Recipes!$AE$5:$AE$204,MATCH(G224,Recipes!$A$5:$A$204,0)),"Not found"))</f>
        <v>0</v>
      </c>
      <c r="W224" s="45">
        <f>IF(G224="","",IFERROR(INDEX(Recipes!$AF$5:$AF$204,MATCH(G224,Recipes!$A$5:$A$204,0)),"Not found"))</f>
        <v>0</v>
      </c>
      <c r="X224" s="45">
        <f>IF(G224="","",IFERROR(INDEX(Recipes!$AG$5:$AG$204,MATCH(G224,Recipes!$A$5:$A$204,0)),"Not found"))</f>
        <v>0</v>
      </c>
      <c r="Y224" s="45">
        <f>IF(G224="","",IFERROR(INDEX(Recipes!$AH$5:$AH$204,MATCH(G224,Recipes!$A$5:$A$204,0)),"Not found"))</f>
        <v>0</v>
      </c>
      <c r="Z224" s="45">
        <f>IF(G224="","",IFERROR(INDEX(Recipes!$AI$5:$AI$204,MATCH(G224,Recipes!$A$5:$A$204,0)),"Not found"))</f>
        <v>0</v>
      </c>
      <c r="AA224" s="30">
        <f>IF(OR(V224="",NOT(ISNUMBER(V224))),"",V224*K224)</f>
        <v>0</v>
      </c>
      <c r="AB224" s="18">
        <f>IF(G224="","",IFERROR(INDEX(Recipes!$J$5:$J$204,MATCH(G224,Recipes!$A$5:$A$204,0)),"Not found"))</f>
        <v>0</v>
      </c>
      <c r="AC224" s="17">
        <f>IF(G224="","",IFERROR(INDEX(Recipes!$C$5:$C$204,MATCH(G224,Recipes!$A$5:$A$204,0)),"Not found"))</f>
        <v>0</v>
      </c>
      <c r="AD224" s="46">
        <f>IF(B224="","",IF(G224&lt;&gt;"","Yes",IF(OR(I224="",ISNUMBER(SEARCH("takeaway",I224)),ISNUMBER(SEARCH("out",I224))),"No","Yes")))</f>
        <v>0</v>
      </c>
      <c r="AE224" s="17">
        <f>IF(B224="","",TEXT(B224,"yyyy-mm-dd")&amp;"|"&amp;F224)</f>
        <v>0</v>
      </c>
      <c r="AF224" s="31">
        <f>IF(B224="","",IF(AND(G224="",I224=""),"Add - nothing planned yet",IF(COUNTIFS($AE$5:$AE$504,AE224)&gt;1,"Duplicate - two meals in one slot",IF(AND(G224&lt;&gt;"",H224="Not found"),"Missing - recipe ID not on the Recipes tab",IF(AND(B224&lt;TODAY(),OR(N224="Planned",N224="")),"Check - did you cook it?","OK")))))</f>
        <v>0</v>
      </c>
    </row>
    <row r="225" spans="1:32">
      <c r="A225" s="39">
        <f>IF(B225="","",MealPrefix&amp;TEXT(ROW()-4,"0000"))</f>
        <v>0</v>
      </c>
      <c r="C225" s="17">
        <f>IF(B225="","",TEXT(B225,"ddd"))</f>
        <v>0</v>
      </c>
      <c r="D225" s="18">
        <f>IF(B225="","",WEEKNUM(B225,IF(WeekStart="Sunday",1,2)))</f>
        <v>0</v>
      </c>
      <c r="E225" s="17">
        <f>IF(B225="","",TEXT(B225,"yyyy-mm"))</f>
        <v>0</v>
      </c>
      <c r="H225" s="17">
        <f>IF(G225&lt;&gt;"",IFERROR(INDEX(Recipes!$B$5:$B$204,MATCH(G225,Recipes!$A$5:$A$204,0)),"Not found"),I225)</f>
        <v>0</v>
      </c>
      <c r="K225" s="45">
        <f>IF(B225="","",IF(J225="",DefaultServings,J225))</f>
        <v>0</v>
      </c>
      <c r="L225" s="45">
        <f>IF(G225="",0,IFERROR(K225/INDEX(Recipes!$G$5:$G$204,MATCH(G225,Recipes!$A$5:$A$204,0)),0))</f>
        <v>0</v>
      </c>
      <c r="T225" s="25">
        <f>IF(G225="","",IFERROR(INDEX(Recipes!$AD$5:$AD$204,MATCH(G225,Recipes!$A$5:$A$204,0))*K225,""))</f>
        <v>0</v>
      </c>
      <c r="V225" s="30">
        <f>IF(G225="","",IFERROR(INDEX(Recipes!$AE$5:$AE$204,MATCH(G225,Recipes!$A$5:$A$204,0)),"Not found"))</f>
        <v>0</v>
      </c>
      <c r="W225" s="45">
        <f>IF(G225="","",IFERROR(INDEX(Recipes!$AF$5:$AF$204,MATCH(G225,Recipes!$A$5:$A$204,0)),"Not found"))</f>
        <v>0</v>
      </c>
      <c r="X225" s="45">
        <f>IF(G225="","",IFERROR(INDEX(Recipes!$AG$5:$AG$204,MATCH(G225,Recipes!$A$5:$A$204,0)),"Not found"))</f>
        <v>0</v>
      </c>
      <c r="Y225" s="45">
        <f>IF(G225="","",IFERROR(INDEX(Recipes!$AH$5:$AH$204,MATCH(G225,Recipes!$A$5:$A$204,0)),"Not found"))</f>
        <v>0</v>
      </c>
      <c r="Z225" s="45">
        <f>IF(G225="","",IFERROR(INDEX(Recipes!$AI$5:$AI$204,MATCH(G225,Recipes!$A$5:$A$204,0)),"Not found"))</f>
        <v>0</v>
      </c>
      <c r="AA225" s="30">
        <f>IF(OR(V225="",NOT(ISNUMBER(V225))),"",V225*K225)</f>
        <v>0</v>
      </c>
      <c r="AB225" s="18">
        <f>IF(G225="","",IFERROR(INDEX(Recipes!$J$5:$J$204,MATCH(G225,Recipes!$A$5:$A$204,0)),"Not found"))</f>
        <v>0</v>
      </c>
      <c r="AC225" s="17">
        <f>IF(G225="","",IFERROR(INDEX(Recipes!$C$5:$C$204,MATCH(G225,Recipes!$A$5:$A$204,0)),"Not found"))</f>
        <v>0</v>
      </c>
      <c r="AD225" s="46">
        <f>IF(B225="","",IF(G225&lt;&gt;"","Yes",IF(OR(I225="",ISNUMBER(SEARCH("takeaway",I225)),ISNUMBER(SEARCH("out",I225))),"No","Yes")))</f>
        <v>0</v>
      </c>
      <c r="AE225" s="17">
        <f>IF(B225="","",TEXT(B225,"yyyy-mm-dd")&amp;"|"&amp;F225)</f>
        <v>0</v>
      </c>
      <c r="AF225" s="31">
        <f>IF(B225="","",IF(AND(G225="",I225=""),"Add - nothing planned yet",IF(COUNTIFS($AE$5:$AE$504,AE225)&gt;1,"Duplicate - two meals in one slot",IF(AND(G225&lt;&gt;"",H225="Not found"),"Missing - recipe ID not on the Recipes tab",IF(AND(B225&lt;TODAY(),OR(N225="Planned",N225="")),"Check - did you cook it?","OK")))))</f>
        <v>0</v>
      </c>
    </row>
    <row r="226" spans="1:32">
      <c r="A226" s="39">
        <f>IF(B226="","",MealPrefix&amp;TEXT(ROW()-4,"0000"))</f>
        <v>0</v>
      </c>
      <c r="C226" s="17">
        <f>IF(B226="","",TEXT(B226,"ddd"))</f>
        <v>0</v>
      </c>
      <c r="D226" s="18">
        <f>IF(B226="","",WEEKNUM(B226,IF(WeekStart="Sunday",1,2)))</f>
        <v>0</v>
      </c>
      <c r="E226" s="17">
        <f>IF(B226="","",TEXT(B226,"yyyy-mm"))</f>
        <v>0</v>
      </c>
      <c r="H226" s="17">
        <f>IF(G226&lt;&gt;"",IFERROR(INDEX(Recipes!$B$5:$B$204,MATCH(G226,Recipes!$A$5:$A$204,0)),"Not found"),I226)</f>
        <v>0</v>
      </c>
      <c r="K226" s="45">
        <f>IF(B226="","",IF(J226="",DefaultServings,J226))</f>
        <v>0</v>
      </c>
      <c r="L226" s="45">
        <f>IF(G226="",0,IFERROR(K226/INDEX(Recipes!$G$5:$G$204,MATCH(G226,Recipes!$A$5:$A$204,0)),0))</f>
        <v>0</v>
      </c>
      <c r="T226" s="25">
        <f>IF(G226="","",IFERROR(INDEX(Recipes!$AD$5:$AD$204,MATCH(G226,Recipes!$A$5:$A$204,0))*K226,""))</f>
        <v>0</v>
      </c>
      <c r="V226" s="30">
        <f>IF(G226="","",IFERROR(INDEX(Recipes!$AE$5:$AE$204,MATCH(G226,Recipes!$A$5:$A$204,0)),"Not found"))</f>
        <v>0</v>
      </c>
      <c r="W226" s="45">
        <f>IF(G226="","",IFERROR(INDEX(Recipes!$AF$5:$AF$204,MATCH(G226,Recipes!$A$5:$A$204,0)),"Not found"))</f>
        <v>0</v>
      </c>
      <c r="X226" s="45">
        <f>IF(G226="","",IFERROR(INDEX(Recipes!$AG$5:$AG$204,MATCH(G226,Recipes!$A$5:$A$204,0)),"Not found"))</f>
        <v>0</v>
      </c>
      <c r="Y226" s="45">
        <f>IF(G226="","",IFERROR(INDEX(Recipes!$AH$5:$AH$204,MATCH(G226,Recipes!$A$5:$A$204,0)),"Not found"))</f>
        <v>0</v>
      </c>
      <c r="Z226" s="45">
        <f>IF(G226="","",IFERROR(INDEX(Recipes!$AI$5:$AI$204,MATCH(G226,Recipes!$A$5:$A$204,0)),"Not found"))</f>
        <v>0</v>
      </c>
      <c r="AA226" s="30">
        <f>IF(OR(V226="",NOT(ISNUMBER(V226))),"",V226*K226)</f>
        <v>0</v>
      </c>
      <c r="AB226" s="18">
        <f>IF(G226="","",IFERROR(INDEX(Recipes!$J$5:$J$204,MATCH(G226,Recipes!$A$5:$A$204,0)),"Not found"))</f>
        <v>0</v>
      </c>
      <c r="AC226" s="17">
        <f>IF(G226="","",IFERROR(INDEX(Recipes!$C$5:$C$204,MATCH(G226,Recipes!$A$5:$A$204,0)),"Not found"))</f>
        <v>0</v>
      </c>
      <c r="AD226" s="46">
        <f>IF(B226="","",IF(G226&lt;&gt;"","Yes",IF(OR(I226="",ISNUMBER(SEARCH("takeaway",I226)),ISNUMBER(SEARCH("out",I226))),"No","Yes")))</f>
        <v>0</v>
      </c>
      <c r="AE226" s="17">
        <f>IF(B226="","",TEXT(B226,"yyyy-mm-dd")&amp;"|"&amp;F226)</f>
        <v>0</v>
      </c>
      <c r="AF226" s="31">
        <f>IF(B226="","",IF(AND(G226="",I226=""),"Add - nothing planned yet",IF(COUNTIFS($AE$5:$AE$504,AE226)&gt;1,"Duplicate - two meals in one slot",IF(AND(G226&lt;&gt;"",H226="Not found"),"Missing - recipe ID not on the Recipes tab",IF(AND(B226&lt;TODAY(),OR(N226="Planned",N226="")),"Check - did you cook it?","OK")))))</f>
        <v>0</v>
      </c>
    </row>
    <row r="227" spans="1:32">
      <c r="A227" s="39">
        <f>IF(B227="","",MealPrefix&amp;TEXT(ROW()-4,"0000"))</f>
        <v>0</v>
      </c>
      <c r="C227" s="17">
        <f>IF(B227="","",TEXT(B227,"ddd"))</f>
        <v>0</v>
      </c>
      <c r="D227" s="18">
        <f>IF(B227="","",WEEKNUM(B227,IF(WeekStart="Sunday",1,2)))</f>
        <v>0</v>
      </c>
      <c r="E227" s="17">
        <f>IF(B227="","",TEXT(B227,"yyyy-mm"))</f>
        <v>0</v>
      </c>
      <c r="H227" s="17">
        <f>IF(G227&lt;&gt;"",IFERROR(INDEX(Recipes!$B$5:$B$204,MATCH(G227,Recipes!$A$5:$A$204,0)),"Not found"),I227)</f>
        <v>0</v>
      </c>
      <c r="K227" s="45">
        <f>IF(B227="","",IF(J227="",DefaultServings,J227))</f>
        <v>0</v>
      </c>
      <c r="L227" s="45">
        <f>IF(G227="",0,IFERROR(K227/INDEX(Recipes!$G$5:$G$204,MATCH(G227,Recipes!$A$5:$A$204,0)),0))</f>
        <v>0</v>
      </c>
      <c r="T227" s="25">
        <f>IF(G227="","",IFERROR(INDEX(Recipes!$AD$5:$AD$204,MATCH(G227,Recipes!$A$5:$A$204,0))*K227,""))</f>
        <v>0</v>
      </c>
      <c r="V227" s="30">
        <f>IF(G227="","",IFERROR(INDEX(Recipes!$AE$5:$AE$204,MATCH(G227,Recipes!$A$5:$A$204,0)),"Not found"))</f>
        <v>0</v>
      </c>
      <c r="W227" s="45">
        <f>IF(G227="","",IFERROR(INDEX(Recipes!$AF$5:$AF$204,MATCH(G227,Recipes!$A$5:$A$204,0)),"Not found"))</f>
        <v>0</v>
      </c>
      <c r="X227" s="45">
        <f>IF(G227="","",IFERROR(INDEX(Recipes!$AG$5:$AG$204,MATCH(G227,Recipes!$A$5:$A$204,0)),"Not found"))</f>
        <v>0</v>
      </c>
      <c r="Y227" s="45">
        <f>IF(G227="","",IFERROR(INDEX(Recipes!$AH$5:$AH$204,MATCH(G227,Recipes!$A$5:$A$204,0)),"Not found"))</f>
        <v>0</v>
      </c>
      <c r="Z227" s="45">
        <f>IF(G227="","",IFERROR(INDEX(Recipes!$AI$5:$AI$204,MATCH(G227,Recipes!$A$5:$A$204,0)),"Not found"))</f>
        <v>0</v>
      </c>
      <c r="AA227" s="30">
        <f>IF(OR(V227="",NOT(ISNUMBER(V227))),"",V227*K227)</f>
        <v>0</v>
      </c>
      <c r="AB227" s="18">
        <f>IF(G227="","",IFERROR(INDEX(Recipes!$J$5:$J$204,MATCH(G227,Recipes!$A$5:$A$204,0)),"Not found"))</f>
        <v>0</v>
      </c>
      <c r="AC227" s="17">
        <f>IF(G227="","",IFERROR(INDEX(Recipes!$C$5:$C$204,MATCH(G227,Recipes!$A$5:$A$204,0)),"Not found"))</f>
        <v>0</v>
      </c>
      <c r="AD227" s="46">
        <f>IF(B227="","",IF(G227&lt;&gt;"","Yes",IF(OR(I227="",ISNUMBER(SEARCH("takeaway",I227)),ISNUMBER(SEARCH("out",I227))),"No","Yes")))</f>
        <v>0</v>
      </c>
      <c r="AE227" s="17">
        <f>IF(B227="","",TEXT(B227,"yyyy-mm-dd")&amp;"|"&amp;F227)</f>
        <v>0</v>
      </c>
      <c r="AF227" s="31">
        <f>IF(B227="","",IF(AND(G227="",I227=""),"Add - nothing planned yet",IF(COUNTIFS($AE$5:$AE$504,AE227)&gt;1,"Duplicate - two meals in one slot",IF(AND(G227&lt;&gt;"",H227="Not found"),"Missing - recipe ID not on the Recipes tab",IF(AND(B227&lt;TODAY(),OR(N227="Planned",N227="")),"Check - did you cook it?","OK")))))</f>
        <v>0</v>
      </c>
    </row>
    <row r="228" spans="1:32">
      <c r="A228" s="39">
        <f>IF(B228="","",MealPrefix&amp;TEXT(ROW()-4,"0000"))</f>
        <v>0</v>
      </c>
      <c r="C228" s="17">
        <f>IF(B228="","",TEXT(B228,"ddd"))</f>
        <v>0</v>
      </c>
      <c r="D228" s="18">
        <f>IF(B228="","",WEEKNUM(B228,IF(WeekStart="Sunday",1,2)))</f>
        <v>0</v>
      </c>
      <c r="E228" s="17">
        <f>IF(B228="","",TEXT(B228,"yyyy-mm"))</f>
        <v>0</v>
      </c>
      <c r="H228" s="17">
        <f>IF(G228&lt;&gt;"",IFERROR(INDEX(Recipes!$B$5:$B$204,MATCH(G228,Recipes!$A$5:$A$204,0)),"Not found"),I228)</f>
        <v>0</v>
      </c>
      <c r="K228" s="45">
        <f>IF(B228="","",IF(J228="",DefaultServings,J228))</f>
        <v>0</v>
      </c>
      <c r="L228" s="45">
        <f>IF(G228="",0,IFERROR(K228/INDEX(Recipes!$G$5:$G$204,MATCH(G228,Recipes!$A$5:$A$204,0)),0))</f>
        <v>0</v>
      </c>
      <c r="T228" s="25">
        <f>IF(G228="","",IFERROR(INDEX(Recipes!$AD$5:$AD$204,MATCH(G228,Recipes!$A$5:$A$204,0))*K228,""))</f>
        <v>0</v>
      </c>
      <c r="V228" s="30">
        <f>IF(G228="","",IFERROR(INDEX(Recipes!$AE$5:$AE$204,MATCH(G228,Recipes!$A$5:$A$204,0)),"Not found"))</f>
        <v>0</v>
      </c>
      <c r="W228" s="45">
        <f>IF(G228="","",IFERROR(INDEX(Recipes!$AF$5:$AF$204,MATCH(G228,Recipes!$A$5:$A$204,0)),"Not found"))</f>
        <v>0</v>
      </c>
      <c r="X228" s="45">
        <f>IF(G228="","",IFERROR(INDEX(Recipes!$AG$5:$AG$204,MATCH(G228,Recipes!$A$5:$A$204,0)),"Not found"))</f>
        <v>0</v>
      </c>
      <c r="Y228" s="45">
        <f>IF(G228="","",IFERROR(INDEX(Recipes!$AH$5:$AH$204,MATCH(G228,Recipes!$A$5:$A$204,0)),"Not found"))</f>
        <v>0</v>
      </c>
      <c r="Z228" s="45">
        <f>IF(G228="","",IFERROR(INDEX(Recipes!$AI$5:$AI$204,MATCH(G228,Recipes!$A$5:$A$204,0)),"Not found"))</f>
        <v>0</v>
      </c>
      <c r="AA228" s="30">
        <f>IF(OR(V228="",NOT(ISNUMBER(V228))),"",V228*K228)</f>
        <v>0</v>
      </c>
      <c r="AB228" s="18">
        <f>IF(G228="","",IFERROR(INDEX(Recipes!$J$5:$J$204,MATCH(G228,Recipes!$A$5:$A$204,0)),"Not found"))</f>
        <v>0</v>
      </c>
      <c r="AC228" s="17">
        <f>IF(G228="","",IFERROR(INDEX(Recipes!$C$5:$C$204,MATCH(G228,Recipes!$A$5:$A$204,0)),"Not found"))</f>
        <v>0</v>
      </c>
      <c r="AD228" s="46">
        <f>IF(B228="","",IF(G228&lt;&gt;"","Yes",IF(OR(I228="",ISNUMBER(SEARCH("takeaway",I228)),ISNUMBER(SEARCH("out",I228))),"No","Yes")))</f>
        <v>0</v>
      </c>
      <c r="AE228" s="17">
        <f>IF(B228="","",TEXT(B228,"yyyy-mm-dd")&amp;"|"&amp;F228)</f>
        <v>0</v>
      </c>
      <c r="AF228" s="31">
        <f>IF(B228="","",IF(AND(G228="",I228=""),"Add - nothing planned yet",IF(COUNTIFS($AE$5:$AE$504,AE228)&gt;1,"Duplicate - two meals in one slot",IF(AND(G228&lt;&gt;"",H228="Not found"),"Missing - recipe ID not on the Recipes tab",IF(AND(B228&lt;TODAY(),OR(N228="Planned",N228="")),"Check - did you cook it?","OK")))))</f>
        <v>0</v>
      </c>
    </row>
    <row r="229" spans="1:32">
      <c r="A229" s="39">
        <f>IF(B229="","",MealPrefix&amp;TEXT(ROW()-4,"0000"))</f>
        <v>0</v>
      </c>
      <c r="C229" s="17">
        <f>IF(B229="","",TEXT(B229,"ddd"))</f>
        <v>0</v>
      </c>
      <c r="D229" s="18">
        <f>IF(B229="","",WEEKNUM(B229,IF(WeekStart="Sunday",1,2)))</f>
        <v>0</v>
      </c>
      <c r="E229" s="17">
        <f>IF(B229="","",TEXT(B229,"yyyy-mm"))</f>
        <v>0</v>
      </c>
      <c r="H229" s="17">
        <f>IF(G229&lt;&gt;"",IFERROR(INDEX(Recipes!$B$5:$B$204,MATCH(G229,Recipes!$A$5:$A$204,0)),"Not found"),I229)</f>
        <v>0</v>
      </c>
      <c r="K229" s="45">
        <f>IF(B229="","",IF(J229="",DefaultServings,J229))</f>
        <v>0</v>
      </c>
      <c r="L229" s="45">
        <f>IF(G229="",0,IFERROR(K229/INDEX(Recipes!$G$5:$G$204,MATCH(G229,Recipes!$A$5:$A$204,0)),0))</f>
        <v>0</v>
      </c>
      <c r="T229" s="25">
        <f>IF(G229="","",IFERROR(INDEX(Recipes!$AD$5:$AD$204,MATCH(G229,Recipes!$A$5:$A$204,0))*K229,""))</f>
        <v>0</v>
      </c>
      <c r="V229" s="30">
        <f>IF(G229="","",IFERROR(INDEX(Recipes!$AE$5:$AE$204,MATCH(G229,Recipes!$A$5:$A$204,0)),"Not found"))</f>
        <v>0</v>
      </c>
      <c r="W229" s="45">
        <f>IF(G229="","",IFERROR(INDEX(Recipes!$AF$5:$AF$204,MATCH(G229,Recipes!$A$5:$A$204,0)),"Not found"))</f>
        <v>0</v>
      </c>
      <c r="X229" s="45">
        <f>IF(G229="","",IFERROR(INDEX(Recipes!$AG$5:$AG$204,MATCH(G229,Recipes!$A$5:$A$204,0)),"Not found"))</f>
        <v>0</v>
      </c>
      <c r="Y229" s="45">
        <f>IF(G229="","",IFERROR(INDEX(Recipes!$AH$5:$AH$204,MATCH(G229,Recipes!$A$5:$A$204,0)),"Not found"))</f>
        <v>0</v>
      </c>
      <c r="Z229" s="45">
        <f>IF(G229="","",IFERROR(INDEX(Recipes!$AI$5:$AI$204,MATCH(G229,Recipes!$A$5:$A$204,0)),"Not found"))</f>
        <v>0</v>
      </c>
      <c r="AA229" s="30">
        <f>IF(OR(V229="",NOT(ISNUMBER(V229))),"",V229*K229)</f>
        <v>0</v>
      </c>
      <c r="AB229" s="18">
        <f>IF(G229="","",IFERROR(INDEX(Recipes!$J$5:$J$204,MATCH(G229,Recipes!$A$5:$A$204,0)),"Not found"))</f>
        <v>0</v>
      </c>
      <c r="AC229" s="17">
        <f>IF(G229="","",IFERROR(INDEX(Recipes!$C$5:$C$204,MATCH(G229,Recipes!$A$5:$A$204,0)),"Not found"))</f>
        <v>0</v>
      </c>
      <c r="AD229" s="46">
        <f>IF(B229="","",IF(G229&lt;&gt;"","Yes",IF(OR(I229="",ISNUMBER(SEARCH("takeaway",I229)),ISNUMBER(SEARCH("out",I229))),"No","Yes")))</f>
        <v>0</v>
      </c>
      <c r="AE229" s="17">
        <f>IF(B229="","",TEXT(B229,"yyyy-mm-dd")&amp;"|"&amp;F229)</f>
        <v>0</v>
      </c>
      <c r="AF229" s="31">
        <f>IF(B229="","",IF(AND(G229="",I229=""),"Add - nothing planned yet",IF(COUNTIFS($AE$5:$AE$504,AE229)&gt;1,"Duplicate - two meals in one slot",IF(AND(G229&lt;&gt;"",H229="Not found"),"Missing - recipe ID not on the Recipes tab",IF(AND(B229&lt;TODAY(),OR(N229="Planned",N229="")),"Check - did you cook it?","OK")))))</f>
        <v>0</v>
      </c>
    </row>
    <row r="230" spans="1:32">
      <c r="A230" s="39">
        <f>IF(B230="","",MealPrefix&amp;TEXT(ROW()-4,"0000"))</f>
        <v>0</v>
      </c>
      <c r="C230" s="17">
        <f>IF(B230="","",TEXT(B230,"ddd"))</f>
        <v>0</v>
      </c>
      <c r="D230" s="18">
        <f>IF(B230="","",WEEKNUM(B230,IF(WeekStart="Sunday",1,2)))</f>
        <v>0</v>
      </c>
      <c r="E230" s="17">
        <f>IF(B230="","",TEXT(B230,"yyyy-mm"))</f>
        <v>0</v>
      </c>
      <c r="H230" s="17">
        <f>IF(G230&lt;&gt;"",IFERROR(INDEX(Recipes!$B$5:$B$204,MATCH(G230,Recipes!$A$5:$A$204,0)),"Not found"),I230)</f>
        <v>0</v>
      </c>
      <c r="K230" s="45">
        <f>IF(B230="","",IF(J230="",DefaultServings,J230))</f>
        <v>0</v>
      </c>
      <c r="L230" s="45">
        <f>IF(G230="",0,IFERROR(K230/INDEX(Recipes!$G$5:$G$204,MATCH(G230,Recipes!$A$5:$A$204,0)),0))</f>
        <v>0</v>
      </c>
      <c r="T230" s="25">
        <f>IF(G230="","",IFERROR(INDEX(Recipes!$AD$5:$AD$204,MATCH(G230,Recipes!$A$5:$A$204,0))*K230,""))</f>
        <v>0</v>
      </c>
      <c r="V230" s="30">
        <f>IF(G230="","",IFERROR(INDEX(Recipes!$AE$5:$AE$204,MATCH(G230,Recipes!$A$5:$A$204,0)),"Not found"))</f>
        <v>0</v>
      </c>
      <c r="W230" s="45">
        <f>IF(G230="","",IFERROR(INDEX(Recipes!$AF$5:$AF$204,MATCH(G230,Recipes!$A$5:$A$204,0)),"Not found"))</f>
        <v>0</v>
      </c>
      <c r="X230" s="45">
        <f>IF(G230="","",IFERROR(INDEX(Recipes!$AG$5:$AG$204,MATCH(G230,Recipes!$A$5:$A$204,0)),"Not found"))</f>
        <v>0</v>
      </c>
      <c r="Y230" s="45">
        <f>IF(G230="","",IFERROR(INDEX(Recipes!$AH$5:$AH$204,MATCH(G230,Recipes!$A$5:$A$204,0)),"Not found"))</f>
        <v>0</v>
      </c>
      <c r="Z230" s="45">
        <f>IF(G230="","",IFERROR(INDEX(Recipes!$AI$5:$AI$204,MATCH(G230,Recipes!$A$5:$A$204,0)),"Not found"))</f>
        <v>0</v>
      </c>
      <c r="AA230" s="30">
        <f>IF(OR(V230="",NOT(ISNUMBER(V230))),"",V230*K230)</f>
        <v>0</v>
      </c>
      <c r="AB230" s="18">
        <f>IF(G230="","",IFERROR(INDEX(Recipes!$J$5:$J$204,MATCH(G230,Recipes!$A$5:$A$204,0)),"Not found"))</f>
        <v>0</v>
      </c>
      <c r="AC230" s="17">
        <f>IF(G230="","",IFERROR(INDEX(Recipes!$C$5:$C$204,MATCH(G230,Recipes!$A$5:$A$204,0)),"Not found"))</f>
        <v>0</v>
      </c>
      <c r="AD230" s="46">
        <f>IF(B230="","",IF(G230&lt;&gt;"","Yes",IF(OR(I230="",ISNUMBER(SEARCH("takeaway",I230)),ISNUMBER(SEARCH("out",I230))),"No","Yes")))</f>
        <v>0</v>
      </c>
      <c r="AE230" s="17">
        <f>IF(B230="","",TEXT(B230,"yyyy-mm-dd")&amp;"|"&amp;F230)</f>
        <v>0</v>
      </c>
      <c r="AF230" s="31">
        <f>IF(B230="","",IF(AND(G230="",I230=""),"Add - nothing planned yet",IF(COUNTIFS($AE$5:$AE$504,AE230)&gt;1,"Duplicate - two meals in one slot",IF(AND(G230&lt;&gt;"",H230="Not found"),"Missing - recipe ID not on the Recipes tab",IF(AND(B230&lt;TODAY(),OR(N230="Planned",N230="")),"Check - did you cook it?","OK")))))</f>
        <v>0</v>
      </c>
    </row>
    <row r="231" spans="1:32">
      <c r="A231" s="39">
        <f>IF(B231="","",MealPrefix&amp;TEXT(ROW()-4,"0000"))</f>
        <v>0</v>
      </c>
      <c r="C231" s="17">
        <f>IF(B231="","",TEXT(B231,"ddd"))</f>
        <v>0</v>
      </c>
      <c r="D231" s="18">
        <f>IF(B231="","",WEEKNUM(B231,IF(WeekStart="Sunday",1,2)))</f>
        <v>0</v>
      </c>
      <c r="E231" s="17">
        <f>IF(B231="","",TEXT(B231,"yyyy-mm"))</f>
        <v>0</v>
      </c>
      <c r="H231" s="17">
        <f>IF(G231&lt;&gt;"",IFERROR(INDEX(Recipes!$B$5:$B$204,MATCH(G231,Recipes!$A$5:$A$204,0)),"Not found"),I231)</f>
        <v>0</v>
      </c>
      <c r="K231" s="45">
        <f>IF(B231="","",IF(J231="",DefaultServings,J231))</f>
        <v>0</v>
      </c>
      <c r="L231" s="45">
        <f>IF(G231="",0,IFERROR(K231/INDEX(Recipes!$G$5:$G$204,MATCH(G231,Recipes!$A$5:$A$204,0)),0))</f>
        <v>0</v>
      </c>
      <c r="T231" s="25">
        <f>IF(G231="","",IFERROR(INDEX(Recipes!$AD$5:$AD$204,MATCH(G231,Recipes!$A$5:$A$204,0))*K231,""))</f>
        <v>0</v>
      </c>
      <c r="V231" s="30">
        <f>IF(G231="","",IFERROR(INDEX(Recipes!$AE$5:$AE$204,MATCH(G231,Recipes!$A$5:$A$204,0)),"Not found"))</f>
        <v>0</v>
      </c>
      <c r="W231" s="45">
        <f>IF(G231="","",IFERROR(INDEX(Recipes!$AF$5:$AF$204,MATCH(G231,Recipes!$A$5:$A$204,0)),"Not found"))</f>
        <v>0</v>
      </c>
      <c r="X231" s="45">
        <f>IF(G231="","",IFERROR(INDEX(Recipes!$AG$5:$AG$204,MATCH(G231,Recipes!$A$5:$A$204,0)),"Not found"))</f>
        <v>0</v>
      </c>
      <c r="Y231" s="45">
        <f>IF(G231="","",IFERROR(INDEX(Recipes!$AH$5:$AH$204,MATCH(G231,Recipes!$A$5:$A$204,0)),"Not found"))</f>
        <v>0</v>
      </c>
      <c r="Z231" s="45">
        <f>IF(G231="","",IFERROR(INDEX(Recipes!$AI$5:$AI$204,MATCH(G231,Recipes!$A$5:$A$204,0)),"Not found"))</f>
        <v>0</v>
      </c>
      <c r="AA231" s="30">
        <f>IF(OR(V231="",NOT(ISNUMBER(V231))),"",V231*K231)</f>
        <v>0</v>
      </c>
      <c r="AB231" s="18">
        <f>IF(G231="","",IFERROR(INDEX(Recipes!$J$5:$J$204,MATCH(G231,Recipes!$A$5:$A$204,0)),"Not found"))</f>
        <v>0</v>
      </c>
      <c r="AC231" s="17">
        <f>IF(G231="","",IFERROR(INDEX(Recipes!$C$5:$C$204,MATCH(G231,Recipes!$A$5:$A$204,0)),"Not found"))</f>
        <v>0</v>
      </c>
      <c r="AD231" s="46">
        <f>IF(B231="","",IF(G231&lt;&gt;"","Yes",IF(OR(I231="",ISNUMBER(SEARCH("takeaway",I231)),ISNUMBER(SEARCH("out",I231))),"No","Yes")))</f>
        <v>0</v>
      </c>
      <c r="AE231" s="17">
        <f>IF(B231="","",TEXT(B231,"yyyy-mm-dd")&amp;"|"&amp;F231)</f>
        <v>0</v>
      </c>
      <c r="AF231" s="31">
        <f>IF(B231="","",IF(AND(G231="",I231=""),"Add - nothing planned yet",IF(COUNTIFS($AE$5:$AE$504,AE231)&gt;1,"Duplicate - two meals in one slot",IF(AND(G231&lt;&gt;"",H231="Not found"),"Missing - recipe ID not on the Recipes tab",IF(AND(B231&lt;TODAY(),OR(N231="Planned",N231="")),"Check - did you cook it?","OK")))))</f>
        <v>0</v>
      </c>
    </row>
    <row r="232" spans="1:32">
      <c r="A232" s="39">
        <f>IF(B232="","",MealPrefix&amp;TEXT(ROW()-4,"0000"))</f>
        <v>0</v>
      </c>
      <c r="C232" s="17">
        <f>IF(B232="","",TEXT(B232,"ddd"))</f>
        <v>0</v>
      </c>
      <c r="D232" s="18">
        <f>IF(B232="","",WEEKNUM(B232,IF(WeekStart="Sunday",1,2)))</f>
        <v>0</v>
      </c>
      <c r="E232" s="17">
        <f>IF(B232="","",TEXT(B232,"yyyy-mm"))</f>
        <v>0</v>
      </c>
      <c r="H232" s="17">
        <f>IF(G232&lt;&gt;"",IFERROR(INDEX(Recipes!$B$5:$B$204,MATCH(G232,Recipes!$A$5:$A$204,0)),"Not found"),I232)</f>
        <v>0</v>
      </c>
      <c r="K232" s="45">
        <f>IF(B232="","",IF(J232="",DefaultServings,J232))</f>
        <v>0</v>
      </c>
      <c r="L232" s="45">
        <f>IF(G232="",0,IFERROR(K232/INDEX(Recipes!$G$5:$G$204,MATCH(G232,Recipes!$A$5:$A$204,0)),0))</f>
        <v>0</v>
      </c>
      <c r="T232" s="25">
        <f>IF(G232="","",IFERROR(INDEX(Recipes!$AD$5:$AD$204,MATCH(G232,Recipes!$A$5:$A$204,0))*K232,""))</f>
        <v>0</v>
      </c>
      <c r="V232" s="30">
        <f>IF(G232="","",IFERROR(INDEX(Recipes!$AE$5:$AE$204,MATCH(G232,Recipes!$A$5:$A$204,0)),"Not found"))</f>
        <v>0</v>
      </c>
      <c r="W232" s="45">
        <f>IF(G232="","",IFERROR(INDEX(Recipes!$AF$5:$AF$204,MATCH(G232,Recipes!$A$5:$A$204,0)),"Not found"))</f>
        <v>0</v>
      </c>
      <c r="X232" s="45">
        <f>IF(G232="","",IFERROR(INDEX(Recipes!$AG$5:$AG$204,MATCH(G232,Recipes!$A$5:$A$204,0)),"Not found"))</f>
        <v>0</v>
      </c>
      <c r="Y232" s="45">
        <f>IF(G232="","",IFERROR(INDEX(Recipes!$AH$5:$AH$204,MATCH(G232,Recipes!$A$5:$A$204,0)),"Not found"))</f>
        <v>0</v>
      </c>
      <c r="Z232" s="45">
        <f>IF(G232="","",IFERROR(INDEX(Recipes!$AI$5:$AI$204,MATCH(G232,Recipes!$A$5:$A$204,0)),"Not found"))</f>
        <v>0</v>
      </c>
      <c r="AA232" s="30">
        <f>IF(OR(V232="",NOT(ISNUMBER(V232))),"",V232*K232)</f>
        <v>0</v>
      </c>
      <c r="AB232" s="18">
        <f>IF(G232="","",IFERROR(INDEX(Recipes!$J$5:$J$204,MATCH(G232,Recipes!$A$5:$A$204,0)),"Not found"))</f>
        <v>0</v>
      </c>
      <c r="AC232" s="17">
        <f>IF(G232="","",IFERROR(INDEX(Recipes!$C$5:$C$204,MATCH(G232,Recipes!$A$5:$A$204,0)),"Not found"))</f>
        <v>0</v>
      </c>
      <c r="AD232" s="46">
        <f>IF(B232="","",IF(G232&lt;&gt;"","Yes",IF(OR(I232="",ISNUMBER(SEARCH("takeaway",I232)),ISNUMBER(SEARCH("out",I232))),"No","Yes")))</f>
        <v>0</v>
      </c>
      <c r="AE232" s="17">
        <f>IF(B232="","",TEXT(B232,"yyyy-mm-dd")&amp;"|"&amp;F232)</f>
        <v>0</v>
      </c>
      <c r="AF232" s="31">
        <f>IF(B232="","",IF(AND(G232="",I232=""),"Add - nothing planned yet",IF(COUNTIFS($AE$5:$AE$504,AE232)&gt;1,"Duplicate - two meals in one slot",IF(AND(G232&lt;&gt;"",H232="Not found"),"Missing - recipe ID not on the Recipes tab",IF(AND(B232&lt;TODAY(),OR(N232="Planned",N232="")),"Check - did you cook it?","OK")))))</f>
        <v>0</v>
      </c>
    </row>
    <row r="233" spans="1:32">
      <c r="A233" s="39">
        <f>IF(B233="","",MealPrefix&amp;TEXT(ROW()-4,"0000"))</f>
        <v>0</v>
      </c>
      <c r="C233" s="17">
        <f>IF(B233="","",TEXT(B233,"ddd"))</f>
        <v>0</v>
      </c>
      <c r="D233" s="18">
        <f>IF(B233="","",WEEKNUM(B233,IF(WeekStart="Sunday",1,2)))</f>
        <v>0</v>
      </c>
      <c r="E233" s="17">
        <f>IF(B233="","",TEXT(B233,"yyyy-mm"))</f>
        <v>0</v>
      </c>
      <c r="H233" s="17">
        <f>IF(G233&lt;&gt;"",IFERROR(INDEX(Recipes!$B$5:$B$204,MATCH(G233,Recipes!$A$5:$A$204,0)),"Not found"),I233)</f>
        <v>0</v>
      </c>
      <c r="K233" s="45">
        <f>IF(B233="","",IF(J233="",DefaultServings,J233))</f>
        <v>0</v>
      </c>
      <c r="L233" s="45">
        <f>IF(G233="",0,IFERROR(K233/INDEX(Recipes!$G$5:$G$204,MATCH(G233,Recipes!$A$5:$A$204,0)),0))</f>
        <v>0</v>
      </c>
      <c r="T233" s="25">
        <f>IF(G233="","",IFERROR(INDEX(Recipes!$AD$5:$AD$204,MATCH(G233,Recipes!$A$5:$A$204,0))*K233,""))</f>
        <v>0</v>
      </c>
      <c r="V233" s="30">
        <f>IF(G233="","",IFERROR(INDEX(Recipes!$AE$5:$AE$204,MATCH(G233,Recipes!$A$5:$A$204,0)),"Not found"))</f>
        <v>0</v>
      </c>
      <c r="W233" s="45">
        <f>IF(G233="","",IFERROR(INDEX(Recipes!$AF$5:$AF$204,MATCH(G233,Recipes!$A$5:$A$204,0)),"Not found"))</f>
        <v>0</v>
      </c>
      <c r="X233" s="45">
        <f>IF(G233="","",IFERROR(INDEX(Recipes!$AG$5:$AG$204,MATCH(G233,Recipes!$A$5:$A$204,0)),"Not found"))</f>
        <v>0</v>
      </c>
      <c r="Y233" s="45">
        <f>IF(G233="","",IFERROR(INDEX(Recipes!$AH$5:$AH$204,MATCH(G233,Recipes!$A$5:$A$204,0)),"Not found"))</f>
        <v>0</v>
      </c>
      <c r="Z233" s="45">
        <f>IF(G233="","",IFERROR(INDEX(Recipes!$AI$5:$AI$204,MATCH(G233,Recipes!$A$5:$A$204,0)),"Not found"))</f>
        <v>0</v>
      </c>
      <c r="AA233" s="30">
        <f>IF(OR(V233="",NOT(ISNUMBER(V233))),"",V233*K233)</f>
        <v>0</v>
      </c>
      <c r="AB233" s="18">
        <f>IF(G233="","",IFERROR(INDEX(Recipes!$J$5:$J$204,MATCH(G233,Recipes!$A$5:$A$204,0)),"Not found"))</f>
        <v>0</v>
      </c>
      <c r="AC233" s="17">
        <f>IF(G233="","",IFERROR(INDEX(Recipes!$C$5:$C$204,MATCH(G233,Recipes!$A$5:$A$204,0)),"Not found"))</f>
        <v>0</v>
      </c>
      <c r="AD233" s="46">
        <f>IF(B233="","",IF(G233&lt;&gt;"","Yes",IF(OR(I233="",ISNUMBER(SEARCH("takeaway",I233)),ISNUMBER(SEARCH("out",I233))),"No","Yes")))</f>
        <v>0</v>
      </c>
      <c r="AE233" s="17">
        <f>IF(B233="","",TEXT(B233,"yyyy-mm-dd")&amp;"|"&amp;F233)</f>
        <v>0</v>
      </c>
      <c r="AF233" s="31">
        <f>IF(B233="","",IF(AND(G233="",I233=""),"Add - nothing planned yet",IF(COUNTIFS($AE$5:$AE$504,AE233)&gt;1,"Duplicate - two meals in one slot",IF(AND(G233&lt;&gt;"",H233="Not found"),"Missing - recipe ID not on the Recipes tab",IF(AND(B233&lt;TODAY(),OR(N233="Planned",N233="")),"Check - did you cook it?","OK")))))</f>
        <v>0</v>
      </c>
    </row>
    <row r="234" spans="1:32">
      <c r="A234" s="39">
        <f>IF(B234="","",MealPrefix&amp;TEXT(ROW()-4,"0000"))</f>
        <v>0</v>
      </c>
      <c r="C234" s="17">
        <f>IF(B234="","",TEXT(B234,"ddd"))</f>
        <v>0</v>
      </c>
      <c r="D234" s="18">
        <f>IF(B234="","",WEEKNUM(B234,IF(WeekStart="Sunday",1,2)))</f>
        <v>0</v>
      </c>
      <c r="E234" s="17">
        <f>IF(B234="","",TEXT(B234,"yyyy-mm"))</f>
        <v>0</v>
      </c>
      <c r="H234" s="17">
        <f>IF(G234&lt;&gt;"",IFERROR(INDEX(Recipes!$B$5:$B$204,MATCH(G234,Recipes!$A$5:$A$204,0)),"Not found"),I234)</f>
        <v>0</v>
      </c>
      <c r="K234" s="45">
        <f>IF(B234="","",IF(J234="",DefaultServings,J234))</f>
        <v>0</v>
      </c>
      <c r="L234" s="45">
        <f>IF(G234="",0,IFERROR(K234/INDEX(Recipes!$G$5:$G$204,MATCH(G234,Recipes!$A$5:$A$204,0)),0))</f>
        <v>0</v>
      </c>
      <c r="T234" s="25">
        <f>IF(G234="","",IFERROR(INDEX(Recipes!$AD$5:$AD$204,MATCH(G234,Recipes!$A$5:$A$204,0))*K234,""))</f>
        <v>0</v>
      </c>
      <c r="V234" s="30">
        <f>IF(G234="","",IFERROR(INDEX(Recipes!$AE$5:$AE$204,MATCH(G234,Recipes!$A$5:$A$204,0)),"Not found"))</f>
        <v>0</v>
      </c>
      <c r="W234" s="45">
        <f>IF(G234="","",IFERROR(INDEX(Recipes!$AF$5:$AF$204,MATCH(G234,Recipes!$A$5:$A$204,0)),"Not found"))</f>
        <v>0</v>
      </c>
      <c r="X234" s="45">
        <f>IF(G234="","",IFERROR(INDEX(Recipes!$AG$5:$AG$204,MATCH(G234,Recipes!$A$5:$A$204,0)),"Not found"))</f>
        <v>0</v>
      </c>
      <c r="Y234" s="45">
        <f>IF(G234="","",IFERROR(INDEX(Recipes!$AH$5:$AH$204,MATCH(G234,Recipes!$A$5:$A$204,0)),"Not found"))</f>
        <v>0</v>
      </c>
      <c r="Z234" s="45">
        <f>IF(G234="","",IFERROR(INDEX(Recipes!$AI$5:$AI$204,MATCH(G234,Recipes!$A$5:$A$204,0)),"Not found"))</f>
        <v>0</v>
      </c>
      <c r="AA234" s="30">
        <f>IF(OR(V234="",NOT(ISNUMBER(V234))),"",V234*K234)</f>
        <v>0</v>
      </c>
      <c r="AB234" s="18">
        <f>IF(G234="","",IFERROR(INDEX(Recipes!$J$5:$J$204,MATCH(G234,Recipes!$A$5:$A$204,0)),"Not found"))</f>
        <v>0</v>
      </c>
      <c r="AC234" s="17">
        <f>IF(G234="","",IFERROR(INDEX(Recipes!$C$5:$C$204,MATCH(G234,Recipes!$A$5:$A$204,0)),"Not found"))</f>
        <v>0</v>
      </c>
      <c r="AD234" s="46">
        <f>IF(B234="","",IF(G234&lt;&gt;"","Yes",IF(OR(I234="",ISNUMBER(SEARCH("takeaway",I234)),ISNUMBER(SEARCH("out",I234))),"No","Yes")))</f>
        <v>0</v>
      </c>
      <c r="AE234" s="17">
        <f>IF(B234="","",TEXT(B234,"yyyy-mm-dd")&amp;"|"&amp;F234)</f>
        <v>0</v>
      </c>
      <c r="AF234" s="31">
        <f>IF(B234="","",IF(AND(G234="",I234=""),"Add - nothing planned yet",IF(COUNTIFS($AE$5:$AE$504,AE234)&gt;1,"Duplicate - two meals in one slot",IF(AND(G234&lt;&gt;"",H234="Not found"),"Missing - recipe ID not on the Recipes tab",IF(AND(B234&lt;TODAY(),OR(N234="Planned",N234="")),"Check - did you cook it?","OK")))))</f>
        <v>0</v>
      </c>
    </row>
    <row r="235" spans="1:32">
      <c r="A235" s="39">
        <f>IF(B235="","",MealPrefix&amp;TEXT(ROW()-4,"0000"))</f>
        <v>0</v>
      </c>
      <c r="C235" s="17">
        <f>IF(B235="","",TEXT(B235,"ddd"))</f>
        <v>0</v>
      </c>
      <c r="D235" s="18">
        <f>IF(B235="","",WEEKNUM(B235,IF(WeekStart="Sunday",1,2)))</f>
        <v>0</v>
      </c>
      <c r="E235" s="17">
        <f>IF(B235="","",TEXT(B235,"yyyy-mm"))</f>
        <v>0</v>
      </c>
      <c r="H235" s="17">
        <f>IF(G235&lt;&gt;"",IFERROR(INDEX(Recipes!$B$5:$B$204,MATCH(G235,Recipes!$A$5:$A$204,0)),"Not found"),I235)</f>
        <v>0</v>
      </c>
      <c r="K235" s="45">
        <f>IF(B235="","",IF(J235="",DefaultServings,J235))</f>
        <v>0</v>
      </c>
      <c r="L235" s="45">
        <f>IF(G235="",0,IFERROR(K235/INDEX(Recipes!$G$5:$G$204,MATCH(G235,Recipes!$A$5:$A$204,0)),0))</f>
        <v>0</v>
      </c>
      <c r="T235" s="25">
        <f>IF(G235="","",IFERROR(INDEX(Recipes!$AD$5:$AD$204,MATCH(G235,Recipes!$A$5:$A$204,0))*K235,""))</f>
        <v>0</v>
      </c>
      <c r="V235" s="30">
        <f>IF(G235="","",IFERROR(INDEX(Recipes!$AE$5:$AE$204,MATCH(G235,Recipes!$A$5:$A$204,0)),"Not found"))</f>
        <v>0</v>
      </c>
      <c r="W235" s="45">
        <f>IF(G235="","",IFERROR(INDEX(Recipes!$AF$5:$AF$204,MATCH(G235,Recipes!$A$5:$A$204,0)),"Not found"))</f>
        <v>0</v>
      </c>
      <c r="X235" s="45">
        <f>IF(G235="","",IFERROR(INDEX(Recipes!$AG$5:$AG$204,MATCH(G235,Recipes!$A$5:$A$204,0)),"Not found"))</f>
        <v>0</v>
      </c>
      <c r="Y235" s="45">
        <f>IF(G235="","",IFERROR(INDEX(Recipes!$AH$5:$AH$204,MATCH(G235,Recipes!$A$5:$A$204,0)),"Not found"))</f>
        <v>0</v>
      </c>
      <c r="Z235" s="45">
        <f>IF(G235="","",IFERROR(INDEX(Recipes!$AI$5:$AI$204,MATCH(G235,Recipes!$A$5:$A$204,0)),"Not found"))</f>
        <v>0</v>
      </c>
      <c r="AA235" s="30">
        <f>IF(OR(V235="",NOT(ISNUMBER(V235))),"",V235*K235)</f>
        <v>0</v>
      </c>
      <c r="AB235" s="18">
        <f>IF(G235="","",IFERROR(INDEX(Recipes!$J$5:$J$204,MATCH(G235,Recipes!$A$5:$A$204,0)),"Not found"))</f>
        <v>0</v>
      </c>
      <c r="AC235" s="17">
        <f>IF(G235="","",IFERROR(INDEX(Recipes!$C$5:$C$204,MATCH(G235,Recipes!$A$5:$A$204,0)),"Not found"))</f>
        <v>0</v>
      </c>
      <c r="AD235" s="46">
        <f>IF(B235="","",IF(G235&lt;&gt;"","Yes",IF(OR(I235="",ISNUMBER(SEARCH("takeaway",I235)),ISNUMBER(SEARCH("out",I235))),"No","Yes")))</f>
        <v>0</v>
      </c>
      <c r="AE235" s="17">
        <f>IF(B235="","",TEXT(B235,"yyyy-mm-dd")&amp;"|"&amp;F235)</f>
        <v>0</v>
      </c>
      <c r="AF235" s="31">
        <f>IF(B235="","",IF(AND(G235="",I235=""),"Add - nothing planned yet",IF(COUNTIFS($AE$5:$AE$504,AE235)&gt;1,"Duplicate - two meals in one slot",IF(AND(G235&lt;&gt;"",H235="Not found"),"Missing - recipe ID not on the Recipes tab",IF(AND(B235&lt;TODAY(),OR(N235="Planned",N235="")),"Check - did you cook it?","OK")))))</f>
        <v>0</v>
      </c>
    </row>
    <row r="236" spans="1:32">
      <c r="A236" s="39">
        <f>IF(B236="","",MealPrefix&amp;TEXT(ROW()-4,"0000"))</f>
        <v>0</v>
      </c>
      <c r="C236" s="17">
        <f>IF(B236="","",TEXT(B236,"ddd"))</f>
        <v>0</v>
      </c>
      <c r="D236" s="18">
        <f>IF(B236="","",WEEKNUM(B236,IF(WeekStart="Sunday",1,2)))</f>
        <v>0</v>
      </c>
      <c r="E236" s="17">
        <f>IF(B236="","",TEXT(B236,"yyyy-mm"))</f>
        <v>0</v>
      </c>
      <c r="H236" s="17">
        <f>IF(G236&lt;&gt;"",IFERROR(INDEX(Recipes!$B$5:$B$204,MATCH(G236,Recipes!$A$5:$A$204,0)),"Not found"),I236)</f>
        <v>0</v>
      </c>
      <c r="K236" s="45">
        <f>IF(B236="","",IF(J236="",DefaultServings,J236))</f>
        <v>0</v>
      </c>
      <c r="L236" s="45">
        <f>IF(G236="",0,IFERROR(K236/INDEX(Recipes!$G$5:$G$204,MATCH(G236,Recipes!$A$5:$A$204,0)),0))</f>
        <v>0</v>
      </c>
      <c r="T236" s="25">
        <f>IF(G236="","",IFERROR(INDEX(Recipes!$AD$5:$AD$204,MATCH(G236,Recipes!$A$5:$A$204,0))*K236,""))</f>
        <v>0</v>
      </c>
      <c r="V236" s="30">
        <f>IF(G236="","",IFERROR(INDEX(Recipes!$AE$5:$AE$204,MATCH(G236,Recipes!$A$5:$A$204,0)),"Not found"))</f>
        <v>0</v>
      </c>
      <c r="W236" s="45">
        <f>IF(G236="","",IFERROR(INDEX(Recipes!$AF$5:$AF$204,MATCH(G236,Recipes!$A$5:$A$204,0)),"Not found"))</f>
        <v>0</v>
      </c>
      <c r="X236" s="45">
        <f>IF(G236="","",IFERROR(INDEX(Recipes!$AG$5:$AG$204,MATCH(G236,Recipes!$A$5:$A$204,0)),"Not found"))</f>
        <v>0</v>
      </c>
      <c r="Y236" s="45">
        <f>IF(G236="","",IFERROR(INDEX(Recipes!$AH$5:$AH$204,MATCH(G236,Recipes!$A$5:$A$204,0)),"Not found"))</f>
        <v>0</v>
      </c>
      <c r="Z236" s="45">
        <f>IF(G236="","",IFERROR(INDEX(Recipes!$AI$5:$AI$204,MATCH(G236,Recipes!$A$5:$A$204,0)),"Not found"))</f>
        <v>0</v>
      </c>
      <c r="AA236" s="30">
        <f>IF(OR(V236="",NOT(ISNUMBER(V236))),"",V236*K236)</f>
        <v>0</v>
      </c>
      <c r="AB236" s="18">
        <f>IF(G236="","",IFERROR(INDEX(Recipes!$J$5:$J$204,MATCH(G236,Recipes!$A$5:$A$204,0)),"Not found"))</f>
        <v>0</v>
      </c>
      <c r="AC236" s="17">
        <f>IF(G236="","",IFERROR(INDEX(Recipes!$C$5:$C$204,MATCH(G236,Recipes!$A$5:$A$204,0)),"Not found"))</f>
        <v>0</v>
      </c>
      <c r="AD236" s="46">
        <f>IF(B236="","",IF(G236&lt;&gt;"","Yes",IF(OR(I236="",ISNUMBER(SEARCH("takeaway",I236)),ISNUMBER(SEARCH("out",I236))),"No","Yes")))</f>
        <v>0</v>
      </c>
      <c r="AE236" s="17">
        <f>IF(B236="","",TEXT(B236,"yyyy-mm-dd")&amp;"|"&amp;F236)</f>
        <v>0</v>
      </c>
      <c r="AF236" s="31">
        <f>IF(B236="","",IF(AND(G236="",I236=""),"Add - nothing planned yet",IF(COUNTIFS($AE$5:$AE$504,AE236)&gt;1,"Duplicate - two meals in one slot",IF(AND(G236&lt;&gt;"",H236="Not found"),"Missing - recipe ID not on the Recipes tab",IF(AND(B236&lt;TODAY(),OR(N236="Planned",N236="")),"Check - did you cook it?","OK")))))</f>
        <v>0</v>
      </c>
    </row>
    <row r="237" spans="1:32">
      <c r="A237" s="39">
        <f>IF(B237="","",MealPrefix&amp;TEXT(ROW()-4,"0000"))</f>
        <v>0</v>
      </c>
      <c r="C237" s="17">
        <f>IF(B237="","",TEXT(B237,"ddd"))</f>
        <v>0</v>
      </c>
      <c r="D237" s="18">
        <f>IF(B237="","",WEEKNUM(B237,IF(WeekStart="Sunday",1,2)))</f>
        <v>0</v>
      </c>
      <c r="E237" s="17">
        <f>IF(B237="","",TEXT(B237,"yyyy-mm"))</f>
        <v>0</v>
      </c>
      <c r="H237" s="17">
        <f>IF(G237&lt;&gt;"",IFERROR(INDEX(Recipes!$B$5:$B$204,MATCH(G237,Recipes!$A$5:$A$204,0)),"Not found"),I237)</f>
        <v>0</v>
      </c>
      <c r="K237" s="45">
        <f>IF(B237="","",IF(J237="",DefaultServings,J237))</f>
        <v>0</v>
      </c>
      <c r="L237" s="45">
        <f>IF(G237="",0,IFERROR(K237/INDEX(Recipes!$G$5:$G$204,MATCH(G237,Recipes!$A$5:$A$204,0)),0))</f>
        <v>0</v>
      </c>
      <c r="T237" s="25">
        <f>IF(G237="","",IFERROR(INDEX(Recipes!$AD$5:$AD$204,MATCH(G237,Recipes!$A$5:$A$204,0))*K237,""))</f>
        <v>0</v>
      </c>
      <c r="V237" s="30">
        <f>IF(G237="","",IFERROR(INDEX(Recipes!$AE$5:$AE$204,MATCH(G237,Recipes!$A$5:$A$204,0)),"Not found"))</f>
        <v>0</v>
      </c>
      <c r="W237" s="45">
        <f>IF(G237="","",IFERROR(INDEX(Recipes!$AF$5:$AF$204,MATCH(G237,Recipes!$A$5:$A$204,0)),"Not found"))</f>
        <v>0</v>
      </c>
      <c r="X237" s="45">
        <f>IF(G237="","",IFERROR(INDEX(Recipes!$AG$5:$AG$204,MATCH(G237,Recipes!$A$5:$A$204,0)),"Not found"))</f>
        <v>0</v>
      </c>
      <c r="Y237" s="45">
        <f>IF(G237="","",IFERROR(INDEX(Recipes!$AH$5:$AH$204,MATCH(G237,Recipes!$A$5:$A$204,0)),"Not found"))</f>
        <v>0</v>
      </c>
      <c r="Z237" s="45">
        <f>IF(G237="","",IFERROR(INDEX(Recipes!$AI$5:$AI$204,MATCH(G237,Recipes!$A$5:$A$204,0)),"Not found"))</f>
        <v>0</v>
      </c>
      <c r="AA237" s="30">
        <f>IF(OR(V237="",NOT(ISNUMBER(V237))),"",V237*K237)</f>
        <v>0</v>
      </c>
      <c r="AB237" s="18">
        <f>IF(G237="","",IFERROR(INDEX(Recipes!$J$5:$J$204,MATCH(G237,Recipes!$A$5:$A$204,0)),"Not found"))</f>
        <v>0</v>
      </c>
      <c r="AC237" s="17">
        <f>IF(G237="","",IFERROR(INDEX(Recipes!$C$5:$C$204,MATCH(G237,Recipes!$A$5:$A$204,0)),"Not found"))</f>
        <v>0</v>
      </c>
      <c r="AD237" s="46">
        <f>IF(B237="","",IF(G237&lt;&gt;"","Yes",IF(OR(I237="",ISNUMBER(SEARCH("takeaway",I237)),ISNUMBER(SEARCH("out",I237))),"No","Yes")))</f>
        <v>0</v>
      </c>
      <c r="AE237" s="17">
        <f>IF(B237="","",TEXT(B237,"yyyy-mm-dd")&amp;"|"&amp;F237)</f>
        <v>0</v>
      </c>
      <c r="AF237" s="31">
        <f>IF(B237="","",IF(AND(G237="",I237=""),"Add - nothing planned yet",IF(COUNTIFS($AE$5:$AE$504,AE237)&gt;1,"Duplicate - two meals in one slot",IF(AND(G237&lt;&gt;"",H237="Not found"),"Missing - recipe ID not on the Recipes tab",IF(AND(B237&lt;TODAY(),OR(N237="Planned",N237="")),"Check - did you cook it?","OK")))))</f>
        <v>0</v>
      </c>
    </row>
    <row r="238" spans="1:32">
      <c r="A238" s="39">
        <f>IF(B238="","",MealPrefix&amp;TEXT(ROW()-4,"0000"))</f>
        <v>0</v>
      </c>
      <c r="C238" s="17">
        <f>IF(B238="","",TEXT(B238,"ddd"))</f>
        <v>0</v>
      </c>
      <c r="D238" s="18">
        <f>IF(B238="","",WEEKNUM(B238,IF(WeekStart="Sunday",1,2)))</f>
        <v>0</v>
      </c>
      <c r="E238" s="17">
        <f>IF(B238="","",TEXT(B238,"yyyy-mm"))</f>
        <v>0</v>
      </c>
      <c r="H238" s="17">
        <f>IF(G238&lt;&gt;"",IFERROR(INDEX(Recipes!$B$5:$B$204,MATCH(G238,Recipes!$A$5:$A$204,0)),"Not found"),I238)</f>
        <v>0</v>
      </c>
      <c r="K238" s="45">
        <f>IF(B238="","",IF(J238="",DefaultServings,J238))</f>
        <v>0</v>
      </c>
      <c r="L238" s="45">
        <f>IF(G238="",0,IFERROR(K238/INDEX(Recipes!$G$5:$G$204,MATCH(G238,Recipes!$A$5:$A$204,0)),0))</f>
        <v>0</v>
      </c>
      <c r="T238" s="25">
        <f>IF(G238="","",IFERROR(INDEX(Recipes!$AD$5:$AD$204,MATCH(G238,Recipes!$A$5:$A$204,0))*K238,""))</f>
        <v>0</v>
      </c>
      <c r="V238" s="30">
        <f>IF(G238="","",IFERROR(INDEX(Recipes!$AE$5:$AE$204,MATCH(G238,Recipes!$A$5:$A$204,0)),"Not found"))</f>
        <v>0</v>
      </c>
      <c r="W238" s="45">
        <f>IF(G238="","",IFERROR(INDEX(Recipes!$AF$5:$AF$204,MATCH(G238,Recipes!$A$5:$A$204,0)),"Not found"))</f>
        <v>0</v>
      </c>
      <c r="X238" s="45">
        <f>IF(G238="","",IFERROR(INDEX(Recipes!$AG$5:$AG$204,MATCH(G238,Recipes!$A$5:$A$204,0)),"Not found"))</f>
        <v>0</v>
      </c>
      <c r="Y238" s="45">
        <f>IF(G238="","",IFERROR(INDEX(Recipes!$AH$5:$AH$204,MATCH(G238,Recipes!$A$5:$A$204,0)),"Not found"))</f>
        <v>0</v>
      </c>
      <c r="Z238" s="45">
        <f>IF(G238="","",IFERROR(INDEX(Recipes!$AI$5:$AI$204,MATCH(G238,Recipes!$A$5:$A$204,0)),"Not found"))</f>
        <v>0</v>
      </c>
      <c r="AA238" s="30">
        <f>IF(OR(V238="",NOT(ISNUMBER(V238))),"",V238*K238)</f>
        <v>0</v>
      </c>
      <c r="AB238" s="18">
        <f>IF(G238="","",IFERROR(INDEX(Recipes!$J$5:$J$204,MATCH(G238,Recipes!$A$5:$A$204,0)),"Not found"))</f>
        <v>0</v>
      </c>
      <c r="AC238" s="17">
        <f>IF(G238="","",IFERROR(INDEX(Recipes!$C$5:$C$204,MATCH(G238,Recipes!$A$5:$A$204,0)),"Not found"))</f>
        <v>0</v>
      </c>
      <c r="AD238" s="46">
        <f>IF(B238="","",IF(G238&lt;&gt;"","Yes",IF(OR(I238="",ISNUMBER(SEARCH("takeaway",I238)),ISNUMBER(SEARCH("out",I238))),"No","Yes")))</f>
        <v>0</v>
      </c>
      <c r="AE238" s="17">
        <f>IF(B238="","",TEXT(B238,"yyyy-mm-dd")&amp;"|"&amp;F238)</f>
        <v>0</v>
      </c>
      <c r="AF238" s="31">
        <f>IF(B238="","",IF(AND(G238="",I238=""),"Add - nothing planned yet",IF(COUNTIFS($AE$5:$AE$504,AE238)&gt;1,"Duplicate - two meals in one slot",IF(AND(G238&lt;&gt;"",H238="Not found"),"Missing - recipe ID not on the Recipes tab",IF(AND(B238&lt;TODAY(),OR(N238="Planned",N238="")),"Check - did you cook it?","OK")))))</f>
        <v>0</v>
      </c>
    </row>
    <row r="239" spans="1:32">
      <c r="A239" s="39">
        <f>IF(B239="","",MealPrefix&amp;TEXT(ROW()-4,"0000"))</f>
        <v>0</v>
      </c>
      <c r="C239" s="17">
        <f>IF(B239="","",TEXT(B239,"ddd"))</f>
        <v>0</v>
      </c>
      <c r="D239" s="18">
        <f>IF(B239="","",WEEKNUM(B239,IF(WeekStart="Sunday",1,2)))</f>
        <v>0</v>
      </c>
      <c r="E239" s="17">
        <f>IF(B239="","",TEXT(B239,"yyyy-mm"))</f>
        <v>0</v>
      </c>
      <c r="H239" s="17">
        <f>IF(G239&lt;&gt;"",IFERROR(INDEX(Recipes!$B$5:$B$204,MATCH(G239,Recipes!$A$5:$A$204,0)),"Not found"),I239)</f>
        <v>0</v>
      </c>
      <c r="K239" s="45">
        <f>IF(B239="","",IF(J239="",DefaultServings,J239))</f>
        <v>0</v>
      </c>
      <c r="L239" s="45">
        <f>IF(G239="",0,IFERROR(K239/INDEX(Recipes!$G$5:$G$204,MATCH(G239,Recipes!$A$5:$A$204,0)),0))</f>
        <v>0</v>
      </c>
      <c r="T239" s="25">
        <f>IF(G239="","",IFERROR(INDEX(Recipes!$AD$5:$AD$204,MATCH(G239,Recipes!$A$5:$A$204,0))*K239,""))</f>
        <v>0</v>
      </c>
      <c r="V239" s="30">
        <f>IF(G239="","",IFERROR(INDEX(Recipes!$AE$5:$AE$204,MATCH(G239,Recipes!$A$5:$A$204,0)),"Not found"))</f>
        <v>0</v>
      </c>
      <c r="W239" s="45">
        <f>IF(G239="","",IFERROR(INDEX(Recipes!$AF$5:$AF$204,MATCH(G239,Recipes!$A$5:$A$204,0)),"Not found"))</f>
        <v>0</v>
      </c>
      <c r="X239" s="45">
        <f>IF(G239="","",IFERROR(INDEX(Recipes!$AG$5:$AG$204,MATCH(G239,Recipes!$A$5:$A$204,0)),"Not found"))</f>
        <v>0</v>
      </c>
      <c r="Y239" s="45">
        <f>IF(G239="","",IFERROR(INDEX(Recipes!$AH$5:$AH$204,MATCH(G239,Recipes!$A$5:$A$204,0)),"Not found"))</f>
        <v>0</v>
      </c>
      <c r="Z239" s="45">
        <f>IF(G239="","",IFERROR(INDEX(Recipes!$AI$5:$AI$204,MATCH(G239,Recipes!$A$5:$A$204,0)),"Not found"))</f>
        <v>0</v>
      </c>
      <c r="AA239" s="30">
        <f>IF(OR(V239="",NOT(ISNUMBER(V239))),"",V239*K239)</f>
        <v>0</v>
      </c>
      <c r="AB239" s="18">
        <f>IF(G239="","",IFERROR(INDEX(Recipes!$J$5:$J$204,MATCH(G239,Recipes!$A$5:$A$204,0)),"Not found"))</f>
        <v>0</v>
      </c>
      <c r="AC239" s="17">
        <f>IF(G239="","",IFERROR(INDEX(Recipes!$C$5:$C$204,MATCH(G239,Recipes!$A$5:$A$204,0)),"Not found"))</f>
        <v>0</v>
      </c>
      <c r="AD239" s="46">
        <f>IF(B239="","",IF(G239&lt;&gt;"","Yes",IF(OR(I239="",ISNUMBER(SEARCH("takeaway",I239)),ISNUMBER(SEARCH("out",I239))),"No","Yes")))</f>
        <v>0</v>
      </c>
      <c r="AE239" s="17">
        <f>IF(B239="","",TEXT(B239,"yyyy-mm-dd")&amp;"|"&amp;F239)</f>
        <v>0</v>
      </c>
      <c r="AF239" s="31">
        <f>IF(B239="","",IF(AND(G239="",I239=""),"Add - nothing planned yet",IF(COUNTIFS($AE$5:$AE$504,AE239)&gt;1,"Duplicate - two meals in one slot",IF(AND(G239&lt;&gt;"",H239="Not found"),"Missing - recipe ID not on the Recipes tab",IF(AND(B239&lt;TODAY(),OR(N239="Planned",N239="")),"Check - did you cook it?","OK")))))</f>
        <v>0</v>
      </c>
    </row>
    <row r="240" spans="1:32">
      <c r="A240" s="39">
        <f>IF(B240="","",MealPrefix&amp;TEXT(ROW()-4,"0000"))</f>
        <v>0</v>
      </c>
      <c r="C240" s="17">
        <f>IF(B240="","",TEXT(B240,"ddd"))</f>
        <v>0</v>
      </c>
      <c r="D240" s="18">
        <f>IF(B240="","",WEEKNUM(B240,IF(WeekStart="Sunday",1,2)))</f>
        <v>0</v>
      </c>
      <c r="E240" s="17">
        <f>IF(B240="","",TEXT(B240,"yyyy-mm"))</f>
        <v>0</v>
      </c>
      <c r="H240" s="17">
        <f>IF(G240&lt;&gt;"",IFERROR(INDEX(Recipes!$B$5:$B$204,MATCH(G240,Recipes!$A$5:$A$204,0)),"Not found"),I240)</f>
        <v>0</v>
      </c>
      <c r="K240" s="45">
        <f>IF(B240="","",IF(J240="",DefaultServings,J240))</f>
        <v>0</v>
      </c>
      <c r="L240" s="45">
        <f>IF(G240="",0,IFERROR(K240/INDEX(Recipes!$G$5:$G$204,MATCH(G240,Recipes!$A$5:$A$204,0)),0))</f>
        <v>0</v>
      </c>
      <c r="T240" s="25">
        <f>IF(G240="","",IFERROR(INDEX(Recipes!$AD$5:$AD$204,MATCH(G240,Recipes!$A$5:$A$204,0))*K240,""))</f>
        <v>0</v>
      </c>
      <c r="V240" s="30">
        <f>IF(G240="","",IFERROR(INDEX(Recipes!$AE$5:$AE$204,MATCH(G240,Recipes!$A$5:$A$204,0)),"Not found"))</f>
        <v>0</v>
      </c>
      <c r="W240" s="45">
        <f>IF(G240="","",IFERROR(INDEX(Recipes!$AF$5:$AF$204,MATCH(G240,Recipes!$A$5:$A$204,0)),"Not found"))</f>
        <v>0</v>
      </c>
      <c r="X240" s="45">
        <f>IF(G240="","",IFERROR(INDEX(Recipes!$AG$5:$AG$204,MATCH(G240,Recipes!$A$5:$A$204,0)),"Not found"))</f>
        <v>0</v>
      </c>
      <c r="Y240" s="45">
        <f>IF(G240="","",IFERROR(INDEX(Recipes!$AH$5:$AH$204,MATCH(G240,Recipes!$A$5:$A$204,0)),"Not found"))</f>
        <v>0</v>
      </c>
      <c r="Z240" s="45">
        <f>IF(G240="","",IFERROR(INDEX(Recipes!$AI$5:$AI$204,MATCH(G240,Recipes!$A$5:$A$204,0)),"Not found"))</f>
        <v>0</v>
      </c>
      <c r="AA240" s="30">
        <f>IF(OR(V240="",NOT(ISNUMBER(V240))),"",V240*K240)</f>
        <v>0</v>
      </c>
      <c r="AB240" s="18">
        <f>IF(G240="","",IFERROR(INDEX(Recipes!$J$5:$J$204,MATCH(G240,Recipes!$A$5:$A$204,0)),"Not found"))</f>
        <v>0</v>
      </c>
      <c r="AC240" s="17">
        <f>IF(G240="","",IFERROR(INDEX(Recipes!$C$5:$C$204,MATCH(G240,Recipes!$A$5:$A$204,0)),"Not found"))</f>
        <v>0</v>
      </c>
      <c r="AD240" s="46">
        <f>IF(B240="","",IF(G240&lt;&gt;"","Yes",IF(OR(I240="",ISNUMBER(SEARCH("takeaway",I240)),ISNUMBER(SEARCH("out",I240))),"No","Yes")))</f>
        <v>0</v>
      </c>
      <c r="AE240" s="17">
        <f>IF(B240="","",TEXT(B240,"yyyy-mm-dd")&amp;"|"&amp;F240)</f>
        <v>0</v>
      </c>
      <c r="AF240" s="31">
        <f>IF(B240="","",IF(AND(G240="",I240=""),"Add - nothing planned yet",IF(COUNTIFS($AE$5:$AE$504,AE240)&gt;1,"Duplicate - two meals in one slot",IF(AND(G240&lt;&gt;"",H240="Not found"),"Missing - recipe ID not on the Recipes tab",IF(AND(B240&lt;TODAY(),OR(N240="Planned",N240="")),"Check - did you cook it?","OK")))))</f>
        <v>0</v>
      </c>
    </row>
    <row r="241" spans="1:32">
      <c r="A241" s="39">
        <f>IF(B241="","",MealPrefix&amp;TEXT(ROW()-4,"0000"))</f>
        <v>0</v>
      </c>
      <c r="C241" s="17">
        <f>IF(B241="","",TEXT(B241,"ddd"))</f>
        <v>0</v>
      </c>
      <c r="D241" s="18">
        <f>IF(B241="","",WEEKNUM(B241,IF(WeekStart="Sunday",1,2)))</f>
        <v>0</v>
      </c>
      <c r="E241" s="17">
        <f>IF(B241="","",TEXT(B241,"yyyy-mm"))</f>
        <v>0</v>
      </c>
      <c r="H241" s="17">
        <f>IF(G241&lt;&gt;"",IFERROR(INDEX(Recipes!$B$5:$B$204,MATCH(G241,Recipes!$A$5:$A$204,0)),"Not found"),I241)</f>
        <v>0</v>
      </c>
      <c r="K241" s="45">
        <f>IF(B241="","",IF(J241="",DefaultServings,J241))</f>
        <v>0</v>
      </c>
      <c r="L241" s="45">
        <f>IF(G241="",0,IFERROR(K241/INDEX(Recipes!$G$5:$G$204,MATCH(G241,Recipes!$A$5:$A$204,0)),0))</f>
        <v>0</v>
      </c>
      <c r="T241" s="25">
        <f>IF(G241="","",IFERROR(INDEX(Recipes!$AD$5:$AD$204,MATCH(G241,Recipes!$A$5:$A$204,0))*K241,""))</f>
        <v>0</v>
      </c>
      <c r="V241" s="30">
        <f>IF(G241="","",IFERROR(INDEX(Recipes!$AE$5:$AE$204,MATCH(G241,Recipes!$A$5:$A$204,0)),"Not found"))</f>
        <v>0</v>
      </c>
      <c r="W241" s="45">
        <f>IF(G241="","",IFERROR(INDEX(Recipes!$AF$5:$AF$204,MATCH(G241,Recipes!$A$5:$A$204,0)),"Not found"))</f>
        <v>0</v>
      </c>
      <c r="X241" s="45">
        <f>IF(G241="","",IFERROR(INDEX(Recipes!$AG$5:$AG$204,MATCH(G241,Recipes!$A$5:$A$204,0)),"Not found"))</f>
        <v>0</v>
      </c>
      <c r="Y241" s="45">
        <f>IF(G241="","",IFERROR(INDEX(Recipes!$AH$5:$AH$204,MATCH(G241,Recipes!$A$5:$A$204,0)),"Not found"))</f>
        <v>0</v>
      </c>
      <c r="Z241" s="45">
        <f>IF(G241="","",IFERROR(INDEX(Recipes!$AI$5:$AI$204,MATCH(G241,Recipes!$A$5:$A$204,0)),"Not found"))</f>
        <v>0</v>
      </c>
      <c r="AA241" s="30">
        <f>IF(OR(V241="",NOT(ISNUMBER(V241))),"",V241*K241)</f>
        <v>0</v>
      </c>
      <c r="AB241" s="18">
        <f>IF(G241="","",IFERROR(INDEX(Recipes!$J$5:$J$204,MATCH(G241,Recipes!$A$5:$A$204,0)),"Not found"))</f>
        <v>0</v>
      </c>
      <c r="AC241" s="17">
        <f>IF(G241="","",IFERROR(INDEX(Recipes!$C$5:$C$204,MATCH(G241,Recipes!$A$5:$A$204,0)),"Not found"))</f>
        <v>0</v>
      </c>
      <c r="AD241" s="46">
        <f>IF(B241="","",IF(G241&lt;&gt;"","Yes",IF(OR(I241="",ISNUMBER(SEARCH("takeaway",I241)),ISNUMBER(SEARCH("out",I241))),"No","Yes")))</f>
        <v>0</v>
      </c>
      <c r="AE241" s="17">
        <f>IF(B241="","",TEXT(B241,"yyyy-mm-dd")&amp;"|"&amp;F241)</f>
        <v>0</v>
      </c>
      <c r="AF241" s="31">
        <f>IF(B241="","",IF(AND(G241="",I241=""),"Add - nothing planned yet",IF(COUNTIFS($AE$5:$AE$504,AE241)&gt;1,"Duplicate - two meals in one slot",IF(AND(G241&lt;&gt;"",H241="Not found"),"Missing - recipe ID not on the Recipes tab",IF(AND(B241&lt;TODAY(),OR(N241="Planned",N241="")),"Check - did you cook it?","OK")))))</f>
        <v>0</v>
      </c>
    </row>
    <row r="242" spans="1:32">
      <c r="A242" s="39">
        <f>IF(B242="","",MealPrefix&amp;TEXT(ROW()-4,"0000"))</f>
        <v>0</v>
      </c>
      <c r="C242" s="17">
        <f>IF(B242="","",TEXT(B242,"ddd"))</f>
        <v>0</v>
      </c>
      <c r="D242" s="18">
        <f>IF(B242="","",WEEKNUM(B242,IF(WeekStart="Sunday",1,2)))</f>
        <v>0</v>
      </c>
      <c r="E242" s="17">
        <f>IF(B242="","",TEXT(B242,"yyyy-mm"))</f>
        <v>0</v>
      </c>
      <c r="H242" s="17">
        <f>IF(G242&lt;&gt;"",IFERROR(INDEX(Recipes!$B$5:$B$204,MATCH(G242,Recipes!$A$5:$A$204,0)),"Not found"),I242)</f>
        <v>0</v>
      </c>
      <c r="K242" s="45">
        <f>IF(B242="","",IF(J242="",DefaultServings,J242))</f>
        <v>0</v>
      </c>
      <c r="L242" s="45">
        <f>IF(G242="",0,IFERROR(K242/INDEX(Recipes!$G$5:$G$204,MATCH(G242,Recipes!$A$5:$A$204,0)),0))</f>
        <v>0</v>
      </c>
      <c r="T242" s="25">
        <f>IF(G242="","",IFERROR(INDEX(Recipes!$AD$5:$AD$204,MATCH(G242,Recipes!$A$5:$A$204,0))*K242,""))</f>
        <v>0</v>
      </c>
      <c r="V242" s="30">
        <f>IF(G242="","",IFERROR(INDEX(Recipes!$AE$5:$AE$204,MATCH(G242,Recipes!$A$5:$A$204,0)),"Not found"))</f>
        <v>0</v>
      </c>
      <c r="W242" s="45">
        <f>IF(G242="","",IFERROR(INDEX(Recipes!$AF$5:$AF$204,MATCH(G242,Recipes!$A$5:$A$204,0)),"Not found"))</f>
        <v>0</v>
      </c>
      <c r="X242" s="45">
        <f>IF(G242="","",IFERROR(INDEX(Recipes!$AG$5:$AG$204,MATCH(G242,Recipes!$A$5:$A$204,0)),"Not found"))</f>
        <v>0</v>
      </c>
      <c r="Y242" s="45">
        <f>IF(G242="","",IFERROR(INDEX(Recipes!$AH$5:$AH$204,MATCH(G242,Recipes!$A$5:$A$204,0)),"Not found"))</f>
        <v>0</v>
      </c>
      <c r="Z242" s="45">
        <f>IF(G242="","",IFERROR(INDEX(Recipes!$AI$5:$AI$204,MATCH(G242,Recipes!$A$5:$A$204,0)),"Not found"))</f>
        <v>0</v>
      </c>
      <c r="AA242" s="30">
        <f>IF(OR(V242="",NOT(ISNUMBER(V242))),"",V242*K242)</f>
        <v>0</v>
      </c>
      <c r="AB242" s="18">
        <f>IF(G242="","",IFERROR(INDEX(Recipes!$J$5:$J$204,MATCH(G242,Recipes!$A$5:$A$204,0)),"Not found"))</f>
        <v>0</v>
      </c>
      <c r="AC242" s="17">
        <f>IF(G242="","",IFERROR(INDEX(Recipes!$C$5:$C$204,MATCH(G242,Recipes!$A$5:$A$204,0)),"Not found"))</f>
        <v>0</v>
      </c>
      <c r="AD242" s="46">
        <f>IF(B242="","",IF(G242&lt;&gt;"","Yes",IF(OR(I242="",ISNUMBER(SEARCH("takeaway",I242)),ISNUMBER(SEARCH("out",I242))),"No","Yes")))</f>
        <v>0</v>
      </c>
      <c r="AE242" s="17">
        <f>IF(B242="","",TEXT(B242,"yyyy-mm-dd")&amp;"|"&amp;F242)</f>
        <v>0</v>
      </c>
      <c r="AF242" s="31">
        <f>IF(B242="","",IF(AND(G242="",I242=""),"Add - nothing planned yet",IF(COUNTIFS($AE$5:$AE$504,AE242)&gt;1,"Duplicate - two meals in one slot",IF(AND(G242&lt;&gt;"",H242="Not found"),"Missing - recipe ID not on the Recipes tab",IF(AND(B242&lt;TODAY(),OR(N242="Planned",N242="")),"Check - did you cook it?","OK")))))</f>
        <v>0</v>
      </c>
    </row>
    <row r="243" spans="1:32">
      <c r="A243" s="39">
        <f>IF(B243="","",MealPrefix&amp;TEXT(ROW()-4,"0000"))</f>
        <v>0</v>
      </c>
      <c r="C243" s="17">
        <f>IF(B243="","",TEXT(B243,"ddd"))</f>
        <v>0</v>
      </c>
      <c r="D243" s="18">
        <f>IF(B243="","",WEEKNUM(B243,IF(WeekStart="Sunday",1,2)))</f>
        <v>0</v>
      </c>
      <c r="E243" s="17">
        <f>IF(B243="","",TEXT(B243,"yyyy-mm"))</f>
        <v>0</v>
      </c>
      <c r="H243" s="17">
        <f>IF(G243&lt;&gt;"",IFERROR(INDEX(Recipes!$B$5:$B$204,MATCH(G243,Recipes!$A$5:$A$204,0)),"Not found"),I243)</f>
        <v>0</v>
      </c>
      <c r="K243" s="45">
        <f>IF(B243="","",IF(J243="",DefaultServings,J243))</f>
        <v>0</v>
      </c>
      <c r="L243" s="45">
        <f>IF(G243="",0,IFERROR(K243/INDEX(Recipes!$G$5:$G$204,MATCH(G243,Recipes!$A$5:$A$204,0)),0))</f>
        <v>0</v>
      </c>
      <c r="T243" s="25">
        <f>IF(G243="","",IFERROR(INDEX(Recipes!$AD$5:$AD$204,MATCH(G243,Recipes!$A$5:$A$204,0))*K243,""))</f>
        <v>0</v>
      </c>
      <c r="V243" s="30">
        <f>IF(G243="","",IFERROR(INDEX(Recipes!$AE$5:$AE$204,MATCH(G243,Recipes!$A$5:$A$204,0)),"Not found"))</f>
        <v>0</v>
      </c>
      <c r="W243" s="45">
        <f>IF(G243="","",IFERROR(INDEX(Recipes!$AF$5:$AF$204,MATCH(G243,Recipes!$A$5:$A$204,0)),"Not found"))</f>
        <v>0</v>
      </c>
      <c r="X243" s="45">
        <f>IF(G243="","",IFERROR(INDEX(Recipes!$AG$5:$AG$204,MATCH(G243,Recipes!$A$5:$A$204,0)),"Not found"))</f>
        <v>0</v>
      </c>
      <c r="Y243" s="45">
        <f>IF(G243="","",IFERROR(INDEX(Recipes!$AH$5:$AH$204,MATCH(G243,Recipes!$A$5:$A$204,0)),"Not found"))</f>
        <v>0</v>
      </c>
      <c r="Z243" s="45">
        <f>IF(G243="","",IFERROR(INDEX(Recipes!$AI$5:$AI$204,MATCH(G243,Recipes!$A$5:$A$204,0)),"Not found"))</f>
        <v>0</v>
      </c>
      <c r="AA243" s="30">
        <f>IF(OR(V243="",NOT(ISNUMBER(V243))),"",V243*K243)</f>
        <v>0</v>
      </c>
      <c r="AB243" s="18">
        <f>IF(G243="","",IFERROR(INDEX(Recipes!$J$5:$J$204,MATCH(G243,Recipes!$A$5:$A$204,0)),"Not found"))</f>
        <v>0</v>
      </c>
      <c r="AC243" s="17">
        <f>IF(G243="","",IFERROR(INDEX(Recipes!$C$5:$C$204,MATCH(G243,Recipes!$A$5:$A$204,0)),"Not found"))</f>
        <v>0</v>
      </c>
      <c r="AD243" s="46">
        <f>IF(B243="","",IF(G243&lt;&gt;"","Yes",IF(OR(I243="",ISNUMBER(SEARCH("takeaway",I243)),ISNUMBER(SEARCH("out",I243))),"No","Yes")))</f>
        <v>0</v>
      </c>
      <c r="AE243" s="17">
        <f>IF(B243="","",TEXT(B243,"yyyy-mm-dd")&amp;"|"&amp;F243)</f>
        <v>0</v>
      </c>
      <c r="AF243" s="31">
        <f>IF(B243="","",IF(AND(G243="",I243=""),"Add - nothing planned yet",IF(COUNTIFS($AE$5:$AE$504,AE243)&gt;1,"Duplicate - two meals in one slot",IF(AND(G243&lt;&gt;"",H243="Not found"),"Missing - recipe ID not on the Recipes tab",IF(AND(B243&lt;TODAY(),OR(N243="Planned",N243="")),"Check - did you cook it?","OK")))))</f>
        <v>0</v>
      </c>
    </row>
    <row r="244" spans="1:32">
      <c r="A244" s="39">
        <f>IF(B244="","",MealPrefix&amp;TEXT(ROW()-4,"0000"))</f>
        <v>0</v>
      </c>
      <c r="C244" s="17">
        <f>IF(B244="","",TEXT(B244,"ddd"))</f>
        <v>0</v>
      </c>
      <c r="D244" s="18">
        <f>IF(B244="","",WEEKNUM(B244,IF(WeekStart="Sunday",1,2)))</f>
        <v>0</v>
      </c>
      <c r="E244" s="17">
        <f>IF(B244="","",TEXT(B244,"yyyy-mm"))</f>
        <v>0</v>
      </c>
      <c r="H244" s="17">
        <f>IF(G244&lt;&gt;"",IFERROR(INDEX(Recipes!$B$5:$B$204,MATCH(G244,Recipes!$A$5:$A$204,0)),"Not found"),I244)</f>
        <v>0</v>
      </c>
      <c r="K244" s="45">
        <f>IF(B244="","",IF(J244="",DefaultServings,J244))</f>
        <v>0</v>
      </c>
      <c r="L244" s="45">
        <f>IF(G244="",0,IFERROR(K244/INDEX(Recipes!$G$5:$G$204,MATCH(G244,Recipes!$A$5:$A$204,0)),0))</f>
        <v>0</v>
      </c>
      <c r="T244" s="25">
        <f>IF(G244="","",IFERROR(INDEX(Recipes!$AD$5:$AD$204,MATCH(G244,Recipes!$A$5:$A$204,0))*K244,""))</f>
        <v>0</v>
      </c>
      <c r="V244" s="30">
        <f>IF(G244="","",IFERROR(INDEX(Recipes!$AE$5:$AE$204,MATCH(G244,Recipes!$A$5:$A$204,0)),"Not found"))</f>
        <v>0</v>
      </c>
      <c r="W244" s="45">
        <f>IF(G244="","",IFERROR(INDEX(Recipes!$AF$5:$AF$204,MATCH(G244,Recipes!$A$5:$A$204,0)),"Not found"))</f>
        <v>0</v>
      </c>
      <c r="X244" s="45">
        <f>IF(G244="","",IFERROR(INDEX(Recipes!$AG$5:$AG$204,MATCH(G244,Recipes!$A$5:$A$204,0)),"Not found"))</f>
        <v>0</v>
      </c>
      <c r="Y244" s="45">
        <f>IF(G244="","",IFERROR(INDEX(Recipes!$AH$5:$AH$204,MATCH(G244,Recipes!$A$5:$A$204,0)),"Not found"))</f>
        <v>0</v>
      </c>
      <c r="Z244" s="45">
        <f>IF(G244="","",IFERROR(INDEX(Recipes!$AI$5:$AI$204,MATCH(G244,Recipes!$A$5:$A$204,0)),"Not found"))</f>
        <v>0</v>
      </c>
      <c r="AA244" s="30">
        <f>IF(OR(V244="",NOT(ISNUMBER(V244))),"",V244*K244)</f>
        <v>0</v>
      </c>
      <c r="AB244" s="18">
        <f>IF(G244="","",IFERROR(INDEX(Recipes!$J$5:$J$204,MATCH(G244,Recipes!$A$5:$A$204,0)),"Not found"))</f>
        <v>0</v>
      </c>
      <c r="AC244" s="17">
        <f>IF(G244="","",IFERROR(INDEX(Recipes!$C$5:$C$204,MATCH(G244,Recipes!$A$5:$A$204,0)),"Not found"))</f>
        <v>0</v>
      </c>
      <c r="AD244" s="46">
        <f>IF(B244="","",IF(G244&lt;&gt;"","Yes",IF(OR(I244="",ISNUMBER(SEARCH("takeaway",I244)),ISNUMBER(SEARCH("out",I244))),"No","Yes")))</f>
        <v>0</v>
      </c>
      <c r="AE244" s="17">
        <f>IF(B244="","",TEXT(B244,"yyyy-mm-dd")&amp;"|"&amp;F244)</f>
        <v>0</v>
      </c>
      <c r="AF244" s="31">
        <f>IF(B244="","",IF(AND(G244="",I244=""),"Add - nothing planned yet",IF(COUNTIFS($AE$5:$AE$504,AE244)&gt;1,"Duplicate - two meals in one slot",IF(AND(G244&lt;&gt;"",H244="Not found"),"Missing - recipe ID not on the Recipes tab",IF(AND(B244&lt;TODAY(),OR(N244="Planned",N244="")),"Check - did you cook it?","OK")))))</f>
        <v>0</v>
      </c>
    </row>
    <row r="245" spans="1:32">
      <c r="A245" s="39">
        <f>IF(B245="","",MealPrefix&amp;TEXT(ROW()-4,"0000"))</f>
        <v>0</v>
      </c>
      <c r="C245" s="17">
        <f>IF(B245="","",TEXT(B245,"ddd"))</f>
        <v>0</v>
      </c>
      <c r="D245" s="18">
        <f>IF(B245="","",WEEKNUM(B245,IF(WeekStart="Sunday",1,2)))</f>
        <v>0</v>
      </c>
      <c r="E245" s="17">
        <f>IF(B245="","",TEXT(B245,"yyyy-mm"))</f>
        <v>0</v>
      </c>
      <c r="H245" s="17">
        <f>IF(G245&lt;&gt;"",IFERROR(INDEX(Recipes!$B$5:$B$204,MATCH(G245,Recipes!$A$5:$A$204,0)),"Not found"),I245)</f>
        <v>0</v>
      </c>
      <c r="K245" s="45">
        <f>IF(B245="","",IF(J245="",DefaultServings,J245))</f>
        <v>0</v>
      </c>
      <c r="L245" s="45">
        <f>IF(G245="",0,IFERROR(K245/INDEX(Recipes!$G$5:$G$204,MATCH(G245,Recipes!$A$5:$A$204,0)),0))</f>
        <v>0</v>
      </c>
      <c r="T245" s="25">
        <f>IF(G245="","",IFERROR(INDEX(Recipes!$AD$5:$AD$204,MATCH(G245,Recipes!$A$5:$A$204,0))*K245,""))</f>
        <v>0</v>
      </c>
      <c r="V245" s="30">
        <f>IF(G245="","",IFERROR(INDEX(Recipes!$AE$5:$AE$204,MATCH(G245,Recipes!$A$5:$A$204,0)),"Not found"))</f>
        <v>0</v>
      </c>
      <c r="W245" s="45">
        <f>IF(G245="","",IFERROR(INDEX(Recipes!$AF$5:$AF$204,MATCH(G245,Recipes!$A$5:$A$204,0)),"Not found"))</f>
        <v>0</v>
      </c>
      <c r="X245" s="45">
        <f>IF(G245="","",IFERROR(INDEX(Recipes!$AG$5:$AG$204,MATCH(G245,Recipes!$A$5:$A$204,0)),"Not found"))</f>
        <v>0</v>
      </c>
      <c r="Y245" s="45">
        <f>IF(G245="","",IFERROR(INDEX(Recipes!$AH$5:$AH$204,MATCH(G245,Recipes!$A$5:$A$204,0)),"Not found"))</f>
        <v>0</v>
      </c>
      <c r="Z245" s="45">
        <f>IF(G245="","",IFERROR(INDEX(Recipes!$AI$5:$AI$204,MATCH(G245,Recipes!$A$5:$A$204,0)),"Not found"))</f>
        <v>0</v>
      </c>
      <c r="AA245" s="30">
        <f>IF(OR(V245="",NOT(ISNUMBER(V245))),"",V245*K245)</f>
        <v>0</v>
      </c>
      <c r="AB245" s="18">
        <f>IF(G245="","",IFERROR(INDEX(Recipes!$J$5:$J$204,MATCH(G245,Recipes!$A$5:$A$204,0)),"Not found"))</f>
        <v>0</v>
      </c>
      <c r="AC245" s="17">
        <f>IF(G245="","",IFERROR(INDEX(Recipes!$C$5:$C$204,MATCH(G245,Recipes!$A$5:$A$204,0)),"Not found"))</f>
        <v>0</v>
      </c>
      <c r="AD245" s="46">
        <f>IF(B245="","",IF(G245&lt;&gt;"","Yes",IF(OR(I245="",ISNUMBER(SEARCH("takeaway",I245)),ISNUMBER(SEARCH("out",I245))),"No","Yes")))</f>
        <v>0</v>
      </c>
      <c r="AE245" s="17">
        <f>IF(B245="","",TEXT(B245,"yyyy-mm-dd")&amp;"|"&amp;F245)</f>
        <v>0</v>
      </c>
      <c r="AF245" s="31">
        <f>IF(B245="","",IF(AND(G245="",I245=""),"Add - nothing planned yet",IF(COUNTIFS($AE$5:$AE$504,AE245)&gt;1,"Duplicate - two meals in one slot",IF(AND(G245&lt;&gt;"",H245="Not found"),"Missing - recipe ID not on the Recipes tab",IF(AND(B245&lt;TODAY(),OR(N245="Planned",N245="")),"Check - did you cook it?","OK")))))</f>
        <v>0</v>
      </c>
    </row>
    <row r="246" spans="1:32">
      <c r="A246" s="39">
        <f>IF(B246="","",MealPrefix&amp;TEXT(ROW()-4,"0000"))</f>
        <v>0</v>
      </c>
      <c r="C246" s="17">
        <f>IF(B246="","",TEXT(B246,"ddd"))</f>
        <v>0</v>
      </c>
      <c r="D246" s="18">
        <f>IF(B246="","",WEEKNUM(B246,IF(WeekStart="Sunday",1,2)))</f>
        <v>0</v>
      </c>
      <c r="E246" s="17">
        <f>IF(B246="","",TEXT(B246,"yyyy-mm"))</f>
        <v>0</v>
      </c>
      <c r="H246" s="17">
        <f>IF(G246&lt;&gt;"",IFERROR(INDEX(Recipes!$B$5:$B$204,MATCH(G246,Recipes!$A$5:$A$204,0)),"Not found"),I246)</f>
        <v>0</v>
      </c>
      <c r="K246" s="45">
        <f>IF(B246="","",IF(J246="",DefaultServings,J246))</f>
        <v>0</v>
      </c>
      <c r="L246" s="45">
        <f>IF(G246="",0,IFERROR(K246/INDEX(Recipes!$G$5:$G$204,MATCH(G246,Recipes!$A$5:$A$204,0)),0))</f>
        <v>0</v>
      </c>
      <c r="T246" s="25">
        <f>IF(G246="","",IFERROR(INDEX(Recipes!$AD$5:$AD$204,MATCH(G246,Recipes!$A$5:$A$204,0))*K246,""))</f>
        <v>0</v>
      </c>
      <c r="V246" s="30">
        <f>IF(G246="","",IFERROR(INDEX(Recipes!$AE$5:$AE$204,MATCH(G246,Recipes!$A$5:$A$204,0)),"Not found"))</f>
        <v>0</v>
      </c>
      <c r="W246" s="45">
        <f>IF(G246="","",IFERROR(INDEX(Recipes!$AF$5:$AF$204,MATCH(G246,Recipes!$A$5:$A$204,0)),"Not found"))</f>
        <v>0</v>
      </c>
      <c r="X246" s="45">
        <f>IF(G246="","",IFERROR(INDEX(Recipes!$AG$5:$AG$204,MATCH(G246,Recipes!$A$5:$A$204,0)),"Not found"))</f>
        <v>0</v>
      </c>
      <c r="Y246" s="45">
        <f>IF(G246="","",IFERROR(INDEX(Recipes!$AH$5:$AH$204,MATCH(G246,Recipes!$A$5:$A$204,0)),"Not found"))</f>
        <v>0</v>
      </c>
      <c r="Z246" s="45">
        <f>IF(G246="","",IFERROR(INDEX(Recipes!$AI$5:$AI$204,MATCH(G246,Recipes!$A$5:$A$204,0)),"Not found"))</f>
        <v>0</v>
      </c>
      <c r="AA246" s="30">
        <f>IF(OR(V246="",NOT(ISNUMBER(V246))),"",V246*K246)</f>
        <v>0</v>
      </c>
      <c r="AB246" s="18">
        <f>IF(G246="","",IFERROR(INDEX(Recipes!$J$5:$J$204,MATCH(G246,Recipes!$A$5:$A$204,0)),"Not found"))</f>
        <v>0</v>
      </c>
      <c r="AC246" s="17">
        <f>IF(G246="","",IFERROR(INDEX(Recipes!$C$5:$C$204,MATCH(G246,Recipes!$A$5:$A$204,0)),"Not found"))</f>
        <v>0</v>
      </c>
      <c r="AD246" s="46">
        <f>IF(B246="","",IF(G246&lt;&gt;"","Yes",IF(OR(I246="",ISNUMBER(SEARCH("takeaway",I246)),ISNUMBER(SEARCH("out",I246))),"No","Yes")))</f>
        <v>0</v>
      </c>
      <c r="AE246" s="17">
        <f>IF(B246="","",TEXT(B246,"yyyy-mm-dd")&amp;"|"&amp;F246)</f>
        <v>0</v>
      </c>
      <c r="AF246" s="31">
        <f>IF(B246="","",IF(AND(G246="",I246=""),"Add - nothing planned yet",IF(COUNTIFS($AE$5:$AE$504,AE246)&gt;1,"Duplicate - two meals in one slot",IF(AND(G246&lt;&gt;"",H246="Not found"),"Missing - recipe ID not on the Recipes tab",IF(AND(B246&lt;TODAY(),OR(N246="Planned",N246="")),"Check - did you cook it?","OK")))))</f>
        <v>0</v>
      </c>
    </row>
    <row r="247" spans="1:32">
      <c r="A247" s="39">
        <f>IF(B247="","",MealPrefix&amp;TEXT(ROW()-4,"0000"))</f>
        <v>0</v>
      </c>
      <c r="C247" s="17">
        <f>IF(B247="","",TEXT(B247,"ddd"))</f>
        <v>0</v>
      </c>
      <c r="D247" s="18">
        <f>IF(B247="","",WEEKNUM(B247,IF(WeekStart="Sunday",1,2)))</f>
        <v>0</v>
      </c>
      <c r="E247" s="17">
        <f>IF(B247="","",TEXT(B247,"yyyy-mm"))</f>
        <v>0</v>
      </c>
      <c r="H247" s="17">
        <f>IF(G247&lt;&gt;"",IFERROR(INDEX(Recipes!$B$5:$B$204,MATCH(G247,Recipes!$A$5:$A$204,0)),"Not found"),I247)</f>
        <v>0</v>
      </c>
      <c r="K247" s="45">
        <f>IF(B247="","",IF(J247="",DefaultServings,J247))</f>
        <v>0</v>
      </c>
      <c r="L247" s="45">
        <f>IF(G247="",0,IFERROR(K247/INDEX(Recipes!$G$5:$G$204,MATCH(G247,Recipes!$A$5:$A$204,0)),0))</f>
        <v>0</v>
      </c>
      <c r="T247" s="25">
        <f>IF(G247="","",IFERROR(INDEX(Recipes!$AD$5:$AD$204,MATCH(G247,Recipes!$A$5:$A$204,0))*K247,""))</f>
        <v>0</v>
      </c>
      <c r="V247" s="30">
        <f>IF(G247="","",IFERROR(INDEX(Recipes!$AE$5:$AE$204,MATCH(G247,Recipes!$A$5:$A$204,0)),"Not found"))</f>
        <v>0</v>
      </c>
      <c r="W247" s="45">
        <f>IF(G247="","",IFERROR(INDEX(Recipes!$AF$5:$AF$204,MATCH(G247,Recipes!$A$5:$A$204,0)),"Not found"))</f>
        <v>0</v>
      </c>
      <c r="X247" s="45">
        <f>IF(G247="","",IFERROR(INDEX(Recipes!$AG$5:$AG$204,MATCH(G247,Recipes!$A$5:$A$204,0)),"Not found"))</f>
        <v>0</v>
      </c>
      <c r="Y247" s="45">
        <f>IF(G247="","",IFERROR(INDEX(Recipes!$AH$5:$AH$204,MATCH(G247,Recipes!$A$5:$A$204,0)),"Not found"))</f>
        <v>0</v>
      </c>
      <c r="Z247" s="45">
        <f>IF(G247="","",IFERROR(INDEX(Recipes!$AI$5:$AI$204,MATCH(G247,Recipes!$A$5:$A$204,0)),"Not found"))</f>
        <v>0</v>
      </c>
      <c r="AA247" s="30">
        <f>IF(OR(V247="",NOT(ISNUMBER(V247))),"",V247*K247)</f>
        <v>0</v>
      </c>
      <c r="AB247" s="18">
        <f>IF(G247="","",IFERROR(INDEX(Recipes!$J$5:$J$204,MATCH(G247,Recipes!$A$5:$A$204,0)),"Not found"))</f>
        <v>0</v>
      </c>
      <c r="AC247" s="17">
        <f>IF(G247="","",IFERROR(INDEX(Recipes!$C$5:$C$204,MATCH(G247,Recipes!$A$5:$A$204,0)),"Not found"))</f>
        <v>0</v>
      </c>
      <c r="AD247" s="46">
        <f>IF(B247="","",IF(G247&lt;&gt;"","Yes",IF(OR(I247="",ISNUMBER(SEARCH("takeaway",I247)),ISNUMBER(SEARCH("out",I247))),"No","Yes")))</f>
        <v>0</v>
      </c>
      <c r="AE247" s="17">
        <f>IF(B247="","",TEXT(B247,"yyyy-mm-dd")&amp;"|"&amp;F247)</f>
        <v>0</v>
      </c>
      <c r="AF247" s="31">
        <f>IF(B247="","",IF(AND(G247="",I247=""),"Add - nothing planned yet",IF(COUNTIFS($AE$5:$AE$504,AE247)&gt;1,"Duplicate - two meals in one slot",IF(AND(G247&lt;&gt;"",H247="Not found"),"Missing - recipe ID not on the Recipes tab",IF(AND(B247&lt;TODAY(),OR(N247="Planned",N247="")),"Check - did you cook it?","OK")))))</f>
        <v>0</v>
      </c>
    </row>
    <row r="248" spans="1:32">
      <c r="A248" s="39">
        <f>IF(B248="","",MealPrefix&amp;TEXT(ROW()-4,"0000"))</f>
        <v>0</v>
      </c>
      <c r="C248" s="17">
        <f>IF(B248="","",TEXT(B248,"ddd"))</f>
        <v>0</v>
      </c>
      <c r="D248" s="18">
        <f>IF(B248="","",WEEKNUM(B248,IF(WeekStart="Sunday",1,2)))</f>
        <v>0</v>
      </c>
      <c r="E248" s="17">
        <f>IF(B248="","",TEXT(B248,"yyyy-mm"))</f>
        <v>0</v>
      </c>
      <c r="H248" s="17">
        <f>IF(G248&lt;&gt;"",IFERROR(INDEX(Recipes!$B$5:$B$204,MATCH(G248,Recipes!$A$5:$A$204,0)),"Not found"),I248)</f>
        <v>0</v>
      </c>
      <c r="K248" s="45">
        <f>IF(B248="","",IF(J248="",DefaultServings,J248))</f>
        <v>0</v>
      </c>
      <c r="L248" s="45">
        <f>IF(G248="",0,IFERROR(K248/INDEX(Recipes!$G$5:$G$204,MATCH(G248,Recipes!$A$5:$A$204,0)),0))</f>
        <v>0</v>
      </c>
      <c r="T248" s="25">
        <f>IF(G248="","",IFERROR(INDEX(Recipes!$AD$5:$AD$204,MATCH(G248,Recipes!$A$5:$A$204,0))*K248,""))</f>
        <v>0</v>
      </c>
      <c r="V248" s="30">
        <f>IF(G248="","",IFERROR(INDEX(Recipes!$AE$5:$AE$204,MATCH(G248,Recipes!$A$5:$A$204,0)),"Not found"))</f>
        <v>0</v>
      </c>
      <c r="W248" s="45">
        <f>IF(G248="","",IFERROR(INDEX(Recipes!$AF$5:$AF$204,MATCH(G248,Recipes!$A$5:$A$204,0)),"Not found"))</f>
        <v>0</v>
      </c>
      <c r="X248" s="45">
        <f>IF(G248="","",IFERROR(INDEX(Recipes!$AG$5:$AG$204,MATCH(G248,Recipes!$A$5:$A$204,0)),"Not found"))</f>
        <v>0</v>
      </c>
      <c r="Y248" s="45">
        <f>IF(G248="","",IFERROR(INDEX(Recipes!$AH$5:$AH$204,MATCH(G248,Recipes!$A$5:$A$204,0)),"Not found"))</f>
        <v>0</v>
      </c>
      <c r="Z248" s="45">
        <f>IF(G248="","",IFERROR(INDEX(Recipes!$AI$5:$AI$204,MATCH(G248,Recipes!$A$5:$A$204,0)),"Not found"))</f>
        <v>0</v>
      </c>
      <c r="AA248" s="30">
        <f>IF(OR(V248="",NOT(ISNUMBER(V248))),"",V248*K248)</f>
        <v>0</v>
      </c>
      <c r="AB248" s="18">
        <f>IF(G248="","",IFERROR(INDEX(Recipes!$J$5:$J$204,MATCH(G248,Recipes!$A$5:$A$204,0)),"Not found"))</f>
        <v>0</v>
      </c>
      <c r="AC248" s="17">
        <f>IF(G248="","",IFERROR(INDEX(Recipes!$C$5:$C$204,MATCH(G248,Recipes!$A$5:$A$204,0)),"Not found"))</f>
        <v>0</v>
      </c>
      <c r="AD248" s="46">
        <f>IF(B248="","",IF(G248&lt;&gt;"","Yes",IF(OR(I248="",ISNUMBER(SEARCH("takeaway",I248)),ISNUMBER(SEARCH("out",I248))),"No","Yes")))</f>
        <v>0</v>
      </c>
      <c r="AE248" s="17">
        <f>IF(B248="","",TEXT(B248,"yyyy-mm-dd")&amp;"|"&amp;F248)</f>
        <v>0</v>
      </c>
      <c r="AF248" s="31">
        <f>IF(B248="","",IF(AND(G248="",I248=""),"Add - nothing planned yet",IF(COUNTIFS($AE$5:$AE$504,AE248)&gt;1,"Duplicate - two meals in one slot",IF(AND(G248&lt;&gt;"",H248="Not found"),"Missing - recipe ID not on the Recipes tab",IF(AND(B248&lt;TODAY(),OR(N248="Planned",N248="")),"Check - did you cook it?","OK")))))</f>
        <v>0</v>
      </c>
    </row>
    <row r="249" spans="1:32">
      <c r="A249" s="39">
        <f>IF(B249="","",MealPrefix&amp;TEXT(ROW()-4,"0000"))</f>
        <v>0</v>
      </c>
      <c r="C249" s="17">
        <f>IF(B249="","",TEXT(B249,"ddd"))</f>
        <v>0</v>
      </c>
      <c r="D249" s="18">
        <f>IF(B249="","",WEEKNUM(B249,IF(WeekStart="Sunday",1,2)))</f>
        <v>0</v>
      </c>
      <c r="E249" s="17">
        <f>IF(B249="","",TEXT(B249,"yyyy-mm"))</f>
        <v>0</v>
      </c>
      <c r="H249" s="17">
        <f>IF(G249&lt;&gt;"",IFERROR(INDEX(Recipes!$B$5:$B$204,MATCH(G249,Recipes!$A$5:$A$204,0)),"Not found"),I249)</f>
        <v>0</v>
      </c>
      <c r="K249" s="45">
        <f>IF(B249="","",IF(J249="",DefaultServings,J249))</f>
        <v>0</v>
      </c>
      <c r="L249" s="45">
        <f>IF(G249="",0,IFERROR(K249/INDEX(Recipes!$G$5:$G$204,MATCH(G249,Recipes!$A$5:$A$204,0)),0))</f>
        <v>0</v>
      </c>
      <c r="T249" s="25">
        <f>IF(G249="","",IFERROR(INDEX(Recipes!$AD$5:$AD$204,MATCH(G249,Recipes!$A$5:$A$204,0))*K249,""))</f>
        <v>0</v>
      </c>
      <c r="V249" s="30">
        <f>IF(G249="","",IFERROR(INDEX(Recipes!$AE$5:$AE$204,MATCH(G249,Recipes!$A$5:$A$204,0)),"Not found"))</f>
        <v>0</v>
      </c>
      <c r="W249" s="45">
        <f>IF(G249="","",IFERROR(INDEX(Recipes!$AF$5:$AF$204,MATCH(G249,Recipes!$A$5:$A$204,0)),"Not found"))</f>
        <v>0</v>
      </c>
      <c r="X249" s="45">
        <f>IF(G249="","",IFERROR(INDEX(Recipes!$AG$5:$AG$204,MATCH(G249,Recipes!$A$5:$A$204,0)),"Not found"))</f>
        <v>0</v>
      </c>
      <c r="Y249" s="45">
        <f>IF(G249="","",IFERROR(INDEX(Recipes!$AH$5:$AH$204,MATCH(G249,Recipes!$A$5:$A$204,0)),"Not found"))</f>
        <v>0</v>
      </c>
      <c r="Z249" s="45">
        <f>IF(G249="","",IFERROR(INDEX(Recipes!$AI$5:$AI$204,MATCH(G249,Recipes!$A$5:$A$204,0)),"Not found"))</f>
        <v>0</v>
      </c>
      <c r="AA249" s="30">
        <f>IF(OR(V249="",NOT(ISNUMBER(V249))),"",V249*K249)</f>
        <v>0</v>
      </c>
      <c r="AB249" s="18">
        <f>IF(G249="","",IFERROR(INDEX(Recipes!$J$5:$J$204,MATCH(G249,Recipes!$A$5:$A$204,0)),"Not found"))</f>
        <v>0</v>
      </c>
      <c r="AC249" s="17">
        <f>IF(G249="","",IFERROR(INDEX(Recipes!$C$5:$C$204,MATCH(G249,Recipes!$A$5:$A$204,0)),"Not found"))</f>
        <v>0</v>
      </c>
      <c r="AD249" s="46">
        <f>IF(B249="","",IF(G249&lt;&gt;"","Yes",IF(OR(I249="",ISNUMBER(SEARCH("takeaway",I249)),ISNUMBER(SEARCH("out",I249))),"No","Yes")))</f>
        <v>0</v>
      </c>
      <c r="AE249" s="17">
        <f>IF(B249="","",TEXT(B249,"yyyy-mm-dd")&amp;"|"&amp;F249)</f>
        <v>0</v>
      </c>
      <c r="AF249" s="31">
        <f>IF(B249="","",IF(AND(G249="",I249=""),"Add - nothing planned yet",IF(COUNTIFS($AE$5:$AE$504,AE249)&gt;1,"Duplicate - two meals in one slot",IF(AND(G249&lt;&gt;"",H249="Not found"),"Missing - recipe ID not on the Recipes tab",IF(AND(B249&lt;TODAY(),OR(N249="Planned",N249="")),"Check - did you cook it?","OK")))))</f>
        <v>0</v>
      </c>
    </row>
    <row r="250" spans="1:32">
      <c r="A250" s="39">
        <f>IF(B250="","",MealPrefix&amp;TEXT(ROW()-4,"0000"))</f>
        <v>0</v>
      </c>
      <c r="C250" s="17">
        <f>IF(B250="","",TEXT(B250,"ddd"))</f>
        <v>0</v>
      </c>
      <c r="D250" s="18">
        <f>IF(B250="","",WEEKNUM(B250,IF(WeekStart="Sunday",1,2)))</f>
        <v>0</v>
      </c>
      <c r="E250" s="17">
        <f>IF(B250="","",TEXT(B250,"yyyy-mm"))</f>
        <v>0</v>
      </c>
      <c r="H250" s="17">
        <f>IF(G250&lt;&gt;"",IFERROR(INDEX(Recipes!$B$5:$B$204,MATCH(G250,Recipes!$A$5:$A$204,0)),"Not found"),I250)</f>
        <v>0</v>
      </c>
      <c r="K250" s="45">
        <f>IF(B250="","",IF(J250="",DefaultServings,J250))</f>
        <v>0</v>
      </c>
      <c r="L250" s="45">
        <f>IF(G250="",0,IFERROR(K250/INDEX(Recipes!$G$5:$G$204,MATCH(G250,Recipes!$A$5:$A$204,0)),0))</f>
        <v>0</v>
      </c>
      <c r="T250" s="25">
        <f>IF(G250="","",IFERROR(INDEX(Recipes!$AD$5:$AD$204,MATCH(G250,Recipes!$A$5:$A$204,0))*K250,""))</f>
        <v>0</v>
      </c>
      <c r="V250" s="30">
        <f>IF(G250="","",IFERROR(INDEX(Recipes!$AE$5:$AE$204,MATCH(G250,Recipes!$A$5:$A$204,0)),"Not found"))</f>
        <v>0</v>
      </c>
      <c r="W250" s="45">
        <f>IF(G250="","",IFERROR(INDEX(Recipes!$AF$5:$AF$204,MATCH(G250,Recipes!$A$5:$A$204,0)),"Not found"))</f>
        <v>0</v>
      </c>
      <c r="X250" s="45">
        <f>IF(G250="","",IFERROR(INDEX(Recipes!$AG$5:$AG$204,MATCH(G250,Recipes!$A$5:$A$204,0)),"Not found"))</f>
        <v>0</v>
      </c>
      <c r="Y250" s="45">
        <f>IF(G250="","",IFERROR(INDEX(Recipes!$AH$5:$AH$204,MATCH(G250,Recipes!$A$5:$A$204,0)),"Not found"))</f>
        <v>0</v>
      </c>
      <c r="Z250" s="45">
        <f>IF(G250="","",IFERROR(INDEX(Recipes!$AI$5:$AI$204,MATCH(G250,Recipes!$A$5:$A$204,0)),"Not found"))</f>
        <v>0</v>
      </c>
      <c r="AA250" s="30">
        <f>IF(OR(V250="",NOT(ISNUMBER(V250))),"",V250*K250)</f>
        <v>0</v>
      </c>
      <c r="AB250" s="18">
        <f>IF(G250="","",IFERROR(INDEX(Recipes!$J$5:$J$204,MATCH(G250,Recipes!$A$5:$A$204,0)),"Not found"))</f>
        <v>0</v>
      </c>
      <c r="AC250" s="17">
        <f>IF(G250="","",IFERROR(INDEX(Recipes!$C$5:$C$204,MATCH(G250,Recipes!$A$5:$A$204,0)),"Not found"))</f>
        <v>0</v>
      </c>
      <c r="AD250" s="46">
        <f>IF(B250="","",IF(G250&lt;&gt;"","Yes",IF(OR(I250="",ISNUMBER(SEARCH("takeaway",I250)),ISNUMBER(SEARCH("out",I250))),"No","Yes")))</f>
        <v>0</v>
      </c>
      <c r="AE250" s="17">
        <f>IF(B250="","",TEXT(B250,"yyyy-mm-dd")&amp;"|"&amp;F250)</f>
        <v>0</v>
      </c>
      <c r="AF250" s="31">
        <f>IF(B250="","",IF(AND(G250="",I250=""),"Add - nothing planned yet",IF(COUNTIFS($AE$5:$AE$504,AE250)&gt;1,"Duplicate - two meals in one slot",IF(AND(G250&lt;&gt;"",H250="Not found"),"Missing - recipe ID not on the Recipes tab",IF(AND(B250&lt;TODAY(),OR(N250="Planned",N250="")),"Check - did you cook it?","OK")))))</f>
        <v>0</v>
      </c>
    </row>
    <row r="251" spans="1:32">
      <c r="A251" s="39">
        <f>IF(B251="","",MealPrefix&amp;TEXT(ROW()-4,"0000"))</f>
        <v>0</v>
      </c>
      <c r="C251" s="17">
        <f>IF(B251="","",TEXT(B251,"ddd"))</f>
        <v>0</v>
      </c>
      <c r="D251" s="18">
        <f>IF(B251="","",WEEKNUM(B251,IF(WeekStart="Sunday",1,2)))</f>
        <v>0</v>
      </c>
      <c r="E251" s="17">
        <f>IF(B251="","",TEXT(B251,"yyyy-mm"))</f>
        <v>0</v>
      </c>
      <c r="H251" s="17">
        <f>IF(G251&lt;&gt;"",IFERROR(INDEX(Recipes!$B$5:$B$204,MATCH(G251,Recipes!$A$5:$A$204,0)),"Not found"),I251)</f>
        <v>0</v>
      </c>
      <c r="K251" s="45">
        <f>IF(B251="","",IF(J251="",DefaultServings,J251))</f>
        <v>0</v>
      </c>
      <c r="L251" s="45">
        <f>IF(G251="",0,IFERROR(K251/INDEX(Recipes!$G$5:$G$204,MATCH(G251,Recipes!$A$5:$A$204,0)),0))</f>
        <v>0</v>
      </c>
      <c r="T251" s="25">
        <f>IF(G251="","",IFERROR(INDEX(Recipes!$AD$5:$AD$204,MATCH(G251,Recipes!$A$5:$A$204,0))*K251,""))</f>
        <v>0</v>
      </c>
      <c r="V251" s="30">
        <f>IF(G251="","",IFERROR(INDEX(Recipes!$AE$5:$AE$204,MATCH(G251,Recipes!$A$5:$A$204,0)),"Not found"))</f>
        <v>0</v>
      </c>
      <c r="W251" s="45">
        <f>IF(G251="","",IFERROR(INDEX(Recipes!$AF$5:$AF$204,MATCH(G251,Recipes!$A$5:$A$204,0)),"Not found"))</f>
        <v>0</v>
      </c>
      <c r="X251" s="45">
        <f>IF(G251="","",IFERROR(INDEX(Recipes!$AG$5:$AG$204,MATCH(G251,Recipes!$A$5:$A$204,0)),"Not found"))</f>
        <v>0</v>
      </c>
      <c r="Y251" s="45">
        <f>IF(G251="","",IFERROR(INDEX(Recipes!$AH$5:$AH$204,MATCH(G251,Recipes!$A$5:$A$204,0)),"Not found"))</f>
        <v>0</v>
      </c>
      <c r="Z251" s="45">
        <f>IF(G251="","",IFERROR(INDEX(Recipes!$AI$5:$AI$204,MATCH(G251,Recipes!$A$5:$A$204,0)),"Not found"))</f>
        <v>0</v>
      </c>
      <c r="AA251" s="30">
        <f>IF(OR(V251="",NOT(ISNUMBER(V251))),"",V251*K251)</f>
        <v>0</v>
      </c>
      <c r="AB251" s="18">
        <f>IF(G251="","",IFERROR(INDEX(Recipes!$J$5:$J$204,MATCH(G251,Recipes!$A$5:$A$204,0)),"Not found"))</f>
        <v>0</v>
      </c>
      <c r="AC251" s="17">
        <f>IF(G251="","",IFERROR(INDEX(Recipes!$C$5:$C$204,MATCH(G251,Recipes!$A$5:$A$204,0)),"Not found"))</f>
        <v>0</v>
      </c>
      <c r="AD251" s="46">
        <f>IF(B251="","",IF(G251&lt;&gt;"","Yes",IF(OR(I251="",ISNUMBER(SEARCH("takeaway",I251)),ISNUMBER(SEARCH("out",I251))),"No","Yes")))</f>
        <v>0</v>
      </c>
      <c r="AE251" s="17">
        <f>IF(B251="","",TEXT(B251,"yyyy-mm-dd")&amp;"|"&amp;F251)</f>
        <v>0</v>
      </c>
      <c r="AF251" s="31">
        <f>IF(B251="","",IF(AND(G251="",I251=""),"Add - nothing planned yet",IF(COUNTIFS($AE$5:$AE$504,AE251)&gt;1,"Duplicate - two meals in one slot",IF(AND(G251&lt;&gt;"",H251="Not found"),"Missing - recipe ID not on the Recipes tab",IF(AND(B251&lt;TODAY(),OR(N251="Planned",N251="")),"Check - did you cook it?","OK")))))</f>
        <v>0</v>
      </c>
    </row>
    <row r="252" spans="1:32">
      <c r="A252" s="39">
        <f>IF(B252="","",MealPrefix&amp;TEXT(ROW()-4,"0000"))</f>
        <v>0</v>
      </c>
      <c r="C252" s="17">
        <f>IF(B252="","",TEXT(B252,"ddd"))</f>
        <v>0</v>
      </c>
      <c r="D252" s="18">
        <f>IF(B252="","",WEEKNUM(B252,IF(WeekStart="Sunday",1,2)))</f>
        <v>0</v>
      </c>
      <c r="E252" s="17">
        <f>IF(B252="","",TEXT(B252,"yyyy-mm"))</f>
        <v>0</v>
      </c>
      <c r="H252" s="17">
        <f>IF(G252&lt;&gt;"",IFERROR(INDEX(Recipes!$B$5:$B$204,MATCH(G252,Recipes!$A$5:$A$204,0)),"Not found"),I252)</f>
        <v>0</v>
      </c>
      <c r="K252" s="45">
        <f>IF(B252="","",IF(J252="",DefaultServings,J252))</f>
        <v>0</v>
      </c>
      <c r="L252" s="45">
        <f>IF(G252="",0,IFERROR(K252/INDEX(Recipes!$G$5:$G$204,MATCH(G252,Recipes!$A$5:$A$204,0)),0))</f>
        <v>0</v>
      </c>
      <c r="T252" s="25">
        <f>IF(G252="","",IFERROR(INDEX(Recipes!$AD$5:$AD$204,MATCH(G252,Recipes!$A$5:$A$204,0))*K252,""))</f>
        <v>0</v>
      </c>
      <c r="V252" s="30">
        <f>IF(G252="","",IFERROR(INDEX(Recipes!$AE$5:$AE$204,MATCH(G252,Recipes!$A$5:$A$204,0)),"Not found"))</f>
        <v>0</v>
      </c>
      <c r="W252" s="45">
        <f>IF(G252="","",IFERROR(INDEX(Recipes!$AF$5:$AF$204,MATCH(G252,Recipes!$A$5:$A$204,0)),"Not found"))</f>
        <v>0</v>
      </c>
      <c r="X252" s="45">
        <f>IF(G252="","",IFERROR(INDEX(Recipes!$AG$5:$AG$204,MATCH(G252,Recipes!$A$5:$A$204,0)),"Not found"))</f>
        <v>0</v>
      </c>
      <c r="Y252" s="45">
        <f>IF(G252="","",IFERROR(INDEX(Recipes!$AH$5:$AH$204,MATCH(G252,Recipes!$A$5:$A$204,0)),"Not found"))</f>
        <v>0</v>
      </c>
      <c r="Z252" s="45">
        <f>IF(G252="","",IFERROR(INDEX(Recipes!$AI$5:$AI$204,MATCH(G252,Recipes!$A$5:$A$204,0)),"Not found"))</f>
        <v>0</v>
      </c>
      <c r="AA252" s="30">
        <f>IF(OR(V252="",NOT(ISNUMBER(V252))),"",V252*K252)</f>
        <v>0</v>
      </c>
      <c r="AB252" s="18">
        <f>IF(G252="","",IFERROR(INDEX(Recipes!$J$5:$J$204,MATCH(G252,Recipes!$A$5:$A$204,0)),"Not found"))</f>
        <v>0</v>
      </c>
      <c r="AC252" s="17">
        <f>IF(G252="","",IFERROR(INDEX(Recipes!$C$5:$C$204,MATCH(G252,Recipes!$A$5:$A$204,0)),"Not found"))</f>
        <v>0</v>
      </c>
      <c r="AD252" s="46">
        <f>IF(B252="","",IF(G252&lt;&gt;"","Yes",IF(OR(I252="",ISNUMBER(SEARCH("takeaway",I252)),ISNUMBER(SEARCH("out",I252))),"No","Yes")))</f>
        <v>0</v>
      </c>
      <c r="AE252" s="17">
        <f>IF(B252="","",TEXT(B252,"yyyy-mm-dd")&amp;"|"&amp;F252)</f>
        <v>0</v>
      </c>
      <c r="AF252" s="31">
        <f>IF(B252="","",IF(AND(G252="",I252=""),"Add - nothing planned yet",IF(COUNTIFS($AE$5:$AE$504,AE252)&gt;1,"Duplicate - two meals in one slot",IF(AND(G252&lt;&gt;"",H252="Not found"),"Missing - recipe ID not on the Recipes tab",IF(AND(B252&lt;TODAY(),OR(N252="Planned",N252="")),"Check - did you cook it?","OK")))))</f>
        <v>0</v>
      </c>
    </row>
    <row r="253" spans="1:32">
      <c r="A253" s="39">
        <f>IF(B253="","",MealPrefix&amp;TEXT(ROW()-4,"0000"))</f>
        <v>0</v>
      </c>
      <c r="C253" s="17">
        <f>IF(B253="","",TEXT(B253,"ddd"))</f>
        <v>0</v>
      </c>
      <c r="D253" s="18">
        <f>IF(B253="","",WEEKNUM(B253,IF(WeekStart="Sunday",1,2)))</f>
        <v>0</v>
      </c>
      <c r="E253" s="17">
        <f>IF(B253="","",TEXT(B253,"yyyy-mm"))</f>
        <v>0</v>
      </c>
      <c r="H253" s="17">
        <f>IF(G253&lt;&gt;"",IFERROR(INDEX(Recipes!$B$5:$B$204,MATCH(G253,Recipes!$A$5:$A$204,0)),"Not found"),I253)</f>
        <v>0</v>
      </c>
      <c r="K253" s="45">
        <f>IF(B253="","",IF(J253="",DefaultServings,J253))</f>
        <v>0</v>
      </c>
      <c r="L253" s="45">
        <f>IF(G253="",0,IFERROR(K253/INDEX(Recipes!$G$5:$G$204,MATCH(G253,Recipes!$A$5:$A$204,0)),0))</f>
        <v>0</v>
      </c>
      <c r="T253" s="25">
        <f>IF(G253="","",IFERROR(INDEX(Recipes!$AD$5:$AD$204,MATCH(G253,Recipes!$A$5:$A$204,0))*K253,""))</f>
        <v>0</v>
      </c>
      <c r="V253" s="30">
        <f>IF(G253="","",IFERROR(INDEX(Recipes!$AE$5:$AE$204,MATCH(G253,Recipes!$A$5:$A$204,0)),"Not found"))</f>
        <v>0</v>
      </c>
      <c r="W253" s="45">
        <f>IF(G253="","",IFERROR(INDEX(Recipes!$AF$5:$AF$204,MATCH(G253,Recipes!$A$5:$A$204,0)),"Not found"))</f>
        <v>0</v>
      </c>
      <c r="X253" s="45">
        <f>IF(G253="","",IFERROR(INDEX(Recipes!$AG$5:$AG$204,MATCH(G253,Recipes!$A$5:$A$204,0)),"Not found"))</f>
        <v>0</v>
      </c>
      <c r="Y253" s="45">
        <f>IF(G253="","",IFERROR(INDEX(Recipes!$AH$5:$AH$204,MATCH(G253,Recipes!$A$5:$A$204,0)),"Not found"))</f>
        <v>0</v>
      </c>
      <c r="Z253" s="45">
        <f>IF(G253="","",IFERROR(INDEX(Recipes!$AI$5:$AI$204,MATCH(G253,Recipes!$A$5:$A$204,0)),"Not found"))</f>
        <v>0</v>
      </c>
      <c r="AA253" s="30">
        <f>IF(OR(V253="",NOT(ISNUMBER(V253))),"",V253*K253)</f>
        <v>0</v>
      </c>
      <c r="AB253" s="18">
        <f>IF(G253="","",IFERROR(INDEX(Recipes!$J$5:$J$204,MATCH(G253,Recipes!$A$5:$A$204,0)),"Not found"))</f>
        <v>0</v>
      </c>
      <c r="AC253" s="17">
        <f>IF(G253="","",IFERROR(INDEX(Recipes!$C$5:$C$204,MATCH(G253,Recipes!$A$5:$A$204,0)),"Not found"))</f>
        <v>0</v>
      </c>
      <c r="AD253" s="46">
        <f>IF(B253="","",IF(G253&lt;&gt;"","Yes",IF(OR(I253="",ISNUMBER(SEARCH("takeaway",I253)),ISNUMBER(SEARCH("out",I253))),"No","Yes")))</f>
        <v>0</v>
      </c>
      <c r="AE253" s="17">
        <f>IF(B253="","",TEXT(B253,"yyyy-mm-dd")&amp;"|"&amp;F253)</f>
        <v>0</v>
      </c>
      <c r="AF253" s="31">
        <f>IF(B253="","",IF(AND(G253="",I253=""),"Add - nothing planned yet",IF(COUNTIFS($AE$5:$AE$504,AE253)&gt;1,"Duplicate - two meals in one slot",IF(AND(G253&lt;&gt;"",H253="Not found"),"Missing - recipe ID not on the Recipes tab",IF(AND(B253&lt;TODAY(),OR(N253="Planned",N253="")),"Check - did you cook it?","OK")))))</f>
        <v>0</v>
      </c>
    </row>
    <row r="254" spans="1:32">
      <c r="A254" s="39">
        <f>IF(B254="","",MealPrefix&amp;TEXT(ROW()-4,"0000"))</f>
        <v>0</v>
      </c>
      <c r="C254" s="17">
        <f>IF(B254="","",TEXT(B254,"ddd"))</f>
        <v>0</v>
      </c>
      <c r="D254" s="18">
        <f>IF(B254="","",WEEKNUM(B254,IF(WeekStart="Sunday",1,2)))</f>
        <v>0</v>
      </c>
      <c r="E254" s="17">
        <f>IF(B254="","",TEXT(B254,"yyyy-mm"))</f>
        <v>0</v>
      </c>
      <c r="H254" s="17">
        <f>IF(G254&lt;&gt;"",IFERROR(INDEX(Recipes!$B$5:$B$204,MATCH(G254,Recipes!$A$5:$A$204,0)),"Not found"),I254)</f>
        <v>0</v>
      </c>
      <c r="K254" s="45">
        <f>IF(B254="","",IF(J254="",DefaultServings,J254))</f>
        <v>0</v>
      </c>
      <c r="L254" s="45">
        <f>IF(G254="",0,IFERROR(K254/INDEX(Recipes!$G$5:$G$204,MATCH(G254,Recipes!$A$5:$A$204,0)),0))</f>
        <v>0</v>
      </c>
      <c r="T254" s="25">
        <f>IF(G254="","",IFERROR(INDEX(Recipes!$AD$5:$AD$204,MATCH(G254,Recipes!$A$5:$A$204,0))*K254,""))</f>
        <v>0</v>
      </c>
      <c r="V254" s="30">
        <f>IF(G254="","",IFERROR(INDEX(Recipes!$AE$5:$AE$204,MATCH(G254,Recipes!$A$5:$A$204,0)),"Not found"))</f>
        <v>0</v>
      </c>
      <c r="W254" s="45">
        <f>IF(G254="","",IFERROR(INDEX(Recipes!$AF$5:$AF$204,MATCH(G254,Recipes!$A$5:$A$204,0)),"Not found"))</f>
        <v>0</v>
      </c>
      <c r="X254" s="45">
        <f>IF(G254="","",IFERROR(INDEX(Recipes!$AG$5:$AG$204,MATCH(G254,Recipes!$A$5:$A$204,0)),"Not found"))</f>
        <v>0</v>
      </c>
      <c r="Y254" s="45">
        <f>IF(G254="","",IFERROR(INDEX(Recipes!$AH$5:$AH$204,MATCH(G254,Recipes!$A$5:$A$204,0)),"Not found"))</f>
        <v>0</v>
      </c>
      <c r="Z254" s="45">
        <f>IF(G254="","",IFERROR(INDEX(Recipes!$AI$5:$AI$204,MATCH(G254,Recipes!$A$5:$A$204,0)),"Not found"))</f>
        <v>0</v>
      </c>
      <c r="AA254" s="30">
        <f>IF(OR(V254="",NOT(ISNUMBER(V254))),"",V254*K254)</f>
        <v>0</v>
      </c>
      <c r="AB254" s="18">
        <f>IF(G254="","",IFERROR(INDEX(Recipes!$J$5:$J$204,MATCH(G254,Recipes!$A$5:$A$204,0)),"Not found"))</f>
        <v>0</v>
      </c>
      <c r="AC254" s="17">
        <f>IF(G254="","",IFERROR(INDEX(Recipes!$C$5:$C$204,MATCH(G254,Recipes!$A$5:$A$204,0)),"Not found"))</f>
        <v>0</v>
      </c>
      <c r="AD254" s="46">
        <f>IF(B254="","",IF(G254&lt;&gt;"","Yes",IF(OR(I254="",ISNUMBER(SEARCH("takeaway",I254)),ISNUMBER(SEARCH("out",I254))),"No","Yes")))</f>
        <v>0</v>
      </c>
      <c r="AE254" s="17">
        <f>IF(B254="","",TEXT(B254,"yyyy-mm-dd")&amp;"|"&amp;F254)</f>
        <v>0</v>
      </c>
      <c r="AF254" s="31">
        <f>IF(B254="","",IF(AND(G254="",I254=""),"Add - nothing planned yet",IF(COUNTIFS($AE$5:$AE$504,AE254)&gt;1,"Duplicate - two meals in one slot",IF(AND(G254&lt;&gt;"",H254="Not found"),"Missing - recipe ID not on the Recipes tab",IF(AND(B254&lt;TODAY(),OR(N254="Planned",N254="")),"Check - did you cook it?","OK")))))</f>
        <v>0</v>
      </c>
    </row>
    <row r="255" spans="1:32">
      <c r="A255" s="39">
        <f>IF(B255="","",MealPrefix&amp;TEXT(ROW()-4,"0000"))</f>
        <v>0</v>
      </c>
      <c r="C255" s="17">
        <f>IF(B255="","",TEXT(B255,"ddd"))</f>
        <v>0</v>
      </c>
      <c r="D255" s="18">
        <f>IF(B255="","",WEEKNUM(B255,IF(WeekStart="Sunday",1,2)))</f>
        <v>0</v>
      </c>
      <c r="E255" s="17">
        <f>IF(B255="","",TEXT(B255,"yyyy-mm"))</f>
        <v>0</v>
      </c>
      <c r="H255" s="17">
        <f>IF(G255&lt;&gt;"",IFERROR(INDEX(Recipes!$B$5:$B$204,MATCH(G255,Recipes!$A$5:$A$204,0)),"Not found"),I255)</f>
        <v>0</v>
      </c>
      <c r="K255" s="45">
        <f>IF(B255="","",IF(J255="",DefaultServings,J255))</f>
        <v>0</v>
      </c>
      <c r="L255" s="45">
        <f>IF(G255="",0,IFERROR(K255/INDEX(Recipes!$G$5:$G$204,MATCH(G255,Recipes!$A$5:$A$204,0)),0))</f>
        <v>0</v>
      </c>
      <c r="T255" s="25">
        <f>IF(G255="","",IFERROR(INDEX(Recipes!$AD$5:$AD$204,MATCH(G255,Recipes!$A$5:$A$204,0))*K255,""))</f>
        <v>0</v>
      </c>
      <c r="V255" s="30">
        <f>IF(G255="","",IFERROR(INDEX(Recipes!$AE$5:$AE$204,MATCH(G255,Recipes!$A$5:$A$204,0)),"Not found"))</f>
        <v>0</v>
      </c>
      <c r="W255" s="45">
        <f>IF(G255="","",IFERROR(INDEX(Recipes!$AF$5:$AF$204,MATCH(G255,Recipes!$A$5:$A$204,0)),"Not found"))</f>
        <v>0</v>
      </c>
      <c r="X255" s="45">
        <f>IF(G255="","",IFERROR(INDEX(Recipes!$AG$5:$AG$204,MATCH(G255,Recipes!$A$5:$A$204,0)),"Not found"))</f>
        <v>0</v>
      </c>
      <c r="Y255" s="45">
        <f>IF(G255="","",IFERROR(INDEX(Recipes!$AH$5:$AH$204,MATCH(G255,Recipes!$A$5:$A$204,0)),"Not found"))</f>
        <v>0</v>
      </c>
      <c r="Z255" s="45">
        <f>IF(G255="","",IFERROR(INDEX(Recipes!$AI$5:$AI$204,MATCH(G255,Recipes!$A$5:$A$204,0)),"Not found"))</f>
        <v>0</v>
      </c>
      <c r="AA255" s="30">
        <f>IF(OR(V255="",NOT(ISNUMBER(V255))),"",V255*K255)</f>
        <v>0</v>
      </c>
      <c r="AB255" s="18">
        <f>IF(G255="","",IFERROR(INDEX(Recipes!$J$5:$J$204,MATCH(G255,Recipes!$A$5:$A$204,0)),"Not found"))</f>
        <v>0</v>
      </c>
      <c r="AC255" s="17">
        <f>IF(G255="","",IFERROR(INDEX(Recipes!$C$5:$C$204,MATCH(G255,Recipes!$A$5:$A$204,0)),"Not found"))</f>
        <v>0</v>
      </c>
      <c r="AD255" s="46">
        <f>IF(B255="","",IF(G255&lt;&gt;"","Yes",IF(OR(I255="",ISNUMBER(SEARCH("takeaway",I255)),ISNUMBER(SEARCH("out",I255))),"No","Yes")))</f>
        <v>0</v>
      </c>
      <c r="AE255" s="17">
        <f>IF(B255="","",TEXT(B255,"yyyy-mm-dd")&amp;"|"&amp;F255)</f>
        <v>0</v>
      </c>
      <c r="AF255" s="31">
        <f>IF(B255="","",IF(AND(G255="",I255=""),"Add - nothing planned yet",IF(COUNTIFS($AE$5:$AE$504,AE255)&gt;1,"Duplicate - two meals in one slot",IF(AND(G255&lt;&gt;"",H255="Not found"),"Missing - recipe ID not on the Recipes tab",IF(AND(B255&lt;TODAY(),OR(N255="Planned",N255="")),"Check - did you cook it?","OK")))))</f>
        <v>0</v>
      </c>
    </row>
    <row r="256" spans="1:32">
      <c r="A256" s="39">
        <f>IF(B256="","",MealPrefix&amp;TEXT(ROW()-4,"0000"))</f>
        <v>0</v>
      </c>
      <c r="C256" s="17">
        <f>IF(B256="","",TEXT(B256,"ddd"))</f>
        <v>0</v>
      </c>
      <c r="D256" s="18">
        <f>IF(B256="","",WEEKNUM(B256,IF(WeekStart="Sunday",1,2)))</f>
        <v>0</v>
      </c>
      <c r="E256" s="17">
        <f>IF(B256="","",TEXT(B256,"yyyy-mm"))</f>
        <v>0</v>
      </c>
      <c r="H256" s="17">
        <f>IF(G256&lt;&gt;"",IFERROR(INDEX(Recipes!$B$5:$B$204,MATCH(G256,Recipes!$A$5:$A$204,0)),"Not found"),I256)</f>
        <v>0</v>
      </c>
      <c r="K256" s="45">
        <f>IF(B256="","",IF(J256="",DefaultServings,J256))</f>
        <v>0</v>
      </c>
      <c r="L256" s="45">
        <f>IF(G256="",0,IFERROR(K256/INDEX(Recipes!$G$5:$G$204,MATCH(G256,Recipes!$A$5:$A$204,0)),0))</f>
        <v>0</v>
      </c>
      <c r="T256" s="25">
        <f>IF(G256="","",IFERROR(INDEX(Recipes!$AD$5:$AD$204,MATCH(G256,Recipes!$A$5:$A$204,0))*K256,""))</f>
        <v>0</v>
      </c>
      <c r="V256" s="30">
        <f>IF(G256="","",IFERROR(INDEX(Recipes!$AE$5:$AE$204,MATCH(G256,Recipes!$A$5:$A$204,0)),"Not found"))</f>
        <v>0</v>
      </c>
      <c r="W256" s="45">
        <f>IF(G256="","",IFERROR(INDEX(Recipes!$AF$5:$AF$204,MATCH(G256,Recipes!$A$5:$A$204,0)),"Not found"))</f>
        <v>0</v>
      </c>
      <c r="X256" s="45">
        <f>IF(G256="","",IFERROR(INDEX(Recipes!$AG$5:$AG$204,MATCH(G256,Recipes!$A$5:$A$204,0)),"Not found"))</f>
        <v>0</v>
      </c>
      <c r="Y256" s="45">
        <f>IF(G256="","",IFERROR(INDEX(Recipes!$AH$5:$AH$204,MATCH(G256,Recipes!$A$5:$A$204,0)),"Not found"))</f>
        <v>0</v>
      </c>
      <c r="Z256" s="45">
        <f>IF(G256="","",IFERROR(INDEX(Recipes!$AI$5:$AI$204,MATCH(G256,Recipes!$A$5:$A$204,0)),"Not found"))</f>
        <v>0</v>
      </c>
      <c r="AA256" s="30">
        <f>IF(OR(V256="",NOT(ISNUMBER(V256))),"",V256*K256)</f>
        <v>0</v>
      </c>
      <c r="AB256" s="18">
        <f>IF(G256="","",IFERROR(INDEX(Recipes!$J$5:$J$204,MATCH(G256,Recipes!$A$5:$A$204,0)),"Not found"))</f>
        <v>0</v>
      </c>
      <c r="AC256" s="17">
        <f>IF(G256="","",IFERROR(INDEX(Recipes!$C$5:$C$204,MATCH(G256,Recipes!$A$5:$A$204,0)),"Not found"))</f>
        <v>0</v>
      </c>
      <c r="AD256" s="46">
        <f>IF(B256="","",IF(G256&lt;&gt;"","Yes",IF(OR(I256="",ISNUMBER(SEARCH("takeaway",I256)),ISNUMBER(SEARCH("out",I256))),"No","Yes")))</f>
        <v>0</v>
      </c>
      <c r="AE256" s="17">
        <f>IF(B256="","",TEXT(B256,"yyyy-mm-dd")&amp;"|"&amp;F256)</f>
        <v>0</v>
      </c>
      <c r="AF256" s="31">
        <f>IF(B256="","",IF(AND(G256="",I256=""),"Add - nothing planned yet",IF(COUNTIFS($AE$5:$AE$504,AE256)&gt;1,"Duplicate - two meals in one slot",IF(AND(G256&lt;&gt;"",H256="Not found"),"Missing - recipe ID not on the Recipes tab",IF(AND(B256&lt;TODAY(),OR(N256="Planned",N256="")),"Check - did you cook it?","OK")))))</f>
        <v>0</v>
      </c>
    </row>
    <row r="257" spans="1:32">
      <c r="A257" s="39">
        <f>IF(B257="","",MealPrefix&amp;TEXT(ROW()-4,"0000"))</f>
        <v>0</v>
      </c>
      <c r="C257" s="17">
        <f>IF(B257="","",TEXT(B257,"ddd"))</f>
        <v>0</v>
      </c>
      <c r="D257" s="18">
        <f>IF(B257="","",WEEKNUM(B257,IF(WeekStart="Sunday",1,2)))</f>
        <v>0</v>
      </c>
      <c r="E257" s="17">
        <f>IF(B257="","",TEXT(B257,"yyyy-mm"))</f>
        <v>0</v>
      </c>
      <c r="H257" s="17">
        <f>IF(G257&lt;&gt;"",IFERROR(INDEX(Recipes!$B$5:$B$204,MATCH(G257,Recipes!$A$5:$A$204,0)),"Not found"),I257)</f>
        <v>0</v>
      </c>
      <c r="K257" s="45">
        <f>IF(B257="","",IF(J257="",DefaultServings,J257))</f>
        <v>0</v>
      </c>
      <c r="L257" s="45">
        <f>IF(G257="",0,IFERROR(K257/INDEX(Recipes!$G$5:$G$204,MATCH(G257,Recipes!$A$5:$A$204,0)),0))</f>
        <v>0</v>
      </c>
      <c r="T257" s="25">
        <f>IF(G257="","",IFERROR(INDEX(Recipes!$AD$5:$AD$204,MATCH(G257,Recipes!$A$5:$A$204,0))*K257,""))</f>
        <v>0</v>
      </c>
      <c r="V257" s="30">
        <f>IF(G257="","",IFERROR(INDEX(Recipes!$AE$5:$AE$204,MATCH(G257,Recipes!$A$5:$A$204,0)),"Not found"))</f>
        <v>0</v>
      </c>
      <c r="W257" s="45">
        <f>IF(G257="","",IFERROR(INDEX(Recipes!$AF$5:$AF$204,MATCH(G257,Recipes!$A$5:$A$204,0)),"Not found"))</f>
        <v>0</v>
      </c>
      <c r="X257" s="45">
        <f>IF(G257="","",IFERROR(INDEX(Recipes!$AG$5:$AG$204,MATCH(G257,Recipes!$A$5:$A$204,0)),"Not found"))</f>
        <v>0</v>
      </c>
      <c r="Y257" s="45">
        <f>IF(G257="","",IFERROR(INDEX(Recipes!$AH$5:$AH$204,MATCH(G257,Recipes!$A$5:$A$204,0)),"Not found"))</f>
        <v>0</v>
      </c>
      <c r="Z257" s="45">
        <f>IF(G257="","",IFERROR(INDEX(Recipes!$AI$5:$AI$204,MATCH(G257,Recipes!$A$5:$A$204,0)),"Not found"))</f>
        <v>0</v>
      </c>
      <c r="AA257" s="30">
        <f>IF(OR(V257="",NOT(ISNUMBER(V257))),"",V257*K257)</f>
        <v>0</v>
      </c>
      <c r="AB257" s="18">
        <f>IF(G257="","",IFERROR(INDEX(Recipes!$J$5:$J$204,MATCH(G257,Recipes!$A$5:$A$204,0)),"Not found"))</f>
        <v>0</v>
      </c>
      <c r="AC257" s="17">
        <f>IF(G257="","",IFERROR(INDEX(Recipes!$C$5:$C$204,MATCH(G257,Recipes!$A$5:$A$204,0)),"Not found"))</f>
        <v>0</v>
      </c>
      <c r="AD257" s="46">
        <f>IF(B257="","",IF(G257&lt;&gt;"","Yes",IF(OR(I257="",ISNUMBER(SEARCH("takeaway",I257)),ISNUMBER(SEARCH("out",I257))),"No","Yes")))</f>
        <v>0</v>
      </c>
      <c r="AE257" s="17">
        <f>IF(B257="","",TEXT(B257,"yyyy-mm-dd")&amp;"|"&amp;F257)</f>
        <v>0</v>
      </c>
      <c r="AF257" s="31">
        <f>IF(B257="","",IF(AND(G257="",I257=""),"Add - nothing planned yet",IF(COUNTIFS($AE$5:$AE$504,AE257)&gt;1,"Duplicate - two meals in one slot",IF(AND(G257&lt;&gt;"",H257="Not found"),"Missing - recipe ID not on the Recipes tab",IF(AND(B257&lt;TODAY(),OR(N257="Planned",N257="")),"Check - did you cook it?","OK")))))</f>
        <v>0</v>
      </c>
    </row>
    <row r="258" spans="1:32">
      <c r="A258" s="39">
        <f>IF(B258="","",MealPrefix&amp;TEXT(ROW()-4,"0000"))</f>
        <v>0</v>
      </c>
      <c r="C258" s="17">
        <f>IF(B258="","",TEXT(B258,"ddd"))</f>
        <v>0</v>
      </c>
      <c r="D258" s="18">
        <f>IF(B258="","",WEEKNUM(B258,IF(WeekStart="Sunday",1,2)))</f>
        <v>0</v>
      </c>
      <c r="E258" s="17">
        <f>IF(B258="","",TEXT(B258,"yyyy-mm"))</f>
        <v>0</v>
      </c>
      <c r="H258" s="17">
        <f>IF(G258&lt;&gt;"",IFERROR(INDEX(Recipes!$B$5:$B$204,MATCH(G258,Recipes!$A$5:$A$204,0)),"Not found"),I258)</f>
        <v>0</v>
      </c>
      <c r="K258" s="45">
        <f>IF(B258="","",IF(J258="",DefaultServings,J258))</f>
        <v>0</v>
      </c>
      <c r="L258" s="45">
        <f>IF(G258="",0,IFERROR(K258/INDEX(Recipes!$G$5:$G$204,MATCH(G258,Recipes!$A$5:$A$204,0)),0))</f>
        <v>0</v>
      </c>
      <c r="T258" s="25">
        <f>IF(G258="","",IFERROR(INDEX(Recipes!$AD$5:$AD$204,MATCH(G258,Recipes!$A$5:$A$204,0))*K258,""))</f>
        <v>0</v>
      </c>
      <c r="V258" s="30">
        <f>IF(G258="","",IFERROR(INDEX(Recipes!$AE$5:$AE$204,MATCH(G258,Recipes!$A$5:$A$204,0)),"Not found"))</f>
        <v>0</v>
      </c>
      <c r="W258" s="45">
        <f>IF(G258="","",IFERROR(INDEX(Recipes!$AF$5:$AF$204,MATCH(G258,Recipes!$A$5:$A$204,0)),"Not found"))</f>
        <v>0</v>
      </c>
      <c r="X258" s="45">
        <f>IF(G258="","",IFERROR(INDEX(Recipes!$AG$5:$AG$204,MATCH(G258,Recipes!$A$5:$A$204,0)),"Not found"))</f>
        <v>0</v>
      </c>
      <c r="Y258" s="45">
        <f>IF(G258="","",IFERROR(INDEX(Recipes!$AH$5:$AH$204,MATCH(G258,Recipes!$A$5:$A$204,0)),"Not found"))</f>
        <v>0</v>
      </c>
      <c r="Z258" s="45">
        <f>IF(G258="","",IFERROR(INDEX(Recipes!$AI$5:$AI$204,MATCH(G258,Recipes!$A$5:$A$204,0)),"Not found"))</f>
        <v>0</v>
      </c>
      <c r="AA258" s="30">
        <f>IF(OR(V258="",NOT(ISNUMBER(V258))),"",V258*K258)</f>
        <v>0</v>
      </c>
      <c r="AB258" s="18">
        <f>IF(G258="","",IFERROR(INDEX(Recipes!$J$5:$J$204,MATCH(G258,Recipes!$A$5:$A$204,0)),"Not found"))</f>
        <v>0</v>
      </c>
      <c r="AC258" s="17">
        <f>IF(G258="","",IFERROR(INDEX(Recipes!$C$5:$C$204,MATCH(G258,Recipes!$A$5:$A$204,0)),"Not found"))</f>
        <v>0</v>
      </c>
      <c r="AD258" s="46">
        <f>IF(B258="","",IF(G258&lt;&gt;"","Yes",IF(OR(I258="",ISNUMBER(SEARCH("takeaway",I258)),ISNUMBER(SEARCH("out",I258))),"No","Yes")))</f>
        <v>0</v>
      </c>
      <c r="AE258" s="17">
        <f>IF(B258="","",TEXT(B258,"yyyy-mm-dd")&amp;"|"&amp;F258)</f>
        <v>0</v>
      </c>
      <c r="AF258" s="31">
        <f>IF(B258="","",IF(AND(G258="",I258=""),"Add - nothing planned yet",IF(COUNTIFS($AE$5:$AE$504,AE258)&gt;1,"Duplicate - two meals in one slot",IF(AND(G258&lt;&gt;"",H258="Not found"),"Missing - recipe ID not on the Recipes tab",IF(AND(B258&lt;TODAY(),OR(N258="Planned",N258="")),"Check - did you cook it?","OK")))))</f>
        <v>0</v>
      </c>
    </row>
    <row r="259" spans="1:32">
      <c r="A259" s="39">
        <f>IF(B259="","",MealPrefix&amp;TEXT(ROW()-4,"0000"))</f>
        <v>0</v>
      </c>
      <c r="C259" s="17">
        <f>IF(B259="","",TEXT(B259,"ddd"))</f>
        <v>0</v>
      </c>
      <c r="D259" s="18">
        <f>IF(B259="","",WEEKNUM(B259,IF(WeekStart="Sunday",1,2)))</f>
        <v>0</v>
      </c>
      <c r="E259" s="17">
        <f>IF(B259="","",TEXT(B259,"yyyy-mm"))</f>
        <v>0</v>
      </c>
      <c r="H259" s="17">
        <f>IF(G259&lt;&gt;"",IFERROR(INDEX(Recipes!$B$5:$B$204,MATCH(G259,Recipes!$A$5:$A$204,0)),"Not found"),I259)</f>
        <v>0</v>
      </c>
      <c r="K259" s="45">
        <f>IF(B259="","",IF(J259="",DefaultServings,J259))</f>
        <v>0</v>
      </c>
      <c r="L259" s="45">
        <f>IF(G259="",0,IFERROR(K259/INDEX(Recipes!$G$5:$G$204,MATCH(G259,Recipes!$A$5:$A$204,0)),0))</f>
        <v>0</v>
      </c>
      <c r="T259" s="25">
        <f>IF(G259="","",IFERROR(INDEX(Recipes!$AD$5:$AD$204,MATCH(G259,Recipes!$A$5:$A$204,0))*K259,""))</f>
        <v>0</v>
      </c>
      <c r="V259" s="30">
        <f>IF(G259="","",IFERROR(INDEX(Recipes!$AE$5:$AE$204,MATCH(G259,Recipes!$A$5:$A$204,0)),"Not found"))</f>
        <v>0</v>
      </c>
      <c r="W259" s="45">
        <f>IF(G259="","",IFERROR(INDEX(Recipes!$AF$5:$AF$204,MATCH(G259,Recipes!$A$5:$A$204,0)),"Not found"))</f>
        <v>0</v>
      </c>
      <c r="X259" s="45">
        <f>IF(G259="","",IFERROR(INDEX(Recipes!$AG$5:$AG$204,MATCH(G259,Recipes!$A$5:$A$204,0)),"Not found"))</f>
        <v>0</v>
      </c>
      <c r="Y259" s="45">
        <f>IF(G259="","",IFERROR(INDEX(Recipes!$AH$5:$AH$204,MATCH(G259,Recipes!$A$5:$A$204,0)),"Not found"))</f>
        <v>0</v>
      </c>
      <c r="Z259" s="45">
        <f>IF(G259="","",IFERROR(INDEX(Recipes!$AI$5:$AI$204,MATCH(G259,Recipes!$A$5:$A$204,0)),"Not found"))</f>
        <v>0</v>
      </c>
      <c r="AA259" s="30">
        <f>IF(OR(V259="",NOT(ISNUMBER(V259))),"",V259*K259)</f>
        <v>0</v>
      </c>
      <c r="AB259" s="18">
        <f>IF(G259="","",IFERROR(INDEX(Recipes!$J$5:$J$204,MATCH(G259,Recipes!$A$5:$A$204,0)),"Not found"))</f>
        <v>0</v>
      </c>
      <c r="AC259" s="17">
        <f>IF(G259="","",IFERROR(INDEX(Recipes!$C$5:$C$204,MATCH(G259,Recipes!$A$5:$A$204,0)),"Not found"))</f>
        <v>0</v>
      </c>
      <c r="AD259" s="46">
        <f>IF(B259="","",IF(G259&lt;&gt;"","Yes",IF(OR(I259="",ISNUMBER(SEARCH("takeaway",I259)),ISNUMBER(SEARCH("out",I259))),"No","Yes")))</f>
        <v>0</v>
      </c>
      <c r="AE259" s="17">
        <f>IF(B259="","",TEXT(B259,"yyyy-mm-dd")&amp;"|"&amp;F259)</f>
        <v>0</v>
      </c>
      <c r="AF259" s="31">
        <f>IF(B259="","",IF(AND(G259="",I259=""),"Add - nothing planned yet",IF(COUNTIFS($AE$5:$AE$504,AE259)&gt;1,"Duplicate - two meals in one slot",IF(AND(G259&lt;&gt;"",H259="Not found"),"Missing - recipe ID not on the Recipes tab",IF(AND(B259&lt;TODAY(),OR(N259="Planned",N259="")),"Check - did you cook it?","OK")))))</f>
        <v>0</v>
      </c>
    </row>
    <row r="260" spans="1:32">
      <c r="A260" s="39">
        <f>IF(B260="","",MealPrefix&amp;TEXT(ROW()-4,"0000"))</f>
        <v>0</v>
      </c>
      <c r="C260" s="17">
        <f>IF(B260="","",TEXT(B260,"ddd"))</f>
        <v>0</v>
      </c>
      <c r="D260" s="18">
        <f>IF(B260="","",WEEKNUM(B260,IF(WeekStart="Sunday",1,2)))</f>
        <v>0</v>
      </c>
      <c r="E260" s="17">
        <f>IF(B260="","",TEXT(B260,"yyyy-mm"))</f>
        <v>0</v>
      </c>
      <c r="H260" s="17">
        <f>IF(G260&lt;&gt;"",IFERROR(INDEX(Recipes!$B$5:$B$204,MATCH(G260,Recipes!$A$5:$A$204,0)),"Not found"),I260)</f>
        <v>0</v>
      </c>
      <c r="K260" s="45">
        <f>IF(B260="","",IF(J260="",DefaultServings,J260))</f>
        <v>0</v>
      </c>
      <c r="L260" s="45">
        <f>IF(G260="",0,IFERROR(K260/INDEX(Recipes!$G$5:$G$204,MATCH(G260,Recipes!$A$5:$A$204,0)),0))</f>
        <v>0</v>
      </c>
      <c r="T260" s="25">
        <f>IF(G260="","",IFERROR(INDEX(Recipes!$AD$5:$AD$204,MATCH(G260,Recipes!$A$5:$A$204,0))*K260,""))</f>
        <v>0</v>
      </c>
      <c r="V260" s="30">
        <f>IF(G260="","",IFERROR(INDEX(Recipes!$AE$5:$AE$204,MATCH(G260,Recipes!$A$5:$A$204,0)),"Not found"))</f>
        <v>0</v>
      </c>
      <c r="W260" s="45">
        <f>IF(G260="","",IFERROR(INDEX(Recipes!$AF$5:$AF$204,MATCH(G260,Recipes!$A$5:$A$204,0)),"Not found"))</f>
        <v>0</v>
      </c>
      <c r="X260" s="45">
        <f>IF(G260="","",IFERROR(INDEX(Recipes!$AG$5:$AG$204,MATCH(G260,Recipes!$A$5:$A$204,0)),"Not found"))</f>
        <v>0</v>
      </c>
      <c r="Y260" s="45">
        <f>IF(G260="","",IFERROR(INDEX(Recipes!$AH$5:$AH$204,MATCH(G260,Recipes!$A$5:$A$204,0)),"Not found"))</f>
        <v>0</v>
      </c>
      <c r="Z260" s="45">
        <f>IF(G260="","",IFERROR(INDEX(Recipes!$AI$5:$AI$204,MATCH(G260,Recipes!$A$5:$A$204,0)),"Not found"))</f>
        <v>0</v>
      </c>
      <c r="AA260" s="30">
        <f>IF(OR(V260="",NOT(ISNUMBER(V260))),"",V260*K260)</f>
        <v>0</v>
      </c>
      <c r="AB260" s="18">
        <f>IF(G260="","",IFERROR(INDEX(Recipes!$J$5:$J$204,MATCH(G260,Recipes!$A$5:$A$204,0)),"Not found"))</f>
        <v>0</v>
      </c>
      <c r="AC260" s="17">
        <f>IF(G260="","",IFERROR(INDEX(Recipes!$C$5:$C$204,MATCH(G260,Recipes!$A$5:$A$204,0)),"Not found"))</f>
        <v>0</v>
      </c>
      <c r="AD260" s="46">
        <f>IF(B260="","",IF(G260&lt;&gt;"","Yes",IF(OR(I260="",ISNUMBER(SEARCH("takeaway",I260)),ISNUMBER(SEARCH("out",I260))),"No","Yes")))</f>
        <v>0</v>
      </c>
      <c r="AE260" s="17">
        <f>IF(B260="","",TEXT(B260,"yyyy-mm-dd")&amp;"|"&amp;F260)</f>
        <v>0</v>
      </c>
      <c r="AF260" s="31">
        <f>IF(B260="","",IF(AND(G260="",I260=""),"Add - nothing planned yet",IF(COUNTIFS($AE$5:$AE$504,AE260)&gt;1,"Duplicate - two meals in one slot",IF(AND(G260&lt;&gt;"",H260="Not found"),"Missing - recipe ID not on the Recipes tab",IF(AND(B260&lt;TODAY(),OR(N260="Planned",N260="")),"Check - did you cook it?","OK")))))</f>
        <v>0</v>
      </c>
    </row>
    <row r="261" spans="1:32">
      <c r="A261" s="39">
        <f>IF(B261="","",MealPrefix&amp;TEXT(ROW()-4,"0000"))</f>
        <v>0</v>
      </c>
      <c r="C261" s="17">
        <f>IF(B261="","",TEXT(B261,"ddd"))</f>
        <v>0</v>
      </c>
      <c r="D261" s="18">
        <f>IF(B261="","",WEEKNUM(B261,IF(WeekStart="Sunday",1,2)))</f>
        <v>0</v>
      </c>
      <c r="E261" s="17">
        <f>IF(B261="","",TEXT(B261,"yyyy-mm"))</f>
        <v>0</v>
      </c>
      <c r="H261" s="17">
        <f>IF(G261&lt;&gt;"",IFERROR(INDEX(Recipes!$B$5:$B$204,MATCH(G261,Recipes!$A$5:$A$204,0)),"Not found"),I261)</f>
        <v>0</v>
      </c>
      <c r="K261" s="45">
        <f>IF(B261="","",IF(J261="",DefaultServings,J261))</f>
        <v>0</v>
      </c>
      <c r="L261" s="45">
        <f>IF(G261="",0,IFERROR(K261/INDEX(Recipes!$G$5:$G$204,MATCH(G261,Recipes!$A$5:$A$204,0)),0))</f>
        <v>0</v>
      </c>
      <c r="T261" s="25">
        <f>IF(G261="","",IFERROR(INDEX(Recipes!$AD$5:$AD$204,MATCH(G261,Recipes!$A$5:$A$204,0))*K261,""))</f>
        <v>0</v>
      </c>
      <c r="V261" s="30">
        <f>IF(G261="","",IFERROR(INDEX(Recipes!$AE$5:$AE$204,MATCH(G261,Recipes!$A$5:$A$204,0)),"Not found"))</f>
        <v>0</v>
      </c>
      <c r="W261" s="45">
        <f>IF(G261="","",IFERROR(INDEX(Recipes!$AF$5:$AF$204,MATCH(G261,Recipes!$A$5:$A$204,0)),"Not found"))</f>
        <v>0</v>
      </c>
      <c r="X261" s="45">
        <f>IF(G261="","",IFERROR(INDEX(Recipes!$AG$5:$AG$204,MATCH(G261,Recipes!$A$5:$A$204,0)),"Not found"))</f>
        <v>0</v>
      </c>
      <c r="Y261" s="45">
        <f>IF(G261="","",IFERROR(INDEX(Recipes!$AH$5:$AH$204,MATCH(G261,Recipes!$A$5:$A$204,0)),"Not found"))</f>
        <v>0</v>
      </c>
      <c r="Z261" s="45">
        <f>IF(G261="","",IFERROR(INDEX(Recipes!$AI$5:$AI$204,MATCH(G261,Recipes!$A$5:$A$204,0)),"Not found"))</f>
        <v>0</v>
      </c>
      <c r="AA261" s="30">
        <f>IF(OR(V261="",NOT(ISNUMBER(V261))),"",V261*K261)</f>
        <v>0</v>
      </c>
      <c r="AB261" s="18">
        <f>IF(G261="","",IFERROR(INDEX(Recipes!$J$5:$J$204,MATCH(G261,Recipes!$A$5:$A$204,0)),"Not found"))</f>
        <v>0</v>
      </c>
      <c r="AC261" s="17">
        <f>IF(G261="","",IFERROR(INDEX(Recipes!$C$5:$C$204,MATCH(G261,Recipes!$A$5:$A$204,0)),"Not found"))</f>
        <v>0</v>
      </c>
      <c r="AD261" s="46">
        <f>IF(B261="","",IF(G261&lt;&gt;"","Yes",IF(OR(I261="",ISNUMBER(SEARCH("takeaway",I261)),ISNUMBER(SEARCH("out",I261))),"No","Yes")))</f>
        <v>0</v>
      </c>
      <c r="AE261" s="17">
        <f>IF(B261="","",TEXT(B261,"yyyy-mm-dd")&amp;"|"&amp;F261)</f>
        <v>0</v>
      </c>
      <c r="AF261" s="31">
        <f>IF(B261="","",IF(AND(G261="",I261=""),"Add - nothing planned yet",IF(COUNTIFS($AE$5:$AE$504,AE261)&gt;1,"Duplicate - two meals in one slot",IF(AND(G261&lt;&gt;"",H261="Not found"),"Missing - recipe ID not on the Recipes tab",IF(AND(B261&lt;TODAY(),OR(N261="Planned",N261="")),"Check - did you cook it?","OK")))))</f>
        <v>0</v>
      </c>
    </row>
    <row r="262" spans="1:32">
      <c r="A262" s="39">
        <f>IF(B262="","",MealPrefix&amp;TEXT(ROW()-4,"0000"))</f>
        <v>0</v>
      </c>
      <c r="C262" s="17">
        <f>IF(B262="","",TEXT(B262,"ddd"))</f>
        <v>0</v>
      </c>
      <c r="D262" s="18">
        <f>IF(B262="","",WEEKNUM(B262,IF(WeekStart="Sunday",1,2)))</f>
        <v>0</v>
      </c>
      <c r="E262" s="17">
        <f>IF(B262="","",TEXT(B262,"yyyy-mm"))</f>
        <v>0</v>
      </c>
      <c r="H262" s="17">
        <f>IF(G262&lt;&gt;"",IFERROR(INDEX(Recipes!$B$5:$B$204,MATCH(G262,Recipes!$A$5:$A$204,0)),"Not found"),I262)</f>
        <v>0</v>
      </c>
      <c r="K262" s="45">
        <f>IF(B262="","",IF(J262="",DefaultServings,J262))</f>
        <v>0</v>
      </c>
      <c r="L262" s="45">
        <f>IF(G262="",0,IFERROR(K262/INDEX(Recipes!$G$5:$G$204,MATCH(G262,Recipes!$A$5:$A$204,0)),0))</f>
        <v>0</v>
      </c>
      <c r="T262" s="25">
        <f>IF(G262="","",IFERROR(INDEX(Recipes!$AD$5:$AD$204,MATCH(G262,Recipes!$A$5:$A$204,0))*K262,""))</f>
        <v>0</v>
      </c>
      <c r="V262" s="30">
        <f>IF(G262="","",IFERROR(INDEX(Recipes!$AE$5:$AE$204,MATCH(G262,Recipes!$A$5:$A$204,0)),"Not found"))</f>
        <v>0</v>
      </c>
      <c r="W262" s="45">
        <f>IF(G262="","",IFERROR(INDEX(Recipes!$AF$5:$AF$204,MATCH(G262,Recipes!$A$5:$A$204,0)),"Not found"))</f>
        <v>0</v>
      </c>
      <c r="X262" s="45">
        <f>IF(G262="","",IFERROR(INDEX(Recipes!$AG$5:$AG$204,MATCH(G262,Recipes!$A$5:$A$204,0)),"Not found"))</f>
        <v>0</v>
      </c>
      <c r="Y262" s="45">
        <f>IF(G262="","",IFERROR(INDEX(Recipes!$AH$5:$AH$204,MATCH(G262,Recipes!$A$5:$A$204,0)),"Not found"))</f>
        <v>0</v>
      </c>
      <c r="Z262" s="45">
        <f>IF(G262="","",IFERROR(INDEX(Recipes!$AI$5:$AI$204,MATCH(G262,Recipes!$A$5:$A$204,0)),"Not found"))</f>
        <v>0</v>
      </c>
      <c r="AA262" s="30">
        <f>IF(OR(V262="",NOT(ISNUMBER(V262))),"",V262*K262)</f>
        <v>0</v>
      </c>
      <c r="AB262" s="18">
        <f>IF(G262="","",IFERROR(INDEX(Recipes!$J$5:$J$204,MATCH(G262,Recipes!$A$5:$A$204,0)),"Not found"))</f>
        <v>0</v>
      </c>
      <c r="AC262" s="17">
        <f>IF(G262="","",IFERROR(INDEX(Recipes!$C$5:$C$204,MATCH(G262,Recipes!$A$5:$A$204,0)),"Not found"))</f>
        <v>0</v>
      </c>
      <c r="AD262" s="46">
        <f>IF(B262="","",IF(G262&lt;&gt;"","Yes",IF(OR(I262="",ISNUMBER(SEARCH("takeaway",I262)),ISNUMBER(SEARCH("out",I262))),"No","Yes")))</f>
        <v>0</v>
      </c>
      <c r="AE262" s="17">
        <f>IF(B262="","",TEXT(B262,"yyyy-mm-dd")&amp;"|"&amp;F262)</f>
        <v>0</v>
      </c>
      <c r="AF262" s="31">
        <f>IF(B262="","",IF(AND(G262="",I262=""),"Add - nothing planned yet",IF(COUNTIFS($AE$5:$AE$504,AE262)&gt;1,"Duplicate - two meals in one slot",IF(AND(G262&lt;&gt;"",H262="Not found"),"Missing - recipe ID not on the Recipes tab",IF(AND(B262&lt;TODAY(),OR(N262="Planned",N262="")),"Check - did you cook it?","OK")))))</f>
        <v>0</v>
      </c>
    </row>
    <row r="263" spans="1:32">
      <c r="A263" s="39">
        <f>IF(B263="","",MealPrefix&amp;TEXT(ROW()-4,"0000"))</f>
        <v>0</v>
      </c>
      <c r="C263" s="17">
        <f>IF(B263="","",TEXT(B263,"ddd"))</f>
        <v>0</v>
      </c>
      <c r="D263" s="18">
        <f>IF(B263="","",WEEKNUM(B263,IF(WeekStart="Sunday",1,2)))</f>
        <v>0</v>
      </c>
      <c r="E263" s="17">
        <f>IF(B263="","",TEXT(B263,"yyyy-mm"))</f>
        <v>0</v>
      </c>
      <c r="H263" s="17">
        <f>IF(G263&lt;&gt;"",IFERROR(INDEX(Recipes!$B$5:$B$204,MATCH(G263,Recipes!$A$5:$A$204,0)),"Not found"),I263)</f>
        <v>0</v>
      </c>
      <c r="K263" s="45">
        <f>IF(B263="","",IF(J263="",DefaultServings,J263))</f>
        <v>0</v>
      </c>
      <c r="L263" s="45">
        <f>IF(G263="",0,IFERROR(K263/INDEX(Recipes!$G$5:$G$204,MATCH(G263,Recipes!$A$5:$A$204,0)),0))</f>
        <v>0</v>
      </c>
      <c r="T263" s="25">
        <f>IF(G263="","",IFERROR(INDEX(Recipes!$AD$5:$AD$204,MATCH(G263,Recipes!$A$5:$A$204,0))*K263,""))</f>
        <v>0</v>
      </c>
      <c r="V263" s="30">
        <f>IF(G263="","",IFERROR(INDEX(Recipes!$AE$5:$AE$204,MATCH(G263,Recipes!$A$5:$A$204,0)),"Not found"))</f>
        <v>0</v>
      </c>
      <c r="W263" s="45">
        <f>IF(G263="","",IFERROR(INDEX(Recipes!$AF$5:$AF$204,MATCH(G263,Recipes!$A$5:$A$204,0)),"Not found"))</f>
        <v>0</v>
      </c>
      <c r="X263" s="45">
        <f>IF(G263="","",IFERROR(INDEX(Recipes!$AG$5:$AG$204,MATCH(G263,Recipes!$A$5:$A$204,0)),"Not found"))</f>
        <v>0</v>
      </c>
      <c r="Y263" s="45">
        <f>IF(G263="","",IFERROR(INDEX(Recipes!$AH$5:$AH$204,MATCH(G263,Recipes!$A$5:$A$204,0)),"Not found"))</f>
        <v>0</v>
      </c>
      <c r="Z263" s="45">
        <f>IF(G263="","",IFERROR(INDEX(Recipes!$AI$5:$AI$204,MATCH(G263,Recipes!$A$5:$A$204,0)),"Not found"))</f>
        <v>0</v>
      </c>
      <c r="AA263" s="30">
        <f>IF(OR(V263="",NOT(ISNUMBER(V263))),"",V263*K263)</f>
        <v>0</v>
      </c>
      <c r="AB263" s="18">
        <f>IF(G263="","",IFERROR(INDEX(Recipes!$J$5:$J$204,MATCH(G263,Recipes!$A$5:$A$204,0)),"Not found"))</f>
        <v>0</v>
      </c>
      <c r="AC263" s="17">
        <f>IF(G263="","",IFERROR(INDEX(Recipes!$C$5:$C$204,MATCH(G263,Recipes!$A$5:$A$204,0)),"Not found"))</f>
        <v>0</v>
      </c>
      <c r="AD263" s="46">
        <f>IF(B263="","",IF(G263&lt;&gt;"","Yes",IF(OR(I263="",ISNUMBER(SEARCH("takeaway",I263)),ISNUMBER(SEARCH("out",I263))),"No","Yes")))</f>
        <v>0</v>
      </c>
      <c r="AE263" s="17">
        <f>IF(B263="","",TEXT(B263,"yyyy-mm-dd")&amp;"|"&amp;F263)</f>
        <v>0</v>
      </c>
      <c r="AF263" s="31">
        <f>IF(B263="","",IF(AND(G263="",I263=""),"Add - nothing planned yet",IF(COUNTIFS($AE$5:$AE$504,AE263)&gt;1,"Duplicate - two meals in one slot",IF(AND(G263&lt;&gt;"",H263="Not found"),"Missing - recipe ID not on the Recipes tab",IF(AND(B263&lt;TODAY(),OR(N263="Planned",N263="")),"Check - did you cook it?","OK")))))</f>
        <v>0</v>
      </c>
    </row>
    <row r="264" spans="1:32">
      <c r="A264" s="39">
        <f>IF(B264="","",MealPrefix&amp;TEXT(ROW()-4,"0000"))</f>
        <v>0</v>
      </c>
      <c r="C264" s="17">
        <f>IF(B264="","",TEXT(B264,"ddd"))</f>
        <v>0</v>
      </c>
      <c r="D264" s="18">
        <f>IF(B264="","",WEEKNUM(B264,IF(WeekStart="Sunday",1,2)))</f>
        <v>0</v>
      </c>
      <c r="E264" s="17">
        <f>IF(B264="","",TEXT(B264,"yyyy-mm"))</f>
        <v>0</v>
      </c>
      <c r="H264" s="17">
        <f>IF(G264&lt;&gt;"",IFERROR(INDEX(Recipes!$B$5:$B$204,MATCH(G264,Recipes!$A$5:$A$204,0)),"Not found"),I264)</f>
        <v>0</v>
      </c>
      <c r="K264" s="45">
        <f>IF(B264="","",IF(J264="",DefaultServings,J264))</f>
        <v>0</v>
      </c>
      <c r="L264" s="45">
        <f>IF(G264="",0,IFERROR(K264/INDEX(Recipes!$G$5:$G$204,MATCH(G264,Recipes!$A$5:$A$204,0)),0))</f>
        <v>0</v>
      </c>
      <c r="T264" s="25">
        <f>IF(G264="","",IFERROR(INDEX(Recipes!$AD$5:$AD$204,MATCH(G264,Recipes!$A$5:$A$204,0))*K264,""))</f>
        <v>0</v>
      </c>
      <c r="V264" s="30">
        <f>IF(G264="","",IFERROR(INDEX(Recipes!$AE$5:$AE$204,MATCH(G264,Recipes!$A$5:$A$204,0)),"Not found"))</f>
        <v>0</v>
      </c>
      <c r="W264" s="45">
        <f>IF(G264="","",IFERROR(INDEX(Recipes!$AF$5:$AF$204,MATCH(G264,Recipes!$A$5:$A$204,0)),"Not found"))</f>
        <v>0</v>
      </c>
      <c r="X264" s="45">
        <f>IF(G264="","",IFERROR(INDEX(Recipes!$AG$5:$AG$204,MATCH(G264,Recipes!$A$5:$A$204,0)),"Not found"))</f>
        <v>0</v>
      </c>
      <c r="Y264" s="45">
        <f>IF(G264="","",IFERROR(INDEX(Recipes!$AH$5:$AH$204,MATCH(G264,Recipes!$A$5:$A$204,0)),"Not found"))</f>
        <v>0</v>
      </c>
      <c r="Z264" s="45">
        <f>IF(G264="","",IFERROR(INDEX(Recipes!$AI$5:$AI$204,MATCH(G264,Recipes!$A$5:$A$204,0)),"Not found"))</f>
        <v>0</v>
      </c>
      <c r="AA264" s="30">
        <f>IF(OR(V264="",NOT(ISNUMBER(V264))),"",V264*K264)</f>
        <v>0</v>
      </c>
      <c r="AB264" s="18">
        <f>IF(G264="","",IFERROR(INDEX(Recipes!$J$5:$J$204,MATCH(G264,Recipes!$A$5:$A$204,0)),"Not found"))</f>
        <v>0</v>
      </c>
      <c r="AC264" s="17">
        <f>IF(G264="","",IFERROR(INDEX(Recipes!$C$5:$C$204,MATCH(G264,Recipes!$A$5:$A$204,0)),"Not found"))</f>
        <v>0</v>
      </c>
      <c r="AD264" s="46">
        <f>IF(B264="","",IF(G264&lt;&gt;"","Yes",IF(OR(I264="",ISNUMBER(SEARCH("takeaway",I264)),ISNUMBER(SEARCH("out",I264))),"No","Yes")))</f>
        <v>0</v>
      </c>
      <c r="AE264" s="17">
        <f>IF(B264="","",TEXT(B264,"yyyy-mm-dd")&amp;"|"&amp;F264)</f>
        <v>0</v>
      </c>
      <c r="AF264" s="31">
        <f>IF(B264="","",IF(AND(G264="",I264=""),"Add - nothing planned yet",IF(COUNTIFS($AE$5:$AE$504,AE264)&gt;1,"Duplicate - two meals in one slot",IF(AND(G264&lt;&gt;"",H264="Not found"),"Missing - recipe ID not on the Recipes tab",IF(AND(B264&lt;TODAY(),OR(N264="Planned",N264="")),"Check - did you cook it?","OK")))))</f>
        <v>0</v>
      </c>
    </row>
    <row r="265" spans="1:32">
      <c r="A265" s="39">
        <f>IF(B265="","",MealPrefix&amp;TEXT(ROW()-4,"0000"))</f>
        <v>0</v>
      </c>
      <c r="C265" s="17">
        <f>IF(B265="","",TEXT(B265,"ddd"))</f>
        <v>0</v>
      </c>
      <c r="D265" s="18">
        <f>IF(B265="","",WEEKNUM(B265,IF(WeekStart="Sunday",1,2)))</f>
        <v>0</v>
      </c>
      <c r="E265" s="17">
        <f>IF(B265="","",TEXT(B265,"yyyy-mm"))</f>
        <v>0</v>
      </c>
      <c r="H265" s="17">
        <f>IF(G265&lt;&gt;"",IFERROR(INDEX(Recipes!$B$5:$B$204,MATCH(G265,Recipes!$A$5:$A$204,0)),"Not found"),I265)</f>
        <v>0</v>
      </c>
      <c r="K265" s="45">
        <f>IF(B265="","",IF(J265="",DefaultServings,J265))</f>
        <v>0</v>
      </c>
      <c r="L265" s="45">
        <f>IF(G265="",0,IFERROR(K265/INDEX(Recipes!$G$5:$G$204,MATCH(G265,Recipes!$A$5:$A$204,0)),0))</f>
        <v>0</v>
      </c>
      <c r="T265" s="25">
        <f>IF(G265="","",IFERROR(INDEX(Recipes!$AD$5:$AD$204,MATCH(G265,Recipes!$A$5:$A$204,0))*K265,""))</f>
        <v>0</v>
      </c>
      <c r="V265" s="30">
        <f>IF(G265="","",IFERROR(INDEX(Recipes!$AE$5:$AE$204,MATCH(G265,Recipes!$A$5:$A$204,0)),"Not found"))</f>
        <v>0</v>
      </c>
      <c r="W265" s="45">
        <f>IF(G265="","",IFERROR(INDEX(Recipes!$AF$5:$AF$204,MATCH(G265,Recipes!$A$5:$A$204,0)),"Not found"))</f>
        <v>0</v>
      </c>
      <c r="X265" s="45">
        <f>IF(G265="","",IFERROR(INDEX(Recipes!$AG$5:$AG$204,MATCH(G265,Recipes!$A$5:$A$204,0)),"Not found"))</f>
        <v>0</v>
      </c>
      <c r="Y265" s="45">
        <f>IF(G265="","",IFERROR(INDEX(Recipes!$AH$5:$AH$204,MATCH(G265,Recipes!$A$5:$A$204,0)),"Not found"))</f>
        <v>0</v>
      </c>
      <c r="Z265" s="45">
        <f>IF(G265="","",IFERROR(INDEX(Recipes!$AI$5:$AI$204,MATCH(G265,Recipes!$A$5:$A$204,0)),"Not found"))</f>
        <v>0</v>
      </c>
      <c r="AA265" s="30">
        <f>IF(OR(V265="",NOT(ISNUMBER(V265))),"",V265*K265)</f>
        <v>0</v>
      </c>
      <c r="AB265" s="18">
        <f>IF(G265="","",IFERROR(INDEX(Recipes!$J$5:$J$204,MATCH(G265,Recipes!$A$5:$A$204,0)),"Not found"))</f>
        <v>0</v>
      </c>
      <c r="AC265" s="17">
        <f>IF(G265="","",IFERROR(INDEX(Recipes!$C$5:$C$204,MATCH(G265,Recipes!$A$5:$A$204,0)),"Not found"))</f>
        <v>0</v>
      </c>
      <c r="AD265" s="46">
        <f>IF(B265="","",IF(G265&lt;&gt;"","Yes",IF(OR(I265="",ISNUMBER(SEARCH("takeaway",I265)),ISNUMBER(SEARCH("out",I265))),"No","Yes")))</f>
        <v>0</v>
      </c>
      <c r="AE265" s="17">
        <f>IF(B265="","",TEXT(B265,"yyyy-mm-dd")&amp;"|"&amp;F265)</f>
        <v>0</v>
      </c>
      <c r="AF265" s="31">
        <f>IF(B265="","",IF(AND(G265="",I265=""),"Add - nothing planned yet",IF(COUNTIFS($AE$5:$AE$504,AE265)&gt;1,"Duplicate - two meals in one slot",IF(AND(G265&lt;&gt;"",H265="Not found"),"Missing - recipe ID not on the Recipes tab",IF(AND(B265&lt;TODAY(),OR(N265="Planned",N265="")),"Check - did you cook it?","OK")))))</f>
        <v>0</v>
      </c>
    </row>
    <row r="266" spans="1:32">
      <c r="A266" s="39">
        <f>IF(B266="","",MealPrefix&amp;TEXT(ROW()-4,"0000"))</f>
        <v>0</v>
      </c>
      <c r="C266" s="17">
        <f>IF(B266="","",TEXT(B266,"ddd"))</f>
        <v>0</v>
      </c>
      <c r="D266" s="18">
        <f>IF(B266="","",WEEKNUM(B266,IF(WeekStart="Sunday",1,2)))</f>
        <v>0</v>
      </c>
      <c r="E266" s="17">
        <f>IF(B266="","",TEXT(B266,"yyyy-mm"))</f>
        <v>0</v>
      </c>
      <c r="H266" s="17">
        <f>IF(G266&lt;&gt;"",IFERROR(INDEX(Recipes!$B$5:$B$204,MATCH(G266,Recipes!$A$5:$A$204,0)),"Not found"),I266)</f>
        <v>0</v>
      </c>
      <c r="K266" s="45">
        <f>IF(B266="","",IF(J266="",DefaultServings,J266))</f>
        <v>0</v>
      </c>
      <c r="L266" s="45">
        <f>IF(G266="",0,IFERROR(K266/INDEX(Recipes!$G$5:$G$204,MATCH(G266,Recipes!$A$5:$A$204,0)),0))</f>
        <v>0</v>
      </c>
      <c r="T266" s="25">
        <f>IF(G266="","",IFERROR(INDEX(Recipes!$AD$5:$AD$204,MATCH(G266,Recipes!$A$5:$A$204,0))*K266,""))</f>
        <v>0</v>
      </c>
      <c r="V266" s="30">
        <f>IF(G266="","",IFERROR(INDEX(Recipes!$AE$5:$AE$204,MATCH(G266,Recipes!$A$5:$A$204,0)),"Not found"))</f>
        <v>0</v>
      </c>
      <c r="W266" s="45">
        <f>IF(G266="","",IFERROR(INDEX(Recipes!$AF$5:$AF$204,MATCH(G266,Recipes!$A$5:$A$204,0)),"Not found"))</f>
        <v>0</v>
      </c>
      <c r="X266" s="45">
        <f>IF(G266="","",IFERROR(INDEX(Recipes!$AG$5:$AG$204,MATCH(G266,Recipes!$A$5:$A$204,0)),"Not found"))</f>
        <v>0</v>
      </c>
      <c r="Y266" s="45">
        <f>IF(G266="","",IFERROR(INDEX(Recipes!$AH$5:$AH$204,MATCH(G266,Recipes!$A$5:$A$204,0)),"Not found"))</f>
        <v>0</v>
      </c>
      <c r="Z266" s="45">
        <f>IF(G266="","",IFERROR(INDEX(Recipes!$AI$5:$AI$204,MATCH(G266,Recipes!$A$5:$A$204,0)),"Not found"))</f>
        <v>0</v>
      </c>
      <c r="AA266" s="30">
        <f>IF(OR(V266="",NOT(ISNUMBER(V266))),"",V266*K266)</f>
        <v>0</v>
      </c>
      <c r="AB266" s="18">
        <f>IF(G266="","",IFERROR(INDEX(Recipes!$J$5:$J$204,MATCH(G266,Recipes!$A$5:$A$204,0)),"Not found"))</f>
        <v>0</v>
      </c>
      <c r="AC266" s="17">
        <f>IF(G266="","",IFERROR(INDEX(Recipes!$C$5:$C$204,MATCH(G266,Recipes!$A$5:$A$204,0)),"Not found"))</f>
        <v>0</v>
      </c>
      <c r="AD266" s="46">
        <f>IF(B266="","",IF(G266&lt;&gt;"","Yes",IF(OR(I266="",ISNUMBER(SEARCH("takeaway",I266)),ISNUMBER(SEARCH("out",I266))),"No","Yes")))</f>
        <v>0</v>
      </c>
      <c r="AE266" s="17">
        <f>IF(B266="","",TEXT(B266,"yyyy-mm-dd")&amp;"|"&amp;F266)</f>
        <v>0</v>
      </c>
      <c r="AF266" s="31">
        <f>IF(B266="","",IF(AND(G266="",I266=""),"Add - nothing planned yet",IF(COUNTIFS($AE$5:$AE$504,AE266)&gt;1,"Duplicate - two meals in one slot",IF(AND(G266&lt;&gt;"",H266="Not found"),"Missing - recipe ID not on the Recipes tab",IF(AND(B266&lt;TODAY(),OR(N266="Planned",N266="")),"Check - did you cook it?","OK")))))</f>
        <v>0</v>
      </c>
    </row>
    <row r="267" spans="1:32">
      <c r="A267" s="39">
        <f>IF(B267="","",MealPrefix&amp;TEXT(ROW()-4,"0000"))</f>
        <v>0</v>
      </c>
      <c r="C267" s="17">
        <f>IF(B267="","",TEXT(B267,"ddd"))</f>
        <v>0</v>
      </c>
      <c r="D267" s="18">
        <f>IF(B267="","",WEEKNUM(B267,IF(WeekStart="Sunday",1,2)))</f>
        <v>0</v>
      </c>
      <c r="E267" s="17">
        <f>IF(B267="","",TEXT(B267,"yyyy-mm"))</f>
        <v>0</v>
      </c>
      <c r="H267" s="17">
        <f>IF(G267&lt;&gt;"",IFERROR(INDEX(Recipes!$B$5:$B$204,MATCH(G267,Recipes!$A$5:$A$204,0)),"Not found"),I267)</f>
        <v>0</v>
      </c>
      <c r="K267" s="45">
        <f>IF(B267="","",IF(J267="",DefaultServings,J267))</f>
        <v>0</v>
      </c>
      <c r="L267" s="45">
        <f>IF(G267="",0,IFERROR(K267/INDEX(Recipes!$G$5:$G$204,MATCH(G267,Recipes!$A$5:$A$204,0)),0))</f>
        <v>0</v>
      </c>
      <c r="T267" s="25">
        <f>IF(G267="","",IFERROR(INDEX(Recipes!$AD$5:$AD$204,MATCH(G267,Recipes!$A$5:$A$204,0))*K267,""))</f>
        <v>0</v>
      </c>
      <c r="V267" s="30">
        <f>IF(G267="","",IFERROR(INDEX(Recipes!$AE$5:$AE$204,MATCH(G267,Recipes!$A$5:$A$204,0)),"Not found"))</f>
        <v>0</v>
      </c>
      <c r="W267" s="45">
        <f>IF(G267="","",IFERROR(INDEX(Recipes!$AF$5:$AF$204,MATCH(G267,Recipes!$A$5:$A$204,0)),"Not found"))</f>
        <v>0</v>
      </c>
      <c r="X267" s="45">
        <f>IF(G267="","",IFERROR(INDEX(Recipes!$AG$5:$AG$204,MATCH(G267,Recipes!$A$5:$A$204,0)),"Not found"))</f>
        <v>0</v>
      </c>
      <c r="Y267" s="45">
        <f>IF(G267="","",IFERROR(INDEX(Recipes!$AH$5:$AH$204,MATCH(G267,Recipes!$A$5:$A$204,0)),"Not found"))</f>
        <v>0</v>
      </c>
      <c r="Z267" s="45">
        <f>IF(G267="","",IFERROR(INDEX(Recipes!$AI$5:$AI$204,MATCH(G267,Recipes!$A$5:$A$204,0)),"Not found"))</f>
        <v>0</v>
      </c>
      <c r="AA267" s="30">
        <f>IF(OR(V267="",NOT(ISNUMBER(V267))),"",V267*K267)</f>
        <v>0</v>
      </c>
      <c r="AB267" s="18">
        <f>IF(G267="","",IFERROR(INDEX(Recipes!$J$5:$J$204,MATCH(G267,Recipes!$A$5:$A$204,0)),"Not found"))</f>
        <v>0</v>
      </c>
      <c r="AC267" s="17">
        <f>IF(G267="","",IFERROR(INDEX(Recipes!$C$5:$C$204,MATCH(G267,Recipes!$A$5:$A$204,0)),"Not found"))</f>
        <v>0</v>
      </c>
      <c r="AD267" s="46">
        <f>IF(B267="","",IF(G267&lt;&gt;"","Yes",IF(OR(I267="",ISNUMBER(SEARCH("takeaway",I267)),ISNUMBER(SEARCH("out",I267))),"No","Yes")))</f>
        <v>0</v>
      </c>
      <c r="AE267" s="17">
        <f>IF(B267="","",TEXT(B267,"yyyy-mm-dd")&amp;"|"&amp;F267)</f>
        <v>0</v>
      </c>
      <c r="AF267" s="31">
        <f>IF(B267="","",IF(AND(G267="",I267=""),"Add - nothing planned yet",IF(COUNTIFS($AE$5:$AE$504,AE267)&gt;1,"Duplicate - two meals in one slot",IF(AND(G267&lt;&gt;"",H267="Not found"),"Missing - recipe ID not on the Recipes tab",IF(AND(B267&lt;TODAY(),OR(N267="Planned",N267="")),"Check - did you cook it?","OK")))))</f>
        <v>0</v>
      </c>
    </row>
    <row r="268" spans="1:32">
      <c r="A268" s="39">
        <f>IF(B268="","",MealPrefix&amp;TEXT(ROW()-4,"0000"))</f>
        <v>0</v>
      </c>
      <c r="C268" s="17">
        <f>IF(B268="","",TEXT(B268,"ddd"))</f>
        <v>0</v>
      </c>
      <c r="D268" s="18">
        <f>IF(B268="","",WEEKNUM(B268,IF(WeekStart="Sunday",1,2)))</f>
        <v>0</v>
      </c>
      <c r="E268" s="17">
        <f>IF(B268="","",TEXT(B268,"yyyy-mm"))</f>
        <v>0</v>
      </c>
      <c r="H268" s="17">
        <f>IF(G268&lt;&gt;"",IFERROR(INDEX(Recipes!$B$5:$B$204,MATCH(G268,Recipes!$A$5:$A$204,0)),"Not found"),I268)</f>
        <v>0</v>
      </c>
      <c r="K268" s="45">
        <f>IF(B268="","",IF(J268="",DefaultServings,J268))</f>
        <v>0</v>
      </c>
      <c r="L268" s="45">
        <f>IF(G268="",0,IFERROR(K268/INDEX(Recipes!$G$5:$G$204,MATCH(G268,Recipes!$A$5:$A$204,0)),0))</f>
        <v>0</v>
      </c>
      <c r="T268" s="25">
        <f>IF(G268="","",IFERROR(INDEX(Recipes!$AD$5:$AD$204,MATCH(G268,Recipes!$A$5:$A$204,0))*K268,""))</f>
        <v>0</v>
      </c>
      <c r="V268" s="30">
        <f>IF(G268="","",IFERROR(INDEX(Recipes!$AE$5:$AE$204,MATCH(G268,Recipes!$A$5:$A$204,0)),"Not found"))</f>
        <v>0</v>
      </c>
      <c r="W268" s="45">
        <f>IF(G268="","",IFERROR(INDEX(Recipes!$AF$5:$AF$204,MATCH(G268,Recipes!$A$5:$A$204,0)),"Not found"))</f>
        <v>0</v>
      </c>
      <c r="X268" s="45">
        <f>IF(G268="","",IFERROR(INDEX(Recipes!$AG$5:$AG$204,MATCH(G268,Recipes!$A$5:$A$204,0)),"Not found"))</f>
        <v>0</v>
      </c>
      <c r="Y268" s="45">
        <f>IF(G268="","",IFERROR(INDEX(Recipes!$AH$5:$AH$204,MATCH(G268,Recipes!$A$5:$A$204,0)),"Not found"))</f>
        <v>0</v>
      </c>
      <c r="Z268" s="45">
        <f>IF(G268="","",IFERROR(INDEX(Recipes!$AI$5:$AI$204,MATCH(G268,Recipes!$A$5:$A$204,0)),"Not found"))</f>
        <v>0</v>
      </c>
      <c r="AA268" s="30">
        <f>IF(OR(V268="",NOT(ISNUMBER(V268))),"",V268*K268)</f>
        <v>0</v>
      </c>
      <c r="AB268" s="18">
        <f>IF(G268="","",IFERROR(INDEX(Recipes!$J$5:$J$204,MATCH(G268,Recipes!$A$5:$A$204,0)),"Not found"))</f>
        <v>0</v>
      </c>
      <c r="AC268" s="17">
        <f>IF(G268="","",IFERROR(INDEX(Recipes!$C$5:$C$204,MATCH(G268,Recipes!$A$5:$A$204,0)),"Not found"))</f>
        <v>0</v>
      </c>
      <c r="AD268" s="46">
        <f>IF(B268="","",IF(G268&lt;&gt;"","Yes",IF(OR(I268="",ISNUMBER(SEARCH("takeaway",I268)),ISNUMBER(SEARCH("out",I268))),"No","Yes")))</f>
        <v>0</v>
      </c>
      <c r="AE268" s="17">
        <f>IF(B268="","",TEXT(B268,"yyyy-mm-dd")&amp;"|"&amp;F268)</f>
        <v>0</v>
      </c>
      <c r="AF268" s="31">
        <f>IF(B268="","",IF(AND(G268="",I268=""),"Add - nothing planned yet",IF(COUNTIFS($AE$5:$AE$504,AE268)&gt;1,"Duplicate - two meals in one slot",IF(AND(G268&lt;&gt;"",H268="Not found"),"Missing - recipe ID not on the Recipes tab",IF(AND(B268&lt;TODAY(),OR(N268="Planned",N268="")),"Check - did you cook it?","OK")))))</f>
        <v>0</v>
      </c>
    </row>
    <row r="269" spans="1:32">
      <c r="A269" s="39">
        <f>IF(B269="","",MealPrefix&amp;TEXT(ROW()-4,"0000"))</f>
        <v>0</v>
      </c>
      <c r="C269" s="17">
        <f>IF(B269="","",TEXT(B269,"ddd"))</f>
        <v>0</v>
      </c>
      <c r="D269" s="18">
        <f>IF(B269="","",WEEKNUM(B269,IF(WeekStart="Sunday",1,2)))</f>
        <v>0</v>
      </c>
      <c r="E269" s="17">
        <f>IF(B269="","",TEXT(B269,"yyyy-mm"))</f>
        <v>0</v>
      </c>
      <c r="H269" s="17">
        <f>IF(G269&lt;&gt;"",IFERROR(INDEX(Recipes!$B$5:$B$204,MATCH(G269,Recipes!$A$5:$A$204,0)),"Not found"),I269)</f>
        <v>0</v>
      </c>
      <c r="K269" s="45">
        <f>IF(B269="","",IF(J269="",DefaultServings,J269))</f>
        <v>0</v>
      </c>
      <c r="L269" s="45">
        <f>IF(G269="",0,IFERROR(K269/INDEX(Recipes!$G$5:$G$204,MATCH(G269,Recipes!$A$5:$A$204,0)),0))</f>
        <v>0</v>
      </c>
      <c r="T269" s="25">
        <f>IF(G269="","",IFERROR(INDEX(Recipes!$AD$5:$AD$204,MATCH(G269,Recipes!$A$5:$A$204,0))*K269,""))</f>
        <v>0</v>
      </c>
      <c r="V269" s="30">
        <f>IF(G269="","",IFERROR(INDEX(Recipes!$AE$5:$AE$204,MATCH(G269,Recipes!$A$5:$A$204,0)),"Not found"))</f>
        <v>0</v>
      </c>
      <c r="W269" s="45">
        <f>IF(G269="","",IFERROR(INDEX(Recipes!$AF$5:$AF$204,MATCH(G269,Recipes!$A$5:$A$204,0)),"Not found"))</f>
        <v>0</v>
      </c>
      <c r="X269" s="45">
        <f>IF(G269="","",IFERROR(INDEX(Recipes!$AG$5:$AG$204,MATCH(G269,Recipes!$A$5:$A$204,0)),"Not found"))</f>
        <v>0</v>
      </c>
      <c r="Y269" s="45">
        <f>IF(G269="","",IFERROR(INDEX(Recipes!$AH$5:$AH$204,MATCH(G269,Recipes!$A$5:$A$204,0)),"Not found"))</f>
        <v>0</v>
      </c>
      <c r="Z269" s="45">
        <f>IF(G269="","",IFERROR(INDEX(Recipes!$AI$5:$AI$204,MATCH(G269,Recipes!$A$5:$A$204,0)),"Not found"))</f>
        <v>0</v>
      </c>
      <c r="AA269" s="30">
        <f>IF(OR(V269="",NOT(ISNUMBER(V269))),"",V269*K269)</f>
        <v>0</v>
      </c>
      <c r="AB269" s="18">
        <f>IF(G269="","",IFERROR(INDEX(Recipes!$J$5:$J$204,MATCH(G269,Recipes!$A$5:$A$204,0)),"Not found"))</f>
        <v>0</v>
      </c>
      <c r="AC269" s="17">
        <f>IF(G269="","",IFERROR(INDEX(Recipes!$C$5:$C$204,MATCH(G269,Recipes!$A$5:$A$204,0)),"Not found"))</f>
        <v>0</v>
      </c>
      <c r="AD269" s="46">
        <f>IF(B269="","",IF(G269&lt;&gt;"","Yes",IF(OR(I269="",ISNUMBER(SEARCH("takeaway",I269)),ISNUMBER(SEARCH("out",I269))),"No","Yes")))</f>
        <v>0</v>
      </c>
      <c r="AE269" s="17">
        <f>IF(B269="","",TEXT(B269,"yyyy-mm-dd")&amp;"|"&amp;F269)</f>
        <v>0</v>
      </c>
      <c r="AF269" s="31">
        <f>IF(B269="","",IF(AND(G269="",I269=""),"Add - nothing planned yet",IF(COUNTIFS($AE$5:$AE$504,AE269)&gt;1,"Duplicate - two meals in one slot",IF(AND(G269&lt;&gt;"",H269="Not found"),"Missing - recipe ID not on the Recipes tab",IF(AND(B269&lt;TODAY(),OR(N269="Planned",N269="")),"Check - did you cook it?","OK")))))</f>
        <v>0</v>
      </c>
    </row>
    <row r="270" spans="1:32">
      <c r="A270" s="39">
        <f>IF(B270="","",MealPrefix&amp;TEXT(ROW()-4,"0000"))</f>
        <v>0</v>
      </c>
      <c r="C270" s="17">
        <f>IF(B270="","",TEXT(B270,"ddd"))</f>
        <v>0</v>
      </c>
      <c r="D270" s="18">
        <f>IF(B270="","",WEEKNUM(B270,IF(WeekStart="Sunday",1,2)))</f>
        <v>0</v>
      </c>
      <c r="E270" s="17">
        <f>IF(B270="","",TEXT(B270,"yyyy-mm"))</f>
        <v>0</v>
      </c>
      <c r="H270" s="17">
        <f>IF(G270&lt;&gt;"",IFERROR(INDEX(Recipes!$B$5:$B$204,MATCH(G270,Recipes!$A$5:$A$204,0)),"Not found"),I270)</f>
        <v>0</v>
      </c>
      <c r="K270" s="45">
        <f>IF(B270="","",IF(J270="",DefaultServings,J270))</f>
        <v>0</v>
      </c>
      <c r="L270" s="45">
        <f>IF(G270="",0,IFERROR(K270/INDEX(Recipes!$G$5:$G$204,MATCH(G270,Recipes!$A$5:$A$204,0)),0))</f>
        <v>0</v>
      </c>
      <c r="T270" s="25">
        <f>IF(G270="","",IFERROR(INDEX(Recipes!$AD$5:$AD$204,MATCH(G270,Recipes!$A$5:$A$204,0))*K270,""))</f>
        <v>0</v>
      </c>
      <c r="V270" s="30">
        <f>IF(G270="","",IFERROR(INDEX(Recipes!$AE$5:$AE$204,MATCH(G270,Recipes!$A$5:$A$204,0)),"Not found"))</f>
        <v>0</v>
      </c>
      <c r="W270" s="45">
        <f>IF(G270="","",IFERROR(INDEX(Recipes!$AF$5:$AF$204,MATCH(G270,Recipes!$A$5:$A$204,0)),"Not found"))</f>
        <v>0</v>
      </c>
      <c r="X270" s="45">
        <f>IF(G270="","",IFERROR(INDEX(Recipes!$AG$5:$AG$204,MATCH(G270,Recipes!$A$5:$A$204,0)),"Not found"))</f>
        <v>0</v>
      </c>
      <c r="Y270" s="45">
        <f>IF(G270="","",IFERROR(INDEX(Recipes!$AH$5:$AH$204,MATCH(G270,Recipes!$A$5:$A$204,0)),"Not found"))</f>
        <v>0</v>
      </c>
      <c r="Z270" s="45">
        <f>IF(G270="","",IFERROR(INDEX(Recipes!$AI$5:$AI$204,MATCH(G270,Recipes!$A$5:$A$204,0)),"Not found"))</f>
        <v>0</v>
      </c>
      <c r="AA270" s="30">
        <f>IF(OR(V270="",NOT(ISNUMBER(V270))),"",V270*K270)</f>
        <v>0</v>
      </c>
      <c r="AB270" s="18">
        <f>IF(G270="","",IFERROR(INDEX(Recipes!$J$5:$J$204,MATCH(G270,Recipes!$A$5:$A$204,0)),"Not found"))</f>
        <v>0</v>
      </c>
      <c r="AC270" s="17">
        <f>IF(G270="","",IFERROR(INDEX(Recipes!$C$5:$C$204,MATCH(G270,Recipes!$A$5:$A$204,0)),"Not found"))</f>
        <v>0</v>
      </c>
      <c r="AD270" s="46">
        <f>IF(B270="","",IF(G270&lt;&gt;"","Yes",IF(OR(I270="",ISNUMBER(SEARCH("takeaway",I270)),ISNUMBER(SEARCH("out",I270))),"No","Yes")))</f>
        <v>0</v>
      </c>
      <c r="AE270" s="17">
        <f>IF(B270="","",TEXT(B270,"yyyy-mm-dd")&amp;"|"&amp;F270)</f>
        <v>0</v>
      </c>
      <c r="AF270" s="31">
        <f>IF(B270="","",IF(AND(G270="",I270=""),"Add - nothing planned yet",IF(COUNTIFS($AE$5:$AE$504,AE270)&gt;1,"Duplicate - two meals in one slot",IF(AND(G270&lt;&gt;"",H270="Not found"),"Missing - recipe ID not on the Recipes tab",IF(AND(B270&lt;TODAY(),OR(N270="Planned",N270="")),"Check - did you cook it?","OK")))))</f>
        <v>0</v>
      </c>
    </row>
    <row r="271" spans="1:32">
      <c r="A271" s="39">
        <f>IF(B271="","",MealPrefix&amp;TEXT(ROW()-4,"0000"))</f>
        <v>0</v>
      </c>
      <c r="C271" s="17">
        <f>IF(B271="","",TEXT(B271,"ddd"))</f>
        <v>0</v>
      </c>
      <c r="D271" s="18">
        <f>IF(B271="","",WEEKNUM(B271,IF(WeekStart="Sunday",1,2)))</f>
        <v>0</v>
      </c>
      <c r="E271" s="17">
        <f>IF(B271="","",TEXT(B271,"yyyy-mm"))</f>
        <v>0</v>
      </c>
      <c r="H271" s="17">
        <f>IF(G271&lt;&gt;"",IFERROR(INDEX(Recipes!$B$5:$B$204,MATCH(G271,Recipes!$A$5:$A$204,0)),"Not found"),I271)</f>
        <v>0</v>
      </c>
      <c r="K271" s="45">
        <f>IF(B271="","",IF(J271="",DefaultServings,J271))</f>
        <v>0</v>
      </c>
      <c r="L271" s="45">
        <f>IF(G271="",0,IFERROR(K271/INDEX(Recipes!$G$5:$G$204,MATCH(G271,Recipes!$A$5:$A$204,0)),0))</f>
        <v>0</v>
      </c>
      <c r="T271" s="25">
        <f>IF(G271="","",IFERROR(INDEX(Recipes!$AD$5:$AD$204,MATCH(G271,Recipes!$A$5:$A$204,0))*K271,""))</f>
        <v>0</v>
      </c>
      <c r="V271" s="30">
        <f>IF(G271="","",IFERROR(INDEX(Recipes!$AE$5:$AE$204,MATCH(G271,Recipes!$A$5:$A$204,0)),"Not found"))</f>
        <v>0</v>
      </c>
      <c r="W271" s="45">
        <f>IF(G271="","",IFERROR(INDEX(Recipes!$AF$5:$AF$204,MATCH(G271,Recipes!$A$5:$A$204,0)),"Not found"))</f>
        <v>0</v>
      </c>
      <c r="X271" s="45">
        <f>IF(G271="","",IFERROR(INDEX(Recipes!$AG$5:$AG$204,MATCH(G271,Recipes!$A$5:$A$204,0)),"Not found"))</f>
        <v>0</v>
      </c>
      <c r="Y271" s="45">
        <f>IF(G271="","",IFERROR(INDEX(Recipes!$AH$5:$AH$204,MATCH(G271,Recipes!$A$5:$A$204,0)),"Not found"))</f>
        <v>0</v>
      </c>
      <c r="Z271" s="45">
        <f>IF(G271="","",IFERROR(INDEX(Recipes!$AI$5:$AI$204,MATCH(G271,Recipes!$A$5:$A$204,0)),"Not found"))</f>
        <v>0</v>
      </c>
      <c r="AA271" s="30">
        <f>IF(OR(V271="",NOT(ISNUMBER(V271))),"",V271*K271)</f>
        <v>0</v>
      </c>
      <c r="AB271" s="18">
        <f>IF(G271="","",IFERROR(INDEX(Recipes!$J$5:$J$204,MATCH(G271,Recipes!$A$5:$A$204,0)),"Not found"))</f>
        <v>0</v>
      </c>
      <c r="AC271" s="17">
        <f>IF(G271="","",IFERROR(INDEX(Recipes!$C$5:$C$204,MATCH(G271,Recipes!$A$5:$A$204,0)),"Not found"))</f>
        <v>0</v>
      </c>
      <c r="AD271" s="46">
        <f>IF(B271="","",IF(G271&lt;&gt;"","Yes",IF(OR(I271="",ISNUMBER(SEARCH("takeaway",I271)),ISNUMBER(SEARCH("out",I271))),"No","Yes")))</f>
        <v>0</v>
      </c>
      <c r="AE271" s="17">
        <f>IF(B271="","",TEXT(B271,"yyyy-mm-dd")&amp;"|"&amp;F271)</f>
        <v>0</v>
      </c>
      <c r="AF271" s="31">
        <f>IF(B271="","",IF(AND(G271="",I271=""),"Add - nothing planned yet",IF(COUNTIFS($AE$5:$AE$504,AE271)&gt;1,"Duplicate - two meals in one slot",IF(AND(G271&lt;&gt;"",H271="Not found"),"Missing - recipe ID not on the Recipes tab",IF(AND(B271&lt;TODAY(),OR(N271="Planned",N271="")),"Check - did you cook it?","OK")))))</f>
        <v>0</v>
      </c>
    </row>
    <row r="272" spans="1:32">
      <c r="A272" s="39">
        <f>IF(B272="","",MealPrefix&amp;TEXT(ROW()-4,"0000"))</f>
        <v>0</v>
      </c>
      <c r="C272" s="17">
        <f>IF(B272="","",TEXT(B272,"ddd"))</f>
        <v>0</v>
      </c>
      <c r="D272" s="18">
        <f>IF(B272="","",WEEKNUM(B272,IF(WeekStart="Sunday",1,2)))</f>
        <v>0</v>
      </c>
      <c r="E272" s="17">
        <f>IF(B272="","",TEXT(B272,"yyyy-mm"))</f>
        <v>0</v>
      </c>
      <c r="H272" s="17">
        <f>IF(G272&lt;&gt;"",IFERROR(INDEX(Recipes!$B$5:$B$204,MATCH(G272,Recipes!$A$5:$A$204,0)),"Not found"),I272)</f>
        <v>0</v>
      </c>
      <c r="K272" s="45">
        <f>IF(B272="","",IF(J272="",DefaultServings,J272))</f>
        <v>0</v>
      </c>
      <c r="L272" s="45">
        <f>IF(G272="",0,IFERROR(K272/INDEX(Recipes!$G$5:$G$204,MATCH(G272,Recipes!$A$5:$A$204,0)),0))</f>
        <v>0</v>
      </c>
      <c r="T272" s="25">
        <f>IF(G272="","",IFERROR(INDEX(Recipes!$AD$5:$AD$204,MATCH(G272,Recipes!$A$5:$A$204,0))*K272,""))</f>
        <v>0</v>
      </c>
      <c r="V272" s="30">
        <f>IF(G272="","",IFERROR(INDEX(Recipes!$AE$5:$AE$204,MATCH(G272,Recipes!$A$5:$A$204,0)),"Not found"))</f>
        <v>0</v>
      </c>
      <c r="W272" s="45">
        <f>IF(G272="","",IFERROR(INDEX(Recipes!$AF$5:$AF$204,MATCH(G272,Recipes!$A$5:$A$204,0)),"Not found"))</f>
        <v>0</v>
      </c>
      <c r="X272" s="45">
        <f>IF(G272="","",IFERROR(INDEX(Recipes!$AG$5:$AG$204,MATCH(G272,Recipes!$A$5:$A$204,0)),"Not found"))</f>
        <v>0</v>
      </c>
      <c r="Y272" s="45">
        <f>IF(G272="","",IFERROR(INDEX(Recipes!$AH$5:$AH$204,MATCH(G272,Recipes!$A$5:$A$204,0)),"Not found"))</f>
        <v>0</v>
      </c>
      <c r="Z272" s="45">
        <f>IF(G272="","",IFERROR(INDEX(Recipes!$AI$5:$AI$204,MATCH(G272,Recipes!$A$5:$A$204,0)),"Not found"))</f>
        <v>0</v>
      </c>
      <c r="AA272" s="30">
        <f>IF(OR(V272="",NOT(ISNUMBER(V272))),"",V272*K272)</f>
        <v>0</v>
      </c>
      <c r="AB272" s="18">
        <f>IF(G272="","",IFERROR(INDEX(Recipes!$J$5:$J$204,MATCH(G272,Recipes!$A$5:$A$204,0)),"Not found"))</f>
        <v>0</v>
      </c>
      <c r="AC272" s="17">
        <f>IF(G272="","",IFERROR(INDEX(Recipes!$C$5:$C$204,MATCH(G272,Recipes!$A$5:$A$204,0)),"Not found"))</f>
        <v>0</v>
      </c>
      <c r="AD272" s="46">
        <f>IF(B272="","",IF(G272&lt;&gt;"","Yes",IF(OR(I272="",ISNUMBER(SEARCH("takeaway",I272)),ISNUMBER(SEARCH("out",I272))),"No","Yes")))</f>
        <v>0</v>
      </c>
      <c r="AE272" s="17">
        <f>IF(B272="","",TEXT(B272,"yyyy-mm-dd")&amp;"|"&amp;F272)</f>
        <v>0</v>
      </c>
      <c r="AF272" s="31">
        <f>IF(B272="","",IF(AND(G272="",I272=""),"Add - nothing planned yet",IF(COUNTIFS($AE$5:$AE$504,AE272)&gt;1,"Duplicate - two meals in one slot",IF(AND(G272&lt;&gt;"",H272="Not found"),"Missing - recipe ID not on the Recipes tab",IF(AND(B272&lt;TODAY(),OR(N272="Planned",N272="")),"Check - did you cook it?","OK")))))</f>
        <v>0</v>
      </c>
    </row>
    <row r="273" spans="1:32">
      <c r="A273" s="39">
        <f>IF(B273="","",MealPrefix&amp;TEXT(ROW()-4,"0000"))</f>
        <v>0</v>
      </c>
      <c r="C273" s="17">
        <f>IF(B273="","",TEXT(B273,"ddd"))</f>
        <v>0</v>
      </c>
      <c r="D273" s="18">
        <f>IF(B273="","",WEEKNUM(B273,IF(WeekStart="Sunday",1,2)))</f>
        <v>0</v>
      </c>
      <c r="E273" s="17">
        <f>IF(B273="","",TEXT(B273,"yyyy-mm"))</f>
        <v>0</v>
      </c>
      <c r="H273" s="17">
        <f>IF(G273&lt;&gt;"",IFERROR(INDEX(Recipes!$B$5:$B$204,MATCH(G273,Recipes!$A$5:$A$204,0)),"Not found"),I273)</f>
        <v>0</v>
      </c>
      <c r="K273" s="45">
        <f>IF(B273="","",IF(J273="",DefaultServings,J273))</f>
        <v>0</v>
      </c>
      <c r="L273" s="45">
        <f>IF(G273="",0,IFERROR(K273/INDEX(Recipes!$G$5:$G$204,MATCH(G273,Recipes!$A$5:$A$204,0)),0))</f>
        <v>0</v>
      </c>
      <c r="T273" s="25">
        <f>IF(G273="","",IFERROR(INDEX(Recipes!$AD$5:$AD$204,MATCH(G273,Recipes!$A$5:$A$204,0))*K273,""))</f>
        <v>0</v>
      </c>
      <c r="V273" s="30">
        <f>IF(G273="","",IFERROR(INDEX(Recipes!$AE$5:$AE$204,MATCH(G273,Recipes!$A$5:$A$204,0)),"Not found"))</f>
        <v>0</v>
      </c>
      <c r="W273" s="45">
        <f>IF(G273="","",IFERROR(INDEX(Recipes!$AF$5:$AF$204,MATCH(G273,Recipes!$A$5:$A$204,0)),"Not found"))</f>
        <v>0</v>
      </c>
      <c r="X273" s="45">
        <f>IF(G273="","",IFERROR(INDEX(Recipes!$AG$5:$AG$204,MATCH(G273,Recipes!$A$5:$A$204,0)),"Not found"))</f>
        <v>0</v>
      </c>
      <c r="Y273" s="45">
        <f>IF(G273="","",IFERROR(INDEX(Recipes!$AH$5:$AH$204,MATCH(G273,Recipes!$A$5:$A$204,0)),"Not found"))</f>
        <v>0</v>
      </c>
      <c r="Z273" s="45">
        <f>IF(G273="","",IFERROR(INDEX(Recipes!$AI$5:$AI$204,MATCH(G273,Recipes!$A$5:$A$204,0)),"Not found"))</f>
        <v>0</v>
      </c>
      <c r="AA273" s="30">
        <f>IF(OR(V273="",NOT(ISNUMBER(V273))),"",V273*K273)</f>
        <v>0</v>
      </c>
      <c r="AB273" s="18">
        <f>IF(G273="","",IFERROR(INDEX(Recipes!$J$5:$J$204,MATCH(G273,Recipes!$A$5:$A$204,0)),"Not found"))</f>
        <v>0</v>
      </c>
      <c r="AC273" s="17">
        <f>IF(G273="","",IFERROR(INDEX(Recipes!$C$5:$C$204,MATCH(G273,Recipes!$A$5:$A$204,0)),"Not found"))</f>
        <v>0</v>
      </c>
      <c r="AD273" s="46">
        <f>IF(B273="","",IF(G273&lt;&gt;"","Yes",IF(OR(I273="",ISNUMBER(SEARCH("takeaway",I273)),ISNUMBER(SEARCH("out",I273))),"No","Yes")))</f>
        <v>0</v>
      </c>
      <c r="AE273" s="17">
        <f>IF(B273="","",TEXT(B273,"yyyy-mm-dd")&amp;"|"&amp;F273)</f>
        <v>0</v>
      </c>
      <c r="AF273" s="31">
        <f>IF(B273="","",IF(AND(G273="",I273=""),"Add - nothing planned yet",IF(COUNTIFS($AE$5:$AE$504,AE273)&gt;1,"Duplicate - two meals in one slot",IF(AND(G273&lt;&gt;"",H273="Not found"),"Missing - recipe ID not on the Recipes tab",IF(AND(B273&lt;TODAY(),OR(N273="Planned",N273="")),"Check - did you cook it?","OK")))))</f>
        <v>0</v>
      </c>
    </row>
    <row r="274" spans="1:32">
      <c r="A274" s="39">
        <f>IF(B274="","",MealPrefix&amp;TEXT(ROW()-4,"0000"))</f>
        <v>0</v>
      </c>
      <c r="C274" s="17">
        <f>IF(B274="","",TEXT(B274,"ddd"))</f>
        <v>0</v>
      </c>
      <c r="D274" s="18">
        <f>IF(B274="","",WEEKNUM(B274,IF(WeekStart="Sunday",1,2)))</f>
        <v>0</v>
      </c>
      <c r="E274" s="17">
        <f>IF(B274="","",TEXT(B274,"yyyy-mm"))</f>
        <v>0</v>
      </c>
      <c r="H274" s="17">
        <f>IF(G274&lt;&gt;"",IFERROR(INDEX(Recipes!$B$5:$B$204,MATCH(G274,Recipes!$A$5:$A$204,0)),"Not found"),I274)</f>
        <v>0</v>
      </c>
      <c r="K274" s="45">
        <f>IF(B274="","",IF(J274="",DefaultServings,J274))</f>
        <v>0</v>
      </c>
      <c r="L274" s="45">
        <f>IF(G274="",0,IFERROR(K274/INDEX(Recipes!$G$5:$G$204,MATCH(G274,Recipes!$A$5:$A$204,0)),0))</f>
        <v>0</v>
      </c>
      <c r="T274" s="25">
        <f>IF(G274="","",IFERROR(INDEX(Recipes!$AD$5:$AD$204,MATCH(G274,Recipes!$A$5:$A$204,0))*K274,""))</f>
        <v>0</v>
      </c>
      <c r="V274" s="30">
        <f>IF(G274="","",IFERROR(INDEX(Recipes!$AE$5:$AE$204,MATCH(G274,Recipes!$A$5:$A$204,0)),"Not found"))</f>
        <v>0</v>
      </c>
      <c r="W274" s="45">
        <f>IF(G274="","",IFERROR(INDEX(Recipes!$AF$5:$AF$204,MATCH(G274,Recipes!$A$5:$A$204,0)),"Not found"))</f>
        <v>0</v>
      </c>
      <c r="X274" s="45">
        <f>IF(G274="","",IFERROR(INDEX(Recipes!$AG$5:$AG$204,MATCH(G274,Recipes!$A$5:$A$204,0)),"Not found"))</f>
        <v>0</v>
      </c>
      <c r="Y274" s="45">
        <f>IF(G274="","",IFERROR(INDEX(Recipes!$AH$5:$AH$204,MATCH(G274,Recipes!$A$5:$A$204,0)),"Not found"))</f>
        <v>0</v>
      </c>
      <c r="Z274" s="45">
        <f>IF(G274="","",IFERROR(INDEX(Recipes!$AI$5:$AI$204,MATCH(G274,Recipes!$A$5:$A$204,0)),"Not found"))</f>
        <v>0</v>
      </c>
      <c r="AA274" s="30">
        <f>IF(OR(V274="",NOT(ISNUMBER(V274))),"",V274*K274)</f>
        <v>0</v>
      </c>
      <c r="AB274" s="18">
        <f>IF(G274="","",IFERROR(INDEX(Recipes!$J$5:$J$204,MATCH(G274,Recipes!$A$5:$A$204,0)),"Not found"))</f>
        <v>0</v>
      </c>
      <c r="AC274" s="17">
        <f>IF(G274="","",IFERROR(INDEX(Recipes!$C$5:$C$204,MATCH(G274,Recipes!$A$5:$A$204,0)),"Not found"))</f>
        <v>0</v>
      </c>
      <c r="AD274" s="46">
        <f>IF(B274="","",IF(G274&lt;&gt;"","Yes",IF(OR(I274="",ISNUMBER(SEARCH("takeaway",I274)),ISNUMBER(SEARCH("out",I274))),"No","Yes")))</f>
        <v>0</v>
      </c>
      <c r="AE274" s="17">
        <f>IF(B274="","",TEXT(B274,"yyyy-mm-dd")&amp;"|"&amp;F274)</f>
        <v>0</v>
      </c>
      <c r="AF274" s="31">
        <f>IF(B274="","",IF(AND(G274="",I274=""),"Add - nothing planned yet",IF(COUNTIFS($AE$5:$AE$504,AE274)&gt;1,"Duplicate - two meals in one slot",IF(AND(G274&lt;&gt;"",H274="Not found"),"Missing - recipe ID not on the Recipes tab",IF(AND(B274&lt;TODAY(),OR(N274="Planned",N274="")),"Check - did you cook it?","OK")))))</f>
        <v>0</v>
      </c>
    </row>
    <row r="275" spans="1:32">
      <c r="A275" s="39">
        <f>IF(B275="","",MealPrefix&amp;TEXT(ROW()-4,"0000"))</f>
        <v>0</v>
      </c>
      <c r="C275" s="17">
        <f>IF(B275="","",TEXT(B275,"ddd"))</f>
        <v>0</v>
      </c>
      <c r="D275" s="18">
        <f>IF(B275="","",WEEKNUM(B275,IF(WeekStart="Sunday",1,2)))</f>
        <v>0</v>
      </c>
      <c r="E275" s="17">
        <f>IF(B275="","",TEXT(B275,"yyyy-mm"))</f>
        <v>0</v>
      </c>
      <c r="H275" s="17">
        <f>IF(G275&lt;&gt;"",IFERROR(INDEX(Recipes!$B$5:$B$204,MATCH(G275,Recipes!$A$5:$A$204,0)),"Not found"),I275)</f>
        <v>0</v>
      </c>
      <c r="K275" s="45">
        <f>IF(B275="","",IF(J275="",DefaultServings,J275))</f>
        <v>0</v>
      </c>
      <c r="L275" s="45">
        <f>IF(G275="",0,IFERROR(K275/INDEX(Recipes!$G$5:$G$204,MATCH(G275,Recipes!$A$5:$A$204,0)),0))</f>
        <v>0</v>
      </c>
      <c r="T275" s="25">
        <f>IF(G275="","",IFERROR(INDEX(Recipes!$AD$5:$AD$204,MATCH(G275,Recipes!$A$5:$A$204,0))*K275,""))</f>
        <v>0</v>
      </c>
      <c r="V275" s="30">
        <f>IF(G275="","",IFERROR(INDEX(Recipes!$AE$5:$AE$204,MATCH(G275,Recipes!$A$5:$A$204,0)),"Not found"))</f>
        <v>0</v>
      </c>
      <c r="W275" s="45">
        <f>IF(G275="","",IFERROR(INDEX(Recipes!$AF$5:$AF$204,MATCH(G275,Recipes!$A$5:$A$204,0)),"Not found"))</f>
        <v>0</v>
      </c>
      <c r="X275" s="45">
        <f>IF(G275="","",IFERROR(INDEX(Recipes!$AG$5:$AG$204,MATCH(G275,Recipes!$A$5:$A$204,0)),"Not found"))</f>
        <v>0</v>
      </c>
      <c r="Y275" s="45">
        <f>IF(G275="","",IFERROR(INDEX(Recipes!$AH$5:$AH$204,MATCH(G275,Recipes!$A$5:$A$204,0)),"Not found"))</f>
        <v>0</v>
      </c>
      <c r="Z275" s="45">
        <f>IF(G275="","",IFERROR(INDEX(Recipes!$AI$5:$AI$204,MATCH(G275,Recipes!$A$5:$A$204,0)),"Not found"))</f>
        <v>0</v>
      </c>
      <c r="AA275" s="30">
        <f>IF(OR(V275="",NOT(ISNUMBER(V275))),"",V275*K275)</f>
        <v>0</v>
      </c>
      <c r="AB275" s="18">
        <f>IF(G275="","",IFERROR(INDEX(Recipes!$J$5:$J$204,MATCH(G275,Recipes!$A$5:$A$204,0)),"Not found"))</f>
        <v>0</v>
      </c>
      <c r="AC275" s="17">
        <f>IF(G275="","",IFERROR(INDEX(Recipes!$C$5:$C$204,MATCH(G275,Recipes!$A$5:$A$204,0)),"Not found"))</f>
        <v>0</v>
      </c>
      <c r="AD275" s="46">
        <f>IF(B275="","",IF(G275&lt;&gt;"","Yes",IF(OR(I275="",ISNUMBER(SEARCH("takeaway",I275)),ISNUMBER(SEARCH("out",I275))),"No","Yes")))</f>
        <v>0</v>
      </c>
      <c r="AE275" s="17">
        <f>IF(B275="","",TEXT(B275,"yyyy-mm-dd")&amp;"|"&amp;F275)</f>
        <v>0</v>
      </c>
      <c r="AF275" s="31">
        <f>IF(B275="","",IF(AND(G275="",I275=""),"Add - nothing planned yet",IF(COUNTIFS($AE$5:$AE$504,AE275)&gt;1,"Duplicate - two meals in one slot",IF(AND(G275&lt;&gt;"",H275="Not found"),"Missing - recipe ID not on the Recipes tab",IF(AND(B275&lt;TODAY(),OR(N275="Planned",N275="")),"Check - did you cook it?","OK")))))</f>
        <v>0</v>
      </c>
    </row>
    <row r="276" spans="1:32">
      <c r="A276" s="39">
        <f>IF(B276="","",MealPrefix&amp;TEXT(ROW()-4,"0000"))</f>
        <v>0</v>
      </c>
      <c r="C276" s="17">
        <f>IF(B276="","",TEXT(B276,"ddd"))</f>
        <v>0</v>
      </c>
      <c r="D276" s="18">
        <f>IF(B276="","",WEEKNUM(B276,IF(WeekStart="Sunday",1,2)))</f>
        <v>0</v>
      </c>
      <c r="E276" s="17">
        <f>IF(B276="","",TEXT(B276,"yyyy-mm"))</f>
        <v>0</v>
      </c>
      <c r="H276" s="17">
        <f>IF(G276&lt;&gt;"",IFERROR(INDEX(Recipes!$B$5:$B$204,MATCH(G276,Recipes!$A$5:$A$204,0)),"Not found"),I276)</f>
        <v>0</v>
      </c>
      <c r="K276" s="45">
        <f>IF(B276="","",IF(J276="",DefaultServings,J276))</f>
        <v>0</v>
      </c>
      <c r="L276" s="45">
        <f>IF(G276="",0,IFERROR(K276/INDEX(Recipes!$G$5:$G$204,MATCH(G276,Recipes!$A$5:$A$204,0)),0))</f>
        <v>0</v>
      </c>
      <c r="T276" s="25">
        <f>IF(G276="","",IFERROR(INDEX(Recipes!$AD$5:$AD$204,MATCH(G276,Recipes!$A$5:$A$204,0))*K276,""))</f>
        <v>0</v>
      </c>
      <c r="V276" s="30">
        <f>IF(G276="","",IFERROR(INDEX(Recipes!$AE$5:$AE$204,MATCH(G276,Recipes!$A$5:$A$204,0)),"Not found"))</f>
        <v>0</v>
      </c>
      <c r="W276" s="45">
        <f>IF(G276="","",IFERROR(INDEX(Recipes!$AF$5:$AF$204,MATCH(G276,Recipes!$A$5:$A$204,0)),"Not found"))</f>
        <v>0</v>
      </c>
      <c r="X276" s="45">
        <f>IF(G276="","",IFERROR(INDEX(Recipes!$AG$5:$AG$204,MATCH(G276,Recipes!$A$5:$A$204,0)),"Not found"))</f>
        <v>0</v>
      </c>
      <c r="Y276" s="45">
        <f>IF(G276="","",IFERROR(INDEX(Recipes!$AH$5:$AH$204,MATCH(G276,Recipes!$A$5:$A$204,0)),"Not found"))</f>
        <v>0</v>
      </c>
      <c r="Z276" s="45">
        <f>IF(G276="","",IFERROR(INDEX(Recipes!$AI$5:$AI$204,MATCH(G276,Recipes!$A$5:$A$204,0)),"Not found"))</f>
        <v>0</v>
      </c>
      <c r="AA276" s="30">
        <f>IF(OR(V276="",NOT(ISNUMBER(V276))),"",V276*K276)</f>
        <v>0</v>
      </c>
      <c r="AB276" s="18">
        <f>IF(G276="","",IFERROR(INDEX(Recipes!$J$5:$J$204,MATCH(G276,Recipes!$A$5:$A$204,0)),"Not found"))</f>
        <v>0</v>
      </c>
      <c r="AC276" s="17">
        <f>IF(G276="","",IFERROR(INDEX(Recipes!$C$5:$C$204,MATCH(G276,Recipes!$A$5:$A$204,0)),"Not found"))</f>
        <v>0</v>
      </c>
      <c r="AD276" s="46">
        <f>IF(B276="","",IF(G276&lt;&gt;"","Yes",IF(OR(I276="",ISNUMBER(SEARCH("takeaway",I276)),ISNUMBER(SEARCH("out",I276))),"No","Yes")))</f>
        <v>0</v>
      </c>
      <c r="AE276" s="17">
        <f>IF(B276="","",TEXT(B276,"yyyy-mm-dd")&amp;"|"&amp;F276)</f>
        <v>0</v>
      </c>
      <c r="AF276" s="31">
        <f>IF(B276="","",IF(AND(G276="",I276=""),"Add - nothing planned yet",IF(COUNTIFS($AE$5:$AE$504,AE276)&gt;1,"Duplicate - two meals in one slot",IF(AND(G276&lt;&gt;"",H276="Not found"),"Missing - recipe ID not on the Recipes tab",IF(AND(B276&lt;TODAY(),OR(N276="Planned",N276="")),"Check - did you cook it?","OK")))))</f>
        <v>0</v>
      </c>
    </row>
    <row r="277" spans="1:32">
      <c r="A277" s="39">
        <f>IF(B277="","",MealPrefix&amp;TEXT(ROW()-4,"0000"))</f>
        <v>0</v>
      </c>
      <c r="C277" s="17">
        <f>IF(B277="","",TEXT(B277,"ddd"))</f>
        <v>0</v>
      </c>
      <c r="D277" s="18">
        <f>IF(B277="","",WEEKNUM(B277,IF(WeekStart="Sunday",1,2)))</f>
        <v>0</v>
      </c>
      <c r="E277" s="17">
        <f>IF(B277="","",TEXT(B277,"yyyy-mm"))</f>
        <v>0</v>
      </c>
      <c r="H277" s="17">
        <f>IF(G277&lt;&gt;"",IFERROR(INDEX(Recipes!$B$5:$B$204,MATCH(G277,Recipes!$A$5:$A$204,0)),"Not found"),I277)</f>
        <v>0</v>
      </c>
      <c r="K277" s="45">
        <f>IF(B277="","",IF(J277="",DefaultServings,J277))</f>
        <v>0</v>
      </c>
      <c r="L277" s="45">
        <f>IF(G277="",0,IFERROR(K277/INDEX(Recipes!$G$5:$G$204,MATCH(G277,Recipes!$A$5:$A$204,0)),0))</f>
        <v>0</v>
      </c>
      <c r="T277" s="25">
        <f>IF(G277="","",IFERROR(INDEX(Recipes!$AD$5:$AD$204,MATCH(G277,Recipes!$A$5:$A$204,0))*K277,""))</f>
        <v>0</v>
      </c>
      <c r="V277" s="30">
        <f>IF(G277="","",IFERROR(INDEX(Recipes!$AE$5:$AE$204,MATCH(G277,Recipes!$A$5:$A$204,0)),"Not found"))</f>
        <v>0</v>
      </c>
      <c r="W277" s="45">
        <f>IF(G277="","",IFERROR(INDEX(Recipes!$AF$5:$AF$204,MATCH(G277,Recipes!$A$5:$A$204,0)),"Not found"))</f>
        <v>0</v>
      </c>
      <c r="X277" s="45">
        <f>IF(G277="","",IFERROR(INDEX(Recipes!$AG$5:$AG$204,MATCH(G277,Recipes!$A$5:$A$204,0)),"Not found"))</f>
        <v>0</v>
      </c>
      <c r="Y277" s="45">
        <f>IF(G277="","",IFERROR(INDEX(Recipes!$AH$5:$AH$204,MATCH(G277,Recipes!$A$5:$A$204,0)),"Not found"))</f>
        <v>0</v>
      </c>
      <c r="Z277" s="45">
        <f>IF(G277="","",IFERROR(INDEX(Recipes!$AI$5:$AI$204,MATCH(G277,Recipes!$A$5:$A$204,0)),"Not found"))</f>
        <v>0</v>
      </c>
      <c r="AA277" s="30">
        <f>IF(OR(V277="",NOT(ISNUMBER(V277))),"",V277*K277)</f>
        <v>0</v>
      </c>
      <c r="AB277" s="18">
        <f>IF(G277="","",IFERROR(INDEX(Recipes!$J$5:$J$204,MATCH(G277,Recipes!$A$5:$A$204,0)),"Not found"))</f>
        <v>0</v>
      </c>
      <c r="AC277" s="17">
        <f>IF(G277="","",IFERROR(INDEX(Recipes!$C$5:$C$204,MATCH(G277,Recipes!$A$5:$A$204,0)),"Not found"))</f>
        <v>0</v>
      </c>
      <c r="AD277" s="46">
        <f>IF(B277="","",IF(G277&lt;&gt;"","Yes",IF(OR(I277="",ISNUMBER(SEARCH("takeaway",I277)),ISNUMBER(SEARCH("out",I277))),"No","Yes")))</f>
        <v>0</v>
      </c>
      <c r="AE277" s="17">
        <f>IF(B277="","",TEXT(B277,"yyyy-mm-dd")&amp;"|"&amp;F277)</f>
        <v>0</v>
      </c>
      <c r="AF277" s="31">
        <f>IF(B277="","",IF(AND(G277="",I277=""),"Add - nothing planned yet",IF(COUNTIFS($AE$5:$AE$504,AE277)&gt;1,"Duplicate - two meals in one slot",IF(AND(G277&lt;&gt;"",H277="Not found"),"Missing - recipe ID not on the Recipes tab",IF(AND(B277&lt;TODAY(),OR(N277="Planned",N277="")),"Check - did you cook it?","OK")))))</f>
        <v>0</v>
      </c>
    </row>
    <row r="278" spans="1:32">
      <c r="A278" s="39">
        <f>IF(B278="","",MealPrefix&amp;TEXT(ROW()-4,"0000"))</f>
        <v>0</v>
      </c>
      <c r="C278" s="17">
        <f>IF(B278="","",TEXT(B278,"ddd"))</f>
        <v>0</v>
      </c>
      <c r="D278" s="18">
        <f>IF(B278="","",WEEKNUM(B278,IF(WeekStart="Sunday",1,2)))</f>
        <v>0</v>
      </c>
      <c r="E278" s="17">
        <f>IF(B278="","",TEXT(B278,"yyyy-mm"))</f>
        <v>0</v>
      </c>
      <c r="H278" s="17">
        <f>IF(G278&lt;&gt;"",IFERROR(INDEX(Recipes!$B$5:$B$204,MATCH(G278,Recipes!$A$5:$A$204,0)),"Not found"),I278)</f>
        <v>0</v>
      </c>
      <c r="K278" s="45">
        <f>IF(B278="","",IF(J278="",DefaultServings,J278))</f>
        <v>0</v>
      </c>
      <c r="L278" s="45">
        <f>IF(G278="",0,IFERROR(K278/INDEX(Recipes!$G$5:$G$204,MATCH(G278,Recipes!$A$5:$A$204,0)),0))</f>
        <v>0</v>
      </c>
      <c r="T278" s="25">
        <f>IF(G278="","",IFERROR(INDEX(Recipes!$AD$5:$AD$204,MATCH(G278,Recipes!$A$5:$A$204,0))*K278,""))</f>
        <v>0</v>
      </c>
      <c r="V278" s="30">
        <f>IF(G278="","",IFERROR(INDEX(Recipes!$AE$5:$AE$204,MATCH(G278,Recipes!$A$5:$A$204,0)),"Not found"))</f>
        <v>0</v>
      </c>
      <c r="W278" s="45">
        <f>IF(G278="","",IFERROR(INDEX(Recipes!$AF$5:$AF$204,MATCH(G278,Recipes!$A$5:$A$204,0)),"Not found"))</f>
        <v>0</v>
      </c>
      <c r="X278" s="45">
        <f>IF(G278="","",IFERROR(INDEX(Recipes!$AG$5:$AG$204,MATCH(G278,Recipes!$A$5:$A$204,0)),"Not found"))</f>
        <v>0</v>
      </c>
      <c r="Y278" s="45">
        <f>IF(G278="","",IFERROR(INDEX(Recipes!$AH$5:$AH$204,MATCH(G278,Recipes!$A$5:$A$204,0)),"Not found"))</f>
        <v>0</v>
      </c>
      <c r="Z278" s="45">
        <f>IF(G278="","",IFERROR(INDEX(Recipes!$AI$5:$AI$204,MATCH(G278,Recipes!$A$5:$A$204,0)),"Not found"))</f>
        <v>0</v>
      </c>
      <c r="AA278" s="30">
        <f>IF(OR(V278="",NOT(ISNUMBER(V278))),"",V278*K278)</f>
        <v>0</v>
      </c>
      <c r="AB278" s="18">
        <f>IF(G278="","",IFERROR(INDEX(Recipes!$J$5:$J$204,MATCH(G278,Recipes!$A$5:$A$204,0)),"Not found"))</f>
        <v>0</v>
      </c>
      <c r="AC278" s="17">
        <f>IF(G278="","",IFERROR(INDEX(Recipes!$C$5:$C$204,MATCH(G278,Recipes!$A$5:$A$204,0)),"Not found"))</f>
        <v>0</v>
      </c>
      <c r="AD278" s="46">
        <f>IF(B278="","",IF(G278&lt;&gt;"","Yes",IF(OR(I278="",ISNUMBER(SEARCH("takeaway",I278)),ISNUMBER(SEARCH("out",I278))),"No","Yes")))</f>
        <v>0</v>
      </c>
      <c r="AE278" s="17">
        <f>IF(B278="","",TEXT(B278,"yyyy-mm-dd")&amp;"|"&amp;F278)</f>
        <v>0</v>
      </c>
      <c r="AF278" s="31">
        <f>IF(B278="","",IF(AND(G278="",I278=""),"Add - nothing planned yet",IF(COUNTIFS($AE$5:$AE$504,AE278)&gt;1,"Duplicate - two meals in one slot",IF(AND(G278&lt;&gt;"",H278="Not found"),"Missing - recipe ID not on the Recipes tab",IF(AND(B278&lt;TODAY(),OR(N278="Planned",N278="")),"Check - did you cook it?","OK")))))</f>
        <v>0</v>
      </c>
    </row>
    <row r="279" spans="1:32">
      <c r="A279" s="39">
        <f>IF(B279="","",MealPrefix&amp;TEXT(ROW()-4,"0000"))</f>
        <v>0</v>
      </c>
      <c r="C279" s="17">
        <f>IF(B279="","",TEXT(B279,"ddd"))</f>
        <v>0</v>
      </c>
      <c r="D279" s="18">
        <f>IF(B279="","",WEEKNUM(B279,IF(WeekStart="Sunday",1,2)))</f>
        <v>0</v>
      </c>
      <c r="E279" s="17">
        <f>IF(B279="","",TEXT(B279,"yyyy-mm"))</f>
        <v>0</v>
      </c>
      <c r="H279" s="17">
        <f>IF(G279&lt;&gt;"",IFERROR(INDEX(Recipes!$B$5:$B$204,MATCH(G279,Recipes!$A$5:$A$204,0)),"Not found"),I279)</f>
        <v>0</v>
      </c>
      <c r="K279" s="45">
        <f>IF(B279="","",IF(J279="",DefaultServings,J279))</f>
        <v>0</v>
      </c>
      <c r="L279" s="45">
        <f>IF(G279="",0,IFERROR(K279/INDEX(Recipes!$G$5:$G$204,MATCH(G279,Recipes!$A$5:$A$204,0)),0))</f>
        <v>0</v>
      </c>
      <c r="T279" s="25">
        <f>IF(G279="","",IFERROR(INDEX(Recipes!$AD$5:$AD$204,MATCH(G279,Recipes!$A$5:$A$204,0))*K279,""))</f>
        <v>0</v>
      </c>
      <c r="V279" s="30">
        <f>IF(G279="","",IFERROR(INDEX(Recipes!$AE$5:$AE$204,MATCH(G279,Recipes!$A$5:$A$204,0)),"Not found"))</f>
        <v>0</v>
      </c>
      <c r="W279" s="45">
        <f>IF(G279="","",IFERROR(INDEX(Recipes!$AF$5:$AF$204,MATCH(G279,Recipes!$A$5:$A$204,0)),"Not found"))</f>
        <v>0</v>
      </c>
      <c r="X279" s="45">
        <f>IF(G279="","",IFERROR(INDEX(Recipes!$AG$5:$AG$204,MATCH(G279,Recipes!$A$5:$A$204,0)),"Not found"))</f>
        <v>0</v>
      </c>
      <c r="Y279" s="45">
        <f>IF(G279="","",IFERROR(INDEX(Recipes!$AH$5:$AH$204,MATCH(G279,Recipes!$A$5:$A$204,0)),"Not found"))</f>
        <v>0</v>
      </c>
      <c r="Z279" s="45">
        <f>IF(G279="","",IFERROR(INDEX(Recipes!$AI$5:$AI$204,MATCH(G279,Recipes!$A$5:$A$204,0)),"Not found"))</f>
        <v>0</v>
      </c>
      <c r="AA279" s="30">
        <f>IF(OR(V279="",NOT(ISNUMBER(V279))),"",V279*K279)</f>
        <v>0</v>
      </c>
      <c r="AB279" s="18">
        <f>IF(G279="","",IFERROR(INDEX(Recipes!$J$5:$J$204,MATCH(G279,Recipes!$A$5:$A$204,0)),"Not found"))</f>
        <v>0</v>
      </c>
      <c r="AC279" s="17">
        <f>IF(G279="","",IFERROR(INDEX(Recipes!$C$5:$C$204,MATCH(G279,Recipes!$A$5:$A$204,0)),"Not found"))</f>
        <v>0</v>
      </c>
      <c r="AD279" s="46">
        <f>IF(B279="","",IF(G279&lt;&gt;"","Yes",IF(OR(I279="",ISNUMBER(SEARCH("takeaway",I279)),ISNUMBER(SEARCH("out",I279))),"No","Yes")))</f>
        <v>0</v>
      </c>
      <c r="AE279" s="17">
        <f>IF(B279="","",TEXT(B279,"yyyy-mm-dd")&amp;"|"&amp;F279)</f>
        <v>0</v>
      </c>
      <c r="AF279" s="31">
        <f>IF(B279="","",IF(AND(G279="",I279=""),"Add - nothing planned yet",IF(COUNTIFS($AE$5:$AE$504,AE279)&gt;1,"Duplicate - two meals in one slot",IF(AND(G279&lt;&gt;"",H279="Not found"),"Missing - recipe ID not on the Recipes tab",IF(AND(B279&lt;TODAY(),OR(N279="Planned",N279="")),"Check - did you cook it?","OK")))))</f>
        <v>0</v>
      </c>
    </row>
    <row r="280" spans="1:32">
      <c r="A280" s="39">
        <f>IF(B280="","",MealPrefix&amp;TEXT(ROW()-4,"0000"))</f>
        <v>0</v>
      </c>
      <c r="C280" s="17">
        <f>IF(B280="","",TEXT(B280,"ddd"))</f>
        <v>0</v>
      </c>
      <c r="D280" s="18">
        <f>IF(B280="","",WEEKNUM(B280,IF(WeekStart="Sunday",1,2)))</f>
        <v>0</v>
      </c>
      <c r="E280" s="17">
        <f>IF(B280="","",TEXT(B280,"yyyy-mm"))</f>
        <v>0</v>
      </c>
      <c r="H280" s="17">
        <f>IF(G280&lt;&gt;"",IFERROR(INDEX(Recipes!$B$5:$B$204,MATCH(G280,Recipes!$A$5:$A$204,0)),"Not found"),I280)</f>
        <v>0</v>
      </c>
      <c r="K280" s="45">
        <f>IF(B280="","",IF(J280="",DefaultServings,J280))</f>
        <v>0</v>
      </c>
      <c r="L280" s="45">
        <f>IF(G280="",0,IFERROR(K280/INDEX(Recipes!$G$5:$G$204,MATCH(G280,Recipes!$A$5:$A$204,0)),0))</f>
        <v>0</v>
      </c>
      <c r="T280" s="25">
        <f>IF(G280="","",IFERROR(INDEX(Recipes!$AD$5:$AD$204,MATCH(G280,Recipes!$A$5:$A$204,0))*K280,""))</f>
        <v>0</v>
      </c>
      <c r="V280" s="30">
        <f>IF(G280="","",IFERROR(INDEX(Recipes!$AE$5:$AE$204,MATCH(G280,Recipes!$A$5:$A$204,0)),"Not found"))</f>
        <v>0</v>
      </c>
      <c r="W280" s="45">
        <f>IF(G280="","",IFERROR(INDEX(Recipes!$AF$5:$AF$204,MATCH(G280,Recipes!$A$5:$A$204,0)),"Not found"))</f>
        <v>0</v>
      </c>
      <c r="X280" s="45">
        <f>IF(G280="","",IFERROR(INDEX(Recipes!$AG$5:$AG$204,MATCH(G280,Recipes!$A$5:$A$204,0)),"Not found"))</f>
        <v>0</v>
      </c>
      <c r="Y280" s="45">
        <f>IF(G280="","",IFERROR(INDEX(Recipes!$AH$5:$AH$204,MATCH(G280,Recipes!$A$5:$A$204,0)),"Not found"))</f>
        <v>0</v>
      </c>
      <c r="Z280" s="45">
        <f>IF(G280="","",IFERROR(INDEX(Recipes!$AI$5:$AI$204,MATCH(G280,Recipes!$A$5:$A$204,0)),"Not found"))</f>
        <v>0</v>
      </c>
      <c r="AA280" s="30">
        <f>IF(OR(V280="",NOT(ISNUMBER(V280))),"",V280*K280)</f>
        <v>0</v>
      </c>
      <c r="AB280" s="18">
        <f>IF(G280="","",IFERROR(INDEX(Recipes!$J$5:$J$204,MATCH(G280,Recipes!$A$5:$A$204,0)),"Not found"))</f>
        <v>0</v>
      </c>
      <c r="AC280" s="17">
        <f>IF(G280="","",IFERROR(INDEX(Recipes!$C$5:$C$204,MATCH(G280,Recipes!$A$5:$A$204,0)),"Not found"))</f>
        <v>0</v>
      </c>
      <c r="AD280" s="46">
        <f>IF(B280="","",IF(G280&lt;&gt;"","Yes",IF(OR(I280="",ISNUMBER(SEARCH("takeaway",I280)),ISNUMBER(SEARCH("out",I280))),"No","Yes")))</f>
        <v>0</v>
      </c>
      <c r="AE280" s="17">
        <f>IF(B280="","",TEXT(B280,"yyyy-mm-dd")&amp;"|"&amp;F280)</f>
        <v>0</v>
      </c>
      <c r="AF280" s="31">
        <f>IF(B280="","",IF(AND(G280="",I280=""),"Add - nothing planned yet",IF(COUNTIFS($AE$5:$AE$504,AE280)&gt;1,"Duplicate - two meals in one slot",IF(AND(G280&lt;&gt;"",H280="Not found"),"Missing - recipe ID not on the Recipes tab",IF(AND(B280&lt;TODAY(),OR(N280="Planned",N280="")),"Check - did you cook it?","OK")))))</f>
        <v>0</v>
      </c>
    </row>
    <row r="281" spans="1:32">
      <c r="A281" s="39">
        <f>IF(B281="","",MealPrefix&amp;TEXT(ROW()-4,"0000"))</f>
        <v>0</v>
      </c>
      <c r="C281" s="17">
        <f>IF(B281="","",TEXT(B281,"ddd"))</f>
        <v>0</v>
      </c>
      <c r="D281" s="18">
        <f>IF(B281="","",WEEKNUM(B281,IF(WeekStart="Sunday",1,2)))</f>
        <v>0</v>
      </c>
      <c r="E281" s="17">
        <f>IF(B281="","",TEXT(B281,"yyyy-mm"))</f>
        <v>0</v>
      </c>
      <c r="H281" s="17">
        <f>IF(G281&lt;&gt;"",IFERROR(INDEX(Recipes!$B$5:$B$204,MATCH(G281,Recipes!$A$5:$A$204,0)),"Not found"),I281)</f>
        <v>0</v>
      </c>
      <c r="K281" s="45">
        <f>IF(B281="","",IF(J281="",DefaultServings,J281))</f>
        <v>0</v>
      </c>
      <c r="L281" s="45">
        <f>IF(G281="",0,IFERROR(K281/INDEX(Recipes!$G$5:$G$204,MATCH(G281,Recipes!$A$5:$A$204,0)),0))</f>
        <v>0</v>
      </c>
      <c r="T281" s="25">
        <f>IF(G281="","",IFERROR(INDEX(Recipes!$AD$5:$AD$204,MATCH(G281,Recipes!$A$5:$A$204,0))*K281,""))</f>
        <v>0</v>
      </c>
      <c r="V281" s="30">
        <f>IF(G281="","",IFERROR(INDEX(Recipes!$AE$5:$AE$204,MATCH(G281,Recipes!$A$5:$A$204,0)),"Not found"))</f>
        <v>0</v>
      </c>
      <c r="W281" s="45">
        <f>IF(G281="","",IFERROR(INDEX(Recipes!$AF$5:$AF$204,MATCH(G281,Recipes!$A$5:$A$204,0)),"Not found"))</f>
        <v>0</v>
      </c>
      <c r="X281" s="45">
        <f>IF(G281="","",IFERROR(INDEX(Recipes!$AG$5:$AG$204,MATCH(G281,Recipes!$A$5:$A$204,0)),"Not found"))</f>
        <v>0</v>
      </c>
      <c r="Y281" s="45">
        <f>IF(G281="","",IFERROR(INDEX(Recipes!$AH$5:$AH$204,MATCH(G281,Recipes!$A$5:$A$204,0)),"Not found"))</f>
        <v>0</v>
      </c>
      <c r="Z281" s="45">
        <f>IF(G281="","",IFERROR(INDEX(Recipes!$AI$5:$AI$204,MATCH(G281,Recipes!$A$5:$A$204,0)),"Not found"))</f>
        <v>0</v>
      </c>
      <c r="AA281" s="30">
        <f>IF(OR(V281="",NOT(ISNUMBER(V281))),"",V281*K281)</f>
        <v>0</v>
      </c>
      <c r="AB281" s="18">
        <f>IF(G281="","",IFERROR(INDEX(Recipes!$J$5:$J$204,MATCH(G281,Recipes!$A$5:$A$204,0)),"Not found"))</f>
        <v>0</v>
      </c>
      <c r="AC281" s="17">
        <f>IF(G281="","",IFERROR(INDEX(Recipes!$C$5:$C$204,MATCH(G281,Recipes!$A$5:$A$204,0)),"Not found"))</f>
        <v>0</v>
      </c>
      <c r="AD281" s="46">
        <f>IF(B281="","",IF(G281&lt;&gt;"","Yes",IF(OR(I281="",ISNUMBER(SEARCH("takeaway",I281)),ISNUMBER(SEARCH("out",I281))),"No","Yes")))</f>
        <v>0</v>
      </c>
      <c r="AE281" s="17">
        <f>IF(B281="","",TEXT(B281,"yyyy-mm-dd")&amp;"|"&amp;F281)</f>
        <v>0</v>
      </c>
      <c r="AF281" s="31">
        <f>IF(B281="","",IF(AND(G281="",I281=""),"Add - nothing planned yet",IF(COUNTIFS($AE$5:$AE$504,AE281)&gt;1,"Duplicate - two meals in one slot",IF(AND(G281&lt;&gt;"",H281="Not found"),"Missing - recipe ID not on the Recipes tab",IF(AND(B281&lt;TODAY(),OR(N281="Planned",N281="")),"Check - did you cook it?","OK")))))</f>
        <v>0</v>
      </c>
    </row>
    <row r="282" spans="1:32">
      <c r="A282" s="39">
        <f>IF(B282="","",MealPrefix&amp;TEXT(ROW()-4,"0000"))</f>
        <v>0</v>
      </c>
      <c r="C282" s="17">
        <f>IF(B282="","",TEXT(B282,"ddd"))</f>
        <v>0</v>
      </c>
      <c r="D282" s="18">
        <f>IF(B282="","",WEEKNUM(B282,IF(WeekStart="Sunday",1,2)))</f>
        <v>0</v>
      </c>
      <c r="E282" s="17">
        <f>IF(B282="","",TEXT(B282,"yyyy-mm"))</f>
        <v>0</v>
      </c>
      <c r="H282" s="17">
        <f>IF(G282&lt;&gt;"",IFERROR(INDEX(Recipes!$B$5:$B$204,MATCH(G282,Recipes!$A$5:$A$204,0)),"Not found"),I282)</f>
        <v>0</v>
      </c>
      <c r="K282" s="45">
        <f>IF(B282="","",IF(J282="",DefaultServings,J282))</f>
        <v>0</v>
      </c>
      <c r="L282" s="45">
        <f>IF(G282="",0,IFERROR(K282/INDEX(Recipes!$G$5:$G$204,MATCH(G282,Recipes!$A$5:$A$204,0)),0))</f>
        <v>0</v>
      </c>
      <c r="T282" s="25">
        <f>IF(G282="","",IFERROR(INDEX(Recipes!$AD$5:$AD$204,MATCH(G282,Recipes!$A$5:$A$204,0))*K282,""))</f>
        <v>0</v>
      </c>
      <c r="V282" s="30">
        <f>IF(G282="","",IFERROR(INDEX(Recipes!$AE$5:$AE$204,MATCH(G282,Recipes!$A$5:$A$204,0)),"Not found"))</f>
        <v>0</v>
      </c>
      <c r="W282" s="45">
        <f>IF(G282="","",IFERROR(INDEX(Recipes!$AF$5:$AF$204,MATCH(G282,Recipes!$A$5:$A$204,0)),"Not found"))</f>
        <v>0</v>
      </c>
      <c r="X282" s="45">
        <f>IF(G282="","",IFERROR(INDEX(Recipes!$AG$5:$AG$204,MATCH(G282,Recipes!$A$5:$A$204,0)),"Not found"))</f>
        <v>0</v>
      </c>
      <c r="Y282" s="45">
        <f>IF(G282="","",IFERROR(INDEX(Recipes!$AH$5:$AH$204,MATCH(G282,Recipes!$A$5:$A$204,0)),"Not found"))</f>
        <v>0</v>
      </c>
      <c r="Z282" s="45">
        <f>IF(G282="","",IFERROR(INDEX(Recipes!$AI$5:$AI$204,MATCH(G282,Recipes!$A$5:$A$204,0)),"Not found"))</f>
        <v>0</v>
      </c>
      <c r="AA282" s="30">
        <f>IF(OR(V282="",NOT(ISNUMBER(V282))),"",V282*K282)</f>
        <v>0</v>
      </c>
      <c r="AB282" s="18">
        <f>IF(G282="","",IFERROR(INDEX(Recipes!$J$5:$J$204,MATCH(G282,Recipes!$A$5:$A$204,0)),"Not found"))</f>
        <v>0</v>
      </c>
      <c r="AC282" s="17">
        <f>IF(G282="","",IFERROR(INDEX(Recipes!$C$5:$C$204,MATCH(G282,Recipes!$A$5:$A$204,0)),"Not found"))</f>
        <v>0</v>
      </c>
      <c r="AD282" s="46">
        <f>IF(B282="","",IF(G282&lt;&gt;"","Yes",IF(OR(I282="",ISNUMBER(SEARCH("takeaway",I282)),ISNUMBER(SEARCH("out",I282))),"No","Yes")))</f>
        <v>0</v>
      </c>
      <c r="AE282" s="17">
        <f>IF(B282="","",TEXT(B282,"yyyy-mm-dd")&amp;"|"&amp;F282)</f>
        <v>0</v>
      </c>
      <c r="AF282" s="31">
        <f>IF(B282="","",IF(AND(G282="",I282=""),"Add - nothing planned yet",IF(COUNTIFS($AE$5:$AE$504,AE282)&gt;1,"Duplicate - two meals in one slot",IF(AND(G282&lt;&gt;"",H282="Not found"),"Missing - recipe ID not on the Recipes tab",IF(AND(B282&lt;TODAY(),OR(N282="Planned",N282="")),"Check - did you cook it?","OK")))))</f>
        <v>0</v>
      </c>
    </row>
    <row r="283" spans="1:32">
      <c r="A283" s="39">
        <f>IF(B283="","",MealPrefix&amp;TEXT(ROW()-4,"0000"))</f>
        <v>0</v>
      </c>
      <c r="C283" s="17">
        <f>IF(B283="","",TEXT(B283,"ddd"))</f>
        <v>0</v>
      </c>
      <c r="D283" s="18">
        <f>IF(B283="","",WEEKNUM(B283,IF(WeekStart="Sunday",1,2)))</f>
        <v>0</v>
      </c>
      <c r="E283" s="17">
        <f>IF(B283="","",TEXT(B283,"yyyy-mm"))</f>
        <v>0</v>
      </c>
      <c r="H283" s="17">
        <f>IF(G283&lt;&gt;"",IFERROR(INDEX(Recipes!$B$5:$B$204,MATCH(G283,Recipes!$A$5:$A$204,0)),"Not found"),I283)</f>
        <v>0</v>
      </c>
      <c r="K283" s="45">
        <f>IF(B283="","",IF(J283="",DefaultServings,J283))</f>
        <v>0</v>
      </c>
      <c r="L283" s="45">
        <f>IF(G283="",0,IFERROR(K283/INDEX(Recipes!$G$5:$G$204,MATCH(G283,Recipes!$A$5:$A$204,0)),0))</f>
        <v>0</v>
      </c>
      <c r="T283" s="25">
        <f>IF(G283="","",IFERROR(INDEX(Recipes!$AD$5:$AD$204,MATCH(G283,Recipes!$A$5:$A$204,0))*K283,""))</f>
        <v>0</v>
      </c>
      <c r="V283" s="30">
        <f>IF(G283="","",IFERROR(INDEX(Recipes!$AE$5:$AE$204,MATCH(G283,Recipes!$A$5:$A$204,0)),"Not found"))</f>
        <v>0</v>
      </c>
      <c r="W283" s="45">
        <f>IF(G283="","",IFERROR(INDEX(Recipes!$AF$5:$AF$204,MATCH(G283,Recipes!$A$5:$A$204,0)),"Not found"))</f>
        <v>0</v>
      </c>
      <c r="X283" s="45">
        <f>IF(G283="","",IFERROR(INDEX(Recipes!$AG$5:$AG$204,MATCH(G283,Recipes!$A$5:$A$204,0)),"Not found"))</f>
        <v>0</v>
      </c>
      <c r="Y283" s="45">
        <f>IF(G283="","",IFERROR(INDEX(Recipes!$AH$5:$AH$204,MATCH(G283,Recipes!$A$5:$A$204,0)),"Not found"))</f>
        <v>0</v>
      </c>
      <c r="Z283" s="45">
        <f>IF(G283="","",IFERROR(INDEX(Recipes!$AI$5:$AI$204,MATCH(G283,Recipes!$A$5:$A$204,0)),"Not found"))</f>
        <v>0</v>
      </c>
      <c r="AA283" s="30">
        <f>IF(OR(V283="",NOT(ISNUMBER(V283))),"",V283*K283)</f>
        <v>0</v>
      </c>
      <c r="AB283" s="18">
        <f>IF(G283="","",IFERROR(INDEX(Recipes!$J$5:$J$204,MATCH(G283,Recipes!$A$5:$A$204,0)),"Not found"))</f>
        <v>0</v>
      </c>
      <c r="AC283" s="17">
        <f>IF(G283="","",IFERROR(INDEX(Recipes!$C$5:$C$204,MATCH(G283,Recipes!$A$5:$A$204,0)),"Not found"))</f>
        <v>0</v>
      </c>
      <c r="AD283" s="46">
        <f>IF(B283="","",IF(G283&lt;&gt;"","Yes",IF(OR(I283="",ISNUMBER(SEARCH("takeaway",I283)),ISNUMBER(SEARCH("out",I283))),"No","Yes")))</f>
        <v>0</v>
      </c>
      <c r="AE283" s="17">
        <f>IF(B283="","",TEXT(B283,"yyyy-mm-dd")&amp;"|"&amp;F283)</f>
        <v>0</v>
      </c>
      <c r="AF283" s="31">
        <f>IF(B283="","",IF(AND(G283="",I283=""),"Add - nothing planned yet",IF(COUNTIFS($AE$5:$AE$504,AE283)&gt;1,"Duplicate - two meals in one slot",IF(AND(G283&lt;&gt;"",H283="Not found"),"Missing - recipe ID not on the Recipes tab",IF(AND(B283&lt;TODAY(),OR(N283="Planned",N283="")),"Check - did you cook it?","OK")))))</f>
        <v>0</v>
      </c>
    </row>
    <row r="284" spans="1:32">
      <c r="A284" s="39">
        <f>IF(B284="","",MealPrefix&amp;TEXT(ROW()-4,"0000"))</f>
        <v>0</v>
      </c>
      <c r="C284" s="17">
        <f>IF(B284="","",TEXT(B284,"ddd"))</f>
        <v>0</v>
      </c>
      <c r="D284" s="18">
        <f>IF(B284="","",WEEKNUM(B284,IF(WeekStart="Sunday",1,2)))</f>
        <v>0</v>
      </c>
      <c r="E284" s="17">
        <f>IF(B284="","",TEXT(B284,"yyyy-mm"))</f>
        <v>0</v>
      </c>
      <c r="H284" s="17">
        <f>IF(G284&lt;&gt;"",IFERROR(INDEX(Recipes!$B$5:$B$204,MATCH(G284,Recipes!$A$5:$A$204,0)),"Not found"),I284)</f>
        <v>0</v>
      </c>
      <c r="K284" s="45">
        <f>IF(B284="","",IF(J284="",DefaultServings,J284))</f>
        <v>0</v>
      </c>
      <c r="L284" s="45">
        <f>IF(G284="",0,IFERROR(K284/INDEX(Recipes!$G$5:$G$204,MATCH(G284,Recipes!$A$5:$A$204,0)),0))</f>
        <v>0</v>
      </c>
      <c r="T284" s="25">
        <f>IF(G284="","",IFERROR(INDEX(Recipes!$AD$5:$AD$204,MATCH(G284,Recipes!$A$5:$A$204,0))*K284,""))</f>
        <v>0</v>
      </c>
      <c r="V284" s="30">
        <f>IF(G284="","",IFERROR(INDEX(Recipes!$AE$5:$AE$204,MATCH(G284,Recipes!$A$5:$A$204,0)),"Not found"))</f>
        <v>0</v>
      </c>
      <c r="W284" s="45">
        <f>IF(G284="","",IFERROR(INDEX(Recipes!$AF$5:$AF$204,MATCH(G284,Recipes!$A$5:$A$204,0)),"Not found"))</f>
        <v>0</v>
      </c>
      <c r="X284" s="45">
        <f>IF(G284="","",IFERROR(INDEX(Recipes!$AG$5:$AG$204,MATCH(G284,Recipes!$A$5:$A$204,0)),"Not found"))</f>
        <v>0</v>
      </c>
      <c r="Y284" s="45">
        <f>IF(G284="","",IFERROR(INDEX(Recipes!$AH$5:$AH$204,MATCH(G284,Recipes!$A$5:$A$204,0)),"Not found"))</f>
        <v>0</v>
      </c>
      <c r="Z284" s="45">
        <f>IF(G284="","",IFERROR(INDEX(Recipes!$AI$5:$AI$204,MATCH(G284,Recipes!$A$5:$A$204,0)),"Not found"))</f>
        <v>0</v>
      </c>
      <c r="AA284" s="30">
        <f>IF(OR(V284="",NOT(ISNUMBER(V284))),"",V284*K284)</f>
        <v>0</v>
      </c>
      <c r="AB284" s="18">
        <f>IF(G284="","",IFERROR(INDEX(Recipes!$J$5:$J$204,MATCH(G284,Recipes!$A$5:$A$204,0)),"Not found"))</f>
        <v>0</v>
      </c>
      <c r="AC284" s="17">
        <f>IF(G284="","",IFERROR(INDEX(Recipes!$C$5:$C$204,MATCH(G284,Recipes!$A$5:$A$204,0)),"Not found"))</f>
        <v>0</v>
      </c>
      <c r="AD284" s="46">
        <f>IF(B284="","",IF(G284&lt;&gt;"","Yes",IF(OR(I284="",ISNUMBER(SEARCH("takeaway",I284)),ISNUMBER(SEARCH("out",I284))),"No","Yes")))</f>
        <v>0</v>
      </c>
      <c r="AE284" s="17">
        <f>IF(B284="","",TEXT(B284,"yyyy-mm-dd")&amp;"|"&amp;F284)</f>
        <v>0</v>
      </c>
      <c r="AF284" s="31">
        <f>IF(B284="","",IF(AND(G284="",I284=""),"Add - nothing planned yet",IF(COUNTIFS($AE$5:$AE$504,AE284)&gt;1,"Duplicate - two meals in one slot",IF(AND(G284&lt;&gt;"",H284="Not found"),"Missing - recipe ID not on the Recipes tab",IF(AND(B284&lt;TODAY(),OR(N284="Planned",N284="")),"Check - did you cook it?","OK")))))</f>
        <v>0</v>
      </c>
    </row>
    <row r="285" spans="1:32">
      <c r="A285" s="39">
        <f>IF(B285="","",MealPrefix&amp;TEXT(ROW()-4,"0000"))</f>
        <v>0</v>
      </c>
      <c r="C285" s="17">
        <f>IF(B285="","",TEXT(B285,"ddd"))</f>
        <v>0</v>
      </c>
      <c r="D285" s="18">
        <f>IF(B285="","",WEEKNUM(B285,IF(WeekStart="Sunday",1,2)))</f>
        <v>0</v>
      </c>
      <c r="E285" s="17">
        <f>IF(B285="","",TEXT(B285,"yyyy-mm"))</f>
        <v>0</v>
      </c>
      <c r="H285" s="17">
        <f>IF(G285&lt;&gt;"",IFERROR(INDEX(Recipes!$B$5:$B$204,MATCH(G285,Recipes!$A$5:$A$204,0)),"Not found"),I285)</f>
        <v>0</v>
      </c>
      <c r="K285" s="45">
        <f>IF(B285="","",IF(J285="",DefaultServings,J285))</f>
        <v>0</v>
      </c>
      <c r="L285" s="45">
        <f>IF(G285="",0,IFERROR(K285/INDEX(Recipes!$G$5:$G$204,MATCH(G285,Recipes!$A$5:$A$204,0)),0))</f>
        <v>0</v>
      </c>
      <c r="T285" s="25">
        <f>IF(G285="","",IFERROR(INDEX(Recipes!$AD$5:$AD$204,MATCH(G285,Recipes!$A$5:$A$204,0))*K285,""))</f>
        <v>0</v>
      </c>
      <c r="V285" s="30">
        <f>IF(G285="","",IFERROR(INDEX(Recipes!$AE$5:$AE$204,MATCH(G285,Recipes!$A$5:$A$204,0)),"Not found"))</f>
        <v>0</v>
      </c>
      <c r="W285" s="45">
        <f>IF(G285="","",IFERROR(INDEX(Recipes!$AF$5:$AF$204,MATCH(G285,Recipes!$A$5:$A$204,0)),"Not found"))</f>
        <v>0</v>
      </c>
      <c r="X285" s="45">
        <f>IF(G285="","",IFERROR(INDEX(Recipes!$AG$5:$AG$204,MATCH(G285,Recipes!$A$5:$A$204,0)),"Not found"))</f>
        <v>0</v>
      </c>
      <c r="Y285" s="45">
        <f>IF(G285="","",IFERROR(INDEX(Recipes!$AH$5:$AH$204,MATCH(G285,Recipes!$A$5:$A$204,0)),"Not found"))</f>
        <v>0</v>
      </c>
      <c r="Z285" s="45">
        <f>IF(G285="","",IFERROR(INDEX(Recipes!$AI$5:$AI$204,MATCH(G285,Recipes!$A$5:$A$204,0)),"Not found"))</f>
        <v>0</v>
      </c>
      <c r="AA285" s="30">
        <f>IF(OR(V285="",NOT(ISNUMBER(V285))),"",V285*K285)</f>
        <v>0</v>
      </c>
      <c r="AB285" s="18">
        <f>IF(G285="","",IFERROR(INDEX(Recipes!$J$5:$J$204,MATCH(G285,Recipes!$A$5:$A$204,0)),"Not found"))</f>
        <v>0</v>
      </c>
      <c r="AC285" s="17">
        <f>IF(G285="","",IFERROR(INDEX(Recipes!$C$5:$C$204,MATCH(G285,Recipes!$A$5:$A$204,0)),"Not found"))</f>
        <v>0</v>
      </c>
      <c r="AD285" s="46">
        <f>IF(B285="","",IF(G285&lt;&gt;"","Yes",IF(OR(I285="",ISNUMBER(SEARCH("takeaway",I285)),ISNUMBER(SEARCH("out",I285))),"No","Yes")))</f>
        <v>0</v>
      </c>
      <c r="AE285" s="17">
        <f>IF(B285="","",TEXT(B285,"yyyy-mm-dd")&amp;"|"&amp;F285)</f>
        <v>0</v>
      </c>
      <c r="AF285" s="31">
        <f>IF(B285="","",IF(AND(G285="",I285=""),"Add - nothing planned yet",IF(COUNTIFS($AE$5:$AE$504,AE285)&gt;1,"Duplicate - two meals in one slot",IF(AND(G285&lt;&gt;"",H285="Not found"),"Missing - recipe ID not on the Recipes tab",IF(AND(B285&lt;TODAY(),OR(N285="Planned",N285="")),"Check - did you cook it?","OK")))))</f>
        <v>0</v>
      </c>
    </row>
    <row r="286" spans="1:32">
      <c r="A286" s="39">
        <f>IF(B286="","",MealPrefix&amp;TEXT(ROW()-4,"0000"))</f>
        <v>0</v>
      </c>
      <c r="C286" s="17">
        <f>IF(B286="","",TEXT(B286,"ddd"))</f>
        <v>0</v>
      </c>
      <c r="D286" s="18">
        <f>IF(B286="","",WEEKNUM(B286,IF(WeekStart="Sunday",1,2)))</f>
        <v>0</v>
      </c>
      <c r="E286" s="17">
        <f>IF(B286="","",TEXT(B286,"yyyy-mm"))</f>
        <v>0</v>
      </c>
      <c r="H286" s="17">
        <f>IF(G286&lt;&gt;"",IFERROR(INDEX(Recipes!$B$5:$B$204,MATCH(G286,Recipes!$A$5:$A$204,0)),"Not found"),I286)</f>
        <v>0</v>
      </c>
      <c r="K286" s="45">
        <f>IF(B286="","",IF(J286="",DefaultServings,J286))</f>
        <v>0</v>
      </c>
      <c r="L286" s="45">
        <f>IF(G286="",0,IFERROR(K286/INDEX(Recipes!$G$5:$G$204,MATCH(G286,Recipes!$A$5:$A$204,0)),0))</f>
        <v>0</v>
      </c>
      <c r="T286" s="25">
        <f>IF(G286="","",IFERROR(INDEX(Recipes!$AD$5:$AD$204,MATCH(G286,Recipes!$A$5:$A$204,0))*K286,""))</f>
        <v>0</v>
      </c>
      <c r="V286" s="30">
        <f>IF(G286="","",IFERROR(INDEX(Recipes!$AE$5:$AE$204,MATCH(G286,Recipes!$A$5:$A$204,0)),"Not found"))</f>
        <v>0</v>
      </c>
      <c r="W286" s="45">
        <f>IF(G286="","",IFERROR(INDEX(Recipes!$AF$5:$AF$204,MATCH(G286,Recipes!$A$5:$A$204,0)),"Not found"))</f>
        <v>0</v>
      </c>
      <c r="X286" s="45">
        <f>IF(G286="","",IFERROR(INDEX(Recipes!$AG$5:$AG$204,MATCH(G286,Recipes!$A$5:$A$204,0)),"Not found"))</f>
        <v>0</v>
      </c>
      <c r="Y286" s="45">
        <f>IF(G286="","",IFERROR(INDEX(Recipes!$AH$5:$AH$204,MATCH(G286,Recipes!$A$5:$A$204,0)),"Not found"))</f>
        <v>0</v>
      </c>
      <c r="Z286" s="45">
        <f>IF(G286="","",IFERROR(INDEX(Recipes!$AI$5:$AI$204,MATCH(G286,Recipes!$A$5:$A$204,0)),"Not found"))</f>
        <v>0</v>
      </c>
      <c r="AA286" s="30">
        <f>IF(OR(V286="",NOT(ISNUMBER(V286))),"",V286*K286)</f>
        <v>0</v>
      </c>
      <c r="AB286" s="18">
        <f>IF(G286="","",IFERROR(INDEX(Recipes!$J$5:$J$204,MATCH(G286,Recipes!$A$5:$A$204,0)),"Not found"))</f>
        <v>0</v>
      </c>
      <c r="AC286" s="17">
        <f>IF(G286="","",IFERROR(INDEX(Recipes!$C$5:$C$204,MATCH(G286,Recipes!$A$5:$A$204,0)),"Not found"))</f>
        <v>0</v>
      </c>
      <c r="AD286" s="46">
        <f>IF(B286="","",IF(G286&lt;&gt;"","Yes",IF(OR(I286="",ISNUMBER(SEARCH("takeaway",I286)),ISNUMBER(SEARCH("out",I286))),"No","Yes")))</f>
        <v>0</v>
      </c>
      <c r="AE286" s="17">
        <f>IF(B286="","",TEXT(B286,"yyyy-mm-dd")&amp;"|"&amp;F286)</f>
        <v>0</v>
      </c>
      <c r="AF286" s="31">
        <f>IF(B286="","",IF(AND(G286="",I286=""),"Add - nothing planned yet",IF(COUNTIFS($AE$5:$AE$504,AE286)&gt;1,"Duplicate - two meals in one slot",IF(AND(G286&lt;&gt;"",H286="Not found"),"Missing - recipe ID not on the Recipes tab",IF(AND(B286&lt;TODAY(),OR(N286="Planned",N286="")),"Check - did you cook it?","OK")))))</f>
        <v>0</v>
      </c>
    </row>
    <row r="287" spans="1:32">
      <c r="A287" s="39">
        <f>IF(B287="","",MealPrefix&amp;TEXT(ROW()-4,"0000"))</f>
        <v>0</v>
      </c>
      <c r="C287" s="17">
        <f>IF(B287="","",TEXT(B287,"ddd"))</f>
        <v>0</v>
      </c>
      <c r="D287" s="18">
        <f>IF(B287="","",WEEKNUM(B287,IF(WeekStart="Sunday",1,2)))</f>
        <v>0</v>
      </c>
      <c r="E287" s="17">
        <f>IF(B287="","",TEXT(B287,"yyyy-mm"))</f>
        <v>0</v>
      </c>
      <c r="H287" s="17">
        <f>IF(G287&lt;&gt;"",IFERROR(INDEX(Recipes!$B$5:$B$204,MATCH(G287,Recipes!$A$5:$A$204,0)),"Not found"),I287)</f>
        <v>0</v>
      </c>
      <c r="K287" s="45">
        <f>IF(B287="","",IF(J287="",DefaultServings,J287))</f>
        <v>0</v>
      </c>
      <c r="L287" s="45">
        <f>IF(G287="",0,IFERROR(K287/INDEX(Recipes!$G$5:$G$204,MATCH(G287,Recipes!$A$5:$A$204,0)),0))</f>
        <v>0</v>
      </c>
      <c r="T287" s="25">
        <f>IF(G287="","",IFERROR(INDEX(Recipes!$AD$5:$AD$204,MATCH(G287,Recipes!$A$5:$A$204,0))*K287,""))</f>
        <v>0</v>
      </c>
      <c r="V287" s="30">
        <f>IF(G287="","",IFERROR(INDEX(Recipes!$AE$5:$AE$204,MATCH(G287,Recipes!$A$5:$A$204,0)),"Not found"))</f>
        <v>0</v>
      </c>
      <c r="W287" s="45">
        <f>IF(G287="","",IFERROR(INDEX(Recipes!$AF$5:$AF$204,MATCH(G287,Recipes!$A$5:$A$204,0)),"Not found"))</f>
        <v>0</v>
      </c>
      <c r="X287" s="45">
        <f>IF(G287="","",IFERROR(INDEX(Recipes!$AG$5:$AG$204,MATCH(G287,Recipes!$A$5:$A$204,0)),"Not found"))</f>
        <v>0</v>
      </c>
      <c r="Y287" s="45">
        <f>IF(G287="","",IFERROR(INDEX(Recipes!$AH$5:$AH$204,MATCH(G287,Recipes!$A$5:$A$204,0)),"Not found"))</f>
        <v>0</v>
      </c>
      <c r="Z287" s="45">
        <f>IF(G287="","",IFERROR(INDEX(Recipes!$AI$5:$AI$204,MATCH(G287,Recipes!$A$5:$A$204,0)),"Not found"))</f>
        <v>0</v>
      </c>
      <c r="AA287" s="30">
        <f>IF(OR(V287="",NOT(ISNUMBER(V287))),"",V287*K287)</f>
        <v>0</v>
      </c>
      <c r="AB287" s="18">
        <f>IF(G287="","",IFERROR(INDEX(Recipes!$J$5:$J$204,MATCH(G287,Recipes!$A$5:$A$204,0)),"Not found"))</f>
        <v>0</v>
      </c>
      <c r="AC287" s="17">
        <f>IF(G287="","",IFERROR(INDEX(Recipes!$C$5:$C$204,MATCH(G287,Recipes!$A$5:$A$204,0)),"Not found"))</f>
        <v>0</v>
      </c>
      <c r="AD287" s="46">
        <f>IF(B287="","",IF(G287&lt;&gt;"","Yes",IF(OR(I287="",ISNUMBER(SEARCH("takeaway",I287)),ISNUMBER(SEARCH("out",I287))),"No","Yes")))</f>
        <v>0</v>
      </c>
      <c r="AE287" s="17">
        <f>IF(B287="","",TEXT(B287,"yyyy-mm-dd")&amp;"|"&amp;F287)</f>
        <v>0</v>
      </c>
      <c r="AF287" s="31">
        <f>IF(B287="","",IF(AND(G287="",I287=""),"Add - nothing planned yet",IF(COUNTIFS($AE$5:$AE$504,AE287)&gt;1,"Duplicate - two meals in one slot",IF(AND(G287&lt;&gt;"",H287="Not found"),"Missing - recipe ID not on the Recipes tab",IF(AND(B287&lt;TODAY(),OR(N287="Planned",N287="")),"Check - did you cook it?","OK")))))</f>
        <v>0</v>
      </c>
    </row>
    <row r="288" spans="1:32">
      <c r="A288" s="39">
        <f>IF(B288="","",MealPrefix&amp;TEXT(ROW()-4,"0000"))</f>
        <v>0</v>
      </c>
      <c r="C288" s="17">
        <f>IF(B288="","",TEXT(B288,"ddd"))</f>
        <v>0</v>
      </c>
      <c r="D288" s="18">
        <f>IF(B288="","",WEEKNUM(B288,IF(WeekStart="Sunday",1,2)))</f>
        <v>0</v>
      </c>
      <c r="E288" s="17">
        <f>IF(B288="","",TEXT(B288,"yyyy-mm"))</f>
        <v>0</v>
      </c>
      <c r="H288" s="17">
        <f>IF(G288&lt;&gt;"",IFERROR(INDEX(Recipes!$B$5:$B$204,MATCH(G288,Recipes!$A$5:$A$204,0)),"Not found"),I288)</f>
        <v>0</v>
      </c>
      <c r="K288" s="45">
        <f>IF(B288="","",IF(J288="",DefaultServings,J288))</f>
        <v>0</v>
      </c>
      <c r="L288" s="45">
        <f>IF(G288="",0,IFERROR(K288/INDEX(Recipes!$G$5:$G$204,MATCH(G288,Recipes!$A$5:$A$204,0)),0))</f>
        <v>0</v>
      </c>
      <c r="T288" s="25">
        <f>IF(G288="","",IFERROR(INDEX(Recipes!$AD$5:$AD$204,MATCH(G288,Recipes!$A$5:$A$204,0))*K288,""))</f>
        <v>0</v>
      </c>
      <c r="V288" s="30">
        <f>IF(G288="","",IFERROR(INDEX(Recipes!$AE$5:$AE$204,MATCH(G288,Recipes!$A$5:$A$204,0)),"Not found"))</f>
        <v>0</v>
      </c>
      <c r="W288" s="45">
        <f>IF(G288="","",IFERROR(INDEX(Recipes!$AF$5:$AF$204,MATCH(G288,Recipes!$A$5:$A$204,0)),"Not found"))</f>
        <v>0</v>
      </c>
      <c r="X288" s="45">
        <f>IF(G288="","",IFERROR(INDEX(Recipes!$AG$5:$AG$204,MATCH(G288,Recipes!$A$5:$A$204,0)),"Not found"))</f>
        <v>0</v>
      </c>
      <c r="Y288" s="45">
        <f>IF(G288="","",IFERROR(INDEX(Recipes!$AH$5:$AH$204,MATCH(G288,Recipes!$A$5:$A$204,0)),"Not found"))</f>
        <v>0</v>
      </c>
      <c r="Z288" s="45">
        <f>IF(G288="","",IFERROR(INDEX(Recipes!$AI$5:$AI$204,MATCH(G288,Recipes!$A$5:$A$204,0)),"Not found"))</f>
        <v>0</v>
      </c>
      <c r="AA288" s="30">
        <f>IF(OR(V288="",NOT(ISNUMBER(V288))),"",V288*K288)</f>
        <v>0</v>
      </c>
      <c r="AB288" s="18">
        <f>IF(G288="","",IFERROR(INDEX(Recipes!$J$5:$J$204,MATCH(G288,Recipes!$A$5:$A$204,0)),"Not found"))</f>
        <v>0</v>
      </c>
      <c r="AC288" s="17">
        <f>IF(G288="","",IFERROR(INDEX(Recipes!$C$5:$C$204,MATCH(G288,Recipes!$A$5:$A$204,0)),"Not found"))</f>
        <v>0</v>
      </c>
      <c r="AD288" s="46">
        <f>IF(B288="","",IF(G288&lt;&gt;"","Yes",IF(OR(I288="",ISNUMBER(SEARCH("takeaway",I288)),ISNUMBER(SEARCH("out",I288))),"No","Yes")))</f>
        <v>0</v>
      </c>
      <c r="AE288" s="17">
        <f>IF(B288="","",TEXT(B288,"yyyy-mm-dd")&amp;"|"&amp;F288)</f>
        <v>0</v>
      </c>
      <c r="AF288" s="31">
        <f>IF(B288="","",IF(AND(G288="",I288=""),"Add - nothing planned yet",IF(COUNTIFS($AE$5:$AE$504,AE288)&gt;1,"Duplicate - two meals in one slot",IF(AND(G288&lt;&gt;"",H288="Not found"),"Missing - recipe ID not on the Recipes tab",IF(AND(B288&lt;TODAY(),OR(N288="Planned",N288="")),"Check - did you cook it?","OK")))))</f>
        <v>0</v>
      </c>
    </row>
    <row r="289" spans="1:32">
      <c r="A289" s="39">
        <f>IF(B289="","",MealPrefix&amp;TEXT(ROW()-4,"0000"))</f>
        <v>0</v>
      </c>
      <c r="C289" s="17">
        <f>IF(B289="","",TEXT(B289,"ddd"))</f>
        <v>0</v>
      </c>
      <c r="D289" s="18">
        <f>IF(B289="","",WEEKNUM(B289,IF(WeekStart="Sunday",1,2)))</f>
        <v>0</v>
      </c>
      <c r="E289" s="17">
        <f>IF(B289="","",TEXT(B289,"yyyy-mm"))</f>
        <v>0</v>
      </c>
      <c r="H289" s="17">
        <f>IF(G289&lt;&gt;"",IFERROR(INDEX(Recipes!$B$5:$B$204,MATCH(G289,Recipes!$A$5:$A$204,0)),"Not found"),I289)</f>
        <v>0</v>
      </c>
      <c r="K289" s="45">
        <f>IF(B289="","",IF(J289="",DefaultServings,J289))</f>
        <v>0</v>
      </c>
      <c r="L289" s="45">
        <f>IF(G289="",0,IFERROR(K289/INDEX(Recipes!$G$5:$G$204,MATCH(G289,Recipes!$A$5:$A$204,0)),0))</f>
        <v>0</v>
      </c>
      <c r="T289" s="25">
        <f>IF(G289="","",IFERROR(INDEX(Recipes!$AD$5:$AD$204,MATCH(G289,Recipes!$A$5:$A$204,0))*K289,""))</f>
        <v>0</v>
      </c>
      <c r="V289" s="30">
        <f>IF(G289="","",IFERROR(INDEX(Recipes!$AE$5:$AE$204,MATCH(G289,Recipes!$A$5:$A$204,0)),"Not found"))</f>
        <v>0</v>
      </c>
      <c r="W289" s="45">
        <f>IF(G289="","",IFERROR(INDEX(Recipes!$AF$5:$AF$204,MATCH(G289,Recipes!$A$5:$A$204,0)),"Not found"))</f>
        <v>0</v>
      </c>
      <c r="X289" s="45">
        <f>IF(G289="","",IFERROR(INDEX(Recipes!$AG$5:$AG$204,MATCH(G289,Recipes!$A$5:$A$204,0)),"Not found"))</f>
        <v>0</v>
      </c>
      <c r="Y289" s="45">
        <f>IF(G289="","",IFERROR(INDEX(Recipes!$AH$5:$AH$204,MATCH(G289,Recipes!$A$5:$A$204,0)),"Not found"))</f>
        <v>0</v>
      </c>
      <c r="Z289" s="45">
        <f>IF(G289="","",IFERROR(INDEX(Recipes!$AI$5:$AI$204,MATCH(G289,Recipes!$A$5:$A$204,0)),"Not found"))</f>
        <v>0</v>
      </c>
      <c r="AA289" s="30">
        <f>IF(OR(V289="",NOT(ISNUMBER(V289))),"",V289*K289)</f>
        <v>0</v>
      </c>
      <c r="AB289" s="18">
        <f>IF(G289="","",IFERROR(INDEX(Recipes!$J$5:$J$204,MATCH(G289,Recipes!$A$5:$A$204,0)),"Not found"))</f>
        <v>0</v>
      </c>
      <c r="AC289" s="17">
        <f>IF(G289="","",IFERROR(INDEX(Recipes!$C$5:$C$204,MATCH(G289,Recipes!$A$5:$A$204,0)),"Not found"))</f>
        <v>0</v>
      </c>
      <c r="AD289" s="46">
        <f>IF(B289="","",IF(G289&lt;&gt;"","Yes",IF(OR(I289="",ISNUMBER(SEARCH("takeaway",I289)),ISNUMBER(SEARCH("out",I289))),"No","Yes")))</f>
        <v>0</v>
      </c>
      <c r="AE289" s="17">
        <f>IF(B289="","",TEXT(B289,"yyyy-mm-dd")&amp;"|"&amp;F289)</f>
        <v>0</v>
      </c>
      <c r="AF289" s="31">
        <f>IF(B289="","",IF(AND(G289="",I289=""),"Add - nothing planned yet",IF(COUNTIFS($AE$5:$AE$504,AE289)&gt;1,"Duplicate - two meals in one slot",IF(AND(G289&lt;&gt;"",H289="Not found"),"Missing - recipe ID not on the Recipes tab",IF(AND(B289&lt;TODAY(),OR(N289="Planned",N289="")),"Check - did you cook it?","OK")))))</f>
        <v>0</v>
      </c>
    </row>
    <row r="290" spans="1:32">
      <c r="A290" s="39">
        <f>IF(B290="","",MealPrefix&amp;TEXT(ROW()-4,"0000"))</f>
        <v>0</v>
      </c>
      <c r="C290" s="17">
        <f>IF(B290="","",TEXT(B290,"ddd"))</f>
        <v>0</v>
      </c>
      <c r="D290" s="18">
        <f>IF(B290="","",WEEKNUM(B290,IF(WeekStart="Sunday",1,2)))</f>
        <v>0</v>
      </c>
      <c r="E290" s="17">
        <f>IF(B290="","",TEXT(B290,"yyyy-mm"))</f>
        <v>0</v>
      </c>
      <c r="H290" s="17">
        <f>IF(G290&lt;&gt;"",IFERROR(INDEX(Recipes!$B$5:$B$204,MATCH(G290,Recipes!$A$5:$A$204,0)),"Not found"),I290)</f>
        <v>0</v>
      </c>
      <c r="K290" s="45">
        <f>IF(B290="","",IF(J290="",DefaultServings,J290))</f>
        <v>0</v>
      </c>
      <c r="L290" s="45">
        <f>IF(G290="",0,IFERROR(K290/INDEX(Recipes!$G$5:$G$204,MATCH(G290,Recipes!$A$5:$A$204,0)),0))</f>
        <v>0</v>
      </c>
      <c r="T290" s="25">
        <f>IF(G290="","",IFERROR(INDEX(Recipes!$AD$5:$AD$204,MATCH(G290,Recipes!$A$5:$A$204,0))*K290,""))</f>
        <v>0</v>
      </c>
      <c r="V290" s="30">
        <f>IF(G290="","",IFERROR(INDEX(Recipes!$AE$5:$AE$204,MATCH(G290,Recipes!$A$5:$A$204,0)),"Not found"))</f>
        <v>0</v>
      </c>
      <c r="W290" s="45">
        <f>IF(G290="","",IFERROR(INDEX(Recipes!$AF$5:$AF$204,MATCH(G290,Recipes!$A$5:$A$204,0)),"Not found"))</f>
        <v>0</v>
      </c>
      <c r="X290" s="45">
        <f>IF(G290="","",IFERROR(INDEX(Recipes!$AG$5:$AG$204,MATCH(G290,Recipes!$A$5:$A$204,0)),"Not found"))</f>
        <v>0</v>
      </c>
      <c r="Y290" s="45">
        <f>IF(G290="","",IFERROR(INDEX(Recipes!$AH$5:$AH$204,MATCH(G290,Recipes!$A$5:$A$204,0)),"Not found"))</f>
        <v>0</v>
      </c>
      <c r="Z290" s="45">
        <f>IF(G290="","",IFERROR(INDEX(Recipes!$AI$5:$AI$204,MATCH(G290,Recipes!$A$5:$A$204,0)),"Not found"))</f>
        <v>0</v>
      </c>
      <c r="AA290" s="30">
        <f>IF(OR(V290="",NOT(ISNUMBER(V290))),"",V290*K290)</f>
        <v>0</v>
      </c>
      <c r="AB290" s="18">
        <f>IF(G290="","",IFERROR(INDEX(Recipes!$J$5:$J$204,MATCH(G290,Recipes!$A$5:$A$204,0)),"Not found"))</f>
        <v>0</v>
      </c>
      <c r="AC290" s="17">
        <f>IF(G290="","",IFERROR(INDEX(Recipes!$C$5:$C$204,MATCH(G290,Recipes!$A$5:$A$204,0)),"Not found"))</f>
        <v>0</v>
      </c>
      <c r="AD290" s="46">
        <f>IF(B290="","",IF(G290&lt;&gt;"","Yes",IF(OR(I290="",ISNUMBER(SEARCH("takeaway",I290)),ISNUMBER(SEARCH("out",I290))),"No","Yes")))</f>
        <v>0</v>
      </c>
      <c r="AE290" s="17">
        <f>IF(B290="","",TEXT(B290,"yyyy-mm-dd")&amp;"|"&amp;F290)</f>
        <v>0</v>
      </c>
      <c r="AF290" s="31">
        <f>IF(B290="","",IF(AND(G290="",I290=""),"Add - nothing planned yet",IF(COUNTIFS($AE$5:$AE$504,AE290)&gt;1,"Duplicate - two meals in one slot",IF(AND(G290&lt;&gt;"",H290="Not found"),"Missing - recipe ID not on the Recipes tab",IF(AND(B290&lt;TODAY(),OR(N290="Planned",N290="")),"Check - did you cook it?","OK")))))</f>
        <v>0</v>
      </c>
    </row>
    <row r="291" spans="1:32">
      <c r="A291" s="39">
        <f>IF(B291="","",MealPrefix&amp;TEXT(ROW()-4,"0000"))</f>
        <v>0</v>
      </c>
      <c r="C291" s="17">
        <f>IF(B291="","",TEXT(B291,"ddd"))</f>
        <v>0</v>
      </c>
      <c r="D291" s="18">
        <f>IF(B291="","",WEEKNUM(B291,IF(WeekStart="Sunday",1,2)))</f>
        <v>0</v>
      </c>
      <c r="E291" s="17">
        <f>IF(B291="","",TEXT(B291,"yyyy-mm"))</f>
        <v>0</v>
      </c>
      <c r="H291" s="17">
        <f>IF(G291&lt;&gt;"",IFERROR(INDEX(Recipes!$B$5:$B$204,MATCH(G291,Recipes!$A$5:$A$204,0)),"Not found"),I291)</f>
        <v>0</v>
      </c>
      <c r="K291" s="45">
        <f>IF(B291="","",IF(J291="",DefaultServings,J291))</f>
        <v>0</v>
      </c>
      <c r="L291" s="45">
        <f>IF(G291="",0,IFERROR(K291/INDEX(Recipes!$G$5:$G$204,MATCH(G291,Recipes!$A$5:$A$204,0)),0))</f>
        <v>0</v>
      </c>
      <c r="T291" s="25">
        <f>IF(G291="","",IFERROR(INDEX(Recipes!$AD$5:$AD$204,MATCH(G291,Recipes!$A$5:$A$204,0))*K291,""))</f>
        <v>0</v>
      </c>
      <c r="V291" s="30">
        <f>IF(G291="","",IFERROR(INDEX(Recipes!$AE$5:$AE$204,MATCH(G291,Recipes!$A$5:$A$204,0)),"Not found"))</f>
        <v>0</v>
      </c>
      <c r="W291" s="45">
        <f>IF(G291="","",IFERROR(INDEX(Recipes!$AF$5:$AF$204,MATCH(G291,Recipes!$A$5:$A$204,0)),"Not found"))</f>
        <v>0</v>
      </c>
      <c r="X291" s="45">
        <f>IF(G291="","",IFERROR(INDEX(Recipes!$AG$5:$AG$204,MATCH(G291,Recipes!$A$5:$A$204,0)),"Not found"))</f>
        <v>0</v>
      </c>
      <c r="Y291" s="45">
        <f>IF(G291="","",IFERROR(INDEX(Recipes!$AH$5:$AH$204,MATCH(G291,Recipes!$A$5:$A$204,0)),"Not found"))</f>
        <v>0</v>
      </c>
      <c r="Z291" s="45">
        <f>IF(G291="","",IFERROR(INDEX(Recipes!$AI$5:$AI$204,MATCH(G291,Recipes!$A$5:$A$204,0)),"Not found"))</f>
        <v>0</v>
      </c>
      <c r="AA291" s="30">
        <f>IF(OR(V291="",NOT(ISNUMBER(V291))),"",V291*K291)</f>
        <v>0</v>
      </c>
      <c r="AB291" s="18">
        <f>IF(G291="","",IFERROR(INDEX(Recipes!$J$5:$J$204,MATCH(G291,Recipes!$A$5:$A$204,0)),"Not found"))</f>
        <v>0</v>
      </c>
      <c r="AC291" s="17">
        <f>IF(G291="","",IFERROR(INDEX(Recipes!$C$5:$C$204,MATCH(G291,Recipes!$A$5:$A$204,0)),"Not found"))</f>
        <v>0</v>
      </c>
      <c r="AD291" s="46">
        <f>IF(B291="","",IF(G291&lt;&gt;"","Yes",IF(OR(I291="",ISNUMBER(SEARCH("takeaway",I291)),ISNUMBER(SEARCH("out",I291))),"No","Yes")))</f>
        <v>0</v>
      </c>
      <c r="AE291" s="17">
        <f>IF(B291="","",TEXT(B291,"yyyy-mm-dd")&amp;"|"&amp;F291)</f>
        <v>0</v>
      </c>
      <c r="AF291" s="31">
        <f>IF(B291="","",IF(AND(G291="",I291=""),"Add - nothing planned yet",IF(COUNTIFS($AE$5:$AE$504,AE291)&gt;1,"Duplicate - two meals in one slot",IF(AND(G291&lt;&gt;"",H291="Not found"),"Missing - recipe ID not on the Recipes tab",IF(AND(B291&lt;TODAY(),OR(N291="Planned",N291="")),"Check - did you cook it?","OK")))))</f>
        <v>0</v>
      </c>
    </row>
    <row r="292" spans="1:32">
      <c r="A292" s="39">
        <f>IF(B292="","",MealPrefix&amp;TEXT(ROW()-4,"0000"))</f>
        <v>0</v>
      </c>
      <c r="C292" s="17">
        <f>IF(B292="","",TEXT(B292,"ddd"))</f>
        <v>0</v>
      </c>
      <c r="D292" s="18">
        <f>IF(B292="","",WEEKNUM(B292,IF(WeekStart="Sunday",1,2)))</f>
        <v>0</v>
      </c>
      <c r="E292" s="17">
        <f>IF(B292="","",TEXT(B292,"yyyy-mm"))</f>
        <v>0</v>
      </c>
      <c r="H292" s="17">
        <f>IF(G292&lt;&gt;"",IFERROR(INDEX(Recipes!$B$5:$B$204,MATCH(G292,Recipes!$A$5:$A$204,0)),"Not found"),I292)</f>
        <v>0</v>
      </c>
      <c r="K292" s="45">
        <f>IF(B292="","",IF(J292="",DefaultServings,J292))</f>
        <v>0</v>
      </c>
      <c r="L292" s="45">
        <f>IF(G292="",0,IFERROR(K292/INDEX(Recipes!$G$5:$G$204,MATCH(G292,Recipes!$A$5:$A$204,0)),0))</f>
        <v>0</v>
      </c>
      <c r="T292" s="25">
        <f>IF(G292="","",IFERROR(INDEX(Recipes!$AD$5:$AD$204,MATCH(G292,Recipes!$A$5:$A$204,0))*K292,""))</f>
        <v>0</v>
      </c>
      <c r="V292" s="30">
        <f>IF(G292="","",IFERROR(INDEX(Recipes!$AE$5:$AE$204,MATCH(G292,Recipes!$A$5:$A$204,0)),"Not found"))</f>
        <v>0</v>
      </c>
      <c r="W292" s="45">
        <f>IF(G292="","",IFERROR(INDEX(Recipes!$AF$5:$AF$204,MATCH(G292,Recipes!$A$5:$A$204,0)),"Not found"))</f>
        <v>0</v>
      </c>
      <c r="X292" s="45">
        <f>IF(G292="","",IFERROR(INDEX(Recipes!$AG$5:$AG$204,MATCH(G292,Recipes!$A$5:$A$204,0)),"Not found"))</f>
        <v>0</v>
      </c>
      <c r="Y292" s="45">
        <f>IF(G292="","",IFERROR(INDEX(Recipes!$AH$5:$AH$204,MATCH(G292,Recipes!$A$5:$A$204,0)),"Not found"))</f>
        <v>0</v>
      </c>
      <c r="Z292" s="45">
        <f>IF(G292="","",IFERROR(INDEX(Recipes!$AI$5:$AI$204,MATCH(G292,Recipes!$A$5:$A$204,0)),"Not found"))</f>
        <v>0</v>
      </c>
      <c r="AA292" s="30">
        <f>IF(OR(V292="",NOT(ISNUMBER(V292))),"",V292*K292)</f>
        <v>0</v>
      </c>
      <c r="AB292" s="18">
        <f>IF(G292="","",IFERROR(INDEX(Recipes!$J$5:$J$204,MATCH(G292,Recipes!$A$5:$A$204,0)),"Not found"))</f>
        <v>0</v>
      </c>
      <c r="AC292" s="17">
        <f>IF(G292="","",IFERROR(INDEX(Recipes!$C$5:$C$204,MATCH(G292,Recipes!$A$5:$A$204,0)),"Not found"))</f>
        <v>0</v>
      </c>
      <c r="AD292" s="46">
        <f>IF(B292="","",IF(G292&lt;&gt;"","Yes",IF(OR(I292="",ISNUMBER(SEARCH("takeaway",I292)),ISNUMBER(SEARCH("out",I292))),"No","Yes")))</f>
        <v>0</v>
      </c>
      <c r="AE292" s="17">
        <f>IF(B292="","",TEXT(B292,"yyyy-mm-dd")&amp;"|"&amp;F292)</f>
        <v>0</v>
      </c>
      <c r="AF292" s="31">
        <f>IF(B292="","",IF(AND(G292="",I292=""),"Add - nothing planned yet",IF(COUNTIFS($AE$5:$AE$504,AE292)&gt;1,"Duplicate - two meals in one slot",IF(AND(G292&lt;&gt;"",H292="Not found"),"Missing - recipe ID not on the Recipes tab",IF(AND(B292&lt;TODAY(),OR(N292="Planned",N292="")),"Check - did you cook it?","OK")))))</f>
        <v>0</v>
      </c>
    </row>
    <row r="293" spans="1:32">
      <c r="A293" s="39">
        <f>IF(B293="","",MealPrefix&amp;TEXT(ROW()-4,"0000"))</f>
        <v>0</v>
      </c>
      <c r="C293" s="17">
        <f>IF(B293="","",TEXT(B293,"ddd"))</f>
        <v>0</v>
      </c>
      <c r="D293" s="18">
        <f>IF(B293="","",WEEKNUM(B293,IF(WeekStart="Sunday",1,2)))</f>
        <v>0</v>
      </c>
      <c r="E293" s="17">
        <f>IF(B293="","",TEXT(B293,"yyyy-mm"))</f>
        <v>0</v>
      </c>
      <c r="H293" s="17">
        <f>IF(G293&lt;&gt;"",IFERROR(INDEX(Recipes!$B$5:$B$204,MATCH(G293,Recipes!$A$5:$A$204,0)),"Not found"),I293)</f>
        <v>0</v>
      </c>
      <c r="K293" s="45">
        <f>IF(B293="","",IF(J293="",DefaultServings,J293))</f>
        <v>0</v>
      </c>
      <c r="L293" s="45">
        <f>IF(G293="",0,IFERROR(K293/INDEX(Recipes!$G$5:$G$204,MATCH(G293,Recipes!$A$5:$A$204,0)),0))</f>
        <v>0</v>
      </c>
      <c r="T293" s="25">
        <f>IF(G293="","",IFERROR(INDEX(Recipes!$AD$5:$AD$204,MATCH(G293,Recipes!$A$5:$A$204,0))*K293,""))</f>
        <v>0</v>
      </c>
      <c r="V293" s="30">
        <f>IF(G293="","",IFERROR(INDEX(Recipes!$AE$5:$AE$204,MATCH(G293,Recipes!$A$5:$A$204,0)),"Not found"))</f>
        <v>0</v>
      </c>
      <c r="W293" s="45">
        <f>IF(G293="","",IFERROR(INDEX(Recipes!$AF$5:$AF$204,MATCH(G293,Recipes!$A$5:$A$204,0)),"Not found"))</f>
        <v>0</v>
      </c>
      <c r="X293" s="45">
        <f>IF(G293="","",IFERROR(INDEX(Recipes!$AG$5:$AG$204,MATCH(G293,Recipes!$A$5:$A$204,0)),"Not found"))</f>
        <v>0</v>
      </c>
      <c r="Y293" s="45">
        <f>IF(G293="","",IFERROR(INDEX(Recipes!$AH$5:$AH$204,MATCH(G293,Recipes!$A$5:$A$204,0)),"Not found"))</f>
        <v>0</v>
      </c>
      <c r="Z293" s="45">
        <f>IF(G293="","",IFERROR(INDEX(Recipes!$AI$5:$AI$204,MATCH(G293,Recipes!$A$5:$A$204,0)),"Not found"))</f>
        <v>0</v>
      </c>
      <c r="AA293" s="30">
        <f>IF(OR(V293="",NOT(ISNUMBER(V293))),"",V293*K293)</f>
        <v>0</v>
      </c>
      <c r="AB293" s="18">
        <f>IF(G293="","",IFERROR(INDEX(Recipes!$J$5:$J$204,MATCH(G293,Recipes!$A$5:$A$204,0)),"Not found"))</f>
        <v>0</v>
      </c>
      <c r="AC293" s="17">
        <f>IF(G293="","",IFERROR(INDEX(Recipes!$C$5:$C$204,MATCH(G293,Recipes!$A$5:$A$204,0)),"Not found"))</f>
        <v>0</v>
      </c>
      <c r="AD293" s="46">
        <f>IF(B293="","",IF(G293&lt;&gt;"","Yes",IF(OR(I293="",ISNUMBER(SEARCH("takeaway",I293)),ISNUMBER(SEARCH("out",I293))),"No","Yes")))</f>
        <v>0</v>
      </c>
      <c r="AE293" s="17">
        <f>IF(B293="","",TEXT(B293,"yyyy-mm-dd")&amp;"|"&amp;F293)</f>
        <v>0</v>
      </c>
      <c r="AF293" s="31">
        <f>IF(B293="","",IF(AND(G293="",I293=""),"Add - nothing planned yet",IF(COUNTIFS($AE$5:$AE$504,AE293)&gt;1,"Duplicate - two meals in one slot",IF(AND(G293&lt;&gt;"",H293="Not found"),"Missing - recipe ID not on the Recipes tab",IF(AND(B293&lt;TODAY(),OR(N293="Planned",N293="")),"Check - did you cook it?","OK")))))</f>
        <v>0</v>
      </c>
    </row>
    <row r="294" spans="1:32">
      <c r="A294" s="39">
        <f>IF(B294="","",MealPrefix&amp;TEXT(ROW()-4,"0000"))</f>
        <v>0</v>
      </c>
      <c r="C294" s="17">
        <f>IF(B294="","",TEXT(B294,"ddd"))</f>
        <v>0</v>
      </c>
      <c r="D294" s="18">
        <f>IF(B294="","",WEEKNUM(B294,IF(WeekStart="Sunday",1,2)))</f>
        <v>0</v>
      </c>
      <c r="E294" s="17">
        <f>IF(B294="","",TEXT(B294,"yyyy-mm"))</f>
        <v>0</v>
      </c>
      <c r="H294" s="17">
        <f>IF(G294&lt;&gt;"",IFERROR(INDEX(Recipes!$B$5:$B$204,MATCH(G294,Recipes!$A$5:$A$204,0)),"Not found"),I294)</f>
        <v>0</v>
      </c>
      <c r="K294" s="45">
        <f>IF(B294="","",IF(J294="",DefaultServings,J294))</f>
        <v>0</v>
      </c>
      <c r="L294" s="45">
        <f>IF(G294="",0,IFERROR(K294/INDEX(Recipes!$G$5:$G$204,MATCH(G294,Recipes!$A$5:$A$204,0)),0))</f>
        <v>0</v>
      </c>
      <c r="T294" s="25">
        <f>IF(G294="","",IFERROR(INDEX(Recipes!$AD$5:$AD$204,MATCH(G294,Recipes!$A$5:$A$204,0))*K294,""))</f>
        <v>0</v>
      </c>
      <c r="V294" s="30">
        <f>IF(G294="","",IFERROR(INDEX(Recipes!$AE$5:$AE$204,MATCH(G294,Recipes!$A$5:$A$204,0)),"Not found"))</f>
        <v>0</v>
      </c>
      <c r="W294" s="45">
        <f>IF(G294="","",IFERROR(INDEX(Recipes!$AF$5:$AF$204,MATCH(G294,Recipes!$A$5:$A$204,0)),"Not found"))</f>
        <v>0</v>
      </c>
      <c r="X294" s="45">
        <f>IF(G294="","",IFERROR(INDEX(Recipes!$AG$5:$AG$204,MATCH(G294,Recipes!$A$5:$A$204,0)),"Not found"))</f>
        <v>0</v>
      </c>
      <c r="Y294" s="45">
        <f>IF(G294="","",IFERROR(INDEX(Recipes!$AH$5:$AH$204,MATCH(G294,Recipes!$A$5:$A$204,0)),"Not found"))</f>
        <v>0</v>
      </c>
      <c r="Z294" s="45">
        <f>IF(G294="","",IFERROR(INDEX(Recipes!$AI$5:$AI$204,MATCH(G294,Recipes!$A$5:$A$204,0)),"Not found"))</f>
        <v>0</v>
      </c>
      <c r="AA294" s="30">
        <f>IF(OR(V294="",NOT(ISNUMBER(V294))),"",V294*K294)</f>
        <v>0</v>
      </c>
      <c r="AB294" s="18">
        <f>IF(G294="","",IFERROR(INDEX(Recipes!$J$5:$J$204,MATCH(G294,Recipes!$A$5:$A$204,0)),"Not found"))</f>
        <v>0</v>
      </c>
      <c r="AC294" s="17">
        <f>IF(G294="","",IFERROR(INDEX(Recipes!$C$5:$C$204,MATCH(G294,Recipes!$A$5:$A$204,0)),"Not found"))</f>
        <v>0</v>
      </c>
      <c r="AD294" s="46">
        <f>IF(B294="","",IF(G294&lt;&gt;"","Yes",IF(OR(I294="",ISNUMBER(SEARCH("takeaway",I294)),ISNUMBER(SEARCH("out",I294))),"No","Yes")))</f>
        <v>0</v>
      </c>
      <c r="AE294" s="17">
        <f>IF(B294="","",TEXT(B294,"yyyy-mm-dd")&amp;"|"&amp;F294)</f>
        <v>0</v>
      </c>
      <c r="AF294" s="31">
        <f>IF(B294="","",IF(AND(G294="",I294=""),"Add - nothing planned yet",IF(COUNTIFS($AE$5:$AE$504,AE294)&gt;1,"Duplicate - two meals in one slot",IF(AND(G294&lt;&gt;"",H294="Not found"),"Missing - recipe ID not on the Recipes tab",IF(AND(B294&lt;TODAY(),OR(N294="Planned",N294="")),"Check - did you cook it?","OK")))))</f>
        <v>0</v>
      </c>
    </row>
    <row r="295" spans="1:32">
      <c r="A295" s="39">
        <f>IF(B295="","",MealPrefix&amp;TEXT(ROW()-4,"0000"))</f>
        <v>0</v>
      </c>
      <c r="C295" s="17">
        <f>IF(B295="","",TEXT(B295,"ddd"))</f>
        <v>0</v>
      </c>
      <c r="D295" s="18">
        <f>IF(B295="","",WEEKNUM(B295,IF(WeekStart="Sunday",1,2)))</f>
        <v>0</v>
      </c>
      <c r="E295" s="17">
        <f>IF(B295="","",TEXT(B295,"yyyy-mm"))</f>
        <v>0</v>
      </c>
      <c r="H295" s="17">
        <f>IF(G295&lt;&gt;"",IFERROR(INDEX(Recipes!$B$5:$B$204,MATCH(G295,Recipes!$A$5:$A$204,0)),"Not found"),I295)</f>
        <v>0</v>
      </c>
      <c r="K295" s="45">
        <f>IF(B295="","",IF(J295="",DefaultServings,J295))</f>
        <v>0</v>
      </c>
      <c r="L295" s="45">
        <f>IF(G295="",0,IFERROR(K295/INDEX(Recipes!$G$5:$G$204,MATCH(G295,Recipes!$A$5:$A$204,0)),0))</f>
        <v>0</v>
      </c>
      <c r="T295" s="25">
        <f>IF(G295="","",IFERROR(INDEX(Recipes!$AD$5:$AD$204,MATCH(G295,Recipes!$A$5:$A$204,0))*K295,""))</f>
        <v>0</v>
      </c>
      <c r="V295" s="30">
        <f>IF(G295="","",IFERROR(INDEX(Recipes!$AE$5:$AE$204,MATCH(G295,Recipes!$A$5:$A$204,0)),"Not found"))</f>
        <v>0</v>
      </c>
      <c r="W295" s="45">
        <f>IF(G295="","",IFERROR(INDEX(Recipes!$AF$5:$AF$204,MATCH(G295,Recipes!$A$5:$A$204,0)),"Not found"))</f>
        <v>0</v>
      </c>
      <c r="X295" s="45">
        <f>IF(G295="","",IFERROR(INDEX(Recipes!$AG$5:$AG$204,MATCH(G295,Recipes!$A$5:$A$204,0)),"Not found"))</f>
        <v>0</v>
      </c>
      <c r="Y295" s="45">
        <f>IF(G295="","",IFERROR(INDEX(Recipes!$AH$5:$AH$204,MATCH(G295,Recipes!$A$5:$A$204,0)),"Not found"))</f>
        <v>0</v>
      </c>
      <c r="Z295" s="45">
        <f>IF(G295="","",IFERROR(INDEX(Recipes!$AI$5:$AI$204,MATCH(G295,Recipes!$A$5:$A$204,0)),"Not found"))</f>
        <v>0</v>
      </c>
      <c r="AA295" s="30">
        <f>IF(OR(V295="",NOT(ISNUMBER(V295))),"",V295*K295)</f>
        <v>0</v>
      </c>
      <c r="AB295" s="18">
        <f>IF(G295="","",IFERROR(INDEX(Recipes!$J$5:$J$204,MATCH(G295,Recipes!$A$5:$A$204,0)),"Not found"))</f>
        <v>0</v>
      </c>
      <c r="AC295" s="17">
        <f>IF(G295="","",IFERROR(INDEX(Recipes!$C$5:$C$204,MATCH(G295,Recipes!$A$5:$A$204,0)),"Not found"))</f>
        <v>0</v>
      </c>
      <c r="AD295" s="46">
        <f>IF(B295="","",IF(G295&lt;&gt;"","Yes",IF(OR(I295="",ISNUMBER(SEARCH("takeaway",I295)),ISNUMBER(SEARCH("out",I295))),"No","Yes")))</f>
        <v>0</v>
      </c>
      <c r="AE295" s="17">
        <f>IF(B295="","",TEXT(B295,"yyyy-mm-dd")&amp;"|"&amp;F295)</f>
        <v>0</v>
      </c>
      <c r="AF295" s="31">
        <f>IF(B295="","",IF(AND(G295="",I295=""),"Add - nothing planned yet",IF(COUNTIFS($AE$5:$AE$504,AE295)&gt;1,"Duplicate - two meals in one slot",IF(AND(G295&lt;&gt;"",H295="Not found"),"Missing - recipe ID not on the Recipes tab",IF(AND(B295&lt;TODAY(),OR(N295="Planned",N295="")),"Check - did you cook it?","OK")))))</f>
        <v>0</v>
      </c>
    </row>
    <row r="296" spans="1:32">
      <c r="A296" s="39">
        <f>IF(B296="","",MealPrefix&amp;TEXT(ROW()-4,"0000"))</f>
        <v>0</v>
      </c>
      <c r="C296" s="17">
        <f>IF(B296="","",TEXT(B296,"ddd"))</f>
        <v>0</v>
      </c>
      <c r="D296" s="18">
        <f>IF(B296="","",WEEKNUM(B296,IF(WeekStart="Sunday",1,2)))</f>
        <v>0</v>
      </c>
      <c r="E296" s="17">
        <f>IF(B296="","",TEXT(B296,"yyyy-mm"))</f>
        <v>0</v>
      </c>
      <c r="H296" s="17">
        <f>IF(G296&lt;&gt;"",IFERROR(INDEX(Recipes!$B$5:$B$204,MATCH(G296,Recipes!$A$5:$A$204,0)),"Not found"),I296)</f>
        <v>0</v>
      </c>
      <c r="K296" s="45">
        <f>IF(B296="","",IF(J296="",DefaultServings,J296))</f>
        <v>0</v>
      </c>
      <c r="L296" s="45">
        <f>IF(G296="",0,IFERROR(K296/INDEX(Recipes!$G$5:$G$204,MATCH(G296,Recipes!$A$5:$A$204,0)),0))</f>
        <v>0</v>
      </c>
      <c r="T296" s="25">
        <f>IF(G296="","",IFERROR(INDEX(Recipes!$AD$5:$AD$204,MATCH(G296,Recipes!$A$5:$A$204,0))*K296,""))</f>
        <v>0</v>
      </c>
      <c r="V296" s="30">
        <f>IF(G296="","",IFERROR(INDEX(Recipes!$AE$5:$AE$204,MATCH(G296,Recipes!$A$5:$A$204,0)),"Not found"))</f>
        <v>0</v>
      </c>
      <c r="W296" s="45">
        <f>IF(G296="","",IFERROR(INDEX(Recipes!$AF$5:$AF$204,MATCH(G296,Recipes!$A$5:$A$204,0)),"Not found"))</f>
        <v>0</v>
      </c>
      <c r="X296" s="45">
        <f>IF(G296="","",IFERROR(INDEX(Recipes!$AG$5:$AG$204,MATCH(G296,Recipes!$A$5:$A$204,0)),"Not found"))</f>
        <v>0</v>
      </c>
      <c r="Y296" s="45">
        <f>IF(G296="","",IFERROR(INDEX(Recipes!$AH$5:$AH$204,MATCH(G296,Recipes!$A$5:$A$204,0)),"Not found"))</f>
        <v>0</v>
      </c>
      <c r="Z296" s="45">
        <f>IF(G296="","",IFERROR(INDEX(Recipes!$AI$5:$AI$204,MATCH(G296,Recipes!$A$5:$A$204,0)),"Not found"))</f>
        <v>0</v>
      </c>
      <c r="AA296" s="30">
        <f>IF(OR(V296="",NOT(ISNUMBER(V296))),"",V296*K296)</f>
        <v>0</v>
      </c>
      <c r="AB296" s="18">
        <f>IF(G296="","",IFERROR(INDEX(Recipes!$J$5:$J$204,MATCH(G296,Recipes!$A$5:$A$204,0)),"Not found"))</f>
        <v>0</v>
      </c>
      <c r="AC296" s="17">
        <f>IF(G296="","",IFERROR(INDEX(Recipes!$C$5:$C$204,MATCH(G296,Recipes!$A$5:$A$204,0)),"Not found"))</f>
        <v>0</v>
      </c>
      <c r="AD296" s="46">
        <f>IF(B296="","",IF(G296&lt;&gt;"","Yes",IF(OR(I296="",ISNUMBER(SEARCH("takeaway",I296)),ISNUMBER(SEARCH("out",I296))),"No","Yes")))</f>
        <v>0</v>
      </c>
      <c r="AE296" s="17">
        <f>IF(B296="","",TEXT(B296,"yyyy-mm-dd")&amp;"|"&amp;F296)</f>
        <v>0</v>
      </c>
      <c r="AF296" s="31">
        <f>IF(B296="","",IF(AND(G296="",I296=""),"Add - nothing planned yet",IF(COUNTIFS($AE$5:$AE$504,AE296)&gt;1,"Duplicate - two meals in one slot",IF(AND(G296&lt;&gt;"",H296="Not found"),"Missing - recipe ID not on the Recipes tab",IF(AND(B296&lt;TODAY(),OR(N296="Planned",N296="")),"Check - did you cook it?","OK")))))</f>
        <v>0</v>
      </c>
    </row>
    <row r="297" spans="1:32">
      <c r="A297" s="39">
        <f>IF(B297="","",MealPrefix&amp;TEXT(ROW()-4,"0000"))</f>
        <v>0</v>
      </c>
      <c r="C297" s="17">
        <f>IF(B297="","",TEXT(B297,"ddd"))</f>
        <v>0</v>
      </c>
      <c r="D297" s="18">
        <f>IF(B297="","",WEEKNUM(B297,IF(WeekStart="Sunday",1,2)))</f>
        <v>0</v>
      </c>
      <c r="E297" s="17">
        <f>IF(B297="","",TEXT(B297,"yyyy-mm"))</f>
        <v>0</v>
      </c>
      <c r="H297" s="17">
        <f>IF(G297&lt;&gt;"",IFERROR(INDEX(Recipes!$B$5:$B$204,MATCH(G297,Recipes!$A$5:$A$204,0)),"Not found"),I297)</f>
        <v>0</v>
      </c>
      <c r="K297" s="45">
        <f>IF(B297="","",IF(J297="",DefaultServings,J297))</f>
        <v>0</v>
      </c>
      <c r="L297" s="45">
        <f>IF(G297="",0,IFERROR(K297/INDEX(Recipes!$G$5:$G$204,MATCH(G297,Recipes!$A$5:$A$204,0)),0))</f>
        <v>0</v>
      </c>
      <c r="T297" s="25">
        <f>IF(G297="","",IFERROR(INDEX(Recipes!$AD$5:$AD$204,MATCH(G297,Recipes!$A$5:$A$204,0))*K297,""))</f>
        <v>0</v>
      </c>
      <c r="V297" s="30">
        <f>IF(G297="","",IFERROR(INDEX(Recipes!$AE$5:$AE$204,MATCH(G297,Recipes!$A$5:$A$204,0)),"Not found"))</f>
        <v>0</v>
      </c>
      <c r="W297" s="45">
        <f>IF(G297="","",IFERROR(INDEX(Recipes!$AF$5:$AF$204,MATCH(G297,Recipes!$A$5:$A$204,0)),"Not found"))</f>
        <v>0</v>
      </c>
      <c r="X297" s="45">
        <f>IF(G297="","",IFERROR(INDEX(Recipes!$AG$5:$AG$204,MATCH(G297,Recipes!$A$5:$A$204,0)),"Not found"))</f>
        <v>0</v>
      </c>
      <c r="Y297" s="45">
        <f>IF(G297="","",IFERROR(INDEX(Recipes!$AH$5:$AH$204,MATCH(G297,Recipes!$A$5:$A$204,0)),"Not found"))</f>
        <v>0</v>
      </c>
      <c r="Z297" s="45">
        <f>IF(G297="","",IFERROR(INDEX(Recipes!$AI$5:$AI$204,MATCH(G297,Recipes!$A$5:$A$204,0)),"Not found"))</f>
        <v>0</v>
      </c>
      <c r="AA297" s="30">
        <f>IF(OR(V297="",NOT(ISNUMBER(V297))),"",V297*K297)</f>
        <v>0</v>
      </c>
      <c r="AB297" s="18">
        <f>IF(G297="","",IFERROR(INDEX(Recipes!$J$5:$J$204,MATCH(G297,Recipes!$A$5:$A$204,0)),"Not found"))</f>
        <v>0</v>
      </c>
      <c r="AC297" s="17">
        <f>IF(G297="","",IFERROR(INDEX(Recipes!$C$5:$C$204,MATCH(G297,Recipes!$A$5:$A$204,0)),"Not found"))</f>
        <v>0</v>
      </c>
      <c r="AD297" s="46">
        <f>IF(B297="","",IF(G297&lt;&gt;"","Yes",IF(OR(I297="",ISNUMBER(SEARCH("takeaway",I297)),ISNUMBER(SEARCH("out",I297))),"No","Yes")))</f>
        <v>0</v>
      </c>
      <c r="AE297" s="17">
        <f>IF(B297="","",TEXT(B297,"yyyy-mm-dd")&amp;"|"&amp;F297)</f>
        <v>0</v>
      </c>
      <c r="AF297" s="31">
        <f>IF(B297="","",IF(AND(G297="",I297=""),"Add - nothing planned yet",IF(COUNTIFS($AE$5:$AE$504,AE297)&gt;1,"Duplicate - two meals in one slot",IF(AND(G297&lt;&gt;"",H297="Not found"),"Missing - recipe ID not on the Recipes tab",IF(AND(B297&lt;TODAY(),OR(N297="Planned",N297="")),"Check - did you cook it?","OK")))))</f>
        <v>0</v>
      </c>
    </row>
    <row r="298" spans="1:32">
      <c r="A298" s="39">
        <f>IF(B298="","",MealPrefix&amp;TEXT(ROW()-4,"0000"))</f>
        <v>0</v>
      </c>
      <c r="C298" s="17">
        <f>IF(B298="","",TEXT(B298,"ddd"))</f>
        <v>0</v>
      </c>
      <c r="D298" s="18">
        <f>IF(B298="","",WEEKNUM(B298,IF(WeekStart="Sunday",1,2)))</f>
        <v>0</v>
      </c>
      <c r="E298" s="17">
        <f>IF(B298="","",TEXT(B298,"yyyy-mm"))</f>
        <v>0</v>
      </c>
      <c r="H298" s="17">
        <f>IF(G298&lt;&gt;"",IFERROR(INDEX(Recipes!$B$5:$B$204,MATCH(G298,Recipes!$A$5:$A$204,0)),"Not found"),I298)</f>
        <v>0</v>
      </c>
      <c r="K298" s="45">
        <f>IF(B298="","",IF(J298="",DefaultServings,J298))</f>
        <v>0</v>
      </c>
      <c r="L298" s="45">
        <f>IF(G298="",0,IFERROR(K298/INDEX(Recipes!$G$5:$G$204,MATCH(G298,Recipes!$A$5:$A$204,0)),0))</f>
        <v>0</v>
      </c>
      <c r="T298" s="25">
        <f>IF(G298="","",IFERROR(INDEX(Recipes!$AD$5:$AD$204,MATCH(G298,Recipes!$A$5:$A$204,0))*K298,""))</f>
        <v>0</v>
      </c>
      <c r="V298" s="30">
        <f>IF(G298="","",IFERROR(INDEX(Recipes!$AE$5:$AE$204,MATCH(G298,Recipes!$A$5:$A$204,0)),"Not found"))</f>
        <v>0</v>
      </c>
      <c r="W298" s="45">
        <f>IF(G298="","",IFERROR(INDEX(Recipes!$AF$5:$AF$204,MATCH(G298,Recipes!$A$5:$A$204,0)),"Not found"))</f>
        <v>0</v>
      </c>
      <c r="X298" s="45">
        <f>IF(G298="","",IFERROR(INDEX(Recipes!$AG$5:$AG$204,MATCH(G298,Recipes!$A$5:$A$204,0)),"Not found"))</f>
        <v>0</v>
      </c>
      <c r="Y298" s="45">
        <f>IF(G298="","",IFERROR(INDEX(Recipes!$AH$5:$AH$204,MATCH(G298,Recipes!$A$5:$A$204,0)),"Not found"))</f>
        <v>0</v>
      </c>
      <c r="Z298" s="45">
        <f>IF(G298="","",IFERROR(INDEX(Recipes!$AI$5:$AI$204,MATCH(G298,Recipes!$A$5:$A$204,0)),"Not found"))</f>
        <v>0</v>
      </c>
      <c r="AA298" s="30">
        <f>IF(OR(V298="",NOT(ISNUMBER(V298))),"",V298*K298)</f>
        <v>0</v>
      </c>
      <c r="AB298" s="18">
        <f>IF(G298="","",IFERROR(INDEX(Recipes!$J$5:$J$204,MATCH(G298,Recipes!$A$5:$A$204,0)),"Not found"))</f>
        <v>0</v>
      </c>
      <c r="AC298" s="17">
        <f>IF(G298="","",IFERROR(INDEX(Recipes!$C$5:$C$204,MATCH(G298,Recipes!$A$5:$A$204,0)),"Not found"))</f>
        <v>0</v>
      </c>
      <c r="AD298" s="46">
        <f>IF(B298="","",IF(G298&lt;&gt;"","Yes",IF(OR(I298="",ISNUMBER(SEARCH("takeaway",I298)),ISNUMBER(SEARCH("out",I298))),"No","Yes")))</f>
        <v>0</v>
      </c>
      <c r="AE298" s="17">
        <f>IF(B298="","",TEXT(B298,"yyyy-mm-dd")&amp;"|"&amp;F298)</f>
        <v>0</v>
      </c>
      <c r="AF298" s="31">
        <f>IF(B298="","",IF(AND(G298="",I298=""),"Add - nothing planned yet",IF(COUNTIFS($AE$5:$AE$504,AE298)&gt;1,"Duplicate - two meals in one slot",IF(AND(G298&lt;&gt;"",H298="Not found"),"Missing - recipe ID not on the Recipes tab",IF(AND(B298&lt;TODAY(),OR(N298="Planned",N298="")),"Check - did you cook it?","OK")))))</f>
        <v>0</v>
      </c>
    </row>
    <row r="299" spans="1:32">
      <c r="A299" s="39">
        <f>IF(B299="","",MealPrefix&amp;TEXT(ROW()-4,"0000"))</f>
        <v>0</v>
      </c>
      <c r="C299" s="17">
        <f>IF(B299="","",TEXT(B299,"ddd"))</f>
        <v>0</v>
      </c>
      <c r="D299" s="18">
        <f>IF(B299="","",WEEKNUM(B299,IF(WeekStart="Sunday",1,2)))</f>
        <v>0</v>
      </c>
      <c r="E299" s="17">
        <f>IF(B299="","",TEXT(B299,"yyyy-mm"))</f>
        <v>0</v>
      </c>
      <c r="H299" s="17">
        <f>IF(G299&lt;&gt;"",IFERROR(INDEX(Recipes!$B$5:$B$204,MATCH(G299,Recipes!$A$5:$A$204,0)),"Not found"),I299)</f>
        <v>0</v>
      </c>
      <c r="K299" s="45">
        <f>IF(B299="","",IF(J299="",DefaultServings,J299))</f>
        <v>0</v>
      </c>
      <c r="L299" s="45">
        <f>IF(G299="",0,IFERROR(K299/INDEX(Recipes!$G$5:$G$204,MATCH(G299,Recipes!$A$5:$A$204,0)),0))</f>
        <v>0</v>
      </c>
      <c r="T299" s="25">
        <f>IF(G299="","",IFERROR(INDEX(Recipes!$AD$5:$AD$204,MATCH(G299,Recipes!$A$5:$A$204,0))*K299,""))</f>
        <v>0</v>
      </c>
      <c r="V299" s="30">
        <f>IF(G299="","",IFERROR(INDEX(Recipes!$AE$5:$AE$204,MATCH(G299,Recipes!$A$5:$A$204,0)),"Not found"))</f>
        <v>0</v>
      </c>
      <c r="W299" s="45">
        <f>IF(G299="","",IFERROR(INDEX(Recipes!$AF$5:$AF$204,MATCH(G299,Recipes!$A$5:$A$204,0)),"Not found"))</f>
        <v>0</v>
      </c>
      <c r="X299" s="45">
        <f>IF(G299="","",IFERROR(INDEX(Recipes!$AG$5:$AG$204,MATCH(G299,Recipes!$A$5:$A$204,0)),"Not found"))</f>
        <v>0</v>
      </c>
      <c r="Y299" s="45">
        <f>IF(G299="","",IFERROR(INDEX(Recipes!$AH$5:$AH$204,MATCH(G299,Recipes!$A$5:$A$204,0)),"Not found"))</f>
        <v>0</v>
      </c>
      <c r="Z299" s="45">
        <f>IF(G299="","",IFERROR(INDEX(Recipes!$AI$5:$AI$204,MATCH(G299,Recipes!$A$5:$A$204,0)),"Not found"))</f>
        <v>0</v>
      </c>
      <c r="AA299" s="30">
        <f>IF(OR(V299="",NOT(ISNUMBER(V299))),"",V299*K299)</f>
        <v>0</v>
      </c>
      <c r="AB299" s="18">
        <f>IF(G299="","",IFERROR(INDEX(Recipes!$J$5:$J$204,MATCH(G299,Recipes!$A$5:$A$204,0)),"Not found"))</f>
        <v>0</v>
      </c>
      <c r="AC299" s="17">
        <f>IF(G299="","",IFERROR(INDEX(Recipes!$C$5:$C$204,MATCH(G299,Recipes!$A$5:$A$204,0)),"Not found"))</f>
        <v>0</v>
      </c>
      <c r="AD299" s="46">
        <f>IF(B299="","",IF(G299&lt;&gt;"","Yes",IF(OR(I299="",ISNUMBER(SEARCH("takeaway",I299)),ISNUMBER(SEARCH("out",I299))),"No","Yes")))</f>
        <v>0</v>
      </c>
      <c r="AE299" s="17">
        <f>IF(B299="","",TEXT(B299,"yyyy-mm-dd")&amp;"|"&amp;F299)</f>
        <v>0</v>
      </c>
      <c r="AF299" s="31">
        <f>IF(B299="","",IF(AND(G299="",I299=""),"Add - nothing planned yet",IF(COUNTIFS($AE$5:$AE$504,AE299)&gt;1,"Duplicate - two meals in one slot",IF(AND(G299&lt;&gt;"",H299="Not found"),"Missing - recipe ID not on the Recipes tab",IF(AND(B299&lt;TODAY(),OR(N299="Planned",N299="")),"Check - did you cook it?","OK")))))</f>
        <v>0</v>
      </c>
    </row>
    <row r="300" spans="1:32">
      <c r="A300" s="39">
        <f>IF(B300="","",MealPrefix&amp;TEXT(ROW()-4,"0000"))</f>
        <v>0</v>
      </c>
      <c r="C300" s="17">
        <f>IF(B300="","",TEXT(B300,"ddd"))</f>
        <v>0</v>
      </c>
      <c r="D300" s="18">
        <f>IF(B300="","",WEEKNUM(B300,IF(WeekStart="Sunday",1,2)))</f>
        <v>0</v>
      </c>
      <c r="E300" s="17">
        <f>IF(B300="","",TEXT(B300,"yyyy-mm"))</f>
        <v>0</v>
      </c>
      <c r="H300" s="17">
        <f>IF(G300&lt;&gt;"",IFERROR(INDEX(Recipes!$B$5:$B$204,MATCH(G300,Recipes!$A$5:$A$204,0)),"Not found"),I300)</f>
        <v>0</v>
      </c>
      <c r="K300" s="45">
        <f>IF(B300="","",IF(J300="",DefaultServings,J300))</f>
        <v>0</v>
      </c>
      <c r="L300" s="45">
        <f>IF(G300="",0,IFERROR(K300/INDEX(Recipes!$G$5:$G$204,MATCH(G300,Recipes!$A$5:$A$204,0)),0))</f>
        <v>0</v>
      </c>
      <c r="T300" s="25">
        <f>IF(G300="","",IFERROR(INDEX(Recipes!$AD$5:$AD$204,MATCH(G300,Recipes!$A$5:$A$204,0))*K300,""))</f>
        <v>0</v>
      </c>
      <c r="V300" s="30">
        <f>IF(G300="","",IFERROR(INDEX(Recipes!$AE$5:$AE$204,MATCH(G300,Recipes!$A$5:$A$204,0)),"Not found"))</f>
        <v>0</v>
      </c>
      <c r="W300" s="45">
        <f>IF(G300="","",IFERROR(INDEX(Recipes!$AF$5:$AF$204,MATCH(G300,Recipes!$A$5:$A$204,0)),"Not found"))</f>
        <v>0</v>
      </c>
      <c r="X300" s="45">
        <f>IF(G300="","",IFERROR(INDEX(Recipes!$AG$5:$AG$204,MATCH(G300,Recipes!$A$5:$A$204,0)),"Not found"))</f>
        <v>0</v>
      </c>
      <c r="Y300" s="45">
        <f>IF(G300="","",IFERROR(INDEX(Recipes!$AH$5:$AH$204,MATCH(G300,Recipes!$A$5:$A$204,0)),"Not found"))</f>
        <v>0</v>
      </c>
      <c r="Z300" s="45">
        <f>IF(G300="","",IFERROR(INDEX(Recipes!$AI$5:$AI$204,MATCH(G300,Recipes!$A$5:$A$204,0)),"Not found"))</f>
        <v>0</v>
      </c>
      <c r="AA300" s="30">
        <f>IF(OR(V300="",NOT(ISNUMBER(V300))),"",V300*K300)</f>
        <v>0</v>
      </c>
      <c r="AB300" s="18">
        <f>IF(G300="","",IFERROR(INDEX(Recipes!$J$5:$J$204,MATCH(G300,Recipes!$A$5:$A$204,0)),"Not found"))</f>
        <v>0</v>
      </c>
      <c r="AC300" s="17">
        <f>IF(G300="","",IFERROR(INDEX(Recipes!$C$5:$C$204,MATCH(G300,Recipes!$A$5:$A$204,0)),"Not found"))</f>
        <v>0</v>
      </c>
      <c r="AD300" s="46">
        <f>IF(B300="","",IF(G300&lt;&gt;"","Yes",IF(OR(I300="",ISNUMBER(SEARCH("takeaway",I300)),ISNUMBER(SEARCH("out",I300))),"No","Yes")))</f>
        <v>0</v>
      </c>
      <c r="AE300" s="17">
        <f>IF(B300="","",TEXT(B300,"yyyy-mm-dd")&amp;"|"&amp;F300)</f>
        <v>0</v>
      </c>
      <c r="AF300" s="31">
        <f>IF(B300="","",IF(AND(G300="",I300=""),"Add - nothing planned yet",IF(COUNTIFS($AE$5:$AE$504,AE300)&gt;1,"Duplicate - two meals in one slot",IF(AND(G300&lt;&gt;"",H300="Not found"),"Missing - recipe ID not on the Recipes tab",IF(AND(B300&lt;TODAY(),OR(N300="Planned",N300="")),"Check - did you cook it?","OK")))))</f>
        <v>0</v>
      </c>
    </row>
    <row r="301" spans="1:32">
      <c r="A301" s="39">
        <f>IF(B301="","",MealPrefix&amp;TEXT(ROW()-4,"0000"))</f>
        <v>0</v>
      </c>
      <c r="C301" s="17">
        <f>IF(B301="","",TEXT(B301,"ddd"))</f>
        <v>0</v>
      </c>
      <c r="D301" s="18">
        <f>IF(B301="","",WEEKNUM(B301,IF(WeekStart="Sunday",1,2)))</f>
        <v>0</v>
      </c>
      <c r="E301" s="17">
        <f>IF(B301="","",TEXT(B301,"yyyy-mm"))</f>
        <v>0</v>
      </c>
      <c r="H301" s="17">
        <f>IF(G301&lt;&gt;"",IFERROR(INDEX(Recipes!$B$5:$B$204,MATCH(G301,Recipes!$A$5:$A$204,0)),"Not found"),I301)</f>
        <v>0</v>
      </c>
      <c r="K301" s="45">
        <f>IF(B301="","",IF(J301="",DefaultServings,J301))</f>
        <v>0</v>
      </c>
      <c r="L301" s="45">
        <f>IF(G301="",0,IFERROR(K301/INDEX(Recipes!$G$5:$G$204,MATCH(G301,Recipes!$A$5:$A$204,0)),0))</f>
        <v>0</v>
      </c>
      <c r="T301" s="25">
        <f>IF(G301="","",IFERROR(INDEX(Recipes!$AD$5:$AD$204,MATCH(G301,Recipes!$A$5:$A$204,0))*K301,""))</f>
        <v>0</v>
      </c>
      <c r="V301" s="30">
        <f>IF(G301="","",IFERROR(INDEX(Recipes!$AE$5:$AE$204,MATCH(G301,Recipes!$A$5:$A$204,0)),"Not found"))</f>
        <v>0</v>
      </c>
      <c r="W301" s="45">
        <f>IF(G301="","",IFERROR(INDEX(Recipes!$AF$5:$AF$204,MATCH(G301,Recipes!$A$5:$A$204,0)),"Not found"))</f>
        <v>0</v>
      </c>
      <c r="X301" s="45">
        <f>IF(G301="","",IFERROR(INDEX(Recipes!$AG$5:$AG$204,MATCH(G301,Recipes!$A$5:$A$204,0)),"Not found"))</f>
        <v>0</v>
      </c>
      <c r="Y301" s="45">
        <f>IF(G301="","",IFERROR(INDEX(Recipes!$AH$5:$AH$204,MATCH(G301,Recipes!$A$5:$A$204,0)),"Not found"))</f>
        <v>0</v>
      </c>
      <c r="Z301" s="45">
        <f>IF(G301="","",IFERROR(INDEX(Recipes!$AI$5:$AI$204,MATCH(G301,Recipes!$A$5:$A$204,0)),"Not found"))</f>
        <v>0</v>
      </c>
      <c r="AA301" s="30">
        <f>IF(OR(V301="",NOT(ISNUMBER(V301))),"",V301*K301)</f>
        <v>0</v>
      </c>
      <c r="AB301" s="18">
        <f>IF(G301="","",IFERROR(INDEX(Recipes!$J$5:$J$204,MATCH(G301,Recipes!$A$5:$A$204,0)),"Not found"))</f>
        <v>0</v>
      </c>
      <c r="AC301" s="17">
        <f>IF(G301="","",IFERROR(INDEX(Recipes!$C$5:$C$204,MATCH(G301,Recipes!$A$5:$A$204,0)),"Not found"))</f>
        <v>0</v>
      </c>
      <c r="AD301" s="46">
        <f>IF(B301="","",IF(G301&lt;&gt;"","Yes",IF(OR(I301="",ISNUMBER(SEARCH("takeaway",I301)),ISNUMBER(SEARCH("out",I301))),"No","Yes")))</f>
        <v>0</v>
      </c>
      <c r="AE301" s="17">
        <f>IF(B301="","",TEXT(B301,"yyyy-mm-dd")&amp;"|"&amp;F301)</f>
        <v>0</v>
      </c>
      <c r="AF301" s="31">
        <f>IF(B301="","",IF(AND(G301="",I301=""),"Add - nothing planned yet",IF(COUNTIFS($AE$5:$AE$504,AE301)&gt;1,"Duplicate - two meals in one slot",IF(AND(G301&lt;&gt;"",H301="Not found"),"Missing - recipe ID not on the Recipes tab",IF(AND(B301&lt;TODAY(),OR(N301="Planned",N301="")),"Check - did you cook it?","OK")))))</f>
        <v>0</v>
      </c>
    </row>
    <row r="302" spans="1:32">
      <c r="A302" s="39">
        <f>IF(B302="","",MealPrefix&amp;TEXT(ROW()-4,"0000"))</f>
        <v>0</v>
      </c>
      <c r="C302" s="17">
        <f>IF(B302="","",TEXT(B302,"ddd"))</f>
        <v>0</v>
      </c>
      <c r="D302" s="18">
        <f>IF(B302="","",WEEKNUM(B302,IF(WeekStart="Sunday",1,2)))</f>
        <v>0</v>
      </c>
      <c r="E302" s="17">
        <f>IF(B302="","",TEXT(B302,"yyyy-mm"))</f>
        <v>0</v>
      </c>
      <c r="H302" s="17">
        <f>IF(G302&lt;&gt;"",IFERROR(INDEX(Recipes!$B$5:$B$204,MATCH(G302,Recipes!$A$5:$A$204,0)),"Not found"),I302)</f>
        <v>0</v>
      </c>
      <c r="K302" s="45">
        <f>IF(B302="","",IF(J302="",DefaultServings,J302))</f>
        <v>0</v>
      </c>
      <c r="L302" s="45">
        <f>IF(G302="",0,IFERROR(K302/INDEX(Recipes!$G$5:$G$204,MATCH(G302,Recipes!$A$5:$A$204,0)),0))</f>
        <v>0</v>
      </c>
      <c r="T302" s="25">
        <f>IF(G302="","",IFERROR(INDEX(Recipes!$AD$5:$AD$204,MATCH(G302,Recipes!$A$5:$A$204,0))*K302,""))</f>
        <v>0</v>
      </c>
      <c r="V302" s="30">
        <f>IF(G302="","",IFERROR(INDEX(Recipes!$AE$5:$AE$204,MATCH(G302,Recipes!$A$5:$A$204,0)),"Not found"))</f>
        <v>0</v>
      </c>
      <c r="W302" s="45">
        <f>IF(G302="","",IFERROR(INDEX(Recipes!$AF$5:$AF$204,MATCH(G302,Recipes!$A$5:$A$204,0)),"Not found"))</f>
        <v>0</v>
      </c>
      <c r="X302" s="45">
        <f>IF(G302="","",IFERROR(INDEX(Recipes!$AG$5:$AG$204,MATCH(G302,Recipes!$A$5:$A$204,0)),"Not found"))</f>
        <v>0</v>
      </c>
      <c r="Y302" s="45">
        <f>IF(G302="","",IFERROR(INDEX(Recipes!$AH$5:$AH$204,MATCH(G302,Recipes!$A$5:$A$204,0)),"Not found"))</f>
        <v>0</v>
      </c>
      <c r="Z302" s="45">
        <f>IF(G302="","",IFERROR(INDEX(Recipes!$AI$5:$AI$204,MATCH(G302,Recipes!$A$5:$A$204,0)),"Not found"))</f>
        <v>0</v>
      </c>
      <c r="AA302" s="30">
        <f>IF(OR(V302="",NOT(ISNUMBER(V302))),"",V302*K302)</f>
        <v>0</v>
      </c>
      <c r="AB302" s="18">
        <f>IF(G302="","",IFERROR(INDEX(Recipes!$J$5:$J$204,MATCH(G302,Recipes!$A$5:$A$204,0)),"Not found"))</f>
        <v>0</v>
      </c>
      <c r="AC302" s="17">
        <f>IF(G302="","",IFERROR(INDEX(Recipes!$C$5:$C$204,MATCH(G302,Recipes!$A$5:$A$204,0)),"Not found"))</f>
        <v>0</v>
      </c>
      <c r="AD302" s="46">
        <f>IF(B302="","",IF(G302&lt;&gt;"","Yes",IF(OR(I302="",ISNUMBER(SEARCH("takeaway",I302)),ISNUMBER(SEARCH("out",I302))),"No","Yes")))</f>
        <v>0</v>
      </c>
      <c r="AE302" s="17">
        <f>IF(B302="","",TEXT(B302,"yyyy-mm-dd")&amp;"|"&amp;F302)</f>
        <v>0</v>
      </c>
      <c r="AF302" s="31">
        <f>IF(B302="","",IF(AND(G302="",I302=""),"Add - nothing planned yet",IF(COUNTIFS($AE$5:$AE$504,AE302)&gt;1,"Duplicate - two meals in one slot",IF(AND(G302&lt;&gt;"",H302="Not found"),"Missing - recipe ID not on the Recipes tab",IF(AND(B302&lt;TODAY(),OR(N302="Planned",N302="")),"Check - did you cook it?","OK")))))</f>
        <v>0</v>
      </c>
    </row>
    <row r="303" spans="1:32">
      <c r="A303" s="39">
        <f>IF(B303="","",MealPrefix&amp;TEXT(ROW()-4,"0000"))</f>
        <v>0</v>
      </c>
      <c r="C303" s="17">
        <f>IF(B303="","",TEXT(B303,"ddd"))</f>
        <v>0</v>
      </c>
      <c r="D303" s="18">
        <f>IF(B303="","",WEEKNUM(B303,IF(WeekStart="Sunday",1,2)))</f>
        <v>0</v>
      </c>
      <c r="E303" s="17">
        <f>IF(B303="","",TEXT(B303,"yyyy-mm"))</f>
        <v>0</v>
      </c>
      <c r="H303" s="17">
        <f>IF(G303&lt;&gt;"",IFERROR(INDEX(Recipes!$B$5:$B$204,MATCH(G303,Recipes!$A$5:$A$204,0)),"Not found"),I303)</f>
        <v>0</v>
      </c>
      <c r="K303" s="45">
        <f>IF(B303="","",IF(J303="",DefaultServings,J303))</f>
        <v>0</v>
      </c>
      <c r="L303" s="45">
        <f>IF(G303="",0,IFERROR(K303/INDEX(Recipes!$G$5:$G$204,MATCH(G303,Recipes!$A$5:$A$204,0)),0))</f>
        <v>0</v>
      </c>
      <c r="T303" s="25">
        <f>IF(G303="","",IFERROR(INDEX(Recipes!$AD$5:$AD$204,MATCH(G303,Recipes!$A$5:$A$204,0))*K303,""))</f>
        <v>0</v>
      </c>
      <c r="V303" s="30">
        <f>IF(G303="","",IFERROR(INDEX(Recipes!$AE$5:$AE$204,MATCH(G303,Recipes!$A$5:$A$204,0)),"Not found"))</f>
        <v>0</v>
      </c>
      <c r="W303" s="45">
        <f>IF(G303="","",IFERROR(INDEX(Recipes!$AF$5:$AF$204,MATCH(G303,Recipes!$A$5:$A$204,0)),"Not found"))</f>
        <v>0</v>
      </c>
      <c r="X303" s="45">
        <f>IF(G303="","",IFERROR(INDEX(Recipes!$AG$5:$AG$204,MATCH(G303,Recipes!$A$5:$A$204,0)),"Not found"))</f>
        <v>0</v>
      </c>
      <c r="Y303" s="45">
        <f>IF(G303="","",IFERROR(INDEX(Recipes!$AH$5:$AH$204,MATCH(G303,Recipes!$A$5:$A$204,0)),"Not found"))</f>
        <v>0</v>
      </c>
      <c r="Z303" s="45">
        <f>IF(G303="","",IFERROR(INDEX(Recipes!$AI$5:$AI$204,MATCH(G303,Recipes!$A$5:$A$204,0)),"Not found"))</f>
        <v>0</v>
      </c>
      <c r="AA303" s="30">
        <f>IF(OR(V303="",NOT(ISNUMBER(V303))),"",V303*K303)</f>
        <v>0</v>
      </c>
      <c r="AB303" s="18">
        <f>IF(G303="","",IFERROR(INDEX(Recipes!$J$5:$J$204,MATCH(G303,Recipes!$A$5:$A$204,0)),"Not found"))</f>
        <v>0</v>
      </c>
      <c r="AC303" s="17">
        <f>IF(G303="","",IFERROR(INDEX(Recipes!$C$5:$C$204,MATCH(G303,Recipes!$A$5:$A$204,0)),"Not found"))</f>
        <v>0</v>
      </c>
      <c r="AD303" s="46">
        <f>IF(B303="","",IF(G303&lt;&gt;"","Yes",IF(OR(I303="",ISNUMBER(SEARCH("takeaway",I303)),ISNUMBER(SEARCH("out",I303))),"No","Yes")))</f>
        <v>0</v>
      </c>
      <c r="AE303" s="17">
        <f>IF(B303="","",TEXT(B303,"yyyy-mm-dd")&amp;"|"&amp;F303)</f>
        <v>0</v>
      </c>
      <c r="AF303" s="31">
        <f>IF(B303="","",IF(AND(G303="",I303=""),"Add - nothing planned yet",IF(COUNTIFS($AE$5:$AE$504,AE303)&gt;1,"Duplicate - two meals in one slot",IF(AND(G303&lt;&gt;"",H303="Not found"),"Missing - recipe ID not on the Recipes tab",IF(AND(B303&lt;TODAY(),OR(N303="Planned",N303="")),"Check - did you cook it?","OK")))))</f>
        <v>0</v>
      </c>
    </row>
    <row r="304" spans="1:32">
      <c r="A304" s="39">
        <f>IF(B304="","",MealPrefix&amp;TEXT(ROW()-4,"0000"))</f>
        <v>0</v>
      </c>
      <c r="C304" s="17">
        <f>IF(B304="","",TEXT(B304,"ddd"))</f>
        <v>0</v>
      </c>
      <c r="D304" s="18">
        <f>IF(B304="","",WEEKNUM(B304,IF(WeekStart="Sunday",1,2)))</f>
        <v>0</v>
      </c>
      <c r="E304" s="17">
        <f>IF(B304="","",TEXT(B304,"yyyy-mm"))</f>
        <v>0</v>
      </c>
      <c r="H304" s="17">
        <f>IF(G304&lt;&gt;"",IFERROR(INDEX(Recipes!$B$5:$B$204,MATCH(G304,Recipes!$A$5:$A$204,0)),"Not found"),I304)</f>
        <v>0</v>
      </c>
      <c r="K304" s="45">
        <f>IF(B304="","",IF(J304="",DefaultServings,J304))</f>
        <v>0</v>
      </c>
      <c r="L304" s="45">
        <f>IF(G304="",0,IFERROR(K304/INDEX(Recipes!$G$5:$G$204,MATCH(G304,Recipes!$A$5:$A$204,0)),0))</f>
        <v>0</v>
      </c>
      <c r="T304" s="25">
        <f>IF(G304="","",IFERROR(INDEX(Recipes!$AD$5:$AD$204,MATCH(G304,Recipes!$A$5:$A$204,0))*K304,""))</f>
        <v>0</v>
      </c>
      <c r="V304" s="30">
        <f>IF(G304="","",IFERROR(INDEX(Recipes!$AE$5:$AE$204,MATCH(G304,Recipes!$A$5:$A$204,0)),"Not found"))</f>
        <v>0</v>
      </c>
      <c r="W304" s="45">
        <f>IF(G304="","",IFERROR(INDEX(Recipes!$AF$5:$AF$204,MATCH(G304,Recipes!$A$5:$A$204,0)),"Not found"))</f>
        <v>0</v>
      </c>
      <c r="X304" s="45">
        <f>IF(G304="","",IFERROR(INDEX(Recipes!$AG$5:$AG$204,MATCH(G304,Recipes!$A$5:$A$204,0)),"Not found"))</f>
        <v>0</v>
      </c>
      <c r="Y304" s="45">
        <f>IF(G304="","",IFERROR(INDEX(Recipes!$AH$5:$AH$204,MATCH(G304,Recipes!$A$5:$A$204,0)),"Not found"))</f>
        <v>0</v>
      </c>
      <c r="Z304" s="45">
        <f>IF(G304="","",IFERROR(INDEX(Recipes!$AI$5:$AI$204,MATCH(G304,Recipes!$A$5:$A$204,0)),"Not found"))</f>
        <v>0</v>
      </c>
      <c r="AA304" s="30">
        <f>IF(OR(V304="",NOT(ISNUMBER(V304))),"",V304*K304)</f>
        <v>0</v>
      </c>
      <c r="AB304" s="18">
        <f>IF(G304="","",IFERROR(INDEX(Recipes!$J$5:$J$204,MATCH(G304,Recipes!$A$5:$A$204,0)),"Not found"))</f>
        <v>0</v>
      </c>
      <c r="AC304" s="17">
        <f>IF(G304="","",IFERROR(INDEX(Recipes!$C$5:$C$204,MATCH(G304,Recipes!$A$5:$A$204,0)),"Not found"))</f>
        <v>0</v>
      </c>
      <c r="AD304" s="46">
        <f>IF(B304="","",IF(G304&lt;&gt;"","Yes",IF(OR(I304="",ISNUMBER(SEARCH("takeaway",I304)),ISNUMBER(SEARCH("out",I304))),"No","Yes")))</f>
        <v>0</v>
      </c>
      <c r="AE304" s="17">
        <f>IF(B304="","",TEXT(B304,"yyyy-mm-dd")&amp;"|"&amp;F304)</f>
        <v>0</v>
      </c>
      <c r="AF304" s="31">
        <f>IF(B304="","",IF(AND(G304="",I304=""),"Add - nothing planned yet",IF(COUNTIFS($AE$5:$AE$504,AE304)&gt;1,"Duplicate - two meals in one slot",IF(AND(G304&lt;&gt;"",H304="Not found"),"Missing - recipe ID not on the Recipes tab",IF(AND(B304&lt;TODAY(),OR(N304="Planned",N304="")),"Check - did you cook it?","OK")))))</f>
        <v>0</v>
      </c>
    </row>
    <row r="305" spans="1:32">
      <c r="A305" s="39">
        <f>IF(B305="","",MealPrefix&amp;TEXT(ROW()-4,"0000"))</f>
        <v>0</v>
      </c>
      <c r="C305" s="17">
        <f>IF(B305="","",TEXT(B305,"ddd"))</f>
        <v>0</v>
      </c>
      <c r="D305" s="18">
        <f>IF(B305="","",WEEKNUM(B305,IF(WeekStart="Sunday",1,2)))</f>
        <v>0</v>
      </c>
      <c r="E305" s="17">
        <f>IF(B305="","",TEXT(B305,"yyyy-mm"))</f>
        <v>0</v>
      </c>
      <c r="H305" s="17">
        <f>IF(G305&lt;&gt;"",IFERROR(INDEX(Recipes!$B$5:$B$204,MATCH(G305,Recipes!$A$5:$A$204,0)),"Not found"),I305)</f>
        <v>0</v>
      </c>
      <c r="K305" s="45">
        <f>IF(B305="","",IF(J305="",DefaultServings,J305))</f>
        <v>0</v>
      </c>
      <c r="L305" s="45">
        <f>IF(G305="",0,IFERROR(K305/INDEX(Recipes!$G$5:$G$204,MATCH(G305,Recipes!$A$5:$A$204,0)),0))</f>
        <v>0</v>
      </c>
      <c r="T305" s="25">
        <f>IF(G305="","",IFERROR(INDEX(Recipes!$AD$5:$AD$204,MATCH(G305,Recipes!$A$5:$A$204,0))*K305,""))</f>
        <v>0</v>
      </c>
      <c r="V305" s="30">
        <f>IF(G305="","",IFERROR(INDEX(Recipes!$AE$5:$AE$204,MATCH(G305,Recipes!$A$5:$A$204,0)),"Not found"))</f>
        <v>0</v>
      </c>
      <c r="W305" s="45">
        <f>IF(G305="","",IFERROR(INDEX(Recipes!$AF$5:$AF$204,MATCH(G305,Recipes!$A$5:$A$204,0)),"Not found"))</f>
        <v>0</v>
      </c>
      <c r="X305" s="45">
        <f>IF(G305="","",IFERROR(INDEX(Recipes!$AG$5:$AG$204,MATCH(G305,Recipes!$A$5:$A$204,0)),"Not found"))</f>
        <v>0</v>
      </c>
      <c r="Y305" s="45">
        <f>IF(G305="","",IFERROR(INDEX(Recipes!$AH$5:$AH$204,MATCH(G305,Recipes!$A$5:$A$204,0)),"Not found"))</f>
        <v>0</v>
      </c>
      <c r="Z305" s="45">
        <f>IF(G305="","",IFERROR(INDEX(Recipes!$AI$5:$AI$204,MATCH(G305,Recipes!$A$5:$A$204,0)),"Not found"))</f>
        <v>0</v>
      </c>
      <c r="AA305" s="30">
        <f>IF(OR(V305="",NOT(ISNUMBER(V305))),"",V305*K305)</f>
        <v>0</v>
      </c>
      <c r="AB305" s="18">
        <f>IF(G305="","",IFERROR(INDEX(Recipes!$J$5:$J$204,MATCH(G305,Recipes!$A$5:$A$204,0)),"Not found"))</f>
        <v>0</v>
      </c>
      <c r="AC305" s="17">
        <f>IF(G305="","",IFERROR(INDEX(Recipes!$C$5:$C$204,MATCH(G305,Recipes!$A$5:$A$204,0)),"Not found"))</f>
        <v>0</v>
      </c>
      <c r="AD305" s="46">
        <f>IF(B305="","",IF(G305&lt;&gt;"","Yes",IF(OR(I305="",ISNUMBER(SEARCH("takeaway",I305)),ISNUMBER(SEARCH("out",I305))),"No","Yes")))</f>
        <v>0</v>
      </c>
      <c r="AE305" s="17">
        <f>IF(B305="","",TEXT(B305,"yyyy-mm-dd")&amp;"|"&amp;F305)</f>
        <v>0</v>
      </c>
      <c r="AF305" s="31">
        <f>IF(B305="","",IF(AND(G305="",I305=""),"Add - nothing planned yet",IF(COUNTIFS($AE$5:$AE$504,AE305)&gt;1,"Duplicate - two meals in one slot",IF(AND(G305&lt;&gt;"",H305="Not found"),"Missing - recipe ID not on the Recipes tab",IF(AND(B305&lt;TODAY(),OR(N305="Planned",N305="")),"Check - did you cook it?","OK")))))</f>
        <v>0</v>
      </c>
    </row>
    <row r="306" spans="1:32">
      <c r="A306" s="39">
        <f>IF(B306="","",MealPrefix&amp;TEXT(ROW()-4,"0000"))</f>
        <v>0</v>
      </c>
      <c r="C306" s="17">
        <f>IF(B306="","",TEXT(B306,"ddd"))</f>
        <v>0</v>
      </c>
      <c r="D306" s="18">
        <f>IF(B306="","",WEEKNUM(B306,IF(WeekStart="Sunday",1,2)))</f>
        <v>0</v>
      </c>
      <c r="E306" s="17">
        <f>IF(B306="","",TEXT(B306,"yyyy-mm"))</f>
        <v>0</v>
      </c>
      <c r="H306" s="17">
        <f>IF(G306&lt;&gt;"",IFERROR(INDEX(Recipes!$B$5:$B$204,MATCH(G306,Recipes!$A$5:$A$204,0)),"Not found"),I306)</f>
        <v>0</v>
      </c>
      <c r="K306" s="45">
        <f>IF(B306="","",IF(J306="",DefaultServings,J306))</f>
        <v>0</v>
      </c>
      <c r="L306" s="45">
        <f>IF(G306="",0,IFERROR(K306/INDEX(Recipes!$G$5:$G$204,MATCH(G306,Recipes!$A$5:$A$204,0)),0))</f>
        <v>0</v>
      </c>
      <c r="T306" s="25">
        <f>IF(G306="","",IFERROR(INDEX(Recipes!$AD$5:$AD$204,MATCH(G306,Recipes!$A$5:$A$204,0))*K306,""))</f>
        <v>0</v>
      </c>
      <c r="V306" s="30">
        <f>IF(G306="","",IFERROR(INDEX(Recipes!$AE$5:$AE$204,MATCH(G306,Recipes!$A$5:$A$204,0)),"Not found"))</f>
        <v>0</v>
      </c>
      <c r="W306" s="45">
        <f>IF(G306="","",IFERROR(INDEX(Recipes!$AF$5:$AF$204,MATCH(G306,Recipes!$A$5:$A$204,0)),"Not found"))</f>
        <v>0</v>
      </c>
      <c r="X306" s="45">
        <f>IF(G306="","",IFERROR(INDEX(Recipes!$AG$5:$AG$204,MATCH(G306,Recipes!$A$5:$A$204,0)),"Not found"))</f>
        <v>0</v>
      </c>
      <c r="Y306" s="45">
        <f>IF(G306="","",IFERROR(INDEX(Recipes!$AH$5:$AH$204,MATCH(G306,Recipes!$A$5:$A$204,0)),"Not found"))</f>
        <v>0</v>
      </c>
      <c r="Z306" s="45">
        <f>IF(G306="","",IFERROR(INDEX(Recipes!$AI$5:$AI$204,MATCH(G306,Recipes!$A$5:$A$204,0)),"Not found"))</f>
        <v>0</v>
      </c>
      <c r="AA306" s="30">
        <f>IF(OR(V306="",NOT(ISNUMBER(V306))),"",V306*K306)</f>
        <v>0</v>
      </c>
      <c r="AB306" s="18">
        <f>IF(G306="","",IFERROR(INDEX(Recipes!$J$5:$J$204,MATCH(G306,Recipes!$A$5:$A$204,0)),"Not found"))</f>
        <v>0</v>
      </c>
      <c r="AC306" s="17">
        <f>IF(G306="","",IFERROR(INDEX(Recipes!$C$5:$C$204,MATCH(G306,Recipes!$A$5:$A$204,0)),"Not found"))</f>
        <v>0</v>
      </c>
      <c r="AD306" s="46">
        <f>IF(B306="","",IF(G306&lt;&gt;"","Yes",IF(OR(I306="",ISNUMBER(SEARCH("takeaway",I306)),ISNUMBER(SEARCH("out",I306))),"No","Yes")))</f>
        <v>0</v>
      </c>
      <c r="AE306" s="17">
        <f>IF(B306="","",TEXT(B306,"yyyy-mm-dd")&amp;"|"&amp;F306)</f>
        <v>0</v>
      </c>
      <c r="AF306" s="31">
        <f>IF(B306="","",IF(AND(G306="",I306=""),"Add - nothing planned yet",IF(COUNTIFS($AE$5:$AE$504,AE306)&gt;1,"Duplicate - two meals in one slot",IF(AND(G306&lt;&gt;"",H306="Not found"),"Missing - recipe ID not on the Recipes tab",IF(AND(B306&lt;TODAY(),OR(N306="Planned",N306="")),"Check - did you cook it?","OK")))))</f>
        <v>0</v>
      </c>
    </row>
    <row r="307" spans="1:32">
      <c r="A307" s="39">
        <f>IF(B307="","",MealPrefix&amp;TEXT(ROW()-4,"0000"))</f>
        <v>0</v>
      </c>
      <c r="C307" s="17">
        <f>IF(B307="","",TEXT(B307,"ddd"))</f>
        <v>0</v>
      </c>
      <c r="D307" s="18">
        <f>IF(B307="","",WEEKNUM(B307,IF(WeekStart="Sunday",1,2)))</f>
        <v>0</v>
      </c>
      <c r="E307" s="17">
        <f>IF(B307="","",TEXT(B307,"yyyy-mm"))</f>
        <v>0</v>
      </c>
      <c r="H307" s="17">
        <f>IF(G307&lt;&gt;"",IFERROR(INDEX(Recipes!$B$5:$B$204,MATCH(G307,Recipes!$A$5:$A$204,0)),"Not found"),I307)</f>
        <v>0</v>
      </c>
      <c r="K307" s="45">
        <f>IF(B307="","",IF(J307="",DefaultServings,J307))</f>
        <v>0</v>
      </c>
      <c r="L307" s="45">
        <f>IF(G307="",0,IFERROR(K307/INDEX(Recipes!$G$5:$G$204,MATCH(G307,Recipes!$A$5:$A$204,0)),0))</f>
        <v>0</v>
      </c>
      <c r="T307" s="25">
        <f>IF(G307="","",IFERROR(INDEX(Recipes!$AD$5:$AD$204,MATCH(G307,Recipes!$A$5:$A$204,0))*K307,""))</f>
        <v>0</v>
      </c>
      <c r="V307" s="30">
        <f>IF(G307="","",IFERROR(INDEX(Recipes!$AE$5:$AE$204,MATCH(G307,Recipes!$A$5:$A$204,0)),"Not found"))</f>
        <v>0</v>
      </c>
      <c r="W307" s="45">
        <f>IF(G307="","",IFERROR(INDEX(Recipes!$AF$5:$AF$204,MATCH(G307,Recipes!$A$5:$A$204,0)),"Not found"))</f>
        <v>0</v>
      </c>
      <c r="X307" s="45">
        <f>IF(G307="","",IFERROR(INDEX(Recipes!$AG$5:$AG$204,MATCH(G307,Recipes!$A$5:$A$204,0)),"Not found"))</f>
        <v>0</v>
      </c>
      <c r="Y307" s="45">
        <f>IF(G307="","",IFERROR(INDEX(Recipes!$AH$5:$AH$204,MATCH(G307,Recipes!$A$5:$A$204,0)),"Not found"))</f>
        <v>0</v>
      </c>
      <c r="Z307" s="45">
        <f>IF(G307="","",IFERROR(INDEX(Recipes!$AI$5:$AI$204,MATCH(G307,Recipes!$A$5:$A$204,0)),"Not found"))</f>
        <v>0</v>
      </c>
      <c r="AA307" s="30">
        <f>IF(OR(V307="",NOT(ISNUMBER(V307))),"",V307*K307)</f>
        <v>0</v>
      </c>
      <c r="AB307" s="18">
        <f>IF(G307="","",IFERROR(INDEX(Recipes!$J$5:$J$204,MATCH(G307,Recipes!$A$5:$A$204,0)),"Not found"))</f>
        <v>0</v>
      </c>
      <c r="AC307" s="17">
        <f>IF(G307="","",IFERROR(INDEX(Recipes!$C$5:$C$204,MATCH(G307,Recipes!$A$5:$A$204,0)),"Not found"))</f>
        <v>0</v>
      </c>
      <c r="AD307" s="46">
        <f>IF(B307="","",IF(G307&lt;&gt;"","Yes",IF(OR(I307="",ISNUMBER(SEARCH("takeaway",I307)),ISNUMBER(SEARCH("out",I307))),"No","Yes")))</f>
        <v>0</v>
      </c>
      <c r="AE307" s="17">
        <f>IF(B307="","",TEXT(B307,"yyyy-mm-dd")&amp;"|"&amp;F307)</f>
        <v>0</v>
      </c>
      <c r="AF307" s="31">
        <f>IF(B307="","",IF(AND(G307="",I307=""),"Add - nothing planned yet",IF(COUNTIFS($AE$5:$AE$504,AE307)&gt;1,"Duplicate - two meals in one slot",IF(AND(G307&lt;&gt;"",H307="Not found"),"Missing - recipe ID not on the Recipes tab",IF(AND(B307&lt;TODAY(),OR(N307="Planned",N307="")),"Check - did you cook it?","OK")))))</f>
        <v>0</v>
      </c>
    </row>
    <row r="308" spans="1:32">
      <c r="A308" s="39">
        <f>IF(B308="","",MealPrefix&amp;TEXT(ROW()-4,"0000"))</f>
        <v>0</v>
      </c>
      <c r="C308" s="17">
        <f>IF(B308="","",TEXT(B308,"ddd"))</f>
        <v>0</v>
      </c>
      <c r="D308" s="18">
        <f>IF(B308="","",WEEKNUM(B308,IF(WeekStart="Sunday",1,2)))</f>
        <v>0</v>
      </c>
      <c r="E308" s="17">
        <f>IF(B308="","",TEXT(B308,"yyyy-mm"))</f>
        <v>0</v>
      </c>
      <c r="H308" s="17">
        <f>IF(G308&lt;&gt;"",IFERROR(INDEX(Recipes!$B$5:$B$204,MATCH(G308,Recipes!$A$5:$A$204,0)),"Not found"),I308)</f>
        <v>0</v>
      </c>
      <c r="K308" s="45">
        <f>IF(B308="","",IF(J308="",DefaultServings,J308))</f>
        <v>0</v>
      </c>
      <c r="L308" s="45">
        <f>IF(G308="",0,IFERROR(K308/INDEX(Recipes!$G$5:$G$204,MATCH(G308,Recipes!$A$5:$A$204,0)),0))</f>
        <v>0</v>
      </c>
      <c r="T308" s="25">
        <f>IF(G308="","",IFERROR(INDEX(Recipes!$AD$5:$AD$204,MATCH(G308,Recipes!$A$5:$A$204,0))*K308,""))</f>
        <v>0</v>
      </c>
      <c r="V308" s="30">
        <f>IF(G308="","",IFERROR(INDEX(Recipes!$AE$5:$AE$204,MATCH(G308,Recipes!$A$5:$A$204,0)),"Not found"))</f>
        <v>0</v>
      </c>
      <c r="W308" s="45">
        <f>IF(G308="","",IFERROR(INDEX(Recipes!$AF$5:$AF$204,MATCH(G308,Recipes!$A$5:$A$204,0)),"Not found"))</f>
        <v>0</v>
      </c>
      <c r="X308" s="45">
        <f>IF(G308="","",IFERROR(INDEX(Recipes!$AG$5:$AG$204,MATCH(G308,Recipes!$A$5:$A$204,0)),"Not found"))</f>
        <v>0</v>
      </c>
      <c r="Y308" s="45">
        <f>IF(G308="","",IFERROR(INDEX(Recipes!$AH$5:$AH$204,MATCH(G308,Recipes!$A$5:$A$204,0)),"Not found"))</f>
        <v>0</v>
      </c>
      <c r="Z308" s="45">
        <f>IF(G308="","",IFERROR(INDEX(Recipes!$AI$5:$AI$204,MATCH(G308,Recipes!$A$5:$A$204,0)),"Not found"))</f>
        <v>0</v>
      </c>
      <c r="AA308" s="30">
        <f>IF(OR(V308="",NOT(ISNUMBER(V308))),"",V308*K308)</f>
        <v>0</v>
      </c>
      <c r="AB308" s="18">
        <f>IF(G308="","",IFERROR(INDEX(Recipes!$J$5:$J$204,MATCH(G308,Recipes!$A$5:$A$204,0)),"Not found"))</f>
        <v>0</v>
      </c>
      <c r="AC308" s="17">
        <f>IF(G308="","",IFERROR(INDEX(Recipes!$C$5:$C$204,MATCH(G308,Recipes!$A$5:$A$204,0)),"Not found"))</f>
        <v>0</v>
      </c>
      <c r="AD308" s="46">
        <f>IF(B308="","",IF(G308&lt;&gt;"","Yes",IF(OR(I308="",ISNUMBER(SEARCH("takeaway",I308)),ISNUMBER(SEARCH("out",I308))),"No","Yes")))</f>
        <v>0</v>
      </c>
      <c r="AE308" s="17">
        <f>IF(B308="","",TEXT(B308,"yyyy-mm-dd")&amp;"|"&amp;F308)</f>
        <v>0</v>
      </c>
      <c r="AF308" s="31">
        <f>IF(B308="","",IF(AND(G308="",I308=""),"Add - nothing planned yet",IF(COUNTIFS($AE$5:$AE$504,AE308)&gt;1,"Duplicate - two meals in one slot",IF(AND(G308&lt;&gt;"",H308="Not found"),"Missing - recipe ID not on the Recipes tab",IF(AND(B308&lt;TODAY(),OR(N308="Planned",N308="")),"Check - did you cook it?","OK")))))</f>
        <v>0</v>
      </c>
    </row>
    <row r="309" spans="1:32">
      <c r="A309" s="39">
        <f>IF(B309="","",MealPrefix&amp;TEXT(ROW()-4,"0000"))</f>
        <v>0</v>
      </c>
      <c r="C309" s="17">
        <f>IF(B309="","",TEXT(B309,"ddd"))</f>
        <v>0</v>
      </c>
      <c r="D309" s="18">
        <f>IF(B309="","",WEEKNUM(B309,IF(WeekStart="Sunday",1,2)))</f>
        <v>0</v>
      </c>
      <c r="E309" s="17">
        <f>IF(B309="","",TEXT(B309,"yyyy-mm"))</f>
        <v>0</v>
      </c>
      <c r="H309" s="17">
        <f>IF(G309&lt;&gt;"",IFERROR(INDEX(Recipes!$B$5:$B$204,MATCH(G309,Recipes!$A$5:$A$204,0)),"Not found"),I309)</f>
        <v>0</v>
      </c>
      <c r="K309" s="45">
        <f>IF(B309="","",IF(J309="",DefaultServings,J309))</f>
        <v>0</v>
      </c>
      <c r="L309" s="45">
        <f>IF(G309="",0,IFERROR(K309/INDEX(Recipes!$G$5:$G$204,MATCH(G309,Recipes!$A$5:$A$204,0)),0))</f>
        <v>0</v>
      </c>
      <c r="T309" s="25">
        <f>IF(G309="","",IFERROR(INDEX(Recipes!$AD$5:$AD$204,MATCH(G309,Recipes!$A$5:$A$204,0))*K309,""))</f>
        <v>0</v>
      </c>
      <c r="V309" s="30">
        <f>IF(G309="","",IFERROR(INDEX(Recipes!$AE$5:$AE$204,MATCH(G309,Recipes!$A$5:$A$204,0)),"Not found"))</f>
        <v>0</v>
      </c>
      <c r="W309" s="45">
        <f>IF(G309="","",IFERROR(INDEX(Recipes!$AF$5:$AF$204,MATCH(G309,Recipes!$A$5:$A$204,0)),"Not found"))</f>
        <v>0</v>
      </c>
      <c r="X309" s="45">
        <f>IF(G309="","",IFERROR(INDEX(Recipes!$AG$5:$AG$204,MATCH(G309,Recipes!$A$5:$A$204,0)),"Not found"))</f>
        <v>0</v>
      </c>
      <c r="Y309" s="45">
        <f>IF(G309="","",IFERROR(INDEX(Recipes!$AH$5:$AH$204,MATCH(G309,Recipes!$A$5:$A$204,0)),"Not found"))</f>
        <v>0</v>
      </c>
      <c r="Z309" s="45">
        <f>IF(G309="","",IFERROR(INDEX(Recipes!$AI$5:$AI$204,MATCH(G309,Recipes!$A$5:$A$204,0)),"Not found"))</f>
        <v>0</v>
      </c>
      <c r="AA309" s="30">
        <f>IF(OR(V309="",NOT(ISNUMBER(V309))),"",V309*K309)</f>
        <v>0</v>
      </c>
      <c r="AB309" s="18">
        <f>IF(G309="","",IFERROR(INDEX(Recipes!$J$5:$J$204,MATCH(G309,Recipes!$A$5:$A$204,0)),"Not found"))</f>
        <v>0</v>
      </c>
      <c r="AC309" s="17">
        <f>IF(G309="","",IFERROR(INDEX(Recipes!$C$5:$C$204,MATCH(G309,Recipes!$A$5:$A$204,0)),"Not found"))</f>
        <v>0</v>
      </c>
      <c r="AD309" s="46">
        <f>IF(B309="","",IF(G309&lt;&gt;"","Yes",IF(OR(I309="",ISNUMBER(SEARCH("takeaway",I309)),ISNUMBER(SEARCH("out",I309))),"No","Yes")))</f>
        <v>0</v>
      </c>
      <c r="AE309" s="17">
        <f>IF(B309="","",TEXT(B309,"yyyy-mm-dd")&amp;"|"&amp;F309)</f>
        <v>0</v>
      </c>
      <c r="AF309" s="31">
        <f>IF(B309="","",IF(AND(G309="",I309=""),"Add - nothing planned yet",IF(COUNTIFS($AE$5:$AE$504,AE309)&gt;1,"Duplicate - two meals in one slot",IF(AND(G309&lt;&gt;"",H309="Not found"),"Missing - recipe ID not on the Recipes tab",IF(AND(B309&lt;TODAY(),OR(N309="Planned",N309="")),"Check - did you cook it?","OK")))))</f>
        <v>0</v>
      </c>
    </row>
    <row r="310" spans="1:32">
      <c r="A310" s="39">
        <f>IF(B310="","",MealPrefix&amp;TEXT(ROW()-4,"0000"))</f>
        <v>0</v>
      </c>
      <c r="C310" s="17">
        <f>IF(B310="","",TEXT(B310,"ddd"))</f>
        <v>0</v>
      </c>
      <c r="D310" s="18">
        <f>IF(B310="","",WEEKNUM(B310,IF(WeekStart="Sunday",1,2)))</f>
        <v>0</v>
      </c>
      <c r="E310" s="17">
        <f>IF(B310="","",TEXT(B310,"yyyy-mm"))</f>
        <v>0</v>
      </c>
      <c r="H310" s="17">
        <f>IF(G310&lt;&gt;"",IFERROR(INDEX(Recipes!$B$5:$B$204,MATCH(G310,Recipes!$A$5:$A$204,0)),"Not found"),I310)</f>
        <v>0</v>
      </c>
      <c r="K310" s="45">
        <f>IF(B310="","",IF(J310="",DefaultServings,J310))</f>
        <v>0</v>
      </c>
      <c r="L310" s="45">
        <f>IF(G310="",0,IFERROR(K310/INDEX(Recipes!$G$5:$G$204,MATCH(G310,Recipes!$A$5:$A$204,0)),0))</f>
        <v>0</v>
      </c>
      <c r="T310" s="25">
        <f>IF(G310="","",IFERROR(INDEX(Recipes!$AD$5:$AD$204,MATCH(G310,Recipes!$A$5:$A$204,0))*K310,""))</f>
        <v>0</v>
      </c>
      <c r="V310" s="30">
        <f>IF(G310="","",IFERROR(INDEX(Recipes!$AE$5:$AE$204,MATCH(G310,Recipes!$A$5:$A$204,0)),"Not found"))</f>
        <v>0</v>
      </c>
      <c r="W310" s="45">
        <f>IF(G310="","",IFERROR(INDEX(Recipes!$AF$5:$AF$204,MATCH(G310,Recipes!$A$5:$A$204,0)),"Not found"))</f>
        <v>0</v>
      </c>
      <c r="X310" s="45">
        <f>IF(G310="","",IFERROR(INDEX(Recipes!$AG$5:$AG$204,MATCH(G310,Recipes!$A$5:$A$204,0)),"Not found"))</f>
        <v>0</v>
      </c>
      <c r="Y310" s="45">
        <f>IF(G310="","",IFERROR(INDEX(Recipes!$AH$5:$AH$204,MATCH(G310,Recipes!$A$5:$A$204,0)),"Not found"))</f>
        <v>0</v>
      </c>
      <c r="Z310" s="45">
        <f>IF(G310="","",IFERROR(INDEX(Recipes!$AI$5:$AI$204,MATCH(G310,Recipes!$A$5:$A$204,0)),"Not found"))</f>
        <v>0</v>
      </c>
      <c r="AA310" s="30">
        <f>IF(OR(V310="",NOT(ISNUMBER(V310))),"",V310*K310)</f>
        <v>0</v>
      </c>
      <c r="AB310" s="18">
        <f>IF(G310="","",IFERROR(INDEX(Recipes!$J$5:$J$204,MATCH(G310,Recipes!$A$5:$A$204,0)),"Not found"))</f>
        <v>0</v>
      </c>
      <c r="AC310" s="17">
        <f>IF(G310="","",IFERROR(INDEX(Recipes!$C$5:$C$204,MATCH(G310,Recipes!$A$5:$A$204,0)),"Not found"))</f>
        <v>0</v>
      </c>
      <c r="AD310" s="46">
        <f>IF(B310="","",IF(G310&lt;&gt;"","Yes",IF(OR(I310="",ISNUMBER(SEARCH("takeaway",I310)),ISNUMBER(SEARCH("out",I310))),"No","Yes")))</f>
        <v>0</v>
      </c>
      <c r="AE310" s="17">
        <f>IF(B310="","",TEXT(B310,"yyyy-mm-dd")&amp;"|"&amp;F310)</f>
        <v>0</v>
      </c>
      <c r="AF310" s="31">
        <f>IF(B310="","",IF(AND(G310="",I310=""),"Add - nothing planned yet",IF(COUNTIFS($AE$5:$AE$504,AE310)&gt;1,"Duplicate - two meals in one slot",IF(AND(G310&lt;&gt;"",H310="Not found"),"Missing - recipe ID not on the Recipes tab",IF(AND(B310&lt;TODAY(),OR(N310="Planned",N310="")),"Check - did you cook it?","OK")))))</f>
        <v>0</v>
      </c>
    </row>
    <row r="311" spans="1:32">
      <c r="A311" s="39">
        <f>IF(B311="","",MealPrefix&amp;TEXT(ROW()-4,"0000"))</f>
        <v>0</v>
      </c>
      <c r="C311" s="17">
        <f>IF(B311="","",TEXT(B311,"ddd"))</f>
        <v>0</v>
      </c>
      <c r="D311" s="18">
        <f>IF(B311="","",WEEKNUM(B311,IF(WeekStart="Sunday",1,2)))</f>
        <v>0</v>
      </c>
      <c r="E311" s="17">
        <f>IF(B311="","",TEXT(B311,"yyyy-mm"))</f>
        <v>0</v>
      </c>
      <c r="H311" s="17">
        <f>IF(G311&lt;&gt;"",IFERROR(INDEX(Recipes!$B$5:$B$204,MATCH(G311,Recipes!$A$5:$A$204,0)),"Not found"),I311)</f>
        <v>0</v>
      </c>
      <c r="K311" s="45">
        <f>IF(B311="","",IF(J311="",DefaultServings,J311))</f>
        <v>0</v>
      </c>
      <c r="L311" s="45">
        <f>IF(G311="",0,IFERROR(K311/INDEX(Recipes!$G$5:$G$204,MATCH(G311,Recipes!$A$5:$A$204,0)),0))</f>
        <v>0</v>
      </c>
      <c r="T311" s="25">
        <f>IF(G311="","",IFERROR(INDEX(Recipes!$AD$5:$AD$204,MATCH(G311,Recipes!$A$5:$A$204,0))*K311,""))</f>
        <v>0</v>
      </c>
      <c r="V311" s="30">
        <f>IF(G311="","",IFERROR(INDEX(Recipes!$AE$5:$AE$204,MATCH(G311,Recipes!$A$5:$A$204,0)),"Not found"))</f>
        <v>0</v>
      </c>
      <c r="W311" s="45">
        <f>IF(G311="","",IFERROR(INDEX(Recipes!$AF$5:$AF$204,MATCH(G311,Recipes!$A$5:$A$204,0)),"Not found"))</f>
        <v>0</v>
      </c>
      <c r="X311" s="45">
        <f>IF(G311="","",IFERROR(INDEX(Recipes!$AG$5:$AG$204,MATCH(G311,Recipes!$A$5:$A$204,0)),"Not found"))</f>
        <v>0</v>
      </c>
      <c r="Y311" s="45">
        <f>IF(G311="","",IFERROR(INDEX(Recipes!$AH$5:$AH$204,MATCH(G311,Recipes!$A$5:$A$204,0)),"Not found"))</f>
        <v>0</v>
      </c>
      <c r="Z311" s="45">
        <f>IF(G311="","",IFERROR(INDEX(Recipes!$AI$5:$AI$204,MATCH(G311,Recipes!$A$5:$A$204,0)),"Not found"))</f>
        <v>0</v>
      </c>
      <c r="AA311" s="30">
        <f>IF(OR(V311="",NOT(ISNUMBER(V311))),"",V311*K311)</f>
        <v>0</v>
      </c>
      <c r="AB311" s="18">
        <f>IF(G311="","",IFERROR(INDEX(Recipes!$J$5:$J$204,MATCH(G311,Recipes!$A$5:$A$204,0)),"Not found"))</f>
        <v>0</v>
      </c>
      <c r="AC311" s="17">
        <f>IF(G311="","",IFERROR(INDEX(Recipes!$C$5:$C$204,MATCH(G311,Recipes!$A$5:$A$204,0)),"Not found"))</f>
        <v>0</v>
      </c>
      <c r="AD311" s="46">
        <f>IF(B311="","",IF(G311&lt;&gt;"","Yes",IF(OR(I311="",ISNUMBER(SEARCH("takeaway",I311)),ISNUMBER(SEARCH("out",I311))),"No","Yes")))</f>
        <v>0</v>
      </c>
      <c r="AE311" s="17">
        <f>IF(B311="","",TEXT(B311,"yyyy-mm-dd")&amp;"|"&amp;F311)</f>
        <v>0</v>
      </c>
      <c r="AF311" s="31">
        <f>IF(B311="","",IF(AND(G311="",I311=""),"Add - nothing planned yet",IF(COUNTIFS($AE$5:$AE$504,AE311)&gt;1,"Duplicate - two meals in one slot",IF(AND(G311&lt;&gt;"",H311="Not found"),"Missing - recipe ID not on the Recipes tab",IF(AND(B311&lt;TODAY(),OR(N311="Planned",N311="")),"Check - did you cook it?","OK")))))</f>
        <v>0</v>
      </c>
    </row>
    <row r="312" spans="1:32">
      <c r="A312" s="39">
        <f>IF(B312="","",MealPrefix&amp;TEXT(ROW()-4,"0000"))</f>
        <v>0</v>
      </c>
      <c r="C312" s="17">
        <f>IF(B312="","",TEXT(B312,"ddd"))</f>
        <v>0</v>
      </c>
      <c r="D312" s="18">
        <f>IF(B312="","",WEEKNUM(B312,IF(WeekStart="Sunday",1,2)))</f>
        <v>0</v>
      </c>
      <c r="E312" s="17">
        <f>IF(B312="","",TEXT(B312,"yyyy-mm"))</f>
        <v>0</v>
      </c>
      <c r="H312" s="17">
        <f>IF(G312&lt;&gt;"",IFERROR(INDEX(Recipes!$B$5:$B$204,MATCH(G312,Recipes!$A$5:$A$204,0)),"Not found"),I312)</f>
        <v>0</v>
      </c>
      <c r="K312" s="45">
        <f>IF(B312="","",IF(J312="",DefaultServings,J312))</f>
        <v>0</v>
      </c>
      <c r="L312" s="45">
        <f>IF(G312="",0,IFERROR(K312/INDEX(Recipes!$G$5:$G$204,MATCH(G312,Recipes!$A$5:$A$204,0)),0))</f>
        <v>0</v>
      </c>
      <c r="T312" s="25">
        <f>IF(G312="","",IFERROR(INDEX(Recipes!$AD$5:$AD$204,MATCH(G312,Recipes!$A$5:$A$204,0))*K312,""))</f>
        <v>0</v>
      </c>
      <c r="V312" s="30">
        <f>IF(G312="","",IFERROR(INDEX(Recipes!$AE$5:$AE$204,MATCH(G312,Recipes!$A$5:$A$204,0)),"Not found"))</f>
        <v>0</v>
      </c>
      <c r="W312" s="45">
        <f>IF(G312="","",IFERROR(INDEX(Recipes!$AF$5:$AF$204,MATCH(G312,Recipes!$A$5:$A$204,0)),"Not found"))</f>
        <v>0</v>
      </c>
      <c r="X312" s="45">
        <f>IF(G312="","",IFERROR(INDEX(Recipes!$AG$5:$AG$204,MATCH(G312,Recipes!$A$5:$A$204,0)),"Not found"))</f>
        <v>0</v>
      </c>
      <c r="Y312" s="45">
        <f>IF(G312="","",IFERROR(INDEX(Recipes!$AH$5:$AH$204,MATCH(G312,Recipes!$A$5:$A$204,0)),"Not found"))</f>
        <v>0</v>
      </c>
      <c r="Z312" s="45">
        <f>IF(G312="","",IFERROR(INDEX(Recipes!$AI$5:$AI$204,MATCH(G312,Recipes!$A$5:$A$204,0)),"Not found"))</f>
        <v>0</v>
      </c>
      <c r="AA312" s="30">
        <f>IF(OR(V312="",NOT(ISNUMBER(V312))),"",V312*K312)</f>
        <v>0</v>
      </c>
      <c r="AB312" s="18">
        <f>IF(G312="","",IFERROR(INDEX(Recipes!$J$5:$J$204,MATCH(G312,Recipes!$A$5:$A$204,0)),"Not found"))</f>
        <v>0</v>
      </c>
      <c r="AC312" s="17">
        <f>IF(G312="","",IFERROR(INDEX(Recipes!$C$5:$C$204,MATCH(G312,Recipes!$A$5:$A$204,0)),"Not found"))</f>
        <v>0</v>
      </c>
      <c r="AD312" s="46">
        <f>IF(B312="","",IF(G312&lt;&gt;"","Yes",IF(OR(I312="",ISNUMBER(SEARCH("takeaway",I312)),ISNUMBER(SEARCH("out",I312))),"No","Yes")))</f>
        <v>0</v>
      </c>
      <c r="AE312" s="17">
        <f>IF(B312="","",TEXT(B312,"yyyy-mm-dd")&amp;"|"&amp;F312)</f>
        <v>0</v>
      </c>
      <c r="AF312" s="31">
        <f>IF(B312="","",IF(AND(G312="",I312=""),"Add - nothing planned yet",IF(COUNTIFS($AE$5:$AE$504,AE312)&gt;1,"Duplicate - two meals in one slot",IF(AND(G312&lt;&gt;"",H312="Not found"),"Missing - recipe ID not on the Recipes tab",IF(AND(B312&lt;TODAY(),OR(N312="Planned",N312="")),"Check - did you cook it?","OK")))))</f>
        <v>0</v>
      </c>
    </row>
    <row r="313" spans="1:32">
      <c r="A313" s="39">
        <f>IF(B313="","",MealPrefix&amp;TEXT(ROW()-4,"0000"))</f>
        <v>0</v>
      </c>
      <c r="C313" s="17">
        <f>IF(B313="","",TEXT(B313,"ddd"))</f>
        <v>0</v>
      </c>
      <c r="D313" s="18">
        <f>IF(B313="","",WEEKNUM(B313,IF(WeekStart="Sunday",1,2)))</f>
        <v>0</v>
      </c>
      <c r="E313" s="17">
        <f>IF(B313="","",TEXT(B313,"yyyy-mm"))</f>
        <v>0</v>
      </c>
      <c r="H313" s="17">
        <f>IF(G313&lt;&gt;"",IFERROR(INDEX(Recipes!$B$5:$B$204,MATCH(G313,Recipes!$A$5:$A$204,0)),"Not found"),I313)</f>
        <v>0</v>
      </c>
      <c r="K313" s="45">
        <f>IF(B313="","",IF(J313="",DefaultServings,J313))</f>
        <v>0</v>
      </c>
      <c r="L313" s="45">
        <f>IF(G313="",0,IFERROR(K313/INDEX(Recipes!$G$5:$G$204,MATCH(G313,Recipes!$A$5:$A$204,0)),0))</f>
        <v>0</v>
      </c>
      <c r="T313" s="25">
        <f>IF(G313="","",IFERROR(INDEX(Recipes!$AD$5:$AD$204,MATCH(G313,Recipes!$A$5:$A$204,0))*K313,""))</f>
        <v>0</v>
      </c>
      <c r="V313" s="30">
        <f>IF(G313="","",IFERROR(INDEX(Recipes!$AE$5:$AE$204,MATCH(G313,Recipes!$A$5:$A$204,0)),"Not found"))</f>
        <v>0</v>
      </c>
      <c r="W313" s="45">
        <f>IF(G313="","",IFERROR(INDEX(Recipes!$AF$5:$AF$204,MATCH(G313,Recipes!$A$5:$A$204,0)),"Not found"))</f>
        <v>0</v>
      </c>
      <c r="X313" s="45">
        <f>IF(G313="","",IFERROR(INDEX(Recipes!$AG$5:$AG$204,MATCH(G313,Recipes!$A$5:$A$204,0)),"Not found"))</f>
        <v>0</v>
      </c>
      <c r="Y313" s="45">
        <f>IF(G313="","",IFERROR(INDEX(Recipes!$AH$5:$AH$204,MATCH(G313,Recipes!$A$5:$A$204,0)),"Not found"))</f>
        <v>0</v>
      </c>
      <c r="Z313" s="45">
        <f>IF(G313="","",IFERROR(INDEX(Recipes!$AI$5:$AI$204,MATCH(G313,Recipes!$A$5:$A$204,0)),"Not found"))</f>
        <v>0</v>
      </c>
      <c r="AA313" s="30">
        <f>IF(OR(V313="",NOT(ISNUMBER(V313))),"",V313*K313)</f>
        <v>0</v>
      </c>
      <c r="AB313" s="18">
        <f>IF(G313="","",IFERROR(INDEX(Recipes!$J$5:$J$204,MATCH(G313,Recipes!$A$5:$A$204,0)),"Not found"))</f>
        <v>0</v>
      </c>
      <c r="AC313" s="17">
        <f>IF(G313="","",IFERROR(INDEX(Recipes!$C$5:$C$204,MATCH(G313,Recipes!$A$5:$A$204,0)),"Not found"))</f>
        <v>0</v>
      </c>
      <c r="AD313" s="46">
        <f>IF(B313="","",IF(G313&lt;&gt;"","Yes",IF(OR(I313="",ISNUMBER(SEARCH("takeaway",I313)),ISNUMBER(SEARCH("out",I313))),"No","Yes")))</f>
        <v>0</v>
      </c>
      <c r="AE313" s="17">
        <f>IF(B313="","",TEXT(B313,"yyyy-mm-dd")&amp;"|"&amp;F313)</f>
        <v>0</v>
      </c>
      <c r="AF313" s="31">
        <f>IF(B313="","",IF(AND(G313="",I313=""),"Add - nothing planned yet",IF(COUNTIFS($AE$5:$AE$504,AE313)&gt;1,"Duplicate - two meals in one slot",IF(AND(G313&lt;&gt;"",H313="Not found"),"Missing - recipe ID not on the Recipes tab",IF(AND(B313&lt;TODAY(),OR(N313="Planned",N313="")),"Check - did you cook it?","OK")))))</f>
        <v>0</v>
      </c>
    </row>
    <row r="314" spans="1:32">
      <c r="A314" s="39">
        <f>IF(B314="","",MealPrefix&amp;TEXT(ROW()-4,"0000"))</f>
        <v>0</v>
      </c>
      <c r="C314" s="17">
        <f>IF(B314="","",TEXT(B314,"ddd"))</f>
        <v>0</v>
      </c>
      <c r="D314" s="18">
        <f>IF(B314="","",WEEKNUM(B314,IF(WeekStart="Sunday",1,2)))</f>
        <v>0</v>
      </c>
      <c r="E314" s="17">
        <f>IF(B314="","",TEXT(B314,"yyyy-mm"))</f>
        <v>0</v>
      </c>
      <c r="H314" s="17">
        <f>IF(G314&lt;&gt;"",IFERROR(INDEX(Recipes!$B$5:$B$204,MATCH(G314,Recipes!$A$5:$A$204,0)),"Not found"),I314)</f>
        <v>0</v>
      </c>
      <c r="K314" s="45">
        <f>IF(B314="","",IF(J314="",DefaultServings,J314))</f>
        <v>0</v>
      </c>
      <c r="L314" s="45">
        <f>IF(G314="",0,IFERROR(K314/INDEX(Recipes!$G$5:$G$204,MATCH(G314,Recipes!$A$5:$A$204,0)),0))</f>
        <v>0</v>
      </c>
      <c r="T314" s="25">
        <f>IF(G314="","",IFERROR(INDEX(Recipes!$AD$5:$AD$204,MATCH(G314,Recipes!$A$5:$A$204,0))*K314,""))</f>
        <v>0</v>
      </c>
      <c r="V314" s="30">
        <f>IF(G314="","",IFERROR(INDEX(Recipes!$AE$5:$AE$204,MATCH(G314,Recipes!$A$5:$A$204,0)),"Not found"))</f>
        <v>0</v>
      </c>
      <c r="W314" s="45">
        <f>IF(G314="","",IFERROR(INDEX(Recipes!$AF$5:$AF$204,MATCH(G314,Recipes!$A$5:$A$204,0)),"Not found"))</f>
        <v>0</v>
      </c>
      <c r="X314" s="45">
        <f>IF(G314="","",IFERROR(INDEX(Recipes!$AG$5:$AG$204,MATCH(G314,Recipes!$A$5:$A$204,0)),"Not found"))</f>
        <v>0</v>
      </c>
      <c r="Y314" s="45">
        <f>IF(G314="","",IFERROR(INDEX(Recipes!$AH$5:$AH$204,MATCH(G314,Recipes!$A$5:$A$204,0)),"Not found"))</f>
        <v>0</v>
      </c>
      <c r="Z314" s="45">
        <f>IF(G314="","",IFERROR(INDEX(Recipes!$AI$5:$AI$204,MATCH(G314,Recipes!$A$5:$A$204,0)),"Not found"))</f>
        <v>0</v>
      </c>
      <c r="AA314" s="30">
        <f>IF(OR(V314="",NOT(ISNUMBER(V314))),"",V314*K314)</f>
        <v>0</v>
      </c>
      <c r="AB314" s="18">
        <f>IF(G314="","",IFERROR(INDEX(Recipes!$J$5:$J$204,MATCH(G314,Recipes!$A$5:$A$204,0)),"Not found"))</f>
        <v>0</v>
      </c>
      <c r="AC314" s="17">
        <f>IF(G314="","",IFERROR(INDEX(Recipes!$C$5:$C$204,MATCH(G314,Recipes!$A$5:$A$204,0)),"Not found"))</f>
        <v>0</v>
      </c>
      <c r="AD314" s="46">
        <f>IF(B314="","",IF(G314&lt;&gt;"","Yes",IF(OR(I314="",ISNUMBER(SEARCH("takeaway",I314)),ISNUMBER(SEARCH("out",I314))),"No","Yes")))</f>
        <v>0</v>
      </c>
      <c r="AE314" s="17">
        <f>IF(B314="","",TEXT(B314,"yyyy-mm-dd")&amp;"|"&amp;F314)</f>
        <v>0</v>
      </c>
      <c r="AF314" s="31">
        <f>IF(B314="","",IF(AND(G314="",I314=""),"Add - nothing planned yet",IF(COUNTIFS($AE$5:$AE$504,AE314)&gt;1,"Duplicate - two meals in one slot",IF(AND(G314&lt;&gt;"",H314="Not found"),"Missing - recipe ID not on the Recipes tab",IF(AND(B314&lt;TODAY(),OR(N314="Planned",N314="")),"Check - did you cook it?","OK")))))</f>
        <v>0</v>
      </c>
    </row>
    <row r="315" spans="1:32">
      <c r="A315" s="39">
        <f>IF(B315="","",MealPrefix&amp;TEXT(ROW()-4,"0000"))</f>
        <v>0</v>
      </c>
      <c r="C315" s="17">
        <f>IF(B315="","",TEXT(B315,"ddd"))</f>
        <v>0</v>
      </c>
      <c r="D315" s="18">
        <f>IF(B315="","",WEEKNUM(B315,IF(WeekStart="Sunday",1,2)))</f>
        <v>0</v>
      </c>
      <c r="E315" s="17">
        <f>IF(B315="","",TEXT(B315,"yyyy-mm"))</f>
        <v>0</v>
      </c>
      <c r="H315" s="17">
        <f>IF(G315&lt;&gt;"",IFERROR(INDEX(Recipes!$B$5:$B$204,MATCH(G315,Recipes!$A$5:$A$204,0)),"Not found"),I315)</f>
        <v>0</v>
      </c>
      <c r="K315" s="45">
        <f>IF(B315="","",IF(J315="",DefaultServings,J315))</f>
        <v>0</v>
      </c>
      <c r="L315" s="45">
        <f>IF(G315="",0,IFERROR(K315/INDEX(Recipes!$G$5:$G$204,MATCH(G315,Recipes!$A$5:$A$204,0)),0))</f>
        <v>0</v>
      </c>
      <c r="T315" s="25">
        <f>IF(G315="","",IFERROR(INDEX(Recipes!$AD$5:$AD$204,MATCH(G315,Recipes!$A$5:$A$204,0))*K315,""))</f>
        <v>0</v>
      </c>
      <c r="V315" s="30">
        <f>IF(G315="","",IFERROR(INDEX(Recipes!$AE$5:$AE$204,MATCH(G315,Recipes!$A$5:$A$204,0)),"Not found"))</f>
        <v>0</v>
      </c>
      <c r="W315" s="45">
        <f>IF(G315="","",IFERROR(INDEX(Recipes!$AF$5:$AF$204,MATCH(G315,Recipes!$A$5:$A$204,0)),"Not found"))</f>
        <v>0</v>
      </c>
      <c r="X315" s="45">
        <f>IF(G315="","",IFERROR(INDEX(Recipes!$AG$5:$AG$204,MATCH(G315,Recipes!$A$5:$A$204,0)),"Not found"))</f>
        <v>0</v>
      </c>
      <c r="Y315" s="45">
        <f>IF(G315="","",IFERROR(INDEX(Recipes!$AH$5:$AH$204,MATCH(G315,Recipes!$A$5:$A$204,0)),"Not found"))</f>
        <v>0</v>
      </c>
      <c r="Z315" s="45">
        <f>IF(G315="","",IFERROR(INDEX(Recipes!$AI$5:$AI$204,MATCH(G315,Recipes!$A$5:$A$204,0)),"Not found"))</f>
        <v>0</v>
      </c>
      <c r="AA315" s="30">
        <f>IF(OR(V315="",NOT(ISNUMBER(V315))),"",V315*K315)</f>
        <v>0</v>
      </c>
      <c r="AB315" s="18">
        <f>IF(G315="","",IFERROR(INDEX(Recipes!$J$5:$J$204,MATCH(G315,Recipes!$A$5:$A$204,0)),"Not found"))</f>
        <v>0</v>
      </c>
      <c r="AC315" s="17">
        <f>IF(G315="","",IFERROR(INDEX(Recipes!$C$5:$C$204,MATCH(G315,Recipes!$A$5:$A$204,0)),"Not found"))</f>
        <v>0</v>
      </c>
      <c r="AD315" s="46">
        <f>IF(B315="","",IF(G315&lt;&gt;"","Yes",IF(OR(I315="",ISNUMBER(SEARCH("takeaway",I315)),ISNUMBER(SEARCH("out",I315))),"No","Yes")))</f>
        <v>0</v>
      </c>
      <c r="AE315" s="17">
        <f>IF(B315="","",TEXT(B315,"yyyy-mm-dd")&amp;"|"&amp;F315)</f>
        <v>0</v>
      </c>
      <c r="AF315" s="31">
        <f>IF(B315="","",IF(AND(G315="",I315=""),"Add - nothing planned yet",IF(COUNTIFS($AE$5:$AE$504,AE315)&gt;1,"Duplicate - two meals in one slot",IF(AND(G315&lt;&gt;"",H315="Not found"),"Missing - recipe ID not on the Recipes tab",IF(AND(B315&lt;TODAY(),OR(N315="Planned",N315="")),"Check - did you cook it?","OK")))))</f>
        <v>0</v>
      </c>
    </row>
    <row r="316" spans="1:32">
      <c r="A316" s="39">
        <f>IF(B316="","",MealPrefix&amp;TEXT(ROW()-4,"0000"))</f>
        <v>0</v>
      </c>
      <c r="C316" s="17">
        <f>IF(B316="","",TEXT(B316,"ddd"))</f>
        <v>0</v>
      </c>
      <c r="D316" s="18">
        <f>IF(B316="","",WEEKNUM(B316,IF(WeekStart="Sunday",1,2)))</f>
        <v>0</v>
      </c>
      <c r="E316" s="17">
        <f>IF(B316="","",TEXT(B316,"yyyy-mm"))</f>
        <v>0</v>
      </c>
      <c r="H316" s="17">
        <f>IF(G316&lt;&gt;"",IFERROR(INDEX(Recipes!$B$5:$B$204,MATCH(G316,Recipes!$A$5:$A$204,0)),"Not found"),I316)</f>
        <v>0</v>
      </c>
      <c r="K316" s="45">
        <f>IF(B316="","",IF(J316="",DefaultServings,J316))</f>
        <v>0</v>
      </c>
      <c r="L316" s="45">
        <f>IF(G316="",0,IFERROR(K316/INDEX(Recipes!$G$5:$G$204,MATCH(G316,Recipes!$A$5:$A$204,0)),0))</f>
        <v>0</v>
      </c>
      <c r="T316" s="25">
        <f>IF(G316="","",IFERROR(INDEX(Recipes!$AD$5:$AD$204,MATCH(G316,Recipes!$A$5:$A$204,0))*K316,""))</f>
        <v>0</v>
      </c>
      <c r="V316" s="30">
        <f>IF(G316="","",IFERROR(INDEX(Recipes!$AE$5:$AE$204,MATCH(G316,Recipes!$A$5:$A$204,0)),"Not found"))</f>
        <v>0</v>
      </c>
      <c r="W316" s="45">
        <f>IF(G316="","",IFERROR(INDEX(Recipes!$AF$5:$AF$204,MATCH(G316,Recipes!$A$5:$A$204,0)),"Not found"))</f>
        <v>0</v>
      </c>
      <c r="X316" s="45">
        <f>IF(G316="","",IFERROR(INDEX(Recipes!$AG$5:$AG$204,MATCH(G316,Recipes!$A$5:$A$204,0)),"Not found"))</f>
        <v>0</v>
      </c>
      <c r="Y316" s="45">
        <f>IF(G316="","",IFERROR(INDEX(Recipes!$AH$5:$AH$204,MATCH(G316,Recipes!$A$5:$A$204,0)),"Not found"))</f>
        <v>0</v>
      </c>
      <c r="Z316" s="45">
        <f>IF(G316="","",IFERROR(INDEX(Recipes!$AI$5:$AI$204,MATCH(G316,Recipes!$A$5:$A$204,0)),"Not found"))</f>
        <v>0</v>
      </c>
      <c r="AA316" s="30">
        <f>IF(OR(V316="",NOT(ISNUMBER(V316))),"",V316*K316)</f>
        <v>0</v>
      </c>
      <c r="AB316" s="18">
        <f>IF(G316="","",IFERROR(INDEX(Recipes!$J$5:$J$204,MATCH(G316,Recipes!$A$5:$A$204,0)),"Not found"))</f>
        <v>0</v>
      </c>
      <c r="AC316" s="17">
        <f>IF(G316="","",IFERROR(INDEX(Recipes!$C$5:$C$204,MATCH(G316,Recipes!$A$5:$A$204,0)),"Not found"))</f>
        <v>0</v>
      </c>
      <c r="AD316" s="46">
        <f>IF(B316="","",IF(G316&lt;&gt;"","Yes",IF(OR(I316="",ISNUMBER(SEARCH("takeaway",I316)),ISNUMBER(SEARCH("out",I316))),"No","Yes")))</f>
        <v>0</v>
      </c>
      <c r="AE316" s="17">
        <f>IF(B316="","",TEXT(B316,"yyyy-mm-dd")&amp;"|"&amp;F316)</f>
        <v>0</v>
      </c>
      <c r="AF316" s="31">
        <f>IF(B316="","",IF(AND(G316="",I316=""),"Add - nothing planned yet",IF(COUNTIFS($AE$5:$AE$504,AE316)&gt;1,"Duplicate - two meals in one slot",IF(AND(G316&lt;&gt;"",H316="Not found"),"Missing - recipe ID not on the Recipes tab",IF(AND(B316&lt;TODAY(),OR(N316="Planned",N316="")),"Check - did you cook it?","OK")))))</f>
        <v>0</v>
      </c>
    </row>
    <row r="317" spans="1:32">
      <c r="A317" s="39">
        <f>IF(B317="","",MealPrefix&amp;TEXT(ROW()-4,"0000"))</f>
        <v>0</v>
      </c>
      <c r="C317" s="17">
        <f>IF(B317="","",TEXT(B317,"ddd"))</f>
        <v>0</v>
      </c>
      <c r="D317" s="18">
        <f>IF(B317="","",WEEKNUM(B317,IF(WeekStart="Sunday",1,2)))</f>
        <v>0</v>
      </c>
      <c r="E317" s="17">
        <f>IF(B317="","",TEXT(B317,"yyyy-mm"))</f>
        <v>0</v>
      </c>
      <c r="H317" s="17">
        <f>IF(G317&lt;&gt;"",IFERROR(INDEX(Recipes!$B$5:$B$204,MATCH(G317,Recipes!$A$5:$A$204,0)),"Not found"),I317)</f>
        <v>0</v>
      </c>
      <c r="K317" s="45">
        <f>IF(B317="","",IF(J317="",DefaultServings,J317))</f>
        <v>0</v>
      </c>
      <c r="L317" s="45">
        <f>IF(G317="",0,IFERROR(K317/INDEX(Recipes!$G$5:$G$204,MATCH(G317,Recipes!$A$5:$A$204,0)),0))</f>
        <v>0</v>
      </c>
      <c r="T317" s="25">
        <f>IF(G317="","",IFERROR(INDEX(Recipes!$AD$5:$AD$204,MATCH(G317,Recipes!$A$5:$A$204,0))*K317,""))</f>
        <v>0</v>
      </c>
      <c r="V317" s="30">
        <f>IF(G317="","",IFERROR(INDEX(Recipes!$AE$5:$AE$204,MATCH(G317,Recipes!$A$5:$A$204,0)),"Not found"))</f>
        <v>0</v>
      </c>
      <c r="W317" s="45">
        <f>IF(G317="","",IFERROR(INDEX(Recipes!$AF$5:$AF$204,MATCH(G317,Recipes!$A$5:$A$204,0)),"Not found"))</f>
        <v>0</v>
      </c>
      <c r="X317" s="45">
        <f>IF(G317="","",IFERROR(INDEX(Recipes!$AG$5:$AG$204,MATCH(G317,Recipes!$A$5:$A$204,0)),"Not found"))</f>
        <v>0</v>
      </c>
      <c r="Y317" s="45">
        <f>IF(G317="","",IFERROR(INDEX(Recipes!$AH$5:$AH$204,MATCH(G317,Recipes!$A$5:$A$204,0)),"Not found"))</f>
        <v>0</v>
      </c>
      <c r="Z317" s="45">
        <f>IF(G317="","",IFERROR(INDEX(Recipes!$AI$5:$AI$204,MATCH(G317,Recipes!$A$5:$A$204,0)),"Not found"))</f>
        <v>0</v>
      </c>
      <c r="AA317" s="30">
        <f>IF(OR(V317="",NOT(ISNUMBER(V317))),"",V317*K317)</f>
        <v>0</v>
      </c>
      <c r="AB317" s="18">
        <f>IF(G317="","",IFERROR(INDEX(Recipes!$J$5:$J$204,MATCH(G317,Recipes!$A$5:$A$204,0)),"Not found"))</f>
        <v>0</v>
      </c>
      <c r="AC317" s="17">
        <f>IF(G317="","",IFERROR(INDEX(Recipes!$C$5:$C$204,MATCH(G317,Recipes!$A$5:$A$204,0)),"Not found"))</f>
        <v>0</v>
      </c>
      <c r="AD317" s="46">
        <f>IF(B317="","",IF(G317&lt;&gt;"","Yes",IF(OR(I317="",ISNUMBER(SEARCH("takeaway",I317)),ISNUMBER(SEARCH("out",I317))),"No","Yes")))</f>
        <v>0</v>
      </c>
      <c r="AE317" s="17">
        <f>IF(B317="","",TEXT(B317,"yyyy-mm-dd")&amp;"|"&amp;F317)</f>
        <v>0</v>
      </c>
      <c r="AF317" s="31">
        <f>IF(B317="","",IF(AND(G317="",I317=""),"Add - nothing planned yet",IF(COUNTIFS($AE$5:$AE$504,AE317)&gt;1,"Duplicate - two meals in one slot",IF(AND(G317&lt;&gt;"",H317="Not found"),"Missing - recipe ID not on the Recipes tab",IF(AND(B317&lt;TODAY(),OR(N317="Planned",N317="")),"Check - did you cook it?","OK")))))</f>
        <v>0</v>
      </c>
    </row>
    <row r="318" spans="1:32">
      <c r="A318" s="39">
        <f>IF(B318="","",MealPrefix&amp;TEXT(ROW()-4,"0000"))</f>
        <v>0</v>
      </c>
      <c r="C318" s="17">
        <f>IF(B318="","",TEXT(B318,"ddd"))</f>
        <v>0</v>
      </c>
      <c r="D318" s="18">
        <f>IF(B318="","",WEEKNUM(B318,IF(WeekStart="Sunday",1,2)))</f>
        <v>0</v>
      </c>
      <c r="E318" s="17">
        <f>IF(B318="","",TEXT(B318,"yyyy-mm"))</f>
        <v>0</v>
      </c>
      <c r="H318" s="17">
        <f>IF(G318&lt;&gt;"",IFERROR(INDEX(Recipes!$B$5:$B$204,MATCH(G318,Recipes!$A$5:$A$204,0)),"Not found"),I318)</f>
        <v>0</v>
      </c>
      <c r="K318" s="45">
        <f>IF(B318="","",IF(J318="",DefaultServings,J318))</f>
        <v>0</v>
      </c>
      <c r="L318" s="45">
        <f>IF(G318="",0,IFERROR(K318/INDEX(Recipes!$G$5:$G$204,MATCH(G318,Recipes!$A$5:$A$204,0)),0))</f>
        <v>0</v>
      </c>
      <c r="T318" s="25">
        <f>IF(G318="","",IFERROR(INDEX(Recipes!$AD$5:$AD$204,MATCH(G318,Recipes!$A$5:$A$204,0))*K318,""))</f>
        <v>0</v>
      </c>
      <c r="V318" s="30">
        <f>IF(G318="","",IFERROR(INDEX(Recipes!$AE$5:$AE$204,MATCH(G318,Recipes!$A$5:$A$204,0)),"Not found"))</f>
        <v>0</v>
      </c>
      <c r="W318" s="45">
        <f>IF(G318="","",IFERROR(INDEX(Recipes!$AF$5:$AF$204,MATCH(G318,Recipes!$A$5:$A$204,0)),"Not found"))</f>
        <v>0</v>
      </c>
      <c r="X318" s="45">
        <f>IF(G318="","",IFERROR(INDEX(Recipes!$AG$5:$AG$204,MATCH(G318,Recipes!$A$5:$A$204,0)),"Not found"))</f>
        <v>0</v>
      </c>
      <c r="Y318" s="45">
        <f>IF(G318="","",IFERROR(INDEX(Recipes!$AH$5:$AH$204,MATCH(G318,Recipes!$A$5:$A$204,0)),"Not found"))</f>
        <v>0</v>
      </c>
      <c r="Z318" s="45">
        <f>IF(G318="","",IFERROR(INDEX(Recipes!$AI$5:$AI$204,MATCH(G318,Recipes!$A$5:$A$204,0)),"Not found"))</f>
        <v>0</v>
      </c>
      <c r="AA318" s="30">
        <f>IF(OR(V318="",NOT(ISNUMBER(V318))),"",V318*K318)</f>
        <v>0</v>
      </c>
      <c r="AB318" s="18">
        <f>IF(G318="","",IFERROR(INDEX(Recipes!$J$5:$J$204,MATCH(G318,Recipes!$A$5:$A$204,0)),"Not found"))</f>
        <v>0</v>
      </c>
      <c r="AC318" s="17">
        <f>IF(G318="","",IFERROR(INDEX(Recipes!$C$5:$C$204,MATCH(G318,Recipes!$A$5:$A$204,0)),"Not found"))</f>
        <v>0</v>
      </c>
      <c r="AD318" s="46">
        <f>IF(B318="","",IF(G318&lt;&gt;"","Yes",IF(OR(I318="",ISNUMBER(SEARCH("takeaway",I318)),ISNUMBER(SEARCH("out",I318))),"No","Yes")))</f>
        <v>0</v>
      </c>
      <c r="AE318" s="17">
        <f>IF(B318="","",TEXT(B318,"yyyy-mm-dd")&amp;"|"&amp;F318)</f>
        <v>0</v>
      </c>
      <c r="AF318" s="31">
        <f>IF(B318="","",IF(AND(G318="",I318=""),"Add - nothing planned yet",IF(COUNTIFS($AE$5:$AE$504,AE318)&gt;1,"Duplicate - two meals in one slot",IF(AND(G318&lt;&gt;"",H318="Not found"),"Missing - recipe ID not on the Recipes tab",IF(AND(B318&lt;TODAY(),OR(N318="Planned",N318="")),"Check - did you cook it?","OK")))))</f>
        <v>0</v>
      </c>
    </row>
    <row r="319" spans="1:32">
      <c r="A319" s="39">
        <f>IF(B319="","",MealPrefix&amp;TEXT(ROW()-4,"0000"))</f>
        <v>0</v>
      </c>
      <c r="C319" s="17">
        <f>IF(B319="","",TEXT(B319,"ddd"))</f>
        <v>0</v>
      </c>
      <c r="D319" s="18">
        <f>IF(B319="","",WEEKNUM(B319,IF(WeekStart="Sunday",1,2)))</f>
        <v>0</v>
      </c>
      <c r="E319" s="17">
        <f>IF(B319="","",TEXT(B319,"yyyy-mm"))</f>
        <v>0</v>
      </c>
      <c r="H319" s="17">
        <f>IF(G319&lt;&gt;"",IFERROR(INDEX(Recipes!$B$5:$B$204,MATCH(G319,Recipes!$A$5:$A$204,0)),"Not found"),I319)</f>
        <v>0</v>
      </c>
      <c r="K319" s="45">
        <f>IF(B319="","",IF(J319="",DefaultServings,J319))</f>
        <v>0</v>
      </c>
      <c r="L319" s="45">
        <f>IF(G319="",0,IFERROR(K319/INDEX(Recipes!$G$5:$G$204,MATCH(G319,Recipes!$A$5:$A$204,0)),0))</f>
        <v>0</v>
      </c>
      <c r="T319" s="25">
        <f>IF(G319="","",IFERROR(INDEX(Recipes!$AD$5:$AD$204,MATCH(G319,Recipes!$A$5:$A$204,0))*K319,""))</f>
        <v>0</v>
      </c>
      <c r="V319" s="30">
        <f>IF(G319="","",IFERROR(INDEX(Recipes!$AE$5:$AE$204,MATCH(G319,Recipes!$A$5:$A$204,0)),"Not found"))</f>
        <v>0</v>
      </c>
      <c r="W319" s="45">
        <f>IF(G319="","",IFERROR(INDEX(Recipes!$AF$5:$AF$204,MATCH(G319,Recipes!$A$5:$A$204,0)),"Not found"))</f>
        <v>0</v>
      </c>
      <c r="X319" s="45">
        <f>IF(G319="","",IFERROR(INDEX(Recipes!$AG$5:$AG$204,MATCH(G319,Recipes!$A$5:$A$204,0)),"Not found"))</f>
        <v>0</v>
      </c>
      <c r="Y319" s="45">
        <f>IF(G319="","",IFERROR(INDEX(Recipes!$AH$5:$AH$204,MATCH(G319,Recipes!$A$5:$A$204,0)),"Not found"))</f>
        <v>0</v>
      </c>
      <c r="Z319" s="45">
        <f>IF(G319="","",IFERROR(INDEX(Recipes!$AI$5:$AI$204,MATCH(G319,Recipes!$A$5:$A$204,0)),"Not found"))</f>
        <v>0</v>
      </c>
      <c r="AA319" s="30">
        <f>IF(OR(V319="",NOT(ISNUMBER(V319))),"",V319*K319)</f>
        <v>0</v>
      </c>
      <c r="AB319" s="18">
        <f>IF(G319="","",IFERROR(INDEX(Recipes!$J$5:$J$204,MATCH(G319,Recipes!$A$5:$A$204,0)),"Not found"))</f>
        <v>0</v>
      </c>
      <c r="AC319" s="17">
        <f>IF(G319="","",IFERROR(INDEX(Recipes!$C$5:$C$204,MATCH(G319,Recipes!$A$5:$A$204,0)),"Not found"))</f>
        <v>0</v>
      </c>
      <c r="AD319" s="46">
        <f>IF(B319="","",IF(G319&lt;&gt;"","Yes",IF(OR(I319="",ISNUMBER(SEARCH("takeaway",I319)),ISNUMBER(SEARCH("out",I319))),"No","Yes")))</f>
        <v>0</v>
      </c>
      <c r="AE319" s="17">
        <f>IF(B319="","",TEXT(B319,"yyyy-mm-dd")&amp;"|"&amp;F319)</f>
        <v>0</v>
      </c>
      <c r="AF319" s="31">
        <f>IF(B319="","",IF(AND(G319="",I319=""),"Add - nothing planned yet",IF(COUNTIFS($AE$5:$AE$504,AE319)&gt;1,"Duplicate - two meals in one slot",IF(AND(G319&lt;&gt;"",H319="Not found"),"Missing - recipe ID not on the Recipes tab",IF(AND(B319&lt;TODAY(),OR(N319="Planned",N319="")),"Check - did you cook it?","OK")))))</f>
        <v>0</v>
      </c>
    </row>
    <row r="320" spans="1:32">
      <c r="A320" s="39">
        <f>IF(B320="","",MealPrefix&amp;TEXT(ROW()-4,"0000"))</f>
        <v>0</v>
      </c>
      <c r="C320" s="17">
        <f>IF(B320="","",TEXT(B320,"ddd"))</f>
        <v>0</v>
      </c>
      <c r="D320" s="18">
        <f>IF(B320="","",WEEKNUM(B320,IF(WeekStart="Sunday",1,2)))</f>
        <v>0</v>
      </c>
      <c r="E320" s="17">
        <f>IF(B320="","",TEXT(B320,"yyyy-mm"))</f>
        <v>0</v>
      </c>
      <c r="H320" s="17">
        <f>IF(G320&lt;&gt;"",IFERROR(INDEX(Recipes!$B$5:$B$204,MATCH(G320,Recipes!$A$5:$A$204,0)),"Not found"),I320)</f>
        <v>0</v>
      </c>
      <c r="K320" s="45">
        <f>IF(B320="","",IF(J320="",DefaultServings,J320))</f>
        <v>0</v>
      </c>
      <c r="L320" s="45">
        <f>IF(G320="",0,IFERROR(K320/INDEX(Recipes!$G$5:$G$204,MATCH(G320,Recipes!$A$5:$A$204,0)),0))</f>
        <v>0</v>
      </c>
      <c r="T320" s="25">
        <f>IF(G320="","",IFERROR(INDEX(Recipes!$AD$5:$AD$204,MATCH(G320,Recipes!$A$5:$A$204,0))*K320,""))</f>
        <v>0</v>
      </c>
      <c r="V320" s="30">
        <f>IF(G320="","",IFERROR(INDEX(Recipes!$AE$5:$AE$204,MATCH(G320,Recipes!$A$5:$A$204,0)),"Not found"))</f>
        <v>0</v>
      </c>
      <c r="W320" s="45">
        <f>IF(G320="","",IFERROR(INDEX(Recipes!$AF$5:$AF$204,MATCH(G320,Recipes!$A$5:$A$204,0)),"Not found"))</f>
        <v>0</v>
      </c>
      <c r="X320" s="45">
        <f>IF(G320="","",IFERROR(INDEX(Recipes!$AG$5:$AG$204,MATCH(G320,Recipes!$A$5:$A$204,0)),"Not found"))</f>
        <v>0</v>
      </c>
      <c r="Y320" s="45">
        <f>IF(G320="","",IFERROR(INDEX(Recipes!$AH$5:$AH$204,MATCH(G320,Recipes!$A$5:$A$204,0)),"Not found"))</f>
        <v>0</v>
      </c>
      <c r="Z320" s="45">
        <f>IF(G320="","",IFERROR(INDEX(Recipes!$AI$5:$AI$204,MATCH(G320,Recipes!$A$5:$A$204,0)),"Not found"))</f>
        <v>0</v>
      </c>
      <c r="AA320" s="30">
        <f>IF(OR(V320="",NOT(ISNUMBER(V320))),"",V320*K320)</f>
        <v>0</v>
      </c>
      <c r="AB320" s="18">
        <f>IF(G320="","",IFERROR(INDEX(Recipes!$J$5:$J$204,MATCH(G320,Recipes!$A$5:$A$204,0)),"Not found"))</f>
        <v>0</v>
      </c>
      <c r="AC320" s="17">
        <f>IF(G320="","",IFERROR(INDEX(Recipes!$C$5:$C$204,MATCH(G320,Recipes!$A$5:$A$204,0)),"Not found"))</f>
        <v>0</v>
      </c>
      <c r="AD320" s="46">
        <f>IF(B320="","",IF(G320&lt;&gt;"","Yes",IF(OR(I320="",ISNUMBER(SEARCH("takeaway",I320)),ISNUMBER(SEARCH("out",I320))),"No","Yes")))</f>
        <v>0</v>
      </c>
      <c r="AE320" s="17">
        <f>IF(B320="","",TEXT(B320,"yyyy-mm-dd")&amp;"|"&amp;F320)</f>
        <v>0</v>
      </c>
      <c r="AF320" s="31">
        <f>IF(B320="","",IF(AND(G320="",I320=""),"Add - nothing planned yet",IF(COUNTIFS($AE$5:$AE$504,AE320)&gt;1,"Duplicate - two meals in one slot",IF(AND(G320&lt;&gt;"",H320="Not found"),"Missing - recipe ID not on the Recipes tab",IF(AND(B320&lt;TODAY(),OR(N320="Planned",N320="")),"Check - did you cook it?","OK")))))</f>
        <v>0</v>
      </c>
    </row>
    <row r="321" spans="1:32">
      <c r="A321" s="39">
        <f>IF(B321="","",MealPrefix&amp;TEXT(ROW()-4,"0000"))</f>
        <v>0</v>
      </c>
      <c r="C321" s="17">
        <f>IF(B321="","",TEXT(B321,"ddd"))</f>
        <v>0</v>
      </c>
      <c r="D321" s="18">
        <f>IF(B321="","",WEEKNUM(B321,IF(WeekStart="Sunday",1,2)))</f>
        <v>0</v>
      </c>
      <c r="E321" s="17">
        <f>IF(B321="","",TEXT(B321,"yyyy-mm"))</f>
        <v>0</v>
      </c>
      <c r="H321" s="17">
        <f>IF(G321&lt;&gt;"",IFERROR(INDEX(Recipes!$B$5:$B$204,MATCH(G321,Recipes!$A$5:$A$204,0)),"Not found"),I321)</f>
        <v>0</v>
      </c>
      <c r="K321" s="45">
        <f>IF(B321="","",IF(J321="",DefaultServings,J321))</f>
        <v>0</v>
      </c>
      <c r="L321" s="45">
        <f>IF(G321="",0,IFERROR(K321/INDEX(Recipes!$G$5:$G$204,MATCH(G321,Recipes!$A$5:$A$204,0)),0))</f>
        <v>0</v>
      </c>
      <c r="T321" s="25">
        <f>IF(G321="","",IFERROR(INDEX(Recipes!$AD$5:$AD$204,MATCH(G321,Recipes!$A$5:$A$204,0))*K321,""))</f>
        <v>0</v>
      </c>
      <c r="V321" s="30">
        <f>IF(G321="","",IFERROR(INDEX(Recipes!$AE$5:$AE$204,MATCH(G321,Recipes!$A$5:$A$204,0)),"Not found"))</f>
        <v>0</v>
      </c>
      <c r="W321" s="45">
        <f>IF(G321="","",IFERROR(INDEX(Recipes!$AF$5:$AF$204,MATCH(G321,Recipes!$A$5:$A$204,0)),"Not found"))</f>
        <v>0</v>
      </c>
      <c r="X321" s="45">
        <f>IF(G321="","",IFERROR(INDEX(Recipes!$AG$5:$AG$204,MATCH(G321,Recipes!$A$5:$A$204,0)),"Not found"))</f>
        <v>0</v>
      </c>
      <c r="Y321" s="45">
        <f>IF(G321="","",IFERROR(INDEX(Recipes!$AH$5:$AH$204,MATCH(G321,Recipes!$A$5:$A$204,0)),"Not found"))</f>
        <v>0</v>
      </c>
      <c r="Z321" s="45">
        <f>IF(G321="","",IFERROR(INDEX(Recipes!$AI$5:$AI$204,MATCH(G321,Recipes!$A$5:$A$204,0)),"Not found"))</f>
        <v>0</v>
      </c>
      <c r="AA321" s="30">
        <f>IF(OR(V321="",NOT(ISNUMBER(V321))),"",V321*K321)</f>
        <v>0</v>
      </c>
      <c r="AB321" s="18">
        <f>IF(G321="","",IFERROR(INDEX(Recipes!$J$5:$J$204,MATCH(G321,Recipes!$A$5:$A$204,0)),"Not found"))</f>
        <v>0</v>
      </c>
      <c r="AC321" s="17">
        <f>IF(G321="","",IFERROR(INDEX(Recipes!$C$5:$C$204,MATCH(G321,Recipes!$A$5:$A$204,0)),"Not found"))</f>
        <v>0</v>
      </c>
      <c r="AD321" s="46">
        <f>IF(B321="","",IF(G321&lt;&gt;"","Yes",IF(OR(I321="",ISNUMBER(SEARCH("takeaway",I321)),ISNUMBER(SEARCH("out",I321))),"No","Yes")))</f>
        <v>0</v>
      </c>
      <c r="AE321" s="17">
        <f>IF(B321="","",TEXT(B321,"yyyy-mm-dd")&amp;"|"&amp;F321)</f>
        <v>0</v>
      </c>
      <c r="AF321" s="31">
        <f>IF(B321="","",IF(AND(G321="",I321=""),"Add - nothing planned yet",IF(COUNTIFS($AE$5:$AE$504,AE321)&gt;1,"Duplicate - two meals in one slot",IF(AND(G321&lt;&gt;"",H321="Not found"),"Missing - recipe ID not on the Recipes tab",IF(AND(B321&lt;TODAY(),OR(N321="Planned",N321="")),"Check - did you cook it?","OK")))))</f>
        <v>0</v>
      </c>
    </row>
    <row r="322" spans="1:32">
      <c r="A322" s="39">
        <f>IF(B322="","",MealPrefix&amp;TEXT(ROW()-4,"0000"))</f>
        <v>0</v>
      </c>
      <c r="C322" s="17">
        <f>IF(B322="","",TEXT(B322,"ddd"))</f>
        <v>0</v>
      </c>
      <c r="D322" s="18">
        <f>IF(B322="","",WEEKNUM(B322,IF(WeekStart="Sunday",1,2)))</f>
        <v>0</v>
      </c>
      <c r="E322" s="17">
        <f>IF(B322="","",TEXT(B322,"yyyy-mm"))</f>
        <v>0</v>
      </c>
      <c r="H322" s="17">
        <f>IF(G322&lt;&gt;"",IFERROR(INDEX(Recipes!$B$5:$B$204,MATCH(G322,Recipes!$A$5:$A$204,0)),"Not found"),I322)</f>
        <v>0</v>
      </c>
      <c r="K322" s="45">
        <f>IF(B322="","",IF(J322="",DefaultServings,J322))</f>
        <v>0</v>
      </c>
      <c r="L322" s="45">
        <f>IF(G322="",0,IFERROR(K322/INDEX(Recipes!$G$5:$G$204,MATCH(G322,Recipes!$A$5:$A$204,0)),0))</f>
        <v>0</v>
      </c>
      <c r="T322" s="25">
        <f>IF(G322="","",IFERROR(INDEX(Recipes!$AD$5:$AD$204,MATCH(G322,Recipes!$A$5:$A$204,0))*K322,""))</f>
        <v>0</v>
      </c>
      <c r="V322" s="30">
        <f>IF(G322="","",IFERROR(INDEX(Recipes!$AE$5:$AE$204,MATCH(G322,Recipes!$A$5:$A$204,0)),"Not found"))</f>
        <v>0</v>
      </c>
      <c r="W322" s="45">
        <f>IF(G322="","",IFERROR(INDEX(Recipes!$AF$5:$AF$204,MATCH(G322,Recipes!$A$5:$A$204,0)),"Not found"))</f>
        <v>0</v>
      </c>
      <c r="X322" s="45">
        <f>IF(G322="","",IFERROR(INDEX(Recipes!$AG$5:$AG$204,MATCH(G322,Recipes!$A$5:$A$204,0)),"Not found"))</f>
        <v>0</v>
      </c>
      <c r="Y322" s="45">
        <f>IF(G322="","",IFERROR(INDEX(Recipes!$AH$5:$AH$204,MATCH(G322,Recipes!$A$5:$A$204,0)),"Not found"))</f>
        <v>0</v>
      </c>
      <c r="Z322" s="45">
        <f>IF(G322="","",IFERROR(INDEX(Recipes!$AI$5:$AI$204,MATCH(G322,Recipes!$A$5:$A$204,0)),"Not found"))</f>
        <v>0</v>
      </c>
      <c r="AA322" s="30">
        <f>IF(OR(V322="",NOT(ISNUMBER(V322))),"",V322*K322)</f>
        <v>0</v>
      </c>
      <c r="AB322" s="18">
        <f>IF(G322="","",IFERROR(INDEX(Recipes!$J$5:$J$204,MATCH(G322,Recipes!$A$5:$A$204,0)),"Not found"))</f>
        <v>0</v>
      </c>
      <c r="AC322" s="17">
        <f>IF(G322="","",IFERROR(INDEX(Recipes!$C$5:$C$204,MATCH(G322,Recipes!$A$5:$A$204,0)),"Not found"))</f>
        <v>0</v>
      </c>
      <c r="AD322" s="46">
        <f>IF(B322="","",IF(G322&lt;&gt;"","Yes",IF(OR(I322="",ISNUMBER(SEARCH("takeaway",I322)),ISNUMBER(SEARCH("out",I322))),"No","Yes")))</f>
        <v>0</v>
      </c>
      <c r="AE322" s="17">
        <f>IF(B322="","",TEXT(B322,"yyyy-mm-dd")&amp;"|"&amp;F322)</f>
        <v>0</v>
      </c>
      <c r="AF322" s="31">
        <f>IF(B322="","",IF(AND(G322="",I322=""),"Add - nothing planned yet",IF(COUNTIFS($AE$5:$AE$504,AE322)&gt;1,"Duplicate - two meals in one slot",IF(AND(G322&lt;&gt;"",H322="Not found"),"Missing - recipe ID not on the Recipes tab",IF(AND(B322&lt;TODAY(),OR(N322="Planned",N322="")),"Check - did you cook it?","OK")))))</f>
        <v>0</v>
      </c>
    </row>
    <row r="323" spans="1:32">
      <c r="A323" s="39">
        <f>IF(B323="","",MealPrefix&amp;TEXT(ROW()-4,"0000"))</f>
        <v>0</v>
      </c>
      <c r="C323" s="17">
        <f>IF(B323="","",TEXT(B323,"ddd"))</f>
        <v>0</v>
      </c>
      <c r="D323" s="18">
        <f>IF(B323="","",WEEKNUM(B323,IF(WeekStart="Sunday",1,2)))</f>
        <v>0</v>
      </c>
      <c r="E323" s="17">
        <f>IF(B323="","",TEXT(B323,"yyyy-mm"))</f>
        <v>0</v>
      </c>
      <c r="H323" s="17">
        <f>IF(G323&lt;&gt;"",IFERROR(INDEX(Recipes!$B$5:$B$204,MATCH(G323,Recipes!$A$5:$A$204,0)),"Not found"),I323)</f>
        <v>0</v>
      </c>
      <c r="K323" s="45">
        <f>IF(B323="","",IF(J323="",DefaultServings,J323))</f>
        <v>0</v>
      </c>
      <c r="L323" s="45">
        <f>IF(G323="",0,IFERROR(K323/INDEX(Recipes!$G$5:$G$204,MATCH(G323,Recipes!$A$5:$A$204,0)),0))</f>
        <v>0</v>
      </c>
      <c r="T323" s="25">
        <f>IF(G323="","",IFERROR(INDEX(Recipes!$AD$5:$AD$204,MATCH(G323,Recipes!$A$5:$A$204,0))*K323,""))</f>
        <v>0</v>
      </c>
      <c r="V323" s="30">
        <f>IF(G323="","",IFERROR(INDEX(Recipes!$AE$5:$AE$204,MATCH(G323,Recipes!$A$5:$A$204,0)),"Not found"))</f>
        <v>0</v>
      </c>
      <c r="W323" s="45">
        <f>IF(G323="","",IFERROR(INDEX(Recipes!$AF$5:$AF$204,MATCH(G323,Recipes!$A$5:$A$204,0)),"Not found"))</f>
        <v>0</v>
      </c>
      <c r="X323" s="45">
        <f>IF(G323="","",IFERROR(INDEX(Recipes!$AG$5:$AG$204,MATCH(G323,Recipes!$A$5:$A$204,0)),"Not found"))</f>
        <v>0</v>
      </c>
      <c r="Y323" s="45">
        <f>IF(G323="","",IFERROR(INDEX(Recipes!$AH$5:$AH$204,MATCH(G323,Recipes!$A$5:$A$204,0)),"Not found"))</f>
        <v>0</v>
      </c>
      <c r="Z323" s="45">
        <f>IF(G323="","",IFERROR(INDEX(Recipes!$AI$5:$AI$204,MATCH(G323,Recipes!$A$5:$A$204,0)),"Not found"))</f>
        <v>0</v>
      </c>
      <c r="AA323" s="30">
        <f>IF(OR(V323="",NOT(ISNUMBER(V323))),"",V323*K323)</f>
        <v>0</v>
      </c>
      <c r="AB323" s="18">
        <f>IF(G323="","",IFERROR(INDEX(Recipes!$J$5:$J$204,MATCH(G323,Recipes!$A$5:$A$204,0)),"Not found"))</f>
        <v>0</v>
      </c>
      <c r="AC323" s="17">
        <f>IF(G323="","",IFERROR(INDEX(Recipes!$C$5:$C$204,MATCH(G323,Recipes!$A$5:$A$204,0)),"Not found"))</f>
        <v>0</v>
      </c>
      <c r="AD323" s="46">
        <f>IF(B323="","",IF(G323&lt;&gt;"","Yes",IF(OR(I323="",ISNUMBER(SEARCH("takeaway",I323)),ISNUMBER(SEARCH("out",I323))),"No","Yes")))</f>
        <v>0</v>
      </c>
      <c r="AE323" s="17">
        <f>IF(B323="","",TEXT(B323,"yyyy-mm-dd")&amp;"|"&amp;F323)</f>
        <v>0</v>
      </c>
      <c r="AF323" s="31">
        <f>IF(B323="","",IF(AND(G323="",I323=""),"Add - nothing planned yet",IF(COUNTIFS($AE$5:$AE$504,AE323)&gt;1,"Duplicate - two meals in one slot",IF(AND(G323&lt;&gt;"",H323="Not found"),"Missing - recipe ID not on the Recipes tab",IF(AND(B323&lt;TODAY(),OR(N323="Planned",N323="")),"Check - did you cook it?","OK")))))</f>
        <v>0</v>
      </c>
    </row>
    <row r="324" spans="1:32">
      <c r="A324" s="39">
        <f>IF(B324="","",MealPrefix&amp;TEXT(ROW()-4,"0000"))</f>
        <v>0</v>
      </c>
      <c r="C324" s="17">
        <f>IF(B324="","",TEXT(B324,"ddd"))</f>
        <v>0</v>
      </c>
      <c r="D324" s="18">
        <f>IF(B324="","",WEEKNUM(B324,IF(WeekStart="Sunday",1,2)))</f>
        <v>0</v>
      </c>
      <c r="E324" s="17">
        <f>IF(B324="","",TEXT(B324,"yyyy-mm"))</f>
        <v>0</v>
      </c>
      <c r="H324" s="17">
        <f>IF(G324&lt;&gt;"",IFERROR(INDEX(Recipes!$B$5:$B$204,MATCH(G324,Recipes!$A$5:$A$204,0)),"Not found"),I324)</f>
        <v>0</v>
      </c>
      <c r="K324" s="45">
        <f>IF(B324="","",IF(J324="",DefaultServings,J324))</f>
        <v>0</v>
      </c>
      <c r="L324" s="45">
        <f>IF(G324="",0,IFERROR(K324/INDEX(Recipes!$G$5:$G$204,MATCH(G324,Recipes!$A$5:$A$204,0)),0))</f>
        <v>0</v>
      </c>
      <c r="T324" s="25">
        <f>IF(G324="","",IFERROR(INDEX(Recipes!$AD$5:$AD$204,MATCH(G324,Recipes!$A$5:$A$204,0))*K324,""))</f>
        <v>0</v>
      </c>
      <c r="V324" s="30">
        <f>IF(G324="","",IFERROR(INDEX(Recipes!$AE$5:$AE$204,MATCH(G324,Recipes!$A$5:$A$204,0)),"Not found"))</f>
        <v>0</v>
      </c>
      <c r="W324" s="45">
        <f>IF(G324="","",IFERROR(INDEX(Recipes!$AF$5:$AF$204,MATCH(G324,Recipes!$A$5:$A$204,0)),"Not found"))</f>
        <v>0</v>
      </c>
      <c r="X324" s="45">
        <f>IF(G324="","",IFERROR(INDEX(Recipes!$AG$5:$AG$204,MATCH(G324,Recipes!$A$5:$A$204,0)),"Not found"))</f>
        <v>0</v>
      </c>
      <c r="Y324" s="45">
        <f>IF(G324="","",IFERROR(INDEX(Recipes!$AH$5:$AH$204,MATCH(G324,Recipes!$A$5:$A$204,0)),"Not found"))</f>
        <v>0</v>
      </c>
      <c r="Z324" s="45">
        <f>IF(G324="","",IFERROR(INDEX(Recipes!$AI$5:$AI$204,MATCH(G324,Recipes!$A$5:$A$204,0)),"Not found"))</f>
        <v>0</v>
      </c>
      <c r="AA324" s="30">
        <f>IF(OR(V324="",NOT(ISNUMBER(V324))),"",V324*K324)</f>
        <v>0</v>
      </c>
      <c r="AB324" s="18">
        <f>IF(G324="","",IFERROR(INDEX(Recipes!$J$5:$J$204,MATCH(G324,Recipes!$A$5:$A$204,0)),"Not found"))</f>
        <v>0</v>
      </c>
      <c r="AC324" s="17">
        <f>IF(G324="","",IFERROR(INDEX(Recipes!$C$5:$C$204,MATCH(G324,Recipes!$A$5:$A$204,0)),"Not found"))</f>
        <v>0</v>
      </c>
      <c r="AD324" s="46">
        <f>IF(B324="","",IF(G324&lt;&gt;"","Yes",IF(OR(I324="",ISNUMBER(SEARCH("takeaway",I324)),ISNUMBER(SEARCH("out",I324))),"No","Yes")))</f>
        <v>0</v>
      </c>
      <c r="AE324" s="17">
        <f>IF(B324="","",TEXT(B324,"yyyy-mm-dd")&amp;"|"&amp;F324)</f>
        <v>0</v>
      </c>
      <c r="AF324" s="31">
        <f>IF(B324="","",IF(AND(G324="",I324=""),"Add - nothing planned yet",IF(COUNTIFS($AE$5:$AE$504,AE324)&gt;1,"Duplicate - two meals in one slot",IF(AND(G324&lt;&gt;"",H324="Not found"),"Missing - recipe ID not on the Recipes tab",IF(AND(B324&lt;TODAY(),OR(N324="Planned",N324="")),"Check - did you cook it?","OK")))))</f>
        <v>0</v>
      </c>
    </row>
    <row r="325" spans="1:32">
      <c r="A325" s="39">
        <f>IF(B325="","",MealPrefix&amp;TEXT(ROW()-4,"0000"))</f>
        <v>0</v>
      </c>
      <c r="C325" s="17">
        <f>IF(B325="","",TEXT(B325,"ddd"))</f>
        <v>0</v>
      </c>
      <c r="D325" s="18">
        <f>IF(B325="","",WEEKNUM(B325,IF(WeekStart="Sunday",1,2)))</f>
        <v>0</v>
      </c>
      <c r="E325" s="17">
        <f>IF(B325="","",TEXT(B325,"yyyy-mm"))</f>
        <v>0</v>
      </c>
      <c r="H325" s="17">
        <f>IF(G325&lt;&gt;"",IFERROR(INDEX(Recipes!$B$5:$B$204,MATCH(G325,Recipes!$A$5:$A$204,0)),"Not found"),I325)</f>
        <v>0</v>
      </c>
      <c r="K325" s="45">
        <f>IF(B325="","",IF(J325="",DefaultServings,J325))</f>
        <v>0</v>
      </c>
      <c r="L325" s="45">
        <f>IF(G325="",0,IFERROR(K325/INDEX(Recipes!$G$5:$G$204,MATCH(G325,Recipes!$A$5:$A$204,0)),0))</f>
        <v>0</v>
      </c>
      <c r="T325" s="25">
        <f>IF(G325="","",IFERROR(INDEX(Recipes!$AD$5:$AD$204,MATCH(G325,Recipes!$A$5:$A$204,0))*K325,""))</f>
        <v>0</v>
      </c>
      <c r="V325" s="30">
        <f>IF(G325="","",IFERROR(INDEX(Recipes!$AE$5:$AE$204,MATCH(G325,Recipes!$A$5:$A$204,0)),"Not found"))</f>
        <v>0</v>
      </c>
      <c r="W325" s="45">
        <f>IF(G325="","",IFERROR(INDEX(Recipes!$AF$5:$AF$204,MATCH(G325,Recipes!$A$5:$A$204,0)),"Not found"))</f>
        <v>0</v>
      </c>
      <c r="X325" s="45">
        <f>IF(G325="","",IFERROR(INDEX(Recipes!$AG$5:$AG$204,MATCH(G325,Recipes!$A$5:$A$204,0)),"Not found"))</f>
        <v>0</v>
      </c>
      <c r="Y325" s="45">
        <f>IF(G325="","",IFERROR(INDEX(Recipes!$AH$5:$AH$204,MATCH(G325,Recipes!$A$5:$A$204,0)),"Not found"))</f>
        <v>0</v>
      </c>
      <c r="Z325" s="45">
        <f>IF(G325="","",IFERROR(INDEX(Recipes!$AI$5:$AI$204,MATCH(G325,Recipes!$A$5:$A$204,0)),"Not found"))</f>
        <v>0</v>
      </c>
      <c r="AA325" s="30">
        <f>IF(OR(V325="",NOT(ISNUMBER(V325))),"",V325*K325)</f>
        <v>0</v>
      </c>
      <c r="AB325" s="18">
        <f>IF(G325="","",IFERROR(INDEX(Recipes!$J$5:$J$204,MATCH(G325,Recipes!$A$5:$A$204,0)),"Not found"))</f>
        <v>0</v>
      </c>
      <c r="AC325" s="17">
        <f>IF(G325="","",IFERROR(INDEX(Recipes!$C$5:$C$204,MATCH(G325,Recipes!$A$5:$A$204,0)),"Not found"))</f>
        <v>0</v>
      </c>
      <c r="AD325" s="46">
        <f>IF(B325="","",IF(G325&lt;&gt;"","Yes",IF(OR(I325="",ISNUMBER(SEARCH("takeaway",I325)),ISNUMBER(SEARCH("out",I325))),"No","Yes")))</f>
        <v>0</v>
      </c>
      <c r="AE325" s="17">
        <f>IF(B325="","",TEXT(B325,"yyyy-mm-dd")&amp;"|"&amp;F325)</f>
        <v>0</v>
      </c>
      <c r="AF325" s="31">
        <f>IF(B325="","",IF(AND(G325="",I325=""),"Add - nothing planned yet",IF(COUNTIFS($AE$5:$AE$504,AE325)&gt;1,"Duplicate - two meals in one slot",IF(AND(G325&lt;&gt;"",H325="Not found"),"Missing - recipe ID not on the Recipes tab",IF(AND(B325&lt;TODAY(),OR(N325="Planned",N325="")),"Check - did you cook it?","OK")))))</f>
        <v>0</v>
      </c>
    </row>
    <row r="326" spans="1:32">
      <c r="A326" s="39">
        <f>IF(B326="","",MealPrefix&amp;TEXT(ROW()-4,"0000"))</f>
        <v>0</v>
      </c>
      <c r="C326" s="17">
        <f>IF(B326="","",TEXT(B326,"ddd"))</f>
        <v>0</v>
      </c>
      <c r="D326" s="18">
        <f>IF(B326="","",WEEKNUM(B326,IF(WeekStart="Sunday",1,2)))</f>
        <v>0</v>
      </c>
      <c r="E326" s="17">
        <f>IF(B326="","",TEXT(B326,"yyyy-mm"))</f>
        <v>0</v>
      </c>
      <c r="H326" s="17">
        <f>IF(G326&lt;&gt;"",IFERROR(INDEX(Recipes!$B$5:$B$204,MATCH(G326,Recipes!$A$5:$A$204,0)),"Not found"),I326)</f>
        <v>0</v>
      </c>
      <c r="K326" s="45">
        <f>IF(B326="","",IF(J326="",DefaultServings,J326))</f>
        <v>0</v>
      </c>
      <c r="L326" s="45">
        <f>IF(G326="",0,IFERROR(K326/INDEX(Recipes!$G$5:$G$204,MATCH(G326,Recipes!$A$5:$A$204,0)),0))</f>
        <v>0</v>
      </c>
      <c r="T326" s="25">
        <f>IF(G326="","",IFERROR(INDEX(Recipes!$AD$5:$AD$204,MATCH(G326,Recipes!$A$5:$A$204,0))*K326,""))</f>
        <v>0</v>
      </c>
      <c r="V326" s="30">
        <f>IF(G326="","",IFERROR(INDEX(Recipes!$AE$5:$AE$204,MATCH(G326,Recipes!$A$5:$A$204,0)),"Not found"))</f>
        <v>0</v>
      </c>
      <c r="W326" s="45">
        <f>IF(G326="","",IFERROR(INDEX(Recipes!$AF$5:$AF$204,MATCH(G326,Recipes!$A$5:$A$204,0)),"Not found"))</f>
        <v>0</v>
      </c>
      <c r="X326" s="45">
        <f>IF(G326="","",IFERROR(INDEX(Recipes!$AG$5:$AG$204,MATCH(G326,Recipes!$A$5:$A$204,0)),"Not found"))</f>
        <v>0</v>
      </c>
      <c r="Y326" s="45">
        <f>IF(G326="","",IFERROR(INDEX(Recipes!$AH$5:$AH$204,MATCH(G326,Recipes!$A$5:$A$204,0)),"Not found"))</f>
        <v>0</v>
      </c>
      <c r="Z326" s="45">
        <f>IF(G326="","",IFERROR(INDEX(Recipes!$AI$5:$AI$204,MATCH(G326,Recipes!$A$5:$A$204,0)),"Not found"))</f>
        <v>0</v>
      </c>
      <c r="AA326" s="30">
        <f>IF(OR(V326="",NOT(ISNUMBER(V326))),"",V326*K326)</f>
        <v>0</v>
      </c>
      <c r="AB326" s="18">
        <f>IF(G326="","",IFERROR(INDEX(Recipes!$J$5:$J$204,MATCH(G326,Recipes!$A$5:$A$204,0)),"Not found"))</f>
        <v>0</v>
      </c>
      <c r="AC326" s="17">
        <f>IF(G326="","",IFERROR(INDEX(Recipes!$C$5:$C$204,MATCH(G326,Recipes!$A$5:$A$204,0)),"Not found"))</f>
        <v>0</v>
      </c>
      <c r="AD326" s="46">
        <f>IF(B326="","",IF(G326&lt;&gt;"","Yes",IF(OR(I326="",ISNUMBER(SEARCH("takeaway",I326)),ISNUMBER(SEARCH("out",I326))),"No","Yes")))</f>
        <v>0</v>
      </c>
      <c r="AE326" s="17">
        <f>IF(B326="","",TEXT(B326,"yyyy-mm-dd")&amp;"|"&amp;F326)</f>
        <v>0</v>
      </c>
      <c r="AF326" s="31">
        <f>IF(B326="","",IF(AND(G326="",I326=""),"Add - nothing planned yet",IF(COUNTIFS($AE$5:$AE$504,AE326)&gt;1,"Duplicate - two meals in one slot",IF(AND(G326&lt;&gt;"",H326="Not found"),"Missing - recipe ID not on the Recipes tab",IF(AND(B326&lt;TODAY(),OR(N326="Planned",N326="")),"Check - did you cook it?","OK")))))</f>
        <v>0</v>
      </c>
    </row>
    <row r="327" spans="1:32">
      <c r="A327" s="39">
        <f>IF(B327="","",MealPrefix&amp;TEXT(ROW()-4,"0000"))</f>
        <v>0</v>
      </c>
      <c r="C327" s="17">
        <f>IF(B327="","",TEXT(B327,"ddd"))</f>
        <v>0</v>
      </c>
      <c r="D327" s="18">
        <f>IF(B327="","",WEEKNUM(B327,IF(WeekStart="Sunday",1,2)))</f>
        <v>0</v>
      </c>
      <c r="E327" s="17">
        <f>IF(B327="","",TEXT(B327,"yyyy-mm"))</f>
        <v>0</v>
      </c>
      <c r="H327" s="17">
        <f>IF(G327&lt;&gt;"",IFERROR(INDEX(Recipes!$B$5:$B$204,MATCH(G327,Recipes!$A$5:$A$204,0)),"Not found"),I327)</f>
        <v>0</v>
      </c>
      <c r="K327" s="45">
        <f>IF(B327="","",IF(J327="",DefaultServings,J327))</f>
        <v>0</v>
      </c>
      <c r="L327" s="45">
        <f>IF(G327="",0,IFERROR(K327/INDEX(Recipes!$G$5:$G$204,MATCH(G327,Recipes!$A$5:$A$204,0)),0))</f>
        <v>0</v>
      </c>
      <c r="T327" s="25">
        <f>IF(G327="","",IFERROR(INDEX(Recipes!$AD$5:$AD$204,MATCH(G327,Recipes!$A$5:$A$204,0))*K327,""))</f>
        <v>0</v>
      </c>
      <c r="V327" s="30">
        <f>IF(G327="","",IFERROR(INDEX(Recipes!$AE$5:$AE$204,MATCH(G327,Recipes!$A$5:$A$204,0)),"Not found"))</f>
        <v>0</v>
      </c>
      <c r="W327" s="45">
        <f>IF(G327="","",IFERROR(INDEX(Recipes!$AF$5:$AF$204,MATCH(G327,Recipes!$A$5:$A$204,0)),"Not found"))</f>
        <v>0</v>
      </c>
      <c r="X327" s="45">
        <f>IF(G327="","",IFERROR(INDEX(Recipes!$AG$5:$AG$204,MATCH(G327,Recipes!$A$5:$A$204,0)),"Not found"))</f>
        <v>0</v>
      </c>
      <c r="Y327" s="45">
        <f>IF(G327="","",IFERROR(INDEX(Recipes!$AH$5:$AH$204,MATCH(G327,Recipes!$A$5:$A$204,0)),"Not found"))</f>
        <v>0</v>
      </c>
      <c r="Z327" s="45">
        <f>IF(G327="","",IFERROR(INDEX(Recipes!$AI$5:$AI$204,MATCH(G327,Recipes!$A$5:$A$204,0)),"Not found"))</f>
        <v>0</v>
      </c>
      <c r="AA327" s="30">
        <f>IF(OR(V327="",NOT(ISNUMBER(V327))),"",V327*K327)</f>
        <v>0</v>
      </c>
      <c r="AB327" s="18">
        <f>IF(G327="","",IFERROR(INDEX(Recipes!$J$5:$J$204,MATCH(G327,Recipes!$A$5:$A$204,0)),"Not found"))</f>
        <v>0</v>
      </c>
      <c r="AC327" s="17">
        <f>IF(G327="","",IFERROR(INDEX(Recipes!$C$5:$C$204,MATCH(G327,Recipes!$A$5:$A$204,0)),"Not found"))</f>
        <v>0</v>
      </c>
      <c r="AD327" s="46">
        <f>IF(B327="","",IF(G327&lt;&gt;"","Yes",IF(OR(I327="",ISNUMBER(SEARCH("takeaway",I327)),ISNUMBER(SEARCH("out",I327))),"No","Yes")))</f>
        <v>0</v>
      </c>
      <c r="AE327" s="17">
        <f>IF(B327="","",TEXT(B327,"yyyy-mm-dd")&amp;"|"&amp;F327)</f>
        <v>0</v>
      </c>
      <c r="AF327" s="31">
        <f>IF(B327="","",IF(AND(G327="",I327=""),"Add - nothing planned yet",IF(COUNTIFS($AE$5:$AE$504,AE327)&gt;1,"Duplicate - two meals in one slot",IF(AND(G327&lt;&gt;"",H327="Not found"),"Missing - recipe ID not on the Recipes tab",IF(AND(B327&lt;TODAY(),OR(N327="Planned",N327="")),"Check - did you cook it?","OK")))))</f>
        <v>0</v>
      </c>
    </row>
    <row r="328" spans="1:32">
      <c r="A328" s="39">
        <f>IF(B328="","",MealPrefix&amp;TEXT(ROW()-4,"0000"))</f>
        <v>0</v>
      </c>
      <c r="C328" s="17">
        <f>IF(B328="","",TEXT(B328,"ddd"))</f>
        <v>0</v>
      </c>
      <c r="D328" s="18">
        <f>IF(B328="","",WEEKNUM(B328,IF(WeekStart="Sunday",1,2)))</f>
        <v>0</v>
      </c>
      <c r="E328" s="17">
        <f>IF(B328="","",TEXT(B328,"yyyy-mm"))</f>
        <v>0</v>
      </c>
      <c r="H328" s="17">
        <f>IF(G328&lt;&gt;"",IFERROR(INDEX(Recipes!$B$5:$B$204,MATCH(G328,Recipes!$A$5:$A$204,0)),"Not found"),I328)</f>
        <v>0</v>
      </c>
      <c r="K328" s="45">
        <f>IF(B328="","",IF(J328="",DefaultServings,J328))</f>
        <v>0</v>
      </c>
      <c r="L328" s="45">
        <f>IF(G328="",0,IFERROR(K328/INDEX(Recipes!$G$5:$G$204,MATCH(G328,Recipes!$A$5:$A$204,0)),0))</f>
        <v>0</v>
      </c>
      <c r="T328" s="25">
        <f>IF(G328="","",IFERROR(INDEX(Recipes!$AD$5:$AD$204,MATCH(G328,Recipes!$A$5:$A$204,0))*K328,""))</f>
        <v>0</v>
      </c>
      <c r="V328" s="30">
        <f>IF(G328="","",IFERROR(INDEX(Recipes!$AE$5:$AE$204,MATCH(G328,Recipes!$A$5:$A$204,0)),"Not found"))</f>
        <v>0</v>
      </c>
      <c r="W328" s="45">
        <f>IF(G328="","",IFERROR(INDEX(Recipes!$AF$5:$AF$204,MATCH(G328,Recipes!$A$5:$A$204,0)),"Not found"))</f>
        <v>0</v>
      </c>
      <c r="X328" s="45">
        <f>IF(G328="","",IFERROR(INDEX(Recipes!$AG$5:$AG$204,MATCH(G328,Recipes!$A$5:$A$204,0)),"Not found"))</f>
        <v>0</v>
      </c>
      <c r="Y328" s="45">
        <f>IF(G328="","",IFERROR(INDEX(Recipes!$AH$5:$AH$204,MATCH(G328,Recipes!$A$5:$A$204,0)),"Not found"))</f>
        <v>0</v>
      </c>
      <c r="Z328" s="45">
        <f>IF(G328="","",IFERROR(INDEX(Recipes!$AI$5:$AI$204,MATCH(G328,Recipes!$A$5:$A$204,0)),"Not found"))</f>
        <v>0</v>
      </c>
      <c r="AA328" s="30">
        <f>IF(OR(V328="",NOT(ISNUMBER(V328))),"",V328*K328)</f>
        <v>0</v>
      </c>
      <c r="AB328" s="18">
        <f>IF(G328="","",IFERROR(INDEX(Recipes!$J$5:$J$204,MATCH(G328,Recipes!$A$5:$A$204,0)),"Not found"))</f>
        <v>0</v>
      </c>
      <c r="AC328" s="17">
        <f>IF(G328="","",IFERROR(INDEX(Recipes!$C$5:$C$204,MATCH(G328,Recipes!$A$5:$A$204,0)),"Not found"))</f>
        <v>0</v>
      </c>
      <c r="AD328" s="46">
        <f>IF(B328="","",IF(G328&lt;&gt;"","Yes",IF(OR(I328="",ISNUMBER(SEARCH("takeaway",I328)),ISNUMBER(SEARCH("out",I328))),"No","Yes")))</f>
        <v>0</v>
      </c>
      <c r="AE328" s="17">
        <f>IF(B328="","",TEXT(B328,"yyyy-mm-dd")&amp;"|"&amp;F328)</f>
        <v>0</v>
      </c>
      <c r="AF328" s="31">
        <f>IF(B328="","",IF(AND(G328="",I328=""),"Add - nothing planned yet",IF(COUNTIFS($AE$5:$AE$504,AE328)&gt;1,"Duplicate - two meals in one slot",IF(AND(G328&lt;&gt;"",H328="Not found"),"Missing - recipe ID not on the Recipes tab",IF(AND(B328&lt;TODAY(),OR(N328="Planned",N328="")),"Check - did you cook it?","OK")))))</f>
        <v>0</v>
      </c>
    </row>
    <row r="329" spans="1:32">
      <c r="A329" s="39">
        <f>IF(B329="","",MealPrefix&amp;TEXT(ROW()-4,"0000"))</f>
        <v>0</v>
      </c>
      <c r="C329" s="17">
        <f>IF(B329="","",TEXT(B329,"ddd"))</f>
        <v>0</v>
      </c>
      <c r="D329" s="18">
        <f>IF(B329="","",WEEKNUM(B329,IF(WeekStart="Sunday",1,2)))</f>
        <v>0</v>
      </c>
      <c r="E329" s="17">
        <f>IF(B329="","",TEXT(B329,"yyyy-mm"))</f>
        <v>0</v>
      </c>
      <c r="H329" s="17">
        <f>IF(G329&lt;&gt;"",IFERROR(INDEX(Recipes!$B$5:$B$204,MATCH(G329,Recipes!$A$5:$A$204,0)),"Not found"),I329)</f>
        <v>0</v>
      </c>
      <c r="K329" s="45">
        <f>IF(B329="","",IF(J329="",DefaultServings,J329))</f>
        <v>0</v>
      </c>
      <c r="L329" s="45">
        <f>IF(G329="",0,IFERROR(K329/INDEX(Recipes!$G$5:$G$204,MATCH(G329,Recipes!$A$5:$A$204,0)),0))</f>
        <v>0</v>
      </c>
      <c r="T329" s="25">
        <f>IF(G329="","",IFERROR(INDEX(Recipes!$AD$5:$AD$204,MATCH(G329,Recipes!$A$5:$A$204,0))*K329,""))</f>
        <v>0</v>
      </c>
      <c r="V329" s="30">
        <f>IF(G329="","",IFERROR(INDEX(Recipes!$AE$5:$AE$204,MATCH(G329,Recipes!$A$5:$A$204,0)),"Not found"))</f>
        <v>0</v>
      </c>
      <c r="W329" s="45">
        <f>IF(G329="","",IFERROR(INDEX(Recipes!$AF$5:$AF$204,MATCH(G329,Recipes!$A$5:$A$204,0)),"Not found"))</f>
        <v>0</v>
      </c>
      <c r="X329" s="45">
        <f>IF(G329="","",IFERROR(INDEX(Recipes!$AG$5:$AG$204,MATCH(G329,Recipes!$A$5:$A$204,0)),"Not found"))</f>
        <v>0</v>
      </c>
      <c r="Y329" s="45">
        <f>IF(G329="","",IFERROR(INDEX(Recipes!$AH$5:$AH$204,MATCH(G329,Recipes!$A$5:$A$204,0)),"Not found"))</f>
        <v>0</v>
      </c>
      <c r="Z329" s="45">
        <f>IF(G329="","",IFERROR(INDEX(Recipes!$AI$5:$AI$204,MATCH(G329,Recipes!$A$5:$A$204,0)),"Not found"))</f>
        <v>0</v>
      </c>
      <c r="AA329" s="30">
        <f>IF(OR(V329="",NOT(ISNUMBER(V329))),"",V329*K329)</f>
        <v>0</v>
      </c>
      <c r="AB329" s="18">
        <f>IF(G329="","",IFERROR(INDEX(Recipes!$J$5:$J$204,MATCH(G329,Recipes!$A$5:$A$204,0)),"Not found"))</f>
        <v>0</v>
      </c>
      <c r="AC329" s="17">
        <f>IF(G329="","",IFERROR(INDEX(Recipes!$C$5:$C$204,MATCH(G329,Recipes!$A$5:$A$204,0)),"Not found"))</f>
        <v>0</v>
      </c>
      <c r="AD329" s="46">
        <f>IF(B329="","",IF(G329&lt;&gt;"","Yes",IF(OR(I329="",ISNUMBER(SEARCH("takeaway",I329)),ISNUMBER(SEARCH("out",I329))),"No","Yes")))</f>
        <v>0</v>
      </c>
      <c r="AE329" s="17">
        <f>IF(B329="","",TEXT(B329,"yyyy-mm-dd")&amp;"|"&amp;F329)</f>
        <v>0</v>
      </c>
      <c r="AF329" s="31">
        <f>IF(B329="","",IF(AND(G329="",I329=""),"Add - nothing planned yet",IF(COUNTIFS($AE$5:$AE$504,AE329)&gt;1,"Duplicate - two meals in one slot",IF(AND(G329&lt;&gt;"",H329="Not found"),"Missing - recipe ID not on the Recipes tab",IF(AND(B329&lt;TODAY(),OR(N329="Planned",N329="")),"Check - did you cook it?","OK")))))</f>
        <v>0</v>
      </c>
    </row>
    <row r="330" spans="1:32">
      <c r="A330" s="39">
        <f>IF(B330="","",MealPrefix&amp;TEXT(ROW()-4,"0000"))</f>
        <v>0</v>
      </c>
      <c r="C330" s="17">
        <f>IF(B330="","",TEXT(B330,"ddd"))</f>
        <v>0</v>
      </c>
      <c r="D330" s="18">
        <f>IF(B330="","",WEEKNUM(B330,IF(WeekStart="Sunday",1,2)))</f>
        <v>0</v>
      </c>
      <c r="E330" s="17">
        <f>IF(B330="","",TEXT(B330,"yyyy-mm"))</f>
        <v>0</v>
      </c>
      <c r="H330" s="17">
        <f>IF(G330&lt;&gt;"",IFERROR(INDEX(Recipes!$B$5:$B$204,MATCH(G330,Recipes!$A$5:$A$204,0)),"Not found"),I330)</f>
        <v>0</v>
      </c>
      <c r="K330" s="45">
        <f>IF(B330="","",IF(J330="",DefaultServings,J330))</f>
        <v>0</v>
      </c>
      <c r="L330" s="45">
        <f>IF(G330="",0,IFERROR(K330/INDEX(Recipes!$G$5:$G$204,MATCH(G330,Recipes!$A$5:$A$204,0)),0))</f>
        <v>0</v>
      </c>
      <c r="T330" s="25">
        <f>IF(G330="","",IFERROR(INDEX(Recipes!$AD$5:$AD$204,MATCH(G330,Recipes!$A$5:$A$204,0))*K330,""))</f>
        <v>0</v>
      </c>
      <c r="V330" s="30">
        <f>IF(G330="","",IFERROR(INDEX(Recipes!$AE$5:$AE$204,MATCH(G330,Recipes!$A$5:$A$204,0)),"Not found"))</f>
        <v>0</v>
      </c>
      <c r="W330" s="45">
        <f>IF(G330="","",IFERROR(INDEX(Recipes!$AF$5:$AF$204,MATCH(G330,Recipes!$A$5:$A$204,0)),"Not found"))</f>
        <v>0</v>
      </c>
      <c r="X330" s="45">
        <f>IF(G330="","",IFERROR(INDEX(Recipes!$AG$5:$AG$204,MATCH(G330,Recipes!$A$5:$A$204,0)),"Not found"))</f>
        <v>0</v>
      </c>
      <c r="Y330" s="45">
        <f>IF(G330="","",IFERROR(INDEX(Recipes!$AH$5:$AH$204,MATCH(G330,Recipes!$A$5:$A$204,0)),"Not found"))</f>
        <v>0</v>
      </c>
      <c r="Z330" s="45">
        <f>IF(G330="","",IFERROR(INDEX(Recipes!$AI$5:$AI$204,MATCH(G330,Recipes!$A$5:$A$204,0)),"Not found"))</f>
        <v>0</v>
      </c>
      <c r="AA330" s="30">
        <f>IF(OR(V330="",NOT(ISNUMBER(V330))),"",V330*K330)</f>
        <v>0</v>
      </c>
      <c r="AB330" s="18">
        <f>IF(G330="","",IFERROR(INDEX(Recipes!$J$5:$J$204,MATCH(G330,Recipes!$A$5:$A$204,0)),"Not found"))</f>
        <v>0</v>
      </c>
      <c r="AC330" s="17">
        <f>IF(G330="","",IFERROR(INDEX(Recipes!$C$5:$C$204,MATCH(G330,Recipes!$A$5:$A$204,0)),"Not found"))</f>
        <v>0</v>
      </c>
      <c r="AD330" s="46">
        <f>IF(B330="","",IF(G330&lt;&gt;"","Yes",IF(OR(I330="",ISNUMBER(SEARCH("takeaway",I330)),ISNUMBER(SEARCH("out",I330))),"No","Yes")))</f>
        <v>0</v>
      </c>
      <c r="AE330" s="17">
        <f>IF(B330="","",TEXT(B330,"yyyy-mm-dd")&amp;"|"&amp;F330)</f>
        <v>0</v>
      </c>
      <c r="AF330" s="31">
        <f>IF(B330="","",IF(AND(G330="",I330=""),"Add - nothing planned yet",IF(COUNTIFS($AE$5:$AE$504,AE330)&gt;1,"Duplicate - two meals in one slot",IF(AND(G330&lt;&gt;"",H330="Not found"),"Missing - recipe ID not on the Recipes tab",IF(AND(B330&lt;TODAY(),OR(N330="Planned",N330="")),"Check - did you cook it?","OK")))))</f>
        <v>0</v>
      </c>
    </row>
    <row r="331" spans="1:32">
      <c r="A331" s="39">
        <f>IF(B331="","",MealPrefix&amp;TEXT(ROW()-4,"0000"))</f>
        <v>0</v>
      </c>
      <c r="C331" s="17">
        <f>IF(B331="","",TEXT(B331,"ddd"))</f>
        <v>0</v>
      </c>
      <c r="D331" s="18">
        <f>IF(B331="","",WEEKNUM(B331,IF(WeekStart="Sunday",1,2)))</f>
        <v>0</v>
      </c>
      <c r="E331" s="17">
        <f>IF(B331="","",TEXT(B331,"yyyy-mm"))</f>
        <v>0</v>
      </c>
      <c r="H331" s="17">
        <f>IF(G331&lt;&gt;"",IFERROR(INDEX(Recipes!$B$5:$B$204,MATCH(G331,Recipes!$A$5:$A$204,0)),"Not found"),I331)</f>
        <v>0</v>
      </c>
      <c r="K331" s="45">
        <f>IF(B331="","",IF(J331="",DefaultServings,J331))</f>
        <v>0</v>
      </c>
      <c r="L331" s="45">
        <f>IF(G331="",0,IFERROR(K331/INDEX(Recipes!$G$5:$G$204,MATCH(G331,Recipes!$A$5:$A$204,0)),0))</f>
        <v>0</v>
      </c>
      <c r="T331" s="25">
        <f>IF(G331="","",IFERROR(INDEX(Recipes!$AD$5:$AD$204,MATCH(G331,Recipes!$A$5:$A$204,0))*K331,""))</f>
        <v>0</v>
      </c>
      <c r="V331" s="30">
        <f>IF(G331="","",IFERROR(INDEX(Recipes!$AE$5:$AE$204,MATCH(G331,Recipes!$A$5:$A$204,0)),"Not found"))</f>
        <v>0</v>
      </c>
      <c r="W331" s="45">
        <f>IF(G331="","",IFERROR(INDEX(Recipes!$AF$5:$AF$204,MATCH(G331,Recipes!$A$5:$A$204,0)),"Not found"))</f>
        <v>0</v>
      </c>
      <c r="X331" s="45">
        <f>IF(G331="","",IFERROR(INDEX(Recipes!$AG$5:$AG$204,MATCH(G331,Recipes!$A$5:$A$204,0)),"Not found"))</f>
        <v>0</v>
      </c>
      <c r="Y331" s="45">
        <f>IF(G331="","",IFERROR(INDEX(Recipes!$AH$5:$AH$204,MATCH(G331,Recipes!$A$5:$A$204,0)),"Not found"))</f>
        <v>0</v>
      </c>
      <c r="Z331" s="45">
        <f>IF(G331="","",IFERROR(INDEX(Recipes!$AI$5:$AI$204,MATCH(G331,Recipes!$A$5:$A$204,0)),"Not found"))</f>
        <v>0</v>
      </c>
      <c r="AA331" s="30">
        <f>IF(OR(V331="",NOT(ISNUMBER(V331))),"",V331*K331)</f>
        <v>0</v>
      </c>
      <c r="AB331" s="18">
        <f>IF(G331="","",IFERROR(INDEX(Recipes!$J$5:$J$204,MATCH(G331,Recipes!$A$5:$A$204,0)),"Not found"))</f>
        <v>0</v>
      </c>
      <c r="AC331" s="17">
        <f>IF(G331="","",IFERROR(INDEX(Recipes!$C$5:$C$204,MATCH(G331,Recipes!$A$5:$A$204,0)),"Not found"))</f>
        <v>0</v>
      </c>
      <c r="AD331" s="46">
        <f>IF(B331="","",IF(G331&lt;&gt;"","Yes",IF(OR(I331="",ISNUMBER(SEARCH("takeaway",I331)),ISNUMBER(SEARCH("out",I331))),"No","Yes")))</f>
        <v>0</v>
      </c>
      <c r="AE331" s="17">
        <f>IF(B331="","",TEXT(B331,"yyyy-mm-dd")&amp;"|"&amp;F331)</f>
        <v>0</v>
      </c>
      <c r="AF331" s="31">
        <f>IF(B331="","",IF(AND(G331="",I331=""),"Add - nothing planned yet",IF(COUNTIFS($AE$5:$AE$504,AE331)&gt;1,"Duplicate - two meals in one slot",IF(AND(G331&lt;&gt;"",H331="Not found"),"Missing - recipe ID not on the Recipes tab",IF(AND(B331&lt;TODAY(),OR(N331="Planned",N331="")),"Check - did you cook it?","OK")))))</f>
        <v>0</v>
      </c>
    </row>
    <row r="332" spans="1:32">
      <c r="A332" s="39">
        <f>IF(B332="","",MealPrefix&amp;TEXT(ROW()-4,"0000"))</f>
        <v>0</v>
      </c>
      <c r="C332" s="17">
        <f>IF(B332="","",TEXT(B332,"ddd"))</f>
        <v>0</v>
      </c>
      <c r="D332" s="18">
        <f>IF(B332="","",WEEKNUM(B332,IF(WeekStart="Sunday",1,2)))</f>
        <v>0</v>
      </c>
      <c r="E332" s="17">
        <f>IF(B332="","",TEXT(B332,"yyyy-mm"))</f>
        <v>0</v>
      </c>
      <c r="H332" s="17">
        <f>IF(G332&lt;&gt;"",IFERROR(INDEX(Recipes!$B$5:$B$204,MATCH(G332,Recipes!$A$5:$A$204,0)),"Not found"),I332)</f>
        <v>0</v>
      </c>
      <c r="K332" s="45">
        <f>IF(B332="","",IF(J332="",DefaultServings,J332))</f>
        <v>0</v>
      </c>
      <c r="L332" s="45">
        <f>IF(G332="",0,IFERROR(K332/INDEX(Recipes!$G$5:$G$204,MATCH(G332,Recipes!$A$5:$A$204,0)),0))</f>
        <v>0</v>
      </c>
      <c r="T332" s="25">
        <f>IF(G332="","",IFERROR(INDEX(Recipes!$AD$5:$AD$204,MATCH(G332,Recipes!$A$5:$A$204,0))*K332,""))</f>
        <v>0</v>
      </c>
      <c r="V332" s="30">
        <f>IF(G332="","",IFERROR(INDEX(Recipes!$AE$5:$AE$204,MATCH(G332,Recipes!$A$5:$A$204,0)),"Not found"))</f>
        <v>0</v>
      </c>
      <c r="W332" s="45">
        <f>IF(G332="","",IFERROR(INDEX(Recipes!$AF$5:$AF$204,MATCH(G332,Recipes!$A$5:$A$204,0)),"Not found"))</f>
        <v>0</v>
      </c>
      <c r="X332" s="45">
        <f>IF(G332="","",IFERROR(INDEX(Recipes!$AG$5:$AG$204,MATCH(G332,Recipes!$A$5:$A$204,0)),"Not found"))</f>
        <v>0</v>
      </c>
      <c r="Y332" s="45">
        <f>IF(G332="","",IFERROR(INDEX(Recipes!$AH$5:$AH$204,MATCH(G332,Recipes!$A$5:$A$204,0)),"Not found"))</f>
        <v>0</v>
      </c>
      <c r="Z332" s="45">
        <f>IF(G332="","",IFERROR(INDEX(Recipes!$AI$5:$AI$204,MATCH(G332,Recipes!$A$5:$A$204,0)),"Not found"))</f>
        <v>0</v>
      </c>
      <c r="AA332" s="30">
        <f>IF(OR(V332="",NOT(ISNUMBER(V332))),"",V332*K332)</f>
        <v>0</v>
      </c>
      <c r="AB332" s="18">
        <f>IF(G332="","",IFERROR(INDEX(Recipes!$J$5:$J$204,MATCH(G332,Recipes!$A$5:$A$204,0)),"Not found"))</f>
        <v>0</v>
      </c>
      <c r="AC332" s="17">
        <f>IF(G332="","",IFERROR(INDEX(Recipes!$C$5:$C$204,MATCH(G332,Recipes!$A$5:$A$204,0)),"Not found"))</f>
        <v>0</v>
      </c>
      <c r="AD332" s="46">
        <f>IF(B332="","",IF(G332&lt;&gt;"","Yes",IF(OR(I332="",ISNUMBER(SEARCH("takeaway",I332)),ISNUMBER(SEARCH("out",I332))),"No","Yes")))</f>
        <v>0</v>
      </c>
      <c r="AE332" s="17">
        <f>IF(B332="","",TEXT(B332,"yyyy-mm-dd")&amp;"|"&amp;F332)</f>
        <v>0</v>
      </c>
      <c r="AF332" s="31">
        <f>IF(B332="","",IF(AND(G332="",I332=""),"Add - nothing planned yet",IF(COUNTIFS($AE$5:$AE$504,AE332)&gt;1,"Duplicate - two meals in one slot",IF(AND(G332&lt;&gt;"",H332="Not found"),"Missing - recipe ID not on the Recipes tab",IF(AND(B332&lt;TODAY(),OR(N332="Planned",N332="")),"Check - did you cook it?","OK")))))</f>
        <v>0</v>
      </c>
    </row>
    <row r="333" spans="1:32">
      <c r="A333" s="39">
        <f>IF(B333="","",MealPrefix&amp;TEXT(ROW()-4,"0000"))</f>
        <v>0</v>
      </c>
      <c r="C333" s="17">
        <f>IF(B333="","",TEXT(B333,"ddd"))</f>
        <v>0</v>
      </c>
      <c r="D333" s="18">
        <f>IF(B333="","",WEEKNUM(B333,IF(WeekStart="Sunday",1,2)))</f>
        <v>0</v>
      </c>
      <c r="E333" s="17">
        <f>IF(B333="","",TEXT(B333,"yyyy-mm"))</f>
        <v>0</v>
      </c>
      <c r="H333" s="17">
        <f>IF(G333&lt;&gt;"",IFERROR(INDEX(Recipes!$B$5:$B$204,MATCH(G333,Recipes!$A$5:$A$204,0)),"Not found"),I333)</f>
        <v>0</v>
      </c>
      <c r="K333" s="45">
        <f>IF(B333="","",IF(J333="",DefaultServings,J333))</f>
        <v>0</v>
      </c>
      <c r="L333" s="45">
        <f>IF(G333="",0,IFERROR(K333/INDEX(Recipes!$G$5:$G$204,MATCH(G333,Recipes!$A$5:$A$204,0)),0))</f>
        <v>0</v>
      </c>
      <c r="T333" s="25">
        <f>IF(G333="","",IFERROR(INDEX(Recipes!$AD$5:$AD$204,MATCH(G333,Recipes!$A$5:$A$204,0))*K333,""))</f>
        <v>0</v>
      </c>
      <c r="V333" s="30">
        <f>IF(G333="","",IFERROR(INDEX(Recipes!$AE$5:$AE$204,MATCH(G333,Recipes!$A$5:$A$204,0)),"Not found"))</f>
        <v>0</v>
      </c>
      <c r="W333" s="45">
        <f>IF(G333="","",IFERROR(INDEX(Recipes!$AF$5:$AF$204,MATCH(G333,Recipes!$A$5:$A$204,0)),"Not found"))</f>
        <v>0</v>
      </c>
      <c r="X333" s="45">
        <f>IF(G333="","",IFERROR(INDEX(Recipes!$AG$5:$AG$204,MATCH(G333,Recipes!$A$5:$A$204,0)),"Not found"))</f>
        <v>0</v>
      </c>
      <c r="Y333" s="45">
        <f>IF(G333="","",IFERROR(INDEX(Recipes!$AH$5:$AH$204,MATCH(G333,Recipes!$A$5:$A$204,0)),"Not found"))</f>
        <v>0</v>
      </c>
      <c r="Z333" s="45">
        <f>IF(G333="","",IFERROR(INDEX(Recipes!$AI$5:$AI$204,MATCH(G333,Recipes!$A$5:$A$204,0)),"Not found"))</f>
        <v>0</v>
      </c>
      <c r="AA333" s="30">
        <f>IF(OR(V333="",NOT(ISNUMBER(V333))),"",V333*K333)</f>
        <v>0</v>
      </c>
      <c r="AB333" s="18">
        <f>IF(G333="","",IFERROR(INDEX(Recipes!$J$5:$J$204,MATCH(G333,Recipes!$A$5:$A$204,0)),"Not found"))</f>
        <v>0</v>
      </c>
      <c r="AC333" s="17">
        <f>IF(G333="","",IFERROR(INDEX(Recipes!$C$5:$C$204,MATCH(G333,Recipes!$A$5:$A$204,0)),"Not found"))</f>
        <v>0</v>
      </c>
      <c r="AD333" s="46">
        <f>IF(B333="","",IF(G333&lt;&gt;"","Yes",IF(OR(I333="",ISNUMBER(SEARCH("takeaway",I333)),ISNUMBER(SEARCH("out",I333))),"No","Yes")))</f>
        <v>0</v>
      </c>
      <c r="AE333" s="17">
        <f>IF(B333="","",TEXT(B333,"yyyy-mm-dd")&amp;"|"&amp;F333)</f>
        <v>0</v>
      </c>
      <c r="AF333" s="31">
        <f>IF(B333="","",IF(AND(G333="",I333=""),"Add - nothing planned yet",IF(COUNTIFS($AE$5:$AE$504,AE333)&gt;1,"Duplicate - two meals in one slot",IF(AND(G333&lt;&gt;"",H333="Not found"),"Missing - recipe ID not on the Recipes tab",IF(AND(B333&lt;TODAY(),OR(N333="Planned",N333="")),"Check - did you cook it?","OK")))))</f>
        <v>0</v>
      </c>
    </row>
    <row r="334" spans="1:32">
      <c r="A334" s="39">
        <f>IF(B334="","",MealPrefix&amp;TEXT(ROW()-4,"0000"))</f>
        <v>0</v>
      </c>
      <c r="C334" s="17">
        <f>IF(B334="","",TEXT(B334,"ddd"))</f>
        <v>0</v>
      </c>
      <c r="D334" s="18">
        <f>IF(B334="","",WEEKNUM(B334,IF(WeekStart="Sunday",1,2)))</f>
        <v>0</v>
      </c>
      <c r="E334" s="17">
        <f>IF(B334="","",TEXT(B334,"yyyy-mm"))</f>
        <v>0</v>
      </c>
      <c r="H334" s="17">
        <f>IF(G334&lt;&gt;"",IFERROR(INDEX(Recipes!$B$5:$B$204,MATCH(G334,Recipes!$A$5:$A$204,0)),"Not found"),I334)</f>
        <v>0</v>
      </c>
      <c r="K334" s="45">
        <f>IF(B334="","",IF(J334="",DefaultServings,J334))</f>
        <v>0</v>
      </c>
      <c r="L334" s="45">
        <f>IF(G334="",0,IFERROR(K334/INDEX(Recipes!$G$5:$G$204,MATCH(G334,Recipes!$A$5:$A$204,0)),0))</f>
        <v>0</v>
      </c>
      <c r="T334" s="25">
        <f>IF(G334="","",IFERROR(INDEX(Recipes!$AD$5:$AD$204,MATCH(G334,Recipes!$A$5:$A$204,0))*K334,""))</f>
        <v>0</v>
      </c>
      <c r="V334" s="30">
        <f>IF(G334="","",IFERROR(INDEX(Recipes!$AE$5:$AE$204,MATCH(G334,Recipes!$A$5:$A$204,0)),"Not found"))</f>
        <v>0</v>
      </c>
      <c r="W334" s="45">
        <f>IF(G334="","",IFERROR(INDEX(Recipes!$AF$5:$AF$204,MATCH(G334,Recipes!$A$5:$A$204,0)),"Not found"))</f>
        <v>0</v>
      </c>
      <c r="X334" s="45">
        <f>IF(G334="","",IFERROR(INDEX(Recipes!$AG$5:$AG$204,MATCH(G334,Recipes!$A$5:$A$204,0)),"Not found"))</f>
        <v>0</v>
      </c>
      <c r="Y334" s="45">
        <f>IF(G334="","",IFERROR(INDEX(Recipes!$AH$5:$AH$204,MATCH(G334,Recipes!$A$5:$A$204,0)),"Not found"))</f>
        <v>0</v>
      </c>
      <c r="Z334" s="45">
        <f>IF(G334="","",IFERROR(INDEX(Recipes!$AI$5:$AI$204,MATCH(G334,Recipes!$A$5:$A$204,0)),"Not found"))</f>
        <v>0</v>
      </c>
      <c r="AA334" s="30">
        <f>IF(OR(V334="",NOT(ISNUMBER(V334))),"",V334*K334)</f>
        <v>0</v>
      </c>
      <c r="AB334" s="18">
        <f>IF(G334="","",IFERROR(INDEX(Recipes!$J$5:$J$204,MATCH(G334,Recipes!$A$5:$A$204,0)),"Not found"))</f>
        <v>0</v>
      </c>
      <c r="AC334" s="17">
        <f>IF(G334="","",IFERROR(INDEX(Recipes!$C$5:$C$204,MATCH(G334,Recipes!$A$5:$A$204,0)),"Not found"))</f>
        <v>0</v>
      </c>
      <c r="AD334" s="46">
        <f>IF(B334="","",IF(G334&lt;&gt;"","Yes",IF(OR(I334="",ISNUMBER(SEARCH("takeaway",I334)),ISNUMBER(SEARCH("out",I334))),"No","Yes")))</f>
        <v>0</v>
      </c>
      <c r="AE334" s="17">
        <f>IF(B334="","",TEXT(B334,"yyyy-mm-dd")&amp;"|"&amp;F334)</f>
        <v>0</v>
      </c>
      <c r="AF334" s="31">
        <f>IF(B334="","",IF(AND(G334="",I334=""),"Add - nothing planned yet",IF(COUNTIFS($AE$5:$AE$504,AE334)&gt;1,"Duplicate - two meals in one slot",IF(AND(G334&lt;&gt;"",H334="Not found"),"Missing - recipe ID not on the Recipes tab",IF(AND(B334&lt;TODAY(),OR(N334="Planned",N334="")),"Check - did you cook it?","OK")))))</f>
        <v>0</v>
      </c>
    </row>
    <row r="335" spans="1:32">
      <c r="A335" s="39">
        <f>IF(B335="","",MealPrefix&amp;TEXT(ROW()-4,"0000"))</f>
        <v>0</v>
      </c>
      <c r="C335" s="17">
        <f>IF(B335="","",TEXT(B335,"ddd"))</f>
        <v>0</v>
      </c>
      <c r="D335" s="18">
        <f>IF(B335="","",WEEKNUM(B335,IF(WeekStart="Sunday",1,2)))</f>
        <v>0</v>
      </c>
      <c r="E335" s="17">
        <f>IF(B335="","",TEXT(B335,"yyyy-mm"))</f>
        <v>0</v>
      </c>
      <c r="H335" s="17">
        <f>IF(G335&lt;&gt;"",IFERROR(INDEX(Recipes!$B$5:$B$204,MATCH(G335,Recipes!$A$5:$A$204,0)),"Not found"),I335)</f>
        <v>0</v>
      </c>
      <c r="K335" s="45">
        <f>IF(B335="","",IF(J335="",DefaultServings,J335))</f>
        <v>0</v>
      </c>
      <c r="L335" s="45">
        <f>IF(G335="",0,IFERROR(K335/INDEX(Recipes!$G$5:$G$204,MATCH(G335,Recipes!$A$5:$A$204,0)),0))</f>
        <v>0</v>
      </c>
      <c r="T335" s="25">
        <f>IF(G335="","",IFERROR(INDEX(Recipes!$AD$5:$AD$204,MATCH(G335,Recipes!$A$5:$A$204,0))*K335,""))</f>
        <v>0</v>
      </c>
      <c r="V335" s="30">
        <f>IF(G335="","",IFERROR(INDEX(Recipes!$AE$5:$AE$204,MATCH(G335,Recipes!$A$5:$A$204,0)),"Not found"))</f>
        <v>0</v>
      </c>
      <c r="W335" s="45">
        <f>IF(G335="","",IFERROR(INDEX(Recipes!$AF$5:$AF$204,MATCH(G335,Recipes!$A$5:$A$204,0)),"Not found"))</f>
        <v>0</v>
      </c>
      <c r="X335" s="45">
        <f>IF(G335="","",IFERROR(INDEX(Recipes!$AG$5:$AG$204,MATCH(G335,Recipes!$A$5:$A$204,0)),"Not found"))</f>
        <v>0</v>
      </c>
      <c r="Y335" s="45">
        <f>IF(G335="","",IFERROR(INDEX(Recipes!$AH$5:$AH$204,MATCH(G335,Recipes!$A$5:$A$204,0)),"Not found"))</f>
        <v>0</v>
      </c>
      <c r="Z335" s="45">
        <f>IF(G335="","",IFERROR(INDEX(Recipes!$AI$5:$AI$204,MATCH(G335,Recipes!$A$5:$A$204,0)),"Not found"))</f>
        <v>0</v>
      </c>
      <c r="AA335" s="30">
        <f>IF(OR(V335="",NOT(ISNUMBER(V335))),"",V335*K335)</f>
        <v>0</v>
      </c>
      <c r="AB335" s="18">
        <f>IF(G335="","",IFERROR(INDEX(Recipes!$J$5:$J$204,MATCH(G335,Recipes!$A$5:$A$204,0)),"Not found"))</f>
        <v>0</v>
      </c>
      <c r="AC335" s="17">
        <f>IF(G335="","",IFERROR(INDEX(Recipes!$C$5:$C$204,MATCH(G335,Recipes!$A$5:$A$204,0)),"Not found"))</f>
        <v>0</v>
      </c>
      <c r="AD335" s="46">
        <f>IF(B335="","",IF(G335&lt;&gt;"","Yes",IF(OR(I335="",ISNUMBER(SEARCH("takeaway",I335)),ISNUMBER(SEARCH("out",I335))),"No","Yes")))</f>
        <v>0</v>
      </c>
      <c r="AE335" s="17">
        <f>IF(B335="","",TEXT(B335,"yyyy-mm-dd")&amp;"|"&amp;F335)</f>
        <v>0</v>
      </c>
      <c r="AF335" s="31">
        <f>IF(B335="","",IF(AND(G335="",I335=""),"Add - nothing planned yet",IF(COUNTIFS($AE$5:$AE$504,AE335)&gt;1,"Duplicate - two meals in one slot",IF(AND(G335&lt;&gt;"",H335="Not found"),"Missing - recipe ID not on the Recipes tab",IF(AND(B335&lt;TODAY(),OR(N335="Planned",N335="")),"Check - did you cook it?","OK")))))</f>
        <v>0</v>
      </c>
    </row>
    <row r="336" spans="1:32">
      <c r="A336" s="39">
        <f>IF(B336="","",MealPrefix&amp;TEXT(ROW()-4,"0000"))</f>
        <v>0</v>
      </c>
      <c r="C336" s="17">
        <f>IF(B336="","",TEXT(B336,"ddd"))</f>
        <v>0</v>
      </c>
      <c r="D336" s="18">
        <f>IF(B336="","",WEEKNUM(B336,IF(WeekStart="Sunday",1,2)))</f>
        <v>0</v>
      </c>
      <c r="E336" s="17">
        <f>IF(B336="","",TEXT(B336,"yyyy-mm"))</f>
        <v>0</v>
      </c>
      <c r="H336" s="17">
        <f>IF(G336&lt;&gt;"",IFERROR(INDEX(Recipes!$B$5:$B$204,MATCH(G336,Recipes!$A$5:$A$204,0)),"Not found"),I336)</f>
        <v>0</v>
      </c>
      <c r="K336" s="45">
        <f>IF(B336="","",IF(J336="",DefaultServings,J336))</f>
        <v>0</v>
      </c>
      <c r="L336" s="45">
        <f>IF(G336="",0,IFERROR(K336/INDEX(Recipes!$G$5:$G$204,MATCH(G336,Recipes!$A$5:$A$204,0)),0))</f>
        <v>0</v>
      </c>
      <c r="T336" s="25">
        <f>IF(G336="","",IFERROR(INDEX(Recipes!$AD$5:$AD$204,MATCH(G336,Recipes!$A$5:$A$204,0))*K336,""))</f>
        <v>0</v>
      </c>
      <c r="V336" s="30">
        <f>IF(G336="","",IFERROR(INDEX(Recipes!$AE$5:$AE$204,MATCH(G336,Recipes!$A$5:$A$204,0)),"Not found"))</f>
        <v>0</v>
      </c>
      <c r="W336" s="45">
        <f>IF(G336="","",IFERROR(INDEX(Recipes!$AF$5:$AF$204,MATCH(G336,Recipes!$A$5:$A$204,0)),"Not found"))</f>
        <v>0</v>
      </c>
      <c r="X336" s="45">
        <f>IF(G336="","",IFERROR(INDEX(Recipes!$AG$5:$AG$204,MATCH(G336,Recipes!$A$5:$A$204,0)),"Not found"))</f>
        <v>0</v>
      </c>
      <c r="Y336" s="45">
        <f>IF(G336="","",IFERROR(INDEX(Recipes!$AH$5:$AH$204,MATCH(G336,Recipes!$A$5:$A$204,0)),"Not found"))</f>
        <v>0</v>
      </c>
      <c r="Z336" s="45">
        <f>IF(G336="","",IFERROR(INDEX(Recipes!$AI$5:$AI$204,MATCH(G336,Recipes!$A$5:$A$204,0)),"Not found"))</f>
        <v>0</v>
      </c>
      <c r="AA336" s="30">
        <f>IF(OR(V336="",NOT(ISNUMBER(V336))),"",V336*K336)</f>
        <v>0</v>
      </c>
      <c r="AB336" s="18">
        <f>IF(G336="","",IFERROR(INDEX(Recipes!$J$5:$J$204,MATCH(G336,Recipes!$A$5:$A$204,0)),"Not found"))</f>
        <v>0</v>
      </c>
      <c r="AC336" s="17">
        <f>IF(G336="","",IFERROR(INDEX(Recipes!$C$5:$C$204,MATCH(G336,Recipes!$A$5:$A$204,0)),"Not found"))</f>
        <v>0</v>
      </c>
      <c r="AD336" s="46">
        <f>IF(B336="","",IF(G336&lt;&gt;"","Yes",IF(OR(I336="",ISNUMBER(SEARCH("takeaway",I336)),ISNUMBER(SEARCH("out",I336))),"No","Yes")))</f>
        <v>0</v>
      </c>
      <c r="AE336" s="17">
        <f>IF(B336="","",TEXT(B336,"yyyy-mm-dd")&amp;"|"&amp;F336)</f>
        <v>0</v>
      </c>
      <c r="AF336" s="31">
        <f>IF(B336="","",IF(AND(G336="",I336=""),"Add - nothing planned yet",IF(COUNTIFS($AE$5:$AE$504,AE336)&gt;1,"Duplicate - two meals in one slot",IF(AND(G336&lt;&gt;"",H336="Not found"),"Missing - recipe ID not on the Recipes tab",IF(AND(B336&lt;TODAY(),OR(N336="Planned",N336="")),"Check - did you cook it?","OK")))))</f>
        <v>0</v>
      </c>
    </row>
    <row r="337" spans="1:32">
      <c r="A337" s="39">
        <f>IF(B337="","",MealPrefix&amp;TEXT(ROW()-4,"0000"))</f>
        <v>0</v>
      </c>
      <c r="C337" s="17">
        <f>IF(B337="","",TEXT(B337,"ddd"))</f>
        <v>0</v>
      </c>
      <c r="D337" s="18">
        <f>IF(B337="","",WEEKNUM(B337,IF(WeekStart="Sunday",1,2)))</f>
        <v>0</v>
      </c>
      <c r="E337" s="17">
        <f>IF(B337="","",TEXT(B337,"yyyy-mm"))</f>
        <v>0</v>
      </c>
      <c r="H337" s="17">
        <f>IF(G337&lt;&gt;"",IFERROR(INDEX(Recipes!$B$5:$B$204,MATCH(G337,Recipes!$A$5:$A$204,0)),"Not found"),I337)</f>
        <v>0</v>
      </c>
      <c r="K337" s="45">
        <f>IF(B337="","",IF(J337="",DefaultServings,J337))</f>
        <v>0</v>
      </c>
      <c r="L337" s="45">
        <f>IF(G337="",0,IFERROR(K337/INDEX(Recipes!$G$5:$G$204,MATCH(G337,Recipes!$A$5:$A$204,0)),0))</f>
        <v>0</v>
      </c>
      <c r="T337" s="25">
        <f>IF(G337="","",IFERROR(INDEX(Recipes!$AD$5:$AD$204,MATCH(G337,Recipes!$A$5:$A$204,0))*K337,""))</f>
        <v>0</v>
      </c>
      <c r="V337" s="30">
        <f>IF(G337="","",IFERROR(INDEX(Recipes!$AE$5:$AE$204,MATCH(G337,Recipes!$A$5:$A$204,0)),"Not found"))</f>
        <v>0</v>
      </c>
      <c r="W337" s="45">
        <f>IF(G337="","",IFERROR(INDEX(Recipes!$AF$5:$AF$204,MATCH(G337,Recipes!$A$5:$A$204,0)),"Not found"))</f>
        <v>0</v>
      </c>
      <c r="X337" s="45">
        <f>IF(G337="","",IFERROR(INDEX(Recipes!$AG$5:$AG$204,MATCH(G337,Recipes!$A$5:$A$204,0)),"Not found"))</f>
        <v>0</v>
      </c>
      <c r="Y337" s="45">
        <f>IF(G337="","",IFERROR(INDEX(Recipes!$AH$5:$AH$204,MATCH(G337,Recipes!$A$5:$A$204,0)),"Not found"))</f>
        <v>0</v>
      </c>
      <c r="Z337" s="45">
        <f>IF(G337="","",IFERROR(INDEX(Recipes!$AI$5:$AI$204,MATCH(G337,Recipes!$A$5:$A$204,0)),"Not found"))</f>
        <v>0</v>
      </c>
      <c r="AA337" s="30">
        <f>IF(OR(V337="",NOT(ISNUMBER(V337))),"",V337*K337)</f>
        <v>0</v>
      </c>
      <c r="AB337" s="18">
        <f>IF(G337="","",IFERROR(INDEX(Recipes!$J$5:$J$204,MATCH(G337,Recipes!$A$5:$A$204,0)),"Not found"))</f>
        <v>0</v>
      </c>
      <c r="AC337" s="17">
        <f>IF(G337="","",IFERROR(INDEX(Recipes!$C$5:$C$204,MATCH(G337,Recipes!$A$5:$A$204,0)),"Not found"))</f>
        <v>0</v>
      </c>
      <c r="AD337" s="46">
        <f>IF(B337="","",IF(G337&lt;&gt;"","Yes",IF(OR(I337="",ISNUMBER(SEARCH("takeaway",I337)),ISNUMBER(SEARCH("out",I337))),"No","Yes")))</f>
        <v>0</v>
      </c>
      <c r="AE337" s="17">
        <f>IF(B337="","",TEXT(B337,"yyyy-mm-dd")&amp;"|"&amp;F337)</f>
        <v>0</v>
      </c>
      <c r="AF337" s="31">
        <f>IF(B337="","",IF(AND(G337="",I337=""),"Add - nothing planned yet",IF(COUNTIFS($AE$5:$AE$504,AE337)&gt;1,"Duplicate - two meals in one slot",IF(AND(G337&lt;&gt;"",H337="Not found"),"Missing - recipe ID not on the Recipes tab",IF(AND(B337&lt;TODAY(),OR(N337="Planned",N337="")),"Check - did you cook it?","OK")))))</f>
        <v>0</v>
      </c>
    </row>
    <row r="338" spans="1:32">
      <c r="A338" s="39">
        <f>IF(B338="","",MealPrefix&amp;TEXT(ROW()-4,"0000"))</f>
        <v>0</v>
      </c>
      <c r="C338" s="17">
        <f>IF(B338="","",TEXT(B338,"ddd"))</f>
        <v>0</v>
      </c>
      <c r="D338" s="18">
        <f>IF(B338="","",WEEKNUM(B338,IF(WeekStart="Sunday",1,2)))</f>
        <v>0</v>
      </c>
      <c r="E338" s="17">
        <f>IF(B338="","",TEXT(B338,"yyyy-mm"))</f>
        <v>0</v>
      </c>
      <c r="H338" s="17">
        <f>IF(G338&lt;&gt;"",IFERROR(INDEX(Recipes!$B$5:$B$204,MATCH(G338,Recipes!$A$5:$A$204,0)),"Not found"),I338)</f>
        <v>0</v>
      </c>
      <c r="K338" s="45">
        <f>IF(B338="","",IF(J338="",DefaultServings,J338))</f>
        <v>0</v>
      </c>
      <c r="L338" s="45">
        <f>IF(G338="",0,IFERROR(K338/INDEX(Recipes!$G$5:$G$204,MATCH(G338,Recipes!$A$5:$A$204,0)),0))</f>
        <v>0</v>
      </c>
      <c r="T338" s="25">
        <f>IF(G338="","",IFERROR(INDEX(Recipes!$AD$5:$AD$204,MATCH(G338,Recipes!$A$5:$A$204,0))*K338,""))</f>
        <v>0</v>
      </c>
      <c r="V338" s="30">
        <f>IF(G338="","",IFERROR(INDEX(Recipes!$AE$5:$AE$204,MATCH(G338,Recipes!$A$5:$A$204,0)),"Not found"))</f>
        <v>0</v>
      </c>
      <c r="W338" s="45">
        <f>IF(G338="","",IFERROR(INDEX(Recipes!$AF$5:$AF$204,MATCH(G338,Recipes!$A$5:$A$204,0)),"Not found"))</f>
        <v>0</v>
      </c>
      <c r="X338" s="45">
        <f>IF(G338="","",IFERROR(INDEX(Recipes!$AG$5:$AG$204,MATCH(G338,Recipes!$A$5:$A$204,0)),"Not found"))</f>
        <v>0</v>
      </c>
      <c r="Y338" s="45">
        <f>IF(G338="","",IFERROR(INDEX(Recipes!$AH$5:$AH$204,MATCH(G338,Recipes!$A$5:$A$204,0)),"Not found"))</f>
        <v>0</v>
      </c>
      <c r="Z338" s="45">
        <f>IF(G338="","",IFERROR(INDEX(Recipes!$AI$5:$AI$204,MATCH(G338,Recipes!$A$5:$A$204,0)),"Not found"))</f>
        <v>0</v>
      </c>
      <c r="AA338" s="30">
        <f>IF(OR(V338="",NOT(ISNUMBER(V338))),"",V338*K338)</f>
        <v>0</v>
      </c>
      <c r="AB338" s="18">
        <f>IF(G338="","",IFERROR(INDEX(Recipes!$J$5:$J$204,MATCH(G338,Recipes!$A$5:$A$204,0)),"Not found"))</f>
        <v>0</v>
      </c>
      <c r="AC338" s="17">
        <f>IF(G338="","",IFERROR(INDEX(Recipes!$C$5:$C$204,MATCH(G338,Recipes!$A$5:$A$204,0)),"Not found"))</f>
        <v>0</v>
      </c>
      <c r="AD338" s="46">
        <f>IF(B338="","",IF(G338&lt;&gt;"","Yes",IF(OR(I338="",ISNUMBER(SEARCH("takeaway",I338)),ISNUMBER(SEARCH("out",I338))),"No","Yes")))</f>
        <v>0</v>
      </c>
      <c r="AE338" s="17">
        <f>IF(B338="","",TEXT(B338,"yyyy-mm-dd")&amp;"|"&amp;F338)</f>
        <v>0</v>
      </c>
      <c r="AF338" s="31">
        <f>IF(B338="","",IF(AND(G338="",I338=""),"Add - nothing planned yet",IF(COUNTIFS($AE$5:$AE$504,AE338)&gt;1,"Duplicate - two meals in one slot",IF(AND(G338&lt;&gt;"",H338="Not found"),"Missing - recipe ID not on the Recipes tab",IF(AND(B338&lt;TODAY(),OR(N338="Planned",N338="")),"Check - did you cook it?","OK")))))</f>
        <v>0</v>
      </c>
    </row>
    <row r="339" spans="1:32">
      <c r="A339" s="39">
        <f>IF(B339="","",MealPrefix&amp;TEXT(ROW()-4,"0000"))</f>
        <v>0</v>
      </c>
      <c r="C339" s="17">
        <f>IF(B339="","",TEXT(B339,"ddd"))</f>
        <v>0</v>
      </c>
      <c r="D339" s="18">
        <f>IF(B339="","",WEEKNUM(B339,IF(WeekStart="Sunday",1,2)))</f>
        <v>0</v>
      </c>
      <c r="E339" s="17">
        <f>IF(B339="","",TEXT(B339,"yyyy-mm"))</f>
        <v>0</v>
      </c>
      <c r="H339" s="17">
        <f>IF(G339&lt;&gt;"",IFERROR(INDEX(Recipes!$B$5:$B$204,MATCH(G339,Recipes!$A$5:$A$204,0)),"Not found"),I339)</f>
        <v>0</v>
      </c>
      <c r="K339" s="45">
        <f>IF(B339="","",IF(J339="",DefaultServings,J339))</f>
        <v>0</v>
      </c>
      <c r="L339" s="45">
        <f>IF(G339="",0,IFERROR(K339/INDEX(Recipes!$G$5:$G$204,MATCH(G339,Recipes!$A$5:$A$204,0)),0))</f>
        <v>0</v>
      </c>
      <c r="T339" s="25">
        <f>IF(G339="","",IFERROR(INDEX(Recipes!$AD$5:$AD$204,MATCH(G339,Recipes!$A$5:$A$204,0))*K339,""))</f>
        <v>0</v>
      </c>
      <c r="V339" s="30">
        <f>IF(G339="","",IFERROR(INDEX(Recipes!$AE$5:$AE$204,MATCH(G339,Recipes!$A$5:$A$204,0)),"Not found"))</f>
        <v>0</v>
      </c>
      <c r="W339" s="45">
        <f>IF(G339="","",IFERROR(INDEX(Recipes!$AF$5:$AF$204,MATCH(G339,Recipes!$A$5:$A$204,0)),"Not found"))</f>
        <v>0</v>
      </c>
      <c r="X339" s="45">
        <f>IF(G339="","",IFERROR(INDEX(Recipes!$AG$5:$AG$204,MATCH(G339,Recipes!$A$5:$A$204,0)),"Not found"))</f>
        <v>0</v>
      </c>
      <c r="Y339" s="45">
        <f>IF(G339="","",IFERROR(INDEX(Recipes!$AH$5:$AH$204,MATCH(G339,Recipes!$A$5:$A$204,0)),"Not found"))</f>
        <v>0</v>
      </c>
      <c r="Z339" s="45">
        <f>IF(G339="","",IFERROR(INDEX(Recipes!$AI$5:$AI$204,MATCH(G339,Recipes!$A$5:$A$204,0)),"Not found"))</f>
        <v>0</v>
      </c>
      <c r="AA339" s="30">
        <f>IF(OR(V339="",NOT(ISNUMBER(V339))),"",V339*K339)</f>
        <v>0</v>
      </c>
      <c r="AB339" s="18">
        <f>IF(G339="","",IFERROR(INDEX(Recipes!$J$5:$J$204,MATCH(G339,Recipes!$A$5:$A$204,0)),"Not found"))</f>
        <v>0</v>
      </c>
      <c r="AC339" s="17">
        <f>IF(G339="","",IFERROR(INDEX(Recipes!$C$5:$C$204,MATCH(G339,Recipes!$A$5:$A$204,0)),"Not found"))</f>
        <v>0</v>
      </c>
      <c r="AD339" s="46">
        <f>IF(B339="","",IF(G339&lt;&gt;"","Yes",IF(OR(I339="",ISNUMBER(SEARCH("takeaway",I339)),ISNUMBER(SEARCH("out",I339))),"No","Yes")))</f>
        <v>0</v>
      </c>
      <c r="AE339" s="17">
        <f>IF(B339="","",TEXT(B339,"yyyy-mm-dd")&amp;"|"&amp;F339)</f>
        <v>0</v>
      </c>
      <c r="AF339" s="31">
        <f>IF(B339="","",IF(AND(G339="",I339=""),"Add - nothing planned yet",IF(COUNTIFS($AE$5:$AE$504,AE339)&gt;1,"Duplicate - two meals in one slot",IF(AND(G339&lt;&gt;"",H339="Not found"),"Missing - recipe ID not on the Recipes tab",IF(AND(B339&lt;TODAY(),OR(N339="Planned",N339="")),"Check - did you cook it?","OK")))))</f>
        <v>0</v>
      </c>
    </row>
    <row r="340" spans="1:32">
      <c r="A340" s="39">
        <f>IF(B340="","",MealPrefix&amp;TEXT(ROW()-4,"0000"))</f>
        <v>0</v>
      </c>
      <c r="C340" s="17">
        <f>IF(B340="","",TEXT(B340,"ddd"))</f>
        <v>0</v>
      </c>
      <c r="D340" s="18">
        <f>IF(B340="","",WEEKNUM(B340,IF(WeekStart="Sunday",1,2)))</f>
        <v>0</v>
      </c>
      <c r="E340" s="17">
        <f>IF(B340="","",TEXT(B340,"yyyy-mm"))</f>
        <v>0</v>
      </c>
      <c r="H340" s="17">
        <f>IF(G340&lt;&gt;"",IFERROR(INDEX(Recipes!$B$5:$B$204,MATCH(G340,Recipes!$A$5:$A$204,0)),"Not found"),I340)</f>
        <v>0</v>
      </c>
      <c r="K340" s="45">
        <f>IF(B340="","",IF(J340="",DefaultServings,J340))</f>
        <v>0</v>
      </c>
      <c r="L340" s="45">
        <f>IF(G340="",0,IFERROR(K340/INDEX(Recipes!$G$5:$G$204,MATCH(G340,Recipes!$A$5:$A$204,0)),0))</f>
        <v>0</v>
      </c>
      <c r="T340" s="25">
        <f>IF(G340="","",IFERROR(INDEX(Recipes!$AD$5:$AD$204,MATCH(G340,Recipes!$A$5:$A$204,0))*K340,""))</f>
        <v>0</v>
      </c>
      <c r="V340" s="30">
        <f>IF(G340="","",IFERROR(INDEX(Recipes!$AE$5:$AE$204,MATCH(G340,Recipes!$A$5:$A$204,0)),"Not found"))</f>
        <v>0</v>
      </c>
      <c r="W340" s="45">
        <f>IF(G340="","",IFERROR(INDEX(Recipes!$AF$5:$AF$204,MATCH(G340,Recipes!$A$5:$A$204,0)),"Not found"))</f>
        <v>0</v>
      </c>
      <c r="X340" s="45">
        <f>IF(G340="","",IFERROR(INDEX(Recipes!$AG$5:$AG$204,MATCH(G340,Recipes!$A$5:$A$204,0)),"Not found"))</f>
        <v>0</v>
      </c>
      <c r="Y340" s="45">
        <f>IF(G340="","",IFERROR(INDEX(Recipes!$AH$5:$AH$204,MATCH(G340,Recipes!$A$5:$A$204,0)),"Not found"))</f>
        <v>0</v>
      </c>
      <c r="Z340" s="45">
        <f>IF(G340="","",IFERROR(INDEX(Recipes!$AI$5:$AI$204,MATCH(G340,Recipes!$A$5:$A$204,0)),"Not found"))</f>
        <v>0</v>
      </c>
      <c r="AA340" s="30">
        <f>IF(OR(V340="",NOT(ISNUMBER(V340))),"",V340*K340)</f>
        <v>0</v>
      </c>
      <c r="AB340" s="18">
        <f>IF(G340="","",IFERROR(INDEX(Recipes!$J$5:$J$204,MATCH(G340,Recipes!$A$5:$A$204,0)),"Not found"))</f>
        <v>0</v>
      </c>
      <c r="AC340" s="17">
        <f>IF(G340="","",IFERROR(INDEX(Recipes!$C$5:$C$204,MATCH(G340,Recipes!$A$5:$A$204,0)),"Not found"))</f>
        <v>0</v>
      </c>
      <c r="AD340" s="46">
        <f>IF(B340="","",IF(G340&lt;&gt;"","Yes",IF(OR(I340="",ISNUMBER(SEARCH("takeaway",I340)),ISNUMBER(SEARCH("out",I340))),"No","Yes")))</f>
        <v>0</v>
      </c>
      <c r="AE340" s="17">
        <f>IF(B340="","",TEXT(B340,"yyyy-mm-dd")&amp;"|"&amp;F340)</f>
        <v>0</v>
      </c>
      <c r="AF340" s="31">
        <f>IF(B340="","",IF(AND(G340="",I340=""),"Add - nothing planned yet",IF(COUNTIFS($AE$5:$AE$504,AE340)&gt;1,"Duplicate - two meals in one slot",IF(AND(G340&lt;&gt;"",H340="Not found"),"Missing - recipe ID not on the Recipes tab",IF(AND(B340&lt;TODAY(),OR(N340="Planned",N340="")),"Check - did you cook it?","OK")))))</f>
        <v>0</v>
      </c>
    </row>
    <row r="341" spans="1:32">
      <c r="A341" s="39">
        <f>IF(B341="","",MealPrefix&amp;TEXT(ROW()-4,"0000"))</f>
        <v>0</v>
      </c>
      <c r="C341" s="17">
        <f>IF(B341="","",TEXT(B341,"ddd"))</f>
        <v>0</v>
      </c>
      <c r="D341" s="18">
        <f>IF(B341="","",WEEKNUM(B341,IF(WeekStart="Sunday",1,2)))</f>
        <v>0</v>
      </c>
      <c r="E341" s="17">
        <f>IF(B341="","",TEXT(B341,"yyyy-mm"))</f>
        <v>0</v>
      </c>
      <c r="H341" s="17">
        <f>IF(G341&lt;&gt;"",IFERROR(INDEX(Recipes!$B$5:$B$204,MATCH(G341,Recipes!$A$5:$A$204,0)),"Not found"),I341)</f>
        <v>0</v>
      </c>
      <c r="K341" s="45">
        <f>IF(B341="","",IF(J341="",DefaultServings,J341))</f>
        <v>0</v>
      </c>
      <c r="L341" s="45">
        <f>IF(G341="",0,IFERROR(K341/INDEX(Recipes!$G$5:$G$204,MATCH(G341,Recipes!$A$5:$A$204,0)),0))</f>
        <v>0</v>
      </c>
      <c r="T341" s="25">
        <f>IF(G341="","",IFERROR(INDEX(Recipes!$AD$5:$AD$204,MATCH(G341,Recipes!$A$5:$A$204,0))*K341,""))</f>
        <v>0</v>
      </c>
      <c r="V341" s="30">
        <f>IF(G341="","",IFERROR(INDEX(Recipes!$AE$5:$AE$204,MATCH(G341,Recipes!$A$5:$A$204,0)),"Not found"))</f>
        <v>0</v>
      </c>
      <c r="W341" s="45">
        <f>IF(G341="","",IFERROR(INDEX(Recipes!$AF$5:$AF$204,MATCH(G341,Recipes!$A$5:$A$204,0)),"Not found"))</f>
        <v>0</v>
      </c>
      <c r="X341" s="45">
        <f>IF(G341="","",IFERROR(INDEX(Recipes!$AG$5:$AG$204,MATCH(G341,Recipes!$A$5:$A$204,0)),"Not found"))</f>
        <v>0</v>
      </c>
      <c r="Y341" s="45">
        <f>IF(G341="","",IFERROR(INDEX(Recipes!$AH$5:$AH$204,MATCH(G341,Recipes!$A$5:$A$204,0)),"Not found"))</f>
        <v>0</v>
      </c>
      <c r="Z341" s="45">
        <f>IF(G341="","",IFERROR(INDEX(Recipes!$AI$5:$AI$204,MATCH(G341,Recipes!$A$5:$A$204,0)),"Not found"))</f>
        <v>0</v>
      </c>
      <c r="AA341" s="30">
        <f>IF(OR(V341="",NOT(ISNUMBER(V341))),"",V341*K341)</f>
        <v>0</v>
      </c>
      <c r="AB341" s="18">
        <f>IF(G341="","",IFERROR(INDEX(Recipes!$J$5:$J$204,MATCH(G341,Recipes!$A$5:$A$204,0)),"Not found"))</f>
        <v>0</v>
      </c>
      <c r="AC341" s="17">
        <f>IF(G341="","",IFERROR(INDEX(Recipes!$C$5:$C$204,MATCH(G341,Recipes!$A$5:$A$204,0)),"Not found"))</f>
        <v>0</v>
      </c>
      <c r="AD341" s="46">
        <f>IF(B341="","",IF(G341&lt;&gt;"","Yes",IF(OR(I341="",ISNUMBER(SEARCH("takeaway",I341)),ISNUMBER(SEARCH("out",I341))),"No","Yes")))</f>
        <v>0</v>
      </c>
      <c r="AE341" s="17">
        <f>IF(B341="","",TEXT(B341,"yyyy-mm-dd")&amp;"|"&amp;F341)</f>
        <v>0</v>
      </c>
      <c r="AF341" s="31">
        <f>IF(B341="","",IF(AND(G341="",I341=""),"Add - nothing planned yet",IF(COUNTIFS($AE$5:$AE$504,AE341)&gt;1,"Duplicate - two meals in one slot",IF(AND(G341&lt;&gt;"",H341="Not found"),"Missing - recipe ID not on the Recipes tab",IF(AND(B341&lt;TODAY(),OR(N341="Planned",N341="")),"Check - did you cook it?","OK")))))</f>
        <v>0</v>
      </c>
    </row>
    <row r="342" spans="1:32">
      <c r="A342" s="39">
        <f>IF(B342="","",MealPrefix&amp;TEXT(ROW()-4,"0000"))</f>
        <v>0</v>
      </c>
      <c r="C342" s="17">
        <f>IF(B342="","",TEXT(B342,"ddd"))</f>
        <v>0</v>
      </c>
      <c r="D342" s="18">
        <f>IF(B342="","",WEEKNUM(B342,IF(WeekStart="Sunday",1,2)))</f>
        <v>0</v>
      </c>
      <c r="E342" s="17">
        <f>IF(B342="","",TEXT(B342,"yyyy-mm"))</f>
        <v>0</v>
      </c>
      <c r="H342" s="17">
        <f>IF(G342&lt;&gt;"",IFERROR(INDEX(Recipes!$B$5:$B$204,MATCH(G342,Recipes!$A$5:$A$204,0)),"Not found"),I342)</f>
        <v>0</v>
      </c>
      <c r="K342" s="45">
        <f>IF(B342="","",IF(J342="",DefaultServings,J342))</f>
        <v>0</v>
      </c>
      <c r="L342" s="45">
        <f>IF(G342="",0,IFERROR(K342/INDEX(Recipes!$G$5:$G$204,MATCH(G342,Recipes!$A$5:$A$204,0)),0))</f>
        <v>0</v>
      </c>
      <c r="T342" s="25">
        <f>IF(G342="","",IFERROR(INDEX(Recipes!$AD$5:$AD$204,MATCH(G342,Recipes!$A$5:$A$204,0))*K342,""))</f>
        <v>0</v>
      </c>
      <c r="V342" s="30">
        <f>IF(G342="","",IFERROR(INDEX(Recipes!$AE$5:$AE$204,MATCH(G342,Recipes!$A$5:$A$204,0)),"Not found"))</f>
        <v>0</v>
      </c>
      <c r="W342" s="45">
        <f>IF(G342="","",IFERROR(INDEX(Recipes!$AF$5:$AF$204,MATCH(G342,Recipes!$A$5:$A$204,0)),"Not found"))</f>
        <v>0</v>
      </c>
      <c r="X342" s="45">
        <f>IF(G342="","",IFERROR(INDEX(Recipes!$AG$5:$AG$204,MATCH(G342,Recipes!$A$5:$A$204,0)),"Not found"))</f>
        <v>0</v>
      </c>
      <c r="Y342" s="45">
        <f>IF(G342="","",IFERROR(INDEX(Recipes!$AH$5:$AH$204,MATCH(G342,Recipes!$A$5:$A$204,0)),"Not found"))</f>
        <v>0</v>
      </c>
      <c r="Z342" s="45">
        <f>IF(G342="","",IFERROR(INDEX(Recipes!$AI$5:$AI$204,MATCH(G342,Recipes!$A$5:$A$204,0)),"Not found"))</f>
        <v>0</v>
      </c>
      <c r="AA342" s="30">
        <f>IF(OR(V342="",NOT(ISNUMBER(V342))),"",V342*K342)</f>
        <v>0</v>
      </c>
      <c r="AB342" s="18">
        <f>IF(G342="","",IFERROR(INDEX(Recipes!$J$5:$J$204,MATCH(G342,Recipes!$A$5:$A$204,0)),"Not found"))</f>
        <v>0</v>
      </c>
      <c r="AC342" s="17">
        <f>IF(G342="","",IFERROR(INDEX(Recipes!$C$5:$C$204,MATCH(G342,Recipes!$A$5:$A$204,0)),"Not found"))</f>
        <v>0</v>
      </c>
      <c r="AD342" s="46">
        <f>IF(B342="","",IF(G342&lt;&gt;"","Yes",IF(OR(I342="",ISNUMBER(SEARCH("takeaway",I342)),ISNUMBER(SEARCH("out",I342))),"No","Yes")))</f>
        <v>0</v>
      </c>
      <c r="AE342" s="17">
        <f>IF(B342="","",TEXT(B342,"yyyy-mm-dd")&amp;"|"&amp;F342)</f>
        <v>0</v>
      </c>
      <c r="AF342" s="31">
        <f>IF(B342="","",IF(AND(G342="",I342=""),"Add - nothing planned yet",IF(COUNTIFS($AE$5:$AE$504,AE342)&gt;1,"Duplicate - two meals in one slot",IF(AND(G342&lt;&gt;"",H342="Not found"),"Missing - recipe ID not on the Recipes tab",IF(AND(B342&lt;TODAY(),OR(N342="Planned",N342="")),"Check - did you cook it?","OK")))))</f>
        <v>0</v>
      </c>
    </row>
    <row r="343" spans="1:32">
      <c r="A343" s="39">
        <f>IF(B343="","",MealPrefix&amp;TEXT(ROW()-4,"0000"))</f>
        <v>0</v>
      </c>
      <c r="C343" s="17">
        <f>IF(B343="","",TEXT(B343,"ddd"))</f>
        <v>0</v>
      </c>
      <c r="D343" s="18">
        <f>IF(B343="","",WEEKNUM(B343,IF(WeekStart="Sunday",1,2)))</f>
        <v>0</v>
      </c>
      <c r="E343" s="17">
        <f>IF(B343="","",TEXT(B343,"yyyy-mm"))</f>
        <v>0</v>
      </c>
      <c r="H343" s="17">
        <f>IF(G343&lt;&gt;"",IFERROR(INDEX(Recipes!$B$5:$B$204,MATCH(G343,Recipes!$A$5:$A$204,0)),"Not found"),I343)</f>
        <v>0</v>
      </c>
      <c r="K343" s="45">
        <f>IF(B343="","",IF(J343="",DefaultServings,J343))</f>
        <v>0</v>
      </c>
      <c r="L343" s="45">
        <f>IF(G343="",0,IFERROR(K343/INDEX(Recipes!$G$5:$G$204,MATCH(G343,Recipes!$A$5:$A$204,0)),0))</f>
        <v>0</v>
      </c>
      <c r="T343" s="25">
        <f>IF(G343="","",IFERROR(INDEX(Recipes!$AD$5:$AD$204,MATCH(G343,Recipes!$A$5:$A$204,0))*K343,""))</f>
        <v>0</v>
      </c>
      <c r="V343" s="30">
        <f>IF(G343="","",IFERROR(INDEX(Recipes!$AE$5:$AE$204,MATCH(G343,Recipes!$A$5:$A$204,0)),"Not found"))</f>
        <v>0</v>
      </c>
      <c r="W343" s="45">
        <f>IF(G343="","",IFERROR(INDEX(Recipes!$AF$5:$AF$204,MATCH(G343,Recipes!$A$5:$A$204,0)),"Not found"))</f>
        <v>0</v>
      </c>
      <c r="X343" s="45">
        <f>IF(G343="","",IFERROR(INDEX(Recipes!$AG$5:$AG$204,MATCH(G343,Recipes!$A$5:$A$204,0)),"Not found"))</f>
        <v>0</v>
      </c>
      <c r="Y343" s="45">
        <f>IF(G343="","",IFERROR(INDEX(Recipes!$AH$5:$AH$204,MATCH(G343,Recipes!$A$5:$A$204,0)),"Not found"))</f>
        <v>0</v>
      </c>
      <c r="Z343" s="45">
        <f>IF(G343="","",IFERROR(INDEX(Recipes!$AI$5:$AI$204,MATCH(G343,Recipes!$A$5:$A$204,0)),"Not found"))</f>
        <v>0</v>
      </c>
      <c r="AA343" s="30">
        <f>IF(OR(V343="",NOT(ISNUMBER(V343))),"",V343*K343)</f>
        <v>0</v>
      </c>
      <c r="AB343" s="18">
        <f>IF(G343="","",IFERROR(INDEX(Recipes!$J$5:$J$204,MATCH(G343,Recipes!$A$5:$A$204,0)),"Not found"))</f>
        <v>0</v>
      </c>
      <c r="AC343" s="17">
        <f>IF(G343="","",IFERROR(INDEX(Recipes!$C$5:$C$204,MATCH(G343,Recipes!$A$5:$A$204,0)),"Not found"))</f>
        <v>0</v>
      </c>
      <c r="AD343" s="46">
        <f>IF(B343="","",IF(G343&lt;&gt;"","Yes",IF(OR(I343="",ISNUMBER(SEARCH("takeaway",I343)),ISNUMBER(SEARCH("out",I343))),"No","Yes")))</f>
        <v>0</v>
      </c>
      <c r="AE343" s="17">
        <f>IF(B343="","",TEXT(B343,"yyyy-mm-dd")&amp;"|"&amp;F343)</f>
        <v>0</v>
      </c>
      <c r="AF343" s="31">
        <f>IF(B343="","",IF(AND(G343="",I343=""),"Add - nothing planned yet",IF(COUNTIFS($AE$5:$AE$504,AE343)&gt;1,"Duplicate - two meals in one slot",IF(AND(G343&lt;&gt;"",H343="Not found"),"Missing - recipe ID not on the Recipes tab",IF(AND(B343&lt;TODAY(),OR(N343="Planned",N343="")),"Check - did you cook it?","OK")))))</f>
        <v>0</v>
      </c>
    </row>
    <row r="344" spans="1:32">
      <c r="A344" s="39">
        <f>IF(B344="","",MealPrefix&amp;TEXT(ROW()-4,"0000"))</f>
        <v>0</v>
      </c>
      <c r="C344" s="17">
        <f>IF(B344="","",TEXT(B344,"ddd"))</f>
        <v>0</v>
      </c>
      <c r="D344" s="18">
        <f>IF(B344="","",WEEKNUM(B344,IF(WeekStart="Sunday",1,2)))</f>
        <v>0</v>
      </c>
      <c r="E344" s="17">
        <f>IF(B344="","",TEXT(B344,"yyyy-mm"))</f>
        <v>0</v>
      </c>
      <c r="H344" s="17">
        <f>IF(G344&lt;&gt;"",IFERROR(INDEX(Recipes!$B$5:$B$204,MATCH(G344,Recipes!$A$5:$A$204,0)),"Not found"),I344)</f>
        <v>0</v>
      </c>
      <c r="K344" s="45">
        <f>IF(B344="","",IF(J344="",DefaultServings,J344))</f>
        <v>0</v>
      </c>
      <c r="L344" s="45">
        <f>IF(G344="",0,IFERROR(K344/INDEX(Recipes!$G$5:$G$204,MATCH(G344,Recipes!$A$5:$A$204,0)),0))</f>
        <v>0</v>
      </c>
      <c r="T344" s="25">
        <f>IF(G344="","",IFERROR(INDEX(Recipes!$AD$5:$AD$204,MATCH(G344,Recipes!$A$5:$A$204,0))*K344,""))</f>
        <v>0</v>
      </c>
      <c r="V344" s="30">
        <f>IF(G344="","",IFERROR(INDEX(Recipes!$AE$5:$AE$204,MATCH(G344,Recipes!$A$5:$A$204,0)),"Not found"))</f>
        <v>0</v>
      </c>
      <c r="W344" s="45">
        <f>IF(G344="","",IFERROR(INDEX(Recipes!$AF$5:$AF$204,MATCH(G344,Recipes!$A$5:$A$204,0)),"Not found"))</f>
        <v>0</v>
      </c>
      <c r="X344" s="45">
        <f>IF(G344="","",IFERROR(INDEX(Recipes!$AG$5:$AG$204,MATCH(G344,Recipes!$A$5:$A$204,0)),"Not found"))</f>
        <v>0</v>
      </c>
      <c r="Y344" s="45">
        <f>IF(G344="","",IFERROR(INDEX(Recipes!$AH$5:$AH$204,MATCH(G344,Recipes!$A$5:$A$204,0)),"Not found"))</f>
        <v>0</v>
      </c>
      <c r="Z344" s="45">
        <f>IF(G344="","",IFERROR(INDEX(Recipes!$AI$5:$AI$204,MATCH(G344,Recipes!$A$5:$A$204,0)),"Not found"))</f>
        <v>0</v>
      </c>
      <c r="AA344" s="30">
        <f>IF(OR(V344="",NOT(ISNUMBER(V344))),"",V344*K344)</f>
        <v>0</v>
      </c>
      <c r="AB344" s="18">
        <f>IF(G344="","",IFERROR(INDEX(Recipes!$J$5:$J$204,MATCH(G344,Recipes!$A$5:$A$204,0)),"Not found"))</f>
        <v>0</v>
      </c>
      <c r="AC344" s="17">
        <f>IF(G344="","",IFERROR(INDEX(Recipes!$C$5:$C$204,MATCH(G344,Recipes!$A$5:$A$204,0)),"Not found"))</f>
        <v>0</v>
      </c>
      <c r="AD344" s="46">
        <f>IF(B344="","",IF(G344&lt;&gt;"","Yes",IF(OR(I344="",ISNUMBER(SEARCH("takeaway",I344)),ISNUMBER(SEARCH("out",I344))),"No","Yes")))</f>
        <v>0</v>
      </c>
      <c r="AE344" s="17">
        <f>IF(B344="","",TEXT(B344,"yyyy-mm-dd")&amp;"|"&amp;F344)</f>
        <v>0</v>
      </c>
      <c r="AF344" s="31">
        <f>IF(B344="","",IF(AND(G344="",I344=""),"Add - nothing planned yet",IF(COUNTIFS($AE$5:$AE$504,AE344)&gt;1,"Duplicate - two meals in one slot",IF(AND(G344&lt;&gt;"",H344="Not found"),"Missing - recipe ID not on the Recipes tab",IF(AND(B344&lt;TODAY(),OR(N344="Planned",N344="")),"Check - did you cook it?","OK")))))</f>
        <v>0</v>
      </c>
    </row>
    <row r="345" spans="1:32">
      <c r="A345" s="39">
        <f>IF(B345="","",MealPrefix&amp;TEXT(ROW()-4,"0000"))</f>
        <v>0</v>
      </c>
      <c r="C345" s="17">
        <f>IF(B345="","",TEXT(B345,"ddd"))</f>
        <v>0</v>
      </c>
      <c r="D345" s="18">
        <f>IF(B345="","",WEEKNUM(B345,IF(WeekStart="Sunday",1,2)))</f>
        <v>0</v>
      </c>
      <c r="E345" s="17">
        <f>IF(B345="","",TEXT(B345,"yyyy-mm"))</f>
        <v>0</v>
      </c>
      <c r="H345" s="17">
        <f>IF(G345&lt;&gt;"",IFERROR(INDEX(Recipes!$B$5:$B$204,MATCH(G345,Recipes!$A$5:$A$204,0)),"Not found"),I345)</f>
        <v>0</v>
      </c>
      <c r="K345" s="45">
        <f>IF(B345="","",IF(J345="",DefaultServings,J345))</f>
        <v>0</v>
      </c>
      <c r="L345" s="45">
        <f>IF(G345="",0,IFERROR(K345/INDEX(Recipes!$G$5:$G$204,MATCH(G345,Recipes!$A$5:$A$204,0)),0))</f>
        <v>0</v>
      </c>
      <c r="T345" s="25">
        <f>IF(G345="","",IFERROR(INDEX(Recipes!$AD$5:$AD$204,MATCH(G345,Recipes!$A$5:$A$204,0))*K345,""))</f>
        <v>0</v>
      </c>
      <c r="V345" s="30">
        <f>IF(G345="","",IFERROR(INDEX(Recipes!$AE$5:$AE$204,MATCH(G345,Recipes!$A$5:$A$204,0)),"Not found"))</f>
        <v>0</v>
      </c>
      <c r="W345" s="45">
        <f>IF(G345="","",IFERROR(INDEX(Recipes!$AF$5:$AF$204,MATCH(G345,Recipes!$A$5:$A$204,0)),"Not found"))</f>
        <v>0</v>
      </c>
      <c r="X345" s="45">
        <f>IF(G345="","",IFERROR(INDEX(Recipes!$AG$5:$AG$204,MATCH(G345,Recipes!$A$5:$A$204,0)),"Not found"))</f>
        <v>0</v>
      </c>
      <c r="Y345" s="45">
        <f>IF(G345="","",IFERROR(INDEX(Recipes!$AH$5:$AH$204,MATCH(G345,Recipes!$A$5:$A$204,0)),"Not found"))</f>
        <v>0</v>
      </c>
      <c r="Z345" s="45">
        <f>IF(G345="","",IFERROR(INDEX(Recipes!$AI$5:$AI$204,MATCH(G345,Recipes!$A$5:$A$204,0)),"Not found"))</f>
        <v>0</v>
      </c>
      <c r="AA345" s="30">
        <f>IF(OR(V345="",NOT(ISNUMBER(V345))),"",V345*K345)</f>
        <v>0</v>
      </c>
      <c r="AB345" s="18">
        <f>IF(G345="","",IFERROR(INDEX(Recipes!$J$5:$J$204,MATCH(G345,Recipes!$A$5:$A$204,0)),"Not found"))</f>
        <v>0</v>
      </c>
      <c r="AC345" s="17">
        <f>IF(G345="","",IFERROR(INDEX(Recipes!$C$5:$C$204,MATCH(G345,Recipes!$A$5:$A$204,0)),"Not found"))</f>
        <v>0</v>
      </c>
      <c r="AD345" s="46">
        <f>IF(B345="","",IF(G345&lt;&gt;"","Yes",IF(OR(I345="",ISNUMBER(SEARCH("takeaway",I345)),ISNUMBER(SEARCH("out",I345))),"No","Yes")))</f>
        <v>0</v>
      </c>
      <c r="AE345" s="17">
        <f>IF(B345="","",TEXT(B345,"yyyy-mm-dd")&amp;"|"&amp;F345)</f>
        <v>0</v>
      </c>
      <c r="AF345" s="31">
        <f>IF(B345="","",IF(AND(G345="",I345=""),"Add - nothing planned yet",IF(COUNTIFS($AE$5:$AE$504,AE345)&gt;1,"Duplicate - two meals in one slot",IF(AND(G345&lt;&gt;"",H345="Not found"),"Missing - recipe ID not on the Recipes tab",IF(AND(B345&lt;TODAY(),OR(N345="Planned",N345="")),"Check - did you cook it?","OK")))))</f>
        <v>0</v>
      </c>
    </row>
    <row r="346" spans="1:32">
      <c r="A346" s="39">
        <f>IF(B346="","",MealPrefix&amp;TEXT(ROW()-4,"0000"))</f>
        <v>0</v>
      </c>
      <c r="C346" s="17">
        <f>IF(B346="","",TEXT(B346,"ddd"))</f>
        <v>0</v>
      </c>
      <c r="D346" s="18">
        <f>IF(B346="","",WEEKNUM(B346,IF(WeekStart="Sunday",1,2)))</f>
        <v>0</v>
      </c>
      <c r="E346" s="17">
        <f>IF(B346="","",TEXT(B346,"yyyy-mm"))</f>
        <v>0</v>
      </c>
      <c r="H346" s="17">
        <f>IF(G346&lt;&gt;"",IFERROR(INDEX(Recipes!$B$5:$B$204,MATCH(G346,Recipes!$A$5:$A$204,0)),"Not found"),I346)</f>
        <v>0</v>
      </c>
      <c r="K346" s="45">
        <f>IF(B346="","",IF(J346="",DefaultServings,J346))</f>
        <v>0</v>
      </c>
      <c r="L346" s="45">
        <f>IF(G346="",0,IFERROR(K346/INDEX(Recipes!$G$5:$G$204,MATCH(G346,Recipes!$A$5:$A$204,0)),0))</f>
        <v>0</v>
      </c>
      <c r="T346" s="25">
        <f>IF(G346="","",IFERROR(INDEX(Recipes!$AD$5:$AD$204,MATCH(G346,Recipes!$A$5:$A$204,0))*K346,""))</f>
        <v>0</v>
      </c>
      <c r="V346" s="30">
        <f>IF(G346="","",IFERROR(INDEX(Recipes!$AE$5:$AE$204,MATCH(G346,Recipes!$A$5:$A$204,0)),"Not found"))</f>
        <v>0</v>
      </c>
      <c r="W346" s="45">
        <f>IF(G346="","",IFERROR(INDEX(Recipes!$AF$5:$AF$204,MATCH(G346,Recipes!$A$5:$A$204,0)),"Not found"))</f>
        <v>0</v>
      </c>
      <c r="X346" s="45">
        <f>IF(G346="","",IFERROR(INDEX(Recipes!$AG$5:$AG$204,MATCH(G346,Recipes!$A$5:$A$204,0)),"Not found"))</f>
        <v>0</v>
      </c>
      <c r="Y346" s="45">
        <f>IF(G346="","",IFERROR(INDEX(Recipes!$AH$5:$AH$204,MATCH(G346,Recipes!$A$5:$A$204,0)),"Not found"))</f>
        <v>0</v>
      </c>
      <c r="Z346" s="45">
        <f>IF(G346="","",IFERROR(INDEX(Recipes!$AI$5:$AI$204,MATCH(G346,Recipes!$A$5:$A$204,0)),"Not found"))</f>
        <v>0</v>
      </c>
      <c r="AA346" s="30">
        <f>IF(OR(V346="",NOT(ISNUMBER(V346))),"",V346*K346)</f>
        <v>0</v>
      </c>
      <c r="AB346" s="18">
        <f>IF(G346="","",IFERROR(INDEX(Recipes!$J$5:$J$204,MATCH(G346,Recipes!$A$5:$A$204,0)),"Not found"))</f>
        <v>0</v>
      </c>
      <c r="AC346" s="17">
        <f>IF(G346="","",IFERROR(INDEX(Recipes!$C$5:$C$204,MATCH(G346,Recipes!$A$5:$A$204,0)),"Not found"))</f>
        <v>0</v>
      </c>
      <c r="AD346" s="46">
        <f>IF(B346="","",IF(G346&lt;&gt;"","Yes",IF(OR(I346="",ISNUMBER(SEARCH("takeaway",I346)),ISNUMBER(SEARCH("out",I346))),"No","Yes")))</f>
        <v>0</v>
      </c>
      <c r="AE346" s="17">
        <f>IF(B346="","",TEXT(B346,"yyyy-mm-dd")&amp;"|"&amp;F346)</f>
        <v>0</v>
      </c>
      <c r="AF346" s="31">
        <f>IF(B346="","",IF(AND(G346="",I346=""),"Add - nothing planned yet",IF(COUNTIFS($AE$5:$AE$504,AE346)&gt;1,"Duplicate - two meals in one slot",IF(AND(G346&lt;&gt;"",H346="Not found"),"Missing - recipe ID not on the Recipes tab",IF(AND(B346&lt;TODAY(),OR(N346="Planned",N346="")),"Check - did you cook it?","OK")))))</f>
        <v>0</v>
      </c>
    </row>
    <row r="347" spans="1:32">
      <c r="A347" s="39">
        <f>IF(B347="","",MealPrefix&amp;TEXT(ROW()-4,"0000"))</f>
        <v>0</v>
      </c>
      <c r="C347" s="17">
        <f>IF(B347="","",TEXT(B347,"ddd"))</f>
        <v>0</v>
      </c>
      <c r="D347" s="18">
        <f>IF(B347="","",WEEKNUM(B347,IF(WeekStart="Sunday",1,2)))</f>
        <v>0</v>
      </c>
      <c r="E347" s="17">
        <f>IF(B347="","",TEXT(B347,"yyyy-mm"))</f>
        <v>0</v>
      </c>
      <c r="H347" s="17">
        <f>IF(G347&lt;&gt;"",IFERROR(INDEX(Recipes!$B$5:$B$204,MATCH(G347,Recipes!$A$5:$A$204,0)),"Not found"),I347)</f>
        <v>0</v>
      </c>
      <c r="K347" s="45">
        <f>IF(B347="","",IF(J347="",DefaultServings,J347))</f>
        <v>0</v>
      </c>
      <c r="L347" s="45">
        <f>IF(G347="",0,IFERROR(K347/INDEX(Recipes!$G$5:$G$204,MATCH(G347,Recipes!$A$5:$A$204,0)),0))</f>
        <v>0</v>
      </c>
      <c r="T347" s="25">
        <f>IF(G347="","",IFERROR(INDEX(Recipes!$AD$5:$AD$204,MATCH(G347,Recipes!$A$5:$A$204,0))*K347,""))</f>
        <v>0</v>
      </c>
      <c r="V347" s="30">
        <f>IF(G347="","",IFERROR(INDEX(Recipes!$AE$5:$AE$204,MATCH(G347,Recipes!$A$5:$A$204,0)),"Not found"))</f>
        <v>0</v>
      </c>
      <c r="W347" s="45">
        <f>IF(G347="","",IFERROR(INDEX(Recipes!$AF$5:$AF$204,MATCH(G347,Recipes!$A$5:$A$204,0)),"Not found"))</f>
        <v>0</v>
      </c>
      <c r="X347" s="45">
        <f>IF(G347="","",IFERROR(INDEX(Recipes!$AG$5:$AG$204,MATCH(G347,Recipes!$A$5:$A$204,0)),"Not found"))</f>
        <v>0</v>
      </c>
      <c r="Y347" s="45">
        <f>IF(G347="","",IFERROR(INDEX(Recipes!$AH$5:$AH$204,MATCH(G347,Recipes!$A$5:$A$204,0)),"Not found"))</f>
        <v>0</v>
      </c>
      <c r="Z347" s="45">
        <f>IF(G347="","",IFERROR(INDEX(Recipes!$AI$5:$AI$204,MATCH(G347,Recipes!$A$5:$A$204,0)),"Not found"))</f>
        <v>0</v>
      </c>
      <c r="AA347" s="30">
        <f>IF(OR(V347="",NOT(ISNUMBER(V347))),"",V347*K347)</f>
        <v>0</v>
      </c>
      <c r="AB347" s="18">
        <f>IF(G347="","",IFERROR(INDEX(Recipes!$J$5:$J$204,MATCH(G347,Recipes!$A$5:$A$204,0)),"Not found"))</f>
        <v>0</v>
      </c>
      <c r="AC347" s="17">
        <f>IF(G347="","",IFERROR(INDEX(Recipes!$C$5:$C$204,MATCH(G347,Recipes!$A$5:$A$204,0)),"Not found"))</f>
        <v>0</v>
      </c>
      <c r="AD347" s="46">
        <f>IF(B347="","",IF(G347&lt;&gt;"","Yes",IF(OR(I347="",ISNUMBER(SEARCH("takeaway",I347)),ISNUMBER(SEARCH("out",I347))),"No","Yes")))</f>
        <v>0</v>
      </c>
      <c r="AE347" s="17">
        <f>IF(B347="","",TEXT(B347,"yyyy-mm-dd")&amp;"|"&amp;F347)</f>
        <v>0</v>
      </c>
      <c r="AF347" s="31">
        <f>IF(B347="","",IF(AND(G347="",I347=""),"Add - nothing planned yet",IF(COUNTIFS($AE$5:$AE$504,AE347)&gt;1,"Duplicate - two meals in one slot",IF(AND(G347&lt;&gt;"",H347="Not found"),"Missing - recipe ID not on the Recipes tab",IF(AND(B347&lt;TODAY(),OR(N347="Planned",N347="")),"Check - did you cook it?","OK")))))</f>
        <v>0</v>
      </c>
    </row>
    <row r="348" spans="1:32">
      <c r="A348" s="39">
        <f>IF(B348="","",MealPrefix&amp;TEXT(ROW()-4,"0000"))</f>
        <v>0</v>
      </c>
      <c r="C348" s="17">
        <f>IF(B348="","",TEXT(B348,"ddd"))</f>
        <v>0</v>
      </c>
      <c r="D348" s="18">
        <f>IF(B348="","",WEEKNUM(B348,IF(WeekStart="Sunday",1,2)))</f>
        <v>0</v>
      </c>
      <c r="E348" s="17">
        <f>IF(B348="","",TEXT(B348,"yyyy-mm"))</f>
        <v>0</v>
      </c>
      <c r="H348" s="17">
        <f>IF(G348&lt;&gt;"",IFERROR(INDEX(Recipes!$B$5:$B$204,MATCH(G348,Recipes!$A$5:$A$204,0)),"Not found"),I348)</f>
        <v>0</v>
      </c>
      <c r="K348" s="45">
        <f>IF(B348="","",IF(J348="",DefaultServings,J348))</f>
        <v>0</v>
      </c>
      <c r="L348" s="45">
        <f>IF(G348="",0,IFERROR(K348/INDEX(Recipes!$G$5:$G$204,MATCH(G348,Recipes!$A$5:$A$204,0)),0))</f>
        <v>0</v>
      </c>
      <c r="T348" s="25">
        <f>IF(G348="","",IFERROR(INDEX(Recipes!$AD$5:$AD$204,MATCH(G348,Recipes!$A$5:$A$204,0))*K348,""))</f>
        <v>0</v>
      </c>
      <c r="V348" s="30">
        <f>IF(G348="","",IFERROR(INDEX(Recipes!$AE$5:$AE$204,MATCH(G348,Recipes!$A$5:$A$204,0)),"Not found"))</f>
        <v>0</v>
      </c>
      <c r="W348" s="45">
        <f>IF(G348="","",IFERROR(INDEX(Recipes!$AF$5:$AF$204,MATCH(G348,Recipes!$A$5:$A$204,0)),"Not found"))</f>
        <v>0</v>
      </c>
      <c r="X348" s="45">
        <f>IF(G348="","",IFERROR(INDEX(Recipes!$AG$5:$AG$204,MATCH(G348,Recipes!$A$5:$A$204,0)),"Not found"))</f>
        <v>0</v>
      </c>
      <c r="Y348" s="45">
        <f>IF(G348="","",IFERROR(INDEX(Recipes!$AH$5:$AH$204,MATCH(G348,Recipes!$A$5:$A$204,0)),"Not found"))</f>
        <v>0</v>
      </c>
      <c r="Z348" s="45">
        <f>IF(G348="","",IFERROR(INDEX(Recipes!$AI$5:$AI$204,MATCH(G348,Recipes!$A$5:$A$204,0)),"Not found"))</f>
        <v>0</v>
      </c>
      <c r="AA348" s="30">
        <f>IF(OR(V348="",NOT(ISNUMBER(V348))),"",V348*K348)</f>
        <v>0</v>
      </c>
      <c r="AB348" s="18">
        <f>IF(G348="","",IFERROR(INDEX(Recipes!$J$5:$J$204,MATCH(G348,Recipes!$A$5:$A$204,0)),"Not found"))</f>
        <v>0</v>
      </c>
      <c r="AC348" s="17">
        <f>IF(G348="","",IFERROR(INDEX(Recipes!$C$5:$C$204,MATCH(G348,Recipes!$A$5:$A$204,0)),"Not found"))</f>
        <v>0</v>
      </c>
      <c r="AD348" s="46">
        <f>IF(B348="","",IF(G348&lt;&gt;"","Yes",IF(OR(I348="",ISNUMBER(SEARCH("takeaway",I348)),ISNUMBER(SEARCH("out",I348))),"No","Yes")))</f>
        <v>0</v>
      </c>
      <c r="AE348" s="17">
        <f>IF(B348="","",TEXT(B348,"yyyy-mm-dd")&amp;"|"&amp;F348)</f>
        <v>0</v>
      </c>
      <c r="AF348" s="31">
        <f>IF(B348="","",IF(AND(G348="",I348=""),"Add - nothing planned yet",IF(COUNTIFS($AE$5:$AE$504,AE348)&gt;1,"Duplicate - two meals in one slot",IF(AND(G348&lt;&gt;"",H348="Not found"),"Missing - recipe ID not on the Recipes tab",IF(AND(B348&lt;TODAY(),OR(N348="Planned",N348="")),"Check - did you cook it?","OK")))))</f>
        <v>0</v>
      </c>
    </row>
    <row r="349" spans="1:32">
      <c r="A349" s="39">
        <f>IF(B349="","",MealPrefix&amp;TEXT(ROW()-4,"0000"))</f>
        <v>0</v>
      </c>
      <c r="C349" s="17">
        <f>IF(B349="","",TEXT(B349,"ddd"))</f>
        <v>0</v>
      </c>
      <c r="D349" s="18">
        <f>IF(B349="","",WEEKNUM(B349,IF(WeekStart="Sunday",1,2)))</f>
        <v>0</v>
      </c>
      <c r="E349" s="17">
        <f>IF(B349="","",TEXT(B349,"yyyy-mm"))</f>
        <v>0</v>
      </c>
      <c r="H349" s="17">
        <f>IF(G349&lt;&gt;"",IFERROR(INDEX(Recipes!$B$5:$B$204,MATCH(G349,Recipes!$A$5:$A$204,0)),"Not found"),I349)</f>
        <v>0</v>
      </c>
      <c r="K349" s="45">
        <f>IF(B349="","",IF(J349="",DefaultServings,J349))</f>
        <v>0</v>
      </c>
      <c r="L349" s="45">
        <f>IF(G349="",0,IFERROR(K349/INDEX(Recipes!$G$5:$G$204,MATCH(G349,Recipes!$A$5:$A$204,0)),0))</f>
        <v>0</v>
      </c>
      <c r="T349" s="25">
        <f>IF(G349="","",IFERROR(INDEX(Recipes!$AD$5:$AD$204,MATCH(G349,Recipes!$A$5:$A$204,0))*K349,""))</f>
        <v>0</v>
      </c>
      <c r="V349" s="30">
        <f>IF(G349="","",IFERROR(INDEX(Recipes!$AE$5:$AE$204,MATCH(G349,Recipes!$A$5:$A$204,0)),"Not found"))</f>
        <v>0</v>
      </c>
      <c r="W349" s="45">
        <f>IF(G349="","",IFERROR(INDEX(Recipes!$AF$5:$AF$204,MATCH(G349,Recipes!$A$5:$A$204,0)),"Not found"))</f>
        <v>0</v>
      </c>
      <c r="X349" s="45">
        <f>IF(G349="","",IFERROR(INDEX(Recipes!$AG$5:$AG$204,MATCH(G349,Recipes!$A$5:$A$204,0)),"Not found"))</f>
        <v>0</v>
      </c>
      <c r="Y349" s="45">
        <f>IF(G349="","",IFERROR(INDEX(Recipes!$AH$5:$AH$204,MATCH(G349,Recipes!$A$5:$A$204,0)),"Not found"))</f>
        <v>0</v>
      </c>
      <c r="Z349" s="45">
        <f>IF(G349="","",IFERROR(INDEX(Recipes!$AI$5:$AI$204,MATCH(G349,Recipes!$A$5:$A$204,0)),"Not found"))</f>
        <v>0</v>
      </c>
      <c r="AA349" s="30">
        <f>IF(OR(V349="",NOT(ISNUMBER(V349))),"",V349*K349)</f>
        <v>0</v>
      </c>
      <c r="AB349" s="18">
        <f>IF(G349="","",IFERROR(INDEX(Recipes!$J$5:$J$204,MATCH(G349,Recipes!$A$5:$A$204,0)),"Not found"))</f>
        <v>0</v>
      </c>
      <c r="AC349" s="17">
        <f>IF(G349="","",IFERROR(INDEX(Recipes!$C$5:$C$204,MATCH(G349,Recipes!$A$5:$A$204,0)),"Not found"))</f>
        <v>0</v>
      </c>
      <c r="AD349" s="46">
        <f>IF(B349="","",IF(G349&lt;&gt;"","Yes",IF(OR(I349="",ISNUMBER(SEARCH("takeaway",I349)),ISNUMBER(SEARCH("out",I349))),"No","Yes")))</f>
        <v>0</v>
      </c>
      <c r="AE349" s="17">
        <f>IF(B349="","",TEXT(B349,"yyyy-mm-dd")&amp;"|"&amp;F349)</f>
        <v>0</v>
      </c>
      <c r="AF349" s="31">
        <f>IF(B349="","",IF(AND(G349="",I349=""),"Add - nothing planned yet",IF(COUNTIFS($AE$5:$AE$504,AE349)&gt;1,"Duplicate - two meals in one slot",IF(AND(G349&lt;&gt;"",H349="Not found"),"Missing - recipe ID not on the Recipes tab",IF(AND(B349&lt;TODAY(),OR(N349="Planned",N349="")),"Check - did you cook it?","OK")))))</f>
        <v>0</v>
      </c>
    </row>
    <row r="350" spans="1:32">
      <c r="A350" s="39">
        <f>IF(B350="","",MealPrefix&amp;TEXT(ROW()-4,"0000"))</f>
        <v>0</v>
      </c>
      <c r="C350" s="17">
        <f>IF(B350="","",TEXT(B350,"ddd"))</f>
        <v>0</v>
      </c>
      <c r="D350" s="18">
        <f>IF(B350="","",WEEKNUM(B350,IF(WeekStart="Sunday",1,2)))</f>
        <v>0</v>
      </c>
      <c r="E350" s="17">
        <f>IF(B350="","",TEXT(B350,"yyyy-mm"))</f>
        <v>0</v>
      </c>
      <c r="H350" s="17">
        <f>IF(G350&lt;&gt;"",IFERROR(INDEX(Recipes!$B$5:$B$204,MATCH(G350,Recipes!$A$5:$A$204,0)),"Not found"),I350)</f>
        <v>0</v>
      </c>
      <c r="K350" s="45">
        <f>IF(B350="","",IF(J350="",DefaultServings,J350))</f>
        <v>0</v>
      </c>
      <c r="L350" s="45">
        <f>IF(G350="",0,IFERROR(K350/INDEX(Recipes!$G$5:$G$204,MATCH(G350,Recipes!$A$5:$A$204,0)),0))</f>
        <v>0</v>
      </c>
      <c r="T350" s="25">
        <f>IF(G350="","",IFERROR(INDEX(Recipes!$AD$5:$AD$204,MATCH(G350,Recipes!$A$5:$A$204,0))*K350,""))</f>
        <v>0</v>
      </c>
      <c r="V350" s="30">
        <f>IF(G350="","",IFERROR(INDEX(Recipes!$AE$5:$AE$204,MATCH(G350,Recipes!$A$5:$A$204,0)),"Not found"))</f>
        <v>0</v>
      </c>
      <c r="W350" s="45">
        <f>IF(G350="","",IFERROR(INDEX(Recipes!$AF$5:$AF$204,MATCH(G350,Recipes!$A$5:$A$204,0)),"Not found"))</f>
        <v>0</v>
      </c>
      <c r="X350" s="45">
        <f>IF(G350="","",IFERROR(INDEX(Recipes!$AG$5:$AG$204,MATCH(G350,Recipes!$A$5:$A$204,0)),"Not found"))</f>
        <v>0</v>
      </c>
      <c r="Y350" s="45">
        <f>IF(G350="","",IFERROR(INDEX(Recipes!$AH$5:$AH$204,MATCH(G350,Recipes!$A$5:$A$204,0)),"Not found"))</f>
        <v>0</v>
      </c>
      <c r="Z350" s="45">
        <f>IF(G350="","",IFERROR(INDEX(Recipes!$AI$5:$AI$204,MATCH(G350,Recipes!$A$5:$A$204,0)),"Not found"))</f>
        <v>0</v>
      </c>
      <c r="AA350" s="30">
        <f>IF(OR(V350="",NOT(ISNUMBER(V350))),"",V350*K350)</f>
        <v>0</v>
      </c>
      <c r="AB350" s="18">
        <f>IF(G350="","",IFERROR(INDEX(Recipes!$J$5:$J$204,MATCH(G350,Recipes!$A$5:$A$204,0)),"Not found"))</f>
        <v>0</v>
      </c>
      <c r="AC350" s="17">
        <f>IF(G350="","",IFERROR(INDEX(Recipes!$C$5:$C$204,MATCH(G350,Recipes!$A$5:$A$204,0)),"Not found"))</f>
        <v>0</v>
      </c>
      <c r="AD350" s="46">
        <f>IF(B350="","",IF(G350&lt;&gt;"","Yes",IF(OR(I350="",ISNUMBER(SEARCH("takeaway",I350)),ISNUMBER(SEARCH("out",I350))),"No","Yes")))</f>
        <v>0</v>
      </c>
      <c r="AE350" s="17">
        <f>IF(B350="","",TEXT(B350,"yyyy-mm-dd")&amp;"|"&amp;F350)</f>
        <v>0</v>
      </c>
      <c r="AF350" s="31">
        <f>IF(B350="","",IF(AND(G350="",I350=""),"Add - nothing planned yet",IF(COUNTIFS($AE$5:$AE$504,AE350)&gt;1,"Duplicate - two meals in one slot",IF(AND(G350&lt;&gt;"",H350="Not found"),"Missing - recipe ID not on the Recipes tab",IF(AND(B350&lt;TODAY(),OR(N350="Planned",N350="")),"Check - did you cook it?","OK")))))</f>
        <v>0</v>
      </c>
    </row>
    <row r="351" spans="1:32">
      <c r="A351" s="39">
        <f>IF(B351="","",MealPrefix&amp;TEXT(ROW()-4,"0000"))</f>
        <v>0</v>
      </c>
      <c r="C351" s="17">
        <f>IF(B351="","",TEXT(B351,"ddd"))</f>
        <v>0</v>
      </c>
      <c r="D351" s="18">
        <f>IF(B351="","",WEEKNUM(B351,IF(WeekStart="Sunday",1,2)))</f>
        <v>0</v>
      </c>
      <c r="E351" s="17">
        <f>IF(B351="","",TEXT(B351,"yyyy-mm"))</f>
        <v>0</v>
      </c>
      <c r="H351" s="17">
        <f>IF(G351&lt;&gt;"",IFERROR(INDEX(Recipes!$B$5:$B$204,MATCH(G351,Recipes!$A$5:$A$204,0)),"Not found"),I351)</f>
        <v>0</v>
      </c>
      <c r="K351" s="45">
        <f>IF(B351="","",IF(J351="",DefaultServings,J351))</f>
        <v>0</v>
      </c>
      <c r="L351" s="45">
        <f>IF(G351="",0,IFERROR(K351/INDEX(Recipes!$G$5:$G$204,MATCH(G351,Recipes!$A$5:$A$204,0)),0))</f>
        <v>0</v>
      </c>
      <c r="T351" s="25">
        <f>IF(G351="","",IFERROR(INDEX(Recipes!$AD$5:$AD$204,MATCH(G351,Recipes!$A$5:$A$204,0))*K351,""))</f>
        <v>0</v>
      </c>
      <c r="V351" s="30">
        <f>IF(G351="","",IFERROR(INDEX(Recipes!$AE$5:$AE$204,MATCH(G351,Recipes!$A$5:$A$204,0)),"Not found"))</f>
        <v>0</v>
      </c>
      <c r="W351" s="45">
        <f>IF(G351="","",IFERROR(INDEX(Recipes!$AF$5:$AF$204,MATCH(G351,Recipes!$A$5:$A$204,0)),"Not found"))</f>
        <v>0</v>
      </c>
      <c r="X351" s="45">
        <f>IF(G351="","",IFERROR(INDEX(Recipes!$AG$5:$AG$204,MATCH(G351,Recipes!$A$5:$A$204,0)),"Not found"))</f>
        <v>0</v>
      </c>
      <c r="Y351" s="45">
        <f>IF(G351="","",IFERROR(INDEX(Recipes!$AH$5:$AH$204,MATCH(G351,Recipes!$A$5:$A$204,0)),"Not found"))</f>
        <v>0</v>
      </c>
      <c r="Z351" s="45">
        <f>IF(G351="","",IFERROR(INDEX(Recipes!$AI$5:$AI$204,MATCH(G351,Recipes!$A$5:$A$204,0)),"Not found"))</f>
        <v>0</v>
      </c>
      <c r="AA351" s="30">
        <f>IF(OR(V351="",NOT(ISNUMBER(V351))),"",V351*K351)</f>
        <v>0</v>
      </c>
      <c r="AB351" s="18">
        <f>IF(G351="","",IFERROR(INDEX(Recipes!$J$5:$J$204,MATCH(G351,Recipes!$A$5:$A$204,0)),"Not found"))</f>
        <v>0</v>
      </c>
      <c r="AC351" s="17">
        <f>IF(G351="","",IFERROR(INDEX(Recipes!$C$5:$C$204,MATCH(G351,Recipes!$A$5:$A$204,0)),"Not found"))</f>
        <v>0</v>
      </c>
      <c r="AD351" s="46">
        <f>IF(B351="","",IF(G351&lt;&gt;"","Yes",IF(OR(I351="",ISNUMBER(SEARCH("takeaway",I351)),ISNUMBER(SEARCH("out",I351))),"No","Yes")))</f>
        <v>0</v>
      </c>
      <c r="AE351" s="17">
        <f>IF(B351="","",TEXT(B351,"yyyy-mm-dd")&amp;"|"&amp;F351)</f>
        <v>0</v>
      </c>
      <c r="AF351" s="31">
        <f>IF(B351="","",IF(AND(G351="",I351=""),"Add - nothing planned yet",IF(COUNTIFS($AE$5:$AE$504,AE351)&gt;1,"Duplicate - two meals in one slot",IF(AND(G351&lt;&gt;"",H351="Not found"),"Missing - recipe ID not on the Recipes tab",IF(AND(B351&lt;TODAY(),OR(N351="Planned",N351="")),"Check - did you cook it?","OK")))))</f>
        <v>0</v>
      </c>
    </row>
    <row r="352" spans="1:32">
      <c r="A352" s="39">
        <f>IF(B352="","",MealPrefix&amp;TEXT(ROW()-4,"0000"))</f>
        <v>0</v>
      </c>
      <c r="C352" s="17">
        <f>IF(B352="","",TEXT(B352,"ddd"))</f>
        <v>0</v>
      </c>
      <c r="D352" s="18">
        <f>IF(B352="","",WEEKNUM(B352,IF(WeekStart="Sunday",1,2)))</f>
        <v>0</v>
      </c>
      <c r="E352" s="17">
        <f>IF(B352="","",TEXT(B352,"yyyy-mm"))</f>
        <v>0</v>
      </c>
      <c r="H352" s="17">
        <f>IF(G352&lt;&gt;"",IFERROR(INDEX(Recipes!$B$5:$B$204,MATCH(G352,Recipes!$A$5:$A$204,0)),"Not found"),I352)</f>
        <v>0</v>
      </c>
      <c r="K352" s="45">
        <f>IF(B352="","",IF(J352="",DefaultServings,J352))</f>
        <v>0</v>
      </c>
      <c r="L352" s="45">
        <f>IF(G352="",0,IFERROR(K352/INDEX(Recipes!$G$5:$G$204,MATCH(G352,Recipes!$A$5:$A$204,0)),0))</f>
        <v>0</v>
      </c>
      <c r="T352" s="25">
        <f>IF(G352="","",IFERROR(INDEX(Recipes!$AD$5:$AD$204,MATCH(G352,Recipes!$A$5:$A$204,0))*K352,""))</f>
        <v>0</v>
      </c>
      <c r="V352" s="30">
        <f>IF(G352="","",IFERROR(INDEX(Recipes!$AE$5:$AE$204,MATCH(G352,Recipes!$A$5:$A$204,0)),"Not found"))</f>
        <v>0</v>
      </c>
      <c r="W352" s="45">
        <f>IF(G352="","",IFERROR(INDEX(Recipes!$AF$5:$AF$204,MATCH(G352,Recipes!$A$5:$A$204,0)),"Not found"))</f>
        <v>0</v>
      </c>
      <c r="X352" s="45">
        <f>IF(G352="","",IFERROR(INDEX(Recipes!$AG$5:$AG$204,MATCH(G352,Recipes!$A$5:$A$204,0)),"Not found"))</f>
        <v>0</v>
      </c>
      <c r="Y352" s="45">
        <f>IF(G352="","",IFERROR(INDEX(Recipes!$AH$5:$AH$204,MATCH(G352,Recipes!$A$5:$A$204,0)),"Not found"))</f>
        <v>0</v>
      </c>
      <c r="Z352" s="45">
        <f>IF(G352="","",IFERROR(INDEX(Recipes!$AI$5:$AI$204,MATCH(G352,Recipes!$A$5:$A$204,0)),"Not found"))</f>
        <v>0</v>
      </c>
      <c r="AA352" s="30">
        <f>IF(OR(V352="",NOT(ISNUMBER(V352))),"",V352*K352)</f>
        <v>0</v>
      </c>
      <c r="AB352" s="18">
        <f>IF(G352="","",IFERROR(INDEX(Recipes!$J$5:$J$204,MATCH(G352,Recipes!$A$5:$A$204,0)),"Not found"))</f>
        <v>0</v>
      </c>
      <c r="AC352" s="17">
        <f>IF(G352="","",IFERROR(INDEX(Recipes!$C$5:$C$204,MATCH(G352,Recipes!$A$5:$A$204,0)),"Not found"))</f>
        <v>0</v>
      </c>
      <c r="AD352" s="46">
        <f>IF(B352="","",IF(G352&lt;&gt;"","Yes",IF(OR(I352="",ISNUMBER(SEARCH("takeaway",I352)),ISNUMBER(SEARCH("out",I352))),"No","Yes")))</f>
        <v>0</v>
      </c>
      <c r="AE352" s="17">
        <f>IF(B352="","",TEXT(B352,"yyyy-mm-dd")&amp;"|"&amp;F352)</f>
        <v>0</v>
      </c>
      <c r="AF352" s="31">
        <f>IF(B352="","",IF(AND(G352="",I352=""),"Add - nothing planned yet",IF(COUNTIFS($AE$5:$AE$504,AE352)&gt;1,"Duplicate - two meals in one slot",IF(AND(G352&lt;&gt;"",H352="Not found"),"Missing - recipe ID not on the Recipes tab",IF(AND(B352&lt;TODAY(),OR(N352="Planned",N352="")),"Check - did you cook it?","OK")))))</f>
        <v>0</v>
      </c>
    </row>
    <row r="353" spans="1:32">
      <c r="A353" s="39">
        <f>IF(B353="","",MealPrefix&amp;TEXT(ROW()-4,"0000"))</f>
        <v>0</v>
      </c>
      <c r="C353" s="17">
        <f>IF(B353="","",TEXT(B353,"ddd"))</f>
        <v>0</v>
      </c>
      <c r="D353" s="18">
        <f>IF(B353="","",WEEKNUM(B353,IF(WeekStart="Sunday",1,2)))</f>
        <v>0</v>
      </c>
      <c r="E353" s="17">
        <f>IF(B353="","",TEXT(B353,"yyyy-mm"))</f>
        <v>0</v>
      </c>
      <c r="H353" s="17">
        <f>IF(G353&lt;&gt;"",IFERROR(INDEX(Recipes!$B$5:$B$204,MATCH(G353,Recipes!$A$5:$A$204,0)),"Not found"),I353)</f>
        <v>0</v>
      </c>
      <c r="K353" s="45">
        <f>IF(B353="","",IF(J353="",DefaultServings,J353))</f>
        <v>0</v>
      </c>
      <c r="L353" s="45">
        <f>IF(G353="",0,IFERROR(K353/INDEX(Recipes!$G$5:$G$204,MATCH(G353,Recipes!$A$5:$A$204,0)),0))</f>
        <v>0</v>
      </c>
      <c r="T353" s="25">
        <f>IF(G353="","",IFERROR(INDEX(Recipes!$AD$5:$AD$204,MATCH(G353,Recipes!$A$5:$A$204,0))*K353,""))</f>
        <v>0</v>
      </c>
      <c r="V353" s="30">
        <f>IF(G353="","",IFERROR(INDEX(Recipes!$AE$5:$AE$204,MATCH(G353,Recipes!$A$5:$A$204,0)),"Not found"))</f>
        <v>0</v>
      </c>
      <c r="W353" s="45">
        <f>IF(G353="","",IFERROR(INDEX(Recipes!$AF$5:$AF$204,MATCH(G353,Recipes!$A$5:$A$204,0)),"Not found"))</f>
        <v>0</v>
      </c>
      <c r="X353" s="45">
        <f>IF(G353="","",IFERROR(INDEX(Recipes!$AG$5:$AG$204,MATCH(G353,Recipes!$A$5:$A$204,0)),"Not found"))</f>
        <v>0</v>
      </c>
      <c r="Y353" s="45">
        <f>IF(G353="","",IFERROR(INDEX(Recipes!$AH$5:$AH$204,MATCH(G353,Recipes!$A$5:$A$204,0)),"Not found"))</f>
        <v>0</v>
      </c>
      <c r="Z353" s="45">
        <f>IF(G353="","",IFERROR(INDEX(Recipes!$AI$5:$AI$204,MATCH(G353,Recipes!$A$5:$A$204,0)),"Not found"))</f>
        <v>0</v>
      </c>
      <c r="AA353" s="30">
        <f>IF(OR(V353="",NOT(ISNUMBER(V353))),"",V353*K353)</f>
        <v>0</v>
      </c>
      <c r="AB353" s="18">
        <f>IF(G353="","",IFERROR(INDEX(Recipes!$J$5:$J$204,MATCH(G353,Recipes!$A$5:$A$204,0)),"Not found"))</f>
        <v>0</v>
      </c>
      <c r="AC353" s="17">
        <f>IF(G353="","",IFERROR(INDEX(Recipes!$C$5:$C$204,MATCH(G353,Recipes!$A$5:$A$204,0)),"Not found"))</f>
        <v>0</v>
      </c>
      <c r="AD353" s="46">
        <f>IF(B353="","",IF(G353&lt;&gt;"","Yes",IF(OR(I353="",ISNUMBER(SEARCH("takeaway",I353)),ISNUMBER(SEARCH("out",I353))),"No","Yes")))</f>
        <v>0</v>
      </c>
      <c r="AE353" s="17">
        <f>IF(B353="","",TEXT(B353,"yyyy-mm-dd")&amp;"|"&amp;F353)</f>
        <v>0</v>
      </c>
      <c r="AF353" s="31">
        <f>IF(B353="","",IF(AND(G353="",I353=""),"Add - nothing planned yet",IF(COUNTIFS($AE$5:$AE$504,AE353)&gt;1,"Duplicate - two meals in one slot",IF(AND(G353&lt;&gt;"",H353="Not found"),"Missing - recipe ID not on the Recipes tab",IF(AND(B353&lt;TODAY(),OR(N353="Planned",N353="")),"Check - did you cook it?","OK")))))</f>
        <v>0</v>
      </c>
    </row>
    <row r="354" spans="1:32">
      <c r="A354" s="39">
        <f>IF(B354="","",MealPrefix&amp;TEXT(ROW()-4,"0000"))</f>
        <v>0</v>
      </c>
      <c r="C354" s="17">
        <f>IF(B354="","",TEXT(B354,"ddd"))</f>
        <v>0</v>
      </c>
      <c r="D354" s="18">
        <f>IF(B354="","",WEEKNUM(B354,IF(WeekStart="Sunday",1,2)))</f>
        <v>0</v>
      </c>
      <c r="E354" s="17">
        <f>IF(B354="","",TEXT(B354,"yyyy-mm"))</f>
        <v>0</v>
      </c>
      <c r="H354" s="17">
        <f>IF(G354&lt;&gt;"",IFERROR(INDEX(Recipes!$B$5:$B$204,MATCH(G354,Recipes!$A$5:$A$204,0)),"Not found"),I354)</f>
        <v>0</v>
      </c>
      <c r="K354" s="45">
        <f>IF(B354="","",IF(J354="",DefaultServings,J354))</f>
        <v>0</v>
      </c>
      <c r="L354" s="45">
        <f>IF(G354="",0,IFERROR(K354/INDEX(Recipes!$G$5:$G$204,MATCH(G354,Recipes!$A$5:$A$204,0)),0))</f>
        <v>0</v>
      </c>
      <c r="T354" s="25">
        <f>IF(G354="","",IFERROR(INDEX(Recipes!$AD$5:$AD$204,MATCH(G354,Recipes!$A$5:$A$204,0))*K354,""))</f>
        <v>0</v>
      </c>
      <c r="V354" s="30">
        <f>IF(G354="","",IFERROR(INDEX(Recipes!$AE$5:$AE$204,MATCH(G354,Recipes!$A$5:$A$204,0)),"Not found"))</f>
        <v>0</v>
      </c>
      <c r="W354" s="45">
        <f>IF(G354="","",IFERROR(INDEX(Recipes!$AF$5:$AF$204,MATCH(G354,Recipes!$A$5:$A$204,0)),"Not found"))</f>
        <v>0</v>
      </c>
      <c r="X354" s="45">
        <f>IF(G354="","",IFERROR(INDEX(Recipes!$AG$5:$AG$204,MATCH(G354,Recipes!$A$5:$A$204,0)),"Not found"))</f>
        <v>0</v>
      </c>
      <c r="Y354" s="45">
        <f>IF(G354="","",IFERROR(INDEX(Recipes!$AH$5:$AH$204,MATCH(G354,Recipes!$A$5:$A$204,0)),"Not found"))</f>
        <v>0</v>
      </c>
      <c r="Z354" s="45">
        <f>IF(G354="","",IFERROR(INDEX(Recipes!$AI$5:$AI$204,MATCH(G354,Recipes!$A$5:$A$204,0)),"Not found"))</f>
        <v>0</v>
      </c>
      <c r="AA354" s="30">
        <f>IF(OR(V354="",NOT(ISNUMBER(V354))),"",V354*K354)</f>
        <v>0</v>
      </c>
      <c r="AB354" s="18">
        <f>IF(G354="","",IFERROR(INDEX(Recipes!$J$5:$J$204,MATCH(G354,Recipes!$A$5:$A$204,0)),"Not found"))</f>
        <v>0</v>
      </c>
      <c r="AC354" s="17">
        <f>IF(G354="","",IFERROR(INDEX(Recipes!$C$5:$C$204,MATCH(G354,Recipes!$A$5:$A$204,0)),"Not found"))</f>
        <v>0</v>
      </c>
      <c r="AD354" s="46">
        <f>IF(B354="","",IF(G354&lt;&gt;"","Yes",IF(OR(I354="",ISNUMBER(SEARCH("takeaway",I354)),ISNUMBER(SEARCH("out",I354))),"No","Yes")))</f>
        <v>0</v>
      </c>
      <c r="AE354" s="17">
        <f>IF(B354="","",TEXT(B354,"yyyy-mm-dd")&amp;"|"&amp;F354)</f>
        <v>0</v>
      </c>
      <c r="AF354" s="31">
        <f>IF(B354="","",IF(AND(G354="",I354=""),"Add - nothing planned yet",IF(COUNTIFS($AE$5:$AE$504,AE354)&gt;1,"Duplicate - two meals in one slot",IF(AND(G354&lt;&gt;"",H354="Not found"),"Missing - recipe ID not on the Recipes tab",IF(AND(B354&lt;TODAY(),OR(N354="Planned",N354="")),"Check - did you cook it?","OK")))))</f>
        <v>0</v>
      </c>
    </row>
    <row r="355" spans="1:32">
      <c r="A355" s="39">
        <f>IF(B355="","",MealPrefix&amp;TEXT(ROW()-4,"0000"))</f>
        <v>0</v>
      </c>
      <c r="C355" s="17">
        <f>IF(B355="","",TEXT(B355,"ddd"))</f>
        <v>0</v>
      </c>
      <c r="D355" s="18">
        <f>IF(B355="","",WEEKNUM(B355,IF(WeekStart="Sunday",1,2)))</f>
        <v>0</v>
      </c>
      <c r="E355" s="17">
        <f>IF(B355="","",TEXT(B355,"yyyy-mm"))</f>
        <v>0</v>
      </c>
      <c r="H355" s="17">
        <f>IF(G355&lt;&gt;"",IFERROR(INDEX(Recipes!$B$5:$B$204,MATCH(G355,Recipes!$A$5:$A$204,0)),"Not found"),I355)</f>
        <v>0</v>
      </c>
      <c r="K355" s="45">
        <f>IF(B355="","",IF(J355="",DefaultServings,J355))</f>
        <v>0</v>
      </c>
      <c r="L355" s="45">
        <f>IF(G355="",0,IFERROR(K355/INDEX(Recipes!$G$5:$G$204,MATCH(G355,Recipes!$A$5:$A$204,0)),0))</f>
        <v>0</v>
      </c>
      <c r="T355" s="25">
        <f>IF(G355="","",IFERROR(INDEX(Recipes!$AD$5:$AD$204,MATCH(G355,Recipes!$A$5:$A$204,0))*K355,""))</f>
        <v>0</v>
      </c>
      <c r="V355" s="30">
        <f>IF(G355="","",IFERROR(INDEX(Recipes!$AE$5:$AE$204,MATCH(G355,Recipes!$A$5:$A$204,0)),"Not found"))</f>
        <v>0</v>
      </c>
      <c r="W355" s="45">
        <f>IF(G355="","",IFERROR(INDEX(Recipes!$AF$5:$AF$204,MATCH(G355,Recipes!$A$5:$A$204,0)),"Not found"))</f>
        <v>0</v>
      </c>
      <c r="X355" s="45">
        <f>IF(G355="","",IFERROR(INDEX(Recipes!$AG$5:$AG$204,MATCH(G355,Recipes!$A$5:$A$204,0)),"Not found"))</f>
        <v>0</v>
      </c>
      <c r="Y355" s="45">
        <f>IF(G355="","",IFERROR(INDEX(Recipes!$AH$5:$AH$204,MATCH(G355,Recipes!$A$5:$A$204,0)),"Not found"))</f>
        <v>0</v>
      </c>
      <c r="Z355" s="45">
        <f>IF(G355="","",IFERROR(INDEX(Recipes!$AI$5:$AI$204,MATCH(G355,Recipes!$A$5:$A$204,0)),"Not found"))</f>
        <v>0</v>
      </c>
      <c r="AA355" s="30">
        <f>IF(OR(V355="",NOT(ISNUMBER(V355))),"",V355*K355)</f>
        <v>0</v>
      </c>
      <c r="AB355" s="18">
        <f>IF(G355="","",IFERROR(INDEX(Recipes!$J$5:$J$204,MATCH(G355,Recipes!$A$5:$A$204,0)),"Not found"))</f>
        <v>0</v>
      </c>
      <c r="AC355" s="17">
        <f>IF(G355="","",IFERROR(INDEX(Recipes!$C$5:$C$204,MATCH(G355,Recipes!$A$5:$A$204,0)),"Not found"))</f>
        <v>0</v>
      </c>
      <c r="AD355" s="46">
        <f>IF(B355="","",IF(G355&lt;&gt;"","Yes",IF(OR(I355="",ISNUMBER(SEARCH("takeaway",I355)),ISNUMBER(SEARCH("out",I355))),"No","Yes")))</f>
        <v>0</v>
      </c>
      <c r="AE355" s="17">
        <f>IF(B355="","",TEXT(B355,"yyyy-mm-dd")&amp;"|"&amp;F355)</f>
        <v>0</v>
      </c>
      <c r="AF355" s="31">
        <f>IF(B355="","",IF(AND(G355="",I355=""),"Add - nothing planned yet",IF(COUNTIFS($AE$5:$AE$504,AE355)&gt;1,"Duplicate - two meals in one slot",IF(AND(G355&lt;&gt;"",H355="Not found"),"Missing - recipe ID not on the Recipes tab",IF(AND(B355&lt;TODAY(),OR(N355="Planned",N355="")),"Check - did you cook it?","OK")))))</f>
        <v>0</v>
      </c>
    </row>
    <row r="356" spans="1:32">
      <c r="A356" s="39">
        <f>IF(B356="","",MealPrefix&amp;TEXT(ROW()-4,"0000"))</f>
        <v>0</v>
      </c>
      <c r="C356" s="17">
        <f>IF(B356="","",TEXT(B356,"ddd"))</f>
        <v>0</v>
      </c>
      <c r="D356" s="18">
        <f>IF(B356="","",WEEKNUM(B356,IF(WeekStart="Sunday",1,2)))</f>
        <v>0</v>
      </c>
      <c r="E356" s="17">
        <f>IF(B356="","",TEXT(B356,"yyyy-mm"))</f>
        <v>0</v>
      </c>
      <c r="H356" s="17">
        <f>IF(G356&lt;&gt;"",IFERROR(INDEX(Recipes!$B$5:$B$204,MATCH(G356,Recipes!$A$5:$A$204,0)),"Not found"),I356)</f>
        <v>0</v>
      </c>
      <c r="K356" s="45">
        <f>IF(B356="","",IF(J356="",DefaultServings,J356))</f>
        <v>0</v>
      </c>
      <c r="L356" s="45">
        <f>IF(G356="",0,IFERROR(K356/INDEX(Recipes!$G$5:$G$204,MATCH(G356,Recipes!$A$5:$A$204,0)),0))</f>
        <v>0</v>
      </c>
      <c r="T356" s="25">
        <f>IF(G356="","",IFERROR(INDEX(Recipes!$AD$5:$AD$204,MATCH(G356,Recipes!$A$5:$A$204,0))*K356,""))</f>
        <v>0</v>
      </c>
      <c r="V356" s="30">
        <f>IF(G356="","",IFERROR(INDEX(Recipes!$AE$5:$AE$204,MATCH(G356,Recipes!$A$5:$A$204,0)),"Not found"))</f>
        <v>0</v>
      </c>
      <c r="W356" s="45">
        <f>IF(G356="","",IFERROR(INDEX(Recipes!$AF$5:$AF$204,MATCH(G356,Recipes!$A$5:$A$204,0)),"Not found"))</f>
        <v>0</v>
      </c>
      <c r="X356" s="45">
        <f>IF(G356="","",IFERROR(INDEX(Recipes!$AG$5:$AG$204,MATCH(G356,Recipes!$A$5:$A$204,0)),"Not found"))</f>
        <v>0</v>
      </c>
      <c r="Y356" s="45">
        <f>IF(G356="","",IFERROR(INDEX(Recipes!$AH$5:$AH$204,MATCH(G356,Recipes!$A$5:$A$204,0)),"Not found"))</f>
        <v>0</v>
      </c>
      <c r="Z356" s="45">
        <f>IF(G356="","",IFERROR(INDEX(Recipes!$AI$5:$AI$204,MATCH(G356,Recipes!$A$5:$A$204,0)),"Not found"))</f>
        <v>0</v>
      </c>
      <c r="AA356" s="30">
        <f>IF(OR(V356="",NOT(ISNUMBER(V356))),"",V356*K356)</f>
        <v>0</v>
      </c>
      <c r="AB356" s="18">
        <f>IF(G356="","",IFERROR(INDEX(Recipes!$J$5:$J$204,MATCH(G356,Recipes!$A$5:$A$204,0)),"Not found"))</f>
        <v>0</v>
      </c>
      <c r="AC356" s="17">
        <f>IF(G356="","",IFERROR(INDEX(Recipes!$C$5:$C$204,MATCH(G356,Recipes!$A$5:$A$204,0)),"Not found"))</f>
        <v>0</v>
      </c>
      <c r="AD356" s="46">
        <f>IF(B356="","",IF(G356&lt;&gt;"","Yes",IF(OR(I356="",ISNUMBER(SEARCH("takeaway",I356)),ISNUMBER(SEARCH("out",I356))),"No","Yes")))</f>
        <v>0</v>
      </c>
      <c r="AE356" s="17">
        <f>IF(B356="","",TEXT(B356,"yyyy-mm-dd")&amp;"|"&amp;F356)</f>
        <v>0</v>
      </c>
      <c r="AF356" s="31">
        <f>IF(B356="","",IF(AND(G356="",I356=""),"Add - nothing planned yet",IF(COUNTIFS($AE$5:$AE$504,AE356)&gt;1,"Duplicate - two meals in one slot",IF(AND(G356&lt;&gt;"",H356="Not found"),"Missing - recipe ID not on the Recipes tab",IF(AND(B356&lt;TODAY(),OR(N356="Planned",N356="")),"Check - did you cook it?","OK")))))</f>
        <v>0</v>
      </c>
    </row>
    <row r="357" spans="1:32">
      <c r="A357" s="39">
        <f>IF(B357="","",MealPrefix&amp;TEXT(ROW()-4,"0000"))</f>
        <v>0</v>
      </c>
      <c r="C357" s="17">
        <f>IF(B357="","",TEXT(B357,"ddd"))</f>
        <v>0</v>
      </c>
      <c r="D357" s="18">
        <f>IF(B357="","",WEEKNUM(B357,IF(WeekStart="Sunday",1,2)))</f>
        <v>0</v>
      </c>
      <c r="E357" s="17">
        <f>IF(B357="","",TEXT(B357,"yyyy-mm"))</f>
        <v>0</v>
      </c>
      <c r="H357" s="17">
        <f>IF(G357&lt;&gt;"",IFERROR(INDEX(Recipes!$B$5:$B$204,MATCH(G357,Recipes!$A$5:$A$204,0)),"Not found"),I357)</f>
        <v>0</v>
      </c>
      <c r="K357" s="45">
        <f>IF(B357="","",IF(J357="",DefaultServings,J357))</f>
        <v>0</v>
      </c>
      <c r="L357" s="45">
        <f>IF(G357="",0,IFERROR(K357/INDEX(Recipes!$G$5:$G$204,MATCH(G357,Recipes!$A$5:$A$204,0)),0))</f>
        <v>0</v>
      </c>
      <c r="T357" s="25">
        <f>IF(G357="","",IFERROR(INDEX(Recipes!$AD$5:$AD$204,MATCH(G357,Recipes!$A$5:$A$204,0))*K357,""))</f>
        <v>0</v>
      </c>
      <c r="V357" s="30">
        <f>IF(G357="","",IFERROR(INDEX(Recipes!$AE$5:$AE$204,MATCH(G357,Recipes!$A$5:$A$204,0)),"Not found"))</f>
        <v>0</v>
      </c>
      <c r="W357" s="45">
        <f>IF(G357="","",IFERROR(INDEX(Recipes!$AF$5:$AF$204,MATCH(G357,Recipes!$A$5:$A$204,0)),"Not found"))</f>
        <v>0</v>
      </c>
      <c r="X357" s="45">
        <f>IF(G357="","",IFERROR(INDEX(Recipes!$AG$5:$AG$204,MATCH(G357,Recipes!$A$5:$A$204,0)),"Not found"))</f>
        <v>0</v>
      </c>
      <c r="Y357" s="45">
        <f>IF(G357="","",IFERROR(INDEX(Recipes!$AH$5:$AH$204,MATCH(G357,Recipes!$A$5:$A$204,0)),"Not found"))</f>
        <v>0</v>
      </c>
      <c r="Z357" s="45">
        <f>IF(G357="","",IFERROR(INDEX(Recipes!$AI$5:$AI$204,MATCH(G357,Recipes!$A$5:$A$204,0)),"Not found"))</f>
        <v>0</v>
      </c>
      <c r="AA357" s="30">
        <f>IF(OR(V357="",NOT(ISNUMBER(V357))),"",V357*K357)</f>
        <v>0</v>
      </c>
      <c r="AB357" s="18">
        <f>IF(G357="","",IFERROR(INDEX(Recipes!$J$5:$J$204,MATCH(G357,Recipes!$A$5:$A$204,0)),"Not found"))</f>
        <v>0</v>
      </c>
      <c r="AC357" s="17">
        <f>IF(G357="","",IFERROR(INDEX(Recipes!$C$5:$C$204,MATCH(G357,Recipes!$A$5:$A$204,0)),"Not found"))</f>
        <v>0</v>
      </c>
      <c r="AD357" s="46">
        <f>IF(B357="","",IF(G357&lt;&gt;"","Yes",IF(OR(I357="",ISNUMBER(SEARCH("takeaway",I357)),ISNUMBER(SEARCH("out",I357))),"No","Yes")))</f>
        <v>0</v>
      </c>
      <c r="AE357" s="17">
        <f>IF(B357="","",TEXT(B357,"yyyy-mm-dd")&amp;"|"&amp;F357)</f>
        <v>0</v>
      </c>
      <c r="AF357" s="31">
        <f>IF(B357="","",IF(AND(G357="",I357=""),"Add - nothing planned yet",IF(COUNTIFS($AE$5:$AE$504,AE357)&gt;1,"Duplicate - two meals in one slot",IF(AND(G357&lt;&gt;"",H357="Not found"),"Missing - recipe ID not on the Recipes tab",IF(AND(B357&lt;TODAY(),OR(N357="Planned",N357="")),"Check - did you cook it?","OK")))))</f>
        <v>0</v>
      </c>
    </row>
    <row r="358" spans="1:32">
      <c r="A358" s="39">
        <f>IF(B358="","",MealPrefix&amp;TEXT(ROW()-4,"0000"))</f>
        <v>0</v>
      </c>
      <c r="C358" s="17">
        <f>IF(B358="","",TEXT(B358,"ddd"))</f>
        <v>0</v>
      </c>
      <c r="D358" s="18">
        <f>IF(B358="","",WEEKNUM(B358,IF(WeekStart="Sunday",1,2)))</f>
        <v>0</v>
      </c>
      <c r="E358" s="17">
        <f>IF(B358="","",TEXT(B358,"yyyy-mm"))</f>
        <v>0</v>
      </c>
      <c r="H358" s="17">
        <f>IF(G358&lt;&gt;"",IFERROR(INDEX(Recipes!$B$5:$B$204,MATCH(G358,Recipes!$A$5:$A$204,0)),"Not found"),I358)</f>
        <v>0</v>
      </c>
      <c r="K358" s="45">
        <f>IF(B358="","",IF(J358="",DefaultServings,J358))</f>
        <v>0</v>
      </c>
      <c r="L358" s="45">
        <f>IF(G358="",0,IFERROR(K358/INDEX(Recipes!$G$5:$G$204,MATCH(G358,Recipes!$A$5:$A$204,0)),0))</f>
        <v>0</v>
      </c>
      <c r="T358" s="25">
        <f>IF(G358="","",IFERROR(INDEX(Recipes!$AD$5:$AD$204,MATCH(G358,Recipes!$A$5:$A$204,0))*K358,""))</f>
        <v>0</v>
      </c>
      <c r="V358" s="30">
        <f>IF(G358="","",IFERROR(INDEX(Recipes!$AE$5:$AE$204,MATCH(G358,Recipes!$A$5:$A$204,0)),"Not found"))</f>
        <v>0</v>
      </c>
      <c r="W358" s="45">
        <f>IF(G358="","",IFERROR(INDEX(Recipes!$AF$5:$AF$204,MATCH(G358,Recipes!$A$5:$A$204,0)),"Not found"))</f>
        <v>0</v>
      </c>
      <c r="X358" s="45">
        <f>IF(G358="","",IFERROR(INDEX(Recipes!$AG$5:$AG$204,MATCH(G358,Recipes!$A$5:$A$204,0)),"Not found"))</f>
        <v>0</v>
      </c>
      <c r="Y358" s="45">
        <f>IF(G358="","",IFERROR(INDEX(Recipes!$AH$5:$AH$204,MATCH(G358,Recipes!$A$5:$A$204,0)),"Not found"))</f>
        <v>0</v>
      </c>
      <c r="Z358" s="45">
        <f>IF(G358="","",IFERROR(INDEX(Recipes!$AI$5:$AI$204,MATCH(G358,Recipes!$A$5:$A$204,0)),"Not found"))</f>
        <v>0</v>
      </c>
      <c r="AA358" s="30">
        <f>IF(OR(V358="",NOT(ISNUMBER(V358))),"",V358*K358)</f>
        <v>0</v>
      </c>
      <c r="AB358" s="18">
        <f>IF(G358="","",IFERROR(INDEX(Recipes!$J$5:$J$204,MATCH(G358,Recipes!$A$5:$A$204,0)),"Not found"))</f>
        <v>0</v>
      </c>
      <c r="AC358" s="17">
        <f>IF(G358="","",IFERROR(INDEX(Recipes!$C$5:$C$204,MATCH(G358,Recipes!$A$5:$A$204,0)),"Not found"))</f>
        <v>0</v>
      </c>
      <c r="AD358" s="46">
        <f>IF(B358="","",IF(G358&lt;&gt;"","Yes",IF(OR(I358="",ISNUMBER(SEARCH("takeaway",I358)),ISNUMBER(SEARCH("out",I358))),"No","Yes")))</f>
        <v>0</v>
      </c>
      <c r="AE358" s="17">
        <f>IF(B358="","",TEXT(B358,"yyyy-mm-dd")&amp;"|"&amp;F358)</f>
        <v>0</v>
      </c>
      <c r="AF358" s="31">
        <f>IF(B358="","",IF(AND(G358="",I358=""),"Add - nothing planned yet",IF(COUNTIFS($AE$5:$AE$504,AE358)&gt;1,"Duplicate - two meals in one slot",IF(AND(G358&lt;&gt;"",H358="Not found"),"Missing - recipe ID not on the Recipes tab",IF(AND(B358&lt;TODAY(),OR(N358="Planned",N358="")),"Check - did you cook it?","OK")))))</f>
        <v>0</v>
      </c>
    </row>
    <row r="359" spans="1:32">
      <c r="A359" s="39">
        <f>IF(B359="","",MealPrefix&amp;TEXT(ROW()-4,"0000"))</f>
        <v>0</v>
      </c>
      <c r="C359" s="17">
        <f>IF(B359="","",TEXT(B359,"ddd"))</f>
        <v>0</v>
      </c>
      <c r="D359" s="18">
        <f>IF(B359="","",WEEKNUM(B359,IF(WeekStart="Sunday",1,2)))</f>
        <v>0</v>
      </c>
      <c r="E359" s="17">
        <f>IF(B359="","",TEXT(B359,"yyyy-mm"))</f>
        <v>0</v>
      </c>
      <c r="H359" s="17">
        <f>IF(G359&lt;&gt;"",IFERROR(INDEX(Recipes!$B$5:$B$204,MATCH(G359,Recipes!$A$5:$A$204,0)),"Not found"),I359)</f>
        <v>0</v>
      </c>
      <c r="K359" s="45">
        <f>IF(B359="","",IF(J359="",DefaultServings,J359))</f>
        <v>0</v>
      </c>
      <c r="L359" s="45">
        <f>IF(G359="",0,IFERROR(K359/INDEX(Recipes!$G$5:$G$204,MATCH(G359,Recipes!$A$5:$A$204,0)),0))</f>
        <v>0</v>
      </c>
      <c r="T359" s="25">
        <f>IF(G359="","",IFERROR(INDEX(Recipes!$AD$5:$AD$204,MATCH(G359,Recipes!$A$5:$A$204,0))*K359,""))</f>
        <v>0</v>
      </c>
      <c r="V359" s="30">
        <f>IF(G359="","",IFERROR(INDEX(Recipes!$AE$5:$AE$204,MATCH(G359,Recipes!$A$5:$A$204,0)),"Not found"))</f>
        <v>0</v>
      </c>
      <c r="W359" s="45">
        <f>IF(G359="","",IFERROR(INDEX(Recipes!$AF$5:$AF$204,MATCH(G359,Recipes!$A$5:$A$204,0)),"Not found"))</f>
        <v>0</v>
      </c>
      <c r="X359" s="45">
        <f>IF(G359="","",IFERROR(INDEX(Recipes!$AG$5:$AG$204,MATCH(G359,Recipes!$A$5:$A$204,0)),"Not found"))</f>
        <v>0</v>
      </c>
      <c r="Y359" s="45">
        <f>IF(G359="","",IFERROR(INDEX(Recipes!$AH$5:$AH$204,MATCH(G359,Recipes!$A$5:$A$204,0)),"Not found"))</f>
        <v>0</v>
      </c>
      <c r="Z359" s="45">
        <f>IF(G359="","",IFERROR(INDEX(Recipes!$AI$5:$AI$204,MATCH(G359,Recipes!$A$5:$A$204,0)),"Not found"))</f>
        <v>0</v>
      </c>
      <c r="AA359" s="30">
        <f>IF(OR(V359="",NOT(ISNUMBER(V359))),"",V359*K359)</f>
        <v>0</v>
      </c>
      <c r="AB359" s="18">
        <f>IF(G359="","",IFERROR(INDEX(Recipes!$J$5:$J$204,MATCH(G359,Recipes!$A$5:$A$204,0)),"Not found"))</f>
        <v>0</v>
      </c>
      <c r="AC359" s="17">
        <f>IF(G359="","",IFERROR(INDEX(Recipes!$C$5:$C$204,MATCH(G359,Recipes!$A$5:$A$204,0)),"Not found"))</f>
        <v>0</v>
      </c>
      <c r="AD359" s="46">
        <f>IF(B359="","",IF(G359&lt;&gt;"","Yes",IF(OR(I359="",ISNUMBER(SEARCH("takeaway",I359)),ISNUMBER(SEARCH("out",I359))),"No","Yes")))</f>
        <v>0</v>
      </c>
      <c r="AE359" s="17">
        <f>IF(B359="","",TEXT(B359,"yyyy-mm-dd")&amp;"|"&amp;F359)</f>
        <v>0</v>
      </c>
      <c r="AF359" s="31">
        <f>IF(B359="","",IF(AND(G359="",I359=""),"Add - nothing planned yet",IF(COUNTIFS($AE$5:$AE$504,AE359)&gt;1,"Duplicate - two meals in one slot",IF(AND(G359&lt;&gt;"",H359="Not found"),"Missing - recipe ID not on the Recipes tab",IF(AND(B359&lt;TODAY(),OR(N359="Planned",N359="")),"Check - did you cook it?","OK")))))</f>
        <v>0</v>
      </c>
    </row>
    <row r="360" spans="1:32">
      <c r="A360" s="39">
        <f>IF(B360="","",MealPrefix&amp;TEXT(ROW()-4,"0000"))</f>
        <v>0</v>
      </c>
      <c r="C360" s="17">
        <f>IF(B360="","",TEXT(B360,"ddd"))</f>
        <v>0</v>
      </c>
      <c r="D360" s="18">
        <f>IF(B360="","",WEEKNUM(B360,IF(WeekStart="Sunday",1,2)))</f>
        <v>0</v>
      </c>
      <c r="E360" s="17">
        <f>IF(B360="","",TEXT(B360,"yyyy-mm"))</f>
        <v>0</v>
      </c>
      <c r="H360" s="17">
        <f>IF(G360&lt;&gt;"",IFERROR(INDEX(Recipes!$B$5:$B$204,MATCH(G360,Recipes!$A$5:$A$204,0)),"Not found"),I360)</f>
        <v>0</v>
      </c>
      <c r="K360" s="45">
        <f>IF(B360="","",IF(J360="",DefaultServings,J360))</f>
        <v>0</v>
      </c>
      <c r="L360" s="45">
        <f>IF(G360="",0,IFERROR(K360/INDEX(Recipes!$G$5:$G$204,MATCH(G360,Recipes!$A$5:$A$204,0)),0))</f>
        <v>0</v>
      </c>
      <c r="T360" s="25">
        <f>IF(G360="","",IFERROR(INDEX(Recipes!$AD$5:$AD$204,MATCH(G360,Recipes!$A$5:$A$204,0))*K360,""))</f>
        <v>0</v>
      </c>
      <c r="V360" s="30">
        <f>IF(G360="","",IFERROR(INDEX(Recipes!$AE$5:$AE$204,MATCH(G360,Recipes!$A$5:$A$204,0)),"Not found"))</f>
        <v>0</v>
      </c>
      <c r="W360" s="45">
        <f>IF(G360="","",IFERROR(INDEX(Recipes!$AF$5:$AF$204,MATCH(G360,Recipes!$A$5:$A$204,0)),"Not found"))</f>
        <v>0</v>
      </c>
      <c r="X360" s="45">
        <f>IF(G360="","",IFERROR(INDEX(Recipes!$AG$5:$AG$204,MATCH(G360,Recipes!$A$5:$A$204,0)),"Not found"))</f>
        <v>0</v>
      </c>
      <c r="Y360" s="45">
        <f>IF(G360="","",IFERROR(INDEX(Recipes!$AH$5:$AH$204,MATCH(G360,Recipes!$A$5:$A$204,0)),"Not found"))</f>
        <v>0</v>
      </c>
      <c r="Z360" s="45">
        <f>IF(G360="","",IFERROR(INDEX(Recipes!$AI$5:$AI$204,MATCH(G360,Recipes!$A$5:$A$204,0)),"Not found"))</f>
        <v>0</v>
      </c>
      <c r="AA360" s="30">
        <f>IF(OR(V360="",NOT(ISNUMBER(V360))),"",V360*K360)</f>
        <v>0</v>
      </c>
      <c r="AB360" s="18">
        <f>IF(G360="","",IFERROR(INDEX(Recipes!$J$5:$J$204,MATCH(G360,Recipes!$A$5:$A$204,0)),"Not found"))</f>
        <v>0</v>
      </c>
      <c r="AC360" s="17">
        <f>IF(G360="","",IFERROR(INDEX(Recipes!$C$5:$C$204,MATCH(G360,Recipes!$A$5:$A$204,0)),"Not found"))</f>
        <v>0</v>
      </c>
      <c r="AD360" s="46">
        <f>IF(B360="","",IF(G360&lt;&gt;"","Yes",IF(OR(I360="",ISNUMBER(SEARCH("takeaway",I360)),ISNUMBER(SEARCH("out",I360))),"No","Yes")))</f>
        <v>0</v>
      </c>
      <c r="AE360" s="17">
        <f>IF(B360="","",TEXT(B360,"yyyy-mm-dd")&amp;"|"&amp;F360)</f>
        <v>0</v>
      </c>
      <c r="AF360" s="31">
        <f>IF(B360="","",IF(AND(G360="",I360=""),"Add - nothing planned yet",IF(COUNTIFS($AE$5:$AE$504,AE360)&gt;1,"Duplicate - two meals in one slot",IF(AND(G360&lt;&gt;"",H360="Not found"),"Missing - recipe ID not on the Recipes tab",IF(AND(B360&lt;TODAY(),OR(N360="Planned",N360="")),"Check - did you cook it?","OK")))))</f>
        <v>0</v>
      </c>
    </row>
    <row r="361" spans="1:32">
      <c r="A361" s="39">
        <f>IF(B361="","",MealPrefix&amp;TEXT(ROW()-4,"0000"))</f>
        <v>0</v>
      </c>
      <c r="C361" s="17">
        <f>IF(B361="","",TEXT(B361,"ddd"))</f>
        <v>0</v>
      </c>
      <c r="D361" s="18">
        <f>IF(B361="","",WEEKNUM(B361,IF(WeekStart="Sunday",1,2)))</f>
        <v>0</v>
      </c>
      <c r="E361" s="17">
        <f>IF(B361="","",TEXT(B361,"yyyy-mm"))</f>
        <v>0</v>
      </c>
      <c r="H361" s="17">
        <f>IF(G361&lt;&gt;"",IFERROR(INDEX(Recipes!$B$5:$B$204,MATCH(G361,Recipes!$A$5:$A$204,0)),"Not found"),I361)</f>
        <v>0</v>
      </c>
      <c r="K361" s="45">
        <f>IF(B361="","",IF(J361="",DefaultServings,J361))</f>
        <v>0</v>
      </c>
      <c r="L361" s="45">
        <f>IF(G361="",0,IFERROR(K361/INDEX(Recipes!$G$5:$G$204,MATCH(G361,Recipes!$A$5:$A$204,0)),0))</f>
        <v>0</v>
      </c>
      <c r="T361" s="25">
        <f>IF(G361="","",IFERROR(INDEX(Recipes!$AD$5:$AD$204,MATCH(G361,Recipes!$A$5:$A$204,0))*K361,""))</f>
        <v>0</v>
      </c>
      <c r="V361" s="30">
        <f>IF(G361="","",IFERROR(INDEX(Recipes!$AE$5:$AE$204,MATCH(G361,Recipes!$A$5:$A$204,0)),"Not found"))</f>
        <v>0</v>
      </c>
      <c r="W361" s="45">
        <f>IF(G361="","",IFERROR(INDEX(Recipes!$AF$5:$AF$204,MATCH(G361,Recipes!$A$5:$A$204,0)),"Not found"))</f>
        <v>0</v>
      </c>
      <c r="X361" s="45">
        <f>IF(G361="","",IFERROR(INDEX(Recipes!$AG$5:$AG$204,MATCH(G361,Recipes!$A$5:$A$204,0)),"Not found"))</f>
        <v>0</v>
      </c>
      <c r="Y361" s="45">
        <f>IF(G361="","",IFERROR(INDEX(Recipes!$AH$5:$AH$204,MATCH(G361,Recipes!$A$5:$A$204,0)),"Not found"))</f>
        <v>0</v>
      </c>
      <c r="Z361" s="45">
        <f>IF(G361="","",IFERROR(INDEX(Recipes!$AI$5:$AI$204,MATCH(G361,Recipes!$A$5:$A$204,0)),"Not found"))</f>
        <v>0</v>
      </c>
      <c r="AA361" s="30">
        <f>IF(OR(V361="",NOT(ISNUMBER(V361))),"",V361*K361)</f>
        <v>0</v>
      </c>
      <c r="AB361" s="18">
        <f>IF(G361="","",IFERROR(INDEX(Recipes!$J$5:$J$204,MATCH(G361,Recipes!$A$5:$A$204,0)),"Not found"))</f>
        <v>0</v>
      </c>
      <c r="AC361" s="17">
        <f>IF(G361="","",IFERROR(INDEX(Recipes!$C$5:$C$204,MATCH(G361,Recipes!$A$5:$A$204,0)),"Not found"))</f>
        <v>0</v>
      </c>
      <c r="AD361" s="46">
        <f>IF(B361="","",IF(G361&lt;&gt;"","Yes",IF(OR(I361="",ISNUMBER(SEARCH("takeaway",I361)),ISNUMBER(SEARCH("out",I361))),"No","Yes")))</f>
        <v>0</v>
      </c>
      <c r="AE361" s="17">
        <f>IF(B361="","",TEXT(B361,"yyyy-mm-dd")&amp;"|"&amp;F361)</f>
        <v>0</v>
      </c>
      <c r="AF361" s="31">
        <f>IF(B361="","",IF(AND(G361="",I361=""),"Add - nothing planned yet",IF(COUNTIFS($AE$5:$AE$504,AE361)&gt;1,"Duplicate - two meals in one slot",IF(AND(G361&lt;&gt;"",H361="Not found"),"Missing - recipe ID not on the Recipes tab",IF(AND(B361&lt;TODAY(),OR(N361="Planned",N361="")),"Check - did you cook it?","OK")))))</f>
        <v>0</v>
      </c>
    </row>
    <row r="362" spans="1:32">
      <c r="A362" s="39">
        <f>IF(B362="","",MealPrefix&amp;TEXT(ROW()-4,"0000"))</f>
        <v>0</v>
      </c>
      <c r="C362" s="17">
        <f>IF(B362="","",TEXT(B362,"ddd"))</f>
        <v>0</v>
      </c>
      <c r="D362" s="18">
        <f>IF(B362="","",WEEKNUM(B362,IF(WeekStart="Sunday",1,2)))</f>
        <v>0</v>
      </c>
      <c r="E362" s="17">
        <f>IF(B362="","",TEXT(B362,"yyyy-mm"))</f>
        <v>0</v>
      </c>
      <c r="H362" s="17">
        <f>IF(G362&lt;&gt;"",IFERROR(INDEX(Recipes!$B$5:$B$204,MATCH(G362,Recipes!$A$5:$A$204,0)),"Not found"),I362)</f>
        <v>0</v>
      </c>
      <c r="K362" s="45">
        <f>IF(B362="","",IF(J362="",DefaultServings,J362))</f>
        <v>0</v>
      </c>
      <c r="L362" s="45">
        <f>IF(G362="",0,IFERROR(K362/INDEX(Recipes!$G$5:$G$204,MATCH(G362,Recipes!$A$5:$A$204,0)),0))</f>
        <v>0</v>
      </c>
      <c r="T362" s="25">
        <f>IF(G362="","",IFERROR(INDEX(Recipes!$AD$5:$AD$204,MATCH(G362,Recipes!$A$5:$A$204,0))*K362,""))</f>
        <v>0</v>
      </c>
      <c r="V362" s="30">
        <f>IF(G362="","",IFERROR(INDEX(Recipes!$AE$5:$AE$204,MATCH(G362,Recipes!$A$5:$A$204,0)),"Not found"))</f>
        <v>0</v>
      </c>
      <c r="W362" s="45">
        <f>IF(G362="","",IFERROR(INDEX(Recipes!$AF$5:$AF$204,MATCH(G362,Recipes!$A$5:$A$204,0)),"Not found"))</f>
        <v>0</v>
      </c>
      <c r="X362" s="45">
        <f>IF(G362="","",IFERROR(INDEX(Recipes!$AG$5:$AG$204,MATCH(G362,Recipes!$A$5:$A$204,0)),"Not found"))</f>
        <v>0</v>
      </c>
      <c r="Y362" s="45">
        <f>IF(G362="","",IFERROR(INDEX(Recipes!$AH$5:$AH$204,MATCH(G362,Recipes!$A$5:$A$204,0)),"Not found"))</f>
        <v>0</v>
      </c>
      <c r="Z362" s="45">
        <f>IF(G362="","",IFERROR(INDEX(Recipes!$AI$5:$AI$204,MATCH(G362,Recipes!$A$5:$A$204,0)),"Not found"))</f>
        <v>0</v>
      </c>
      <c r="AA362" s="30">
        <f>IF(OR(V362="",NOT(ISNUMBER(V362))),"",V362*K362)</f>
        <v>0</v>
      </c>
      <c r="AB362" s="18">
        <f>IF(G362="","",IFERROR(INDEX(Recipes!$J$5:$J$204,MATCH(G362,Recipes!$A$5:$A$204,0)),"Not found"))</f>
        <v>0</v>
      </c>
      <c r="AC362" s="17">
        <f>IF(G362="","",IFERROR(INDEX(Recipes!$C$5:$C$204,MATCH(G362,Recipes!$A$5:$A$204,0)),"Not found"))</f>
        <v>0</v>
      </c>
      <c r="AD362" s="46">
        <f>IF(B362="","",IF(G362&lt;&gt;"","Yes",IF(OR(I362="",ISNUMBER(SEARCH("takeaway",I362)),ISNUMBER(SEARCH("out",I362))),"No","Yes")))</f>
        <v>0</v>
      </c>
      <c r="AE362" s="17">
        <f>IF(B362="","",TEXT(B362,"yyyy-mm-dd")&amp;"|"&amp;F362)</f>
        <v>0</v>
      </c>
      <c r="AF362" s="31">
        <f>IF(B362="","",IF(AND(G362="",I362=""),"Add - nothing planned yet",IF(COUNTIFS($AE$5:$AE$504,AE362)&gt;1,"Duplicate - two meals in one slot",IF(AND(G362&lt;&gt;"",H362="Not found"),"Missing - recipe ID not on the Recipes tab",IF(AND(B362&lt;TODAY(),OR(N362="Planned",N362="")),"Check - did you cook it?","OK")))))</f>
        <v>0</v>
      </c>
    </row>
    <row r="363" spans="1:32">
      <c r="A363" s="39">
        <f>IF(B363="","",MealPrefix&amp;TEXT(ROW()-4,"0000"))</f>
        <v>0</v>
      </c>
      <c r="C363" s="17">
        <f>IF(B363="","",TEXT(B363,"ddd"))</f>
        <v>0</v>
      </c>
      <c r="D363" s="18">
        <f>IF(B363="","",WEEKNUM(B363,IF(WeekStart="Sunday",1,2)))</f>
        <v>0</v>
      </c>
      <c r="E363" s="17">
        <f>IF(B363="","",TEXT(B363,"yyyy-mm"))</f>
        <v>0</v>
      </c>
      <c r="H363" s="17">
        <f>IF(G363&lt;&gt;"",IFERROR(INDEX(Recipes!$B$5:$B$204,MATCH(G363,Recipes!$A$5:$A$204,0)),"Not found"),I363)</f>
        <v>0</v>
      </c>
      <c r="K363" s="45">
        <f>IF(B363="","",IF(J363="",DefaultServings,J363))</f>
        <v>0</v>
      </c>
      <c r="L363" s="45">
        <f>IF(G363="",0,IFERROR(K363/INDEX(Recipes!$G$5:$G$204,MATCH(G363,Recipes!$A$5:$A$204,0)),0))</f>
        <v>0</v>
      </c>
      <c r="T363" s="25">
        <f>IF(G363="","",IFERROR(INDEX(Recipes!$AD$5:$AD$204,MATCH(G363,Recipes!$A$5:$A$204,0))*K363,""))</f>
        <v>0</v>
      </c>
      <c r="V363" s="30">
        <f>IF(G363="","",IFERROR(INDEX(Recipes!$AE$5:$AE$204,MATCH(G363,Recipes!$A$5:$A$204,0)),"Not found"))</f>
        <v>0</v>
      </c>
      <c r="W363" s="45">
        <f>IF(G363="","",IFERROR(INDEX(Recipes!$AF$5:$AF$204,MATCH(G363,Recipes!$A$5:$A$204,0)),"Not found"))</f>
        <v>0</v>
      </c>
      <c r="X363" s="45">
        <f>IF(G363="","",IFERROR(INDEX(Recipes!$AG$5:$AG$204,MATCH(G363,Recipes!$A$5:$A$204,0)),"Not found"))</f>
        <v>0</v>
      </c>
      <c r="Y363" s="45">
        <f>IF(G363="","",IFERROR(INDEX(Recipes!$AH$5:$AH$204,MATCH(G363,Recipes!$A$5:$A$204,0)),"Not found"))</f>
        <v>0</v>
      </c>
      <c r="Z363" s="45">
        <f>IF(G363="","",IFERROR(INDEX(Recipes!$AI$5:$AI$204,MATCH(G363,Recipes!$A$5:$A$204,0)),"Not found"))</f>
        <v>0</v>
      </c>
      <c r="AA363" s="30">
        <f>IF(OR(V363="",NOT(ISNUMBER(V363))),"",V363*K363)</f>
        <v>0</v>
      </c>
      <c r="AB363" s="18">
        <f>IF(G363="","",IFERROR(INDEX(Recipes!$J$5:$J$204,MATCH(G363,Recipes!$A$5:$A$204,0)),"Not found"))</f>
        <v>0</v>
      </c>
      <c r="AC363" s="17">
        <f>IF(G363="","",IFERROR(INDEX(Recipes!$C$5:$C$204,MATCH(G363,Recipes!$A$5:$A$204,0)),"Not found"))</f>
        <v>0</v>
      </c>
      <c r="AD363" s="46">
        <f>IF(B363="","",IF(G363&lt;&gt;"","Yes",IF(OR(I363="",ISNUMBER(SEARCH("takeaway",I363)),ISNUMBER(SEARCH("out",I363))),"No","Yes")))</f>
        <v>0</v>
      </c>
      <c r="AE363" s="17">
        <f>IF(B363="","",TEXT(B363,"yyyy-mm-dd")&amp;"|"&amp;F363)</f>
        <v>0</v>
      </c>
      <c r="AF363" s="31">
        <f>IF(B363="","",IF(AND(G363="",I363=""),"Add - nothing planned yet",IF(COUNTIFS($AE$5:$AE$504,AE363)&gt;1,"Duplicate - two meals in one slot",IF(AND(G363&lt;&gt;"",H363="Not found"),"Missing - recipe ID not on the Recipes tab",IF(AND(B363&lt;TODAY(),OR(N363="Planned",N363="")),"Check - did you cook it?","OK")))))</f>
        <v>0</v>
      </c>
    </row>
    <row r="364" spans="1:32">
      <c r="A364" s="39">
        <f>IF(B364="","",MealPrefix&amp;TEXT(ROW()-4,"0000"))</f>
        <v>0</v>
      </c>
      <c r="C364" s="17">
        <f>IF(B364="","",TEXT(B364,"ddd"))</f>
        <v>0</v>
      </c>
      <c r="D364" s="18">
        <f>IF(B364="","",WEEKNUM(B364,IF(WeekStart="Sunday",1,2)))</f>
        <v>0</v>
      </c>
      <c r="E364" s="17">
        <f>IF(B364="","",TEXT(B364,"yyyy-mm"))</f>
        <v>0</v>
      </c>
      <c r="H364" s="17">
        <f>IF(G364&lt;&gt;"",IFERROR(INDEX(Recipes!$B$5:$B$204,MATCH(G364,Recipes!$A$5:$A$204,0)),"Not found"),I364)</f>
        <v>0</v>
      </c>
      <c r="K364" s="45">
        <f>IF(B364="","",IF(J364="",DefaultServings,J364))</f>
        <v>0</v>
      </c>
      <c r="L364" s="45">
        <f>IF(G364="",0,IFERROR(K364/INDEX(Recipes!$G$5:$G$204,MATCH(G364,Recipes!$A$5:$A$204,0)),0))</f>
        <v>0</v>
      </c>
      <c r="T364" s="25">
        <f>IF(G364="","",IFERROR(INDEX(Recipes!$AD$5:$AD$204,MATCH(G364,Recipes!$A$5:$A$204,0))*K364,""))</f>
        <v>0</v>
      </c>
      <c r="V364" s="30">
        <f>IF(G364="","",IFERROR(INDEX(Recipes!$AE$5:$AE$204,MATCH(G364,Recipes!$A$5:$A$204,0)),"Not found"))</f>
        <v>0</v>
      </c>
      <c r="W364" s="45">
        <f>IF(G364="","",IFERROR(INDEX(Recipes!$AF$5:$AF$204,MATCH(G364,Recipes!$A$5:$A$204,0)),"Not found"))</f>
        <v>0</v>
      </c>
      <c r="X364" s="45">
        <f>IF(G364="","",IFERROR(INDEX(Recipes!$AG$5:$AG$204,MATCH(G364,Recipes!$A$5:$A$204,0)),"Not found"))</f>
        <v>0</v>
      </c>
      <c r="Y364" s="45">
        <f>IF(G364="","",IFERROR(INDEX(Recipes!$AH$5:$AH$204,MATCH(G364,Recipes!$A$5:$A$204,0)),"Not found"))</f>
        <v>0</v>
      </c>
      <c r="Z364" s="45">
        <f>IF(G364="","",IFERROR(INDEX(Recipes!$AI$5:$AI$204,MATCH(G364,Recipes!$A$5:$A$204,0)),"Not found"))</f>
        <v>0</v>
      </c>
      <c r="AA364" s="30">
        <f>IF(OR(V364="",NOT(ISNUMBER(V364))),"",V364*K364)</f>
        <v>0</v>
      </c>
      <c r="AB364" s="18">
        <f>IF(G364="","",IFERROR(INDEX(Recipes!$J$5:$J$204,MATCH(G364,Recipes!$A$5:$A$204,0)),"Not found"))</f>
        <v>0</v>
      </c>
      <c r="AC364" s="17">
        <f>IF(G364="","",IFERROR(INDEX(Recipes!$C$5:$C$204,MATCH(G364,Recipes!$A$5:$A$204,0)),"Not found"))</f>
        <v>0</v>
      </c>
      <c r="AD364" s="46">
        <f>IF(B364="","",IF(G364&lt;&gt;"","Yes",IF(OR(I364="",ISNUMBER(SEARCH("takeaway",I364)),ISNUMBER(SEARCH("out",I364))),"No","Yes")))</f>
        <v>0</v>
      </c>
      <c r="AE364" s="17">
        <f>IF(B364="","",TEXT(B364,"yyyy-mm-dd")&amp;"|"&amp;F364)</f>
        <v>0</v>
      </c>
      <c r="AF364" s="31">
        <f>IF(B364="","",IF(AND(G364="",I364=""),"Add - nothing planned yet",IF(COUNTIFS($AE$5:$AE$504,AE364)&gt;1,"Duplicate - two meals in one slot",IF(AND(G364&lt;&gt;"",H364="Not found"),"Missing - recipe ID not on the Recipes tab",IF(AND(B364&lt;TODAY(),OR(N364="Planned",N364="")),"Check - did you cook it?","OK")))))</f>
        <v>0</v>
      </c>
    </row>
    <row r="365" spans="1:32">
      <c r="A365" s="39">
        <f>IF(B365="","",MealPrefix&amp;TEXT(ROW()-4,"0000"))</f>
        <v>0</v>
      </c>
      <c r="C365" s="17">
        <f>IF(B365="","",TEXT(B365,"ddd"))</f>
        <v>0</v>
      </c>
      <c r="D365" s="18">
        <f>IF(B365="","",WEEKNUM(B365,IF(WeekStart="Sunday",1,2)))</f>
        <v>0</v>
      </c>
      <c r="E365" s="17">
        <f>IF(B365="","",TEXT(B365,"yyyy-mm"))</f>
        <v>0</v>
      </c>
      <c r="H365" s="17">
        <f>IF(G365&lt;&gt;"",IFERROR(INDEX(Recipes!$B$5:$B$204,MATCH(G365,Recipes!$A$5:$A$204,0)),"Not found"),I365)</f>
        <v>0</v>
      </c>
      <c r="K365" s="45">
        <f>IF(B365="","",IF(J365="",DefaultServings,J365))</f>
        <v>0</v>
      </c>
      <c r="L365" s="45">
        <f>IF(G365="",0,IFERROR(K365/INDEX(Recipes!$G$5:$G$204,MATCH(G365,Recipes!$A$5:$A$204,0)),0))</f>
        <v>0</v>
      </c>
      <c r="T365" s="25">
        <f>IF(G365="","",IFERROR(INDEX(Recipes!$AD$5:$AD$204,MATCH(G365,Recipes!$A$5:$A$204,0))*K365,""))</f>
        <v>0</v>
      </c>
      <c r="V365" s="30">
        <f>IF(G365="","",IFERROR(INDEX(Recipes!$AE$5:$AE$204,MATCH(G365,Recipes!$A$5:$A$204,0)),"Not found"))</f>
        <v>0</v>
      </c>
      <c r="W365" s="45">
        <f>IF(G365="","",IFERROR(INDEX(Recipes!$AF$5:$AF$204,MATCH(G365,Recipes!$A$5:$A$204,0)),"Not found"))</f>
        <v>0</v>
      </c>
      <c r="X365" s="45">
        <f>IF(G365="","",IFERROR(INDEX(Recipes!$AG$5:$AG$204,MATCH(G365,Recipes!$A$5:$A$204,0)),"Not found"))</f>
        <v>0</v>
      </c>
      <c r="Y365" s="45">
        <f>IF(G365="","",IFERROR(INDEX(Recipes!$AH$5:$AH$204,MATCH(G365,Recipes!$A$5:$A$204,0)),"Not found"))</f>
        <v>0</v>
      </c>
      <c r="Z365" s="45">
        <f>IF(G365="","",IFERROR(INDEX(Recipes!$AI$5:$AI$204,MATCH(G365,Recipes!$A$5:$A$204,0)),"Not found"))</f>
        <v>0</v>
      </c>
      <c r="AA365" s="30">
        <f>IF(OR(V365="",NOT(ISNUMBER(V365))),"",V365*K365)</f>
        <v>0</v>
      </c>
      <c r="AB365" s="18">
        <f>IF(G365="","",IFERROR(INDEX(Recipes!$J$5:$J$204,MATCH(G365,Recipes!$A$5:$A$204,0)),"Not found"))</f>
        <v>0</v>
      </c>
      <c r="AC365" s="17">
        <f>IF(G365="","",IFERROR(INDEX(Recipes!$C$5:$C$204,MATCH(G365,Recipes!$A$5:$A$204,0)),"Not found"))</f>
        <v>0</v>
      </c>
      <c r="AD365" s="46">
        <f>IF(B365="","",IF(G365&lt;&gt;"","Yes",IF(OR(I365="",ISNUMBER(SEARCH("takeaway",I365)),ISNUMBER(SEARCH("out",I365))),"No","Yes")))</f>
        <v>0</v>
      </c>
      <c r="AE365" s="17">
        <f>IF(B365="","",TEXT(B365,"yyyy-mm-dd")&amp;"|"&amp;F365)</f>
        <v>0</v>
      </c>
      <c r="AF365" s="31">
        <f>IF(B365="","",IF(AND(G365="",I365=""),"Add - nothing planned yet",IF(COUNTIFS($AE$5:$AE$504,AE365)&gt;1,"Duplicate - two meals in one slot",IF(AND(G365&lt;&gt;"",H365="Not found"),"Missing - recipe ID not on the Recipes tab",IF(AND(B365&lt;TODAY(),OR(N365="Planned",N365="")),"Check - did you cook it?","OK")))))</f>
        <v>0</v>
      </c>
    </row>
    <row r="366" spans="1:32">
      <c r="A366" s="39">
        <f>IF(B366="","",MealPrefix&amp;TEXT(ROW()-4,"0000"))</f>
        <v>0</v>
      </c>
      <c r="C366" s="17">
        <f>IF(B366="","",TEXT(B366,"ddd"))</f>
        <v>0</v>
      </c>
      <c r="D366" s="18">
        <f>IF(B366="","",WEEKNUM(B366,IF(WeekStart="Sunday",1,2)))</f>
        <v>0</v>
      </c>
      <c r="E366" s="17">
        <f>IF(B366="","",TEXT(B366,"yyyy-mm"))</f>
        <v>0</v>
      </c>
      <c r="H366" s="17">
        <f>IF(G366&lt;&gt;"",IFERROR(INDEX(Recipes!$B$5:$B$204,MATCH(G366,Recipes!$A$5:$A$204,0)),"Not found"),I366)</f>
        <v>0</v>
      </c>
      <c r="K366" s="45">
        <f>IF(B366="","",IF(J366="",DefaultServings,J366))</f>
        <v>0</v>
      </c>
      <c r="L366" s="45">
        <f>IF(G366="",0,IFERROR(K366/INDEX(Recipes!$G$5:$G$204,MATCH(G366,Recipes!$A$5:$A$204,0)),0))</f>
        <v>0</v>
      </c>
      <c r="T366" s="25">
        <f>IF(G366="","",IFERROR(INDEX(Recipes!$AD$5:$AD$204,MATCH(G366,Recipes!$A$5:$A$204,0))*K366,""))</f>
        <v>0</v>
      </c>
      <c r="V366" s="30">
        <f>IF(G366="","",IFERROR(INDEX(Recipes!$AE$5:$AE$204,MATCH(G366,Recipes!$A$5:$A$204,0)),"Not found"))</f>
        <v>0</v>
      </c>
      <c r="W366" s="45">
        <f>IF(G366="","",IFERROR(INDEX(Recipes!$AF$5:$AF$204,MATCH(G366,Recipes!$A$5:$A$204,0)),"Not found"))</f>
        <v>0</v>
      </c>
      <c r="X366" s="45">
        <f>IF(G366="","",IFERROR(INDEX(Recipes!$AG$5:$AG$204,MATCH(G366,Recipes!$A$5:$A$204,0)),"Not found"))</f>
        <v>0</v>
      </c>
      <c r="Y366" s="45">
        <f>IF(G366="","",IFERROR(INDEX(Recipes!$AH$5:$AH$204,MATCH(G366,Recipes!$A$5:$A$204,0)),"Not found"))</f>
        <v>0</v>
      </c>
      <c r="Z366" s="45">
        <f>IF(G366="","",IFERROR(INDEX(Recipes!$AI$5:$AI$204,MATCH(G366,Recipes!$A$5:$A$204,0)),"Not found"))</f>
        <v>0</v>
      </c>
      <c r="AA366" s="30">
        <f>IF(OR(V366="",NOT(ISNUMBER(V366))),"",V366*K366)</f>
        <v>0</v>
      </c>
      <c r="AB366" s="18">
        <f>IF(G366="","",IFERROR(INDEX(Recipes!$J$5:$J$204,MATCH(G366,Recipes!$A$5:$A$204,0)),"Not found"))</f>
        <v>0</v>
      </c>
      <c r="AC366" s="17">
        <f>IF(G366="","",IFERROR(INDEX(Recipes!$C$5:$C$204,MATCH(G366,Recipes!$A$5:$A$204,0)),"Not found"))</f>
        <v>0</v>
      </c>
      <c r="AD366" s="46">
        <f>IF(B366="","",IF(G366&lt;&gt;"","Yes",IF(OR(I366="",ISNUMBER(SEARCH("takeaway",I366)),ISNUMBER(SEARCH("out",I366))),"No","Yes")))</f>
        <v>0</v>
      </c>
      <c r="AE366" s="17">
        <f>IF(B366="","",TEXT(B366,"yyyy-mm-dd")&amp;"|"&amp;F366)</f>
        <v>0</v>
      </c>
      <c r="AF366" s="31">
        <f>IF(B366="","",IF(AND(G366="",I366=""),"Add - nothing planned yet",IF(COUNTIFS($AE$5:$AE$504,AE366)&gt;1,"Duplicate - two meals in one slot",IF(AND(G366&lt;&gt;"",H366="Not found"),"Missing - recipe ID not on the Recipes tab",IF(AND(B366&lt;TODAY(),OR(N366="Planned",N366="")),"Check - did you cook it?","OK")))))</f>
        <v>0</v>
      </c>
    </row>
    <row r="367" spans="1:32">
      <c r="A367" s="39">
        <f>IF(B367="","",MealPrefix&amp;TEXT(ROW()-4,"0000"))</f>
        <v>0</v>
      </c>
      <c r="C367" s="17">
        <f>IF(B367="","",TEXT(B367,"ddd"))</f>
        <v>0</v>
      </c>
      <c r="D367" s="18">
        <f>IF(B367="","",WEEKNUM(B367,IF(WeekStart="Sunday",1,2)))</f>
        <v>0</v>
      </c>
      <c r="E367" s="17">
        <f>IF(B367="","",TEXT(B367,"yyyy-mm"))</f>
        <v>0</v>
      </c>
      <c r="H367" s="17">
        <f>IF(G367&lt;&gt;"",IFERROR(INDEX(Recipes!$B$5:$B$204,MATCH(G367,Recipes!$A$5:$A$204,0)),"Not found"),I367)</f>
        <v>0</v>
      </c>
      <c r="K367" s="45">
        <f>IF(B367="","",IF(J367="",DefaultServings,J367))</f>
        <v>0</v>
      </c>
      <c r="L367" s="45">
        <f>IF(G367="",0,IFERROR(K367/INDEX(Recipes!$G$5:$G$204,MATCH(G367,Recipes!$A$5:$A$204,0)),0))</f>
        <v>0</v>
      </c>
      <c r="T367" s="25">
        <f>IF(G367="","",IFERROR(INDEX(Recipes!$AD$5:$AD$204,MATCH(G367,Recipes!$A$5:$A$204,0))*K367,""))</f>
        <v>0</v>
      </c>
      <c r="V367" s="30">
        <f>IF(G367="","",IFERROR(INDEX(Recipes!$AE$5:$AE$204,MATCH(G367,Recipes!$A$5:$A$204,0)),"Not found"))</f>
        <v>0</v>
      </c>
      <c r="W367" s="45">
        <f>IF(G367="","",IFERROR(INDEX(Recipes!$AF$5:$AF$204,MATCH(G367,Recipes!$A$5:$A$204,0)),"Not found"))</f>
        <v>0</v>
      </c>
      <c r="X367" s="45">
        <f>IF(G367="","",IFERROR(INDEX(Recipes!$AG$5:$AG$204,MATCH(G367,Recipes!$A$5:$A$204,0)),"Not found"))</f>
        <v>0</v>
      </c>
      <c r="Y367" s="45">
        <f>IF(G367="","",IFERROR(INDEX(Recipes!$AH$5:$AH$204,MATCH(G367,Recipes!$A$5:$A$204,0)),"Not found"))</f>
        <v>0</v>
      </c>
      <c r="Z367" s="45">
        <f>IF(G367="","",IFERROR(INDEX(Recipes!$AI$5:$AI$204,MATCH(G367,Recipes!$A$5:$A$204,0)),"Not found"))</f>
        <v>0</v>
      </c>
      <c r="AA367" s="30">
        <f>IF(OR(V367="",NOT(ISNUMBER(V367))),"",V367*K367)</f>
        <v>0</v>
      </c>
      <c r="AB367" s="18">
        <f>IF(G367="","",IFERROR(INDEX(Recipes!$J$5:$J$204,MATCH(G367,Recipes!$A$5:$A$204,0)),"Not found"))</f>
        <v>0</v>
      </c>
      <c r="AC367" s="17">
        <f>IF(G367="","",IFERROR(INDEX(Recipes!$C$5:$C$204,MATCH(G367,Recipes!$A$5:$A$204,0)),"Not found"))</f>
        <v>0</v>
      </c>
      <c r="AD367" s="46">
        <f>IF(B367="","",IF(G367&lt;&gt;"","Yes",IF(OR(I367="",ISNUMBER(SEARCH("takeaway",I367)),ISNUMBER(SEARCH("out",I367))),"No","Yes")))</f>
        <v>0</v>
      </c>
      <c r="AE367" s="17">
        <f>IF(B367="","",TEXT(B367,"yyyy-mm-dd")&amp;"|"&amp;F367)</f>
        <v>0</v>
      </c>
      <c r="AF367" s="31">
        <f>IF(B367="","",IF(AND(G367="",I367=""),"Add - nothing planned yet",IF(COUNTIFS($AE$5:$AE$504,AE367)&gt;1,"Duplicate - two meals in one slot",IF(AND(G367&lt;&gt;"",H367="Not found"),"Missing - recipe ID not on the Recipes tab",IF(AND(B367&lt;TODAY(),OR(N367="Planned",N367="")),"Check - did you cook it?","OK")))))</f>
        <v>0</v>
      </c>
    </row>
    <row r="368" spans="1:32">
      <c r="A368" s="39">
        <f>IF(B368="","",MealPrefix&amp;TEXT(ROW()-4,"0000"))</f>
        <v>0</v>
      </c>
      <c r="C368" s="17">
        <f>IF(B368="","",TEXT(B368,"ddd"))</f>
        <v>0</v>
      </c>
      <c r="D368" s="18">
        <f>IF(B368="","",WEEKNUM(B368,IF(WeekStart="Sunday",1,2)))</f>
        <v>0</v>
      </c>
      <c r="E368" s="17">
        <f>IF(B368="","",TEXT(B368,"yyyy-mm"))</f>
        <v>0</v>
      </c>
      <c r="H368" s="17">
        <f>IF(G368&lt;&gt;"",IFERROR(INDEX(Recipes!$B$5:$B$204,MATCH(G368,Recipes!$A$5:$A$204,0)),"Not found"),I368)</f>
        <v>0</v>
      </c>
      <c r="K368" s="45">
        <f>IF(B368="","",IF(J368="",DefaultServings,J368))</f>
        <v>0</v>
      </c>
      <c r="L368" s="45">
        <f>IF(G368="",0,IFERROR(K368/INDEX(Recipes!$G$5:$G$204,MATCH(G368,Recipes!$A$5:$A$204,0)),0))</f>
        <v>0</v>
      </c>
      <c r="T368" s="25">
        <f>IF(G368="","",IFERROR(INDEX(Recipes!$AD$5:$AD$204,MATCH(G368,Recipes!$A$5:$A$204,0))*K368,""))</f>
        <v>0</v>
      </c>
      <c r="V368" s="30">
        <f>IF(G368="","",IFERROR(INDEX(Recipes!$AE$5:$AE$204,MATCH(G368,Recipes!$A$5:$A$204,0)),"Not found"))</f>
        <v>0</v>
      </c>
      <c r="W368" s="45">
        <f>IF(G368="","",IFERROR(INDEX(Recipes!$AF$5:$AF$204,MATCH(G368,Recipes!$A$5:$A$204,0)),"Not found"))</f>
        <v>0</v>
      </c>
      <c r="X368" s="45">
        <f>IF(G368="","",IFERROR(INDEX(Recipes!$AG$5:$AG$204,MATCH(G368,Recipes!$A$5:$A$204,0)),"Not found"))</f>
        <v>0</v>
      </c>
      <c r="Y368" s="45">
        <f>IF(G368="","",IFERROR(INDEX(Recipes!$AH$5:$AH$204,MATCH(G368,Recipes!$A$5:$A$204,0)),"Not found"))</f>
        <v>0</v>
      </c>
      <c r="Z368" s="45">
        <f>IF(G368="","",IFERROR(INDEX(Recipes!$AI$5:$AI$204,MATCH(G368,Recipes!$A$5:$A$204,0)),"Not found"))</f>
        <v>0</v>
      </c>
      <c r="AA368" s="30">
        <f>IF(OR(V368="",NOT(ISNUMBER(V368))),"",V368*K368)</f>
        <v>0</v>
      </c>
      <c r="AB368" s="18">
        <f>IF(G368="","",IFERROR(INDEX(Recipes!$J$5:$J$204,MATCH(G368,Recipes!$A$5:$A$204,0)),"Not found"))</f>
        <v>0</v>
      </c>
      <c r="AC368" s="17">
        <f>IF(G368="","",IFERROR(INDEX(Recipes!$C$5:$C$204,MATCH(G368,Recipes!$A$5:$A$204,0)),"Not found"))</f>
        <v>0</v>
      </c>
      <c r="AD368" s="46">
        <f>IF(B368="","",IF(G368&lt;&gt;"","Yes",IF(OR(I368="",ISNUMBER(SEARCH("takeaway",I368)),ISNUMBER(SEARCH("out",I368))),"No","Yes")))</f>
        <v>0</v>
      </c>
      <c r="AE368" s="17">
        <f>IF(B368="","",TEXT(B368,"yyyy-mm-dd")&amp;"|"&amp;F368)</f>
        <v>0</v>
      </c>
      <c r="AF368" s="31">
        <f>IF(B368="","",IF(AND(G368="",I368=""),"Add - nothing planned yet",IF(COUNTIFS($AE$5:$AE$504,AE368)&gt;1,"Duplicate - two meals in one slot",IF(AND(G368&lt;&gt;"",H368="Not found"),"Missing - recipe ID not on the Recipes tab",IF(AND(B368&lt;TODAY(),OR(N368="Planned",N368="")),"Check - did you cook it?","OK")))))</f>
        <v>0</v>
      </c>
    </row>
    <row r="369" spans="1:32">
      <c r="A369" s="39">
        <f>IF(B369="","",MealPrefix&amp;TEXT(ROW()-4,"0000"))</f>
        <v>0</v>
      </c>
      <c r="C369" s="17">
        <f>IF(B369="","",TEXT(B369,"ddd"))</f>
        <v>0</v>
      </c>
      <c r="D369" s="18">
        <f>IF(B369="","",WEEKNUM(B369,IF(WeekStart="Sunday",1,2)))</f>
        <v>0</v>
      </c>
      <c r="E369" s="17">
        <f>IF(B369="","",TEXT(B369,"yyyy-mm"))</f>
        <v>0</v>
      </c>
      <c r="H369" s="17">
        <f>IF(G369&lt;&gt;"",IFERROR(INDEX(Recipes!$B$5:$B$204,MATCH(G369,Recipes!$A$5:$A$204,0)),"Not found"),I369)</f>
        <v>0</v>
      </c>
      <c r="K369" s="45">
        <f>IF(B369="","",IF(J369="",DefaultServings,J369))</f>
        <v>0</v>
      </c>
      <c r="L369" s="45">
        <f>IF(G369="",0,IFERROR(K369/INDEX(Recipes!$G$5:$G$204,MATCH(G369,Recipes!$A$5:$A$204,0)),0))</f>
        <v>0</v>
      </c>
      <c r="T369" s="25">
        <f>IF(G369="","",IFERROR(INDEX(Recipes!$AD$5:$AD$204,MATCH(G369,Recipes!$A$5:$A$204,0))*K369,""))</f>
        <v>0</v>
      </c>
      <c r="V369" s="30">
        <f>IF(G369="","",IFERROR(INDEX(Recipes!$AE$5:$AE$204,MATCH(G369,Recipes!$A$5:$A$204,0)),"Not found"))</f>
        <v>0</v>
      </c>
      <c r="W369" s="45">
        <f>IF(G369="","",IFERROR(INDEX(Recipes!$AF$5:$AF$204,MATCH(G369,Recipes!$A$5:$A$204,0)),"Not found"))</f>
        <v>0</v>
      </c>
      <c r="X369" s="45">
        <f>IF(G369="","",IFERROR(INDEX(Recipes!$AG$5:$AG$204,MATCH(G369,Recipes!$A$5:$A$204,0)),"Not found"))</f>
        <v>0</v>
      </c>
      <c r="Y369" s="45">
        <f>IF(G369="","",IFERROR(INDEX(Recipes!$AH$5:$AH$204,MATCH(G369,Recipes!$A$5:$A$204,0)),"Not found"))</f>
        <v>0</v>
      </c>
      <c r="Z369" s="45">
        <f>IF(G369="","",IFERROR(INDEX(Recipes!$AI$5:$AI$204,MATCH(G369,Recipes!$A$5:$A$204,0)),"Not found"))</f>
        <v>0</v>
      </c>
      <c r="AA369" s="30">
        <f>IF(OR(V369="",NOT(ISNUMBER(V369))),"",V369*K369)</f>
        <v>0</v>
      </c>
      <c r="AB369" s="18">
        <f>IF(G369="","",IFERROR(INDEX(Recipes!$J$5:$J$204,MATCH(G369,Recipes!$A$5:$A$204,0)),"Not found"))</f>
        <v>0</v>
      </c>
      <c r="AC369" s="17">
        <f>IF(G369="","",IFERROR(INDEX(Recipes!$C$5:$C$204,MATCH(G369,Recipes!$A$5:$A$204,0)),"Not found"))</f>
        <v>0</v>
      </c>
      <c r="AD369" s="46">
        <f>IF(B369="","",IF(G369&lt;&gt;"","Yes",IF(OR(I369="",ISNUMBER(SEARCH("takeaway",I369)),ISNUMBER(SEARCH("out",I369))),"No","Yes")))</f>
        <v>0</v>
      </c>
      <c r="AE369" s="17">
        <f>IF(B369="","",TEXT(B369,"yyyy-mm-dd")&amp;"|"&amp;F369)</f>
        <v>0</v>
      </c>
      <c r="AF369" s="31">
        <f>IF(B369="","",IF(AND(G369="",I369=""),"Add - nothing planned yet",IF(COUNTIFS($AE$5:$AE$504,AE369)&gt;1,"Duplicate - two meals in one slot",IF(AND(G369&lt;&gt;"",H369="Not found"),"Missing - recipe ID not on the Recipes tab",IF(AND(B369&lt;TODAY(),OR(N369="Planned",N369="")),"Check - did you cook it?","OK")))))</f>
        <v>0</v>
      </c>
    </row>
    <row r="370" spans="1:32">
      <c r="A370" s="39">
        <f>IF(B370="","",MealPrefix&amp;TEXT(ROW()-4,"0000"))</f>
        <v>0</v>
      </c>
      <c r="C370" s="17">
        <f>IF(B370="","",TEXT(B370,"ddd"))</f>
        <v>0</v>
      </c>
      <c r="D370" s="18">
        <f>IF(B370="","",WEEKNUM(B370,IF(WeekStart="Sunday",1,2)))</f>
        <v>0</v>
      </c>
      <c r="E370" s="17">
        <f>IF(B370="","",TEXT(B370,"yyyy-mm"))</f>
        <v>0</v>
      </c>
      <c r="H370" s="17">
        <f>IF(G370&lt;&gt;"",IFERROR(INDEX(Recipes!$B$5:$B$204,MATCH(G370,Recipes!$A$5:$A$204,0)),"Not found"),I370)</f>
        <v>0</v>
      </c>
      <c r="K370" s="45">
        <f>IF(B370="","",IF(J370="",DefaultServings,J370))</f>
        <v>0</v>
      </c>
      <c r="L370" s="45">
        <f>IF(G370="",0,IFERROR(K370/INDEX(Recipes!$G$5:$G$204,MATCH(G370,Recipes!$A$5:$A$204,0)),0))</f>
        <v>0</v>
      </c>
      <c r="T370" s="25">
        <f>IF(G370="","",IFERROR(INDEX(Recipes!$AD$5:$AD$204,MATCH(G370,Recipes!$A$5:$A$204,0))*K370,""))</f>
        <v>0</v>
      </c>
      <c r="V370" s="30">
        <f>IF(G370="","",IFERROR(INDEX(Recipes!$AE$5:$AE$204,MATCH(G370,Recipes!$A$5:$A$204,0)),"Not found"))</f>
        <v>0</v>
      </c>
      <c r="W370" s="45">
        <f>IF(G370="","",IFERROR(INDEX(Recipes!$AF$5:$AF$204,MATCH(G370,Recipes!$A$5:$A$204,0)),"Not found"))</f>
        <v>0</v>
      </c>
      <c r="X370" s="45">
        <f>IF(G370="","",IFERROR(INDEX(Recipes!$AG$5:$AG$204,MATCH(G370,Recipes!$A$5:$A$204,0)),"Not found"))</f>
        <v>0</v>
      </c>
      <c r="Y370" s="45">
        <f>IF(G370="","",IFERROR(INDEX(Recipes!$AH$5:$AH$204,MATCH(G370,Recipes!$A$5:$A$204,0)),"Not found"))</f>
        <v>0</v>
      </c>
      <c r="Z370" s="45">
        <f>IF(G370="","",IFERROR(INDEX(Recipes!$AI$5:$AI$204,MATCH(G370,Recipes!$A$5:$A$204,0)),"Not found"))</f>
        <v>0</v>
      </c>
      <c r="AA370" s="30">
        <f>IF(OR(V370="",NOT(ISNUMBER(V370))),"",V370*K370)</f>
        <v>0</v>
      </c>
      <c r="AB370" s="18">
        <f>IF(G370="","",IFERROR(INDEX(Recipes!$J$5:$J$204,MATCH(G370,Recipes!$A$5:$A$204,0)),"Not found"))</f>
        <v>0</v>
      </c>
      <c r="AC370" s="17">
        <f>IF(G370="","",IFERROR(INDEX(Recipes!$C$5:$C$204,MATCH(G370,Recipes!$A$5:$A$204,0)),"Not found"))</f>
        <v>0</v>
      </c>
      <c r="AD370" s="46">
        <f>IF(B370="","",IF(G370&lt;&gt;"","Yes",IF(OR(I370="",ISNUMBER(SEARCH("takeaway",I370)),ISNUMBER(SEARCH("out",I370))),"No","Yes")))</f>
        <v>0</v>
      </c>
      <c r="AE370" s="17">
        <f>IF(B370="","",TEXT(B370,"yyyy-mm-dd")&amp;"|"&amp;F370)</f>
        <v>0</v>
      </c>
      <c r="AF370" s="31">
        <f>IF(B370="","",IF(AND(G370="",I370=""),"Add - nothing planned yet",IF(COUNTIFS($AE$5:$AE$504,AE370)&gt;1,"Duplicate - two meals in one slot",IF(AND(G370&lt;&gt;"",H370="Not found"),"Missing - recipe ID not on the Recipes tab",IF(AND(B370&lt;TODAY(),OR(N370="Planned",N370="")),"Check - did you cook it?","OK")))))</f>
        <v>0</v>
      </c>
    </row>
    <row r="371" spans="1:32">
      <c r="A371" s="39">
        <f>IF(B371="","",MealPrefix&amp;TEXT(ROW()-4,"0000"))</f>
        <v>0</v>
      </c>
      <c r="C371" s="17">
        <f>IF(B371="","",TEXT(B371,"ddd"))</f>
        <v>0</v>
      </c>
      <c r="D371" s="18">
        <f>IF(B371="","",WEEKNUM(B371,IF(WeekStart="Sunday",1,2)))</f>
        <v>0</v>
      </c>
      <c r="E371" s="17">
        <f>IF(B371="","",TEXT(B371,"yyyy-mm"))</f>
        <v>0</v>
      </c>
      <c r="H371" s="17">
        <f>IF(G371&lt;&gt;"",IFERROR(INDEX(Recipes!$B$5:$B$204,MATCH(G371,Recipes!$A$5:$A$204,0)),"Not found"),I371)</f>
        <v>0</v>
      </c>
      <c r="K371" s="45">
        <f>IF(B371="","",IF(J371="",DefaultServings,J371))</f>
        <v>0</v>
      </c>
      <c r="L371" s="45">
        <f>IF(G371="",0,IFERROR(K371/INDEX(Recipes!$G$5:$G$204,MATCH(G371,Recipes!$A$5:$A$204,0)),0))</f>
        <v>0</v>
      </c>
      <c r="T371" s="25">
        <f>IF(G371="","",IFERROR(INDEX(Recipes!$AD$5:$AD$204,MATCH(G371,Recipes!$A$5:$A$204,0))*K371,""))</f>
        <v>0</v>
      </c>
      <c r="V371" s="30">
        <f>IF(G371="","",IFERROR(INDEX(Recipes!$AE$5:$AE$204,MATCH(G371,Recipes!$A$5:$A$204,0)),"Not found"))</f>
        <v>0</v>
      </c>
      <c r="W371" s="45">
        <f>IF(G371="","",IFERROR(INDEX(Recipes!$AF$5:$AF$204,MATCH(G371,Recipes!$A$5:$A$204,0)),"Not found"))</f>
        <v>0</v>
      </c>
      <c r="X371" s="45">
        <f>IF(G371="","",IFERROR(INDEX(Recipes!$AG$5:$AG$204,MATCH(G371,Recipes!$A$5:$A$204,0)),"Not found"))</f>
        <v>0</v>
      </c>
      <c r="Y371" s="45">
        <f>IF(G371="","",IFERROR(INDEX(Recipes!$AH$5:$AH$204,MATCH(G371,Recipes!$A$5:$A$204,0)),"Not found"))</f>
        <v>0</v>
      </c>
      <c r="Z371" s="45">
        <f>IF(G371="","",IFERROR(INDEX(Recipes!$AI$5:$AI$204,MATCH(G371,Recipes!$A$5:$A$204,0)),"Not found"))</f>
        <v>0</v>
      </c>
      <c r="AA371" s="30">
        <f>IF(OR(V371="",NOT(ISNUMBER(V371))),"",V371*K371)</f>
        <v>0</v>
      </c>
      <c r="AB371" s="18">
        <f>IF(G371="","",IFERROR(INDEX(Recipes!$J$5:$J$204,MATCH(G371,Recipes!$A$5:$A$204,0)),"Not found"))</f>
        <v>0</v>
      </c>
      <c r="AC371" s="17">
        <f>IF(G371="","",IFERROR(INDEX(Recipes!$C$5:$C$204,MATCH(G371,Recipes!$A$5:$A$204,0)),"Not found"))</f>
        <v>0</v>
      </c>
      <c r="AD371" s="46">
        <f>IF(B371="","",IF(G371&lt;&gt;"","Yes",IF(OR(I371="",ISNUMBER(SEARCH("takeaway",I371)),ISNUMBER(SEARCH("out",I371))),"No","Yes")))</f>
        <v>0</v>
      </c>
      <c r="AE371" s="17">
        <f>IF(B371="","",TEXT(B371,"yyyy-mm-dd")&amp;"|"&amp;F371)</f>
        <v>0</v>
      </c>
      <c r="AF371" s="31">
        <f>IF(B371="","",IF(AND(G371="",I371=""),"Add - nothing planned yet",IF(COUNTIFS($AE$5:$AE$504,AE371)&gt;1,"Duplicate - two meals in one slot",IF(AND(G371&lt;&gt;"",H371="Not found"),"Missing - recipe ID not on the Recipes tab",IF(AND(B371&lt;TODAY(),OR(N371="Planned",N371="")),"Check - did you cook it?","OK")))))</f>
        <v>0</v>
      </c>
    </row>
    <row r="372" spans="1:32">
      <c r="A372" s="39">
        <f>IF(B372="","",MealPrefix&amp;TEXT(ROW()-4,"0000"))</f>
        <v>0</v>
      </c>
      <c r="C372" s="17">
        <f>IF(B372="","",TEXT(B372,"ddd"))</f>
        <v>0</v>
      </c>
      <c r="D372" s="18">
        <f>IF(B372="","",WEEKNUM(B372,IF(WeekStart="Sunday",1,2)))</f>
        <v>0</v>
      </c>
      <c r="E372" s="17">
        <f>IF(B372="","",TEXT(B372,"yyyy-mm"))</f>
        <v>0</v>
      </c>
      <c r="H372" s="17">
        <f>IF(G372&lt;&gt;"",IFERROR(INDEX(Recipes!$B$5:$B$204,MATCH(G372,Recipes!$A$5:$A$204,0)),"Not found"),I372)</f>
        <v>0</v>
      </c>
      <c r="K372" s="45">
        <f>IF(B372="","",IF(J372="",DefaultServings,J372))</f>
        <v>0</v>
      </c>
      <c r="L372" s="45">
        <f>IF(G372="",0,IFERROR(K372/INDEX(Recipes!$G$5:$G$204,MATCH(G372,Recipes!$A$5:$A$204,0)),0))</f>
        <v>0</v>
      </c>
      <c r="T372" s="25">
        <f>IF(G372="","",IFERROR(INDEX(Recipes!$AD$5:$AD$204,MATCH(G372,Recipes!$A$5:$A$204,0))*K372,""))</f>
        <v>0</v>
      </c>
      <c r="V372" s="30">
        <f>IF(G372="","",IFERROR(INDEX(Recipes!$AE$5:$AE$204,MATCH(G372,Recipes!$A$5:$A$204,0)),"Not found"))</f>
        <v>0</v>
      </c>
      <c r="W372" s="45">
        <f>IF(G372="","",IFERROR(INDEX(Recipes!$AF$5:$AF$204,MATCH(G372,Recipes!$A$5:$A$204,0)),"Not found"))</f>
        <v>0</v>
      </c>
      <c r="X372" s="45">
        <f>IF(G372="","",IFERROR(INDEX(Recipes!$AG$5:$AG$204,MATCH(G372,Recipes!$A$5:$A$204,0)),"Not found"))</f>
        <v>0</v>
      </c>
      <c r="Y372" s="45">
        <f>IF(G372="","",IFERROR(INDEX(Recipes!$AH$5:$AH$204,MATCH(G372,Recipes!$A$5:$A$204,0)),"Not found"))</f>
        <v>0</v>
      </c>
      <c r="Z372" s="45">
        <f>IF(G372="","",IFERROR(INDEX(Recipes!$AI$5:$AI$204,MATCH(G372,Recipes!$A$5:$A$204,0)),"Not found"))</f>
        <v>0</v>
      </c>
      <c r="AA372" s="30">
        <f>IF(OR(V372="",NOT(ISNUMBER(V372))),"",V372*K372)</f>
        <v>0</v>
      </c>
      <c r="AB372" s="18">
        <f>IF(G372="","",IFERROR(INDEX(Recipes!$J$5:$J$204,MATCH(G372,Recipes!$A$5:$A$204,0)),"Not found"))</f>
        <v>0</v>
      </c>
      <c r="AC372" s="17">
        <f>IF(G372="","",IFERROR(INDEX(Recipes!$C$5:$C$204,MATCH(G372,Recipes!$A$5:$A$204,0)),"Not found"))</f>
        <v>0</v>
      </c>
      <c r="AD372" s="46">
        <f>IF(B372="","",IF(G372&lt;&gt;"","Yes",IF(OR(I372="",ISNUMBER(SEARCH("takeaway",I372)),ISNUMBER(SEARCH("out",I372))),"No","Yes")))</f>
        <v>0</v>
      </c>
      <c r="AE372" s="17">
        <f>IF(B372="","",TEXT(B372,"yyyy-mm-dd")&amp;"|"&amp;F372)</f>
        <v>0</v>
      </c>
      <c r="AF372" s="31">
        <f>IF(B372="","",IF(AND(G372="",I372=""),"Add - nothing planned yet",IF(COUNTIFS($AE$5:$AE$504,AE372)&gt;1,"Duplicate - two meals in one slot",IF(AND(G372&lt;&gt;"",H372="Not found"),"Missing - recipe ID not on the Recipes tab",IF(AND(B372&lt;TODAY(),OR(N372="Planned",N372="")),"Check - did you cook it?","OK")))))</f>
        <v>0</v>
      </c>
    </row>
    <row r="373" spans="1:32">
      <c r="A373" s="39">
        <f>IF(B373="","",MealPrefix&amp;TEXT(ROW()-4,"0000"))</f>
        <v>0</v>
      </c>
      <c r="C373" s="17">
        <f>IF(B373="","",TEXT(B373,"ddd"))</f>
        <v>0</v>
      </c>
      <c r="D373" s="18">
        <f>IF(B373="","",WEEKNUM(B373,IF(WeekStart="Sunday",1,2)))</f>
        <v>0</v>
      </c>
      <c r="E373" s="17">
        <f>IF(B373="","",TEXT(B373,"yyyy-mm"))</f>
        <v>0</v>
      </c>
      <c r="H373" s="17">
        <f>IF(G373&lt;&gt;"",IFERROR(INDEX(Recipes!$B$5:$B$204,MATCH(G373,Recipes!$A$5:$A$204,0)),"Not found"),I373)</f>
        <v>0</v>
      </c>
      <c r="K373" s="45">
        <f>IF(B373="","",IF(J373="",DefaultServings,J373))</f>
        <v>0</v>
      </c>
      <c r="L373" s="45">
        <f>IF(G373="",0,IFERROR(K373/INDEX(Recipes!$G$5:$G$204,MATCH(G373,Recipes!$A$5:$A$204,0)),0))</f>
        <v>0</v>
      </c>
      <c r="T373" s="25">
        <f>IF(G373="","",IFERROR(INDEX(Recipes!$AD$5:$AD$204,MATCH(G373,Recipes!$A$5:$A$204,0))*K373,""))</f>
        <v>0</v>
      </c>
      <c r="V373" s="30">
        <f>IF(G373="","",IFERROR(INDEX(Recipes!$AE$5:$AE$204,MATCH(G373,Recipes!$A$5:$A$204,0)),"Not found"))</f>
        <v>0</v>
      </c>
      <c r="W373" s="45">
        <f>IF(G373="","",IFERROR(INDEX(Recipes!$AF$5:$AF$204,MATCH(G373,Recipes!$A$5:$A$204,0)),"Not found"))</f>
        <v>0</v>
      </c>
      <c r="X373" s="45">
        <f>IF(G373="","",IFERROR(INDEX(Recipes!$AG$5:$AG$204,MATCH(G373,Recipes!$A$5:$A$204,0)),"Not found"))</f>
        <v>0</v>
      </c>
      <c r="Y373" s="45">
        <f>IF(G373="","",IFERROR(INDEX(Recipes!$AH$5:$AH$204,MATCH(G373,Recipes!$A$5:$A$204,0)),"Not found"))</f>
        <v>0</v>
      </c>
      <c r="Z373" s="45">
        <f>IF(G373="","",IFERROR(INDEX(Recipes!$AI$5:$AI$204,MATCH(G373,Recipes!$A$5:$A$204,0)),"Not found"))</f>
        <v>0</v>
      </c>
      <c r="AA373" s="30">
        <f>IF(OR(V373="",NOT(ISNUMBER(V373))),"",V373*K373)</f>
        <v>0</v>
      </c>
      <c r="AB373" s="18">
        <f>IF(G373="","",IFERROR(INDEX(Recipes!$J$5:$J$204,MATCH(G373,Recipes!$A$5:$A$204,0)),"Not found"))</f>
        <v>0</v>
      </c>
      <c r="AC373" s="17">
        <f>IF(G373="","",IFERROR(INDEX(Recipes!$C$5:$C$204,MATCH(G373,Recipes!$A$5:$A$204,0)),"Not found"))</f>
        <v>0</v>
      </c>
      <c r="AD373" s="46">
        <f>IF(B373="","",IF(G373&lt;&gt;"","Yes",IF(OR(I373="",ISNUMBER(SEARCH("takeaway",I373)),ISNUMBER(SEARCH("out",I373))),"No","Yes")))</f>
        <v>0</v>
      </c>
      <c r="AE373" s="17">
        <f>IF(B373="","",TEXT(B373,"yyyy-mm-dd")&amp;"|"&amp;F373)</f>
        <v>0</v>
      </c>
      <c r="AF373" s="31">
        <f>IF(B373="","",IF(AND(G373="",I373=""),"Add - nothing planned yet",IF(COUNTIFS($AE$5:$AE$504,AE373)&gt;1,"Duplicate - two meals in one slot",IF(AND(G373&lt;&gt;"",H373="Not found"),"Missing - recipe ID not on the Recipes tab",IF(AND(B373&lt;TODAY(),OR(N373="Planned",N373="")),"Check - did you cook it?","OK")))))</f>
        <v>0</v>
      </c>
    </row>
    <row r="374" spans="1:32">
      <c r="A374" s="39">
        <f>IF(B374="","",MealPrefix&amp;TEXT(ROW()-4,"0000"))</f>
        <v>0</v>
      </c>
      <c r="C374" s="17">
        <f>IF(B374="","",TEXT(B374,"ddd"))</f>
        <v>0</v>
      </c>
      <c r="D374" s="18">
        <f>IF(B374="","",WEEKNUM(B374,IF(WeekStart="Sunday",1,2)))</f>
        <v>0</v>
      </c>
      <c r="E374" s="17">
        <f>IF(B374="","",TEXT(B374,"yyyy-mm"))</f>
        <v>0</v>
      </c>
      <c r="H374" s="17">
        <f>IF(G374&lt;&gt;"",IFERROR(INDEX(Recipes!$B$5:$B$204,MATCH(G374,Recipes!$A$5:$A$204,0)),"Not found"),I374)</f>
        <v>0</v>
      </c>
      <c r="K374" s="45">
        <f>IF(B374="","",IF(J374="",DefaultServings,J374))</f>
        <v>0</v>
      </c>
      <c r="L374" s="45">
        <f>IF(G374="",0,IFERROR(K374/INDEX(Recipes!$G$5:$G$204,MATCH(G374,Recipes!$A$5:$A$204,0)),0))</f>
        <v>0</v>
      </c>
      <c r="T374" s="25">
        <f>IF(G374="","",IFERROR(INDEX(Recipes!$AD$5:$AD$204,MATCH(G374,Recipes!$A$5:$A$204,0))*K374,""))</f>
        <v>0</v>
      </c>
      <c r="V374" s="30">
        <f>IF(G374="","",IFERROR(INDEX(Recipes!$AE$5:$AE$204,MATCH(G374,Recipes!$A$5:$A$204,0)),"Not found"))</f>
        <v>0</v>
      </c>
      <c r="W374" s="45">
        <f>IF(G374="","",IFERROR(INDEX(Recipes!$AF$5:$AF$204,MATCH(G374,Recipes!$A$5:$A$204,0)),"Not found"))</f>
        <v>0</v>
      </c>
      <c r="X374" s="45">
        <f>IF(G374="","",IFERROR(INDEX(Recipes!$AG$5:$AG$204,MATCH(G374,Recipes!$A$5:$A$204,0)),"Not found"))</f>
        <v>0</v>
      </c>
      <c r="Y374" s="45">
        <f>IF(G374="","",IFERROR(INDEX(Recipes!$AH$5:$AH$204,MATCH(G374,Recipes!$A$5:$A$204,0)),"Not found"))</f>
        <v>0</v>
      </c>
      <c r="Z374" s="45">
        <f>IF(G374="","",IFERROR(INDEX(Recipes!$AI$5:$AI$204,MATCH(G374,Recipes!$A$5:$A$204,0)),"Not found"))</f>
        <v>0</v>
      </c>
      <c r="AA374" s="30">
        <f>IF(OR(V374="",NOT(ISNUMBER(V374))),"",V374*K374)</f>
        <v>0</v>
      </c>
      <c r="AB374" s="18">
        <f>IF(G374="","",IFERROR(INDEX(Recipes!$J$5:$J$204,MATCH(G374,Recipes!$A$5:$A$204,0)),"Not found"))</f>
        <v>0</v>
      </c>
      <c r="AC374" s="17">
        <f>IF(G374="","",IFERROR(INDEX(Recipes!$C$5:$C$204,MATCH(G374,Recipes!$A$5:$A$204,0)),"Not found"))</f>
        <v>0</v>
      </c>
      <c r="AD374" s="46">
        <f>IF(B374="","",IF(G374&lt;&gt;"","Yes",IF(OR(I374="",ISNUMBER(SEARCH("takeaway",I374)),ISNUMBER(SEARCH("out",I374))),"No","Yes")))</f>
        <v>0</v>
      </c>
      <c r="AE374" s="17">
        <f>IF(B374="","",TEXT(B374,"yyyy-mm-dd")&amp;"|"&amp;F374)</f>
        <v>0</v>
      </c>
      <c r="AF374" s="31">
        <f>IF(B374="","",IF(AND(G374="",I374=""),"Add - nothing planned yet",IF(COUNTIFS($AE$5:$AE$504,AE374)&gt;1,"Duplicate - two meals in one slot",IF(AND(G374&lt;&gt;"",H374="Not found"),"Missing - recipe ID not on the Recipes tab",IF(AND(B374&lt;TODAY(),OR(N374="Planned",N374="")),"Check - did you cook it?","OK")))))</f>
        <v>0</v>
      </c>
    </row>
    <row r="375" spans="1:32">
      <c r="A375" s="39">
        <f>IF(B375="","",MealPrefix&amp;TEXT(ROW()-4,"0000"))</f>
        <v>0</v>
      </c>
      <c r="C375" s="17">
        <f>IF(B375="","",TEXT(B375,"ddd"))</f>
        <v>0</v>
      </c>
      <c r="D375" s="18">
        <f>IF(B375="","",WEEKNUM(B375,IF(WeekStart="Sunday",1,2)))</f>
        <v>0</v>
      </c>
      <c r="E375" s="17">
        <f>IF(B375="","",TEXT(B375,"yyyy-mm"))</f>
        <v>0</v>
      </c>
      <c r="H375" s="17">
        <f>IF(G375&lt;&gt;"",IFERROR(INDEX(Recipes!$B$5:$B$204,MATCH(G375,Recipes!$A$5:$A$204,0)),"Not found"),I375)</f>
        <v>0</v>
      </c>
      <c r="K375" s="45">
        <f>IF(B375="","",IF(J375="",DefaultServings,J375))</f>
        <v>0</v>
      </c>
      <c r="L375" s="45">
        <f>IF(G375="",0,IFERROR(K375/INDEX(Recipes!$G$5:$G$204,MATCH(G375,Recipes!$A$5:$A$204,0)),0))</f>
        <v>0</v>
      </c>
      <c r="T375" s="25">
        <f>IF(G375="","",IFERROR(INDEX(Recipes!$AD$5:$AD$204,MATCH(G375,Recipes!$A$5:$A$204,0))*K375,""))</f>
        <v>0</v>
      </c>
      <c r="V375" s="30">
        <f>IF(G375="","",IFERROR(INDEX(Recipes!$AE$5:$AE$204,MATCH(G375,Recipes!$A$5:$A$204,0)),"Not found"))</f>
        <v>0</v>
      </c>
      <c r="W375" s="45">
        <f>IF(G375="","",IFERROR(INDEX(Recipes!$AF$5:$AF$204,MATCH(G375,Recipes!$A$5:$A$204,0)),"Not found"))</f>
        <v>0</v>
      </c>
      <c r="X375" s="45">
        <f>IF(G375="","",IFERROR(INDEX(Recipes!$AG$5:$AG$204,MATCH(G375,Recipes!$A$5:$A$204,0)),"Not found"))</f>
        <v>0</v>
      </c>
      <c r="Y375" s="45">
        <f>IF(G375="","",IFERROR(INDEX(Recipes!$AH$5:$AH$204,MATCH(G375,Recipes!$A$5:$A$204,0)),"Not found"))</f>
        <v>0</v>
      </c>
      <c r="Z375" s="45">
        <f>IF(G375="","",IFERROR(INDEX(Recipes!$AI$5:$AI$204,MATCH(G375,Recipes!$A$5:$A$204,0)),"Not found"))</f>
        <v>0</v>
      </c>
      <c r="AA375" s="30">
        <f>IF(OR(V375="",NOT(ISNUMBER(V375))),"",V375*K375)</f>
        <v>0</v>
      </c>
      <c r="AB375" s="18">
        <f>IF(G375="","",IFERROR(INDEX(Recipes!$J$5:$J$204,MATCH(G375,Recipes!$A$5:$A$204,0)),"Not found"))</f>
        <v>0</v>
      </c>
      <c r="AC375" s="17">
        <f>IF(G375="","",IFERROR(INDEX(Recipes!$C$5:$C$204,MATCH(G375,Recipes!$A$5:$A$204,0)),"Not found"))</f>
        <v>0</v>
      </c>
      <c r="AD375" s="46">
        <f>IF(B375="","",IF(G375&lt;&gt;"","Yes",IF(OR(I375="",ISNUMBER(SEARCH("takeaway",I375)),ISNUMBER(SEARCH("out",I375))),"No","Yes")))</f>
        <v>0</v>
      </c>
      <c r="AE375" s="17">
        <f>IF(B375="","",TEXT(B375,"yyyy-mm-dd")&amp;"|"&amp;F375)</f>
        <v>0</v>
      </c>
      <c r="AF375" s="31">
        <f>IF(B375="","",IF(AND(G375="",I375=""),"Add - nothing planned yet",IF(COUNTIFS($AE$5:$AE$504,AE375)&gt;1,"Duplicate - two meals in one slot",IF(AND(G375&lt;&gt;"",H375="Not found"),"Missing - recipe ID not on the Recipes tab",IF(AND(B375&lt;TODAY(),OR(N375="Planned",N375="")),"Check - did you cook it?","OK")))))</f>
        <v>0</v>
      </c>
    </row>
    <row r="376" spans="1:32">
      <c r="A376" s="39">
        <f>IF(B376="","",MealPrefix&amp;TEXT(ROW()-4,"0000"))</f>
        <v>0</v>
      </c>
      <c r="C376" s="17">
        <f>IF(B376="","",TEXT(B376,"ddd"))</f>
        <v>0</v>
      </c>
      <c r="D376" s="18">
        <f>IF(B376="","",WEEKNUM(B376,IF(WeekStart="Sunday",1,2)))</f>
        <v>0</v>
      </c>
      <c r="E376" s="17">
        <f>IF(B376="","",TEXT(B376,"yyyy-mm"))</f>
        <v>0</v>
      </c>
      <c r="H376" s="17">
        <f>IF(G376&lt;&gt;"",IFERROR(INDEX(Recipes!$B$5:$B$204,MATCH(G376,Recipes!$A$5:$A$204,0)),"Not found"),I376)</f>
        <v>0</v>
      </c>
      <c r="K376" s="45">
        <f>IF(B376="","",IF(J376="",DefaultServings,J376))</f>
        <v>0</v>
      </c>
      <c r="L376" s="45">
        <f>IF(G376="",0,IFERROR(K376/INDEX(Recipes!$G$5:$G$204,MATCH(G376,Recipes!$A$5:$A$204,0)),0))</f>
        <v>0</v>
      </c>
      <c r="T376" s="25">
        <f>IF(G376="","",IFERROR(INDEX(Recipes!$AD$5:$AD$204,MATCH(G376,Recipes!$A$5:$A$204,0))*K376,""))</f>
        <v>0</v>
      </c>
      <c r="V376" s="30">
        <f>IF(G376="","",IFERROR(INDEX(Recipes!$AE$5:$AE$204,MATCH(G376,Recipes!$A$5:$A$204,0)),"Not found"))</f>
        <v>0</v>
      </c>
      <c r="W376" s="45">
        <f>IF(G376="","",IFERROR(INDEX(Recipes!$AF$5:$AF$204,MATCH(G376,Recipes!$A$5:$A$204,0)),"Not found"))</f>
        <v>0</v>
      </c>
      <c r="X376" s="45">
        <f>IF(G376="","",IFERROR(INDEX(Recipes!$AG$5:$AG$204,MATCH(G376,Recipes!$A$5:$A$204,0)),"Not found"))</f>
        <v>0</v>
      </c>
      <c r="Y376" s="45">
        <f>IF(G376="","",IFERROR(INDEX(Recipes!$AH$5:$AH$204,MATCH(G376,Recipes!$A$5:$A$204,0)),"Not found"))</f>
        <v>0</v>
      </c>
      <c r="Z376" s="45">
        <f>IF(G376="","",IFERROR(INDEX(Recipes!$AI$5:$AI$204,MATCH(G376,Recipes!$A$5:$A$204,0)),"Not found"))</f>
        <v>0</v>
      </c>
      <c r="AA376" s="30">
        <f>IF(OR(V376="",NOT(ISNUMBER(V376))),"",V376*K376)</f>
        <v>0</v>
      </c>
      <c r="AB376" s="18">
        <f>IF(G376="","",IFERROR(INDEX(Recipes!$J$5:$J$204,MATCH(G376,Recipes!$A$5:$A$204,0)),"Not found"))</f>
        <v>0</v>
      </c>
      <c r="AC376" s="17">
        <f>IF(G376="","",IFERROR(INDEX(Recipes!$C$5:$C$204,MATCH(G376,Recipes!$A$5:$A$204,0)),"Not found"))</f>
        <v>0</v>
      </c>
      <c r="AD376" s="46">
        <f>IF(B376="","",IF(G376&lt;&gt;"","Yes",IF(OR(I376="",ISNUMBER(SEARCH("takeaway",I376)),ISNUMBER(SEARCH("out",I376))),"No","Yes")))</f>
        <v>0</v>
      </c>
      <c r="AE376" s="17">
        <f>IF(B376="","",TEXT(B376,"yyyy-mm-dd")&amp;"|"&amp;F376)</f>
        <v>0</v>
      </c>
      <c r="AF376" s="31">
        <f>IF(B376="","",IF(AND(G376="",I376=""),"Add - nothing planned yet",IF(COUNTIFS($AE$5:$AE$504,AE376)&gt;1,"Duplicate - two meals in one slot",IF(AND(G376&lt;&gt;"",H376="Not found"),"Missing - recipe ID not on the Recipes tab",IF(AND(B376&lt;TODAY(),OR(N376="Planned",N376="")),"Check - did you cook it?","OK")))))</f>
        <v>0</v>
      </c>
    </row>
    <row r="377" spans="1:32">
      <c r="A377" s="39">
        <f>IF(B377="","",MealPrefix&amp;TEXT(ROW()-4,"0000"))</f>
        <v>0</v>
      </c>
      <c r="C377" s="17">
        <f>IF(B377="","",TEXT(B377,"ddd"))</f>
        <v>0</v>
      </c>
      <c r="D377" s="18">
        <f>IF(B377="","",WEEKNUM(B377,IF(WeekStart="Sunday",1,2)))</f>
        <v>0</v>
      </c>
      <c r="E377" s="17">
        <f>IF(B377="","",TEXT(B377,"yyyy-mm"))</f>
        <v>0</v>
      </c>
      <c r="H377" s="17">
        <f>IF(G377&lt;&gt;"",IFERROR(INDEX(Recipes!$B$5:$B$204,MATCH(G377,Recipes!$A$5:$A$204,0)),"Not found"),I377)</f>
        <v>0</v>
      </c>
      <c r="K377" s="45">
        <f>IF(B377="","",IF(J377="",DefaultServings,J377))</f>
        <v>0</v>
      </c>
      <c r="L377" s="45">
        <f>IF(G377="",0,IFERROR(K377/INDEX(Recipes!$G$5:$G$204,MATCH(G377,Recipes!$A$5:$A$204,0)),0))</f>
        <v>0</v>
      </c>
      <c r="T377" s="25">
        <f>IF(G377="","",IFERROR(INDEX(Recipes!$AD$5:$AD$204,MATCH(G377,Recipes!$A$5:$A$204,0))*K377,""))</f>
        <v>0</v>
      </c>
      <c r="V377" s="30">
        <f>IF(G377="","",IFERROR(INDEX(Recipes!$AE$5:$AE$204,MATCH(G377,Recipes!$A$5:$A$204,0)),"Not found"))</f>
        <v>0</v>
      </c>
      <c r="W377" s="45">
        <f>IF(G377="","",IFERROR(INDEX(Recipes!$AF$5:$AF$204,MATCH(G377,Recipes!$A$5:$A$204,0)),"Not found"))</f>
        <v>0</v>
      </c>
      <c r="X377" s="45">
        <f>IF(G377="","",IFERROR(INDEX(Recipes!$AG$5:$AG$204,MATCH(G377,Recipes!$A$5:$A$204,0)),"Not found"))</f>
        <v>0</v>
      </c>
      <c r="Y377" s="45">
        <f>IF(G377="","",IFERROR(INDEX(Recipes!$AH$5:$AH$204,MATCH(G377,Recipes!$A$5:$A$204,0)),"Not found"))</f>
        <v>0</v>
      </c>
      <c r="Z377" s="45">
        <f>IF(G377="","",IFERROR(INDEX(Recipes!$AI$5:$AI$204,MATCH(G377,Recipes!$A$5:$A$204,0)),"Not found"))</f>
        <v>0</v>
      </c>
      <c r="AA377" s="30">
        <f>IF(OR(V377="",NOT(ISNUMBER(V377))),"",V377*K377)</f>
        <v>0</v>
      </c>
      <c r="AB377" s="18">
        <f>IF(G377="","",IFERROR(INDEX(Recipes!$J$5:$J$204,MATCH(G377,Recipes!$A$5:$A$204,0)),"Not found"))</f>
        <v>0</v>
      </c>
      <c r="AC377" s="17">
        <f>IF(G377="","",IFERROR(INDEX(Recipes!$C$5:$C$204,MATCH(G377,Recipes!$A$5:$A$204,0)),"Not found"))</f>
        <v>0</v>
      </c>
      <c r="AD377" s="46">
        <f>IF(B377="","",IF(G377&lt;&gt;"","Yes",IF(OR(I377="",ISNUMBER(SEARCH("takeaway",I377)),ISNUMBER(SEARCH("out",I377))),"No","Yes")))</f>
        <v>0</v>
      </c>
      <c r="AE377" s="17">
        <f>IF(B377="","",TEXT(B377,"yyyy-mm-dd")&amp;"|"&amp;F377)</f>
        <v>0</v>
      </c>
      <c r="AF377" s="31">
        <f>IF(B377="","",IF(AND(G377="",I377=""),"Add - nothing planned yet",IF(COUNTIFS($AE$5:$AE$504,AE377)&gt;1,"Duplicate - two meals in one slot",IF(AND(G377&lt;&gt;"",H377="Not found"),"Missing - recipe ID not on the Recipes tab",IF(AND(B377&lt;TODAY(),OR(N377="Planned",N377="")),"Check - did you cook it?","OK")))))</f>
        <v>0</v>
      </c>
    </row>
    <row r="378" spans="1:32">
      <c r="A378" s="39">
        <f>IF(B378="","",MealPrefix&amp;TEXT(ROW()-4,"0000"))</f>
        <v>0</v>
      </c>
      <c r="C378" s="17">
        <f>IF(B378="","",TEXT(B378,"ddd"))</f>
        <v>0</v>
      </c>
      <c r="D378" s="18">
        <f>IF(B378="","",WEEKNUM(B378,IF(WeekStart="Sunday",1,2)))</f>
        <v>0</v>
      </c>
      <c r="E378" s="17">
        <f>IF(B378="","",TEXT(B378,"yyyy-mm"))</f>
        <v>0</v>
      </c>
      <c r="H378" s="17">
        <f>IF(G378&lt;&gt;"",IFERROR(INDEX(Recipes!$B$5:$B$204,MATCH(G378,Recipes!$A$5:$A$204,0)),"Not found"),I378)</f>
        <v>0</v>
      </c>
      <c r="K378" s="45">
        <f>IF(B378="","",IF(J378="",DefaultServings,J378))</f>
        <v>0</v>
      </c>
      <c r="L378" s="45">
        <f>IF(G378="",0,IFERROR(K378/INDEX(Recipes!$G$5:$G$204,MATCH(G378,Recipes!$A$5:$A$204,0)),0))</f>
        <v>0</v>
      </c>
      <c r="T378" s="25">
        <f>IF(G378="","",IFERROR(INDEX(Recipes!$AD$5:$AD$204,MATCH(G378,Recipes!$A$5:$A$204,0))*K378,""))</f>
        <v>0</v>
      </c>
      <c r="V378" s="30">
        <f>IF(G378="","",IFERROR(INDEX(Recipes!$AE$5:$AE$204,MATCH(G378,Recipes!$A$5:$A$204,0)),"Not found"))</f>
        <v>0</v>
      </c>
      <c r="W378" s="45">
        <f>IF(G378="","",IFERROR(INDEX(Recipes!$AF$5:$AF$204,MATCH(G378,Recipes!$A$5:$A$204,0)),"Not found"))</f>
        <v>0</v>
      </c>
      <c r="X378" s="45">
        <f>IF(G378="","",IFERROR(INDEX(Recipes!$AG$5:$AG$204,MATCH(G378,Recipes!$A$5:$A$204,0)),"Not found"))</f>
        <v>0</v>
      </c>
      <c r="Y378" s="45">
        <f>IF(G378="","",IFERROR(INDEX(Recipes!$AH$5:$AH$204,MATCH(G378,Recipes!$A$5:$A$204,0)),"Not found"))</f>
        <v>0</v>
      </c>
      <c r="Z378" s="45">
        <f>IF(G378="","",IFERROR(INDEX(Recipes!$AI$5:$AI$204,MATCH(G378,Recipes!$A$5:$A$204,0)),"Not found"))</f>
        <v>0</v>
      </c>
      <c r="AA378" s="30">
        <f>IF(OR(V378="",NOT(ISNUMBER(V378))),"",V378*K378)</f>
        <v>0</v>
      </c>
      <c r="AB378" s="18">
        <f>IF(G378="","",IFERROR(INDEX(Recipes!$J$5:$J$204,MATCH(G378,Recipes!$A$5:$A$204,0)),"Not found"))</f>
        <v>0</v>
      </c>
      <c r="AC378" s="17">
        <f>IF(G378="","",IFERROR(INDEX(Recipes!$C$5:$C$204,MATCH(G378,Recipes!$A$5:$A$204,0)),"Not found"))</f>
        <v>0</v>
      </c>
      <c r="AD378" s="46">
        <f>IF(B378="","",IF(G378&lt;&gt;"","Yes",IF(OR(I378="",ISNUMBER(SEARCH("takeaway",I378)),ISNUMBER(SEARCH("out",I378))),"No","Yes")))</f>
        <v>0</v>
      </c>
      <c r="AE378" s="17">
        <f>IF(B378="","",TEXT(B378,"yyyy-mm-dd")&amp;"|"&amp;F378)</f>
        <v>0</v>
      </c>
      <c r="AF378" s="31">
        <f>IF(B378="","",IF(AND(G378="",I378=""),"Add - nothing planned yet",IF(COUNTIFS($AE$5:$AE$504,AE378)&gt;1,"Duplicate - two meals in one slot",IF(AND(G378&lt;&gt;"",H378="Not found"),"Missing - recipe ID not on the Recipes tab",IF(AND(B378&lt;TODAY(),OR(N378="Planned",N378="")),"Check - did you cook it?","OK")))))</f>
        <v>0</v>
      </c>
    </row>
    <row r="379" spans="1:32">
      <c r="A379" s="39">
        <f>IF(B379="","",MealPrefix&amp;TEXT(ROW()-4,"0000"))</f>
        <v>0</v>
      </c>
      <c r="C379" s="17">
        <f>IF(B379="","",TEXT(B379,"ddd"))</f>
        <v>0</v>
      </c>
      <c r="D379" s="18">
        <f>IF(B379="","",WEEKNUM(B379,IF(WeekStart="Sunday",1,2)))</f>
        <v>0</v>
      </c>
      <c r="E379" s="17">
        <f>IF(B379="","",TEXT(B379,"yyyy-mm"))</f>
        <v>0</v>
      </c>
      <c r="H379" s="17">
        <f>IF(G379&lt;&gt;"",IFERROR(INDEX(Recipes!$B$5:$B$204,MATCH(G379,Recipes!$A$5:$A$204,0)),"Not found"),I379)</f>
        <v>0</v>
      </c>
      <c r="K379" s="45">
        <f>IF(B379="","",IF(J379="",DefaultServings,J379))</f>
        <v>0</v>
      </c>
      <c r="L379" s="45">
        <f>IF(G379="",0,IFERROR(K379/INDEX(Recipes!$G$5:$G$204,MATCH(G379,Recipes!$A$5:$A$204,0)),0))</f>
        <v>0</v>
      </c>
      <c r="T379" s="25">
        <f>IF(G379="","",IFERROR(INDEX(Recipes!$AD$5:$AD$204,MATCH(G379,Recipes!$A$5:$A$204,0))*K379,""))</f>
        <v>0</v>
      </c>
      <c r="V379" s="30">
        <f>IF(G379="","",IFERROR(INDEX(Recipes!$AE$5:$AE$204,MATCH(G379,Recipes!$A$5:$A$204,0)),"Not found"))</f>
        <v>0</v>
      </c>
      <c r="W379" s="45">
        <f>IF(G379="","",IFERROR(INDEX(Recipes!$AF$5:$AF$204,MATCH(G379,Recipes!$A$5:$A$204,0)),"Not found"))</f>
        <v>0</v>
      </c>
      <c r="X379" s="45">
        <f>IF(G379="","",IFERROR(INDEX(Recipes!$AG$5:$AG$204,MATCH(G379,Recipes!$A$5:$A$204,0)),"Not found"))</f>
        <v>0</v>
      </c>
      <c r="Y379" s="45">
        <f>IF(G379="","",IFERROR(INDEX(Recipes!$AH$5:$AH$204,MATCH(G379,Recipes!$A$5:$A$204,0)),"Not found"))</f>
        <v>0</v>
      </c>
      <c r="Z379" s="45">
        <f>IF(G379="","",IFERROR(INDEX(Recipes!$AI$5:$AI$204,MATCH(G379,Recipes!$A$5:$A$204,0)),"Not found"))</f>
        <v>0</v>
      </c>
      <c r="AA379" s="30">
        <f>IF(OR(V379="",NOT(ISNUMBER(V379))),"",V379*K379)</f>
        <v>0</v>
      </c>
      <c r="AB379" s="18">
        <f>IF(G379="","",IFERROR(INDEX(Recipes!$J$5:$J$204,MATCH(G379,Recipes!$A$5:$A$204,0)),"Not found"))</f>
        <v>0</v>
      </c>
      <c r="AC379" s="17">
        <f>IF(G379="","",IFERROR(INDEX(Recipes!$C$5:$C$204,MATCH(G379,Recipes!$A$5:$A$204,0)),"Not found"))</f>
        <v>0</v>
      </c>
      <c r="AD379" s="46">
        <f>IF(B379="","",IF(G379&lt;&gt;"","Yes",IF(OR(I379="",ISNUMBER(SEARCH("takeaway",I379)),ISNUMBER(SEARCH("out",I379))),"No","Yes")))</f>
        <v>0</v>
      </c>
      <c r="AE379" s="17">
        <f>IF(B379="","",TEXT(B379,"yyyy-mm-dd")&amp;"|"&amp;F379)</f>
        <v>0</v>
      </c>
      <c r="AF379" s="31">
        <f>IF(B379="","",IF(AND(G379="",I379=""),"Add - nothing planned yet",IF(COUNTIFS($AE$5:$AE$504,AE379)&gt;1,"Duplicate - two meals in one slot",IF(AND(G379&lt;&gt;"",H379="Not found"),"Missing - recipe ID not on the Recipes tab",IF(AND(B379&lt;TODAY(),OR(N379="Planned",N379="")),"Check - did you cook it?","OK")))))</f>
        <v>0</v>
      </c>
    </row>
    <row r="380" spans="1:32">
      <c r="A380" s="39">
        <f>IF(B380="","",MealPrefix&amp;TEXT(ROW()-4,"0000"))</f>
        <v>0</v>
      </c>
      <c r="C380" s="17">
        <f>IF(B380="","",TEXT(B380,"ddd"))</f>
        <v>0</v>
      </c>
      <c r="D380" s="18">
        <f>IF(B380="","",WEEKNUM(B380,IF(WeekStart="Sunday",1,2)))</f>
        <v>0</v>
      </c>
      <c r="E380" s="17">
        <f>IF(B380="","",TEXT(B380,"yyyy-mm"))</f>
        <v>0</v>
      </c>
      <c r="H380" s="17">
        <f>IF(G380&lt;&gt;"",IFERROR(INDEX(Recipes!$B$5:$B$204,MATCH(G380,Recipes!$A$5:$A$204,0)),"Not found"),I380)</f>
        <v>0</v>
      </c>
      <c r="K380" s="45">
        <f>IF(B380="","",IF(J380="",DefaultServings,J380))</f>
        <v>0</v>
      </c>
      <c r="L380" s="45">
        <f>IF(G380="",0,IFERROR(K380/INDEX(Recipes!$G$5:$G$204,MATCH(G380,Recipes!$A$5:$A$204,0)),0))</f>
        <v>0</v>
      </c>
      <c r="T380" s="25">
        <f>IF(G380="","",IFERROR(INDEX(Recipes!$AD$5:$AD$204,MATCH(G380,Recipes!$A$5:$A$204,0))*K380,""))</f>
        <v>0</v>
      </c>
      <c r="V380" s="30">
        <f>IF(G380="","",IFERROR(INDEX(Recipes!$AE$5:$AE$204,MATCH(G380,Recipes!$A$5:$A$204,0)),"Not found"))</f>
        <v>0</v>
      </c>
      <c r="W380" s="45">
        <f>IF(G380="","",IFERROR(INDEX(Recipes!$AF$5:$AF$204,MATCH(G380,Recipes!$A$5:$A$204,0)),"Not found"))</f>
        <v>0</v>
      </c>
      <c r="X380" s="45">
        <f>IF(G380="","",IFERROR(INDEX(Recipes!$AG$5:$AG$204,MATCH(G380,Recipes!$A$5:$A$204,0)),"Not found"))</f>
        <v>0</v>
      </c>
      <c r="Y380" s="45">
        <f>IF(G380="","",IFERROR(INDEX(Recipes!$AH$5:$AH$204,MATCH(G380,Recipes!$A$5:$A$204,0)),"Not found"))</f>
        <v>0</v>
      </c>
      <c r="Z380" s="45">
        <f>IF(G380="","",IFERROR(INDEX(Recipes!$AI$5:$AI$204,MATCH(G380,Recipes!$A$5:$A$204,0)),"Not found"))</f>
        <v>0</v>
      </c>
      <c r="AA380" s="30">
        <f>IF(OR(V380="",NOT(ISNUMBER(V380))),"",V380*K380)</f>
        <v>0</v>
      </c>
      <c r="AB380" s="18">
        <f>IF(G380="","",IFERROR(INDEX(Recipes!$J$5:$J$204,MATCH(G380,Recipes!$A$5:$A$204,0)),"Not found"))</f>
        <v>0</v>
      </c>
      <c r="AC380" s="17">
        <f>IF(G380="","",IFERROR(INDEX(Recipes!$C$5:$C$204,MATCH(G380,Recipes!$A$5:$A$204,0)),"Not found"))</f>
        <v>0</v>
      </c>
      <c r="AD380" s="46">
        <f>IF(B380="","",IF(G380&lt;&gt;"","Yes",IF(OR(I380="",ISNUMBER(SEARCH("takeaway",I380)),ISNUMBER(SEARCH("out",I380))),"No","Yes")))</f>
        <v>0</v>
      </c>
      <c r="AE380" s="17">
        <f>IF(B380="","",TEXT(B380,"yyyy-mm-dd")&amp;"|"&amp;F380)</f>
        <v>0</v>
      </c>
      <c r="AF380" s="31">
        <f>IF(B380="","",IF(AND(G380="",I380=""),"Add - nothing planned yet",IF(COUNTIFS($AE$5:$AE$504,AE380)&gt;1,"Duplicate - two meals in one slot",IF(AND(G380&lt;&gt;"",H380="Not found"),"Missing - recipe ID not on the Recipes tab",IF(AND(B380&lt;TODAY(),OR(N380="Planned",N380="")),"Check - did you cook it?","OK")))))</f>
        <v>0</v>
      </c>
    </row>
    <row r="381" spans="1:32">
      <c r="A381" s="39">
        <f>IF(B381="","",MealPrefix&amp;TEXT(ROW()-4,"0000"))</f>
        <v>0</v>
      </c>
      <c r="C381" s="17">
        <f>IF(B381="","",TEXT(B381,"ddd"))</f>
        <v>0</v>
      </c>
      <c r="D381" s="18">
        <f>IF(B381="","",WEEKNUM(B381,IF(WeekStart="Sunday",1,2)))</f>
        <v>0</v>
      </c>
      <c r="E381" s="17">
        <f>IF(B381="","",TEXT(B381,"yyyy-mm"))</f>
        <v>0</v>
      </c>
      <c r="H381" s="17">
        <f>IF(G381&lt;&gt;"",IFERROR(INDEX(Recipes!$B$5:$B$204,MATCH(G381,Recipes!$A$5:$A$204,0)),"Not found"),I381)</f>
        <v>0</v>
      </c>
      <c r="K381" s="45">
        <f>IF(B381="","",IF(J381="",DefaultServings,J381))</f>
        <v>0</v>
      </c>
      <c r="L381" s="45">
        <f>IF(G381="",0,IFERROR(K381/INDEX(Recipes!$G$5:$G$204,MATCH(G381,Recipes!$A$5:$A$204,0)),0))</f>
        <v>0</v>
      </c>
      <c r="T381" s="25">
        <f>IF(G381="","",IFERROR(INDEX(Recipes!$AD$5:$AD$204,MATCH(G381,Recipes!$A$5:$A$204,0))*K381,""))</f>
        <v>0</v>
      </c>
      <c r="V381" s="30">
        <f>IF(G381="","",IFERROR(INDEX(Recipes!$AE$5:$AE$204,MATCH(G381,Recipes!$A$5:$A$204,0)),"Not found"))</f>
        <v>0</v>
      </c>
      <c r="W381" s="45">
        <f>IF(G381="","",IFERROR(INDEX(Recipes!$AF$5:$AF$204,MATCH(G381,Recipes!$A$5:$A$204,0)),"Not found"))</f>
        <v>0</v>
      </c>
      <c r="X381" s="45">
        <f>IF(G381="","",IFERROR(INDEX(Recipes!$AG$5:$AG$204,MATCH(G381,Recipes!$A$5:$A$204,0)),"Not found"))</f>
        <v>0</v>
      </c>
      <c r="Y381" s="45">
        <f>IF(G381="","",IFERROR(INDEX(Recipes!$AH$5:$AH$204,MATCH(G381,Recipes!$A$5:$A$204,0)),"Not found"))</f>
        <v>0</v>
      </c>
      <c r="Z381" s="45">
        <f>IF(G381="","",IFERROR(INDEX(Recipes!$AI$5:$AI$204,MATCH(G381,Recipes!$A$5:$A$204,0)),"Not found"))</f>
        <v>0</v>
      </c>
      <c r="AA381" s="30">
        <f>IF(OR(V381="",NOT(ISNUMBER(V381))),"",V381*K381)</f>
        <v>0</v>
      </c>
      <c r="AB381" s="18">
        <f>IF(G381="","",IFERROR(INDEX(Recipes!$J$5:$J$204,MATCH(G381,Recipes!$A$5:$A$204,0)),"Not found"))</f>
        <v>0</v>
      </c>
      <c r="AC381" s="17">
        <f>IF(G381="","",IFERROR(INDEX(Recipes!$C$5:$C$204,MATCH(G381,Recipes!$A$5:$A$204,0)),"Not found"))</f>
        <v>0</v>
      </c>
      <c r="AD381" s="46">
        <f>IF(B381="","",IF(G381&lt;&gt;"","Yes",IF(OR(I381="",ISNUMBER(SEARCH("takeaway",I381)),ISNUMBER(SEARCH("out",I381))),"No","Yes")))</f>
        <v>0</v>
      </c>
      <c r="AE381" s="17">
        <f>IF(B381="","",TEXT(B381,"yyyy-mm-dd")&amp;"|"&amp;F381)</f>
        <v>0</v>
      </c>
      <c r="AF381" s="31">
        <f>IF(B381="","",IF(AND(G381="",I381=""),"Add - nothing planned yet",IF(COUNTIFS($AE$5:$AE$504,AE381)&gt;1,"Duplicate - two meals in one slot",IF(AND(G381&lt;&gt;"",H381="Not found"),"Missing - recipe ID not on the Recipes tab",IF(AND(B381&lt;TODAY(),OR(N381="Planned",N381="")),"Check - did you cook it?","OK")))))</f>
        <v>0</v>
      </c>
    </row>
    <row r="382" spans="1:32">
      <c r="A382" s="39">
        <f>IF(B382="","",MealPrefix&amp;TEXT(ROW()-4,"0000"))</f>
        <v>0</v>
      </c>
      <c r="C382" s="17">
        <f>IF(B382="","",TEXT(B382,"ddd"))</f>
        <v>0</v>
      </c>
      <c r="D382" s="18">
        <f>IF(B382="","",WEEKNUM(B382,IF(WeekStart="Sunday",1,2)))</f>
        <v>0</v>
      </c>
      <c r="E382" s="17">
        <f>IF(B382="","",TEXT(B382,"yyyy-mm"))</f>
        <v>0</v>
      </c>
      <c r="H382" s="17">
        <f>IF(G382&lt;&gt;"",IFERROR(INDEX(Recipes!$B$5:$B$204,MATCH(G382,Recipes!$A$5:$A$204,0)),"Not found"),I382)</f>
        <v>0</v>
      </c>
      <c r="K382" s="45">
        <f>IF(B382="","",IF(J382="",DefaultServings,J382))</f>
        <v>0</v>
      </c>
      <c r="L382" s="45">
        <f>IF(G382="",0,IFERROR(K382/INDEX(Recipes!$G$5:$G$204,MATCH(G382,Recipes!$A$5:$A$204,0)),0))</f>
        <v>0</v>
      </c>
      <c r="T382" s="25">
        <f>IF(G382="","",IFERROR(INDEX(Recipes!$AD$5:$AD$204,MATCH(G382,Recipes!$A$5:$A$204,0))*K382,""))</f>
        <v>0</v>
      </c>
      <c r="V382" s="30">
        <f>IF(G382="","",IFERROR(INDEX(Recipes!$AE$5:$AE$204,MATCH(G382,Recipes!$A$5:$A$204,0)),"Not found"))</f>
        <v>0</v>
      </c>
      <c r="W382" s="45">
        <f>IF(G382="","",IFERROR(INDEX(Recipes!$AF$5:$AF$204,MATCH(G382,Recipes!$A$5:$A$204,0)),"Not found"))</f>
        <v>0</v>
      </c>
      <c r="X382" s="45">
        <f>IF(G382="","",IFERROR(INDEX(Recipes!$AG$5:$AG$204,MATCH(G382,Recipes!$A$5:$A$204,0)),"Not found"))</f>
        <v>0</v>
      </c>
      <c r="Y382" s="45">
        <f>IF(G382="","",IFERROR(INDEX(Recipes!$AH$5:$AH$204,MATCH(G382,Recipes!$A$5:$A$204,0)),"Not found"))</f>
        <v>0</v>
      </c>
      <c r="Z382" s="45">
        <f>IF(G382="","",IFERROR(INDEX(Recipes!$AI$5:$AI$204,MATCH(G382,Recipes!$A$5:$A$204,0)),"Not found"))</f>
        <v>0</v>
      </c>
      <c r="AA382" s="30">
        <f>IF(OR(V382="",NOT(ISNUMBER(V382))),"",V382*K382)</f>
        <v>0</v>
      </c>
      <c r="AB382" s="18">
        <f>IF(G382="","",IFERROR(INDEX(Recipes!$J$5:$J$204,MATCH(G382,Recipes!$A$5:$A$204,0)),"Not found"))</f>
        <v>0</v>
      </c>
      <c r="AC382" s="17">
        <f>IF(G382="","",IFERROR(INDEX(Recipes!$C$5:$C$204,MATCH(G382,Recipes!$A$5:$A$204,0)),"Not found"))</f>
        <v>0</v>
      </c>
      <c r="AD382" s="46">
        <f>IF(B382="","",IF(G382&lt;&gt;"","Yes",IF(OR(I382="",ISNUMBER(SEARCH("takeaway",I382)),ISNUMBER(SEARCH("out",I382))),"No","Yes")))</f>
        <v>0</v>
      </c>
      <c r="AE382" s="17">
        <f>IF(B382="","",TEXT(B382,"yyyy-mm-dd")&amp;"|"&amp;F382)</f>
        <v>0</v>
      </c>
      <c r="AF382" s="31">
        <f>IF(B382="","",IF(AND(G382="",I382=""),"Add - nothing planned yet",IF(COUNTIFS($AE$5:$AE$504,AE382)&gt;1,"Duplicate - two meals in one slot",IF(AND(G382&lt;&gt;"",H382="Not found"),"Missing - recipe ID not on the Recipes tab",IF(AND(B382&lt;TODAY(),OR(N382="Planned",N382="")),"Check - did you cook it?","OK")))))</f>
        <v>0</v>
      </c>
    </row>
    <row r="383" spans="1:32">
      <c r="A383" s="39">
        <f>IF(B383="","",MealPrefix&amp;TEXT(ROW()-4,"0000"))</f>
        <v>0</v>
      </c>
      <c r="C383" s="17">
        <f>IF(B383="","",TEXT(B383,"ddd"))</f>
        <v>0</v>
      </c>
      <c r="D383" s="18">
        <f>IF(B383="","",WEEKNUM(B383,IF(WeekStart="Sunday",1,2)))</f>
        <v>0</v>
      </c>
      <c r="E383" s="17">
        <f>IF(B383="","",TEXT(B383,"yyyy-mm"))</f>
        <v>0</v>
      </c>
      <c r="H383" s="17">
        <f>IF(G383&lt;&gt;"",IFERROR(INDEX(Recipes!$B$5:$B$204,MATCH(G383,Recipes!$A$5:$A$204,0)),"Not found"),I383)</f>
        <v>0</v>
      </c>
      <c r="K383" s="45">
        <f>IF(B383="","",IF(J383="",DefaultServings,J383))</f>
        <v>0</v>
      </c>
      <c r="L383" s="45">
        <f>IF(G383="",0,IFERROR(K383/INDEX(Recipes!$G$5:$G$204,MATCH(G383,Recipes!$A$5:$A$204,0)),0))</f>
        <v>0</v>
      </c>
      <c r="T383" s="25">
        <f>IF(G383="","",IFERROR(INDEX(Recipes!$AD$5:$AD$204,MATCH(G383,Recipes!$A$5:$A$204,0))*K383,""))</f>
        <v>0</v>
      </c>
      <c r="V383" s="30">
        <f>IF(G383="","",IFERROR(INDEX(Recipes!$AE$5:$AE$204,MATCH(G383,Recipes!$A$5:$A$204,0)),"Not found"))</f>
        <v>0</v>
      </c>
      <c r="W383" s="45">
        <f>IF(G383="","",IFERROR(INDEX(Recipes!$AF$5:$AF$204,MATCH(G383,Recipes!$A$5:$A$204,0)),"Not found"))</f>
        <v>0</v>
      </c>
      <c r="X383" s="45">
        <f>IF(G383="","",IFERROR(INDEX(Recipes!$AG$5:$AG$204,MATCH(G383,Recipes!$A$5:$A$204,0)),"Not found"))</f>
        <v>0</v>
      </c>
      <c r="Y383" s="45">
        <f>IF(G383="","",IFERROR(INDEX(Recipes!$AH$5:$AH$204,MATCH(G383,Recipes!$A$5:$A$204,0)),"Not found"))</f>
        <v>0</v>
      </c>
      <c r="Z383" s="45">
        <f>IF(G383="","",IFERROR(INDEX(Recipes!$AI$5:$AI$204,MATCH(G383,Recipes!$A$5:$A$204,0)),"Not found"))</f>
        <v>0</v>
      </c>
      <c r="AA383" s="30">
        <f>IF(OR(V383="",NOT(ISNUMBER(V383))),"",V383*K383)</f>
        <v>0</v>
      </c>
      <c r="AB383" s="18">
        <f>IF(G383="","",IFERROR(INDEX(Recipes!$J$5:$J$204,MATCH(G383,Recipes!$A$5:$A$204,0)),"Not found"))</f>
        <v>0</v>
      </c>
      <c r="AC383" s="17">
        <f>IF(G383="","",IFERROR(INDEX(Recipes!$C$5:$C$204,MATCH(G383,Recipes!$A$5:$A$204,0)),"Not found"))</f>
        <v>0</v>
      </c>
      <c r="AD383" s="46">
        <f>IF(B383="","",IF(G383&lt;&gt;"","Yes",IF(OR(I383="",ISNUMBER(SEARCH("takeaway",I383)),ISNUMBER(SEARCH("out",I383))),"No","Yes")))</f>
        <v>0</v>
      </c>
      <c r="AE383" s="17">
        <f>IF(B383="","",TEXT(B383,"yyyy-mm-dd")&amp;"|"&amp;F383)</f>
        <v>0</v>
      </c>
      <c r="AF383" s="31">
        <f>IF(B383="","",IF(AND(G383="",I383=""),"Add - nothing planned yet",IF(COUNTIFS($AE$5:$AE$504,AE383)&gt;1,"Duplicate - two meals in one slot",IF(AND(G383&lt;&gt;"",H383="Not found"),"Missing - recipe ID not on the Recipes tab",IF(AND(B383&lt;TODAY(),OR(N383="Planned",N383="")),"Check - did you cook it?","OK")))))</f>
        <v>0</v>
      </c>
    </row>
    <row r="384" spans="1:32">
      <c r="A384" s="39">
        <f>IF(B384="","",MealPrefix&amp;TEXT(ROW()-4,"0000"))</f>
        <v>0</v>
      </c>
      <c r="C384" s="17">
        <f>IF(B384="","",TEXT(B384,"ddd"))</f>
        <v>0</v>
      </c>
      <c r="D384" s="18">
        <f>IF(B384="","",WEEKNUM(B384,IF(WeekStart="Sunday",1,2)))</f>
        <v>0</v>
      </c>
      <c r="E384" s="17">
        <f>IF(B384="","",TEXT(B384,"yyyy-mm"))</f>
        <v>0</v>
      </c>
      <c r="H384" s="17">
        <f>IF(G384&lt;&gt;"",IFERROR(INDEX(Recipes!$B$5:$B$204,MATCH(G384,Recipes!$A$5:$A$204,0)),"Not found"),I384)</f>
        <v>0</v>
      </c>
      <c r="K384" s="45">
        <f>IF(B384="","",IF(J384="",DefaultServings,J384))</f>
        <v>0</v>
      </c>
      <c r="L384" s="45">
        <f>IF(G384="",0,IFERROR(K384/INDEX(Recipes!$G$5:$G$204,MATCH(G384,Recipes!$A$5:$A$204,0)),0))</f>
        <v>0</v>
      </c>
      <c r="T384" s="25">
        <f>IF(G384="","",IFERROR(INDEX(Recipes!$AD$5:$AD$204,MATCH(G384,Recipes!$A$5:$A$204,0))*K384,""))</f>
        <v>0</v>
      </c>
      <c r="V384" s="30">
        <f>IF(G384="","",IFERROR(INDEX(Recipes!$AE$5:$AE$204,MATCH(G384,Recipes!$A$5:$A$204,0)),"Not found"))</f>
        <v>0</v>
      </c>
      <c r="W384" s="45">
        <f>IF(G384="","",IFERROR(INDEX(Recipes!$AF$5:$AF$204,MATCH(G384,Recipes!$A$5:$A$204,0)),"Not found"))</f>
        <v>0</v>
      </c>
      <c r="X384" s="45">
        <f>IF(G384="","",IFERROR(INDEX(Recipes!$AG$5:$AG$204,MATCH(G384,Recipes!$A$5:$A$204,0)),"Not found"))</f>
        <v>0</v>
      </c>
      <c r="Y384" s="45">
        <f>IF(G384="","",IFERROR(INDEX(Recipes!$AH$5:$AH$204,MATCH(G384,Recipes!$A$5:$A$204,0)),"Not found"))</f>
        <v>0</v>
      </c>
      <c r="Z384" s="45">
        <f>IF(G384="","",IFERROR(INDEX(Recipes!$AI$5:$AI$204,MATCH(G384,Recipes!$A$5:$A$204,0)),"Not found"))</f>
        <v>0</v>
      </c>
      <c r="AA384" s="30">
        <f>IF(OR(V384="",NOT(ISNUMBER(V384))),"",V384*K384)</f>
        <v>0</v>
      </c>
      <c r="AB384" s="18">
        <f>IF(G384="","",IFERROR(INDEX(Recipes!$J$5:$J$204,MATCH(G384,Recipes!$A$5:$A$204,0)),"Not found"))</f>
        <v>0</v>
      </c>
      <c r="AC384" s="17">
        <f>IF(G384="","",IFERROR(INDEX(Recipes!$C$5:$C$204,MATCH(G384,Recipes!$A$5:$A$204,0)),"Not found"))</f>
        <v>0</v>
      </c>
      <c r="AD384" s="46">
        <f>IF(B384="","",IF(G384&lt;&gt;"","Yes",IF(OR(I384="",ISNUMBER(SEARCH("takeaway",I384)),ISNUMBER(SEARCH("out",I384))),"No","Yes")))</f>
        <v>0</v>
      </c>
      <c r="AE384" s="17">
        <f>IF(B384="","",TEXT(B384,"yyyy-mm-dd")&amp;"|"&amp;F384)</f>
        <v>0</v>
      </c>
      <c r="AF384" s="31">
        <f>IF(B384="","",IF(AND(G384="",I384=""),"Add - nothing planned yet",IF(COUNTIFS($AE$5:$AE$504,AE384)&gt;1,"Duplicate - two meals in one slot",IF(AND(G384&lt;&gt;"",H384="Not found"),"Missing - recipe ID not on the Recipes tab",IF(AND(B384&lt;TODAY(),OR(N384="Planned",N384="")),"Check - did you cook it?","OK")))))</f>
        <v>0</v>
      </c>
    </row>
    <row r="385" spans="1:32">
      <c r="A385" s="39">
        <f>IF(B385="","",MealPrefix&amp;TEXT(ROW()-4,"0000"))</f>
        <v>0</v>
      </c>
      <c r="C385" s="17">
        <f>IF(B385="","",TEXT(B385,"ddd"))</f>
        <v>0</v>
      </c>
      <c r="D385" s="18">
        <f>IF(B385="","",WEEKNUM(B385,IF(WeekStart="Sunday",1,2)))</f>
        <v>0</v>
      </c>
      <c r="E385" s="17">
        <f>IF(B385="","",TEXT(B385,"yyyy-mm"))</f>
        <v>0</v>
      </c>
      <c r="H385" s="17">
        <f>IF(G385&lt;&gt;"",IFERROR(INDEX(Recipes!$B$5:$B$204,MATCH(G385,Recipes!$A$5:$A$204,0)),"Not found"),I385)</f>
        <v>0</v>
      </c>
      <c r="K385" s="45">
        <f>IF(B385="","",IF(J385="",DefaultServings,J385))</f>
        <v>0</v>
      </c>
      <c r="L385" s="45">
        <f>IF(G385="",0,IFERROR(K385/INDEX(Recipes!$G$5:$G$204,MATCH(G385,Recipes!$A$5:$A$204,0)),0))</f>
        <v>0</v>
      </c>
      <c r="T385" s="25">
        <f>IF(G385="","",IFERROR(INDEX(Recipes!$AD$5:$AD$204,MATCH(G385,Recipes!$A$5:$A$204,0))*K385,""))</f>
        <v>0</v>
      </c>
      <c r="V385" s="30">
        <f>IF(G385="","",IFERROR(INDEX(Recipes!$AE$5:$AE$204,MATCH(G385,Recipes!$A$5:$A$204,0)),"Not found"))</f>
        <v>0</v>
      </c>
      <c r="W385" s="45">
        <f>IF(G385="","",IFERROR(INDEX(Recipes!$AF$5:$AF$204,MATCH(G385,Recipes!$A$5:$A$204,0)),"Not found"))</f>
        <v>0</v>
      </c>
      <c r="X385" s="45">
        <f>IF(G385="","",IFERROR(INDEX(Recipes!$AG$5:$AG$204,MATCH(G385,Recipes!$A$5:$A$204,0)),"Not found"))</f>
        <v>0</v>
      </c>
      <c r="Y385" s="45">
        <f>IF(G385="","",IFERROR(INDEX(Recipes!$AH$5:$AH$204,MATCH(G385,Recipes!$A$5:$A$204,0)),"Not found"))</f>
        <v>0</v>
      </c>
      <c r="Z385" s="45">
        <f>IF(G385="","",IFERROR(INDEX(Recipes!$AI$5:$AI$204,MATCH(G385,Recipes!$A$5:$A$204,0)),"Not found"))</f>
        <v>0</v>
      </c>
      <c r="AA385" s="30">
        <f>IF(OR(V385="",NOT(ISNUMBER(V385))),"",V385*K385)</f>
        <v>0</v>
      </c>
      <c r="AB385" s="18">
        <f>IF(G385="","",IFERROR(INDEX(Recipes!$J$5:$J$204,MATCH(G385,Recipes!$A$5:$A$204,0)),"Not found"))</f>
        <v>0</v>
      </c>
      <c r="AC385" s="17">
        <f>IF(G385="","",IFERROR(INDEX(Recipes!$C$5:$C$204,MATCH(G385,Recipes!$A$5:$A$204,0)),"Not found"))</f>
        <v>0</v>
      </c>
      <c r="AD385" s="46">
        <f>IF(B385="","",IF(G385&lt;&gt;"","Yes",IF(OR(I385="",ISNUMBER(SEARCH("takeaway",I385)),ISNUMBER(SEARCH("out",I385))),"No","Yes")))</f>
        <v>0</v>
      </c>
      <c r="AE385" s="17">
        <f>IF(B385="","",TEXT(B385,"yyyy-mm-dd")&amp;"|"&amp;F385)</f>
        <v>0</v>
      </c>
      <c r="AF385" s="31">
        <f>IF(B385="","",IF(AND(G385="",I385=""),"Add - nothing planned yet",IF(COUNTIFS($AE$5:$AE$504,AE385)&gt;1,"Duplicate - two meals in one slot",IF(AND(G385&lt;&gt;"",H385="Not found"),"Missing - recipe ID not on the Recipes tab",IF(AND(B385&lt;TODAY(),OR(N385="Planned",N385="")),"Check - did you cook it?","OK")))))</f>
        <v>0</v>
      </c>
    </row>
    <row r="386" spans="1:32">
      <c r="A386" s="39">
        <f>IF(B386="","",MealPrefix&amp;TEXT(ROW()-4,"0000"))</f>
        <v>0</v>
      </c>
      <c r="C386" s="17">
        <f>IF(B386="","",TEXT(B386,"ddd"))</f>
        <v>0</v>
      </c>
      <c r="D386" s="18">
        <f>IF(B386="","",WEEKNUM(B386,IF(WeekStart="Sunday",1,2)))</f>
        <v>0</v>
      </c>
      <c r="E386" s="17">
        <f>IF(B386="","",TEXT(B386,"yyyy-mm"))</f>
        <v>0</v>
      </c>
      <c r="H386" s="17">
        <f>IF(G386&lt;&gt;"",IFERROR(INDEX(Recipes!$B$5:$B$204,MATCH(G386,Recipes!$A$5:$A$204,0)),"Not found"),I386)</f>
        <v>0</v>
      </c>
      <c r="K386" s="45">
        <f>IF(B386="","",IF(J386="",DefaultServings,J386))</f>
        <v>0</v>
      </c>
      <c r="L386" s="45">
        <f>IF(G386="",0,IFERROR(K386/INDEX(Recipes!$G$5:$G$204,MATCH(G386,Recipes!$A$5:$A$204,0)),0))</f>
        <v>0</v>
      </c>
      <c r="T386" s="25">
        <f>IF(G386="","",IFERROR(INDEX(Recipes!$AD$5:$AD$204,MATCH(G386,Recipes!$A$5:$A$204,0))*K386,""))</f>
        <v>0</v>
      </c>
      <c r="V386" s="30">
        <f>IF(G386="","",IFERROR(INDEX(Recipes!$AE$5:$AE$204,MATCH(G386,Recipes!$A$5:$A$204,0)),"Not found"))</f>
        <v>0</v>
      </c>
      <c r="W386" s="45">
        <f>IF(G386="","",IFERROR(INDEX(Recipes!$AF$5:$AF$204,MATCH(G386,Recipes!$A$5:$A$204,0)),"Not found"))</f>
        <v>0</v>
      </c>
      <c r="X386" s="45">
        <f>IF(G386="","",IFERROR(INDEX(Recipes!$AG$5:$AG$204,MATCH(G386,Recipes!$A$5:$A$204,0)),"Not found"))</f>
        <v>0</v>
      </c>
      <c r="Y386" s="45">
        <f>IF(G386="","",IFERROR(INDEX(Recipes!$AH$5:$AH$204,MATCH(G386,Recipes!$A$5:$A$204,0)),"Not found"))</f>
        <v>0</v>
      </c>
      <c r="Z386" s="45">
        <f>IF(G386="","",IFERROR(INDEX(Recipes!$AI$5:$AI$204,MATCH(G386,Recipes!$A$5:$A$204,0)),"Not found"))</f>
        <v>0</v>
      </c>
      <c r="AA386" s="30">
        <f>IF(OR(V386="",NOT(ISNUMBER(V386))),"",V386*K386)</f>
        <v>0</v>
      </c>
      <c r="AB386" s="18">
        <f>IF(G386="","",IFERROR(INDEX(Recipes!$J$5:$J$204,MATCH(G386,Recipes!$A$5:$A$204,0)),"Not found"))</f>
        <v>0</v>
      </c>
      <c r="AC386" s="17">
        <f>IF(G386="","",IFERROR(INDEX(Recipes!$C$5:$C$204,MATCH(G386,Recipes!$A$5:$A$204,0)),"Not found"))</f>
        <v>0</v>
      </c>
      <c r="AD386" s="46">
        <f>IF(B386="","",IF(G386&lt;&gt;"","Yes",IF(OR(I386="",ISNUMBER(SEARCH("takeaway",I386)),ISNUMBER(SEARCH("out",I386))),"No","Yes")))</f>
        <v>0</v>
      </c>
      <c r="AE386" s="17">
        <f>IF(B386="","",TEXT(B386,"yyyy-mm-dd")&amp;"|"&amp;F386)</f>
        <v>0</v>
      </c>
      <c r="AF386" s="31">
        <f>IF(B386="","",IF(AND(G386="",I386=""),"Add - nothing planned yet",IF(COUNTIFS($AE$5:$AE$504,AE386)&gt;1,"Duplicate - two meals in one slot",IF(AND(G386&lt;&gt;"",H386="Not found"),"Missing - recipe ID not on the Recipes tab",IF(AND(B386&lt;TODAY(),OR(N386="Planned",N386="")),"Check - did you cook it?","OK")))))</f>
        <v>0</v>
      </c>
    </row>
    <row r="387" spans="1:32">
      <c r="A387" s="39">
        <f>IF(B387="","",MealPrefix&amp;TEXT(ROW()-4,"0000"))</f>
        <v>0</v>
      </c>
      <c r="C387" s="17">
        <f>IF(B387="","",TEXT(B387,"ddd"))</f>
        <v>0</v>
      </c>
      <c r="D387" s="18">
        <f>IF(B387="","",WEEKNUM(B387,IF(WeekStart="Sunday",1,2)))</f>
        <v>0</v>
      </c>
      <c r="E387" s="17">
        <f>IF(B387="","",TEXT(B387,"yyyy-mm"))</f>
        <v>0</v>
      </c>
      <c r="H387" s="17">
        <f>IF(G387&lt;&gt;"",IFERROR(INDEX(Recipes!$B$5:$B$204,MATCH(G387,Recipes!$A$5:$A$204,0)),"Not found"),I387)</f>
        <v>0</v>
      </c>
      <c r="K387" s="45">
        <f>IF(B387="","",IF(J387="",DefaultServings,J387))</f>
        <v>0</v>
      </c>
      <c r="L387" s="45">
        <f>IF(G387="",0,IFERROR(K387/INDEX(Recipes!$G$5:$G$204,MATCH(G387,Recipes!$A$5:$A$204,0)),0))</f>
        <v>0</v>
      </c>
      <c r="T387" s="25">
        <f>IF(G387="","",IFERROR(INDEX(Recipes!$AD$5:$AD$204,MATCH(G387,Recipes!$A$5:$A$204,0))*K387,""))</f>
        <v>0</v>
      </c>
      <c r="V387" s="30">
        <f>IF(G387="","",IFERROR(INDEX(Recipes!$AE$5:$AE$204,MATCH(G387,Recipes!$A$5:$A$204,0)),"Not found"))</f>
        <v>0</v>
      </c>
      <c r="W387" s="45">
        <f>IF(G387="","",IFERROR(INDEX(Recipes!$AF$5:$AF$204,MATCH(G387,Recipes!$A$5:$A$204,0)),"Not found"))</f>
        <v>0</v>
      </c>
      <c r="X387" s="45">
        <f>IF(G387="","",IFERROR(INDEX(Recipes!$AG$5:$AG$204,MATCH(G387,Recipes!$A$5:$A$204,0)),"Not found"))</f>
        <v>0</v>
      </c>
      <c r="Y387" s="45">
        <f>IF(G387="","",IFERROR(INDEX(Recipes!$AH$5:$AH$204,MATCH(G387,Recipes!$A$5:$A$204,0)),"Not found"))</f>
        <v>0</v>
      </c>
      <c r="Z387" s="45">
        <f>IF(G387="","",IFERROR(INDEX(Recipes!$AI$5:$AI$204,MATCH(G387,Recipes!$A$5:$A$204,0)),"Not found"))</f>
        <v>0</v>
      </c>
      <c r="AA387" s="30">
        <f>IF(OR(V387="",NOT(ISNUMBER(V387))),"",V387*K387)</f>
        <v>0</v>
      </c>
      <c r="AB387" s="18">
        <f>IF(G387="","",IFERROR(INDEX(Recipes!$J$5:$J$204,MATCH(G387,Recipes!$A$5:$A$204,0)),"Not found"))</f>
        <v>0</v>
      </c>
      <c r="AC387" s="17">
        <f>IF(G387="","",IFERROR(INDEX(Recipes!$C$5:$C$204,MATCH(G387,Recipes!$A$5:$A$204,0)),"Not found"))</f>
        <v>0</v>
      </c>
      <c r="AD387" s="46">
        <f>IF(B387="","",IF(G387&lt;&gt;"","Yes",IF(OR(I387="",ISNUMBER(SEARCH("takeaway",I387)),ISNUMBER(SEARCH("out",I387))),"No","Yes")))</f>
        <v>0</v>
      </c>
      <c r="AE387" s="17">
        <f>IF(B387="","",TEXT(B387,"yyyy-mm-dd")&amp;"|"&amp;F387)</f>
        <v>0</v>
      </c>
      <c r="AF387" s="31">
        <f>IF(B387="","",IF(AND(G387="",I387=""),"Add - nothing planned yet",IF(COUNTIFS($AE$5:$AE$504,AE387)&gt;1,"Duplicate - two meals in one slot",IF(AND(G387&lt;&gt;"",H387="Not found"),"Missing - recipe ID not on the Recipes tab",IF(AND(B387&lt;TODAY(),OR(N387="Planned",N387="")),"Check - did you cook it?","OK")))))</f>
        <v>0</v>
      </c>
    </row>
    <row r="388" spans="1:32">
      <c r="A388" s="39">
        <f>IF(B388="","",MealPrefix&amp;TEXT(ROW()-4,"0000"))</f>
        <v>0</v>
      </c>
      <c r="C388" s="17">
        <f>IF(B388="","",TEXT(B388,"ddd"))</f>
        <v>0</v>
      </c>
      <c r="D388" s="18">
        <f>IF(B388="","",WEEKNUM(B388,IF(WeekStart="Sunday",1,2)))</f>
        <v>0</v>
      </c>
      <c r="E388" s="17">
        <f>IF(B388="","",TEXT(B388,"yyyy-mm"))</f>
        <v>0</v>
      </c>
      <c r="H388" s="17">
        <f>IF(G388&lt;&gt;"",IFERROR(INDEX(Recipes!$B$5:$B$204,MATCH(G388,Recipes!$A$5:$A$204,0)),"Not found"),I388)</f>
        <v>0</v>
      </c>
      <c r="K388" s="45">
        <f>IF(B388="","",IF(J388="",DefaultServings,J388))</f>
        <v>0</v>
      </c>
      <c r="L388" s="45">
        <f>IF(G388="",0,IFERROR(K388/INDEX(Recipes!$G$5:$G$204,MATCH(G388,Recipes!$A$5:$A$204,0)),0))</f>
        <v>0</v>
      </c>
      <c r="T388" s="25">
        <f>IF(G388="","",IFERROR(INDEX(Recipes!$AD$5:$AD$204,MATCH(G388,Recipes!$A$5:$A$204,0))*K388,""))</f>
        <v>0</v>
      </c>
      <c r="V388" s="30">
        <f>IF(G388="","",IFERROR(INDEX(Recipes!$AE$5:$AE$204,MATCH(G388,Recipes!$A$5:$A$204,0)),"Not found"))</f>
        <v>0</v>
      </c>
      <c r="W388" s="45">
        <f>IF(G388="","",IFERROR(INDEX(Recipes!$AF$5:$AF$204,MATCH(G388,Recipes!$A$5:$A$204,0)),"Not found"))</f>
        <v>0</v>
      </c>
      <c r="X388" s="45">
        <f>IF(G388="","",IFERROR(INDEX(Recipes!$AG$5:$AG$204,MATCH(G388,Recipes!$A$5:$A$204,0)),"Not found"))</f>
        <v>0</v>
      </c>
      <c r="Y388" s="45">
        <f>IF(G388="","",IFERROR(INDEX(Recipes!$AH$5:$AH$204,MATCH(G388,Recipes!$A$5:$A$204,0)),"Not found"))</f>
        <v>0</v>
      </c>
      <c r="Z388" s="45">
        <f>IF(G388="","",IFERROR(INDEX(Recipes!$AI$5:$AI$204,MATCH(G388,Recipes!$A$5:$A$204,0)),"Not found"))</f>
        <v>0</v>
      </c>
      <c r="AA388" s="30">
        <f>IF(OR(V388="",NOT(ISNUMBER(V388))),"",V388*K388)</f>
        <v>0</v>
      </c>
      <c r="AB388" s="18">
        <f>IF(G388="","",IFERROR(INDEX(Recipes!$J$5:$J$204,MATCH(G388,Recipes!$A$5:$A$204,0)),"Not found"))</f>
        <v>0</v>
      </c>
      <c r="AC388" s="17">
        <f>IF(G388="","",IFERROR(INDEX(Recipes!$C$5:$C$204,MATCH(G388,Recipes!$A$5:$A$204,0)),"Not found"))</f>
        <v>0</v>
      </c>
      <c r="AD388" s="46">
        <f>IF(B388="","",IF(G388&lt;&gt;"","Yes",IF(OR(I388="",ISNUMBER(SEARCH("takeaway",I388)),ISNUMBER(SEARCH("out",I388))),"No","Yes")))</f>
        <v>0</v>
      </c>
      <c r="AE388" s="17">
        <f>IF(B388="","",TEXT(B388,"yyyy-mm-dd")&amp;"|"&amp;F388)</f>
        <v>0</v>
      </c>
      <c r="AF388" s="31">
        <f>IF(B388="","",IF(AND(G388="",I388=""),"Add - nothing planned yet",IF(COUNTIFS($AE$5:$AE$504,AE388)&gt;1,"Duplicate - two meals in one slot",IF(AND(G388&lt;&gt;"",H388="Not found"),"Missing - recipe ID not on the Recipes tab",IF(AND(B388&lt;TODAY(),OR(N388="Planned",N388="")),"Check - did you cook it?","OK")))))</f>
        <v>0</v>
      </c>
    </row>
    <row r="389" spans="1:32">
      <c r="A389" s="39">
        <f>IF(B389="","",MealPrefix&amp;TEXT(ROW()-4,"0000"))</f>
        <v>0</v>
      </c>
      <c r="C389" s="17">
        <f>IF(B389="","",TEXT(B389,"ddd"))</f>
        <v>0</v>
      </c>
      <c r="D389" s="18">
        <f>IF(B389="","",WEEKNUM(B389,IF(WeekStart="Sunday",1,2)))</f>
        <v>0</v>
      </c>
      <c r="E389" s="17">
        <f>IF(B389="","",TEXT(B389,"yyyy-mm"))</f>
        <v>0</v>
      </c>
      <c r="H389" s="17">
        <f>IF(G389&lt;&gt;"",IFERROR(INDEX(Recipes!$B$5:$B$204,MATCH(G389,Recipes!$A$5:$A$204,0)),"Not found"),I389)</f>
        <v>0</v>
      </c>
      <c r="K389" s="45">
        <f>IF(B389="","",IF(J389="",DefaultServings,J389))</f>
        <v>0</v>
      </c>
      <c r="L389" s="45">
        <f>IF(G389="",0,IFERROR(K389/INDEX(Recipes!$G$5:$G$204,MATCH(G389,Recipes!$A$5:$A$204,0)),0))</f>
        <v>0</v>
      </c>
      <c r="T389" s="25">
        <f>IF(G389="","",IFERROR(INDEX(Recipes!$AD$5:$AD$204,MATCH(G389,Recipes!$A$5:$A$204,0))*K389,""))</f>
        <v>0</v>
      </c>
      <c r="V389" s="30">
        <f>IF(G389="","",IFERROR(INDEX(Recipes!$AE$5:$AE$204,MATCH(G389,Recipes!$A$5:$A$204,0)),"Not found"))</f>
        <v>0</v>
      </c>
      <c r="W389" s="45">
        <f>IF(G389="","",IFERROR(INDEX(Recipes!$AF$5:$AF$204,MATCH(G389,Recipes!$A$5:$A$204,0)),"Not found"))</f>
        <v>0</v>
      </c>
      <c r="X389" s="45">
        <f>IF(G389="","",IFERROR(INDEX(Recipes!$AG$5:$AG$204,MATCH(G389,Recipes!$A$5:$A$204,0)),"Not found"))</f>
        <v>0</v>
      </c>
      <c r="Y389" s="45">
        <f>IF(G389="","",IFERROR(INDEX(Recipes!$AH$5:$AH$204,MATCH(G389,Recipes!$A$5:$A$204,0)),"Not found"))</f>
        <v>0</v>
      </c>
      <c r="Z389" s="45">
        <f>IF(G389="","",IFERROR(INDEX(Recipes!$AI$5:$AI$204,MATCH(G389,Recipes!$A$5:$A$204,0)),"Not found"))</f>
        <v>0</v>
      </c>
      <c r="AA389" s="30">
        <f>IF(OR(V389="",NOT(ISNUMBER(V389))),"",V389*K389)</f>
        <v>0</v>
      </c>
      <c r="AB389" s="18">
        <f>IF(G389="","",IFERROR(INDEX(Recipes!$J$5:$J$204,MATCH(G389,Recipes!$A$5:$A$204,0)),"Not found"))</f>
        <v>0</v>
      </c>
      <c r="AC389" s="17">
        <f>IF(G389="","",IFERROR(INDEX(Recipes!$C$5:$C$204,MATCH(G389,Recipes!$A$5:$A$204,0)),"Not found"))</f>
        <v>0</v>
      </c>
      <c r="AD389" s="46">
        <f>IF(B389="","",IF(G389&lt;&gt;"","Yes",IF(OR(I389="",ISNUMBER(SEARCH("takeaway",I389)),ISNUMBER(SEARCH("out",I389))),"No","Yes")))</f>
        <v>0</v>
      </c>
      <c r="AE389" s="17">
        <f>IF(B389="","",TEXT(B389,"yyyy-mm-dd")&amp;"|"&amp;F389)</f>
        <v>0</v>
      </c>
      <c r="AF389" s="31">
        <f>IF(B389="","",IF(AND(G389="",I389=""),"Add - nothing planned yet",IF(COUNTIFS($AE$5:$AE$504,AE389)&gt;1,"Duplicate - two meals in one slot",IF(AND(G389&lt;&gt;"",H389="Not found"),"Missing - recipe ID not on the Recipes tab",IF(AND(B389&lt;TODAY(),OR(N389="Planned",N389="")),"Check - did you cook it?","OK")))))</f>
        <v>0</v>
      </c>
    </row>
    <row r="390" spans="1:32">
      <c r="A390" s="39">
        <f>IF(B390="","",MealPrefix&amp;TEXT(ROW()-4,"0000"))</f>
        <v>0</v>
      </c>
      <c r="C390" s="17">
        <f>IF(B390="","",TEXT(B390,"ddd"))</f>
        <v>0</v>
      </c>
      <c r="D390" s="18">
        <f>IF(B390="","",WEEKNUM(B390,IF(WeekStart="Sunday",1,2)))</f>
        <v>0</v>
      </c>
      <c r="E390" s="17">
        <f>IF(B390="","",TEXT(B390,"yyyy-mm"))</f>
        <v>0</v>
      </c>
      <c r="H390" s="17">
        <f>IF(G390&lt;&gt;"",IFERROR(INDEX(Recipes!$B$5:$B$204,MATCH(G390,Recipes!$A$5:$A$204,0)),"Not found"),I390)</f>
        <v>0</v>
      </c>
      <c r="K390" s="45">
        <f>IF(B390="","",IF(J390="",DefaultServings,J390))</f>
        <v>0</v>
      </c>
      <c r="L390" s="45">
        <f>IF(G390="",0,IFERROR(K390/INDEX(Recipes!$G$5:$G$204,MATCH(G390,Recipes!$A$5:$A$204,0)),0))</f>
        <v>0</v>
      </c>
      <c r="T390" s="25">
        <f>IF(G390="","",IFERROR(INDEX(Recipes!$AD$5:$AD$204,MATCH(G390,Recipes!$A$5:$A$204,0))*K390,""))</f>
        <v>0</v>
      </c>
      <c r="V390" s="30">
        <f>IF(G390="","",IFERROR(INDEX(Recipes!$AE$5:$AE$204,MATCH(G390,Recipes!$A$5:$A$204,0)),"Not found"))</f>
        <v>0</v>
      </c>
      <c r="W390" s="45">
        <f>IF(G390="","",IFERROR(INDEX(Recipes!$AF$5:$AF$204,MATCH(G390,Recipes!$A$5:$A$204,0)),"Not found"))</f>
        <v>0</v>
      </c>
      <c r="X390" s="45">
        <f>IF(G390="","",IFERROR(INDEX(Recipes!$AG$5:$AG$204,MATCH(G390,Recipes!$A$5:$A$204,0)),"Not found"))</f>
        <v>0</v>
      </c>
      <c r="Y390" s="45">
        <f>IF(G390="","",IFERROR(INDEX(Recipes!$AH$5:$AH$204,MATCH(G390,Recipes!$A$5:$A$204,0)),"Not found"))</f>
        <v>0</v>
      </c>
      <c r="Z390" s="45">
        <f>IF(G390="","",IFERROR(INDEX(Recipes!$AI$5:$AI$204,MATCH(G390,Recipes!$A$5:$A$204,0)),"Not found"))</f>
        <v>0</v>
      </c>
      <c r="AA390" s="30">
        <f>IF(OR(V390="",NOT(ISNUMBER(V390))),"",V390*K390)</f>
        <v>0</v>
      </c>
      <c r="AB390" s="18">
        <f>IF(G390="","",IFERROR(INDEX(Recipes!$J$5:$J$204,MATCH(G390,Recipes!$A$5:$A$204,0)),"Not found"))</f>
        <v>0</v>
      </c>
      <c r="AC390" s="17">
        <f>IF(G390="","",IFERROR(INDEX(Recipes!$C$5:$C$204,MATCH(G390,Recipes!$A$5:$A$204,0)),"Not found"))</f>
        <v>0</v>
      </c>
      <c r="AD390" s="46">
        <f>IF(B390="","",IF(G390&lt;&gt;"","Yes",IF(OR(I390="",ISNUMBER(SEARCH("takeaway",I390)),ISNUMBER(SEARCH("out",I390))),"No","Yes")))</f>
        <v>0</v>
      </c>
      <c r="AE390" s="17">
        <f>IF(B390="","",TEXT(B390,"yyyy-mm-dd")&amp;"|"&amp;F390)</f>
        <v>0</v>
      </c>
      <c r="AF390" s="31">
        <f>IF(B390="","",IF(AND(G390="",I390=""),"Add - nothing planned yet",IF(COUNTIFS($AE$5:$AE$504,AE390)&gt;1,"Duplicate - two meals in one slot",IF(AND(G390&lt;&gt;"",H390="Not found"),"Missing - recipe ID not on the Recipes tab",IF(AND(B390&lt;TODAY(),OR(N390="Planned",N390="")),"Check - did you cook it?","OK")))))</f>
        <v>0</v>
      </c>
    </row>
    <row r="391" spans="1:32">
      <c r="A391" s="39">
        <f>IF(B391="","",MealPrefix&amp;TEXT(ROW()-4,"0000"))</f>
        <v>0</v>
      </c>
      <c r="C391" s="17">
        <f>IF(B391="","",TEXT(B391,"ddd"))</f>
        <v>0</v>
      </c>
      <c r="D391" s="18">
        <f>IF(B391="","",WEEKNUM(B391,IF(WeekStart="Sunday",1,2)))</f>
        <v>0</v>
      </c>
      <c r="E391" s="17">
        <f>IF(B391="","",TEXT(B391,"yyyy-mm"))</f>
        <v>0</v>
      </c>
      <c r="H391" s="17">
        <f>IF(G391&lt;&gt;"",IFERROR(INDEX(Recipes!$B$5:$B$204,MATCH(G391,Recipes!$A$5:$A$204,0)),"Not found"),I391)</f>
        <v>0</v>
      </c>
      <c r="K391" s="45">
        <f>IF(B391="","",IF(J391="",DefaultServings,J391))</f>
        <v>0</v>
      </c>
      <c r="L391" s="45">
        <f>IF(G391="",0,IFERROR(K391/INDEX(Recipes!$G$5:$G$204,MATCH(G391,Recipes!$A$5:$A$204,0)),0))</f>
        <v>0</v>
      </c>
      <c r="T391" s="25">
        <f>IF(G391="","",IFERROR(INDEX(Recipes!$AD$5:$AD$204,MATCH(G391,Recipes!$A$5:$A$204,0))*K391,""))</f>
        <v>0</v>
      </c>
      <c r="V391" s="30">
        <f>IF(G391="","",IFERROR(INDEX(Recipes!$AE$5:$AE$204,MATCH(G391,Recipes!$A$5:$A$204,0)),"Not found"))</f>
        <v>0</v>
      </c>
      <c r="W391" s="45">
        <f>IF(G391="","",IFERROR(INDEX(Recipes!$AF$5:$AF$204,MATCH(G391,Recipes!$A$5:$A$204,0)),"Not found"))</f>
        <v>0</v>
      </c>
      <c r="X391" s="45">
        <f>IF(G391="","",IFERROR(INDEX(Recipes!$AG$5:$AG$204,MATCH(G391,Recipes!$A$5:$A$204,0)),"Not found"))</f>
        <v>0</v>
      </c>
      <c r="Y391" s="45">
        <f>IF(G391="","",IFERROR(INDEX(Recipes!$AH$5:$AH$204,MATCH(G391,Recipes!$A$5:$A$204,0)),"Not found"))</f>
        <v>0</v>
      </c>
      <c r="Z391" s="45">
        <f>IF(G391="","",IFERROR(INDEX(Recipes!$AI$5:$AI$204,MATCH(G391,Recipes!$A$5:$A$204,0)),"Not found"))</f>
        <v>0</v>
      </c>
      <c r="AA391" s="30">
        <f>IF(OR(V391="",NOT(ISNUMBER(V391))),"",V391*K391)</f>
        <v>0</v>
      </c>
      <c r="AB391" s="18">
        <f>IF(G391="","",IFERROR(INDEX(Recipes!$J$5:$J$204,MATCH(G391,Recipes!$A$5:$A$204,0)),"Not found"))</f>
        <v>0</v>
      </c>
      <c r="AC391" s="17">
        <f>IF(G391="","",IFERROR(INDEX(Recipes!$C$5:$C$204,MATCH(G391,Recipes!$A$5:$A$204,0)),"Not found"))</f>
        <v>0</v>
      </c>
      <c r="AD391" s="46">
        <f>IF(B391="","",IF(G391&lt;&gt;"","Yes",IF(OR(I391="",ISNUMBER(SEARCH("takeaway",I391)),ISNUMBER(SEARCH("out",I391))),"No","Yes")))</f>
        <v>0</v>
      </c>
      <c r="AE391" s="17">
        <f>IF(B391="","",TEXT(B391,"yyyy-mm-dd")&amp;"|"&amp;F391)</f>
        <v>0</v>
      </c>
      <c r="AF391" s="31">
        <f>IF(B391="","",IF(AND(G391="",I391=""),"Add - nothing planned yet",IF(COUNTIFS($AE$5:$AE$504,AE391)&gt;1,"Duplicate - two meals in one slot",IF(AND(G391&lt;&gt;"",H391="Not found"),"Missing - recipe ID not on the Recipes tab",IF(AND(B391&lt;TODAY(),OR(N391="Planned",N391="")),"Check - did you cook it?","OK")))))</f>
        <v>0</v>
      </c>
    </row>
    <row r="392" spans="1:32">
      <c r="A392" s="39">
        <f>IF(B392="","",MealPrefix&amp;TEXT(ROW()-4,"0000"))</f>
        <v>0</v>
      </c>
      <c r="C392" s="17">
        <f>IF(B392="","",TEXT(B392,"ddd"))</f>
        <v>0</v>
      </c>
      <c r="D392" s="18">
        <f>IF(B392="","",WEEKNUM(B392,IF(WeekStart="Sunday",1,2)))</f>
        <v>0</v>
      </c>
      <c r="E392" s="17">
        <f>IF(B392="","",TEXT(B392,"yyyy-mm"))</f>
        <v>0</v>
      </c>
      <c r="H392" s="17">
        <f>IF(G392&lt;&gt;"",IFERROR(INDEX(Recipes!$B$5:$B$204,MATCH(G392,Recipes!$A$5:$A$204,0)),"Not found"),I392)</f>
        <v>0</v>
      </c>
      <c r="K392" s="45">
        <f>IF(B392="","",IF(J392="",DefaultServings,J392))</f>
        <v>0</v>
      </c>
      <c r="L392" s="45">
        <f>IF(G392="",0,IFERROR(K392/INDEX(Recipes!$G$5:$G$204,MATCH(G392,Recipes!$A$5:$A$204,0)),0))</f>
        <v>0</v>
      </c>
      <c r="T392" s="25">
        <f>IF(G392="","",IFERROR(INDEX(Recipes!$AD$5:$AD$204,MATCH(G392,Recipes!$A$5:$A$204,0))*K392,""))</f>
        <v>0</v>
      </c>
      <c r="V392" s="30">
        <f>IF(G392="","",IFERROR(INDEX(Recipes!$AE$5:$AE$204,MATCH(G392,Recipes!$A$5:$A$204,0)),"Not found"))</f>
        <v>0</v>
      </c>
      <c r="W392" s="45">
        <f>IF(G392="","",IFERROR(INDEX(Recipes!$AF$5:$AF$204,MATCH(G392,Recipes!$A$5:$A$204,0)),"Not found"))</f>
        <v>0</v>
      </c>
      <c r="X392" s="45">
        <f>IF(G392="","",IFERROR(INDEX(Recipes!$AG$5:$AG$204,MATCH(G392,Recipes!$A$5:$A$204,0)),"Not found"))</f>
        <v>0</v>
      </c>
      <c r="Y392" s="45">
        <f>IF(G392="","",IFERROR(INDEX(Recipes!$AH$5:$AH$204,MATCH(G392,Recipes!$A$5:$A$204,0)),"Not found"))</f>
        <v>0</v>
      </c>
      <c r="Z392" s="45">
        <f>IF(G392="","",IFERROR(INDEX(Recipes!$AI$5:$AI$204,MATCH(G392,Recipes!$A$5:$A$204,0)),"Not found"))</f>
        <v>0</v>
      </c>
      <c r="AA392" s="30">
        <f>IF(OR(V392="",NOT(ISNUMBER(V392))),"",V392*K392)</f>
        <v>0</v>
      </c>
      <c r="AB392" s="18">
        <f>IF(G392="","",IFERROR(INDEX(Recipes!$J$5:$J$204,MATCH(G392,Recipes!$A$5:$A$204,0)),"Not found"))</f>
        <v>0</v>
      </c>
      <c r="AC392" s="17">
        <f>IF(G392="","",IFERROR(INDEX(Recipes!$C$5:$C$204,MATCH(G392,Recipes!$A$5:$A$204,0)),"Not found"))</f>
        <v>0</v>
      </c>
      <c r="AD392" s="46">
        <f>IF(B392="","",IF(G392&lt;&gt;"","Yes",IF(OR(I392="",ISNUMBER(SEARCH("takeaway",I392)),ISNUMBER(SEARCH("out",I392))),"No","Yes")))</f>
        <v>0</v>
      </c>
      <c r="AE392" s="17">
        <f>IF(B392="","",TEXT(B392,"yyyy-mm-dd")&amp;"|"&amp;F392)</f>
        <v>0</v>
      </c>
      <c r="AF392" s="31">
        <f>IF(B392="","",IF(AND(G392="",I392=""),"Add - nothing planned yet",IF(COUNTIFS($AE$5:$AE$504,AE392)&gt;1,"Duplicate - two meals in one slot",IF(AND(G392&lt;&gt;"",H392="Not found"),"Missing - recipe ID not on the Recipes tab",IF(AND(B392&lt;TODAY(),OR(N392="Planned",N392="")),"Check - did you cook it?","OK")))))</f>
        <v>0</v>
      </c>
    </row>
    <row r="393" spans="1:32">
      <c r="A393" s="39">
        <f>IF(B393="","",MealPrefix&amp;TEXT(ROW()-4,"0000"))</f>
        <v>0</v>
      </c>
      <c r="C393" s="17">
        <f>IF(B393="","",TEXT(B393,"ddd"))</f>
        <v>0</v>
      </c>
      <c r="D393" s="18">
        <f>IF(B393="","",WEEKNUM(B393,IF(WeekStart="Sunday",1,2)))</f>
        <v>0</v>
      </c>
      <c r="E393" s="17">
        <f>IF(B393="","",TEXT(B393,"yyyy-mm"))</f>
        <v>0</v>
      </c>
      <c r="H393" s="17">
        <f>IF(G393&lt;&gt;"",IFERROR(INDEX(Recipes!$B$5:$B$204,MATCH(G393,Recipes!$A$5:$A$204,0)),"Not found"),I393)</f>
        <v>0</v>
      </c>
      <c r="K393" s="45">
        <f>IF(B393="","",IF(J393="",DefaultServings,J393))</f>
        <v>0</v>
      </c>
      <c r="L393" s="45">
        <f>IF(G393="",0,IFERROR(K393/INDEX(Recipes!$G$5:$G$204,MATCH(G393,Recipes!$A$5:$A$204,0)),0))</f>
        <v>0</v>
      </c>
      <c r="T393" s="25">
        <f>IF(G393="","",IFERROR(INDEX(Recipes!$AD$5:$AD$204,MATCH(G393,Recipes!$A$5:$A$204,0))*K393,""))</f>
        <v>0</v>
      </c>
      <c r="V393" s="30">
        <f>IF(G393="","",IFERROR(INDEX(Recipes!$AE$5:$AE$204,MATCH(G393,Recipes!$A$5:$A$204,0)),"Not found"))</f>
        <v>0</v>
      </c>
      <c r="W393" s="45">
        <f>IF(G393="","",IFERROR(INDEX(Recipes!$AF$5:$AF$204,MATCH(G393,Recipes!$A$5:$A$204,0)),"Not found"))</f>
        <v>0</v>
      </c>
      <c r="X393" s="45">
        <f>IF(G393="","",IFERROR(INDEX(Recipes!$AG$5:$AG$204,MATCH(G393,Recipes!$A$5:$A$204,0)),"Not found"))</f>
        <v>0</v>
      </c>
      <c r="Y393" s="45">
        <f>IF(G393="","",IFERROR(INDEX(Recipes!$AH$5:$AH$204,MATCH(G393,Recipes!$A$5:$A$204,0)),"Not found"))</f>
        <v>0</v>
      </c>
      <c r="Z393" s="45">
        <f>IF(G393="","",IFERROR(INDEX(Recipes!$AI$5:$AI$204,MATCH(G393,Recipes!$A$5:$A$204,0)),"Not found"))</f>
        <v>0</v>
      </c>
      <c r="AA393" s="30">
        <f>IF(OR(V393="",NOT(ISNUMBER(V393))),"",V393*K393)</f>
        <v>0</v>
      </c>
      <c r="AB393" s="18">
        <f>IF(G393="","",IFERROR(INDEX(Recipes!$J$5:$J$204,MATCH(G393,Recipes!$A$5:$A$204,0)),"Not found"))</f>
        <v>0</v>
      </c>
      <c r="AC393" s="17">
        <f>IF(G393="","",IFERROR(INDEX(Recipes!$C$5:$C$204,MATCH(G393,Recipes!$A$5:$A$204,0)),"Not found"))</f>
        <v>0</v>
      </c>
      <c r="AD393" s="46">
        <f>IF(B393="","",IF(G393&lt;&gt;"","Yes",IF(OR(I393="",ISNUMBER(SEARCH("takeaway",I393)),ISNUMBER(SEARCH("out",I393))),"No","Yes")))</f>
        <v>0</v>
      </c>
      <c r="AE393" s="17">
        <f>IF(B393="","",TEXT(B393,"yyyy-mm-dd")&amp;"|"&amp;F393)</f>
        <v>0</v>
      </c>
      <c r="AF393" s="31">
        <f>IF(B393="","",IF(AND(G393="",I393=""),"Add - nothing planned yet",IF(COUNTIFS($AE$5:$AE$504,AE393)&gt;1,"Duplicate - two meals in one slot",IF(AND(G393&lt;&gt;"",H393="Not found"),"Missing - recipe ID not on the Recipes tab",IF(AND(B393&lt;TODAY(),OR(N393="Planned",N393="")),"Check - did you cook it?","OK")))))</f>
        <v>0</v>
      </c>
    </row>
    <row r="394" spans="1:32">
      <c r="A394" s="39">
        <f>IF(B394="","",MealPrefix&amp;TEXT(ROW()-4,"0000"))</f>
        <v>0</v>
      </c>
      <c r="C394" s="17">
        <f>IF(B394="","",TEXT(B394,"ddd"))</f>
        <v>0</v>
      </c>
      <c r="D394" s="18">
        <f>IF(B394="","",WEEKNUM(B394,IF(WeekStart="Sunday",1,2)))</f>
        <v>0</v>
      </c>
      <c r="E394" s="17">
        <f>IF(B394="","",TEXT(B394,"yyyy-mm"))</f>
        <v>0</v>
      </c>
      <c r="H394" s="17">
        <f>IF(G394&lt;&gt;"",IFERROR(INDEX(Recipes!$B$5:$B$204,MATCH(G394,Recipes!$A$5:$A$204,0)),"Not found"),I394)</f>
        <v>0</v>
      </c>
      <c r="K394" s="45">
        <f>IF(B394="","",IF(J394="",DefaultServings,J394))</f>
        <v>0</v>
      </c>
      <c r="L394" s="45">
        <f>IF(G394="",0,IFERROR(K394/INDEX(Recipes!$G$5:$G$204,MATCH(G394,Recipes!$A$5:$A$204,0)),0))</f>
        <v>0</v>
      </c>
      <c r="T394" s="25">
        <f>IF(G394="","",IFERROR(INDEX(Recipes!$AD$5:$AD$204,MATCH(G394,Recipes!$A$5:$A$204,0))*K394,""))</f>
        <v>0</v>
      </c>
      <c r="V394" s="30">
        <f>IF(G394="","",IFERROR(INDEX(Recipes!$AE$5:$AE$204,MATCH(G394,Recipes!$A$5:$A$204,0)),"Not found"))</f>
        <v>0</v>
      </c>
      <c r="W394" s="45">
        <f>IF(G394="","",IFERROR(INDEX(Recipes!$AF$5:$AF$204,MATCH(G394,Recipes!$A$5:$A$204,0)),"Not found"))</f>
        <v>0</v>
      </c>
      <c r="X394" s="45">
        <f>IF(G394="","",IFERROR(INDEX(Recipes!$AG$5:$AG$204,MATCH(G394,Recipes!$A$5:$A$204,0)),"Not found"))</f>
        <v>0</v>
      </c>
      <c r="Y394" s="45">
        <f>IF(G394="","",IFERROR(INDEX(Recipes!$AH$5:$AH$204,MATCH(G394,Recipes!$A$5:$A$204,0)),"Not found"))</f>
        <v>0</v>
      </c>
      <c r="Z394" s="45">
        <f>IF(G394="","",IFERROR(INDEX(Recipes!$AI$5:$AI$204,MATCH(G394,Recipes!$A$5:$A$204,0)),"Not found"))</f>
        <v>0</v>
      </c>
      <c r="AA394" s="30">
        <f>IF(OR(V394="",NOT(ISNUMBER(V394))),"",V394*K394)</f>
        <v>0</v>
      </c>
      <c r="AB394" s="18">
        <f>IF(G394="","",IFERROR(INDEX(Recipes!$J$5:$J$204,MATCH(G394,Recipes!$A$5:$A$204,0)),"Not found"))</f>
        <v>0</v>
      </c>
      <c r="AC394" s="17">
        <f>IF(G394="","",IFERROR(INDEX(Recipes!$C$5:$C$204,MATCH(G394,Recipes!$A$5:$A$204,0)),"Not found"))</f>
        <v>0</v>
      </c>
      <c r="AD394" s="46">
        <f>IF(B394="","",IF(G394&lt;&gt;"","Yes",IF(OR(I394="",ISNUMBER(SEARCH("takeaway",I394)),ISNUMBER(SEARCH("out",I394))),"No","Yes")))</f>
        <v>0</v>
      </c>
      <c r="AE394" s="17">
        <f>IF(B394="","",TEXT(B394,"yyyy-mm-dd")&amp;"|"&amp;F394)</f>
        <v>0</v>
      </c>
      <c r="AF394" s="31">
        <f>IF(B394="","",IF(AND(G394="",I394=""),"Add - nothing planned yet",IF(COUNTIFS($AE$5:$AE$504,AE394)&gt;1,"Duplicate - two meals in one slot",IF(AND(G394&lt;&gt;"",H394="Not found"),"Missing - recipe ID not on the Recipes tab",IF(AND(B394&lt;TODAY(),OR(N394="Planned",N394="")),"Check - did you cook it?","OK")))))</f>
        <v>0</v>
      </c>
    </row>
    <row r="395" spans="1:32">
      <c r="A395" s="39">
        <f>IF(B395="","",MealPrefix&amp;TEXT(ROW()-4,"0000"))</f>
        <v>0</v>
      </c>
      <c r="C395" s="17">
        <f>IF(B395="","",TEXT(B395,"ddd"))</f>
        <v>0</v>
      </c>
      <c r="D395" s="18">
        <f>IF(B395="","",WEEKNUM(B395,IF(WeekStart="Sunday",1,2)))</f>
        <v>0</v>
      </c>
      <c r="E395" s="17">
        <f>IF(B395="","",TEXT(B395,"yyyy-mm"))</f>
        <v>0</v>
      </c>
      <c r="H395" s="17">
        <f>IF(G395&lt;&gt;"",IFERROR(INDEX(Recipes!$B$5:$B$204,MATCH(G395,Recipes!$A$5:$A$204,0)),"Not found"),I395)</f>
        <v>0</v>
      </c>
      <c r="K395" s="45">
        <f>IF(B395="","",IF(J395="",DefaultServings,J395))</f>
        <v>0</v>
      </c>
      <c r="L395" s="45">
        <f>IF(G395="",0,IFERROR(K395/INDEX(Recipes!$G$5:$G$204,MATCH(G395,Recipes!$A$5:$A$204,0)),0))</f>
        <v>0</v>
      </c>
      <c r="T395" s="25">
        <f>IF(G395="","",IFERROR(INDEX(Recipes!$AD$5:$AD$204,MATCH(G395,Recipes!$A$5:$A$204,0))*K395,""))</f>
        <v>0</v>
      </c>
      <c r="V395" s="30">
        <f>IF(G395="","",IFERROR(INDEX(Recipes!$AE$5:$AE$204,MATCH(G395,Recipes!$A$5:$A$204,0)),"Not found"))</f>
        <v>0</v>
      </c>
      <c r="W395" s="45">
        <f>IF(G395="","",IFERROR(INDEX(Recipes!$AF$5:$AF$204,MATCH(G395,Recipes!$A$5:$A$204,0)),"Not found"))</f>
        <v>0</v>
      </c>
      <c r="X395" s="45">
        <f>IF(G395="","",IFERROR(INDEX(Recipes!$AG$5:$AG$204,MATCH(G395,Recipes!$A$5:$A$204,0)),"Not found"))</f>
        <v>0</v>
      </c>
      <c r="Y395" s="45">
        <f>IF(G395="","",IFERROR(INDEX(Recipes!$AH$5:$AH$204,MATCH(G395,Recipes!$A$5:$A$204,0)),"Not found"))</f>
        <v>0</v>
      </c>
      <c r="Z395" s="45">
        <f>IF(G395="","",IFERROR(INDEX(Recipes!$AI$5:$AI$204,MATCH(G395,Recipes!$A$5:$A$204,0)),"Not found"))</f>
        <v>0</v>
      </c>
      <c r="AA395" s="30">
        <f>IF(OR(V395="",NOT(ISNUMBER(V395))),"",V395*K395)</f>
        <v>0</v>
      </c>
      <c r="AB395" s="18">
        <f>IF(G395="","",IFERROR(INDEX(Recipes!$J$5:$J$204,MATCH(G395,Recipes!$A$5:$A$204,0)),"Not found"))</f>
        <v>0</v>
      </c>
      <c r="AC395" s="17">
        <f>IF(G395="","",IFERROR(INDEX(Recipes!$C$5:$C$204,MATCH(G395,Recipes!$A$5:$A$204,0)),"Not found"))</f>
        <v>0</v>
      </c>
      <c r="AD395" s="46">
        <f>IF(B395="","",IF(G395&lt;&gt;"","Yes",IF(OR(I395="",ISNUMBER(SEARCH("takeaway",I395)),ISNUMBER(SEARCH("out",I395))),"No","Yes")))</f>
        <v>0</v>
      </c>
      <c r="AE395" s="17">
        <f>IF(B395="","",TEXT(B395,"yyyy-mm-dd")&amp;"|"&amp;F395)</f>
        <v>0</v>
      </c>
      <c r="AF395" s="31">
        <f>IF(B395="","",IF(AND(G395="",I395=""),"Add - nothing planned yet",IF(COUNTIFS($AE$5:$AE$504,AE395)&gt;1,"Duplicate - two meals in one slot",IF(AND(G395&lt;&gt;"",H395="Not found"),"Missing - recipe ID not on the Recipes tab",IF(AND(B395&lt;TODAY(),OR(N395="Planned",N395="")),"Check - did you cook it?","OK")))))</f>
        <v>0</v>
      </c>
    </row>
    <row r="396" spans="1:32">
      <c r="A396" s="39">
        <f>IF(B396="","",MealPrefix&amp;TEXT(ROW()-4,"0000"))</f>
        <v>0</v>
      </c>
      <c r="C396" s="17">
        <f>IF(B396="","",TEXT(B396,"ddd"))</f>
        <v>0</v>
      </c>
      <c r="D396" s="18">
        <f>IF(B396="","",WEEKNUM(B396,IF(WeekStart="Sunday",1,2)))</f>
        <v>0</v>
      </c>
      <c r="E396" s="17">
        <f>IF(B396="","",TEXT(B396,"yyyy-mm"))</f>
        <v>0</v>
      </c>
      <c r="H396" s="17">
        <f>IF(G396&lt;&gt;"",IFERROR(INDEX(Recipes!$B$5:$B$204,MATCH(G396,Recipes!$A$5:$A$204,0)),"Not found"),I396)</f>
        <v>0</v>
      </c>
      <c r="K396" s="45">
        <f>IF(B396="","",IF(J396="",DefaultServings,J396))</f>
        <v>0</v>
      </c>
      <c r="L396" s="45">
        <f>IF(G396="",0,IFERROR(K396/INDEX(Recipes!$G$5:$G$204,MATCH(G396,Recipes!$A$5:$A$204,0)),0))</f>
        <v>0</v>
      </c>
      <c r="T396" s="25">
        <f>IF(G396="","",IFERROR(INDEX(Recipes!$AD$5:$AD$204,MATCH(G396,Recipes!$A$5:$A$204,0))*K396,""))</f>
        <v>0</v>
      </c>
      <c r="V396" s="30">
        <f>IF(G396="","",IFERROR(INDEX(Recipes!$AE$5:$AE$204,MATCH(G396,Recipes!$A$5:$A$204,0)),"Not found"))</f>
        <v>0</v>
      </c>
      <c r="W396" s="45">
        <f>IF(G396="","",IFERROR(INDEX(Recipes!$AF$5:$AF$204,MATCH(G396,Recipes!$A$5:$A$204,0)),"Not found"))</f>
        <v>0</v>
      </c>
      <c r="X396" s="45">
        <f>IF(G396="","",IFERROR(INDEX(Recipes!$AG$5:$AG$204,MATCH(G396,Recipes!$A$5:$A$204,0)),"Not found"))</f>
        <v>0</v>
      </c>
      <c r="Y396" s="45">
        <f>IF(G396="","",IFERROR(INDEX(Recipes!$AH$5:$AH$204,MATCH(G396,Recipes!$A$5:$A$204,0)),"Not found"))</f>
        <v>0</v>
      </c>
      <c r="Z396" s="45">
        <f>IF(G396="","",IFERROR(INDEX(Recipes!$AI$5:$AI$204,MATCH(G396,Recipes!$A$5:$A$204,0)),"Not found"))</f>
        <v>0</v>
      </c>
      <c r="AA396" s="30">
        <f>IF(OR(V396="",NOT(ISNUMBER(V396))),"",V396*K396)</f>
        <v>0</v>
      </c>
      <c r="AB396" s="18">
        <f>IF(G396="","",IFERROR(INDEX(Recipes!$J$5:$J$204,MATCH(G396,Recipes!$A$5:$A$204,0)),"Not found"))</f>
        <v>0</v>
      </c>
      <c r="AC396" s="17">
        <f>IF(G396="","",IFERROR(INDEX(Recipes!$C$5:$C$204,MATCH(G396,Recipes!$A$5:$A$204,0)),"Not found"))</f>
        <v>0</v>
      </c>
      <c r="AD396" s="46">
        <f>IF(B396="","",IF(G396&lt;&gt;"","Yes",IF(OR(I396="",ISNUMBER(SEARCH("takeaway",I396)),ISNUMBER(SEARCH("out",I396))),"No","Yes")))</f>
        <v>0</v>
      </c>
      <c r="AE396" s="17">
        <f>IF(B396="","",TEXT(B396,"yyyy-mm-dd")&amp;"|"&amp;F396)</f>
        <v>0</v>
      </c>
      <c r="AF396" s="31">
        <f>IF(B396="","",IF(AND(G396="",I396=""),"Add - nothing planned yet",IF(COUNTIFS($AE$5:$AE$504,AE396)&gt;1,"Duplicate - two meals in one slot",IF(AND(G396&lt;&gt;"",H396="Not found"),"Missing - recipe ID not on the Recipes tab",IF(AND(B396&lt;TODAY(),OR(N396="Planned",N396="")),"Check - did you cook it?","OK")))))</f>
        <v>0</v>
      </c>
    </row>
    <row r="397" spans="1:32">
      <c r="A397" s="39">
        <f>IF(B397="","",MealPrefix&amp;TEXT(ROW()-4,"0000"))</f>
        <v>0</v>
      </c>
      <c r="C397" s="17">
        <f>IF(B397="","",TEXT(B397,"ddd"))</f>
        <v>0</v>
      </c>
      <c r="D397" s="18">
        <f>IF(B397="","",WEEKNUM(B397,IF(WeekStart="Sunday",1,2)))</f>
        <v>0</v>
      </c>
      <c r="E397" s="17">
        <f>IF(B397="","",TEXT(B397,"yyyy-mm"))</f>
        <v>0</v>
      </c>
      <c r="H397" s="17">
        <f>IF(G397&lt;&gt;"",IFERROR(INDEX(Recipes!$B$5:$B$204,MATCH(G397,Recipes!$A$5:$A$204,0)),"Not found"),I397)</f>
        <v>0</v>
      </c>
      <c r="K397" s="45">
        <f>IF(B397="","",IF(J397="",DefaultServings,J397))</f>
        <v>0</v>
      </c>
      <c r="L397" s="45">
        <f>IF(G397="",0,IFERROR(K397/INDEX(Recipes!$G$5:$G$204,MATCH(G397,Recipes!$A$5:$A$204,0)),0))</f>
        <v>0</v>
      </c>
      <c r="T397" s="25">
        <f>IF(G397="","",IFERROR(INDEX(Recipes!$AD$5:$AD$204,MATCH(G397,Recipes!$A$5:$A$204,0))*K397,""))</f>
        <v>0</v>
      </c>
      <c r="V397" s="30">
        <f>IF(G397="","",IFERROR(INDEX(Recipes!$AE$5:$AE$204,MATCH(G397,Recipes!$A$5:$A$204,0)),"Not found"))</f>
        <v>0</v>
      </c>
      <c r="W397" s="45">
        <f>IF(G397="","",IFERROR(INDEX(Recipes!$AF$5:$AF$204,MATCH(G397,Recipes!$A$5:$A$204,0)),"Not found"))</f>
        <v>0</v>
      </c>
      <c r="X397" s="45">
        <f>IF(G397="","",IFERROR(INDEX(Recipes!$AG$5:$AG$204,MATCH(G397,Recipes!$A$5:$A$204,0)),"Not found"))</f>
        <v>0</v>
      </c>
      <c r="Y397" s="45">
        <f>IF(G397="","",IFERROR(INDEX(Recipes!$AH$5:$AH$204,MATCH(G397,Recipes!$A$5:$A$204,0)),"Not found"))</f>
        <v>0</v>
      </c>
      <c r="Z397" s="45">
        <f>IF(G397="","",IFERROR(INDEX(Recipes!$AI$5:$AI$204,MATCH(G397,Recipes!$A$5:$A$204,0)),"Not found"))</f>
        <v>0</v>
      </c>
      <c r="AA397" s="30">
        <f>IF(OR(V397="",NOT(ISNUMBER(V397))),"",V397*K397)</f>
        <v>0</v>
      </c>
      <c r="AB397" s="18">
        <f>IF(G397="","",IFERROR(INDEX(Recipes!$J$5:$J$204,MATCH(G397,Recipes!$A$5:$A$204,0)),"Not found"))</f>
        <v>0</v>
      </c>
      <c r="AC397" s="17">
        <f>IF(G397="","",IFERROR(INDEX(Recipes!$C$5:$C$204,MATCH(G397,Recipes!$A$5:$A$204,0)),"Not found"))</f>
        <v>0</v>
      </c>
      <c r="AD397" s="46">
        <f>IF(B397="","",IF(G397&lt;&gt;"","Yes",IF(OR(I397="",ISNUMBER(SEARCH("takeaway",I397)),ISNUMBER(SEARCH("out",I397))),"No","Yes")))</f>
        <v>0</v>
      </c>
      <c r="AE397" s="17">
        <f>IF(B397="","",TEXT(B397,"yyyy-mm-dd")&amp;"|"&amp;F397)</f>
        <v>0</v>
      </c>
      <c r="AF397" s="31">
        <f>IF(B397="","",IF(AND(G397="",I397=""),"Add - nothing planned yet",IF(COUNTIFS($AE$5:$AE$504,AE397)&gt;1,"Duplicate - two meals in one slot",IF(AND(G397&lt;&gt;"",H397="Not found"),"Missing - recipe ID not on the Recipes tab",IF(AND(B397&lt;TODAY(),OR(N397="Planned",N397="")),"Check - did you cook it?","OK")))))</f>
        <v>0</v>
      </c>
    </row>
    <row r="398" spans="1:32">
      <c r="A398" s="39">
        <f>IF(B398="","",MealPrefix&amp;TEXT(ROW()-4,"0000"))</f>
        <v>0</v>
      </c>
      <c r="C398" s="17">
        <f>IF(B398="","",TEXT(B398,"ddd"))</f>
        <v>0</v>
      </c>
      <c r="D398" s="18">
        <f>IF(B398="","",WEEKNUM(B398,IF(WeekStart="Sunday",1,2)))</f>
        <v>0</v>
      </c>
      <c r="E398" s="17">
        <f>IF(B398="","",TEXT(B398,"yyyy-mm"))</f>
        <v>0</v>
      </c>
      <c r="H398" s="17">
        <f>IF(G398&lt;&gt;"",IFERROR(INDEX(Recipes!$B$5:$B$204,MATCH(G398,Recipes!$A$5:$A$204,0)),"Not found"),I398)</f>
        <v>0</v>
      </c>
      <c r="K398" s="45">
        <f>IF(B398="","",IF(J398="",DefaultServings,J398))</f>
        <v>0</v>
      </c>
      <c r="L398" s="45">
        <f>IF(G398="",0,IFERROR(K398/INDEX(Recipes!$G$5:$G$204,MATCH(G398,Recipes!$A$5:$A$204,0)),0))</f>
        <v>0</v>
      </c>
      <c r="T398" s="25">
        <f>IF(G398="","",IFERROR(INDEX(Recipes!$AD$5:$AD$204,MATCH(G398,Recipes!$A$5:$A$204,0))*K398,""))</f>
        <v>0</v>
      </c>
      <c r="V398" s="30">
        <f>IF(G398="","",IFERROR(INDEX(Recipes!$AE$5:$AE$204,MATCH(G398,Recipes!$A$5:$A$204,0)),"Not found"))</f>
        <v>0</v>
      </c>
      <c r="W398" s="45">
        <f>IF(G398="","",IFERROR(INDEX(Recipes!$AF$5:$AF$204,MATCH(G398,Recipes!$A$5:$A$204,0)),"Not found"))</f>
        <v>0</v>
      </c>
      <c r="X398" s="45">
        <f>IF(G398="","",IFERROR(INDEX(Recipes!$AG$5:$AG$204,MATCH(G398,Recipes!$A$5:$A$204,0)),"Not found"))</f>
        <v>0</v>
      </c>
      <c r="Y398" s="45">
        <f>IF(G398="","",IFERROR(INDEX(Recipes!$AH$5:$AH$204,MATCH(G398,Recipes!$A$5:$A$204,0)),"Not found"))</f>
        <v>0</v>
      </c>
      <c r="Z398" s="45">
        <f>IF(G398="","",IFERROR(INDEX(Recipes!$AI$5:$AI$204,MATCH(G398,Recipes!$A$5:$A$204,0)),"Not found"))</f>
        <v>0</v>
      </c>
      <c r="AA398" s="30">
        <f>IF(OR(V398="",NOT(ISNUMBER(V398))),"",V398*K398)</f>
        <v>0</v>
      </c>
      <c r="AB398" s="18">
        <f>IF(G398="","",IFERROR(INDEX(Recipes!$J$5:$J$204,MATCH(G398,Recipes!$A$5:$A$204,0)),"Not found"))</f>
        <v>0</v>
      </c>
      <c r="AC398" s="17">
        <f>IF(G398="","",IFERROR(INDEX(Recipes!$C$5:$C$204,MATCH(G398,Recipes!$A$5:$A$204,0)),"Not found"))</f>
        <v>0</v>
      </c>
      <c r="AD398" s="46">
        <f>IF(B398="","",IF(G398&lt;&gt;"","Yes",IF(OR(I398="",ISNUMBER(SEARCH("takeaway",I398)),ISNUMBER(SEARCH("out",I398))),"No","Yes")))</f>
        <v>0</v>
      </c>
      <c r="AE398" s="17">
        <f>IF(B398="","",TEXT(B398,"yyyy-mm-dd")&amp;"|"&amp;F398)</f>
        <v>0</v>
      </c>
      <c r="AF398" s="31">
        <f>IF(B398="","",IF(AND(G398="",I398=""),"Add - nothing planned yet",IF(COUNTIFS($AE$5:$AE$504,AE398)&gt;1,"Duplicate - two meals in one slot",IF(AND(G398&lt;&gt;"",H398="Not found"),"Missing - recipe ID not on the Recipes tab",IF(AND(B398&lt;TODAY(),OR(N398="Planned",N398="")),"Check - did you cook it?","OK")))))</f>
        <v>0</v>
      </c>
    </row>
    <row r="399" spans="1:32">
      <c r="A399" s="39">
        <f>IF(B399="","",MealPrefix&amp;TEXT(ROW()-4,"0000"))</f>
        <v>0</v>
      </c>
      <c r="C399" s="17">
        <f>IF(B399="","",TEXT(B399,"ddd"))</f>
        <v>0</v>
      </c>
      <c r="D399" s="18">
        <f>IF(B399="","",WEEKNUM(B399,IF(WeekStart="Sunday",1,2)))</f>
        <v>0</v>
      </c>
      <c r="E399" s="17">
        <f>IF(B399="","",TEXT(B399,"yyyy-mm"))</f>
        <v>0</v>
      </c>
      <c r="H399" s="17">
        <f>IF(G399&lt;&gt;"",IFERROR(INDEX(Recipes!$B$5:$B$204,MATCH(G399,Recipes!$A$5:$A$204,0)),"Not found"),I399)</f>
        <v>0</v>
      </c>
      <c r="K399" s="45">
        <f>IF(B399="","",IF(J399="",DefaultServings,J399))</f>
        <v>0</v>
      </c>
      <c r="L399" s="45">
        <f>IF(G399="",0,IFERROR(K399/INDEX(Recipes!$G$5:$G$204,MATCH(G399,Recipes!$A$5:$A$204,0)),0))</f>
        <v>0</v>
      </c>
      <c r="T399" s="25">
        <f>IF(G399="","",IFERROR(INDEX(Recipes!$AD$5:$AD$204,MATCH(G399,Recipes!$A$5:$A$204,0))*K399,""))</f>
        <v>0</v>
      </c>
      <c r="V399" s="30">
        <f>IF(G399="","",IFERROR(INDEX(Recipes!$AE$5:$AE$204,MATCH(G399,Recipes!$A$5:$A$204,0)),"Not found"))</f>
        <v>0</v>
      </c>
      <c r="W399" s="45">
        <f>IF(G399="","",IFERROR(INDEX(Recipes!$AF$5:$AF$204,MATCH(G399,Recipes!$A$5:$A$204,0)),"Not found"))</f>
        <v>0</v>
      </c>
      <c r="X399" s="45">
        <f>IF(G399="","",IFERROR(INDEX(Recipes!$AG$5:$AG$204,MATCH(G399,Recipes!$A$5:$A$204,0)),"Not found"))</f>
        <v>0</v>
      </c>
      <c r="Y399" s="45">
        <f>IF(G399="","",IFERROR(INDEX(Recipes!$AH$5:$AH$204,MATCH(G399,Recipes!$A$5:$A$204,0)),"Not found"))</f>
        <v>0</v>
      </c>
      <c r="Z399" s="45">
        <f>IF(G399="","",IFERROR(INDEX(Recipes!$AI$5:$AI$204,MATCH(G399,Recipes!$A$5:$A$204,0)),"Not found"))</f>
        <v>0</v>
      </c>
      <c r="AA399" s="30">
        <f>IF(OR(V399="",NOT(ISNUMBER(V399))),"",V399*K399)</f>
        <v>0</v>
      </c>
      <c r="AB399" s="18">
        <f>IF(G399="","",IFERROR(INDEX(Recipes!$J$5:$J$204,MATCH(G399,Recipes!$A$5:$A$204,0)),"Not found"))</f>
        <v>0</v>
      </c>
      <c r="AC399" s="17">
        <f>IF(G399="","",IFERROR(INDEX(Recipes!$C$5:$C$204,MATCH(G399,Recipes!$A$5:$A$204,0)),"Not found"))</f>
        <v>0</v>
      </c>
      <c r="AD399" s="46">
        <f>IF(B399="","",IF(G399&lt;&gt;"","Yes",IF(OR(I399="",ISNUMBER(SEARCH("takeaway",I399)),ISNUMBER(SEARCH("out",I399))),"No","Yes")))</f>
        <v>0</v>
      </c>
      <c r="AE399" s="17">
        <f>IF(B399="","",TEXT(B399,"yyyy-mm-dd")&amp;"|"&amp;F399)</f>
        <v>0</v>
      </c>
      <c r="AF399" s="31">
        <f>IF(B399="","",IF(AND(G399="",I399=""),"Add - nothing planned yet",IF(COUNTIFS($AE$5:$AE$504,AE399)&gt;1,"Duplicate - two meals in one slot",IF(AND(G399&lt;&gt;"",H399="Not found"),"Missing - recipe ID not on the Recipes tab",IF(AND(B399&lt;TODAY(),OR(N399="Planned",N399="")),"Check - did you cook it?","OK")))))</f>
        <v>0</v>
      </c>
    </row>
    <row r="400" spans="1:32">
      <c r="A400" s="39">
        <f>IF(B400="","",MealPrefix&amp;TEXT(ROW()-4,"0000"))</f>
        <v>0</v>
      </c>
      <c r="C400" s="17">
        <f>IF(B400="","",TEXT(B400,"ddd"))</f>
        <v>0</v>
      </c>
      <c r="D400" s="18">
        <f>IF(B400="","",WEEKNUM(B400,IF(WeekStart="Sunday",1,2)))</f>
        <v>0</v>
      </c>
      <c r="E400" s="17">
        <f>IF(B400="","",TEXT(B400,"yyyy-mm"))</f>
        <v>0</v>
      </c>
      <c r="H400" s="17">
        <f>IF(G400&lt;&gt;"",IFERROR(INDEX(Recipes!$B$5:$B$204,MATCH(G400,Recipes!$A$5:$A$204,0)),"Not found"),I400)</f>
        <v>0</v>
      </c>
      <c r="K400" s="45">
        <f>IF(B400="","",IF(J400="",DefaultServings,J400))</f>
        <v>0</v>
      </c>
      <c r="L400" s="45">
        <f>IF(G400="",0,IFERROR(K400/INDEX(Recipes!$G$5:$G$204,MATCH(G400,Recipes!$A$5:$A$204,0)),0))</f>
        <v>0</v>
      </c>
      <c r="T400" s="25">
        <f>IF(G400="","",IFERROR(INDEX(Recipes!$AD$5:$AD$204,MATCH(G400,Recipes!$A$5:$A$204,0))*K400,""))</f>
        <v>0</v>
      </c>
      <c r="V400" s="30">
        <f>IF(G400="","",IFERROR(INDEX(Recipes!$AE$5:$AE$204,MATCH(G400,Recipes!$A$5:$A$204,0)),"Not found"))</f>
        <v>0</v>
      </c>
      <c r="W400" s="45">
        <f>IF(G400="","",IFERROR(INDEX(Recipes!$AF$5:$AF$204,MATCH(G400,Recipes!$A$5:$A$204,0)),"Not found"))</f>
        <v>0</v>
      </c>
      <c r="X400" s="45">
        <f>IF(G400="","",IFERROR(INDEX(Recipes!$AG$5:$AG$204,MATCH(G400,Recipes!$A$5:$A$204,0)),"Not found"))</f>
        <v>0</v>
      </c>
      <c r="Y400" s="45">
        <f>IF(G400="","",IFERROR(INDEX(Recipes!$AH$5:$AH$204,MATCH(G400,Recipes!$A$5:$A$204,0)),"Not found"))</f>
        <v>0</v>
      </c>
      <c r="Z400" s="45">
        <f>IF(G400="","",IFERROR(INDEX(Recipes!$AI$5:$AI$204,MATCH(G400,Recipes!$A$5:$A$204,0)),"Not found"))</f>
        <v>0</v>
      </c>
      <c r="AA400" s="30">
        <f>IF(OR(V400="",NOT(ISNUMBER(V400))),"",V400*K400)</f>
        <v>0</v>
      </c>
      <c r="AB400" s="18">
        <f>IF(G400="","",IFERROR(INDEX(Recipes!$J$5:$J$204,MATCH(G400,Recipes!$A$5:$A$204,0)),"Not found"))</f>
        <v>0</v>
      </c>
      <c r="AC400" s="17">
        <f>IF(G400="","",IFERROR(INDEX(Recipes!$C$5:$C$204,MATCH(G400,Recipes!$A$5:$A$204,0)),"Not found"))</f>
        <v>0</v>
      </c>
      <c r="AD400" s="46">
        <f>IF(B400="","",IF(G400&lt;&gt;"","Yes",IF(OR(I400="",ISNUMBER(SEARCH("takeaway",I400)),ISNUMBER(SEARCH("out",I400))),"No","Yes")))</f>
        <v>0</v>
      </c>
      <c r="AE400" s="17">
        <f>IF(B400="","",TEXT(B400,"yyyy-mm-dd")&amp;"|"&amp;F400)</f>
        <v>0</v>
      </c>
      <c r="AF400" s="31">
        <f>IF(B400="","",IF(AND(G400="",I400=""),"Add - nothing planned yet",IF(COUNTIFS($AE$5:$AE$504,AE400)&gt;1,"Duplicate - two meals in one slot",IF(AND(G400&lt;&gt;"",H400="Not found"),"Missing - recipe ID not on the Recipes tab",IF(AND(B400&lt;TODAY(),OR(N400="Planned",N400="")),"Check - did you cook it?","OK")))))</f>
        <v>0</v>
      </c>
    </row>
    <row r="401" spans="1:32">
      <c r="A401" s="39">
        <f>IF(B401="","",MealPrefix&amp;TEXT(ROW()-4,"0000"))</f>
        <v>0</v>
      </c>
      <c r="C401" s="17">
        <f>IF(B401="","",TEXT(B401,"ddd"))</f>
        <v>0</v>
      </c>
      <c r="D401" s="18">
        <f>IF(B401="","",WEEKNUM(B401,IF(WeekStart="Sunday",1,2)))</f>
        <v>0</v>
      </c>
      <c r="E401" s="17">
        <f>IF(B401="","",TEXT(B401,"yyyy-mm"))</f>
        <v>0</v>
      </c>
      <c r="H401" s="17">
        <f>IF(G401&lt;&gt;"",IFERROR(INDEX(Recipes!$B$5:$B$204,MATCH(G401,Recipes!$A$5:$A$204,0)),"Not found"),I401)</f>
        <v>0</v>
      </c>
      <c r="K401" s="45">
        <f>IF(B401="","",IF(J401="",DefaultServings,J401))</f>
        <v>0</v>
      </c>
      <c r="L401" s="45">
        <f>IF(G401="",0,IFERROR(K401/INDEX(Recipes!$G$5:$G$204,MATCH(G401,Recipes!$A$5:$A$204,0)),0))</f>
        <v>0</v>
      </c>
      <c r="T401" s="25">
        <f>IF(G401="","",IFERROR(INDEX(Recipes!$AD$5:$AD$204,MATCH(G401,Recipes!$A$5:$A$204,0))*K401,""))</f>
        <v>0</v>
      </c>
      <c r="V401" s="30">
        <f>IF(G401="","",IFERROR(INDEX(Recipes!$AE$5:$AE$204,MATCH(G401,Recipes!$A$5:$A$204,0)),"Not found"))</f>
        <v>0</v>
      </c>
      <c r="W401" s="45">
        <f>IF(G401="","",IFERROR(INDEX(Recipes!$AF$5:$AF$204,MATCH(G401,Recipes!$A$5:$A$204,0)),"Not found"))</f>
        <v>0</v>
      </c>
      <c r="X401" s="45">
        <f>IF(G401="","",IFERROR(INDEX(Recipes!$AG$5:$AG$204,MATCH(G401,Recipes!$A$5:$A$204,0)),"Not found"))</f>
        <v>0</v>
      </c>
      <c r="Y401" s="45">
        <f>IF(G401="","",IFERROR(INDEX(Recipes!$AH$5:$AH$204,MATCH(G401,Recipes!$A$5:$A$204,0)),"Not found"))</f>
        <v>0</v>
      </c>
      <c r="Z401" s="45">
        <f>IF(G401="","",IFERROR(INDEX(Recipes!$AI$5:$AI$204,MATCH(G401,Recipes!$A$5:$A$204,0)),"Not found"))</f>
        <v>0</v>
      </c>
      <c r="AA401" s="30">
        <f>IF(OR(V401="",NOT(ISNUMBER(V401))),"",V401*K401)</f>
        <v>0</v>
      </c>
      <c r="AB401" s="18">
        <f>IF(G401="","",IFERROR(INDEX(Recipes!$J$5:$J$204,MATCH(G401,Recipes!$A$5:$A$204,0)),"Not found"))</f>
        <v>0</v>
      </c>
      <c r="AC401" s="17">
        <f>IF(G401="","",IFERROR(INDEX(Recipes!$C$5:$C$204,MATCH(G401,Recipes!$A$5:$A$204,0)),"Not found"))</f>
        <v>0</v>
      </c>
      <c r="AD401" s="46">
        <f>IF(B401="","",IF(G401&lt;&gt;"","Yes",IF(OR(I401="",ISNUMBER(SEARCH("takeaway",I401)),ISNUMBER(SEARCH("out",I401))),"No","Yes")))</f>
        <v>0</v>
      </c>
      <c r="AE401" s="17">
        <f>IF(B401="","",TEXT(B401,"yyyy-mm-dd")&amp;"|"&amp;F401)</f>
        <v>0</v>
      </c>
      <c r="AF401" s="31">
        <f>IF(B401="","",IF(AND(G401="",I401=""),"Add - nothing planned yet",IF(COUNTIFS($AE$5:$AE$504,AE401)&gt;1,"Duplicate - two meals in one slot",IF(AND(G401&lt;&gt;"",H401="Not found"),"Missing - recipe ID not on the Recipes tab",IF(AND(B401&lt;TODAY(),OR(N401="Planned",N401="")),"Check - did you cook it?","OK")))))</f>
        <v>0</v>
      </c>
    </row>
    <row r="402" spans="1:32">
      <c r="A402" s="39">
        <f>IF(B402="","",MealPrefix&amp;TEXT(ROW()-4,"0000"))</f>
        <v>0</v>
      </c>
      <c r="C402" s="17">
        <f>IF(B402="","",TEXT(B402,"ddd"))</f>
        <v>0</v>
      </c>
      <c r="D402" s="18">
        <f>IF(B402="","",WEEKNUM(B402,IF(WeekStart="Sunday",1,2)))</f>
        <v>0</v>
      </c>
      <c r="E402" s="17">
        <f>IF(B402="","",TEXT(B402,"yyyy-mm"))</f>
        <v>0</v>
      </c>
      <c r="H402" s="17">
        <f>IF(G402&lt;&gt;"",IFERROR(INDEX(Recipes!$B$5:$B$204,MATCH(G402,Recipes!$A$5:$A$204,0)),"Not found"),I402)</f>
        <v>0</v>
      </c>
      <c r="K402" s="45">
        <f>IF(B402="","",IF(J402="",DefaultServings,J402))</f>
        <v>0</v>
      </c>
      <c r="L402" s="45">
        <f>IF(G402="",0,IFERROR(K402/INDEX(Recipes!$G$5:$G$204,MATCH(G402,Recipes!$A$5:$A$204,0)),0))</f>
        <v>0</v>
      </c>
      <c r="T402" s="25">
        <f>IF(G402="","",IFERROR(INDEX(Recipes!$AD$5:$AD$204,MATCH(G402,Recipes!$A$5:$A$204,0))*K402,""))</f>
        <v>0</v>
      </c>
      <c r="V402" s="30">
        <f>IF(G402="","",IFERROR(INDEX(Recipes!$AE$5:$AE$204,MATCH(G402,Recipes!$A$5:$A$204,0)),"Not found"))</f>
        <v>0</v>
      </c>
      <c r="W402" s="45">
        <f>IF(G402="","",IFERROR(INDEX(Recipes!$AF$5:$AF$204,MATCH(G402,Recipes!$A$5:$A$204,0)),"Not found"))</f>
        <v>0</v>
      </c>
      <c r="X402" s="45">
        <f>IF(G402="","",IFERROR(INDEX(Recipes!$AG$5:$AG$204,MATCH(G402,Recipes!$A$5:$A$204,0)),"Not found"))</f>
        <v>0</v>
      </c>
      <c r="Y402" s="45">
        <f>IF(G402="","",IFERROR(INDEX(Recipes!$AH$5:$AH$204,MATCH(G402,Recipes!$A$5:$A$204,0)),"Not found"))</f>
        <v>0</v>
      </c>
      <c r="Z402" s="45">
        <f>IF(G402="","",IFERROR(INDEX(Recipes!$AI$5:$AI$204,MATCH(G402,Recipes!$A$5:$A$204,0)),"Not found"))</f>
        <v>0</v>
      </c>
      <c r="AA402" s="30">
        <f>IF(OR(V402="",NOT(ISNUMBER(V402))),"",V402*K402)</f>
        <v>0</v>
      </c>
      <c r="AB402" s="18">
        <f>IF(G402="","",IFERROR(INDEX(Recipes!$J$5:$J$204,MATCH(G402,Recipes!$A$5:$A$204,0)),"Not found"))</f>
        <v>0</v>
      </c>
      <c r="AC402" s="17">
        <f>IF(G402="","",IFERROR(INDEX(Recipes!$C$5:$C$204,MATCH(G402,Recipes!$A$5:$A$204,0)),"Not found"))</f>
        <v>0</v>
      </c>
      <c r="AD402" s="46">
        <f>IF(B402="","",IF(G402&lt;&gt;"","Yes",IF(OR(I402="",ISNUMBER(SEARCH("takeaway",I402)),ISNUMBER(SEARCH("out",I402))),"No","Yes")))</f>
        <v>0</v>
      </c>
      <c r="AE402" s="17">
        <f>IF(B402="","",TEXT(B402,"yyyy-mm-dd")&amp;"|"&amp;F402)</f>
        <v>0</v>
      </c>
      <c r="AF402" s="31">
        <f>IF(B402="","",IF(AND(G402="",I402=""),"Add - nothing planned yet",IF(COUNTIFS($AE$5:$AE$504,AE402)&gt;1,"Duplicate - two meals in one slot",IF(AND(G402&lt;&gt;"",H402="Not found"),"Missing - recipe ID not on the Recipes tab",IF(AND(B402&lt;TODAY(),OR(N402="Planned",N402="")),"Check - did you cook it?","OK")))))</f>
        <v>0</v>
      </c>
    </row>
    <row r="403" spans="1:32">
      <c r="A403" s="39">
        <f>IF(B403="","",MealPrefix&amp;TEXT(ROW()-4,"0000"))</f>
        <v>0</v>
      </c>
      <c r="C403" s="17">
        <f>IF(B403="","",TEXT(B403,"ddd"))</f>
        <v>0</v>
      </c>
      <c r="D403" s="18">
        <f>IF(B403="","",WEEKNUM(B403,IF(WeekStart="Sunday",1,2)))</f>
        <v>0</v>
      </c>
      <c r="E403" s="17">
        <f>IF(B403="","",TEXT(B403,"yyyy-mm"))</f>
        <v>0</v>
      </c>
      <c r="H403" s="17">
        <f>IF(G403&lt;&gt;"",IFERROR(INDEX(Recipes!$B$5:$B$204,MATCH(G403,Recipes!$A$5:$A$204,0)),"Not found"),I403)</f>
        <v>0</v>
      </c>
      <c r="K403" s="45">
        <f>IF(B403="","",IF(J403="",DefaultServings,J403))</f>
        <v>0</v>
      </c>
      <c r="L403" s="45">
        <f>IF(G403="",0,IFERROR(K403/INDEX(Recipes!$G$5:$G$204,MATCH(G403,Recipes!$A$5:$A$204,0)),0))</f>
        <v>0</v>
      </c>
      <c r="T403" s="25">
        <f>IF(G403="","",IFERROR(INDEX(Recipes!$AD$5:$AD$204,MATCH(G403,Recipes!$A$5:$A$204,0))*K403,""))</f>
        <v>0</v>
      </c>
      <c r="V403" s="30">
        <f>IF(G403="","",IFERROR(INDEX(Recipes!$AE$5:$AE$204,MATCH(G403,Recipes!$A$5:$A$204,0)),"Not found"))</f>
        <v>0</v>
      </c>
      <c r="W403" s="45">
        <f>IF(G403="","",IFERROR(INDEX(Recipes!$AF$5:$AF$204,MATCH(G403,Recipes!$A$5:$A$204,0)),"Not found"))</f>
        <v>0</v>
      </c>
      <c r="X403" s="45">
        <f>IF(G403="","",IFERROR(INDEX(Recipes!$AG$5:$AG$204,MATCH(G403,Recipes!$A$5:$A$204,0)),"Not found"))</f>
        <v>0</v>
      </c>
      <c r="Y403" s="45">
        <f>IF(G403="","",IFERROR(INDEX(Recipes!$AH$5:$AH$204,MATCH(G403,Recipes!$A$5:$A$204,0)),"Not found"))</f>
        <v>0</v>
      </c>
      <c r="Z403" s="45">
        <f>IF(G403="","",IFERROR(INDEX(Recipes!$AI$5:$AI$204,MATCH(G403,Recipes!$A$5:$A$204,0)),"Not found"))</f>
        <v>0</v>
      </c>
      <c r="AA403" s="30">
        <f>IF(OR(V403="",NOT(ISNUMBER(V403))),"",V403*K403)</f>
        <v>0</v>
      </c>
      <c r="AB403" s="18">
        <f>IF(G403="","",IFERROR(INDEX(Recipes!$J$5:$J$204,MATCH(G403,Recipes!$A$5:$A$204,0)),"Not found"))</f>
        <v>0</v>
      </c>
      <c r="AC403" s="17">
        <f>IF(G403="","",IFERROR(INDEX(Recipes!$C$5:$C$204,MATCH(G403,Recipes!$A$5:$A$204,0)),"Not found"))</f>
        <v>0</v>
      </c>
      <c r="AD403" s="46">
        <f>IF(B403="","",IF(G403&lt;&gt;"","Yes",IF(OR(I403="",ISNUMBER(SEARCH("takeaway",I403)),ISNUMBER(SEARCH("out",I403))),"No","Yes")))</f>
        <v>0</v>
      </c>
      <c r="AE403" s="17">
        <f>IF(B403="","",TEXT(B403,"yyyy-mm-dd")&amp;"|"&amp;F403)</f>
        <v>0</v>
      </c>
      <c r="AF403" s="31">
        <f>IF(B403="","",IF(AND(G403="",I403=""),"Add - nothing planned yet",IF(COUNTIFS($AE$5:$AE$504,AE403)&gt;1,"Duplicate - two meals in one slot",IF(AND(G403&lt;&gt;"",H403="Not found"),"Missing - recipe ID not on the Recipes tab",IF(AND(B403&lt;TODAY(),OR(N403="Planned",N403="")),"Check - did you cook it?","OK")))))</f>
        <v>0</v>
      </c>
    </row>
    <row r="404" spans="1:32">
      <c r="A404" s="39">
        <f>IF(B404="","",MealPrefix&amp;TEXT(ROW()-4,"0000"))</f>
        <v>0</v>
      </c>
      <c r="C404" s="17">
        <f>IF(B404="","",TEXT(B404,"ddd"))</f>
        <v>0</v>
      </c>
      <c r="D404" s="18">
        <f>IF(B404="","",WEEKNUM(B404,IF(WeekStart="Sunday",1,2)))</f>
        <v>0</v>
      </c>
      <c r="E404" s="17">
        <f>IF(B404="","",TEXT(B404,"yyyy-mm"))</f>
        <v>0</v>
      </c>
      <c r="H404" s="17">
        <f>IF(G404&lt;&gt;"",IFERROR(INDEX(Recipes!$B$5:$B$204,MATCH(G404,Recipes!$A$5:$A$204,0)),"Not found"),I404)</f>
        <v>0</v>
      </c>
      <c r="K404" s="45">
        <f>IF(B404="","",IF(J404="",DefaultServings,J404))</f>
        <v>0</v>
      </c>
      <c r="L404" s="45">
        <f>IF(G404="",0,IFERROR(K404/INDEX(Recipes!$G$5:$G$204,MATCH(G404,Recipes!$A$5:$A$204,0)),0))</f>
        <v>0</v>
      </c>
      <c r="T404" s="25">
        <f>IF(G404="","",IFERROR(INDEX(Recipes!$AD$5:$AD$204,MATCH(G404,Recipes!$A$5:$A$204,0))*K404,""))</f>
        <v>0</v>
      </c>
      <c r="V404" s="30">
        <f>IF(G404="","",IFERROR(INDEX(Recipes!$AE$5:$AE$204,MATCH(G404,Recipes!$A$5:$A$204,0)),"Not found"))</f>
        <v>0</v>
      </c>
      <c r="W404" s="45">
        <f>IF(G404="","",IFERROR(INDEX(Recipes!$AF$5:$AF$204,MATCH(G404,Recipes!$A$5:$A$204,0)),"Not found"))</f>
        <v>0</v>
      </c>
      <c r="X404" s="45">
        <f>IF(G404="","",IFERROR(INDEX(Recipes!$AG$5:$AG$204,MATCH(G404,Recipes!$A$5:$A$204,0)),"Not found"))</f>
        <v>0</v>
      </c>
      <c r="Y404" s="45">
        <f>IF(G404="","",IFERROR(INDEX(Recipes!$AH$5:$AH$204,MATCH(G404,Recipes!$A$5:$A$204,0)),"Not found"))</f>
        <v>0</v>
      </c>
      <c r="Z404" s="45">
        <f>IF(G404="","",IFERROR(INDEX(Recipes!$AI$5:$AI$204,MATCH(G404,Recipes!$A$5:$A$204,0)),"Not found"))</f>
        <v>0</v>
      </c>
      <c r="AA404" s="30">
        <f>IF(OR(V404="",NOT(ISNUMBER(V404))),"",V404*K404)</f>
        <v>0</v>
      </c>
      <c r="AB404" s="18">
        <f>IF(G404="","",IFERROR(INDEX(Recipes!$J$5:$J$204,MATCH(G404,Recipes!$A$5:$A$204,0)),"Not found"))</f>
        <v>0</v>
      </c>
      <c r="AC404" s="17">
        <f>IF(G404="","",IFERROR(INDEX(Recipes!$C$5:$C$204,MATCH(G404,Recipes!$A$5:$A$204,0)),"Not found"))</f>
        <v>0</v>
      </c>
      <c r="AD404" s="46">
        <f>IF(B404="","",IF(G404&lt;&gt;"","Yes",IF(OR(I404="",ISNUMBER(SEARCH("takeaway",I404)),ISNUMBER(SEARCH("out",I404))),"No","Yes")))</f>
        <v>0</v>
      </c>
      <c r="AE404" s="17">
        <f>IF(B404="","",TEXT(B404,"yyyy-mm-dd")&amp;"|"&amp;F404)</f>
        <v>0</v>
      </c>
      <c r="AF404" s="31">
        <f>IF(B404="","",IF(AND(G404="",I404=""),"Add - nothing planned yet",IF(COUNTIFS($AE$5:$AE$504,AE404)&gt;1,"Duplicate - two meals in one slot",IF(AND(G404&lt;&gt;"",H404="Not found"),"Missing - recipe ID not on the Recipes tab",IF(AND(B404&lt;TODAY(),OR(N404="Planned",N404="")),"Check - did you cook it?","OK")))))</f>
        <v>0</v>
      </c>
    </row>
    <row r="405" spans="1:32">
      <c r="A405" s="39">
        <f>IF(B405="","",MealPrefix&amp;TEXT(ROW()-4,"0000"))</f>
        <v>0</v>
      </c>
      <c r="C405" s="17">
        <f>IF(B405="","",TEXT(B405,"ddd"))</f>
        <v>0</v>
      </c>
      <c r="D405" s="18">
        <f>IF(B405="","",WEEKNUM(B405,IF(WeekStart="Sunday",1,2)))</f>
        <v>0</v>
      </c>
      <c r="E405" s="17">
        <f>IF(B405="","",TEXT(B405,"yyyy-mm"))</f>
        <v>0</v>
      </c>
      <c r="H405" s="17">
        <f>IF(G405&lt;&gt;"",IFERROR(INDEX(Recipes!$B$5:$B$204,MATCH(G405,Recipes!$A$5:$A$204,0)),"Not found"),I405)</f>
        <v>0</v>
      </c>
      <c r="K405" s="45">
        <f>IF(B405="","",IF(J405="",DefaultServings,J405))</f>
        <v>0</v>
      </c>
      <c r="L405" s="45">
        <f>IF(G405="",0,IFERROR(K405/INDEX(Recipes!$G$5:$G$204,MATCH(G405,Recipes!$A$5:$A$204,0)),0))</f>
        <v>0</v>
      </c>
      <c r="T405" s="25">
        <f>IF(G405="","",IFERROR(INDEX(Recipes!$AD$5:$AD$204,MATCH(G405,Recipes!$A$5:$A$204,0))*K405,""))</f>
        <v>0</v>
      </c>
      <c r="V405" s="30">
        <f>IF(G405="","",IFERROR(INDEX(Recipes!$AE$5:$AE$204,MATCH(G405,Recipes!$A$5:$A$204,0)),"Not found"))</f>
        <v>0</v>
      </c>
      <c r="W405" s="45">
        <f>IF(G405="","",IFERROR(INDEX(Recipes!$AF$5:$AF$204,MATCH(G405,Recipes!$A$5:$A$204,0)),"Not found"))</f>
        <v>0</v>
      </c>
      <c r="X405" s="45">
        <f>IF(G405="","",IFERROR(INDEX(Recipes!$AG$5:$AG$204,MATCH(G405,Recipes!$A$5:$A$204,0)),"Not found"))</f>
        <v>0</v>
      </c>
      <c r="Y405" s="45">
        <f>IF(G405="","",IFERROR(INDEX(Recipes!$AH$5:$AH$204,MATCH(G405,Recipes!$A$5:$A$204,0)),"Not found"))</f>
        <v>0</v>
      </c>
      <c r="Z405" s="45">
        <f>IF(G405="","",IFERROR(INDEX(Recipes!$AI$5:$AI$204,MATCH(G405,Recipes!$A$5:$A$204,0)),"Not found"))</f>
        <v>0</v>
      </c>
      <c r="AA405" s="30">
        <f>IF(OR(V405="",NOT(ISNUMBER(V405))),"",V405*K405)</f>
        <v>0</v>
      </c>
      <c r="AB405" s="18">
        <f>IF(G405="","",IFERROR(INDEX(Recipes!$J$5:$J$204,MATCH(G405,Recipes!$A$5:$A$204,0)),"Not found"))</f>
        <v>0</v>
      </c>
      <c r="AC405" s="17">
        <f>IF(G405="","",IFERROR(INDEX(Recipes!$C$5:$C$204,MATCH(G405,Recipes!$A$5:$A$204,0)),"Not found"))</f>
        <v>0</v>
      </c>
      <c r="AD405" s="46">
        <f>IF(B405="","",IF(G405&lt;&gt;"","Yes",IF(OR(I405="",ISNUMBER(SEARCH("takeaway",I405)),ISNUMBER(SEARCH("out",I405))),"No","Yes")))</f>
        <v>0</v>
      </c>
      <c r="AE405" s="17">
        <f>IF(B405="","",TEXT(B405,"yyyy-mm-dd")&amp;"|"&amp;F405)</f>
        <v>0</v>
      </c>
      <c r="AF405" s="31">
        <f>IF(B405="","",IF(AND(G405="",I405=""),"Add - nothing planned yet",IF(COUNTIFS($AE$5:$AE$504,AE405)&gt;1,"Duplicate - two meals in one slot",IF(AND(G405&lt;&gt;"",H405="Not found"),"Missing - recipe ID not on the Recipes tab",IF(AND(B405&lt;TODAY(),OR(N405="Planned",N405="")),"Check - did you cook it?","OK")))))</f>
        <v>0</v>
      </c>
    </row>
    <row r="406" spans="1:32">
      <c r="A406" s="39">
        <f>IF(B406="","",MealPrefix&amp;TEXT(ROW()-4,"0000"))</f>
        <v>0</v>
      </c>
      <c r="C406" s="17">
        <f>IF(B406="","",TEXT(B406,"ddd"))</f>
        <v>0</v>
      </c>
      <c r="D406" s="18">
        <f>IF(B406="","",WEEKNUM(B406,IF(WeekStart="Sunday",1,2)))</f>
        <v>0</v>
      </c>
      <c r="E406" s="17">
        <f>IF(B406="","",TEXT(B406,"yyyy-mm"))</f>
        <v>0</v>
      </c>
      <c r="H406" s="17">
        <f>IF(G406&lt;&gt;"",IFERROR(INDEX(Recipes!$B$5:$B$204,MATCH(G406,Recipes!$A$5:$A$204,0)),"Not found"),I406)</f>
        <v>0</v>
      </c>
      <c r="K406" s="45">
        <f>IF(B406="","",IF(J406="",DefaultServings,J406))</f>
        <v>0</v>
      </c>
      <c r="L406" s="45">
        <f>IF(G406="",0,IFERROR(K406/INDEX(Recipes!$G$5:$G$204,MATCH(G406,Recipes!$A$5:$A$204,0)),0))</f>
        <v>0</v>
      </c>
      <c r="T406" s="25">
        <f>IF(G406="","",IFERROR(INDEX(Recipes!$AD$5:$AD$204,MATCH(G406,Recipes!$A$5:$A$204,0))*K406,""))</f>
        <v>0</v>
      </c>
      <c r="V406" s="30">
        <f>IF(G406="","",IFERROR(INDEX(Recipes!$AE$5:$AE$204,MATCH(G406,Recipes!$A$5:$A$204,0)),"Not found"))</f>
        <v>0</v>
      </c>
      <c r="W406" s="45">
        <f>IF(G406="","",IFERROR(INDEX(Recipes!$AF$5:$AF$204,MATCH(G406,Recipes!$A$5:$A$204,0)),"Not found"))</f>
        <v>0</v>
      </c>
      <c r="X406" s="45">
        <f>IF(G406="","",IFERROR(INDEX(Recipes!$AG$5:$AG$204,MATCH(G406,Recipes!$A$5:$A$204,0)),"Not found"))</f>
        <v>0</v>
      </c>
      <c r="Y406" s="45">
        <f>IF(G406="","",IFERROR(INDEX(Recipes!$AH$5:$AH$204,MATCH(G406,Recipes!$A$5:$A$204,0)),"Not found"))</f>
        <v>0</v>
      </c>
      <c r="Z406" s="45">
        <f>IF(G406="","",IFERROR(INDEX(Recipes!$AI$5:$AI$204,MATCH(G406,Recipes!$A$5:$A$204,0)),"Not found"))</f>
        <v>0</v>
      </c>
      <c r="AA406" s="30">
        <f>IF(OR(V406="",NOT(ISNUMBER(V406))),"",V406*K406)</f>
        <v>0</v>
      </c>
      <c r="AB406" s="18">
        <f>IF(G406="","",IFERROR(INDEX(Recipes!$J$5:$J$204,MATCH(G406,Recipes!$A$5:$A$204,0)),"Not found"))</f>
        <v>0</v>
      </c>
      <c r="AC406" s="17">
        <f>IF(G406="","",IFERROR(INDEX(Recipes!$C$5:$C$204,MATCH(G406,Recipes!$A$5:$A$204,0)),"Not found"))</f>
        <v>0</v>
      </c>
      <c r="AD406" s="46">
        <f>IF(B406="","",IF(G406&lt;&gt;"","Yes",IF(OR(I406="",ISNUMBER(SEARCH("takeaway",I406)),ISNUMBER(SEARCH("out",I406))),"No","Yes")))</f>
        <v>0</v>
      </c>
      <c r="AE406" s="17">
        <f>IF(B406="","",TEXT(B406,"yyyy-mm-dd")&amp;"|"&amp;F406)</f>
        <v>0</v>
      </c>
      <c r="AF406" s="31">
        <f>IF(B406="","",IF(AND(G406="",I406=""),"Add - nothing planned yet",IF(COUNTIFS($AE$5:$AE$504,AE406)&gt;1,"Duplicate - two meals in one slot",IF(AND(G406&lt;&gt;"",H406="Not found"),"Missing - recipe ID not on the Recipes tab",IF(AND(B406&lt;TODAY(),OR(N406="Planned",N406="")),"Check - did you cook it?","OK")))))</f>
        <v>0</v>
      </c>
    </row>
    <row r="407" spans="1:32">
      <c r="A407" s="39">
        <f>IF(B407="","",MealPrefix&amp;TEXT(ROW()-4,"0000"))</f>
        <v>0</v>
      </c>
      <c r="C407" s="17">
        <f>IF(B407="","",TEXT(B407,"ddd"))</f>
        <v>0</v>
      </c>
      <c r="D407" s="18">
        <f>IF(B407="","",WEEKNUM(B407,IF(WeekStart="Sunday",1,2)))</f>
        <v>0</v>
      </c>
      <c r="E407" s="17">
        <f>IF(B407="","",TEXT(B407,"yyyy-mm"))</f>
        <v>0</v>
      </c>
      <c r="H407" s="17">
        <f>IF(G407&lt;&gt;"",IFERROR(INDEX(Recipes!$B$5:$B$204,MATCH(G407,Recipes!$A$5:$A$204,0)),"Not found"),I407)</f>
        <v>0</v>
      </c>
      <c r="K407" s="45">
        <f>IF(B407="","",IF(J407="",DefaultServings,J407))</f>
        <v>0</v>
      </c>
      <c r="L407" s="45">
        <f>IF(G407="",0,IFERROR(K407/INDEX(Recipes!$G$5:$G$204,MATCH(G407,Recipes!$A$5:$A$204,0)),0))</f>
        <v>0</v>
      </c>
      <c r="T407" s="25">
        <f>IF(G407="","",IFERROR(INDEX(Recipes!$AD$5:$AD$204,MATCH(G407,Recipes!$A$5:$A$204,0))*K407,""))</f>
        <v>0</v>
      </c>
      <c r="V407" s="30">
        <f>IF(G407="","",IFERROR(INDEX(Recipes!$AE$5:$AE$204,MATCH(G407,Recipes!$A$5:$A$204,0)),"Not found"))</f>
        <v>0</v>
      </c>
      <c r="W407" s="45">
        <f>IF(G407="","",IFERROR(INDEX(Recipes!$AF$5:$AF$204,MATCH(G407,Recipes!$A$5:$A$204,0)),"Not found"))</f>
        <v>0</v>
      </c>
      <c r="X407" s="45">
        <f>IF(G407="","",IFERROR(INDEX(Recipes!$AG$5:$AG$204,MATCH(G407,Recipes!$A$5:$A$204,0)),"Not found"))</f>
        <v>0</v>
      </c>
      <c r="Y407" s="45">
        <f>IF(G407="","",IFERROR(INDEX(Recipes!$AH$5:$AH$204,MATCH(G407,Recipes!$A$5:$A$204,0)),"Not found"))</f>
        <v>0</v>
      </c>
      <c r="Z407" s="45">
        <f>IF(G407="","",IFERROR(INDEX(Recipes!$AI$5:$AI$204,MATCH(G407,Recipes!$A$5:$A$204,0)),"Not found"))</f>
        <v>0</v>
      </c>
      <c r="AA407" s="30">
        <f>IF(OR(V407="",NOT(ISNUMBER(V407))),"",V407*K407)</f>
        <v>0</v>
      </c>
      <c r="AB407" s="18">
        <f>IF(G407="","",IFERROR(INDEX(Recipes!$J$5:$J$204,MATCH(G407,Recipes!$A$5:$A$204,0)),"Not found"))</f>
        <v>0</v>
      </c>
      <c r="AC407" s="17">
        <f>IF(G407="","",IFERROR(INDEX(Recipes!$C$5:$C$204,MATCH(G407,Recipes!$A$5:$A$204,0)),"Not found"))</f>
        <v>0</v>
      </c>
      <c r="AD407" s="46">
        <f>IF(B407="","",IF(G407&lt;&gt;"","Yes",IF(OR(I407="",ISNUMBER(SEARCH("takeaway",I407)),ISNUMBER(SEARCH("out",I407))),"No","Yes")))</f>
        <v>0</v>
      </c>
      <c r="AE407" s="17">
        <f>IF(B407="","",TEXT(B407,"yyyy-mm-dd")&amp;"|"&amp;F407)</f>
        <v>0</v>
      </c>
      <c r="AF407" s="31">
        <f>IF(B407="","",IF(AND(G407="",I407=""),"Add - nothing planned yet",IF(COUNTIFS($AE$5:$AE$504,AE407)&gt;1,"Duplicate - two meals in one slot",IF(AND(G407&lt;&gt;"",H407="Not found"),"Missing - recipe ID not on the Recipes tab",IF(AND(B407&lt;TODAY(),OR(N407="Planned",N407="")),"Check - did you cook it?","OK")))))</f>
        <v>0</v>
      </c>
    </row>
    <row r="408" spans="1:32">
      <c r="A408" s="39">
        <f>IF(B408="","",MealPrefix&amp;TEXT(ROW()-4,"0000"))</f>
        <v>0</v>
      </c>
      <c r="C408" s="17">
        <f>IF(B408="","",TEXT(B408,"ddd"))</f>
        <v>0</v>
      </c>
      <c r="D408" s="18">
        <f>IF(B408="","",WEEKNUM(B408,IF(WeekStart="Sunday",1,2)))</f>
        <v>0</v>
      </c>
      <c r="E408" s="17">
        <f>IF(B408="","",TEXT(B408,"yyyy-mm"))</f>
        <v>0</v>
      </c>
      <c r="H408" s="17">
        <f>IF(G408&lt;&gt;"",IFERROR(INDEX(Recipes!$B$5:$B$204,MATCH(G408,Recipes!$A$5:$A$204,0)),"Not found"),I408)</f>
        <v>0</v>
      </c>
      <c r="K408" s="45">
        <f>IF(B408="","",IF(J408="",DefaultServings,J408))</f>
        <v>0</v>
      </c>
      <c r="L408" s="45">
        <f>IF(G408="",0,IFERROR(K408/INDEX(Recipes!$G$5:$G$204,MATCH(G408,Recipes!$A$5:$A$204,0)),0))</f>
        <v>0</v>
      </c>
      <c r="T408" s="25">
        <f>IF(G408="","",IFERROR(INDEX(Recipes!$AD$5:$AD$204,MATCH(G408,Recipes!$A$5:$A$204,0))*K408,""))</f>
        <v>0</v>
      </c>
      <c r="V408" s="30">
        <f>IF(G408="","",IFERROR(INDEX(Recipes!$AE$5:$AE$204,MATCH(G408,Recipes!$A$5:$A$204,0)),"Not found"))</f>
        <v>0</v>
      </c>
      <c r="W408" s="45">
        <f>IF(G408="","",IFERROR(INDEX(Recipes!$AF$5:$AF$204,MATCH(G408,Recipes!$A$5:$A$204,0)),"Not found"))</f>
        <v>0</v>
      </c>
      <c r="X408" s="45">
        <f>IF(G408="","",IFERROR(INDEX(Recipes!$AG$5:$AG$204,MATCH(G408,Recipes!$A$5:$A$204,0)),"Not found"))</f>
        <v>0</v>
      </c>
      <c r="Y408" s="45">
        <f>IF(G408="","",IFERROR(INDEX(Recipes!$AH$5:$AH$204,MATCH(G408,Recipes!$A$5:$A$204,0)),"Not found"))</f>
        <v>0</v>
      </c>
      <c r="Z408" s="45">
        <f>IF(G408="","",IFERROR(INDEX(Recipes!$AI$5:$AI$204,MATCH(G408,Recipes!$A$5:$A$204,0)),"Not found"))</f>
        <v>0</v>
      </c>
      <c r="AA408" s="30">
        <f>IF(OR(V408="",NOT(ISNUMBER(V408))),"",V408*K408)</f>
        <v>0</v>
      </c>
      <c r="AB408" s="18">
        <f>IF(G408="","",IFERROR(INDEX(Recipes!$J$5:$J$204,MATCH(G408,Recipes!$A$5:$A$204,0)),"Not found"))</f>
        <v>0</v>
      </c>
      <c r="AC408" s="17">
        <f>IF(G408="","",IFERROR(INDEX(Recipes!$C$5:$C$204,MATCH(G408,Recipes!$A$5:$A$204,0)),"Not found"))</f>
        <v>0</v>
      </c>
      <c r="AD408" s="46">
        <f>IF(B408="","",IF(G408&lt;&gt;"","Yes",IF(OR(I408="",ISNUMBER(SEARCH("takeaway",I408)),ISNUMBER(SEARCH("out",I408))),"No","Yes")))</f>
        <v>0</v>
      </c>
      <c r="AE408" s="17">
        <f>IF(B408="","",TEXT(B408,"yyyy-mm-dd")&amp;"|"&amp;F408)</f>
        <v>0</v>
      </c>
      <c r="AF408" s="31">
        <f>IF(B408="","",IF(AND(G408="",I408=""),"Add - nothing planned yet",IF(COUNTIFS($AE$5:$AE$504,AE408)&gt;1,"Duplicate - two meals in one slot",IF(AND(G408&lt;&gt;"",H408="Not found"),"Missing - recipe ID not on the Recipes tab",IF(AND(B408&lt;TODAY(),OR(N408="Planned",N408="")),"Check - did you cook it?","OK")))))</f>
        <v>0</v>
      </c>
    </row>
    <row r="409" spans="1:32">
      <c r="A409" s="39">
        <f>IF(B409="","",MealPrefix&amp;TEXT(ROW()-4,"0000"))</f>
        <v>0</v>
      </c>
      <c r="C409" s="17">
        <f>IF(B409="","",TEXT(B409,"ddd"))</f>
        <v>0</v>
      </c>
      <c r="D409" s="18">
        <f>IF(B409="","",WEEKNUM(B409,IF(WeekStart="Sunday",1,2)))</f>
        <v>0</v>
      </c>
      <c r="E409" s="17">
        <f>IF(B409="","",TEXT(B409,"yyyy-mm"))</f>
        <v>0</v>
      </c>
      <c r="H409" s="17">
        <f>IF(G409&lt;&gt;"",IFERROR(INDEX(Recipes!$B$5:$B$204,MATCH(G409,Recipes!$A$5:$A$204,0)),"Not found"),I409)</f>
        <v>0</v>
      </c>
      <c r="K409" s="45">
        <f>IF(B409="","",IF(J409="",DefaultServings,J409))</f>
        <v>0</v>
      </c>
      <c r="L409" s="45">
        <f>IF(G409="",0,IFERROR(K409/INDEX(Recipes!$G$5:$G$204,MATCH(G409,Recipes!$A$5:$A$204,0)),0))</f>
        <v>0</v>
      </c>
      <c r="T409" s="25">
        <f>IF(G409="","",IFERROR(INDEX(Recipes!$AD$5:$AD$204,MATCH(G409,Recipes!$A$5:$A$204,0))*K409,""))</f>
        <v>0</v>
      </c>
      <c r="V409" s="30">
        <f>IF(G409="","",IFERROR(INDEX(Recipes!$AE$5:$AE$204,MATCH(G409,Recipes!$A$5:$A$204,0)),"Not found"))</f>
        <v>0</v>
      </c>
      <c r="W409" s="45">
        <f>IF(G409="","",IFERROR(INDEX(Recipes!$AF$5:$AF$204,MATCH(G409,Recipes!$A$5:$A$204,0)),"Not found"))</f>
        <v>0</v>
      </c>
      <c r="X409" s="45">
        <f>IF(G409="","",IFERROR(INDEX(Recipes!$AG$5:$AG$204,MATCH(G409,Recipes!$A$5:$A$204,0)),"Not found"))</f>
        <v>0</v>
      </c>
      <c r="Y409" s="45">
        <f>IF(G409="","",IFERROR(INDEX(Recipes!$AH$5:$AH$204,MATCH(G409,Recipes!$A$5:$A$204,0)),"Not found"))</f>
        <v>0</v>
      </c>
      <c r="Z409" s="45">
        <f>IF(G409="","",IFERROR(INDEX(Recipes!$AI$5:$AI$204,MATCH(G409,Recipes!$A$5:$A$204,0)),"Not found"))</f>
        <v>0</v>
      </c>
      <c r="AA409" s="30">
        <f>IF(OR(V409="",NOT(ISNUMBER(V409))),"",V409*K409)</f>
        <v>0</v>
      </c>
      <c r="AB409" s="18">
        <f>IF(G409="","",IFERROR(INDEX(Recipes!$J$5:$J$204,MATCH(G409,Recipes!$A$5:$A$204,0)),"Not found"))</f>
        <v>0</v>
      </c>
      <c r="AC409" s="17">
        <f>IF(G409="","",IFERROR(INDEX(Recipes!$C$5:$C$204,MATCH(G409,Recipes!$A$5:$A$204,0)),"Not found"))</f>
        <v>0</v>
      </c>
      <c r="AD409" s="46">
        <f>IF(B409="","",IF(G409&lt;&gt;"","Yes",IF(OR(I409="",ISNUMBER(SEARCH("takeaway",I409)),ISNUMBER(SEARCH("out",I409))),"No","Yes")))</f>
        <v>0</v>
      </c>
      <c r="AE409" s="17">
        <f>IF(B409="","",TEXT(B409,"yyyy-mm-dd")&amp;"|"&amp;F409)</f>
        <v>0</v>
      </c>
      <c r="AF409" s="31">
        <f>IF(B409="","",IF(AND(G409="",I409=""),"Add - nothing planned yet",IF(COUNTIFS($AE$5:$AE$504,AE409)&gt;1,"Duplicate - two meals in one slot",IF(AND(G409&lt;&gt;"",H409="Not found"),"Missing - recipe ID not on the Recipes tab",IF(AND(B409&lt;TODAY(),OR(N409="Planned",N409="")),"Check - did you cook it?","OK")))))</f>
        <v>0</v>
      </c>
    </row>
    <row r="410" spans="1:32">
      <c r="A410" s="39">
        <f>IF(B410="","",MealPrefix&amp;TEXT(ROW()-4,"0000"))</f>
        <v>0</v>
      </c>
      <c r="C410" s="17">
        <f>IF(B410="","",TEXT(B410,"ddd"))</f>
        <v>0</v>
      </c>
      <c r="D410" s="18">
        <f>IF(B410="","",WEEKNUM(B410,IF(WeekStart="Sunday",1,2)))</f>
        <v>0</v>
      </c>
      <c r="E410" s="17">
        <f>IF(B410="","",TEXT(B410,"yyyy-mm"))</f>
        <v>0</v>
      </c>
      <c r="H410" s="17">
        <f>IF(G410&lt;&gt;"",IFERROR(INDEX(Recipes!$B$5:$B$204,MATCH(G410,Recipes!$A$5:$A$204,0)),"Not found"),I410)</f>
        <v>0</v>
      </c>
      <c r="K410" s="45">
        <f>IF(B410="","",IF(J410="",DefaultServings,J410))</f>
        <v>0</v>
      </c>
      <c r="L410" s="45">
        <f>IF(G410="",0,IFERROR(K410/INDEX(Recipes!$G$5:$G$204,MATCH(G410,Recipes!$A$5:$A$204,0)),0))</f>
        <v>0</v>
      </c>
      <c r="T410" s="25">
        <f>IF(G410="","",IFERROR(INDEX(Recipes!$AD$5:$AD$204,MATCH(G410,Recipes!$A$5:$A$204,0))*K410,""))</f>
        <v>0</v>
      </c>
      <c r="V410" s="30">
        <f>IF(G410="","",IFERROR(INDEX(Recipes!$AE$5:$AE$204,MATCH(G410,Recipes!$A$5:$A$204,0)),"Not found"))</f>
        <v>0</v>
      </c>
      <c r="W410" s="45">
        <f>IF(G410="","",IFERROR(INDEX(Recipes!$AF$5:$AF$204,MATCH(G410,Recipes!$A$5:$A$204,0)),"Not found"))</f>
        <v>0</v>
      </c>
      <c r="X410" s="45">
        <f>IF(G410="","",IFERROR(INDEX(Recipes!$AG$5:$AG$204,MATCH(G410,Recipes!$A$5:$A$204,0)),"Not found"))</f>
        <v>0</v>
      </c>
      <c r="Y410" s="45">
        <f>IF(G410="","",IFERROR(INDEX(Recipes!$AH$5:$AH$204,MATCH(G410,Recipes!$A$5:$A$204,0)),"Not found"))</f>
        <v>0</v>
      </c>
      <c r="Z410" s="45">
        <f>IF(G410="","",IFERROR(INDEX(Recipes!$AI$5:$AI$204,MATCH(G410,Recipes!$A$5:$A$204,0)),"Not found"))</f>
        <v>0</v>
      </c>
      <c r="AA410" s="30">
        <f>IF(OR(V410="",NOT(ISNUMBER(V410))),"",V410*K410)</f>
        <v>0</v>
      </c>
      <c r="AB410" s="18">
        <f>IF(G410="","",IFERROR(INDEX(Recipes!$J$5:$J$204,MATCH(G410,Recipes!$A$5:$A$204,0)),"Not found"))</f>
        <v>0</v>
      </c>
      <c r="AC410" s="17">
        <f>IF(G410="","",IFERROR(INDEX(Recipes!$C$5:$C$204,MATCH(G410,Recipes!$A$5:$A$204,0)),"Not found"))</f>
        <v>0</v>
      </c>
      <c r="AD410" s="46">
        <f>IF(B410="","",IF(G410&lt;&gt;"","Yes",IF(OR(I410="",ISNUMBER(SEARCH("takeaway",I410)),ISNUMBER(SEARCH("out",I410))),"No","Yes")))</f>
        <v>0</v>
      </c>
      <c r="AE410" s="17">
        <f>IF(B410="","",TEXT(B410,"yyyy-mm-dd")&amp;"|"&amp;F410)</f>
        <v>0</v>
      </c>
      <c r="AF410" s="31">
        <f>IF(B410="","",IF(AND(G410="",I410=""),"Add - nothing planned yet",IF(COUNTIFS($AE$5:$AE$504,AE410)&gt;1,"Duplicate - two meals in one slot",IF(AND(G410&lt;&gt;"",H410="Not found"),"Missing - recipe ID not on the Recipes tab",IF(AND(B410&lt;TODAY(),OR(N410="Planned",N410="")),"Check - did you cook it?","OK")))))</f>
        <v>0</v>
      </c>
    </row>
    <row r="411" spans="1:32">
      <c r="A411" s="39">
        <f>IF(B411="","",MealPrefix&amp;TEXT(ROW()-4,"0000"))</f>
        <v>0</v>
      </c>
      <c r="C411" s="17">
        <f>IF(B411="","",TEXT(B411,"ddd"))</f>
        <v>0</v>
      </c>
      <c r="D411" s="18">
        <f>IF(B411="","",WEEKNUM(B411,IF(WeekStart="Sunday",1,2)))</f>
        <v>0</v>
      </c>
      <c r="E411" s="17">
        <f>IF(B411="","",TEXT(B411,"yyyy-mm"))</f>
        <v>0</v>
      </c>
      <c r="H411" s="17">
        <f>IF(G411&lt;&gt;"",IFERROR(INDEX(Recipes!$B$5:$B$204,MATCH(G411,Recipes!$A$5:$A$204,0)),"Not found"),I411)</f>
        <v>0</v>
      </c>
      <c r="K411" s="45">
        <f>IF(B411="","",IF(J411="",DefaultServings,J411))</f>
        <v>0</v>
      </c>
      <c r="L411" s="45">
        <f>IF(G411="",0,IFERROR(K411/INDEX(Recipes!$G$5:$G$204,MATCH(G411,Recipes!$A$5:$A$204,0)),0))</f>
        <v>0</v>
      </c>
      <c r="T411" s="25">
        <f>IF(G411="","",IFERROR(INDEX(Recipes!$AD$5:$AD$204,MATCH(G411,Recipes!$A$5:$A$204,0))*K411,""))</f>
        <v>0</v>
      </c>
      <c r="V411" s="30">
        <f>IF(G411="","",IFERROR(INDEX(Recipes!$AE$5:$AE$204,MATCH(G411,Recipes!$A$5:$A$204,0)),"Not found"))</f>
        <v>0</v>
      </c>
      <c r="W411" s="45">
        <f>IF(G411="","",IFERROR(INDEX(Recipes!$AF$5:$AF$204,MATCH(G411,Recipes!$A$5:$A$204,0)),"Not found"))</f>
        <v>0</v>
      </c>
      <c r="X411" s="45">
        <f>IF(G411="","",IFERROR(INDEX(Recipes!$AG$5:$AG$204,MATCH(G411,Recipes!$A$5:$A$204,0)),"Not found"))</f>
        <v>0</v>
      </c>
      <c r="Y411" s="45">
        <f>IF(G411="","",IFERROR(INDEX(Recipes!$AH$5:$AH$204,MATCH(G411,Recipes!$A$5:$A$204,0)),"Not found"))</f>
        <v>0</v>
      </c>
      <c r="Z411" s="45">
        <f>IF(G411="","",IFERROR(INDEX(Recipes!$AI$5:$AI$204,MATCH(G411,Recipes!$A$5:$A$204,0)),"Not found"))</f>
        <v>0</v>
      </c>
      <c r="AA411" s="30">
        <f>IF(OR(V411="",NOT(ISNUMBER(V411))),"",V411*K411)</f>
        <v>0</v>
      </c>
      <c r="AB411" s="18">
        <f>IF(G411="","",IFERROR(INDEX(Recipes!$J$5:$J$204,MATCH(G411,Recipes!$A$5:$A$204,0)),"Not found"))</f>
        <v>0</v>
      </c>
      <c r="AC411" s="17">
        <f>IF(G411="","",IFERROR(INDEX(Recipes!$C$5:$C$204,MATCH(G411,Recipes!$A$5:$A$204,0)),"Not found"))</f>
        <v>0</v>
      </c>
      <c r="AD411" s="46">
        <f>IF(B411="","",IF(G411&lt;&gt;"","Yes",IF(OR(I411="",ISNUMBER(SEARCH("takeaway",I411)),ISNUMBER(SEARCH("out",I411))),"No","Yes")))</f>
        <v>0</v>
      </c>
      <c r="AE411" s="17">
        <f>IF(B411="","",TEXT(B411,"yyyy-mm-dd")&amp;"|"&amp;F411)</f>
        <v>0</v>
      </c>
      <c r="AF411" s="31">
        <f>IF(B411="","",IF(AND(G411="",I411=""),"Add - nothing planned yet",IF(COUNTIFS($AE$5:$AE$504,AE411)&gt;1,"Duplicate - two meals in one slot",IF(AND(G411&lt;&gt;"",H411="Not found"),"Missing - recipe ID not on the Recipes tab",IF(AND(B411&lt;TODAY(),OR(N411="Planned",N411="")),"Check - did you cook it?","OK")))))</f>
        <v>0</v>
      </c>
    </row>
    <row r="412" spans="1:32">
      <c r="A412" s="39">
        <f>IF(B412="","",MealPrefix&amp;TEXT(ROW()-4,"0000"))</f>
        <v>0</v>
      </c>
      <c r="C412" s="17">
        <f>IF(B412="","",TEXT(B412,"ddd"))</f>
        <v>0</v>
      </c>
      <c r="D412" s="18">
        <f>IF(B412="","",WEEKNUM(B412,IF(WeekStart="Sunday",1,2)))</f>
        <v>0</v>
      </c>
      <c r="E412" s="17">
        <f>IF(B412="","",TEXT(B412,"yyyy-mm"))</f>
        <v>0</v>
      </c>
      <c r="H412" s="17">
        <f>IF(G412&lt;&gt;"",IFERROR(INDEX(Recipes!$B$5:$B$204,MATCH(G412,Recipes!$A$5:$A$204,0)),"Not found"),I412)</f>
        <v>0</v>
      </c>
      <c r="K412" s="45">
        <f>IF(B412="","",IF(J412="",DefaultServings,J412))</f>
        <v>0</v>
      </c>
      <c r="L412" s="45">
        <f>IF(G412="",0,IFERROR(K412/INDEX(Recipes!$G$5:$G$204,MATCH(G412,Recipes!$A$5:$A$204,0)),0))</f>
        <v>0</v>
      </c>
      <c r="T412" s="25">
        <f>IF(G412="","",IFERROR(INDEX(Recipes!$AD$5:$AD$204,MATCH(G412,Recipes!$A$5:$A$204,0))*K412,""))</f>
        <v>0</v>
      </c>
      <c r="V412" s="30">
        <f>IF(G412="","",IFERROR(INDEX(Recipes!$AE$5:$AE$204,MATCH(G412,Recipes!$A$5:$A$204,0)),"Not found"))</f>
        <v>0</v>
      </c>
      <c r="W412" s="45">
        <f>IF(G412="","",IFERROR(INDEX(Recipes!$AF$5:$AF$204,MATCH(G412,Recipes!$A$5:$A$204,0)),"Not found"))</f>
        <v>0</v>
      </c>
      <c r="X412" s="45">
        <f>IF(G412="","",IFERROR(INDEX(Recipes!$AG$5:$AG$204,MATCH(G412,Recipes!$A$5:$A$204,0)),"Not found"))</f>
        <v>0</v>
      </c>
      <c r="Y412" s="45">
        <f>IF(G412="","",IFERROR(INDEX(Recipes!$AH$5:$AH$204,MATCH(G412,Recipes!$A$5:$A$204,0)),"Not found"))</f>
        <v>0</v>
      </c>
      <c r="Z412" s="45">
        <f>IF(G412="","",IFERROR(INDEX(Recipes!$AI$5:$AI$204,MATCH(G412,Recipes!$A$5:$A$204,0)),"Not found"))</f>
        <v>0</v>
      </c>
      <c r="AA412" s="30">
        <f>IF(OR(V412="",NOT(ISNUMBER(V412))),"",V412*K412)</f>
        <v>0</v>
      </c>
      <c r="AB412" s="18">
        <f>IF(G412="","",IFERROR(INDEX(Recipes!$J$5:$J$204,MATCH(G412,Recipes!$A$5:$A$204,0)),"Not found"))</f>
        <v>0</v>
      </c>
      <c r="AC412" s="17">
        <f>IF(G412="","",IFERROR(INDEX(Recipes!$C$5:$C$204,MATCH(G412,Recipes!$A$5:$A$204,0)),"Not found"))</f>
        <v>0</v>
      </c>
      <c r="AD412" s="46">
        <f>IF(B412="","",IF(G412&lt;&gt;"","Yes",IF(OR(I412="",ISNUMBER(SEARCH("takeaway",I412)),ISNUMBER(SEARCH("out",I412))),"No","Yes")))</f>
        <v>0</v>
      </c>
      <c r="AE412" s="17">
        <f>IF(B412="","",TEXT(B412,"yyyy-mm-dd")&amp;"|"&amp;F412)</f>
        <v>0</v>
      </c>
      <c r="AF412" s="31">
        <f>IF(B412="","",IF(AND(G412="",I412=""),"Add - nothing planned yet",IF(COUNTIFS($AE$5:$AE$504,AE412)&gt;1,"Duplicate - two meals in one slot",IF(AND(G412&lt;&gt;"",H412="Not found"),"Missing - recipe ID not on the Recipes tab",IF(AND(B412&lt;TODAY(),OR(N412="Planned",N412="")),"Check - did you cook it?","OK")))))</f>
        <v>0</v>
      </c>
    </row>
    <row r="413" spans="1:32">
      <c r="A413" s="39">
        <f>IF(B413="","",MealPrefix&amp;TEXT(ROW()-4,"0000"))</f>
        <v>0</v>
      </c>
      <c r="C413" s="17">
        <f>IF(B413="","",TEXT(B413,"ddd"))</f>
        <v>0</v>
      </c>
      <c r="D413" s="18">
        <f>IF(B413="","",WEEKNUM(B413,IF(WeekStart="Sunday",1,2)))</f>
        <v>0</v>
      </c>
      <c r="E413" s="17">
        <f>IF(B413="","",TEXT(B413,"yyyy-mm"))</f>
        <v>0</v>
      </c>
      <c r="H413" s="17">
        <f>IF(G413&lt;&gt;"",IFERROR(INDEX(Recipes!$B$5:$B$204,MATCH(G413,Recipes!$A$5:$A$204,0)),"Not found"),I413)</f>
        <v>0</v>
      </c>
      <c r="K413" s="45">
        <f>IF(B413="","",IF(J413="",DefaultServings,J413))</f>
        <v>0</v>
      </c>
      <c r="L413" s="45">
        <f>IF(G413="",0,IFERROR(K413/INDEX(Recipes!$G$5:$G$204,MATCH(G413,Recipes!$A$5:$A$204,0)),0))</f>
        <v>0</v>
      </c>
      <c r="T413" s="25">
        <f>IF(G413="","",IFERROR(INDEX(Recipes!$AD$5:$AD$204,MATCH(G413,Recipes!$A$5:$A$204,0))*K413,""))</f>
        <v>0</v>
      </c>
      <c r="V413" s="30">
        <f>IF(G413="","",IFERROR(INDEX(Recipes!$AE$5:$AE$204,MATCH(G413,Recipes!$A$5:$A$204,0)),"Not found"))</f>
        <v>0</v>
      </c>
      <c r="W413" s="45">
        <f>IF(G413="","",IFERROR(INDEX(Recipes!$AF$5:$AF$204,MATCH(G413,Recipes!$A$5:$A$204,0)),"Not found"))</f>
        <v>0</v>
      </c>
      <c r="X413" s="45">
        <f>IF(G413="","",IFERROR(INDEX(Recipes!$AG$5:$AG$204,MATCH(G413,Recipes!$A$5:$A$204,0)),"Not found"))</f>
        <v>0</v>
      </c>
      <c r="Y413" s="45">
        <f>IF(G413="","",IFERROR(INDEX(Recipes!$AH$5:$AH$204,MATCH(G413,Recipes!$A$5:$A$204,0)),"Not found"))</f>
        <v>0</v>
      </c>
      <c r="Z413" s="45">
        <f>IF(G413="","",IFERROR(INDEX(Recipes!$AI$5:$AI$204,MATCH(G413,Recipes!$A$5:$A$204,0)),"Not found"))</f>
        <v>0</v>
      </c>
      <c r="AA413" s="30">
        <f>IF(OR(V413="",NOT(ISNUMBER(V413))),"",V413*K413)</f>
        <v>0</v>
      </c>
      <c r="AB413" s="18">
        <f>IF(G413="","",IFERROR(INDEX(Recipes!$J$5:$J$204,MATCH(G413,Recipes!$A$5:$A$204,0)),"Not found"))</f>
        <v>0</v>
      </c>
      <c r="AC413" s="17">
        <f>IF(G413="","",IFERROR(INDEX(Recipes!$C$5:$C$204,MATCH(G413,Recipes!$A$5:$A$204,0)),"Not found"))</f>
        <v>0</v>
      </c>
      <c r="AD413" s="46">
        <f>IF(B413="","",IF(G413&lt;&gt;"","Yes",IF(OR(I413="",ISNUMBER(SEARCH("takeaway",I413)),ISNUMBER(SEARCH("out",I413))),"No","Yes")))</f>
        <v>0</v>
      </c>
      <c r="AE413" s="17">
        <f>IF(B413="","",TEXT(B413,"yyyy-mm-dd")&amp;"|"&amp;F413)</f>
        <v>0</v>
      </c>
      <c r="AF413" s="31">
        <f>IF(B413="","",IF(AND(G413="",I413=""),"Add - nothing planned yet",IF(COUNTIFS($AE$5:$AE$504,AE413)&gt;1,"Duplicate - two meals in one slot",IF(AND(G413&lt;&gt;"",H413="Not found"),"Missing - recipe ID not on the Recipes tab",IF(AND(B413&lt;TODAY(),OR(N413="Planned",N413="")),"Check - did you cook it?","OK")))))</f>
        <v>0</v>
      </c>
    </row>
    <row r="414" spans="1:32">
      <c r="A414" s="39">
        <f>IF(B414="","",MealPrefix&amp;TEXT(ROW()-4,"0000"))</f>
        <v>0</v>
      </c>
      <c r="C414" s="17">
        <f>IF(B414="","",TEXT(B414,"ddd"))</f>
        <v>0</v>
      </c>
      <c r="D414" s="18">
        <f>IF(B414="","",WEEKNUM(B414,IF(WeekStart="Sunday",1,2)))</f>
        <v>0</v>
      </c>
      <c r="E414" s="17">
        <f>IF(B414="","",TEXT(B414,"yyyy-mm"))</f>
        <v>0</v>
      </c>
      <c r="H414" s="17">
        <f>IF(G414&lt;&gt;"",IFERROR(INDEX(Recipes!$B$5:$B$204,MATCH(G414,Recipes!$A$5:$A$204,0)),"Not found"),I414)</f>
        <v>0</v>
      </c>
      <c r="K414" s="45">
        <f>IF(B414="","",IF(J414="",DefaultServings,J414))</f>
        <v>0</v>
      </c>
      <c r="L414" s="45">
        <f>IF(G414="",0,IFERROR(K414/INDEX(Recipes!$G$5:$G$204,MATCH(G414,Recipes!$A$5:$A$204,0)),0))</f>
        <v>0</v>
      </c>
      <c r="T414" s="25">
        <f>IF(G414="","",IFERROR(INDEX(Recipes!$AD$5:$AD$204,MATCH(G414,Recipes!$A$5:$A$204,0))*K414,""))</f>
        <v>0</v>
      </c>
      <c r="V414" s="30">
        <f>IF(G414="","",IFERROR(INDEX(Recipes!$AE$5:$AE$204,MATCH(G414,Recipes!$A$5:$A$204,0)),"Not found"))</f>
        <v>0</v>
      </c>
      <c r="W414" s="45">
        <f>IF(G414="","",IFERROR(INDEX(Recipes!$AF$5:$AF$204,MATCH(G414,Recipes!$A$5:$A$204,0)),"Not found"))</f>
        <v>0</v>
      </c>
      <c r="X414" s="45">
        <f>IF(G414="","",IFERROR(INDEX(Recipes!$AG$5:$AG$204,MATCH(G414,Recipes!$A$5:$A$204,0)),"Not found"))</f>
        <v>0</v>
      </c>
      <c r="Y414" s="45">
        <f>IF(G414="","",IFERROR(INDEX(Recipes!$AH$5:$AH$204,MATCH(G414,Recipes!$A$5:$A$204,0)),"Not found"))</f>
        <v>0</v>
      </c>
      <c r="Z414" s="45">
        <f>IF(G414="","",IFERROR(INDEX(Recipes!$AI$5:$AI$204,MATCH(G414,Recipes!$A$5:$A$204,0)),"Not found"))</f>
        <v>0</v>
      </c>
      <c r="AA414" s="30">
        <f>IF(OR(V414="",NOT(ISNUMBER(V414))),"",V414*K414)</f>
        <v>0</v>
      </c>
      <c r="AB414" s="18">
        <f>IF(G414="","",IFERROR(INDEX(Recipes!$J$5:$J$204,MATCH(G414,Recipes!$A$5:$A$204,0)),"Not found"))</f>
        <v>0</v>
      </c>
      <c r="AC414" s="17">
        <f>IF(G414="","",IFERROR(INDEX(Recipes!$C$5:$C$204,MATCH(G414,Recipes!$A$5:$A$204,0)),"Not found"))</f>
        <v>0</v>
      </c>
      <c r="AD414" s="46">
        <f>IF(B414="","",IF(G414&lt;&gt;"","Yes",IF(OR(I414="",ISNUMBER(SEARCH("takeaway",I414)),ISNUMBER(SEARCH("out",I414))),"No","Yes")))</f>
        <v>0</v>
      </c>
      <c r="AE414" s="17">
        <f>IF(B414="","",TEXT(B414,"yyyy-mm-dd")&amp;"|"&amp;F414)</f>
        <v>0</v>
      </c>
      <c r="AF414" s="31">
        <f>IF(B414="","",IF(AND(G414="",I414=""),"Add - nothing planned yet",IF(COUNTIFS($AE$5:$AE$504,AE414)&gt;1,"Duplicate - two meals in one slot",IF(AND(G414&lt;&gt;"",H414="Not found"),"Missing - recipe ID not on the Recipes tab",IF(AND(B414&lt;TODAY(),OR(N414="Planned",N414="")),"Check - did you cook it?","OK")))))</f>
        <v>0</v>
      </c>
    </row>
    <row r="415" spans="1:32">
      <c r="A415" s="39">
        <f>IF(B415="","",MealPrefix&amp;TEXT(ROW()-4,"0000"))</f>
        <v>0</v>
      </c>
      <c r="C415" s="17">
        <f>IF(B415="","",TEXT(B415,"ddd"))</f>
        <v>0</v>
      </c>
      <c r="D415" s="18">
        <f>IF(B415="","",WEEKNUM(B415,IF(WeekStart="Sunday",1,2)))</f>
        <v>0</v>
      </c>
      <c r="E415" s="17">
        <f>IF(B415="","",TEXT(B415,"yyyy-mm"))</f>
        <v>0</v>
      </c>
      <c r="H415" s="17">
        <f>IF(G415&lt;&gt;"",IFERROR(INDEX(Recipes!$B$5:$B$204,MATCH(G415,Recipes!$A$5:$A$204,0)),"Not found"),I415)</f>
        <v>0</v>
      </c>
      <c r="K415" s="45">
        <f>IF(B415="","",IF(J415="",DefaultServings,J415))</f>
        <v>0</v>
      </c>
      <c r="L415" s="45">
        <f>IF(G415="",0,IFERROR(K415/INDEX(Recipes!$G$5:$G$204,MATCH(G415,Recipes!$A$5:$A$204,0)),0))</f>
        <v>0</v>
      </c>
      <c r="T415" s="25">
        <f>IF(G415="","",IFERROR(INDEX(Recipes!$AD$5:$AD$204,MATCH(G415,Recipes!$A$5:$A$204,0))*K415,""))</f>
        <v>0</v>
      </c>
      <c r="V415" s="30">
        <f>IF(G415="","",IFERROR(INDEX(Recipes!$AE$5:$AE$204,MATCH(G415,Recipes!$A$5:$A$204,0)),"Not found"))</f>
        <v>0</v>
      </c>
      <c r="W415" s="45">
        <f>IF(G415="","",IFERROR(INDEX(Recipes!$AF$5:$AF$204,MATCH(G415,Recipes!$A$5:$A$204,0)),"Not found"))</f>
        <v>0</v>
      </c>
      <c r="X415" s="45">
        <f>IF(G415="","",IFERROR(INDEX(Recipes!$AG$5:$AG$204,MATCH(G415,Recipes!$A$5:$A$204,0)),"Not found"))</f>
        <v>0</v>
      </c>
      <c r="Y415" s="45">
        <f>IF(G415="","",IFERROR(INDEX(Recipes!$AH$5:$AH$204,MATCH(G415,Recipes!$A$5:$A$204,0)),"Not found"))</f>
        <v>0</v>
      </c>
      <c r="Z415" s="45">
        <f>IF(G415="","",IFERROR(INDEX(Recipes!$AI$5:$AI$204,MATCH(G415,Recipes!$A$5:$A$204,0)),"Not found"))</f>
        <v>0</v>
      </c>
      <c r="AA415" s="30">
        <f>IF(OR(V415="",NOT(ISNUMBER(V415))),"",V415*K415)</f>
        <v>0</v>
      </c>
      <c r="AB415" s="18">
        <f>IF(G415="","",IFERROR(INDEX(Recipes!$J$5:$J$204,MATCH(G415,Recipes!$A$5:$A$204,0)),"Not found"))</f>
        <v>0</v>
      </c>
      <c r="AC415" s="17">
        <f>IF(G415="","",IFERROR(INDEX(Recipes!$C$5:$C$204,MATCH(G415,Recipes!$A$5:$A$204,0)),"Not found"))</f>
        <v>0</v>
      </c>
      <c r="AD415" s="46">
        <f>IF(B415="","",IF(G415&lt;&gt;"","Yes",IF(OR(I415="",ISNUMBER(SEARCH("takeaway",I415)),ISNUMBER(SEARCH("out",I415))),"No","Yes")))</f>
        <v>0</v>
      </c>
      <c r="AE415" s="17">
        <f>IF(B415="","",TEXT(B415,"yyyy-mm-dd")&amp;"|"&amp;F415)</f>
        <v>0</v>
      </c>
      <c r="AF415" s="31">
        <f>IF(B415="","",IF(AND(G415="",I415=""),"Add - nothing planned yet",IF(COUNTIFS($AE$5:$AE$504,AE415)&gt;1,"Duplicate - two meals in one slot",IF(AND(G415&lt;&gt;"",H415="Not found"),"Missing - recipe ID not on the Recipes tab",IF(AND(B415&lt;TODAY(),OR(N415="Planned",N415="")),"Check - did you cook it?","OK")))))</f>
        <v>0</v>
      </c>
    </row>
    <row r="416" spans="1:32">
      <c r="A416" s="39">
        <f>IF(B416="","",MealPrefix&amp;TEXT(ROW()-4,"0000"))</f>
        <v>0</v>
      </c>
      <c r="C416" s="17">
        <f>IF(B416="","",TEXT(B416,"ddd"))</f>
        <v>0</v>
      </c>
      <c r="D416" s="18">
        <f>IF(B416="","",WEEKNUM(B416,IF(WeekStart="Sunday",1,2)))</f>
        <v>0</v>
      </c>
      <c r="E416" s="17">
        <f>IF(B416="","",TEXT(B416,"yyyy-mm"))</f>
        <v>0</v>
      </c>
      <c r="H416" s="17">
        <f>IF(G416&lt;&gt;"",IFERROR(INDEX(Recipes!$B$5:$B$204,MATCH(G416,Recipes!$A$5:$A$204,0)),"Not found"),I416)</f>
        <v>0</v>
      </c>
      <c r="K416" s="45">
        <f>IF(B416="","",IF(J416="",DefaultServings,J416))</f>
        <v>0</v>
      </c>
      <c r="L416" s="45">
        <f>IF(G416="",0,IFERROR(K416/INDEX(Recipes!$G$5:$G$204,MATCH(G416,Recipes!$A$5:$A$204,0)),0))</f>
        <v>0</v>
      </c>
      <c r="T416" s="25">
        <f>IF(G416="","",IFERROR(INDEX(Recipes!$AD$5:$AD$204,MATCH(G416,Recipes!$A$5:$A$204,0))*K416,""))</f>
        <v>0</v>
      </c>
      <c r="V416" s="30">
        <f>IF(G416="","",IFERROR(INDEX(Recipes!$AE$5:$AE$204,MATCH(G416,Recipes!$A$5:$A$204,0)),"Not found"))</f>
        <v>0</v>
      </c>
      <c r="W416" s="45">
        <f>IF(G416="","",IFERROR(INDEX(Recipes!$AF$5:$AF$204,MATCH(G416,Recipes!$A$5:$A$204,0)),"Not found"))</f>
        <v>0</v>
      </c>
      <c r="X416" s="45">
        <f>IF(G416="","",IFERROR(INDEX(Recipes!$AG$5:$AG$204,MATCH(G416,Recipes!$A$5:$A$204,0)),"Not found"))</f>
        <v>0</v>
      </c>
      <c r="Y416" s="45">
        <f>IF(G416="","",IFERROR(INDEX(Recipes!$AH$5:$AH$204,MATCH(G416,Recipes!$A$5:$A$204,0)),"Not found"))</f>
        <v>0</v>
      </c>
      <c r="Z416" s="45">
        <f>IF(G416="","",IFERROR(INDEX(Recipes!$AI$5:$AI$204,MATCH(G416,Recipes!$A$5:$A$204,0)),"Not found"))</f>
        <v>0</v>
      </c>
      <c r="AA416" s="30">
        <f>IF(OR(V416="",NOT(ISNUMBER(V416))),"",V416*K416)</f>
        <v>0</v>
      </c>
      <c r="AB416" s="18">
        <f>IF(G416="","",IFERROR(INDEX(Recipes!$J$5:$J$204,MATCH(G416,Recipes!$A$5:$A$204,0)),"Not found"))</f>
        <v>0</v>
      </c>
      <c r="AC416" s="17">
        <f>IF(G416="","",IFERROR(INDEX(Recipes!$C$5:$C$204,MATCH(G416,Recipes!$A$5:$A$204,0)),"Not found"))</f>
        <v>0</v>
      </c>
      <c r="AD416" s="46">
        <f>IF(B416="","",IF(G416&lt;&gt;"","Yes",IF(OR(I416="",ISNUMBER(SEARCH("takeaway",I416)),ISNUMBER(SEARCH("out",I416))),"No","Yes")))</f>
        <v>0</v>
      </c>
      <c r="AE416" s="17">
        <f>IF(B416="","",TEXT(B416,"yyyy-mm-dd")&amp;"|"&amp;F416)</f>
        <v>0</v>
      </c>
      <c r="AF416" s="31">
        <f>IF(B416="","",IF(AND(G416="",I416=""),"Add - nothing planned yet",IF(COUNTIFS($AE$5:$AE$504,AE416)&gt;1,"Duplicate - two meals in one slot",IF(AND(G416&lt;&gt;"",H416="Not found"),"Missing - recipe ID not on the Recipes tab",IF(AND(B416&lt;TODAY(),OR(N416="Planned",N416="")),"Check - did you cook it?","OK")))))</f>
        <v>0</v>
      </c>
    </row>
    <row r="417" spans="1:32">
      <c r="A417" s="39">
        <f>IF(B417="","",MealPrefix&amp;TEXT(ROW()-4,"0000"))</f>
        <v>0</v>
      </c>
      <c r="C417" s="17">
        <f>IF(B417="","",TEXT(B417,"ddd"))</f>
        <v>0</v>
      </c>
      <c r="D417" s="18">
        <f>IF(B417="","",WEEKNUM(B417,IF(WeekStart="Sunday",1,2)))</f>
        <v>0</v>
      </c>
      <c r="E417" s="17">
        <f>IF(B417="","",TEXT(B417,"yyyy-mm"))</f>
        <v>0</v>
      </c>
      <c r="H417" s="17">
        <f>IF(G417&lt;&gt;"",IFERROR(INDEX(Recipes!$B$5:$B$204,MATCH(G417,Recipes!$A$5:$A$204,0)),"Not found"),I417)</f>
        <v>0</v>
      </c>
      <c r="K417" s="45">
        <f>IF(B417="","",IF(J417="",DefaultServings,J417))</f>
        <v>0</v>
      </c>
      <c r="L417" s="45">
        <f>IF(G417="",0,IFERROR(K417/INDEX(Recipes!$G$5:$G$204,MATCH(G417,Recipes!$A$5:$A$204,0)),0))</f>
        <v>0</v>
      </c>
      <c r="T417" s="25">
        <f>IF(G417="","",IFERROR(INDEX(Recipes!$AD$5:$AD$204,MATCH(G417,Recipes!$A$5:$A$204,0))*K417,""))</f>
        <v>0</v>
      </c>
      <c r="V417" s="30">
        <f>IF(G417="","",IFERROR(INDEX(Recipes!$AE$5:$AE$204,MATCH(G417,Recipes!$A$5:$A$204,0)),"Not found"))</f>
        <v>0</v>
      </c>
      <c r="W417" s="45">
        <f>IF(G417="","",IFERROR(INDEX(Recipes!$AF$5:$AF$204,MATCH(G417,Recipes!$A$5:$A$204,0)),"Not found"))</f>
        <v>0</v>
      </c>
      <c r="X417" s="45">
        <f>IF(G417="","",IFERROR(INDEX(Recipes!$AG$5:$AG$204,MATCH(G417,Recipes!$A$5:$A$204,0)),"Not found"))</f>
        <v>0</v>
      </c>
      <c r="Y417" s="45">
        <f>IF(G417="","",IFERROR(INDEX(Recipes!$AH$5:$AH$204,MATCH(G417,Recipes!$A$5:$A$204,0)),"Not found"))</f>
        <v>0</v>
      </c>
      <c r="Z417" s="45">
        <f>IF(G417="","",IFERROR(INDEX(Recipes!$AI$5:$AI$204,MATCH(G417,Recipes!$A$5:$A$204,0)),"Not found"))</f>
        <v>0</v>
      </c>
      <c r="AA417" s="30">
        <f>IF(OR(V417="",NOT(ISNUMBER(V417))),"",V417*K417)</f>
        <v>0</v>
      </c>
      <c r="AB417" s="18">
        <f>IF(G417="","",IFERROR(INDEX(Recipes!$J$5:$J$204,MATCH(G417,Recipes!$A$5:$A$204,0)),"Not found"))</f>
        <v>0</v>
      </c>
      <c r="AC417" s="17">
        <f>IF(G417="","",IFERROR(INDEX(Recipes!$C$5:$C$204,MATCH(G417,Recipes!$A$5:$A$204,0)),"Not found"))</f>
        <v>0</v>
      </c>
      <c r="AD417" s="46">
        <f>IF(B417="","",IF(G417&lt;&gt;"","Yes",IF(OR(I417="",ISNUMBER(SEARCH("takeaway",I417)),ISNUMBER(SEARCH("out",I417))),"No","Yes")))</f>
        <v>0</v>
      </c>
      <c r="AE417" s="17">
        <f>IF(B417="","",TEXT(B417,"yyyy-mm-dd")&amp;"|"&amp;F417)</f>
        <v>0</v>
      </c>
      <c r="AF417" s="31">
        <f>IF(B417="","",IF(AND(G417="",I417=""),"Add - nothing planned yet",IF(COUNTIFS($AE$5:$AE$504,AE417)&gt;1,"Duplicate - two meals in one slot",IF(AND(G417&lt;&gt;"",H417="Not found"),"Missing - recipe ID not on the Recipes tab",IF(AND(B417&lt;TODAY(),OR(N417="Planned",N417="")),"Check - did you cook it?","OK")))))</f>
        <v>0</v>
      </c>
    </row>
    <row r="418" spans="1:32">
      <c r="A418" s="39">
        <f>IF(B418="","",MealPrefix&amp;TEXT(ROW()-4,"0000"))</f>
        <v>0</v>
      </c>
      <c r="C418" s="17">
        <f>IF(B418="","",TEXT(B418,"ddd"))</f>
        <v>0</v>
      </c>
      <c r="D418" s="18">
        <f>IF(B418="","",WEEKNUM(B418,IF(WeekStart="Sunday",1,2)))</f>
        <v>0</v>
      </c>
      <c r="E418" s="17">
        <f>IF(B418="","",TEXT(B418,"yyyy-mm"))</f>
        <v>0</v>
      </c>
      <c r="H418" s="17">
        <f>IF(G418&lt;&gt;"",IFERROR(INDEX(Recipes!$B$5:$B$204,MATCH(G418,Recipes!$A$5:$A$204,0)),"Not found"),I418)</f>
        <v>0</v>
      </c>
      <c r="K418" s="45">
        <f>IF(B418="","",IF(J418="",DefaultServings,J418))</f>
        <v>0</v>
      </c>
      <c r="L418" s="45">
        <f>IF(G418="",0,IFERROR(K418/INDEX(Recipes!$G$5:$G$204,MATCH(G418,Recipes!$A$5:$A$204,0)),0))</f>
        <v>0</v>
      </c>
      <c r="T418" s="25">
        <f>IF(G418="","",IFERROR(INDEX(Recipes!$AD$5:$AD$204,MATCH(G418,Recipes!$A$5:$A$204,0))*K418,""))</f>
        <v>0</v>
      </c>
      <c r="V418" s="30">
        <f>IF(G418="","",IFERROR(INDEX(Recipes!$AE$5:$AE$204,MATCH(G418,Recipes!$A$5:$A$204,0)),"Not found"))</f>
        <v>0</v>
      </c>
      <c r="W418" s="45">
        <f>IF(G418="","",IFERROR(INDEX(Recipes!$AF$5:$AF$204,MATCH(G418,Recipes!$A$5:$A$204,0)),"Not found"))</f>
        <v>0</v>
      </c>
      <c r="X418" s="45">
        <f>IF(G418="","",IFERROR(INDEX(Recipes!$AG$5:$AG$204,MATCH(G418,Recipes!$A$5:$A$204,0)),"Not found"))</f>
        <v>0</v>
      </c>
      <c r="Y418" s="45">
        <f>IF(G418="","",IFERROR(INDEX(Recipes!$AH$5:$AH$204,MATCH(G418,Recipes!$A$5:$A$204,0)),"Not found"))</f>
        <v>0</v>
      </c>
      <c r="Z418" s="45">
        <f>IF(G418="","",IFERROR(INDEX(Recipes!$AI$5:$AI$204,MATCH(G418,Recipes!$A$5:$A$204,0)),"Not found"))</f>
        <v>0</v>
      </c>
      <c r="AA418" s="30">
        <f>IF(OR(V418="",NOT(ISNUMBER(V418))),"",V418*K418)</f>
        <v>0</v>
      </c>
      <c r="AB418" s="18">
        <f>IF(G418="","",IFERROR(INDEX(Recipes!$J$5:$J$204,MATCH(G418,Recipes!$A$5:$A$204,0)),"Not found"))</f>
        <v>0</v>
      </c>
      <c r="AC418" s="17">
        <f>IF(G418="","",IFERROR(INDEX(Recipes!$C$5:$C$204,MATCH(G418,Recipes!$A$5:$A$204,0)),"Not found"))</f>
        <v>0</v>
      </c>
      <c r="AD418" s="46">
        <f>IF(B418="","",IF(G418&lt;&gt;"","Yes",IF(OR(I418="",ISNUMBER(SEARCH("takeaway",I418)),ISNUMBER(SEARCH("out",I418))),"No","Yes")))</f>
        <v>0</v>
      </c>
      <c r="AE418" s="17">
        <f>IF(B418="","",TEXT(B418,"yyyy-mm-dd")&amp;"|"&amp;F418)</f>
        <v>0</v>
      </c>
      <c r="AF418" s="31">
        <f>IF(B418="","",IF(AND(G418="",I418=""),"Add - nothing planned yet",IF(COUNTIFS($AE$5:$AE$504,AE418)&gt;1,"Duplicate - two meals in one slot",IF(AND(G418&lt;&gt;"",H418="Not found"),"Missing - recipe ID not on the Recipes tab",IF(AND(B418&lt;TODAY(),OR(N418="Planned",N418="")),"Check - did you cook it?","OK")))))</f>
        <v>0</v>
      </c>
    </row>
    <row r="419" spans="1:32">
      <c r="A419" s="39">
        <f>IF(B419="","",MealPrefix&amp;TEXT(ROW()-4,"0000"))</f>
        <v>0</v>
      </c>
      <c r="C419" s="17">
        <f>IF(B419="","",TEXT(B419,"ddd"))</f>
        <v>0</v>
      </c>
      <c r="D419" s="18">
        <f>IF(B419="","",WEEKNUM(B419,IF(WeekStart="Sunday",1,2)))</f>
        <v>0</v>
      </c>
      <c r="E419" s="17">
        <f>IF(B419="","",TEXT(B419,"yyyy-mm"))</f>
        <v>0</v>
      </c>
      <c r="H419" s="17">
        <f>IF(G419&lt;&gt;"",IFERROR(INDEX(Recipes!$B$5:$B$204,MATCH(G419,Recipes!$A$5:$A$204,0)),"Not found"),I419)</f>
        <v>0</v>
      </c>
      <c r="K419" s="45">
        <f>IF(B419="","",IF(J419="",DefaultServings,J419))</f>
        <v>0</v>
      </c>
      <c r="L419" s="45">
        <f>IF(G419="",0,IFERROR(K419/INDEX(Recipes!$G$5:$G$204,MATCH(G419,Recipes!$A$5:$A$204,0)),0))</f>
        <v>0</v>
      </c>
      <c r="T419" s="25">
        <f>IF(G419="","",IFERROR(INDEX(Recipes!$AD$5:$AD$204,MATCH(G419,Recipes!$A$5:$A$204,0))*K419,""))</f>
        <v>0</v>
      </c>
      <c r="V419" s="30">
        <f>IF(G419="","",IFERROR(INDEX(Recipes!$AE$5:$AE$204,MATCH(G419,Recipes!$A$5:$A$204,0)),"Not found"))</f>
        <v>0</v>
      </c>
      <c r="W419" s="45">
        <f>IF(G419="","",IFERROR(INDEX(Recipes!$AF$5:$AF$204,MATCH(G419,Recipes!$A$5:$A$204,0)),"Not found"))</f>
        <v>0</v>
      </c>
      <c r="X419" s="45">
        <f>IF(G419="","",IFERROR(INDEX(Recipes!$AG$5:$AG$204,MATCH(G419,Recipes!$A$5:$A$204,0)),"Not found"))</f>
        <v>0</v>
      </c>
      <c r="Y419" s="45">
        <f>IF(G419="","",IFERROR(INDEX(Recipes!$AH$5:$AH$204,MATCH(G419,Recipes!$A$5:$A$204,0)),"Not found"))</f>
        <v>0</v>
      </c>
      <c r="Z419" s="45">
        <f>IF(G419="","",IFERROR(INDEX(Recipes!$AI$5:$AI$204,MATCH(G419,Recipes!$A$5:$A$204,0)),"Not found"))</f>
        <v>0</v>
      </c>
      <c r="AA419" s="30">
        <f>IF(OR(V419="",NOT(ISNUMBER(V419))),"",V419*K419)</f>
        <v>0</v>
      </c>
      <c r="AB419" s="18">
        <f>IF(G419="","",IFERROR(INDEX(Recipes!$J$5:$J$204,MATCH(G419,Recipes!$A$5:$A$204,0)),"Not found"))</f>
        <v>0</v>
      </c>
      <c r="AC419" s="17">
        <f>IF(G419="","",IFERROR(INDEX(Recipes!$C$5:$C$204,MATCH(G419,Recipes!$A$5:$A$204,0)),"Not found"))</f>
        <v>0</v>
      </c>
      <c r="AD419" s="46">
        <f>IF(B419="","",IF(G419&lt;&gt;"","Yes",IF(OR(I419="",ISNUMBER(SEARCH("takeaway",I419)),ISNUMBER(SEARCH("out",I419))),"No","Yes")))</f>
        <v>0</v>
      </c>
      <c r="AE419" s="17">
        <f>IF(B419="","",TEXT(B419,"yyyy-mm-dd")&amp;"|"&amp;F419)</f>
        <v>0</v>
      </c>
      <c r="AF419" s="31">
        <f>IF(B419="","",IF(AND(G419="",I419=""),"Add - nothing planned yet",IF(COUNTIFS($AE$5:$AE$504,AE419)&gt;1,"Duplicate - two meals in one slot",IF(AND(G419&lt;&gt;"",H419="Not found"),"Missing - recipe ID not on the Recipes tab",IF(AND(B419&lt;TODAY(),OR(N419="Planned",N419="")),"Check - did you cook it?","OK")))))</f>
        <v>0</v>
      </c>
    </row>
    <row r="420" spans="1:32">
      <c r="A420" s="39">
        <f>IF(B420="","",MealPrefix&amp;TEXT(ROW()-4,"0000"))</f>
        <v>0</v>
      </c>
      <c r="C420" s="17">
        <f>IF(B420="","",TEXT(B420,"ddd"))</f>
        <v>0</v>
      </c>
      <c r="D420" s="18">
        <f>IF(B420="","",WEEKNUM(B420,IF(WeekStart="Sunday",1,2)))</f>
        <v>0</v>
      </c>
      <c r="E420" s="17">
        <f>IF(B420="","",TEXT(B420,"yyyy-mm"))</f>
        <v>0</v>
      </c>
      <c r="H420" s="17">
        <f>IF(G420&lt;&gt;"",IFERROR(INDEX(Recipes!$B$5:$B$204,MATCH(G420,Recipes!$A$5:$A$204,0)),"Not found"),I420)</f>
        <v>0</v>
      </c>
      <c r="K420" s="45">
        <f>IF(B420="","",IF(J420="",DefaultServings,J420))</f>
        <v>0</v>
      </c>
      <c r="L420" s="45">
        <f>IF(G420="",0,IFERROR(K420/INDEX(Recipes!$G$5:$G$204,MATCH(G420,Recipes!$A$5:$A$204,0)),0))</f>
        <v>0</v>
      </c>
      <c r="T420" s="25">
        <f>IF(G420="","",IFERROR(INDEX(Recipes!$AD$5:$AD$204,MATCH(G420,Recipes!$A$5:$A$204,0))*K420,""))</f>
        <v>0</v>
      </c>
      <c r="V420" s="30">
        <f>IF(G420="","",IFERROR(INDEX(Recipes!$AE$5:$AE$204,MATCH(G420,Recipes!$A$5:$A$204,0)),"Not found"))</f>
        <v>0</v>
      </c>
      <c r="W420" s="45">
        <f>IF(G420="","",IFERROR(INDEX(Recipes!$AF$5:$AF$204,MATCH(G420,Recipes!$A$5:$A$204,0)),"Not found"))</f>
        <v>0</v>
      </c>
      <c r="X420" s="45">
        <f>IF(G420="","",IFERROR(INDEX(Recipes!$AG$5:$AG$204,MATCH(G420,Recipes!$A$5:$A$204,0)),"Not found"))</f>
        <v>0</v>
      </c>
      <c r="Y420" s="45">
        <f>IF(G420="","",IFERROR(INDEX(Recipes!$AH$5:$AH$204,MATCH(G420,Recipes!$A$5:$A$204,0)),"Not found"))</f>
        <v>0</v>
      </c>
      <c r="Z420" s="45">
        <f>IF(G420="","",IFERROR(INDEX(Recipes!$AI$5:$AI$204,MATCH(G420,Recipes!$A$5:$A$204,0)),"Not found"))</f>
        <v>0</v>
      </c>
      <c r="AA420" s="30">
        <f>IF(OR(V420="",NOT(ISNUMBER(V420))),"",V420*K420)</f>
        <v>0</v>
      </c>
      <c r="AB420" s="18">
        <f>IF(G420="","",IFERROR(INDEX(Recipes!$J$5:$J$204,MATCH(G420,Recipes!$A$5:$A$204,0)),"Not found"))</f>
        <v>0</v>
      </c>
      <c r="AC420" s="17">
        <f>IF(G420="","",IFERROR(INDEX(Recipes!$C$5:$C$204,MATCH(G420,Recipes!$A$5:$A$204,0)),"Not found"))</f>
        <v>0</v>
      </c>
      <c r="AD420" s="46">
        <f>IF(B420="","",IF(G420&lt;&gt;"","Yes",IF(OR(I420="",ISNUMBER(SEARCH("takeaway",I420)),ISNUMBER(SEARCH("out",I420))),"No","Yes")))</f>
        <v>0</v>
      </c>
      <c r="AE420" s="17">
        <f>IF(B420="","",TEXT(B420,"yyyy-mm-dd")&amp;"|"&amp;F420)</f>
        <v>0</v>
      </c>
      <c r="AF420" s="31">
        <f>IF(B420="","",IF(AND(G420="",I420=""),"Add - nothing planned yet",IF(COUNTIFS($AE$5:$AE$504,AE420)&gt;1,"Duplicate - two meals in one slot",IF(AND(G420&lt;&gt;"",H420="Not found"),"Missing - recipe ID not on the Recipes tab",IF(AND(B420&lt;TODAY(),OR(N420="Planned",N420="")),"Check - did you cook it?","OK")))))</f>
        <v>0</v>
      </c>
    </row>
    <row r="421" spans="1:32">
      <c r="A421" s="39">
        <f>IF(B421="","",MealPrefix&amp;TEXT(ROW()-4,"0000"))</f>
        <v>0</v>
      </c>
      <c r="C421" s="17">
        <f>IF(B421="","",TEXT(B421,"ddd"))</f>
        <v>0</v>
      </c>
      <c r="D421" s="18">
        <f>IF(B421="","",WEEKNUM(B421,IF(WeekStart="Sunday",1,2)))</f>
        <v>0</v>
      </c>
      <c r="E421" s="17">
        <f>IF(B421="","",TEXT(B421,"yyyy-mm"))</f>
        <v>0</v>
      </c>
      <c r="H421" s="17">
        <f>IF(G421&lt;&gt;"",IFERROR(INDEX(Recipes!$B$5:$B$204,MATCH(G421,Recipes!$A$5:$A$204,0)),"Not found"),I421)</f>
        <v>0</v>
      </c>
      <c r="K421" s="45">
        <f>IF(B421="","",IF(J421="",DefaultServings,J421))</f>
        <v>0</v>
      </c>
      <c r="L421" s="45">
        <f>IF(G421="",0,IFERROR(K421/INDEX(Recipes!$G$5:$G$204,MATCH(G421,Recipes!$A$5:$A$204,0)),0))</f>
        <v>0</v>
      </c>
      <c r="T421" s="25">
        <f>IF(G421="","",IFERROR(INDEX(Recipes!$AD$5:$AD$204,MATCH(G421,Recipes!$A$5:$A$204,0))*K421,""))</f>
        <v>0</v>
      </c>
      <c r="V421" s="30">
        <f>IF(G421="","",IFERROR(INDEX(Recipes!$AE$5:$AE$204,MATCH(G421,Recipes!$A$5:$A$204,0)),"Not found"))</f>
        <v>0</v>
      </c>
      <c r="W421" s="45">
        <f>IF(G421="","",IFERROR(INDEX(Recipes!$AF$5:$AF$204,MATCH(G421,Recipes!$A$5:$A$204,0)),"Not found"))</f>
        <v>0</v>
      </c>
      <c r="X421" s="45">
        <f>IF(G421="","",IFERROR(INDEX(Recipes!$AG$5:$AG$204,MATCH(G421,Recipes!$A$5:$A$204,0)),"Not found"))</f>
        <v>0</v>
      </c>
      <c r="Y421" s="45">
        <f>IF(G421="","",IFERROR(INDEX(Recipes!$AH$5:$AH$204,MATCH(G421,Recipes!$A$5:$A$204,0)),"Not found"))</f>
        <v>0</v>
      </c>
      <c r="Z421" s="45">
        <f>IF(G421="","",IFERROR(INDEX(Recipes!$AI$5:$AI$204,MATCH(G421,Recipes!$A$5:$A$204,0)),"Not found"))</f>
        <v>0</v>
      </c>
      <c r="AA421" s="30">
        <f>IF(OR(V421="",NOT(ISNUMBER(V421))),"",V421*K421)</f>
        <v>0</v>
      </c>
      <c r="AB421" s="18">
        <f>IF(G421="","",IFERROR(INDEX(Recipes!$J$5:$J$204,MATCH(G421,Recipes!$A$5:$A$204,0)),"Not found"))</f>
        <v>0</v>
      </c>
      <c r="AC421" s="17">
        <f>IF(G421="","",IFERROR(INDEX(Recipes!$C$5:$C$204,MATCH(G421,Recipes!$A$5:$A$204,0)),"Not found"))</f>
        <v>0</v>
      </c>
      <c r="AD421" s="46">
        <f>IF(B421="","",IF(G421&lt;&gt;"","Yes",IF(OR(I421="",ISNUMBER(SEARCH("takeaway",I421)),ISNUMBER(SEARCH("out",I421))),"No","Yes")))</f>
        <v>0</v>
      </c>
      <c r="AE421" s="17">
        <f>IF(B421="","",TEXT(B421,"yyyy-mm-dd")&amp;"|"&amp;F421)</f>
        <v>0</v>
      </c>
      <c r="AF421" s="31">
        <f>IF(B421="","",IF(AND(G421="",I421=""),"Add - nothing planned yet",IF(COUNTIFS($AE$5:$AE$504,AE421)&gt;1,"Duplicate - two meals in one slot",IF(AND(G421&lt;&gt;"",H421="Not found"),"Missing - recipe ID not on the Recipes tab",IF(AND(B421&lt;TODAY(),OR(N421="Planned",N421="")),"Check - did you cook it?","OK")))))</f>
        <v>0</v>
      </c>
    </row>
    <row r="422" spans="1:32">
      <c r="A422" s="39">
        <f>IF(B422="","",MealPrefix&amp;TEXT(ROW()-4,"0000"))</f>
        <v>0</v>
      </c>
      <c r="C422" s="17">
        <f>IF(B422="","",TEXT(B422,"ddd"))</f>
        <v>0</v>
      </c>
      <c r="D422" s="18">
        <f>IF(B422="","",WEEKNUM(B422,IF(WeekStart="Sunday",1,2)))</f>
        <v>0</v>
      </c>
      <c r="E422" s="17">
        <f>IF(B422="","",TEXT(B422,"yyyy-mm"))</f>
        <v>0</v>
      </c>
      <c r="H422" s="17">
        <f>IF(G422&lt;&gt;"",IFERROR(INDEX(Recipes!$B$5:$B$204,MATCH(G422,Recipes!$A$5:$A$204,0)),"Not found"),I422)</f>
        <v>0</v>
      </c>
      <c r="K422" s="45">
        <f>IF(B422="","",IF(J422="",DefaultServings,J422))</f>
        <v>0</v>
      </c>
      <c r="L422" s="45">
        <f>IF(G422="",0,IFERROR(K422/INDEX(Recipes!$G$5:$G$204,MATCH(G422,Recipes!$A$5:$A$204,0)),0))</f>
        <v>0</v>
      </c>
      <c r="T422" s="25">
        <f>IF(G422="","",IFERROR(INDEX(Recipes!$AD$5:$AD$204,MATCH(G422,Recipes!$A$5:$A$204,0))*K422,""))</f>
        <v>0</v>
      </c>
      <c r="V422" s="30">
        <f>IF(G422="","",IFERROR(INDEX(Recipes!$AE$5:$AE$204,MATCH(G422,Recipes!$A$5:$A$204,0)),"Not found"))</f>
        <v>0</v>
      </c>
      <c r="W422" s="45">
        <f>IF(G422="","",IFERROR(INDEX(Recipes!$AF$5:$AF$204,MATCH(G422,Recipes!$A$5:$A$204,0)),"Not found"))</f>
        <v>0</v>
      </c>
      <c r="X422" s="45">
        <f>IF(G422="","",IFERROR(INDEX(Recipes!$AG$5:$AG$204,MATCH(G422,Recipes!$A$5:$A$204,0)),"Not found"))</f>
        <v>0</v>
      </c>
      <c r="Y422" s="45">
        <f>IF(G422="","",IFERROR(INDEX(Recipes!$AH$5:$AH$204,MATCH(G422,Recipes!$A$5:$A$204,0)),"Not found"))</f>
        <v>0</v>
      </c>
      <c r="Z422" s="45">
        <f>IF(G422="","",IFERROR(INDEX(Recipes!$AI$5:$AI$204,MATCH(G422,Recipes!$A$5:$A$204,0)),"Not found"))</f>
        <v>0</v>
      </c>
      <c r="AA422" s="30">
        <f>IF(OR(V422="",NOT(ISNUMBER(V422))),"",V422*K422)</f>
        <v>0</v>
      </c>
      <c r="AB422" s="18">
        <f>IF(G422="","",IFERROR(INDEX(Recipes!$J$5:$J$204,MATCH(G422,Recipes!$A$5:$A$204,0)),"Not found"))</f>
        <v>0</v>
      </c>
      <c r="AC422" s="17">
        <f>IF(G422="","",IFERROR(INDEX(Recipes!$C$5:$C$204,MATCH(G422,Recipes!$A$5:$A$204,0)),"Not found"))</f>
        <v>0</v>
      </c>
      <c r="AD422" s="46">
        <f>IF(B422="","",IF(G422&lt;&gt;"","Yes",IF(OR(I422="",ISNUMBER(SEARCH("takeaway",I422)),ISNUMBER(SEARCH("out",I422))),"No","Yes")))</f>
        <v>0</v>
      </c>
      <c r="AE422" s="17">
        <f>IF(B422="","",TEXT(B422,"yyyy-mm-dd")&amp;"|"&amp;F422)</f>
        <v>0</v>
      </c>
      <c r="AF422" s="31">
        <f>IF(B422="","",IF(AND(G422="",I422=""),"Add - nothing planned yet",IF(COUNTIFS($AE$5:$AE$504,AE422)&gt;1,"Duplicate - two meals in one slot",IF(AND(G422&lt;&gt;"",H422="Not found"),"Missing - recipe ID not on the Recipes tab",IF(AND(B422&lt;TODAY(),OR(N422="Planned",N422="")),"Check - did you cook it?","OK")))))</f>
        <v>0</v>
      </c>
    </row>
    <row r="423" spans="1:32">
      <c r="A423" s="39">
        <f>IF(B423="","",MealPrefix&amp;TEXT(ROW()-4,"0000"))</f>
        <v>0</v>
      </c>
      <c r="C423" s="17">
        <f>IF(B423="","",TEXT(B423,"ddd"))</f>
        <v>0</v>
      </c>
      <c r="D423" s="18">
        <f>IF(B423="","",WEEKNUM(B423,IF(WeekStart="Sunday",1,2)))</f>
        <v>0</v>
      </c>
      <c r="E423" s="17">
        <f>IF(B423="","",TEXT(B423,"yyyy-mm"))</f>
        <v>0</v>
      </c>
      <c r="H423" s="17">
        <f>IF(G423&lt;&gt;"",IFERROR(INDEX(Recipes!$B$5:$B$204,MATCH(G423,Recipes!$A$5:$A$204,0)),"Not found"),I423)</f>
        <v>0</v>
      </c>
      <c r="K423" s="45">
        <f>IF(B423="","",IF(J423="",DefaultServings,J423))</f>
        <v>0</v>
      </c>
      <c r="L423" s="45">
        <f>IF(G423="",0,IFERROR(K423/INDEX(Recipes!$G$5:$G$204,MATCH(G423,Recipes!$A$5:$A$204,0)),0))</f>
        <v>0</v>
      </c>
      <c r="T423" s="25">
        <f>IF(G423="","",IFERROR(INDEX(Recipes!$AD$5:$AD$204,MATCH(G423,Recipes!$A$5:$A$204,0))*K423,""))</f>
        <v>0</v>
      </c>
      <c r="V423" s="30">
        <f>IF(G423="","",IFERROR(INDEX(Recipes!$AE$5:$AE$204,MATCH(G423,Recipes!$A$5:$A$204,0)),"Not found"))</f>
        <v>0</v>
      </c>
      <c r="W423" s="45">
        <f>IF(G423="","",IFERROR(INDEX(Recipes!$AF$5:$AF$204,MATCH(G423,Recipes!$A$5:$A$204,0)),"Not found"))</f>
        <v>0</v>
      </c>
      <c r="X423" s="45">
        <f>IF(G423="","",IFERROR(INDEX(Recipes!$AG$5:$AG$204,MATCH(G423,Recipes!$A$5:$A$204,0)),"Not found"))</f>
        <v>0</v>
      </c>
      <c r="Y423" s="45">
        <f>IF(G423="","",IFERROR(INDEX(Recipes!$AH$5:$AH$204,MATCH(G423,Recipes!$A$5:$A$204,0)),"Not found"))</f>
        <v>0</v>
      </c>
      <c r="Z423" s="45">
        <f>IF(G423="","",IFERROR(INDEX(Recipes!$AI$5:$AI$204,MATCH(G423,Recipes!$A$5:$A$204,0)),"Not found"))</f>
        <v>0</v>
      </c>
      <c r="AA423" s="30">
        <f>IF(OR(V423="",NOT(ISNUMBER(V423))),"",V423*K423)</f>
        <v>0</v>
      </c>
      <c r="AB423" s="18">
        <f>IF(G423="","",IFERROR(INDEX(Recipes!$J$5:$J$204,MATCH(G423,Recipes!$A$5:$A$204,0)),"Not found"))</f>
        <v>0</v>
      </c>
      <c r="AC423" s="17">
        <f>IF(G423="","",IFERROR(INDEX(Recipes!$C$5:$C$204,MATCH(G423,Recipes!$A$5:$A$204,0)),"Not found"))</f>
        <v>0</v>
      </c>
      <c r="AD423" s="46">
        <f>IF(B423="","",IF(G423&lt;&gt;"","Yes",IF(OR(I423="",ISNUMBER(SEARCH("takeaway",I423)),ISNUMBER(SEARCH("out",I423))),"No","Yes")))</f>
        <v>0</v>
      </c>
      <c r="AE423" s="17">
        <f>IF(B423="","",TEXT(B423,"yyyy-mm-dd")&amp;"|"&amp;F423)</f>
        <v>0</v>
      </c>
      <c r="AF423" s="31">
        <f>IF(B423="","",IF(AND(G423="",I423=""),"Add - nothing planned yet",IF(COUNTIFS($AE$5:$AE$504,AE423)&gt;1,"Duplicate - two meals in one slot",IF(AND(G423&lt;&gt;"",H423="Not found"),"Missing - recipe ID not on the Recipes tab",IF(AND(B423&lt;TODAY(),OR(N423="Planned",N423="")),"Check - did you cook it?","OK")))))</f>
        <v>0</v>
      </c>
    </row>
    <row r="424" spans="1:32">
      <c r="A424" s="39">
        <f>IF(B424="","",MealPrefix&amp;TEXT(ROW()-4,"0000"))</f>
        <v>0</v>
      </c>
      <c r="C424" s="17">
        <f>IF(B424="","",TEXT(B424,"ddd"))</f>
        <v>0</v>
      </c>
      <c r="D424" s="18">
        <f>IF(B424="","",WEEKNUM(B424,IF(WeekStart="Sunday",1,2)))</f>
        <v>0</v>
      </c>
      <c r="E424" s="17">
        <f>IF(B424="","",TEXT(B424,"yyyy-mm"))</f>
        <v>0</v>
      </c>
      <c r="H424" s="17">
        <f>IF(G424&lt;&gt;"",IFERROR(INDEX(Recipes!$B$5:$B$204,MATCH(G424,Recipes!$A$5:$A$204,0)),"Not found"),I424)</f>
        <v>0</v>
      </c>
      <c r="K424" s="45">
        <f>IF(B424="","",IF(J424="",DefaultServings,J424))</f>
        <v>0</v>
      </c>
      <c r="L424" s="45">
        <f>IF(G424="",0,IFERROR(K424/INDEX(Recipes!$G$5:$G$204,MATCH(G424,Recipes!$A$5:$A$204,0)),0))</f>
        <v>0</v>
      </c>
      <c r="T424" s="25">
        <f>IF(G424="","",IFERROR(INDEX(Recipes!$AD$5:$AD$204,MATCH(G424,Recipes!$A$5:$A$204,0))*K424,""))</f>
        <v>0</v>
      </c>
      <c r="V424" s="30">
        <f>IF(G424="","",IFERROR(INDEX(Recipes!$AE$5:$AE$204,MATCH(G424,Recipes!$A$5:$A$204,0)),"Not found"))</f>
        <v>0</v>
      </c>
      <c r="W424" s="45">
        <f>IF(G424="","",IFERROR(INDEX(Recipes!$AF$5:$AF$204,MATCH(G424,Recipes!$A$5:$A$204,0)),"Not found"))</f>
        <v>0</v>
      </c>
      <c r="X424" s="45">
        <f>IF(G424="","",IFERROR(INDEX(Recipes!$AG$5:$AG$204,MATCH(G424,Recipes!$A$5:$A$204,0)),"Not found"))</f>
        <v>0</v>
      </c>
      <c r="Y424" s="45">
        <f>IF(G424="","",IFERROR(INDEX(Recipes!$AH$5:$AH$204,MATCH(G424,Recipes!$A$5:$A$204,0)),"Not found"))</f>
        <v>0</v>
      </c>
      <c r="Z424" s="45">
        <f>IF(G424="","",IFERROR(INDEX(Recipes!$AI$5:$AI$204,MATCH(G424,Recipes!$A$5:$A$204,0)),"Not found"))</f>
        <v>0</v>
      </c>
      <c r="AA424" s="30">
        <f>IF(OR(V424="",NOT(ISNUMBER(V424))),"",V424*K424)</f>
        <v>0</v>
      </c>
      <c r="AB424" s="18">
        <f>IF(G424="","",IFERROR(INDEX(Recipes!$J$5:$J$204,MATCH(G424,Recipes!$A$5:$A$204,0)),"Not found"))</f>
        <v>0</v>
      </c>
      <c r="AC424" s="17">
        <f>IF(G424="","",IFERROR(INDEX(Recipes!$C$5:$C$204,MATCH(G424,Recipes!$A$5:$A$204,0)),"Not found"))</f>
        <v>0</v>
      </c>
      <c r="AD424" s="46">
        <f>IF(B424="","",IF(G424&lt;&gt;"","Yes",IF(OR(I424="",ISNUMBER(SEARCH("takeaway",I424)),ISNUMBER(SEARCH("out",I424))),"No","Yes")))</f>
        <v>0</v>
      </c>
      <c r="AE424" s="17">
        <f>IF(B424="","",TEXT(B424,"yyyy-mm-dd")&amp;"|"&amp;F424)</f>
        <v>0</v>
      </c>
      <c r="AF424" s="31">
        <f>IF(B424="","",IF(AND(G424="",I424=""),"Add - nothing planned yet",IF(COUNTIFS($AE$5:$AE$504,AE424)&gt;1,"Duplicate - two meals in one slot",IF(AND(G424&lt;&gt;"",H424="Not found"),"Missing - recipe ID not on the Recipes tab",IF(AND(B424&lt;TODAY(),OR(N424="Planned",N424="")),"Check - did you cook it?","OK")))))</f>
        <v>0</v>
      </c>
    </row>
    <row r="425" spans="1:32">
      <c r="A425" s="39">
        <f>IF(B425="","",MealPrefix&amp;TEXT(ROW()-4,"0000"))</f>
        <v>0</v>
      </c>
      <c r="C425" s="17">
        <f>IF(B425="","",TEXT(B425,"ddd"))</f>
        <v>0</v>
      </c>
      <c r="D425" s="18">
        <f>IF(B425="","",WEEKNUM(B425,IF(WeekStart="Sunday",1,2)))</f>
        <v>0</v>
      </c>
      <c r="E425" s="17">
        <f>IF(B425="","",TEXT(B425,"yyyy-mm"))</f>
        <v>0</v>
      </c>
      <c r="H425" s="17">
        <f>IF(G425&lt;&gt;"",IFERROR(INDEX(Recipes!$B$5:$B$204,MATCH(G425,Recipes!$A$5:$A$204,0)),"Not found"),I425)</f>
        <v>0</v>
      </c>
      <c r="K425" s="45">
        <f>IF(B425="","",IF(J425="",DefaultServings,J425))</f>
        <v>0</v>
      </c>
      <c r="L425" s="45">
        <f>IF(G425="",0,IFERROR(K425/INDEX(Recipes!$G$5:$G$204,MATCH(G425,Recipes!$A$5:$A$204,0)),0))</f>
        <v>0</v>
      </c>
      <c r="T425" s="25">
        <f>IF(G425="","",IFERROR(INDEX(Recipes!$AD$5:$AD$204,MATCH(G425,Recipes!$A$5:$A$204,0))*K425,""))</f>
        <v>0</v>
      </c>
      <c r="V425" s="30">
        <f>IF(G425="","",IFERROR(INDEX(Recipes!$AE$5:$AE$204,MATCH(G425,Recipes!$A$5:$A$204,0)),"Not found"))</f>
        <v>0</v>
      </c>
      <c r="W425" s="45">
        <f>IF(G425="","",IFERROR(INDEX(Recipes!$AF$5:$AF$204,MATCH(G425,Recipes!$A$5:$A$204,0)),"Not found"))</f>
        <v>0</v>
      </c>
      <c r="X425" s="45">
        <f>IF(G425="","",IFERROR(INDEX(Recipes!$AG$5:$AG$204,MATCH(G425,Recipes!$A$5:$A$204,0)),"Not found"))</f>
        <v>0</v>
      </c>
      <c r="Y425" s="45">
        <f>IF(G425="","",IFERROR(INDEX(Recipes!$AH$5:$AH$204,MATCH(G425,Recipes!$A$5:$A$204,0)),"Not found"))</f>
        <v>0</v>
      </c>
      <c r="Z425" s="45">
        <f>IF(G425="","",IFERROR(INDEX(Recipes!$AI$5:$AI$204,MATCH(G425,Recipes!$A$5:$A$204,0)),"Not found"))</f>
        <v>0</v>
      </c>
      <c r="AA425" s="30">
        <f>IF(OR(V425="",NOT(ISNUMBER(V425))),"",V425*K425)</f>
        <v>0</v>
      </c>
      <c r="AB425" s="18">
        <f>IF(G425="","",IFERROR(INDEX(Recipes!$J$5:$J$204,MATCH(G425,Recipes!$A$5:$A$204,0)),"Not found"))</f>
        <v>0</v>
      </c>
      <c r="AC425" s="17">
        <f>IF(G425="","",IFERROR(INDEX(Recipes!$C$5:$C$204,MATCH(G425,Recipes!$A$5:$A$204,0)),"Not found"))</f>
        <v>0</v>
      </c>
      <c r="AD425" s="46">
        <f>IF(B425="","",IF(G425&lt;&gt;"","Yes",IF(OR(I425="",ISNUMBER(SEARCH("takeaway",I425)),ISNUMBER(SEARCH("out",I425))),"No","Yes")))</f>
        <v>0</v>
      </c>
      <c r="AE425" s="17">
        <f>IF(B425="","",TEXT(B425,"yyyy-mm-dd")&amp;"|"&amp;F425)</f>
        <v>0</v>
      </c>
      <c r="AF425" s="31">
        <f>IF(B425="","",IF(AND(G425="",I425=""),"Add - nothing planned yet",IF(COUNTIFS($AE$5:$AE$504,AE425)&gt;1,"Duplicate - two meals in one slot",IF(AND(G425&lt;&gt;"",H425="Not found"),"Missing - recipe ID not on the Recipes tab",IF(AND(B425&lt;TODAY(),OR(N425="Planned",N425="")),"Check - did you cook it?","OK")))))</f>
        <v>0</v>
      </c>
    </row>
    <row r="426" spans="1:32">
      <c r="A426" s="39">
        <f>IF(B426="","",MealPrefix&amp;TEXT(ROW()-4,"0000"))</f>
        <v>0</v>
      </c>
      <c r="C426" s="17">
        <f>IF(B426="","",TEXT(B426,"ddd"))</f>
        <v>0</v>
      </c>
      <c r="D426" s="18">
        <f>IF(B426="","",WEEKNUM(B426,IF(WeekStart="Sunday",1,2)))</f>
        <v>0</v>
      </c>
      <c r="E426" s="17">
        <f>IF(B426="","",TEXT(B426,"yyyy-mm"))</f>
        <v>0</v>
      </c>
      <c r="H426" s="17">
        <f>IF(G426&lt;&gt;"",IFERROR(INDEX(Recipes!$B$5:$B$204,MATCH(G426,Recipes!$A$5:$A$204,0)),"Not found"),I426)</f>
        <v>0</v>
      </c>
      <c r="K426" s="45">
        <f>IF(B426="","",IF(J426="",DefaultServings,J426))</f>
        <v>0</v>
      </c>
      <c r="L426" s="45">
        <f>IF(G426="",0,IFERROR(K426/INDEX(Recipes!$G$5:$G$204,MATCH(G426,Recipes!$A$5:$A$204,0)),0))</f>
        <v>0</v>
      </c>
      <c r="T426" s="25">
        <f>IF(G426="","",IFERROR(INDEX(Recipes!$AD$5:$AD$204,MATCH(G426,Recipes!$A$5:$A$204,0))*K426,""))</f>
        <v>0</v>
      </c>
      <c r="V426" s="30">
        <f>IF(G426="","",IFERROR(INDEX(Recipes!$AE$5:$AE$204,MATCH(G426,Recipes!$A$5:$A$204,0)),"Not found"))</f>
        <v>0</v>
      </c>
      <c r="W426" s="45">
        <f>IF(G426="","",IFERROR(INDEX(Recipes!$AF$5:$AF$204,MATCH(G426,Recipes!$A$5:$A$204,0)),"Not found"))</f>
        <v>0</v>
      </c>
      <c r="X426" s="45">
        <f>IF(G426="","",IFERROR(INDEX(Recipes!$AG$5:$AG$204,MATCH(G426,Recipes!$A$5:$A$204,0)),"Not found"))</f>
        <v>0</v>
      </c>
      <c r="Y426" s="45">
        <f>IF(G426="","",IFERROR(INDEX(Recipes!$AH$5:$AH$204,MATCH(G426,Recipes!$A$5:$A$204,0)),"Not found"))</f>
        <v>0</v>
      </c>
      <c r="Z426" s="45">
        <f>IF(G426="","",IFERROR(INDEX(Recipes!$AI$5:$AI$204,MATCH(G426,Recipes!$A$5:$A$204,0)),"Not found"))</f>
        <v>0</v>
      </c>
      <c r="AA426" s="30">
        <f>IF(OR(V426="",NOT(ISNUMBER(V426))),"",V426*K426)</f>
        <v>0</v>
      </c>
      <c r="AB426" s="18">
        <f>IF(G426="","",IFERROR(INDEX(Recipes!$J$5:$J$204,MATCH(G426,Recipes!$A$5:$A$204,0)),"Not found"))</f>
        <v>0</v>
      </c>
      <c r="AC426" s="17">
        <f>IF(G426="","",IFERROR(INDEX(Recipes!$C$5:$C$204,MATCH(G426,Recipes!$A$5:$A$204,0)),"Not found"))</f>
        <v>0</v>
      </c>
      <c r="AD426" s="46">
        <f>IF(B426="","",IF(G426&lt;&gt;"","Yes",IF(OR(I426="",ISNUMBER(SEARCH("takeaway",I426)),ISNUMBER(SEARCH("out",I426))),"No","Yes")))</f>
        <v>0</v>
      </c>
      <c r="AE426" s="17">
        <f>IF(B426="","",TEXT(B426,"yyyy-mm-dd")&amp;"|"&amp;F426)</f>
        <v>0</v>
      </c>
      <c r="AF426" s="31">
        <f>IF(B426="","",IF(AND(G426="",I426=""),"Add - nothing planned yet",IF(COUNTIFS($AE$5:$AE$504,AE426)&gt;1,"Duplicate - two meals in one slot",IF(AND(G426&lt;&gt;"",H426="Not found"),"Missing - recipe ID not on the Recipes tab",IF(AND(B426&lt;TODAY(),OR(N426="Planned",N426="")),"Check - did you cook it?","OK")))))</f>
        <v>0</v>
      </c>
    </row>
    <row r="427" spans="1:32">
      <c r="A427" s="39">
        <f>IF(B427="","",MealPrefix&amp;TEXT(ROW()-4,"0000"))</f>
        <v>0</v>
      </c>
      <c r="C427" s="17">
        <f>IF(B427="","",TEXT(B427,"ddd"))</f>
        <v>0</v>
      </c>
      <c r="D427" s="18">
        <f>IF(B427="","",WEEKNUM(B427,IF(WeekStart="Sunday",1,2)))</f>
        <v>0</v>
      </c>
      <c r="E427" s="17">
        <f>IF(B427="","",TEXT(B427,"yyyy-mm"))</f>
        <v>0</v>
      </c>
      <c r="H427" s="17">
        <f>IF(G427&lt;&gt;"",IFERROR(INDEX(Recipes!$B$5:$B$204,MATCH(G427,Recipes!$A$5:$A$204,0)),"Not found"),I427)</f>
        <v>0</v>
      </c>
      <c r="K427" s="45">
        <f>IF(B427="","",IF(J427="",DefaultServings,J427))</f>
        <v>0</v>
      </c>
      <c r="L427" s="45">
        <f>IF(G427="",0,IFERROR(K427/INDEX(Recipes!$G$5:$G$204,MATCH(G427,Recipes!$A$5:$A$204,0)),0))</f>
        <v>0</v>
      </c>
      <c r="T427" s="25">
        <f>IF(G427="","",IFERROR(INDEX(Recipes!$AD$5:$AD$204,MATCH(G427,Recipes!$A$5:$A$204,0))*K427,""))</f>
        <v>0</v>
      </c>
      <c r="V427" s="30">
        <f>IF(G427="","",IFERROR(INDEX(Recipes!$AE$5:$AE$204,MATCH(G427,Recipes!$A$5:$A$204,0)),"Not found"))</f>
        <v>0</v>
      </c>
      <c r="W427" s="45">
        <f>IF(G427="","",IFERROR(INDEX(Recipes!$AF$5:$AF$204,MATCH(G427,Recipes!$A$5:$A$204,0)),"Not found"))</f>
        <v>0</v>
      </c>
      <c r="X427" s="45">
        <f>IF(G427="","",IFERROR(INDEX(Recipes!$AG$5:$AG$204,MATCH(G427,Recipes!$A$5:$A$204,0)),"Not found"))</f>
        <v>0</v>
      </c>
      <c r="Y427" s="45">
        <f>IF(G427="","",IFERROR(INDEX(Recipes!$AH$5:$AH$204,MATCH(G427,Recipes!$A$5:$A$204,0)),"Not found"))</f>
        <v>0</v>
      </c>
      <c r="Z427" s="45">
        <f>IF(G427="","",IFERROR(INDEX(Recipes!$AI$5:$AI$204,MATCH(G427,Recipes!$A$5:$A$204,0)),"Not found"))</f>
        <v>0</v>
      </c>
      <c r="AA427" s="30">
        <f>IF(OR(V427="",NOT(ISNUMBER(V427))),"",V427*K427)</f>
        <v>0</v>
      </c>
      <c r="AB427" s="18">
        <f>IF(G427="","",IFERROR(INDEX(Recipes!$J$5:$J$204,MATCH(G427,Recipes!$A$5:$A$204,0)),"Not found"))</f>
        <v>0</v>
      </c>
      <c r="AC427" s="17">
        <f>IF(G427="","",IFERROR(INDEX(Recipes!$C$5:$C$204,MATCH(G427,Recipes!$A$5:$A$204,0)),"Not found"))</f>
        <v>0</v>
      </c>
      <c r="AD427" s="46">
        <f>IF(B427="","",IF(G427&lt;&gt;"","Yes",IF(OR(I427="",ISNUMBER(SEARCH("takeaway",I427)),ISNUMBER(SEARCH("out",I427))),"No","Yes")))</f>
        <v>0</v>
      </c>
      <c r="AE427" s="17">
        <f>IF(B427="","",TEXT(B427,"yyyy-mm-dd")&amp;"|"&amp;F427)</f>
        <v>0</v>
      </c>
      <c r="AF427" s="31">
        <f>IF(B427="","",IF(AND(G427="",I427=""),"Add - nothing planned yet",IF(COUNTIFS($AE$5:$AE$504,AE427)&gt;1,"Duplicate - two meals in one slot",IF(AND(G427&lt;&gt;"",H427="Not found"),"Missing - recipe ID not on the Recipes tab",IF(AND(B427&lt;TODAY(),OR(N427="Planned",N427="")),"Check - did you cook it?","OK")))))</f>
        <v>0</v>
      </c>
    </row>
    <row r="428" spans="1:32">
      <c r="A428" s="39">
        <f>IF(B428="","",MealPrefix&amp;TEXT(ROW()-4,"0000"))</f>
        <v>0</v>
      </c>
      <c r="C428" s="17">
        <f>IF(B428="","",TEXT(B428,"ddd"))</f>
        <v>0</v>
      </c>
      <c r="D428" s="18">
        <f>IF(B428="","",WEEKNUM(B428,IF(WeekStart="Sunday",1,2)))</f>
        <v>0</v>
      </c>
      <c r="E428" s="17">
        <f>IF(B428="","",TEXT(B428,"yyyy-mm"))</f>
        <v>0</v>
      </c>
      <c r="H428" s="17">
        <f>IF(G428&lt;&gt;"",IFERROR(INDEX(Recipes!$B$5:$B$204,MATCH(G428,Recipes!$A$5:$A$204,0)),"Not found"),I428)</f>
        <v>0</v>
      </c>
      <c r="K428" s="45">
        <f>IF(B428="","",IF(J428="",DefaultServings,J428))</f>
        <v>0</v>
      </c>
      <c r="L428" s="45">
        <f>IF(G428="",0,IFERROR(K428/INDEX(Recipes!$G$5:$G$204,MATCH(G428,Recipes!$A$5:$A$204,0)),0))</f>
        <v>0</v>
      </c>
      <c r="T428" s="25">
        <f>IF(G428="","",IFERROR(INDEX(Recipes!$AD$5:$AD$204,MATCH(G428,Recipes!$A$5:$A$204,0))*K428,""))</f>
        <v>0</v>
      </c>
      <c r="V428" s="30">
        <f>IF(G428="","",IFERROR(INDEX(Recipes!$AE$5:$AE$204,MATCH(G428,Recipes!$A$5:$A$204,0)),"Not found"))</f>
        <v>0</v>
      </c>
      <c r="W428" s="45">
        <f>IF(G428="","",IFERROR(INDEX(Recipes!$AF$5:$AF$204,MATCH(G428,Recipes!$A$5:$A$204,0)),"Not found"))</f>
        <v>0</v>
      </c>
      <c r="X428" s="45">
        <f>IF(G428="","",IFERROR(INDEX(Recipes!$AG$5:$AG$204,MATCH(G428,Recipes!$A$5:$A$204,0)),"Not found"))</f>
        <v>0</v>
      </c>
      <c r="Y428" s="45">
        <f>IF(G428="","",IFERROR(INDEX(Recipes!$AH$5:$AH$204,MATCH(G428,Recipes!$A$5:$A$204,0)),"Not found"))</f>
        <v>0</v>
      </c>
      <c r="Z428" s="45">
        <f>IF(G428="","",IFERROR(INDEX(Recipes!$AI$5:$AI$204,MATCH(G428,Recipes!$A$5:$A$204,0)),"Not found"))</f>
        <v>0</v>
      </c>
      <c r="AA428" s="30">
        <f>IF(OR(V428="",NOT(ISNUMBER(V428))),"",V428*K428)</f>
        <v>0</v>
      </c>
      <c r="AB428" s="18">
        <f>IF(G428="","",IFERROR(INDEX(Recipes!$J$5:$J$204,MATCH(G428,Recipes!$A$5:$A$204,0)),"Not found"))</f>
        <v>0</v>
      </c>
      <c r="AC428" s="17">
        <f>IF(G428="","",IFERROR(INDEX(Recipes!$C$5:$C$204,MATCH(G428,Recipes!$A$5:$A$204,0)),"Not found"))</f>
        <v>0</v>
      </c>
      <c r="AD428" s="46">
        <f>IF(B428="","",IF(G428&lt;&gt;"","Yes",IF(OR(I428="",ISNUMBER(SEARCH("takeaway",I428)),ISNUMBER(SEARCH("out",I428))),"No","Yes")))</f>
        <v>0</v>
      </c>
      <c r="AE428" s="17">
        <f>IF(B428="","",TEXT(B428,"yyyy-mm-dd")&amp;"|"&amp;F428)</f>
        <v>0</v>
      </c>
      <c r="AF428" s="31">
        <f>IF(B428="","",IF(AND(G428="",I428=""),"Add - nothing planned yet",IF(COUNTIFS($AE$5:$AE$504,AE428)&gt;1,"Duplicate - two meals in one slot",IF(AND(G428&lt;&gt;"",H428="Not found"),"Missing - recipe ID not on the Recipes tab",IF(AND(B428&lt;TODAY(),OR(N428="Planned",N428="")),"Check - did you cook it?","OK")))))</f>
        <v>0</v>
      </c>
    </row>
    <row r="429" spans="1:32">
      <c r="A429" s="39">
        <f>IF(B429="","",MealPrefix&amp;TEXT(ROW()-4,"0000"))</f>
        <v>0</v>
      </c>
      <c r="C429" s="17">
        <f>IF(B429="","",TEXT(B429,"ddd"))</f>
        <v>0</v>
      </c>
      <c r="D429" s="18">
        <f>IF(B429="","",WEEKNUM(B429,IF(WeekStart="Sunday",1,2)))</f>
        <v>0</v>
      </c>
      <c r="E429" s="17">
        <f>IF(B429="","",TEXT(B429,"yyyy-mm"))</f>
        <v>0</v>
      </c>
      <c r="H429" s="17">
        <f>IF(G429&lt;&gt;"",IFERROR(INDEX(Recipes!$B$5:$B$204,MATCH(G429,Recipes!$A$5:$A$204,0)),"Not found"),I429)</f>
        <v>0</v>
      </c>
      <c r="K429" s="45">
        <f>IF(B429="","",IF(J429="",DefaultServings,J429))</f>
        <v>0</v>
      </c>
      <c r="L429" s="45">
        <f>IF(G429="",0,IFERROR(K429/INDEX(Recipes!$G$5:$G$204,MATCH(G429,Recipes!$A$5:$A$204,0)),0))</f>
        <v>0</v>
      </c>
      <c r="T429" s="25">
        <f>IF(G429="","",IFERROR(INDEX(Recipes!$AD$5:$AD$204,MATCH(G429,Recipes!$A$5:$A$204,0))*K429,""))</f>
        <v>0</v>
      </c>
      <c r="V429" s="30">
        <f>IF(G429="","",IFERROR(INDEX(Recipes!$AE$5:$AE$204,MATCH(G429,Recipes!$A$5:$A$204,0)),"Not found"))</f>
        <v>0</v>
      </c>
      <c r="W429" s="45">
        <f>IF(G429="","",IFERROR(INDEX(Recipes!$AF$5:$AF$204,MATCH(G429,Recipes!$A$5:$A$204,0)),"Not found"))</f>
        <v>0</v>
      </c>
      <c r="X429" s="45">
        <f>IF(G429="","",IFERROR(INDEX(Recipes!$AG$5:$AG$204,MATCH(G429,Recipes!$A$5:$A$204,0)),"Not found"))</f>
        <v>0</v>
      </c>
      <c r="Y429" s="45">
        <f>IF(G429="","",IFERROR(INDEX(Recipes!$AH$5:$AH$204,MATCH(G429,Recipes!$A$5:$A$204,0)),"Not found"))</f>
        <v>0</v>
      </c>
      <c r="Z429" s="45">
        <f>IF(G429="","",IFERROR(INDEX(Recipes!$AI$5:$AI$204,MATCH(G429,Recipes!$A$5:$A$204,0)),"Not found"))</f>
        <v>0</v>
      </c>
      <c r="AA429" s="30">
        <f>IF(OR(V429="",NOT(ISNUMBER(V429))),"",V429*K429)</f>
        <v>0</v>
      </c>
      <c r="AB429" s="18">
        <f>IF(G429="","",IFERROR(INDEX(Recipes!$J$5:$J$204,MATCH(G429,Recipes!$A$5:$A$204,0)),"Not found"))</f>
        <v>0</v>
      </c>
      <c r="AC429" s="17">
        <f>IF(G429="","",IFERROR(INDEX(Recipes!$C$5:$C$204,MATCH(G429,Recipes!$A$5:$A$204,0)),"Not found"))</f>
        <v>0</v>
      </c>
      <c r="AD429" s="46">
        <f>IF(B429="","",IF(G429&lt;&gt;"","Yes",IF(OR(I429="",ISNUMBER(SEARCH("takeaway",I429)),ISNUMBER(SEARCH("out",I429))),"No","Yes")))</f>
        <v>0</v>
      </c>
      <c r="AE429" s="17">
        <f>IF(B429="","",TEXT(B429,"yyyy-mm-dd")&amp;"|"&amp;F429)</f>
        <v>0</v>
      </c>
      <c r="AF429" s="31">
        <f>IF(B429="","",IF(AND(G429="",I429=""),"Add - nothing planned yet",IF(COUNTIFS($AE$5:$AE$504,AE429)&gt;1,"Duplicate - two meals in one slot",IF(AND(G429&lt;&gt;"",H429="Not found"),"Missing - recipe ID not on the Recipes tab",IF(AND(B429&lt;TODAY(),OR(N429="Planned",N429="")),"Check - did you cook it?","OK")))))</f>
        <v>0</v>
      </c>
    </row>
    <row r="430" spans="1:32">
      <c r="A430" s="39">
        <f>IF(B430="","",MealPrefix&amp;TEXT(ROW()-4,"0000"))</f>
        <v>0</v>
      </c>
      <c r="C430" s="17">
        <f>IF(B430="","",TEXT(B430,"ddd"))</f>
        <v>0</v>
      </c>
      <c r="D430" s="18">
        <f>IF(B430="","",WEEKNUM(B430,IF(WeekStart="Sunday",1,2)))</f>
        <v>0</v>
      </c>
      <c r="E430" s="17">
        <f>IF(B430="","",TEXT(B430,"yyyy-mm"))</f>
        <v>0</v>
      </c>
      <c r="H430" s="17">
        <f>IF(G430&lt;&gt;"",IFERROR(INDEX(Recipes!$B$5:$B$204,MATCH(G430,Recipes!$A$5:$A$204,0)),"Not found"),I430)</f>
        <v>0</v>
      </c>
      <c r="K430" s="45">
        <f>IF(B430="","",IF(J430="",DefaultServings,J430))</f>
        <v>0</v>
      </c>
      <c r="L430" s="45">
        <f>IF(G430="",0,IFERROR(K430/INDEX(Recipes!$G$5:$G$204,MATCH(G430,Recipes!$A$5:$A$204,0)),0))</f>
        <v>0</v>
      </c>
      <c r="T430" s="25">
        <f>IF(G430="","",IFERROR(INDEX(Recipes!$AD$5:$AD$204,MATCH(G430,Recipes!$A$5:$A$204,0))*K430,""))</f>
        <v>0</v>
      </c>
      <c r="V430" s="30">
        <f>IF(G430="","",IFERROR(INDEX(Recipes!$AE$5:$AE$204,MATCH(G430,Recipes!$A$5:$A$204,0)),"Not found"))</f>
        <v>0</v>
      </c>
      <c r="W430" s="45">
        <f>IF(G430="","",IFERROR(INDEX(Recipes!$AF$5:$AF$204,MATCH(G430,Recipes!$A$5:$A$204,0)),"Not found"))</f>
        <v>0</v>
      </c>
      <c r="X430" s="45">
        <f>IF(G430="","",IFERROR(INDEX(Recipes!$AG$5:$AG$204,MATCH(G430,Recipes!$A$5:$A$204,0)),"Not found"))</f>
        <v>0</v>
      </c>
      <c r="Y430" s="45">
        <f>IF(G430="","",IFERROR(INDEX(Recipes!$AH$5:$AH$204,MATCH(G430,Recipes!$A$5:$A$204,0)),"Not found"))</f>
        <v>0</v>
      </c>
      <c r="Z430" s="45">
        <f>IF(G430="","",IFERROR(INDEX(Recipes!$AI$5:$AI$204,MATCH(G430,Recipes!$A$5:$A$204,0)),"Not found"))</f>
        <v>0</v>
      </c>
      <c r="AA430" s="30">
        <f>IF(OR(V430="",NOT(ISNUMBER(V430))),"",V430*K430)</f>
        <v>0</v>
      </c>
      <c r="AB430" s="18">
        <f>IF(G430="","",IFERROR(INDEX(Recipes!$J$5:$J$204,MATCH(G430,Recipes!$A$5:$A$204,0)),"Not found"))</f>
        <v>0</v>
      </c>
      <c r="AC430" s="17">
        <f>IF(G430="","",IFERROR(INDEX(Recipes!$C$5:$C$204,MATCH(G430,Recipes!$A$5:$A$204,0)),"Not found"))</f>
        <v>0</v>
      </c>
      <c r="AD430" s="46">
        <f>IF(B430="","",IF(G430&lt;&gt;"","Yes",IF(OR(I430="",ISNUMBER(SEARCH("takeaway",I430)),ISNUMBER(SEARCH("out",I430))),"No","Yes")))</f>
        <v>0</v>
      </c>
      <c r="AE430" s="17">
        <f>IF(B430="","",TEXT(B430,"yyyy-mm-dd")&amp;"|"&amp;F430)</f>
        <v>0</v>
      </c>
      <c r="AF430" s="31">
        <f>IF(B430="","",IF(AND(G430="",I430=""),"Add - nothing planned yet",IF(COUNTIFS($AE$5:$AE$504,AE430)&gt;1,"Duplicate - two meals in one slot",IF(AND(G430&lt;&gt;"",H430="Not found"),"Missing - recipe ID not on the Recipes tab",IF(AND(B430&lt;TODAY(),OR(N430="Planned",N430="")),"Check - did you cook it?","OK")))))</f>
        <v>0</v>
      </c>
    </row>
    <row r="431" spans="1:32">
      <c r="A431" s="39">
        <f>IF(B431="","",MealPrefix&amp;TEXT(ROW()-4,"0000"))</f>
        <v>0</v>
      </c>
      <c r="C431" s="17">
        <f>IF(B431="","",TEXT(B431,"ddd"))</f>
        <v>0</v>
      </c>
      <c r="D431" s="18">
        <f>IF(B431="","",WEEKNUM(B431,IF(WeekStart="Sunday",1,2)))</f>
        <v>0</v>
      </c>
      <c r="E431" s="17">
        <f>IF(B431="","",TEXT(B431,"yyyy-mm"))</f>
        <v>0</v>
      </c>
      <c r="H431" s="17">
        <f>IF(G431&lt;&gt;"",IFERROR(INDEX(Recipes!$B$5:$B$204,MATCH(G431,Recipes!$A$5:$A$204,0)),"Not found"),I431)</f>
        <v>0</v>
      </c>
      <c r="K431" s="45">
        <f>IF(B431="","",IF(J431="",DefaultServings,J431))</f>
        <v>0</v>
      </c>
      <c r="L431" s="45">
        <f>IF(G431="",0,IFERROR(K431/INDEX(Recipes!$G$5:$G$204,MATCH(G431,Recipes!$A$5:$A$204,0)),0))</f>
        <v>0</v>
      </c>
      <c r="T431" s="25">
        <f>IF(G431="","",IFERROR(INDEX(Recipes!$AD$5:$AD$204,MATCH(G431,Recipes!$A$5:$A$204,0))*K431,""))</f>
        <v>0</v>
      </c>
      <c r="V431" s="30">
        <f>IF(G431="","",IFERROR(INDEX(Recipes!$AE$5:$AE$204,MATCH(G431,Recipes!$A$5:$A$204,0)),"Not found"))</f>
        <v>0</v>
      </c>
      <c r="W431" s="45">
        <f>IF(G431="","",IFERROR(INDEX(Recipes!$AF$5:$AF$204,MATCH(G431,Recipes!$A$5:$A$204,0)),"Not found"))</f>
        <v>0</v>
      </c>
      <c r="X431" s="45">
        <f>IF(G431="","",IFERROR(INDEX(Recipes!$AG$5:$AG$204,MATCH(G431,Recipes!$A$5:$A$204,0)),"Not found"))</f>
        <v>0</v>
      </c>
      <c r="Y431" s="45">
        <f>IF(G431="","",IFERROR(INDEX(Recipes!$AH$5:$AH$204,MATCH(G431,Recipes!$A$5:$A$204,0)),"Not found"))</f>
        <v>0</v>
      </c>
      <c r="Z431" s="45">
        <f>IF(G431="","",IFERROR(INDEX(Recipes!$AI$5:$AI$204,MATCH(G431,Recipes!$A$5:$A$204,0)),"Not found"))</f>
        <v>0</v>
      </c>
      <c r="AA431" s="30">
        <f>IF(OR(V431="",NOT(ISNUMBER(V431))),"",V431*K431)</f>
        <v>0</v>
      </c>
      <c r="AB431" s="18">
        <f>IF(G431="","",IFERROR(INDEX(Recipes!$J$5:$J$204,MATCH(G431,Recipes!$A$5:$A$204,0)),"Not found"))</f>
        <v>0</v>
      </c>
      <c r="AC431" s="17">
        <f>IF(G431="","",IFERROR(INDEX(Recipes!$C$5:$C$204,MATCH(G431,Recipes!$A$5:$A$204,0)),"Not found"))</f>
        <v>0</v>
      </c>
      <c r="AD431" s="46">
        <f>IF(B431="","",IF(G431&lt;&gt;"","Yes",IF(OR(I431="",ISNUMBER(SEARCH("takeaway",I431)),ISNUMBER(SEARCH("out",I431))),"No","Yes")))</f>
        <v>0</v>
      </c>
      <c r="AE431" s="17">
        <f>IF(B431="","",TEXT(B431,"yyyy-mm-dd")&amp;"|"&amp;F431)</f>
        <v>0</v>
      </c>
      <c r="AF431" s="31">
        <f>IF(B431="","",IF(AND(G431="",I431=""),"Add - nothing planned yet",IF(COUNTIFS($AE$5:$AE$504,AE431)&gt;1,"Duplicate - two meals in one slot",IF(AND(G431&lt;&gt;"",H431="Not found"),"Missing - recipe ID not on the Recipes tab",IF(AND(B431&lt;TODAY(),OR(N431="Planned",N431="")),"Check - did you cook it?","OK")))))</f>
        <v>0</v>
      </c>
    </row>
    <row r="432" spans="1:32">
      <c r="A432" s="39">
        <f>IF(B432="","",MealPrefix&amp;TEXT(ROW()-4,"0000"))</f>
        <v>0</v>
      </c>
      <c r="C432" s="17">
        <f>IF(B432="","",TEXT(B432,"ddd"))</f>
        <v>0</v>
      </c>
      <c r="D432" s="18">
        <f>IF(B432="","",WEEKNUM(B432,IF(WeekStart="Sunday",1,2)))</f>
        <v>0</v>
      </c>
      <c r="E432" s="17">
        <f>IF(B432="","",TEXT(B432,"yyyy-mm"))</f>
        <v>0</v>
      </c>
      <c r="H432" s="17">
        <f>IF(G432&lt;&gt;"",IFERROR(INDEX(Recipes!$B$5:$B$204,MATCH(G432,Recipes!$A$5:$A$204,0)),"Not found"),I432)</f>
        <v>0</v>
      </c>
      <c r="K432" s="45">
        <f>IF(B432="","",IF(J432="",DefaultServings,J432))</f>
        <v>0</v>
      </c>
      <c r="L432" s="45">
        <f>IF(G432="",0,IFERROR(K432/INDEX(Recipes!$G$5:$G$204,MATCH(G432,Recipes!$A$5:$A$204,0)),0))</f>
        <v>0</v>
      </c>
      <c r="T432" s="25">
        <f>IF(G432="","",IFERROR(INDEX(Recipes!$AD$5:$AD$204,MATCH(G432,Recipes!$A$5:$A$204,0))*K432,""))</f>
        <v>0</v>
      </c>
      <c r="V432" s="30">
        <f>IF(G432="","",IFERROR(INDEX(Recipes!$AE$5:$AE$204,MATCH(G432,Recipes!$A$5:$A$204,0)),"Not found"))</f>
        <v>0</v>
      </c>
      <c r="W432" s="45">
        <f>IF(G432="","",IFERROR(INDEX(Recipes!$AF$5:$AF$204,MATCH(G432,Recipes!$A$5:$A$204,0)),"Not found"))</f>
        <v>0</v>
      </c>
      <c r="X432" s="45">
        <f>IF(G432="","",IFERROR(INDEX(Recipes!$AG$5:$AG$204,MATCH(G432,Recipes!$A$5:$A$204,0)),"Not found"))</f>
        <v>0</v>
      </c>
      <c r="Y432" s="45">
        <f>IF(G432="","",IFERROR(INDEX(Recipes!$AH$5:$AH$204,MATCH(G432,Recipes!$A$5:$A$204,0)),"Not found"))</f>
        <v>0</v>
      </c>
      <c r="Z432" s="45">
        <f>IF(G432="","",IFERROR(INDEX(Recipes!$AI$5:$AI$204,MATCH(G432,Recipes!$A$5:$A$204,0)),"Not found"))</f>
        <v>0</v>
      </c>
      <c r="AA432" s="30">
        <f>IF(OR(V432="",NOT(ISNUMBER(V432))),"",V432*K432)</f>
        <v>0</v>
      </c>
      <c r="AB432" s="18">
        <f>IF(G432="","",IFERROR(INDEX(Recipes!$J$5:$J$204,MATCH(G432,Recipes!$A$5:$A$204,0)),"Not found"))</f>
        <v>0</v>
      </c>
      <c r="AC432" s="17">
        <f>IF(G432="","",IFERROR(INDEX(Recipes!$C$5:$C$204,MATCH(G432,Recipes!$A$5:$A$204,0)),"Not found"))</f>
        <v>0</v>
      </c>
      <c r="AD432" s="46">
        <f>IF(B432="","",IF(G432&lt;&gt;"","Yes",IF(OR(I432="",ISNUMBER(SEARCH("takeaway",I432)),ISNUMBER(SEARCH("out",I432))),"No","Yes")))</f>
        <v>0</v>
      </c>
      <c r="AE432" s="17">
        <f>IF(B432="","",TEXT(B432,"yyyy-mm-dd")&amp;"|"&amp;F432)</f>
        <v>0</v>
      </c>
      <c r="AF432" s="31">
        <f>IF(B432="","",IF(AND(G432="",I432=""),"Add - nothing planned yet",IF(COUNTIFS($AE$5:$AE$504,AE432)&gt;1,"Duplicate - two meals in one slot",IF(AND(G432&lt;&gt;"",H432="Not found"),"Missing - recipe ID not on the Recipes tab",IF(AND(B432&lt;TODAY(),OR(N432="Planned",N432="")),"Check - did you cook it?","OK")))))</f>
        <v>0</v>
      </c>
    </row>
    <row r="433" spans="1:32">
      <c r="A433" s="39">
        <f>IF(B433="","",MealPrefix&amp;TEXT(ROW()-4,"0000"))</f>
        <v>0</v>
      </c>
      <c r="C433" s="17">
        <f>IF(B433="","",TEXT(B433,"ddd"))</f>
        <v>0</v>
      </c>
      <c r="D433" s="18">
        <f>IF(B433="","",WEEKNUM(B433,IF(WeekStart="Sunday",1,2)))</f>
        <v>0</v>
      </c>
      <c r="E433" s="17">
        <f>IF(B433="","",TEXT(B433,"yyyy-mm"))</f>
        <v>0</v>
      </c>
      <c r="H433" s="17">
        <f>IF(G433&lt;&gt;"",IFERROR(INDEX(Recipes!$B$5:$B$204,MATCH(G433,Recipes!$A$5:$A$204,0)),"Not found"),I433)</f>
        <v>0</v>
      </c>
      <c r="K433" s="45">
        <f>IF(B433="","",IF(J433="",DefaultServings,J433))</f>
        <v>0</v>
      </c>
      <c r="L433" s="45">
        <f>IF(G433="",0,IFERROR(K433/INDEX(Recipes!$G$5:$G$204,MATCH(G433,Recipes!$A$5:$A$204,0)),0))</f>
        <v>0</v>
      </c>
      <c r="T433" s="25">
        <f>IF(G433="","",IFERROR(INDEX(Recipes!$AD$5:$AD$204,MATCH(G433,Recipes!$A$5:$A$204,0))*K433,""))</f>
        <v>0</v>
      </c>
      <c r="V433" s="30">
        <f>IF(G433="","",IFERROR(INDEX(Recipes!$AE$5:$AE$204,MATCH(G433,Recipes!$A$5:$A$204,0)),"Not found"))</f>
        <v>0</v>
      </c>
      <c r="W433" s="45">
        <f>IF(G433="","",IFERROR(INDEX(Recipes!$AF$5:$AF$204,MATCH(G433,Recipes!$A$5:$A$204,0)),"Not found"))</f>
        <v>0</v>
      </c>
      <c r="X433" s="45">
        <f>IF(G433="","",IFERROR(INDEX(Recipes!$AG$5:$AG$204,MATCH(G433,Recipes!$A$5:$A$204,0)),"Not found"))</f>
        <v>0</v>
      </c>
      <c r="Y433" s="45">
        <f>IF(G433="","",IFERROR(INDEX(Recipes!$AH$5:$AH$204,MATCH(G433,Recipes!$A$5:$A$204,0)),"Not found"))</f>
        <v>0</v>
      </c>
      <c r="Z433" s="45">
        <f>IF(G433="","",IFERROR(INDEX(Recipes!$AI$5:$AI$204,MATCH(G433,Recipes!$A$5:$A$204,0)),"Not found"))</f>
        <v>0</v>
      </c>
      <c r="AA433" s="30">
        <f>IF(OR(V433="",NOT(ISNUMBER(V433))),"",V433*K433)</f>
        <v>0</v>
      </c>
      <c r="AB433" s="18">
        <f>IF(G433="","",IFERROR(INDEX(Recipes!$J$5:$J$204,MATCH(G433,Recipes!$A$5:$A$204,0)),"Not found"))</f>
        <v>0</v>
      </c>
      <c r="AC433" s="17">
        <f>IF(G433="","",IFERROR(INDEX(Recipes!$C$5:$C$204,MATCH(G433,Recipes!$A$5:$A$204,0)),"Not found"))</f>
        <v>0</v>
      </c>
      <c r="AD433" s="46">
        <f>IF(B433="","",IF(G433&lt;&gt;"","Yes",IF(OR(I433="",ISNUMBER(SEARCH("takeaway",I433)),ISNUMBER(SEARCH("out",I433))),"No","Yes")))</f>
        <v>0</v>
      </c>
      <c r="AE433" s="17">
        <f>IF(B433="","",TEXT(B433,"yyyy-mm-dd")&amp;"|"&amp;F433)</f>
        <v>0</v>
      </c>
      <c r="AF433" s="31">
        <f>IF(B433="","",IF(AND(G433="",I433=""),"Add - nothing planned yet",IF(COUNTIFS($AE$5:$AE$504,AE433)&gt;1,"Duplicate - two meals in one slot",IF(AND(G433&lt;&gt;"",H433="Not found"),"Missing - recipe ID not on the Recipes tab",IF(AND(B433&lt;TODAY(),OR(N433="Planned",N433="")),"Check - did you cook it?","OK")))))</f>
        <v>0</v>
      </c>
    </row>
    <row r="434" spans="1:32">
      <c r="A434" s="39">
        <f>IF(B434="","",MealPrefix&amp;TEXT(ROW()-4,"0000"))</f>
        <v>0</v>
      </c>
      <c r="C434" s="17">
        <f>IF(B434="","",TEXT(B434,"ddd"))</f>
        <v>0</v>
      </c>
      <c r="D434" s="18">
        <f>IF(B434="","",WEEKNUM(B434,IF(WeekStart="Sunday",1,2)))</f>
        <v>0</v>
      </c>
      <c r="E434" s="17">
        <f>IF(B434="","",TEXT(B434,"yyyy-mm"))</f>
        <v>0</v>
      </c>
      <c r="H434" s="17">
        <f>IF(G434&lt;&gt;"",IFERROR(INDEX(Recipes!$B$5:$B$204,MATCH(G434,Recipes!$A$5:$A$204,0)),"Not found"),I434)</f>
        <v>0</v>
      </c>
      <c r="K434" s="45">
        <f>IF(B434="","",IF(J434="",DefaultServings,J434))</f>
        <v>0</v>
      </c>
      <c r="L434" s="45">
        <f>IF(G434="",0,IFERROR(K434/INDEX(Recipes!$G$5:$G$204,MATCH(G434,Recipes!$A$5:$A$204,0)),0))</f>
        <v>0</v>
      </c>
      <c r="T434" s="25">
        <f>IF(G434="","",IFERROR(INDEX(Recipes!$AD$5:$AD$204,MATCH(G434,Recipes!$A$5:$A$204,0))*K434,""))</f>
        <v>0</v>
      </c>
      <c r="V434" s="30">
        <f>IF(G434="","",IFERROR(INDEX(Recipes!$AE$5:$AE$204,MATCH(G434,Recipes!$A$5:$A$204,0)),"Not found"))</f>
        <v>0</v>
      </c>
      <c r="W434" s="45">
        <f>IF(G434="","",IFERROR(INDEX(Recipes!$AF$5:$AF$204,MATCH(G434,Recipes!$A$5:$A$204,0)),"Not found"))</f>
        <v>0</v>
      </c>
      <c r="X434" s="45">
        <f>IF(G434="","",IFERROR(INDEX(Recipes!$AG$5:$AG$204,MATCH(G434,Recipes!$A$5:$A$204,0)),"Not found"))</f>
        <v>0</v>
      </c>
      <c r="Y434" s="45">
        <f>IF(G434="","",IFERROR(INDEX(Recipes!$AH$5:$AH$204,MATCH(G434,Recipes!$A$5:$A$204,0)),"Not found"))</f>
        <v>0</v>
      </c>
      <c r="Z434" s="45">
        <f>IF(G434="","",IFERROR(INDEX(Recipes!$AI$5:$AI$204,MATCH(G434,Recipes!$A$5:$A$204,0)),"Not found"))</f>
        <v>0</v>
      </c>
      <c r="AA434" s="30">
        <f>IF(OR(V434="",NOT(ISNUMBER(V434))),"",V434*K434)</f>
        <v>0</v>
      </c>
      <c r="AB434" s="18">
        <f>IF(G434="","",IFERROR(INDEX(Recipes!$J$5:$J$204,MATCH(G434,Recipes!$A$5:$A$204,0)),"Not found"))</f>
        <v>0</v>
      </c>
      <c r="AC434" s="17">
        <f>IF(G434="","",IFERROR(INDEX(Recipes!$C$5:$C$204,MATCH(G434,Recipes!$A$5:$A$204,0)),"Not found"))</f>
        <v>0</v>
      </c>
      <c r="AD434" s="46">
        <f>IF(B434="","",IF(G434&lt;&gt;"","Yes",IF(OR(I434="",ISNUMBER(SEARCH("takeaway",I434)),ISNUMBER(SEARCH("out",I434))),"No","Yes")))</f>
        <v>0</v>
      </c>
      <c r="AE434" s="17">
        <f>IF(B434="","",TEXT(B434,"yyyy-mm-dd")&amp;"|"&amp;F434)</f>
        <v>0</v>
      </c>
      <c r="AF434" s="31">
        <f>IF(B434="","",IF(AND(G434="",I434=""),"Add - nothing planned yet",IF(COUNTIFS($AE$5:$AE$504,AE434)&gt;1,"Duplicate - two meals in one slot",IF(AND(G434&lt;&gt;"",H434="Not found"),"Missing - recipe ID not on the Recipes tab",IF(AND(B434&lt;TODAY(),OR(N434="Planned",N434="")),"Check - did you cook it?","OK")))))</f>
        <v>0</v>
      </c>
    </row>
    <row r="435" spans="1:32">
      <c r="A435" s="39">
        <f>IF(B435="","",MealPrefix&amp;TEXT(ROW()-4,"0000"))</f>
        <v>0</v>
      </c>
      <c r="C435" s="17">
        <f>IF(B435="","",TEXT(B435,"ddd"))</f>
        <v>0</v>
      </c>
      <c r="D435" s="18">
        <f>IF(B435="","",WEEKNUM(B435,IF(WeekStart="Sunday",1,2)))</f>
        <v>0</v>
      </c>
      <c r="E435" s="17">
        <f>IF(B435="","",TEXT(B435,"yyyy-mm"))</f>
        <v>0</v>
      </c>
      <c r="H435" s="17">
        <f>IF(G435&lt;&gt;"",IFERROR(INDEX(Recipes!$B$5:$B$204,MATCH(G435,Recipes!$A$5:$A$204,0)),"Not found"),I435)</f>
        <v>0</v>
      </c>
      <c r="K435" s="45">
        <f>IF(B435="","",IF(J435="",DefaultServings,J435))</f>
        <v>0</v>
      </c>
      <c r="L435" s="45">
        <f>IF(G435="",0,IFERROR(K435/INDEX(Recipes!$G$5:$G$204,MATCH(G435,Recipes!$A$5:$A$204,0)),0))</f>
        <v>0</v>
      </c>
      <c r="T435" s="25">
        <f>IF(G435="","",IFERROR(INDEX(Recipes!$AD$5:$AD$204,MATCH(G435,Recipes!$A$5:$A$204,0))*K435,""))</f>
        <v>0</v>
      </c>
      <c r="V435" s="30">
        <f>IF(G435="","",IFERROR(INDEX(Recipes!$AE$5:$AE$204,MATCH(G435,Recipes!$A$5:$A$204,0)),"Not found"))</f>
        <v>0</v>
      </c>
      <c r="W435" s="45">
        <f>IF(G435="","",IFERROR(INDEX(Recipes!$AF$5:$AF$204,MATCH(G435,Recipes!$A$5:$A$204,0)),"Not found"))</f>
        <v>0</v>
      </c>
      <c r="X435" s="45">
        <f>IF(G435="","",IFERROR(INDEX(Recipes!$AG$5:$AG$204,MATCH(G435,Recipes!$A$5:$A$204,0)),"Not found"))</f>
        <v>0</v>
      </c>
      <c r="Y435" s="45">
        <f>IF(G435="","",IFERROR(INDEX(Recipes!$AH$5:$AH$204,MATCH(G435,Recipes!$A$5:$A$204,0)),"Not found"))</f>
        <v>0</v>
      </c>
      <c r="Z435" s="45">
        <f>IF(G435="","",IFERROR(INDEX(Recipes!$AI$5:$AI$204,MATCH(G435,Recipes!$A$5:$A$204,0)),"Not found"))</f>
        <v>0</v>
      </c>
      <c r="AA435" s="30">
        <f>IF(OR(V435="",NOT(ISNUMBER(V435))),"",V435*K435)</f>
        <v>0</v>
      </c>
      <c r="AB435" s="18">
        <f>IF(G435="","",IFERROR(INDEX(Recipes!$J$5:$J$204,MATCH(G435,Recipes!$A$5:$A$204,0)),"Not found"))</f>
        <v>0</v>
      </c>
      <c r="AC435" s="17">
        <f>IF(G435="","",IFERROR(INDEX(Recipes!$C$5:$C$204,MATCH(G435,Recipes!$A$5:$A$204,0)),"Not found"))</f>
        <v>0</v>
      </c>
      <c r="AD435" s="46">
        <f>IF(B435="","",IF(G435&lt;&gt;"","Yes",IF(OR(I435="",ISNUMBER(SEARCH("takeaway",I435)),ISNUMBER(SEARCH("out",I435))),"No","Yes")))</f>
        <v>0</v>
      </c>
      <c r="AE435" s="17">
        <f>IF(B435="","",TEXT(B435,"yyyy-mm-dd")&amp;"|"&amp;F435)</f>
        <v>0</v>
      </c>
      <c r="AF435" s="31">
        <f>IF(B435="","",IF(AND(G435="",I435=""),"Add - nothing planned yet",IF(COUNTIFS($AE$5:$AE$504,AE435)&gt;1,"Duplicate - two meals in one slot",IF(AND(G435&lt;&gt;"",H435="Not found"),"Missing - recipe ID not on the Recipes tab",IF(AND(B435&lt;TODAY(),OR(N435="Planned",N435="")),"Check - did you cook it?","OK")))))</f>
        <v>0</v>
      </c>
    </row>
    <row r="436" spans="1:32">
      <c r="A436" s="39">
        <f>IF(B436="","",MealPrefix&amp;TEXT(ROW()-4,"0000"))</f>
        <v>0</v>
      </c>
      <c r="C436" s="17">
        <f>IF(B436="","",TEXT(B436,"ddd"))</f>
        <v>0</v>
      </c>
      <c r="D436" s="18">
        <f>IF(B436="","",WEEKNUM(B436,IF(WeekStart="Sunday",1,2)))</f>
        <v>0</v>
      </c>
      <c r="E436" s="17">
        <f>IF(B436="","",TEXT(B436,"yyyy-mm"))</f>
        <v>0</v>
      </c>
      <c r="H436" s="17">
        <f>IF(G436&lt;&gt;"",IFERROR(INDEX(Recipes!$B$5:$B$204,MATCH(G436,Recipes!$A$5:$A$204,0)),"Not found"),I436)</f>
        <v>0</v>
      </c>
      <c r="K436" s="45">
        <f>IF(B436="","",IF(J436="",DefaultServings,J436))</f>
        <v>0</v>
      </c>
      <c r="L436" s="45">
        <f>IF(G436="",0,IFERROR(K436/INDEX(Recipes!$G$5:$G$204,MATCH(G436,Recipes!$A$5:$A$204,0)),0))</f>
        <v>0</v>
      </c>
      <c r="T436" s="25">
        <f>IF(G436="","",IFERROR(INDEX(Recipes!$AD$5:$AD$204,MATCH(G436,Recipes!$A$5:$A$204,0))*K436,""))</f>
        <v>0</v>
      </c>
      <c r="V436" s="30">
        <f>IF(G436="","",IFERROR(INDEX(Recipes!$AE$5:$AE$204,MATCH(G436,Recipes!$A$5:$A$204,0)),"Not found"))</f>
        <v>0</v>
      </c>
      <c r="W436" s="45">
        <f>IF(G436="","",IFERROR(INDEX(Recipes!$AF$5:$AF$204,MATCH(G436,Recipes!$A$5:$A$204,0)),"Not found"))</f>
        <v>0</v>
      </c>
      <c r="X436" s="45">
        <f>IF(G436="","",IFERROR(INDEX(Recipes!$AG$5:$AG$204,MATCH(G436,Recipes!$A$5:$A$204,0)),"Not found"))</f>
        <v>0</v>
      </c>
      <c r="Y436" s="45">
        <f>IF(G436="","",IFERROR(INDEX(Recipes!$AH$5:$AH$204,MATCH(G436,Recipes!$A$5:$A$204,0)),"Not found"))</f>
        <v>0</v>
      </c>
      <c r="Z436" s="45">
        <f>IF(G436="","",IFERROR(INDEX(Recipes!$AI$5:$AI$204,MATCH(G436,Recipes!$A$5:$A$204,0)),"Not found"))</f>
        <v>0</v>
      </c>
      <c r="AA436" s="30">
        <f>IF(OR(V436="",NOT(ISNUMBER(V436))),"",V436*K436)</f>
        <v>0</v>
      </c>
      <c r="AB436" s="18">
        <f>IF(G436="","",IFERROR(INDEX(Recipes!$J$5:$J$204,MATCH(G436,Recipes!$A$5:$A$204,0)),"Not found"))</f>
        <v>0</v>
      </c>
      <c r="AC436" s="17">
        <f>IF(G436="","",IFERROR(INDEX(Recipes!$C$5:$C$204,MATCH(G436,Recipes!$A$5:$A$204,0)),"Not found"))</f>
        <v>0</v>
      </c>
      <c r="AD436" s="46">
        <f>IF(B436="","",IF(G436&lt;&gt;"","Yes",IF(OR(I436="",ISNUMBER(SEARCH("takeaway",I436)),ISNUMBER(SEARCH("out",I436))),"No","Yes")))</f>
        <v>0</v>
      </c>
      <c r="AE436" s="17">
        <f>IF(B436="","",TEXT(B436,"yyyy-mm-dd")&amp;"|"&amp;F436)</f>
        <v>0</v>
      </c>
      <c r="AF436" s="31">
        <f>IF(B436="","",IF(AND(G436="",I436=""),"Add - nothing planned yet",IF(COUNTIFS($AE$5:$AE$504,AE436)&gt;1,"Duplicate - two meals in one slot",IF(AND(G436&lt;&gt;"",H436="Not found"),"Missing - recipe ID not on the Recipes tab",IF(AND(B436&lt;TODAY(),OR(N436="Planned",N436="")),"Check - did you cook it?","OK")))))</f>
        <v>0</v>
      </c>
    </row>
    <row r="437" spans="1:32">
      <c r="A437" s="39">
        <f>IF(B437="","",MealPrefix&amp;TEXT(ROW()-4,"0000"))</f>
        <v>0</v>
      </c>
      <c r="C437" s="17">
        <f>IF(B437="","",TEXT(B437,"ddd"))</f>
        <v>0</v>
      </c>
      <c r="D437" s="18">
        <f>IF(B437="","",WEEKNUM(B437,IF(WeekStart="Sunday",1,2)))</f>
        <v>0</v>
      </c>
      <c r="E437" s="17">
        <f>IF(B437="","",TEXT(B437,"yyyy-mm"))</f>
        <v>0</v>
      </c>
      <c r="H437" s="17">
        <f>IF(G437&lt;&gt;"",IFERROR(INDEX(Recipes!$B$5:$B$204,MATCH(G437,Recipes!$A$5:$A$204,0)),"Not found"),I437)</f>
        <v>0</v>
      </c>
      <c r="K437" s="45">
        <f>IF(B437="","",IF(J437="",DefaultServings,J437))</f>
        <v>0</v>
      </c>
      <c r="L437" s="45">
        <f>IF(G437="",0,IFERROR(K437/INDEX(Recipes!$G$5:$G$204,MATCH(G437,Recipes!$A$5:$A$204,0)),0))</f>
        <v>0</v>
      </c>
      <c r="T437" s="25">
        <f>IF(G437="","",IFERROR(INDEX(Recipes!$AD$5:$AD$204,MATCH(G437,Recipes!$A$5:$A$204,0))*K437,""))</f>
        <v>0</v>
      </c>
      <c r="V437" s="30">
        <f>IF(G437="","",IFERROR(INDEX(Recipes!$AE$5:$AE$204,MATCH(G437,Recipes!$A$5:$A$204,0)),"Not found"))</f>
        <v>0</v>
      </c>
      <c r="W437" s="45">
        <f>IF(G437="","",IFERROR(INDEX(Recipes!$AF$5:$AF$204,MATCH(G437,Recipes!$A$5:$A$204,0)),"Not found"))</f>
        <v>0</v>
      </c>
      <c r="X437" s="45">
        <f>IF(G437="","",IFERROR(INDEX(Recipes!$AG$5:$AG$204,MATCH(G437,Recipes!$A$5:$A$204,0)),"Not found"))</f>
        <v>0</v>
      </c>
      <c r="Y437" s="45">
        <f>IF(G437="","",IFERROR(INDEX(Recipes!$AH$5:$AH$204,MATCH(G437,Recipes!$A$5:$A$204,0)),"Not found"))</f>
        <v>0</v>
      </c>
      <c r="Z437" s="45">
        <f>IF(G437="","",IFERROR(INDEX(Recipes!$AI$5:$AI$204,MATCH(G437,Recipes!$A$5:$A$204,0)),"Not found"))</f>
        <v>0</v>
      </c>
      <c r="AA437" s="30">
        <f>IF(OR(V437="",NOT(ISNUMBER(V437))),"",V437*K437)</f>
        <v>0</v>
      </c>
      <c r="AB437" s="18">
        <f>IF(G437="","",IFERROR(INDEX(Recipes!$J$5:$J$204,MATCH(G437,Recipes!$A$5:$A$204,0)),"Not found"))</f>
        <v>0</v>
      </c>
      <c r="AC437" s="17">
        <f>IF(G437="","",IFERROR(INDEX(Recipes!$C$5:$C$204,MATCH(G437,Recipes!$A$5:$A$204,0)),"Not found"))</f>
        <v>0</v>
      </c>
      <c r="AD437" s="46">
        <f>IF(B437="","",IF(G437&lt;&gt;"","Yes",IF(OR(I437="",ISNUMBER(SEARCH("takeaway",I437)),ISNUMBER(SEARCH("out",I437))),"No","Yes")))</f>
        <v>0</v>
      </c>
      <c r="AE437" s="17">
        <f>IF(B437="","",TEXT(B437,"yyyy-mm-dd")&amp;"|"&amp;F437)</f>
        <v>0</v>
      </c>
      <c r="AF437" s="31">
        <f>IF(B437="","",IF(AND(G437="",I437=""),"Add - nothing planned yet",IF(COUNTIFS($AE$5:$AE$504,AE437)&gt;1,"Duplicate - two meals in one slot",IF(AND(G437&lt;&gt;"",H437="Not found"),"Missing - recipe ID not on the Recipes tab",IF(AND(B437&lt;TODAY(),OR(N437="Planned",N437="")),"Check - did you cook it?","OK")))))</f>
        <v>0</v>
      </c>
    </row>
    <row r="438" spans="1:32">
      <c r="A438" s="39">
        <f>IF(B438="","",MealPrefix&amp;TEXT(ROW()-4,"0000"))</f>
        <v>0</v>
      </c>
      <c r="C438" s="17">
        <f>IF(B438="","",TEXT(B438,"ddd"))</f>
        <v>0</v>
      </c>
      <c r="D438" s="18">
        <f>IF(B438="","",WEEKNUM(B438,IF(WeekStart="Sunday",1,2)))</f>
        <v>0</v>
      </c>
      <c r="E438" s="17">
        <f>IF(B438="","",TEXT(B438,"yyyy-mm"))</f>
        <v>0</v>
      </c>
      <c r="H438" s="17">
        <f>IF(G438&lt;&gt;"",IFERROR(INDEX(Recipes!$B$5:$B$204,MATCH(G438,Recipes!$A$5:$A$204,0)),"Not found"),I438)</f>
        <v>0</v>
      </c>
      <c r="K438" s="45">
        <f>IF(B438="","",IF(J438="",DefaultServings,J438))</f>
        <v>0</v>
      </c>
      <c r="L438" s="45">
        <f>IF(G438="",0,IFERROR(K438/INDEX(Recipes!$G$5:$G$204,MATCH(G438,Recipes!$A$5:$A$204,0)),0))</f>
        <v>0</v>
      </c>
      <c r="T438" s="25">
        <f>IF(G438="","",IFERROR(INDEX(Recipes!$AD$5:$AD$204,MATCH(G438,Recipes!$A$5:$A$204,0))*K438,""))</f>
        <v>0</v>
      </c>
      <c r="V438" s="30">
        <f>IF(G438="","",IFERROR(INDEX(Recipes!$AE$5:$AE$204,MATCH(G438,Recipes!$A$5:$A$204,0)),"Not found"))</f>
        <v>0</v>
      </c>
      <c r="W438" s="45">
        <f>IF(G438="","",IFERROR(INDEX(Recipes!$AF$5:$AF$204,MATCH(G438,Recipes!$A$5:$A$204,0)),"Not found"))</f>
        <v>0</v>
      </c>
      <c r="X438" s="45">
        <f>IF(G438="","",IFERROR(INDEX(Recipes!$AG$5:$AG$204,MATCH(G438,Recipes!$A$5:$A$204,0)),"Not found"))</f>
        <v>0</v>
      </c>
      <c r="Y438" s="45">
        <f>IF(G438="","",IFERROR(INDEX(Recipes!$AH$5:$AH$204,MATCH(G438,Recipes!$A$5:$A$204,0)),"Not found"))</f>
        <v>0</v>
      </c>
      <c r="Z438" s="45">
        <f>IF(G438="","",IFERROR(INDEX(Recipes!$AI$5:$AI$204,MATCH(G438,Recipes!$A$5:$A$204,0)),"Not found"))</f>
        <v>0</v>
      </c>
      <c r="AA438" s="30">
        <f>IF(OR(V438="",NOT(ISNUMBER(V438))),"",V438*K438)</f>
        <v>0</v>
      </c>
      <c r="AB438" s="18">
        <f>IF(G438="","",IFERROR(INDEX(Recipes!$J$5:$J$204,MATCH(G438,Recipes!$A$5:$A$204,0)),"Not found"))</f>
        <v>0</v>
      </c>
      <c r="AC438" s="17">
        <f>IF(G438="","",IFERROR(INDEX(Recipes!$C$5:$C$204,MATCH(G438,Recipes!$A$5:$A$204,0)),"Not found"))</f>
        <v>0</v>
      </c>
      <c r="AD438" s="46">
        <f>IF(B438="","",IF(G438&lt;&gt;"","Yes",IF(OR(I438="",ISNUMBER(SEARCH("takeaway",I438)),ISNUMBER(SEARCH("out",I438))),"No","Yes")))</f>
        <v>0</v>
      </c>
      <c r="AE438" s="17">
        <f>IF(B438="","",TEXT(B438,"yyyy-mm-dd")&amp;"|"&amp;F438)</f>
        <v>0</v>
      </c>
      <c r="AF438" s="31">
        <f>IF(B438="","",IF(AND(G438="",I438=""),"Add - nothing planned yet",IF(COUNTIFS($AE$5:$AE$504,AE438)&gt;1,"Duplicate - two meals in one slot",IF(AND(G438&lt;&gt;"",H438="Not found"),"Missing - recipe ID not on the Recipes tab",IF(AND(B438&lt;TODAY(),OR(N438="Planned",N438="")),"Check - did you cook it?","OK")))))</f>
        <v>0</v>
      </c>
    </row>
    <row r="439" spans="1:32">
      <c r="A439" s="39">
        <f>IF(B439="","",MealPrefix&amp;TEXT(ROW()-4,"0000"))</f>
        <v>0</v>
      </c>
      <c r="C439" s="17">
        <f>IF(B439="","",TEXT(B439,"ddd"))</f>
        <v>0</v>
      </c>
      <c r="D439" s="18">
        <f>IF(B439="","",WEEKNUM(B439,IF(WeekStart="Sunday",1,2)))</f>
        <v>0</v>
      </c>
      <c r="E439" s="17">
        <f>IF(B439="","",TEXT(B439,"yyyy-mm"))</f>
        <v>0</v>
      </c>
      <c r="H439" s="17">
        <f>IF(G439&lt;&gt;"",IFERROR(INDEX(Recipes!$B$5:$B$204,MATCH(G439,Recipes!$A$5:$A$204,0)),"Not found"),I439)</f>
        <v>0</v>
      </c>
      <c r="K439" s="45">
        <f>IF(B439="","",IF(J439="",DefaultServings,J439))</f>
        <v>0</v>
      </c>
      <c r="L439" s="45">
        <f>IF(G439="",0,IFERROR(K439/INDEX(Recipes!$G$5:$G$204,MATCH(G439,Recipes!$A$5:$A$204,0)),0))</f>
        <v>0</v>
      </c>
      <c r="T439" s="25">
        <f>IF(G439="","",IFERROR(INDEX(Recipes!$AD$5:$AD$204,MATCH(G439,Recipes!$A$5:$A$204,0))*K439,""))</f>
        <v>0</v>
      </c>
      <c r="V439" s="30">
        <f>IF(G439="","",IFERROR(INDEX(Recipes!$AE$5:$AE$204,MATCH(G439,Recipes!$A$5:$A$204,0)),"Not found"))</f>
        <v>0</v>
      </c>
      <c r="W439" s="45">
        <f>IF(G439="","",IFERROR(INDEX(Recipes!$AF$5:$AF$204,MATCH(G439,Recipes!$A$5:$A$204,0)),"Not found"))</f>
        <v>0</v>
      </c>
      <c r="X439" s="45">
        <f>IF(G439="","",IFERROR(INDEX(Recipes!$AG$5:$AG$204,MATCH(G439,Recipes!$A$5:$A$204,0)),"Not found"))</f>
        <v>0</v>
      </c>
      <c r="Y439" s="45">
        <f>IF(G439="","",IFERROR(INDEX(Recipes!$AH$5:$AH$204,MATCH(G439,Recipes!$A$5:$A$204,0)),"Not found"))</f>
        <v>0</v>
      </c>
      <c r="Z439" s="45">
        <f>IF(G439="","",IFERROR(INDEX(Recipes!$AI$5:$AI$204,MATCH(G439,Recipes!$A$5:$A$204,0)),"Not found"))</f>
        <v>0</v>
      </c>
      <c r="AA439" s="30">
        <f>IF(OR(V439="",NOT(ISNUMBER(V439))),"",V439*K439)</f>
        <v>0</v>
      </c>
      <c r="AB439" s="18">
        <f>IF(G439="","",IFERROR(INDEX(Recipes!$J$5:$J$204,MATCH(G439,Recipes!$A$5:$A$204,0)),"Not found"))</f>
        <v>0</v>
      </c>
      <c r="AC439" s="17">
        <f>IF(G439="","",IFERROR(INDEX(Recipes!$C$5:$C$204,MATCH(G439,Recipes!$A$5:$A$204,0)),"Not found"))</f>
        <v>0</v>
      </c>
      <c r="AD439" s="46">
        <f>IF(B439="","",IF(G439&lt;&gt;"","Yes",IF(OR(I439="",ISNUMBER(SEARCH("takeaway",I439)),ISNUMBER(SEARCH("out",I439))),"No","Yes")))</f>
        <v>0</v>
      </c>
      <c r="AE439" s="17">
        <f>IF(B439="","",TEXT(B439,"yyyy-mm-dd")&amp;"|"&amp;F439)</f>
        <v>0</v>
      </c>
      <c r="AF439" s="31">
        <f>IF(B439="","",IF(AND(G439="",I439=""),"Add - nothing planned yet",IF(COUNTIFS($AE$5:$AE$504,AE439)&gt;1,"Duplicate - two meals in one slot",IF(AND(G439&lt;&gt;"",H439="Not found"),"Missing - recipe ID not on the Recipes tab",IF(AND(B439&lt;TODAY(),OR(N439="Planned",N439="")),"Check - did you cook it?","OK")))))</f>
        <v>0</v>
      </c>
    </row>
    <row r="440" spans="1:32">
      <c r="A440" s="39">
        <f>IF(B440="","",MealPrefix&amp;TEXT(ROW()-4,"0000"))</f>
        <v>0</v>
      </c>
      <c r="C440" s="17">
        <f>IF(B440="","",TEXT(B440,"ddd"))</f>
        <v>0</v>
      </c>
      <c r="D440" s="18">
        <f>IF(B440="","",WEEKNUM(B440,IF(WeekStart="Sunday",1,2)))</f>
        <v>0</v>
      </c>
      <c r="E440" s="17">
        <f>IF(B440="","",TEXT(B440,"yyyy-mm"))</f>
        <v>0</v>
      </c>
      <c r="H440" s="17">
        <f>IF(G440&lt;&gt;"",IFERROR(INDEX(Recipes!$B$5:$B$204,MATCH(G440,Recipes!$A$5:$A$204,0)),"Not found"),I440)</f>
        <v>0</v>
      </c>
      <c r="K440" s="45">
        <f>IF(B440="","",IF(J440="",DefaultServings,J440))</f>
        <v>0</v>
      </c>
      <c r="L440" s="45">
        <f>IF(G440="",0,IFERROR(K440/INDEX(Recipes!$G$5:$G$204,MATCH(G440,Recipes!$A$5:$A$204,0)),0))</f>
        <v>0</v>
      </c>
      <c r="T440" s="25">
        <f>IF(G440="","",IFERROR(INDEX(Recipes!$AD$5:$AD$204,MATCH(G440,Recipes!$A$5:$A$204,0))*K440,""))</f>
        <v>0</v>
      </c>
      <c r="V440" s="30">
        <f>IF(G440="","",IFERROR(INDEX(Recipes!$AE$5:$AE$204,MATCH(G440,Recipes!$A$5:$A$204,0)),"Not found"))</f>
        <v>0</v>
      </c>
      <c r="W440" s="45">
        <f>IF(G440="","",IFERROR(INDEX(Recipes!$AF$5:$AF$204,MATCH(G440,Recipes!$A$5:$A$204,0)),"Not found"))</f>
        <v>0</v>
      </c>
      <c r="X440" s="45">
        <f>IF(G440="","",IFERROR(INDEX(Recipes!$AG$5:$AG$204,MATCH(G440,Recipes!$A$5:$A$204,0)),"Not found"))</f>
        <v>0</v>
      </c>
      <c r="Y440" s="45">
        <f>IF(G440="","",IFERROR(INDEX(Recipes!$AH$5:$AH$204,MATCH(G440,Recipes!$A$5:$A$204,0)),"Not found"))</f>
        <v>0</v>
      </c>
      <c r="Z440" s="45">
        <f>IF(G440="","",IFERROR(INDEX(Recipes!$AI$5:$AI$204,MATCH(G440,Recipes!$A$5:$A$204,0)),"Not found"))</f>
        <v>0</v>
      </c>
      <c r="AA440" s="30">
        <f>IF(OR(V440="",NOT(ISNUMBER(V440))),"",V440*K440)</f>
        <v>0</v>
      </c>
      <c r="AB440" s="18">
        <f>IF(G440="","",IFERROR(INDEX(Recipes!$J$5:$J$204,MATCH(G440,Recipes!$A$5:$A$204,0)),"Not found"))</f>
        <v>0</v>
      </c>
      <c r="AC440" s="17">
        <f>IF(G440="","",IFERROR(INDEX(Recipes!$C$5:$C$204,MATCH(G440,Recipes!$A$5:$A$204,0)),"Not found"))</f>
        <v>0</v>
      </c>
      <c r="AD440" s="46">
        <f>IF(B440="","",IF(G440&lt;&gt;"","Yes",IF(OR(I440="",ISNUMBER(SEARCH("takeaway",I440)),ISNUMBER(SEARCH("out",I440))),"No","Yes")))</f>
        <v>0</v>
      </c>
      <c r="AE440" s="17">
        <f>IF(B440="","",TEXT(B440,"yyyy-mm-dd")&amp;"|"&amp;F440)</f>
        <v>0</v>
      </c>
      <c r="AF440" s="31">
        <f>IF(B440="","",IF(AND(G440="",I440=""),"Add - nothing planned yet",IF(COUNTIFS($AE$5:$AE$504,AE440)&gt;1,"Duplicate - two meals in one slot",IF(AND(G440&lt;&gt;"",H440="Not found"),"Missing - recipe ID not on the Recipes tab",IF(AND(B440&lt;TODAY(),OR(N440="Planned",N440="")),"Check - did you cook it?","OK")))))</f>
        <v>0</v>
      </c>
    </row>
    <row r="441" spans="1:32">
      <c r="A441" s="39">
        <f>IF(B441="","",MealPrefix&amp;TEXT(ROW()-4,"0000"))</f>
        <v>0</v>
      </c>
      <c r="C441" s="17">
        <f>IF(B441="","",TEXT(B441,"ddd"))</f>
        <v>0</v>
      </c>
      <c r="D441" s="18">
        <f>IF(B441="","",WEEKNUM(B441,IF(WeekStart="Sunday",1,2)))</f>
        <v>0</v>
      </c>
      <c r="E441" s="17">
        <f>IF(B441="","",TEXT(B441,"yyyy-mm"))</f>
        <v>0</v>
      </c>
      <c r="H441" s="17">
        <f>IF(G441&lt;&gt;"",IFERROR(INDEX(Recipes!$B$5:$B$204,MATCH(G441,Recipes!$A$5:$A$204,0)),"Not found"),I441)</f>
        <v>0</v>
      </c>
      <c r="K441" s="45">
        <f>IF(B441="","",IF(J441="",DefaultServings,J441))</f>
        <v>0</v>
      </c>
      <c r="L441" s="45">
        <f>IF(G441="",0,IFERROR(K441/INDEX(Recipes!$G$5:$G$204,MATCH(G441,Recipes!$A$5:$A$204,0)),0))</f>
        <v>0</v>
      </c>
      <c r="T441" s="25">
        <f>IF(G441="","",IFERROR(INDEX(Recipes!$AD$5:$AD$204,MATCH(G441,Recipes!$A$5:$A$204,0))*K441,""))</f>
        <v>0</v>
      </c>
      <c r="V441" s="30">
        <f>IF(G441="","",IFERROR(INDEX(Recipes!$AE$5:$AE$204,MATCH(G441,Recipes!$A$5:$A$204,0)),"Not found"))</f>
        <v>0</v>
      </c>
      <c r="W441" s="45">
        <f>IF(G441="","",IFERROR(INDEX(Recipes!$AF$5:$AF$204,MATCH(G441,Recipes!$A$5:$A$204,0)),"Not found"))</f>
        <v>0</v>
      </c>
      <c r="X441" s="45">
        <f>IF(G441="","",IFERROR(INDEX(Recipes!$AG$5:$AG$204,MATCH(G441,Recipes!$A$5:$A$204,0)),"Not found"))</f>
        <v>0</v>
      </c>
      <c r="Y441" s="45">
        <f>IF(G441="","",IFERROR(INDEX(Recipes!$AH$5:$AH$204,MATCH(G441,Recipes!$A$5:$A$204,0)),"Not found"))</f>
        <v>0</v>
      </c>
      <c r="Z441" s="45">
        <f>IF(G441="","",IFERROR(INDEX(Recipes!$AI$5:$AI$204,MATCH(G441,Recipes!$A$5:$A$204,0)),"Not found"))</f>
        <v>0</v>
      </c>
      <c r="AA441" s="30">
        <f>IF(OR(V441="",NOT(ISNUMBER(V441))),"",V441*K441)</f>
        <v>0</v>
      </c>
      <c r="AB441" s="18">
        <f>IF(G441="","",IFERROR(INDEX(Recipes!$J$5:$J$204,MATCH(G441,Recipes!$A$5:$A$204,0)),"Not found"))</f>
        <v>0</v>
      </c>
      <c r="AC441" s="17">
        <f>IF(G441="","",IFERROR(INDEX(Recipes!$C$5:$C$204,MATCH(G441,Recipes!$A$5:$A$204,0)),"Not found"))</f>
        <v>0</v>
      </c>
      <c r="AD441" s="46">
        <f>IF(B441="","",IF(G441&lt;&gt;"","Yes",IF(OR(I441="",ISNUMBER(SEARCH("takeaway",I441)),ISNUMBER(SEARCH("out",I441))),"No","Yes")))</f>
        <v>0</v>
      </c>
      <c r="AE441" s="17">
        <f>IF(B441="","",TEXT(B441,"yyyy-mm-dd")&amp;"|"&amp;F441)</f>
        <v>0</v>
      </c>
      <c r="AF441" s="31">
        <f>IF(B441="","",IF(AND(G441="",I441=""),"Add - nothing planned yet",IF(COUNTIFS($AE$5:$AE$504,AE441)&gt;1,"Duplicate - two meals in one slot",IF(AND(G441&lt;&gt;"",H441="Not found"),"Missing - recipe ID not on the Recipes tab",IF(AND(B441&lt;TODAY(),OR(N441="Planned",N441="")),"Check - did you cook it?","OK")))))</f>
        <v>0</v>
      </c>
    </row>
    <row r="442" spans="1:32">
      <c r="A442" s="39">
        <f>IF(B442="","",MealPrefix&amp;TEXT(ROW()-4,"0000"))</f>
        <v>0</v>
      </c>
      <c r="C442" s="17">
        <f>IF(B442="","",TEXT(B442,"ddd"))</f>
        <v>0</v>
      </c>
      <c r="D442" s="18">
        <f>IF(B442="","",WEEKNUM(B442,IF(WeekStart="Sunday",1,2)))</f>
        <v>0</v>
      </c>
      <c r="E442" s="17">
        <f>IF(B442="","",TEXT(B442,"yyyy-mm"))</f>
        <v>0</v>
      </c>
      <c r="H442" s="17">
        <f>IF(G442&lt;&gt;"",IFERROR(INDEX(Recipes!$B$5:$B$204,MATCH(G442,Recipes!$A$5:$A$204,0)),"Not found"),I442)</f>
        <v>0</v>
      </c>
      <c r="K442" s="45">
        <f>IF(B442="","",IF(J442="",DefaultServings,J442))</f>
        <v>0</v>
      </c>
      <c r="L442" s="45">
        <f>IF(G442="",0,IFERROR(K442/INDEX(Recipes!$G$5:$G$204,MATCH(G442,Recipes!$A$5:$A$204,0)),0))</f>
        <v>0</v>
      </c>
      <c r="T442" s="25">
        <f>IF(G442="","",IFERROR(INDEX(Recipes!$AD$5:$AD$204,MATCH(G442,Recipes!$A$5:$A$204,0))*K442,""))</f>
        <v>0</v>
      </c>
      <c r="V442" s="30">
        <f>IF(G442="","",IFERROR(INDEX(Recipes!$AE$5:$AE$204,MATCH(G442,Recipes!$A$5:$A$204,0)),"Not found"))</f>
        <v>0</v>
      </c>
      <c r="W442" s="45">
        <f>IF(G442="","",IFERROR(INDEX(Recipes!$AF$5:$AF$204,MATCH(G442,Recipes!$A$5:$A$204,0)),"Not found"))</f>
        <v>0</v>
      </c>
      <c r="X442" s="45">
        <f>IF(G442="","",IFERROR(INDEX(Recipes!$AG$5:$AG$204,MATCH(G442,Recipes!$A$5:$A$204,0)),"Not found"))</f>
        <v>0</v>
      </c>
      <c r="Y442" s="45">
        <f>IF(G442="","",IFERROR(INDEX(Recipes!$AH$5:$AH$204,MATCH(G442,Recipes!$A$5:$A$204,0)),"Not found"))</f>
        <v>0</v>
      </c>
      <c r="Z442" s="45">
        <f>IF(G442="","",IFERROR(INDEX(Recipes!$AI$5:$AI$204,MATCH(G442,Recipes!$A$5:$A$204,0)),"Not found"))</f>
        <v>0</v>
      </c>
      <c r="AA442" s="30">
        <f>IF(OR(V442="",NOT(ISNUMBER(V442))),"",V442*K442)</f>
        <v>0</v>
      </c>
      <c r="AB442" s="18">
        <f>IF(G442="","",IFERROR(INDEX(Recipes!$J$5:$J$204,MATCH(G442,Recipes!$A$5:$A$204,0)),"Not found"))</f>
        <v>0</v>
      </c>
      <c r="AC442" s="17">
        <f>IF(G442="","",IFERROR(INDEX(Recipes!$C$5:$C$204,MATCH(G442,Recipes!$A$5:$A$204,0)),"Not found"))</f>
        <v>0</v>
      </c>
      <c r="AD442" s="46">
        <f>IF(B442="","",IF(G442&lt;&gt;"","Yes",IF(OR(I442="",ISNUMBER(SEARCH("takeaway",I442)),ISNUMBER(SEARCH("out",I442))),"No","Yes")))</f>
        <v>0</v>
      </c>
      <c r="AE442" s="17">
        <f>IF(B442="","",TEXT(B442,"yyyy-mm-dd")&amp;"|"&amp;F442)</f>
        <v>0</v>
      </c>
      <c r="AF442" s="31">
        <f>IF(B442="","",IF(AND(G442="",I442=""),"Add - nothing planned yet",IF(COUNTIFS($AE$5:$AE$504,AE442)&gt;1,"Duplicate - two meals in one slot",IF(AND(G442&lt;&gt;"",H442="Not found"),"Missing - recipe ID not on the Recipes tab",IF(AND(B442&lt;TODAY(),OR(N442="Planned",N442="")),"Check - did you cook it?","OK")))))</f>
        <v>0</v>
      </c>
    </row>
    <row r="443" spans="1:32">
      <c r="A443" s="39">
        <f>IF(B443="","",MealPrefix&amp;TEXT(ROW()-4,"0000"))</f>
        <v>0</v>
      </c>
      <c r="C443" s="17">
        <f>IF(B443="","",TEXT(B443,"ddd"))</f>
        <v>0</v>
      </c>
      <c r="D443" s="18">
        <f>IF(B443="","",WEEKNUM(B443,IF(WeekStart="Sunday",1,2)))</f>
        <v>0</v>
      </c>
      <c r="E443" s="17">
        <f>IF(B443="","",TEXT(B443,"yyyy-mm"))</f>
        <v>0</v>
      </c>
      <c r="H443" s="17">
        <f>IF(G443&lt;&gt;"",IFERROR(INDEX(Recipes!$B$5:$B$204,MATCH(G443,Recipes!$A$5:$A$204,0)),"Not found"),I443)</f>
        <v>0</v>
      </c>
      <c r="K443" s="45">
        <f>IF(B443="","",IF(J443="",DefaultServings,J443))</f>
        <v>0</v>
      </c>
      <c r="L443" s="45">
        <f>IF(G443="",0,IFERROR(K443/INDEX(Recipes!$G$5:$G$204,MATCH(G443,Recipes!$A$5:$A$204,0)),0))</f>
        <v>0</v>
      </c>
      <c r="T443" s="25">
        <f>IF(G443="","",IFERROR(INDEX(Recipes!$AD$5:$AD$204,MATCH(G443,Recipes!$A$5:$A$204,0))*K443,""))</f>
        <v>0</v>
      </c>
      <c r="V443" s="30">
        <f>IF(G443="","",IFERROR(INDEX(Recipes!$AE$5:$AE$204,MATCH(G443,Recipes!$A$5:$A$204,0)),"Not found"))</f>
        <v>0</v>
      </c>
      <c r="W443" s="45">
        <f>IF(G443="","",IFERROR(INDEX(Recipes!$AF$5:$AF$204,MATCH(G443,Recipes!$A$5:$A$204,0)),"Not found"))</f>
        <v>0</v>
      </c>
      <c r="X443" s="45">
        <f>IF(G443="","",IFERROR(INDEX(Recipes!$AG$5:$AG$204,MATCH(G443,Recipes!$A$5:$A$204,0)),"Not found"))</f>
        <v>0</v>
      </c>
      <c r="Y443" s="45">
        <f>IF(G443="","",IFERROR(INDEX(Recipes!$AH$5:$AH$204,MATCH(G443,Recipes!$A$5:$A$204,0)),"Not found"))</f>
        <v>0</v>
      </c>
      <c r="Z443" s="45">
        <f>IF(G443="","",IFERROR(INDEX(Recipes!$AI$5:$AI$204,MATCH(G443,Recipes!$A$5:$A$204,0)),"Not found"))</f>
        <v>0</v>
      </c>
      <c r="AA443" s="30">
        <f>IF(OR(V443="",NOT(ISNUMBER(V443))),"",V443*K443)</f>
        <v>0</v>
      </c>
      <c r="AB443" s="18">
        <f>IF(G443="","",IFERROR(INDEX(Recipes!$J$5:$J$204,MATCH(G443,Recipes!$A$5:$A$204,0)),"Not found"))</f>
        <v>0</v>
      </c>
      <c r="AC443" s="17">
        <f>IF(G443="","",IFERROR(INDEX(Recipes!$C$5:$C$204,MATCH(G443,Recipes!$A$5:$A$204,0)),"Not found"))</f>
        <v>0</v>
      </c>
      <c r="AD443" s="46">
        <f>IF(B443="","",IF(G443&lt;&gt;"","Yes",IF(OR(I443="",ISNUMBER(SEARCH("takeaway",I443)),ISNUMBER(SEARCH("out",I443))),"No","Yes")))</f>
        <v>0</v>
      </c>
      <c r="AE443" s="17">
        <f>IF(B443="","",TEXT(B443,"yyyy-mm-dd")&amp;"|"&amp;F443)</f>
        <v>0</v>
      </c>
      <c r="AF443" s="31">
        <f>IF(B443="","",IF(AND(G443="",I443=""),"Add - nothing planned yet",IF(COUNTIFS($AE$5:$AE$504,AE443)&gt;1,"Duplicate - two meals in one slot",IF(AND(G443&lt;&gt;"",H443="Not found"),"Missing - recipe ID not on the Recipes tab",IF(AND(B443&lt;TODAY(),OR(N443="Planned",N443="")),"Check - did you cook it?","OK")))))</f>
        <v>0</v>
      </c>
    </row>
    <row r="444" spans="1:32">
      <c r="A444" s="39">
        <f>IF(B444="","",MealPrefix&amp;TEXT(ROW()-4,"0000"))</f>
        <v>0</v>
      </c>
      <c r="C444" s="17">
        <f>IF(B444="","",TEXT(B444,"ddd"))</f>
        <v>0</v>
      </c>
      <c r="D444" s="18">
        <f>IF(B444="","",WEEKNUM(B444,IF(WeekStart="Sunday",1,2)))</f>
        <v>0</v>
      </c>
      <c r="E444" s="17">
        <f>IF(B444="","",TEXT(B444,"yyyy-mm"))</f>
        <v>0</v>
      </c>
      <c r="H444" s="17">
        <f>IF(G444&lt;&gt;"",IFERROR(INDEX(Recipes!$B$5:$B$204,MATCH(G444,Recipes!$A$5:$A$204,0)),"Not found"),I444)</f>
        <v>0</v>
      </c>
      <c r="K444" s="45">
        <f>IF(B444="","",IF(J444="",DefaultServings,J444))</f>
        <v>0</v>
      </c>
      <c r="L444" s="45">
        <f>IF(G444="",0,IFERROR(K444/INDEX(Recipes!$G$5:$G$204,MATCH(G444,Recipes!$A$5:$A$204,0)),0))</f>
        <v>0</v>
      </c>
      <c r="T444" s="25">
        <f>IF(G444="","",IFERROR(INDEX(Recipes!$AD$5:$AD$204,MATCH(G444,Recipes!$A$5:$A$204,0))*K444,""))</f>
        <v>0</v>
      </c>
      <c r="V444" s="30">
        <f>IF(G444="","",IFERROR(INDEX(Recipes!$AE$5:$AE$204,MATCH(G444,Recipes!$A$5:$A$204,0)),"Not found"))</f>
        <v>0</v>
      </c>
      <c r="W444" s="45">
        <f>IF(G444="","",IFERROR(INDEX(Recipes!$AF$5:$AF$204,MATCH(G444,Recipes!$A$5:$A$204,0)),"Not found"))</f>
        <v>0</v>
      </c>
      <c r="X444" s="45">
        <f>IF(G444="","",IFERROR(INDEX(Recipes!$AG$5:$AG$204,MATCH(G444,Recipes!$A$5:$A$204,0)),"Not found"))</f>
        <v>0</v>
      </c>
      <c r="Y444" s="45">
        <f>IF(G444="","",IFERROR(INDEX(Recipes!$AH$5:$AH$204,MATCH(G444,Recipes!$A$5:$A$204,0)),"Not found"))</f>
        <v>0</v>
      </c>
      <c r="Z444" s="45">
        <f>IF(G444="","",IFERROR(INDEX(Recipes!$AI$5:$AI$204,MATCH(G444,Recipes!$A$5:$A$204,0)),"Not found"))</f>
        <v>0</v>
      </c>
      <c r="AA444" s="30">
        <f>IF(OR(V444="",NOT(ISNUMBER(V444))),"",V444*K444)</f>
        <v>0</v>
      </c>
      <c r="AB444" s="18">
        <f>IF(G444="","",IFERROR(INDEX(Recipes!$J$5:$J$204,MATCH(G444,Recipes!$A$5:$A$204,0)),"Not found"))</f>
        <v>0</v>
      </c>
      <c r="AC444" s="17">
        <f>IF(G444="","",IFERROR(INDEX(Recipes!$C$5:$C$204,MATCH(G444,Recipes!$A$5:$A$204,0)),"Not found"))</f>
        <v>0</v>
      </c>
      <c r="AD444" s="46">
        <f>IF(B444="","",IF(G444&lt;&gt;"","Yes",IF(OR(I444="",ISNUMBER(SEARCH("takeaway",I444)),ISNUMBER(SEARCH("out",I444))),"No","Yes")))</f>
        <v>0</v>
      </c>
      <c r="AE444" s="17">
        <f>IF(B444="","",TEXT(B444,"yyyy-mm-dd")&amp;"|"&amp;F444)</f>
        <v>0</v>
      </c>
      <c r="AF444" s="31">
        <f>IF(B444="","",IF(AND(G444="",I444=""),"Add - nothing planned yet",IF(COUNTIFS($AE$5:$AE$504,AE444)&gt;1,"Duplicate - two meals in one slot",IF(AND(G444&lt;&gt;"",H444="Not found"),"Missing - recipe ID not on the Recipes tab",IF(AND(B444&lt;TODAY(),OR(N444="Planned",N444="")),"Check - did you cook it?","OK")))))</f>
        <v>0</v>
      </c>
    </row>
    <row r="445" spans="1:32">
      <c r="A445" s="39">
        <f>IF(B445="","",MealPrefix&amp;TEXT(ROW()-4,"0000"))</f>
        <v>0</v>
      </c>
      <c r="C445" s="17">
        <f>IF(B445="","",TEXT(B445,"ddd"))</f>
        <v>0</v>
      </c>
      <c r="D445" s="18">
        <f>IF(B445="","",WEEKNUM(B445,IF(WeekStart="Sunday",1,2)))</f>
        <v>0</v>
      </c>
      <c r="E445" s="17">
        <f>IF(B445="","",TEXT(B445,"yyyy-mm"))</f>
        <v>0</v>
      </c>
      <c r="H445" s="17">
        <f>IF(G445&lt;&gt;"",IFERROR(INDEX(Recipes!$B$5:$B$204,MATCH(G445,Recipes!$A$5:$A$204,0)),"Not found"),I445)</f>
        <v>0</v>
      </c>
      <c r="K445" s="45">
        <f>IF(B445="","",IF(J445="",DefaultServings,J445))</f>
        <v>0</v>
      </c>
      <c r="L445" s="45">
        <f>IF(G445="",0,IFERROR(K445/INDEX(Recipes!$G$5:$G$204,MATCH(G445,Recipes!$A$5:$A$204,0)),0))</f>
        <v>0</v>
      </c>
      <c r="T445" s="25">
        <f>IF(G445="","",IFERROR(INDEX(Recipes!$AD$5:$AD$204,MATCH(G445,Recipes!$A$5:$A$204,0))*K445,""))</f>
        <v>0</v>
      </c>
      <c r="V445" s="30">
        <f>IF(G445="","",IFERROR(INDEX(Recipes!$AE$5:$AE$204,MATCH(G445,Recipes!$A$5:$A$204,0)),"Not found"))</f>
        <v>0</v>
      </c>
      <c r="W445" s="45">
        <f>IF(G445="","",IFERROR(INDEX(Recipes!$AF$5:$AF$204,MATCH(G445,Recipes!$A$5:$A$204,0)),"Not found"))</f>
        <v>0</v>
      </c>
      <c r="X445" s="45">
        <f>IF(G445="","",IFERROR(INDEX(Recipes!$AG$5:$AG$204,MATCH(G445,Recipes!$A$5:$A$204,0)),"Not found"))</f>
        <v>0</v>
      </c>
      <c r="Y445" s="45">
        <f>IF(G445="","",IFERROR(INDEX(Recipes!$AH$5:$AH$204,MATCH(G445,Recipes!$A$5:$A$204,0)),"Not found"))</f>
        <v>0</v>
      </c>
      <c r="Z445" s="45">
        <f>IF(G445="","",IFERROR(INDEX(Recipes!$AI$5:$AI$204,MATCH(G445,Recipes!$A$5:$A$204,0)),"Not found"))</f>
        <v>0</v>
      </c>
      <c r="AA445" s="30">
        <f>IF(OR(V445="",NOT(ISNUMBER(V445))),"",V445*K445)</f>
        <v>0</v>
      </c>
      <c r="AB445" s="18">
        <f>IF(G445="","",IFERROR(INDEX(Recipes!$J$5:$J$204,MATCH(G445,Recipes!$A$5:$A$204,0)),"Not found"))</f>
        <v>0</v>
      </c>
      <c r="AC445" s="17">
        <f>IF(G445="","",IFERROR(INDEX(Recipes!$C$5:$C$204,MATCH(G445,Recipes!$A$5:$A$204,0)),"Not found"))</f>
        <v>0</v>
      </c>
      <c r="AD445" s="46">
        <f>IF(B445="","",IF(G445&lt;&gt;"","Yes",IF(OR(I445="",ISNUMBER(SEARCH("takeaway",I445)),ISNUMBER(SEARCH("out",I445))),"No","Yes")))</f>
        <v>0</v>
      </c>
      <c r="AE445" s="17">
        <f>IF(B445="","",TEXT(B445,"yyyy-mm-dd")&amp;"|"&amp;F445)</f>
        <v>0</v>
      </c>
      <c r="AF445" s="31">
        <f>IF(B445="","",IF(AND(G445="",I445=""),"Add - nothing planned yet",IF(COUNTIFS($AE$5:$AE$504,AE445)&gt;1,"Duplicate - two meals in one slot",IF(AND(G445&lt;&gt;"",H445="Not found"),"Missing - recipe ID not on the Recipes tab",IF(AND(B445&lt;TODAY(),OR(N445="Planned",N445="")),"Check - did you cook it?","OK")))))</f>
        <v>0</v>
      </c>
    </row>
    <row r="446" spans="1:32">
      <c r="A446" s="39">
        <f>IF(B446="","",MealPrefix&amp;TEXT(ROW()-4,"0000"))</f>
        <v>0</v>
      </c>
      <c r="C446" s="17">
        <f>IF(B446="","",TEXT(B446,"ddd"))</f>
        <v>0</v>
      </c>
      <c r="D446" s="18">
        <f>IF(B446="","",WEEKNUM(B446,IF(WeekStart="Sunday",1,2)))</f>
        <v>0</v>
      </c>
      <c r="E446" s="17">
        <f>IF(B446="","",TEXT(B446,"yyyy-mm"))</f>
        <v>0</v>
      </c>
      <c r="H446" s="17">
        <f>IF(G446&lt;&gt;"",IFERROR(INDEX(Recipes!$B$5:$B$204,MATCH(G446,Recipes!$A$5:$A$204,0)),"Not found"),I446)</f>
        <v>0</v>
      </c>
      <c r="K446" s="45">
        <f>IF(B446="","",IF(J446="",DefaultServings,J446))</f>
        <v>0</v>
      </c>
      <c r="L446" s="45">
        <f>IF(G446="",0,IFERROR(K446/INDEX(Recipes!$G$5:$G$204,MATCH(G446,Recipes!$A$5:$A$204,0)),0))</f>
        <v>0</v>
      </c>
      <c r="T446" s="25">
        <f>IF(G446="","",IFERROR(INDEX(Recipes!$AD$5:$AD$204,MATCH(G446,Recipes!$A$5:$A$204,0))*K446,""))</f>
        <v>0</v>
      </c>
      <c r="V446" s="30">
        <f>IF(G446="","",IFERROR(INDEX(Recipes!$AE$5:$AE$204,MATCH(G446,Recipes!$A$5:$A$204,0)),"Not found"))</f>
        <v>0</v>
      </c>
      <c r="W446" s="45">
        <f>IF(G446="","",IFERROR(INDEX(Recipes!$AF$5:$AF$204,MATCH(G446,Recipes!$A$5:$A$204,0)),"Not found"))</f>
        <v>0</v>
      </c>
      <c r="X446" s="45">
        <f>IF(G446="","",IFERROR(INDEX(Recipes!$AG$5:$AG$204,MATCH(G446,Recipes!$A$5:$A$204,0)),"Not found"))</f>
        <v>0</v>
      </c>
      <c r="Y446" s="45">
        <f>IF(G446="","",IFERROR(INDEX(Recipes!$AH$5:$AH$204,MATCH(G446,Recipes!$A$5:$A$204,0)),"Not found"))</f>
        <v>0</v>
      </c>
      <c r="Z446" s="45">
        <f>IF(G446="","",IFERROR(INDEX(Recipes!$AI$5:$AI$204,MATCH(G446,Recipes!$A$5:$A$204,0)),"Not found"))</f>
        <v>0</v>
      </c>
      <c r="AA446" s="30">
        <f>IF(OR(V446="",NOT(ISNUMBER(V446))),"",V446*K446)</f>
        <v>0</v>
      </c>
      <c r="AB446" s="18">
        <f>IF(G446="","",IFERROR(INDEX(Recipes!$J$5:$J$204,MATCH(G446,Recipes!$A$5:$A$204,0)),"Not found"))</f>
        <v>0</v>
      </c>
      <c r="AC446" s="17">
        <f>IF(G446="","",IFERROR(INDEX(Recipes!$C$5:$C$204,MATCH(G446,Recipes!$A$5:$A$204,0)),"Not found"))</f>
        <v>0</v>
      </c>
      <c r="AD446" s="46">
        <f>IF(B446="","",IF(G446&lt;&gt;"","Yes",IF(OR(I446="",ISNUMBER(SEARCH("takeaway",I446)),ISNUMBER(SEARCH("out",I446))),"No","Yes")))</f>
        <v>0</v>
      </c>
      <c r="AE446" s="17">
        <f>IF(B446="","",TEXT(B446,"yyyy-mm-dd")&amp;"|"&amp;F446)</f>
        <v>0</v>
      </c>
      <c r="AF446" s="31">
        <f>IF(B446="","",IF(AND(G446="",I446=""),"Add - nothing planned yet",IF(COUNTIFS($AE$5:$AE$504,AE446)&gt;1,"Duplicate - two meals in one slot",IF(AND(G446&lt;&gt;"",H446="Not found"),"Missing - recipe ID not on the Recipes tab",IF(AND(B446&lt;TODAY(),OR(N446="Planned",N446="")),"Check - did you cook it?","OK")))))</f>
        <v>0</v>
      </c>
    </row>
    <row r="447" spans="1:32">
      <c r="A447" s="39">
        <f>IF(B447="","",MealPrefix&amp;TEXT(ROW()-4,"0000"))</f>
        <v>0</v>
      </c>
      <c r="C447" s="17">
        <f>IF(B447="","",TEXT(B447,"ddd"))</f>
        <v>0</v>
      </c>
      <c r="D447" s="18">
        <f>IF(B447="","",WEEKNUM(B447,IF(WeekStart="Sunday",1,2)))</f>
        <v>0</v>
      </c>
      <c r="E447" s="17">
        <f>IF(B447="","",TEXT(B447,"yyyy-mm"))</f>
        <v>0</v>
      </c>
      <c r="H447" s="17">
        <f>IF(G447&lt;&gt;"",IFERROR(INDEX(Recipes!$B$5:$B$204,MATCH(G447,Recipes!$A$5:$A$204,0)),"Not found"),I447)</f>
        <v>0</v>
      </c>
      <c r="K447" s="45">
        <f>IF(B447="","",IF(J447="",DefaultServings,J447))</f>
        <v>0</v>
      </c>
      <c r="L447" s="45">
        <f>IF(G447="",0,IFERROR(K447/INDEX(Recipes!$G$5:$G$204,MATCH(G447,Recipes!$A$5:$A$204,0)),0))</f>
        <v>0</v>
      </c>
      <c r="T447" s="25">
        <f>IF(G447="","",IFERROR(INDEX(Recipes!$AD$5:$AD$204,MATCH(G447,Recipes!$A$5:$A$204,0))*K447,""))</f>
        <v>0</v>
      </c>
      <c r="V447" s="30">
        <f>IF(G447="","",IFERROR(INDEX(Recipes!$AE$5:$AE$204,MATCH(G447,Recipes!$A$5:$A$204,0)),"Not found"))</f>
        <v>0</v>
      </c>
      <c r="W447" s="45">
        <f>IF(G447="","",IFERROR(INDEX(Recipes!$AF$5:$AF$204,MATCH(G447,Recipes!$A$5:$A$204,0)),"Not found"))</f>
        <v>0</v>
      </c>
      <c r="X447" s="45">
        <f>IF(G447="","",IFERROR(INDEX(Recipes!$AG$5:$AG$204,MATCH(G447,Recipes!$A$5:$A$204,0)),"Not found"))</f>
        <v>0</v>
      </c>
      <c r="Y447" s="45">
        <f>IF(G447="","",IFERROR(INDEX(Recipes!$AH$5:$AH$204,MATCH(G447,Recipes!$A$5:$A$204,0)),"Not found"))</f>
        <v>0</v>
      </c>
      <c r="Z447" s="45">
        <f>IF(G447="","",IFERROR(INDEX(Recipes!$AI$5:$AI$204,MATCH(G447,Recipes!$A$5:$A$204,0)),"Not found"))</f>
        <v>0</v>
      </c>
      <c r="AA447" s="30">
        <f>IF(OR(V447="",NOT(ISNUMBER(V447))),"",V447*K447)</f>
        <v>0</v>
      </c>
      <c r="AB447" s="18">
        <f>IF(G447="","",IFERROR(INDEX(Recipes!$J$5:$J$204,MATCH(G447,Recipes!$A$5:$A$204,0)),"Not found"))</f>
        <v>0</v>
      </c>
      <c r="AC447" s="17">
        <f>IF(G447="","",IFERROR(INDEX(Recipes!$C$5:$C$204,MATCH(G447,Recipes!$A$5:$A$204,0)),"Not found"))</f>
        <v>0</v>
      </c>
      <c r="AD447" s="46">
        <f>IF(B447="","",IF(G447&lt;&gt;"","Yes",IF(OR(I447="",ISNUMBER(SEARCH("takeaway",I447)),ISNUMBER(SEARCH("out",I447))),"No","Yes")))</f>
        <v>0</v>
      </c>
      <c r="AE447" s="17">
        <f>IF(B447="","",TEXT(B447,"yyyy-mm-dd")&amp;"|"&amp;F447)</f>
        <v>0</v>
      </c>
      <c r="AF447" s="31">
        <f>IF(B447="","",IF(AND(G447="",I447=""),"Add - nothing planned yet",IF(COUNTIFS($AE$5:$AE$504,AE447)&gt;1,"Duplicate - two meals in one slot",IF(AND(G447&lt;&gt;"",H447="Not found"),"Missing - recipe ID not on the Recipes tab",IF(AND(B447&lt;TODAY(),OR(N447="Planned",N447="")),"Check - did you cook it?","OK")))))</f>
        <v>0</v>
      </c>
    </row>
    <row r="448" spans="1:32">
      <c r="A448" s="39">
        <f>IF(B448="","",MealPrefix&amp;TEXT(ROW()-4,"0000"))</f>
        <v>0</v>
      </c>
      <c r="C448" s="17">
        <f>IF(B448="","",TEXT(B448,"ddd"))</f>
        <v>0</v>
      </c>
      <c r="D448" s="18">
        <f>IF(B448="","",WEEKNUM(B448,IF(WeekStart="Sunday",1,2)))</f>
        <v>0</v>
      </c>
      <c r="E448" s="17">
        <f>IF(B448="","",TEXT(B448,"yyyy-mm"))</f>
        <v>0</v>
      </c>
      <c r="H448" s="17">
        <f>IF(G448&lt;&gt;"",IFERROR(INDEX(Recipes!$B$5:$B$204,MATCH(G448,Recipes!$A$5:$A$204,0)),"Not found"),I448)</f>
        <v>0</v>
      </c>
      <c r="K448" s="45">
        <f>IF(B448="","",IF(J448="",DefaultServings,J448))</f>
        <v>0</v>
      </c>
      <c r="L448" s="45">
        <f>IF(G448="",0,IFERROR(K448/INDEX(Recipes!$G$5:$G$204,MATCH(G448,Recipes!$A$5:$A$204,0)),0))</f>
        <v>0</v>
      </c>
      <c r="T448" s="25">
        <f>IF(G448="","",IFERROR(INDEX(Recipes!$AD$5:$AD$204,MATCH(G448,Recipes!$A$5:$A$204,0))*K448,""))</f>
        <v>0</v>
      </c>
      <c r="V448" s="30">
        <f>IF(G448="","",IFERROR(INDEX(Recipes!$AE$5:$AE$204,MATCH(G448,Recipes!$A$5:$A$204,0)),"Not found"))</f>
        <v>0</v>
      </c>
      <c r="W448" s="45">
        <f>IF(G448="","",IFERROR(INDEX(Recipes!$AF$5:$AF$204,MATCH(G448,Recipes!$A$5:$A$204,0)),"Not found"))</f>
        <v>0</v>
      </c>
      <c r="X448" s="45">
        <f>IF(G448="","",IFERROR(INDEX(Recipes!$AG$5:$AG$204,MATCH(G448,Recipes!$A$5:$A$204,0)),"Not found"))</f>
        <v>0</v>
      </c>
      <c r="Y448" s="45">
        <f>IF(G448="","",IFERROR(INDEX(Recipes!$AH$5:$AH$204,MATCH(G448,Recipes!$A$5:$A$204,0)),"Not found"))</f>
        <v>0</v>
      </c>
      <c r="Z448" s="45">
        <f>IF(G448="","",IFERROR(INDEX(Recipes!$AI$5:$AI$204,MATCH(G448,Recipes!$A$5:$A$204,0)),"Not found"))</f>
        <v>0</v>
      </c>
      <c r="AA448" s="30">
        <f>IF(OR(V448="",NOT(ISNUMBER(V448))),"",V448*K448)</f>
        <v>0</v>
      </c>
      <c r="AB448" s="18">
        <f>IF(G448="","",IFERROR(INDEX(Recipes!$J$5:$J$204,MATCH(G448,Recipes!$A$5:$A$204,0)),"Not found"))</f>
        <v>0</v>
      </c>
      <c r="AC448" s="17">
        <f>IF(G448="","",IFERROR(INDEX(Recipes!$C$5:$C$204,MATCH(G448,Recipes!$A$5:$A$204,0)),"Not found"))</f>
        <v>0</v>
      </c>
      <c r="AD448" s="46">
        <f>IF(B448="","",IF(G448&lt;&gt;"","Yes",IF(OR(I448="",ISNUMBER(SEARCH("takeaway",I448)),ISNUMBER(SEARCH("out",I448))),"No","Yes")))</f>
        <v>0</v>
      </c>
      <c r="AE448" s="17">
        <f>IF(B448="","",TEXT(B448,"yyyy-mm-dd")&amp;"|"&amp;F448)</f>
        <v>0</v>
      </c>
      <c r="AF448" s="31">
        <f>IF(B448="","",IF(AND(G448="",I448=""),"Add - nothing planned yet",IF(COUNTIFS($AE$5:$AE$504,AE448)&gt;1,"Duplicate - two meals in one slot",IF(AND(G448&lt;&gt;"",H448="Not found"),"Missing - recipe ID not on the Recipes tab",IF(AND(B448&lt;TODAY(),OR(N448="Planned",N448="")),"Check - did you cook it?","OK")))))</f>
        <v>0</v>
      </c>
    </row>
    <row r="449" spans="1:32">
      <c r="A449" s="39">
        <f>IF(B449="","",MealPrefix&amp;TEXT(ROW()-4,"0000"))</f>
        <v>0</v>
      </c>
      <c r="C449" s="17">
        <f>IF(B449="","",TEXT(B449,"ddd"))</f>
        <v>0</v>
      </c>
      <c r="D449" s="18">
        <f>IF(B449="","",WEEKNUM(B449,IF(WeekStart="Sunday",1,2)))</f>
        <v>0</v>
      </c>
      <c r="E449" s="17">
        <f>IF(B449="","",TEXT(B449,"yyyy-mm"))</f>
        <v>0</v>
      </c>
      <c r="H449" s="17">
        <f>IF(G449&lt;&gt;"",IFERROR(INDEX(Recipes!$B$5:$B$204,MATCH(G449,Recipes!$A$5:$A$204,0)),"Not found"),I449)</f>
        <v>0</v>
      </c>
      <c r="K449" s="45">
        <f>IF(B449="","",IF(J449="",DefaultServings,J449))</f>
        <v>0</v>
      </c>
      <c r="L449" s="45">
        <f>IF(G449="",0,IFERROR(K449/INDEX(Recipes!$G$5:$G$204,MATCH(G449,Recipes!$A$5:$A$204,0)),0))</f>
        <v>0</v>
      </c>
      <c r="T449" s="25">
        <f>IF(G449="","",IFERROR(INDEX(Recipes!$AD$5:$AD$204,MATCH(G449,Recipes!$A$5:$A$204,0))*K449,""))</f>
        <v>0</v>
      </c>
      <c r="V449" s="30">
        <f>IF(G449="","",IFERROR(INDEX(Recipes!$AE$5:$AE$204,MATCH(G449,Recipes!$A$5:$A$204,0)),"Not found"))</f>
        <v>0</v>
      </c>
      <c r="W449" s="45">
        <f>IF(G449="","",IFERROR(INDEX(Recipes!$AF$5:$AF$204,MATCH(G449,Recipes!$A$5:$A$204,0)),"Not found"))</f>
        <v>0</v>
      </c>
      <c r="X449" s="45">
        <f>IF(G449="","",IFERROR(INDEX(Recipes!$AG$5:$AG$204,MATCH(G449,Recipes!$A$5:$A$204,0)),"Not found"))</f>
        <v>0</v>
      </c>
      <c r="Y449" s="45">
        <f>IF(G449="","",IFERROR(INDEX(Recipes!$AH$5:$AH$204,MATCH(G449,Recipes!$A$5:$A$204,0)),"Not found"))</f>
        <v>0</v>
      </c>
      <c r="Z449" s="45">
        <f>IF(G449="","",IFERROR(INDEX(Recipes!$AI$5:$AI$204,MATCH(G449,Recipes!$A$5:$A$204,0)),"Not found"))</f>
        <v>0</v>
      </c>
      <c r="AA449" s="30">
        <f>IF(OR(V449="",NOT(ISNUMBER(V449))),"",V449*K449)</f>
        <v>0</v>
      </c>
      <c r="AB449" s="18">
        <f>IF(G449="","",IFERROR(INDEX(Recipes!$J$5:$J$204,MATCH(G449,Recipes!$A$5:$A$204,0)),"Not found"))</f>
        <v>0</v>
      </c>
      <c r="AC449" s="17">
        <f>IF(G449="","",IFERROR(INDEX(Recipes!$C$5:$C$204,MATCH(G449,Recipes!$A$5:$A$204,0)),"Not found"))</f>
        <v>0</v>
      </c>
      <c r="AD449" s="46">
        <f>IF(B449="","",IF(G449&lt;&gt;"","Yes",IF(OR(I449="",ISNUMBER(SEARCH("takeaway",I449)),ISNUMBER(SEARCH("out",I449))),"No","Yes")))</f>
        <v>0</v>
      </c>
      <c r="AE449" s="17">
        <f>IF(B449="","",TEXT(B449,"yyyy-mm-dd")&amp;"|"&amp;F449)</f>
        <v>0</v>
      </c>
      <c r="AF449" s="31">
        <f>IF(B449="","",IF(AND(G449="",I449=""),"Add - nothing planned yet",IF(COUNTIFS($AE$5:$AE$504,AE449)&gt;1,"Duplicate - two meals in one slot",IF(AND(G449&lt;&gt;"",H449="Not found"),"Missing - recipe ID not on the Recipes tab",IF(AND(B449&lt;TODAY(),OR(N449="Planned",N449="")),"Check - did you cook it?","OK")))))</f>
        <v>0</v>
      </c>
    </row>
    <row r="450" spans="1:32">
      <c r="A450" s="39">
        <f>IF(B450="","",MealPrefix&amp;TEXT(ROW()-4,"0000"))</f>
        <v>0</v>
      </c>
      <c r="C450" s="17">
        <f>IF(B450="","",TEXT(B450,"ddd"))</f>
        <v>0</v>
      </c>
      <c r="D450" s="18">
        <f>IF(B450="","",WEEKNUM(B450,IF(WeekStart="Sunday",1,2)))</f>
        <v>0</v>
      </c>
      <c r="E450" s="17">
        <f>IF(B450="","",TEXT(B450,"yyyy-mm"))</f>
        <v>0</v>
      </c>
      <c r="H450" s="17">
        <f>IF(G450&lt;&gt;"",IFERROR(INDEX(Recipes!$B$5:$B$204,MATCH(G450,Recipes!$A$5:$A$204,0)),"Not found"),I450)</f>
        <v>0</v>
      </c>
      <c r="K450" s="45">
        <f>IF(B450="","",IF(J450="",DefaultServings,J450))</f>
        <v>0</v>
      </c>
      <c r="L450" s="45">
        <f>IF(G450="",0,IFERROR(K450/INDEX(Recipes!$G$5:$G$204,MATCH(G450,Recipes!$A$5:$A$204,0)),0))</f>
        <v>0</v>
      </c>
      <c r="T450" s="25">
        <f>IF(G450="","",IFERROR(INDEX(Recipes!$AD$5:$AD$204,MATCH(G450,Recipes!$A$5:$A$204,0))*K450,""))</f>
        <v>0</v>
      </c>
      <c r="V450" s="30">
        <f>IF(G450="","",IFERROR(INDEX(Recipes!$AE$5:$AE$204,MATCH(G450,Recipes!$A$5:$A$204,0)),"Not found"))</f>
        <v>0</v>
      </c>
      <c r="W450" s="45">
        <f>IF(G450="","",IFERROR(INDEX(Recipes!$AF$5:$AF$204,MATCH(G450,Recipes!$A$5:$A$204,0)),"Not found"))</f>
        <v>0</v>
      </c>
      <c r="X450" s="45">
        <f>IF(G450="","",IFERROR(INDEX(Recipes!$AG$5:$AG$204,MATCH(G450,Recipes!$A$5:$A$204,0)),"Not found"))</f>
        <v>0</v>
      </c>
      <c r="Y450" s="45">
        <f>IF(G450="","",IFERROR(INDEX(Recipes!$AH$5:$AH$204,MATCH(G450,Recipes!$A$5:$A$204,0)),"Not found"))</f>
        <v>0</v>
      </c>
      <c r="Z450" s="45">
        <f>IF(G450="","",IFERROR(INDEX(Recipes!$AI$5:$AI$204,MATCH(G450,Recipes!$A$5:$A$204,0)),"Not found"))</f>
        <v>0</v>
      </c>
      <c r="AA450" s="30">
        <f>IF(OR(V450="",NOT(ISNUMBER(V450))),"",V450*K450)</f>
        <v>0</v>
      </c>
      <c r="AB450" s="18">
        <f>IF(G450="","",IFERROR(INDEX(Recipes!$J$5:$J$204,MATCH(G450,Recipes!$A$5:$A$204,0)),"Not found"))</f>
        <v>0</v>
      </c>
      <c r="AC450" s="17">
        <f>IF(G450="","",IFERROR(INDEX(Recipes!$C$5:$C$204,MATCH(G450,Recipes!$A$5:$A$204,0)),"Not found"))</f>
        <v>0</v>
      </c>
      <c r="AD450" s="46">
        <f>IF(B450="","",IF(G450&lt;&gt;"","Yes",IF(OR(I450="",ISNUMBER(SEARCH("takeaway",I450)),ISNUMBER(SEARCH("out",I450))),"No","Yes")))</f>
        <v>0</v>
      </c>
      <c r="AE450" s="17">
        <f>IF(B450="","",TEXT(B450,"yyyy-mm-dd")&amp;"|"&amp;F450)</f>
        <v>0</v>
      </c>
      <c r="AF450" s="31">
        <f>IF(B450="","",IF(AND(G450="",I450=""),"Add - nothing planned yet",IF(COUNTIFS($AE$5:$AE$504,AE450)&gt;1,"Duplicate - two meals in one slot",IF(AND(G450&lt;&gt;"",H450="Not found"),"Missing - recipe ID not on the Recipes tab",IF(AND(B450&lt;TODAY(),OR(N450="Planned",N450="")),"Check - did you cook it?","OK")))))</f>
        <v>0</v>
      </c>
    </row>
    <row r="451" spans="1:32">
      <c r="A451" s="39">
        <f>IF(B451="","",MealPrefix&amp;TEXT(ROW()-4,"0000"))</f>
        <v>0</v>
      </c>
      <c r="C451" s="17">
        <f>IF(B451="","",TEXT(B451,"ddd"))</f>
        <v>0</v>
      </c>
      <c r="D451" s="18">
        <f>IF(B451="","",WEEKNUM(B451,IF(WeekStart="Sunday",1,2)))</f>
        <v>0</v>
      </c>
      <c r="E451" s="17">
        <f>IF(B451="","",TEXT(B451,"yyyy-mm"))</f>
        <v>0</v>
      </c>
      <c r="H451" s="17">
        <f>IF(G451&lt;&gt;"",IFERROR(INDEX(Recipes!$B$5:$B$204,MATCH(G451,Recipes!$A$5:$A$204,0)),"Not found"),I451)</f>
        <v>0</v>
      </c>
      <c r="K451" s="45">
        <f>IF(B451="","",IF(J451="",DefaultServings,J451))</f>
        <v>0</v>
      </c>
      <c r="L451" s="45">
        <f>IF(G451="",0,IFERROR(K451/INDEX(Recipes!$G$5:$G$204,MATCH(G451,Recipes!$A$5:$A$204,0)),0))</f>
        <v>0</v>
      </c>
      <c r="T451" s="25">
        <f>IF(G451="","",IFERROR(INDEX(Recipes!$AD$5:$AD$204,MATCH(G451,Recipes!$A$5:$A$204,0))*K451,""))</f>
        <v>0</v>
      </c>
      <c r="V451" s="30">
        <f>IF(G451="","",IFERROR(INDEX(Recipes!$AE$5:$AE$204,MATCH(G451,Recipes!$A$5:$A$204,0)),"Not found"))</f>
        <v>0</v>
      </c>
      <c r="W451" s="45">
        <f>IF(G451="","",IFERROR(INDEX(Recipes!$AF$5:$AF$204,MATCH(G451,Recipes!$A$5:$A$204,0)),"Not found"))</f>
        <v>0</v>
      </c>
      <c r="X451" s="45">
        <f>IF(G451="","",IFERROR(INDEX(Recipes!$AG$5:$AG$204,MATCH(G451,Recipes!$A$5:$A$204,0)),"Not found"))</f>
        <v>0</v>
      </c>
      <c r="Y451" s="45">
        <f>IF(G451="","",IFERROR(INDEX(Recipes!$AH$5:$AH$204,MATCH(G451,Recipes!$A$5:$A$204,0)),"Not found"))</f>
        <v>0</v>
      </c>
      <c r="Z451" s="45">
        <f>IF(G451="","",IFERROR(INDEX(Recipes!$AI$5:$AI$204,MATCH(G451,Recipes!$A$5:$A$204,0)),"Not found"))</f>
        <v>0</v>
      </c>
      <c r="AA451" s="30">
        <f>IF(OR(V451="",NOT(ISNUMBER(V451))),"",V451*K451)</f>
        <v>0</v>
      </c>
      <c r="AB451" s="18">
        <f>IF(G451="","",IFERROR(INDEX(Recipes!$J$5:$J$204,MATCH(G451,Recipes!$A$5:$A$204,0)),"Not found"))</f>
        <v>0</v>
      </c>
      <c r="AC451" s="17">
        <f>IF(G451="","",IFERROR(INDEX(Recipes!$C$5:$C$204,MATCH(G451,Recipes!$A$5:$A$204,0)),"Not found"))</f>
        <v>0</v>
      </c>
      <c r="AD451" s="46">
        <f>IF(B451="","",IF(G451&lt;&gt;"","Yes",IF(OR(I451="",ISNUMBER(SEARCH("takeaway",I451)),ISNUMBER(SEARCH("out",I451))),"No","Yes")))</f>
        <v>0</v>
      </c>
      <c r="AE451" s="17">
        <f>IF(B451="","",TEXT(B451,"yyyy-mm-dd")&amp;"|"&amp;F451)</f>
        <v>0</v>
      </c>
      <c r="AF451" s="31">
        <f>IF(B451="","",IF(AND(G451="",I451=""),"Add - nothing planned yet",IF(COUNTIFS($AE$5:$AE$504,AE451)&gt;1,"Duplicate - two meals in one slot",IF(AND(G451&lt;&gt;"",H451="Not found"),"Missing - recipe ID not on the Recipes tab",IF(AND(B451&lt;TODAY(),OR(N451="Planned",N451="")),"Check - did you cook it?","OK")))))</f>
        <v>0</v>
      </c>
    </row>
    <row r="452" spans="1:32">
      <c r="A452" s="39">
        <f>IF(B452="","",MealPrefix&amp;TEXT(ROW()-4,"0000"))</f>
        <v>0</v>
      </c>
      <c r="C452" s="17">
        <f>IF(B452="","",TEXT(B452,"ddd"))</f>
        <v>0</v>
      </c>
      <c r="D452" s="18">
        <f>IF(B452="","",WEEKNUM(B452,IF(WeekStart="Sunday",1,2)))</f>
        <v>0</v>
      </c>
      <c r="E452" s="17">
        <f>IF(B452="","",TEXT(B452,"yyyy-mm"))</f>
        <v>0</v>
      </c>
      <c r="H452" s="17">
        <f>IF(G452&lt;&gt;"",IFERROR(INDEX(Recipes!$B$5:$B$204,MATCH(G452,Recipes!$A$5:$A$204,0)),"Not found"),I452)</f>
        <v>0</v>
      </c>
      <c r="K452" s="45">
        <f>IF(B452="","",IF(J452="",DefaultServings,J452))</f>
        <v>0</v>
      </c>
      <c r="L452" s="45">
        <f>IF(G452="",0,IFERROR(K452/INDEX(Recipes!$G$5:$G$204,MATCH(G452,Recipes!$A$5:$A$204,0)),0))</f>
        <v>0</v>
      </c>
      <c r="T452" s="25">
        <f>IF(G452="","",IFERROR(INDEX(Recipes!$AD$5:$AD$204,MATCH(G452,Recipes!$A$5:$A$204,0))*K452,""))</f>
        <v>0</v>
      </c>
      <c r="V452" s="30">
        <f>IF(G452="","",IFERROR(INDEX(Recipes!$AE$5:$AE$204,MATCH(G452,Recipes!$A$5:$A$204,0)),"Not found"))</f>
        <v>0</v>
      </c>
      <c r="W452" s="45">
        <f>IF(G452="","",IFERROR(INDEX(Recipes!$AF$5:$AF$204,MATCH(G452,Recipes!$A$5:$A$204,0)),"Not found"))</f>
        <v>0</v>
      </c>
      <c r="X452" s="45">
        <f>IF(G452="","",IFERROR(INDEX(Recipes!$AG$5:$AG$204,MATCH(G452,Recipes!$A$5:$A$204,0)),"Not found"))</f>
        <v>0</v>
      </c>
      <c r="Y452" s="45">
        <f>IF(G452="","",IFERROR(INDEX(Recipes!$AH$5:$AH$204,MATCH(G452,Recipes!$A$5:$A$204,0)),"Not found"))</f>
        <v>0</v>
      </c>
      <c r="Z452" s="45">
        <f>IF(G452="","",IFERROR(INDEX(Recipes!$AI$5:$AI$204,MATCH(G452,Recipes!$A$5:$A$204,0)),"Not found"))</f>
        <v>0</v>
      </c>
      <c r="AA452" s="30">
        <f>IF(OR(V452="",NOT(ISNUMBER(V452))),"",V452*K452)</f>
        <v>0</v>
      </c>
      <c r="AB452" s="18">
        <f>IF(G452="","",IFERROR(INDEX(Recipes!$J$5:$J$204,MATCH(G452,Recipes!$A$5:$A$204,0)),"Not found"))</f>
        <v>0</v>
      </c>
      <c r="AC452" s="17">
        <f>IF(G452="","",IFERROR(INDEX(Recipes!$C$5:$C$204,MATCH(G452,Recipes!$A$5:$A$204,0)),"Not found"))</f>
        <v>0</v>
      </c>
      <c r="AD452" s="46">
        <f>IF(B452="","",IF(G452&lt;&gt;"","Yes",IF(OR(I452="",ISNUMBER(SEARCH("takeaway",I452)),ISNUMBER(SEARCH("out",I452))),"No","Yes")))</f>
        <v>0</v>
      </c>
      <c r="AE452" s="17">
        <f>IF(B452="","",TEXT(B452,"yyyy-mm-dd")&amp;"|"&amp;F452)</f>
        <v>0</v>
      </c>
      <c r="AF452" s="31">
        <f>IF(B452="","",IF(AND(G452="",I452=""),"Add - nothing planned yet",IF(COUNTIFS($AE$5:$AE$504,AE452)&gt;1,"Duplicate - two meals in one slot",IF(AND(G452&lt;&gt;"",H452="Not found"),"Missing - recipe ID not on the Recipes tab",IF(AND(B452&lt;TODAY(),OR(N452="Planned",N452="")),"Check - did you cook it?","OK")))))</f>
        <v>0</v>
      </c>
    </row>
    <row r="453" spans="1:32">
      <c r="A453" s="39">
        <f>IF(B453="","",MealPrefix&amp;TEXT(ROW()-4,"0000"))</f>
        <v>0</v>
      </c>
      <c r="C453" s="17">
        <f>IF(B453="","",TEXT(B453,"ddd"))</f>
        <v>0</v>
      </c>
      <c r="D453" s="18">
        <f>IF(B453="","",WEEKNUM(B453,IF(WeekStart="Sunday",1,2)))</f>
        <v>0</v>
      </c>
      <c r="E453" s="17">
        <f>IF(B453="","",TEXT(B453,"yyyy-mm"))</f>
        <v>0</v>
      </c>
      <c r="H453" s="17">
        <f>IF(G453&lt;&gt;"",IFERROR(INDEX(Recipes!$B$5:$B$204,MATCH(G453,Recipes!$A$5:$A$204,0)),"Not found"),I453)</f>
        <v>0</v>
      </c>
      <c r="K453" s="45">
        <f>IF(B453="","",IF(J453="",DefaultServings,J453))</f>
        <v>0</v>
      </c>
      <c r="L453" s="45">
        <f>IF(G453="",0,IFERROR(K453/INDEX(Recipes!$G$5:$G$204,MATCH(G453,Recipes!$A$5:$A$204,0)),0))</f>
        <v>0</v>
      </c>
      <c r="T453" s="25">
        <f>IF(G453="","",IFERROR(INDEX(Recipes!$AD$5:$AD$204,MATCH(G453,Recipes!$A$5:$A$204,0))*K453,""))</f>
        <v>0</v>
      </c>
      <c r="V453" s="30">
        <f>IF(G453="","",IFERROR(INDEX(Recipes!$AE$5:$AE$204,MATCH(G453,Recipes!$A$5:$A$204,0)),"Not found"))</f>
        <v>0</v>
      </c>
      <c r="W453" s="45">
        <f>IF(G453="","",IFERROR(INDEX(Recipes!$AF$5:$AF$204,MATCH(G453,Recipes!$A$5:$A$204,0)),"Not found"))</f>
        <v>0</v>
      </c>
      <c r="X453" s="45">
        <f>IF(G453="","",IFERROR(INDEX(Recipes!$AG$5:$AG$204,MATCH(G453,Recipes!$A$5:$A$204,0)),"Not found"))</f>
        <v>0</v>
      </c>
      <c r="Y453" s="45">
        <f>IF(G453="","",IFERROR(INDEX(Recipes!$AH$5:$AH$204,MATCH(G453,Recipes!$A$5:$A$204,0)),"Not found"))</f>
        <v>0</v>
      </c>
      <c r="Z453" s="45">
        <f>IF(G453="","",IFERROR(INDEX(Recipes!$AI$5:$AI$204,MATCH(G453,Recipes!$A$5:$A$204,0)),"Not found"))</f>
        <v>0</v>
      </c>
      <c r="AA453" s="30">
        <f>IF(OR(V453="",NOT(ISNUMBER(V453))),"",V453*K453)</f>
        <v>0</v>
      </c>
      <c r="AB453" s="18">
        <f>IF(G453="","",IFERROR(INDEX(Recipes!$J$5:$J$204,MATCH(G453,Recipes!$A$5:$A$204,0)),"Not found"))</f>
        <v>0</v>
      </c>
      <c r="AC453" s="17">
        <f>IF(G453="","",IFERROR(INDEX(Recipes!$C$5:$C$204,MATCH(G453,Recipes!$A$5:$A$204,0)),"Not found"))</f>
        <v>0</v>
      </c>
      <c r="AD453" s="46">
        <f>IF(B453="","",IF(G453&lt;&gt;"","Yes",IF(OR(I453="",ISNUMBER(SEARCH("takeaway",I453)),ISNUMBER(SEARCH("out",I453))),"No","Yes")))</f>
        <v>0</v>
      </c>
      <c r="AE453" s="17">
        <f>IF(B453="","",TEXT(B453,"yyyy-mm-dd")&amp;"|"&amp;F453)</f>
        <v>0</v>
      </c>
      <c r="AF453" s="31">
        <f>IF(B453="","",IF(AND(G453="",I453=""),"Add - nothing planned yet",IF(COUNTIFS($AE$5:$AE$504,AE453)&gt;1,"Duplicate - two meals in one slot",IF(AND(G453&lt;&gt;"",H453="Not found"),"Missing - recipe ID not on the Recipes tab",IF(AND(B453&lt;TODAY(),OR(N453="Planned",N453="")),"Check - did you cook it?","OK")))))</f>
        <v>0</v>
      </c>
    </row>
    <row r="454" spans="1:32">
      <c r="A454" s="39">
        <f>IF(B454="","",MealPrefix&amp;TEXT(ROW()-4,"0000"))</f>
        <v>0</v>
      </c>
      <c r="C454" s="17">
        <f>IF(B454="","",TEXT(B454,"ddd"))</f>
        <v>0</v>
      </c>
      <c r="D454" s="18">
        <f>IF(B454="","",WEEKNUM(B454,IF(WeekStart="Sunday",1,2)))</f>
        <v>0</v>
      </c>
      <c r="E454" s="17">
        <f>IF(B454="","",TEXT(B454,"yyyy-mm"))</f>
        <v>0</v>
      </c>
      <c r="H454" s="17">
        <f>IF(G454&lt;&gt;"",IFERROR(INDEX(Recipes!$B$5:$B$204,MATCH(G454,Recipes!$A$5:$A$204,0)),"Not found"),I454)</f>
        <v>0</v>
      </c>
      <c r="K454" s="45">
        <f>IF(B454="","",IF(J454="",DefaultServings,J454))</f>
        <v>0</v>
      </c>
      <c r="L454" s="45">
        <f>IF(G454="",0,IFERROR(K454/INDEX(Recipes!$G$5:$G$204,MATCH(G454,Recipes!$A$5:$A$204,0)),0))</f>
        <v>0</v>
      </c>
      <c r="T454" s="25">
        <f>IF(G454="","",IFERROR(INDEX(Recipes!$AD$5:$AD$204,MATCH(G454,Recipes!$A$5:$A$204,0))*K454,""))</f>
        <v>0</v>
      </c>
      <c r="V454" s="30">
        <f>IF(G454="","",IFERROR(INDEX(Recipes!$AE$5:$AE$204,MATCH(G454,Recipes!$A$5:$A$204,0)),"Not found"))</f>
        <v>0</v>
      </c>
      <c r="W454" s="45">
        <f>IF(G454="","",IFERROR(INDEX(Recipes!$AF$5:$AF$204,MATCH(G454,Recipes!$A$5:$A$204,0)),"Not found"))</f>
        <v>0</v>
      </c>
      <c r="X454" s="45">
        <f>IF(G454="","",IFERROR(INDEX(Recipes!$AG$5:$AG$204,MATCH(G454,Recipes!$A$5:$A$204,0)),"Not found"))</f>
        <v>0</v>
      </c>
      <c r="Y454" s="45">
        <f>IF(G454="","",IFERROR(INDEX(Recipes!$AH$5:$AH$204,MATCH(G454,Recipes!$A$5:$A$204,0)),"Not found"))</f>
        <v>0</v>
      </c>
      <c r="Z454" s="45">
        <f>IF(G454="","",IFERROR(INDEX(Recipes!$AI$5:$AI$204,MATCH(G454,Recipes!$A$5:$A$204,0)),"Not found"))</f>
        <v>0</v>
      </c>
      <c r="AA454" s="30">
        <f>IF(OR(V454="",NOT(ISNUMBER(V454))),"",V454*K454)</f>
        <v>0</v>
      </c>
      <c r="AB454" s="18">
        <f>IF(G454="","",IFERROR(INDEX(Recipes!$J$5:$J$204,MATCH(G454,Recipes!$A$5:$A$204,0)),"Not found"))</f>
        <v>0</v>
      </c>
      <c r="AC454" s="17">
        <f>IF(G454="","",IFERROR(INDEX(Recipes!$C$5:$C$204,MATCH(G454,Recipes!$A$5:$A$204,0)),"Not found"))</f>
        <v>0</v>
      </c>
      <c r="AD454" s="46">
        <f>IF(B454="","",IF(G454&lt;&gt;"","Yes",IF(OR(I454="",ISNUMBER(SEARCH("takeaway",I454)),ISNUMBER(SEARCH("out",I454))),"No","Yes")))</f>
        <v>0</v>
      </c>
      <c r="AE454" s="17">
        <f>IF(B454="","",TEXT(B454,"yyyy-mm-dd")&amp;"|"&amp;F454)</f>
        <v>0</v>
      </c>
      <c r="AF454" s="31">
        <f>IF(B454="","",IF(AND(G454="",I454=""),"Add - nothing planned yet",IF(COUNTIFS($AE$5:$AE$504,AE454)&gt;1,"Duplicate - two meals in one slot",IF(AND(G454&lt;&gt;"",H454="Not found"),"Missing - recipe ID not on the Recipes tab",IF(AND(B454&lt;TODAY(),OR(N454="Planned",N454="")),"Check - did you cook it?","OK")))))</f>
        <v>0</v>
      </c>
    </row>
    <row r="455" spans="1:32">
      <c r="A455" s="39">
        <f>IF(B455="","",MealPrefix&amp;TEXT(ROW()-4,"0000"))</f>
        <v>0</v>
      </c>
      <c r="C455" s="17">
        <f>IF(B455="","",TEXT(B455,"ddd"))</f>
        <v>0</v>
      </c>
      <c r="D455" s="18">
        <f>IF(B455="","",WEEKNUM(B455,IF(WeekStart="Sunday",1,2)))</f>
        <v>0</v>
      </c>
      <c r="E455" s="17">
        <f>IF(B455="","",TEXT(B455,"yyyy-mm"))</f>
        <v>0</v>
      </c>
      <c r="H455" s="17">
        <f>IF(G455&lt;&gt;"",IFERROR(INDEX(Recipes!$B$5:$B$204,MATCH(G455,Recipes!$A$5:$A$204,0)),"Not found"),I455)</f>
        <v>0</v>
      </c>
      <c r="K455" s="45">
        <f>IF(B455="","",IF(J455="",DefaultServings,J455))</f>
        <v>0</v>
      </c>
      <c r="L455" s="45">
        <f>IF(G455="",0,IFERROR(K455/INDEX(Recipes!$G$5:$G$204,MATCH(G455,Recipes!$A$5:$A$204,0)),0))</f>
        <v>0</v>
      </c>
      <c r="T455" s="25">
        <f>IF(G455="","",IFERROR(INDEX(Recipes!$AD$5:$AD$204,MATCH(G455,Recipes!$A$5:$A$204,0))*K455,""))</f>
        <v>0</v>
      </c>
      <c r="V455" s="30">
        <f>IF(G455="","",IFERROR(INDEX(Recipes!$AE$5:$AE$204,MATCH(G455,Recipes!$A$5:$A$204,0)),"Not found"))</f>
        <v>0</v>
      </c>
      <c r="W455" s="45">
        <f>IF(G455="","",IFERROR(INDEX(Recipes!$AF$5:$AF$204,MATCH(G455,Recipes!$A$5:$A$204,0)),"Not found"))</f>
        <v>0</v>
      </c>
      <c r="X455" s="45">
        <f>IF(G455="","",IFERROR(INDEX(Recipes!$AG$5:$AG$204,MATCH(G455,Recipes!$A$5:$A$204,0)),"Not found"))</f>
        <v>0</v>
      </c>
      <c r="Y455" s="45">
        <f>IF(G455="","",IFERROR(INDEX(Recipes!$AH$5:$AH$204,MATCH(G455,Recipes!$A$5:$A$204,0)),"Not found"))</f>
        <v>0</v>
      </c>
      <c r="Z455" s="45">
        <f>IF(G455="","",IFERROR(INDEX(Recipes!$AI$5:$AI$204,MATCH(G455,Recipes!$A$5:$A$204,0)),"Not found"))</f>
        <v>0</v>
      </c>
      <c r="AA455" s="30">
        <f>IF(OR(V455="",NOT(ISNUMBER(V455))),"",V455*K455)</f>
        <v>0</v>
      </c>
      <c r="AB455" s="18">
        <f>IF(G455="","",IFERROR(INDEX(Recipes!$J$5:$J$204,MATCH(G455,Recipes!$A$5:$A$204,0)),"Not found"))</f>
        <v>0</v>
      </c>
      <c r="AC455" s="17">
        <f>IF(G455="","",IFERROR(INDEX(Recipes!$C$5:$C$204,MATCH(G455,Recipes!$A$5:$A$204,0)),"Not found"))</f>
        <v>0</v>
      </c>
      <c r="AD455" s="46">
        <f>IF(B455="","",IF(G455&lt;&gt;"","Yes",IF(OR(I455="",ISNUMBER(SEARCH("takeaway",I455)),ISNUMBER(SEARCH("out",I455))),"No","Yes")))</f>
        <v>0</v>
      </c>
      <c r="AE455" s="17">
        <f>IF(B455="","",TEXT(B455,"yyyy-mm-dd")&amp;"|"&amp;F455)</f>
        <v>0</v>
      </c>
      <c r="AF455" s="31">
        <f>IF(B455="","",IF(AND(G455="",I455=""),"Add - nothing planned yet",IF(COUNTIFS($AE$5:$AE$504,AE455)&gt;1,"Duplicate - two meals in one slot",IF(AND(G455&lt;&gt;"",H455="Not found"),"Missing - recipe ID not on the Recipes tab",IF(AND(B455&lt;TODAY(),OR(N455="Planned",N455="")),"Check - did you cook it?","OK")))))</f>
        <v>0</v>
      </c>
    </row>
    <row r="456" spans="1:32">
      <c r="A456" s="39">
        <f>IF(B456="","",MealPrefix&amp;TEXT(ROW()-4,"0000"))</f>
        <v>0</v>
      </c>
      <c r="C456" s="17">
        <f>IF(B456="","",TEXT(B456,"ddd"))</f>
        <v>0</v>
      </c>
      <c r="D456" s="18">
        <f>IF(B456="","",WEEKNUM(B456,IF(WeekStart="Sunday",1,2)))</f>
        <v>0</v>
      </c>
      <c r="E456" s="17">
        <f>IF(B456="","",TEXT(B456,"yyyy-mm"))</f>
        <v>0</v>
      </c>
      <c r="H456" s="17">
        <f>IF(G456&lt;&gt;"",IFERROR(INDEX(Recipes!$B$5:$B$204,MATCH(G456,Recipes!$A$5:$A$204,0)),"Not found"),I456)</f>
        <v>0</v>
      </c>
      <c r="K456" s="45">
        <f>IF(B456="","",IF(J456="",DefaultServings,J456))</f>
        <v>0</v>
      </c>
      <c r="L456" s="45">
        <f>IF(G456="",0,IFERROR(K456/INDEX(Recipes!$G$5:$G$204,MATCH(G456,Recipes!$A$5:$A$204,0)),0))</f>
        <v>0</v>
      </c>
      <c r="T456" s="25">
        <f>IF(G456="","",IFERROR(INDEX(Recipes!$AD$5:$AD$204,MATCH(G456,Recipes!$A$5:$A$204,0))*K456,""))</f>
        <v>0</v>
      </c>
      <c r="V456" s="30">
        <f>IF(G456="","",IFERROR(INDEX(Recipes!$AE$5:$AE$204,MATCH(G456,Recipes!$A$5:$A$204,0)),"Not found"))</f>
        <v>0</v>
      </c>
      <c r="W456" s="45">
        <f>IF(G456="","",IFERROR(INDEX(Recipes!$AF$5:$AF$204,MATCH(G456,Recipes!$A$5:$A$204,0)),"Not found"))</f>
        <v>0</v>
      </c>
      <c r="X456" s="45">
        <f>IF(G456="","",IFERROR(INDEX(Recipes!$AG$5:$AG$204,MATCH(G456,Recipes!$A$5:$A$204,0)),"Not found"))</f>
        <v>0</v>
      </c>
      <c r="Y456" s="45">
        <f>IF(G456="","",IFERROR(INDEX(Recipes!$AH$5:$AH$204,MATCH(G456,Recipes!$A$5:$A$204,0)),"Not found"))</f>
        <v>0</v>
      </c>
      <c r="Z456" s="45">
        <f>IF(G456="","",IFERROR(INDEX(Recipes!$AI$5:$AI$204,MATCH(G456,Recipes!$A$5:$A$204,0)),"Not found"))</f>
        <v>0</v>
      </c>
      <c r="AA456" s="30">
        <f>IF(OR(V456="",NOT(ISNUMBER(V456))),"",V456*K456)</f>
        <v>0</v>
      </c>
      <c r="AB456" s="18">
        <f>IF(G456="","",IFERROR(INDEX(Recipes!$J$5:$J$204,MATCH(G456,Recipes!$A$5:$A$204,0)),"Not found"))</f>
        <v>0</v>
      </c>
      <c r="AC456" s="17">
        <f>IF(G456="","",IFERROR(INDEX(Recipes!$C$5:$C$204,MATCH(G456,Recipes!$A$5:$A$204,0)),"Not found"))</f>
        <v>0</v>
      </c>
      <c r="AD456" s="46">
        <f>IF(B456="","",IF(G456&lt;&gt;"","Yes",IF(OR(I456="",ISNUMBER(SEARCH("takeaway",I456)),ISNUMBER(SEARCH("out",I456))),"No","Yes")))</f>
        <v>0</v>
      </c>
      <c r="AE456" s="17">
        <f>IF(B456="","",TEXT(B456,"yyyy-mm-dd")&amp;"|"&amp;F456)</f>
        <v>0</v>
      </c>
      <c r="AF456" s="31">
        <f>IF(B456="","",IF(AND(G456="",I456=""),"Add - nothing planned yet",IF(COUNTIFS($AE$5:$AE$504,AE456)&gt;1,"Duplicate - two meals in one slot",IF(AND(G456&lt;&gt;"",H456="Not found"),"Missing - recipe ID not on the Recipes tab",IF(AND(B456&lt;TODAY(),OR(N456="Planned",N456="")),"Check - did you cook it?","OK")))))</f>
        <v>0</v>
      </c>
    </row>
    <row r="457" spans="1:32">
      <c r="A457" s="39">
        <f>IF(B457="","",MealPrefix&amp;TEXT(ROW()-4,"0000"))</f>
        <v>0</v>
      </c>
      <c r="C457" s="17">
        <f>IF(B457="","",TEXT(B457,"ddd"))</f>
        <v>0</v>
      </c>
      <c r="D457" s="18">
        <f>IF(B457="","",WEEKNUM(B457,IF(WeekStart="Sunday",1,2)))</f>
        <v>0</v>
      </c>
      <c r="E457" s="17">
        <f>IF(B457="","",TEXT(B457,"yyyy-mm"))</f>
        <v>0</v>
      </c>
      <c r="H457" s="17">
        <f>IF(G457&lt;&gt;"",IFERROR(INDEX(Recipes!$B$5:$B$204,MATCH(G457,Recipes!$A$5:$A$204,0)),"Not found"),I457)</f>
        <v>0</v>
      </c>
      <c r="K457" s="45">
        <f>IF(B457="","",IF(J457="",DefaultServings,J457))</f>
        <v>0</v>
      </c>
      <c r="L457" s="45">
        <f>IF(G457="",0,IFERROR(K457/INDEX(Recipes!$G$5:$G$204,MATCH(G457,Recipes!$A$5:$A$204,0)),0))</f>
        <v>0</v>
      </c>
      <c r="T457" s="25">
        <f>IF(G457="","",IFERROR(INDEX(Recipes!$AD$5:$AD$204,MATCH(G457,Recipes!$A$5:$A$204,0))*K457,""))</f>
        <v>0</v>
      </c>
      <c r="V457" s="30">
        <f>IF(G457="","",IFERROR(INDEX(Recipes!$AE$5:$AE$204,MATCH(G457,Recipes!$A$5:$A$204,0)),"Not found"))</f>
        <v>0</v>
      </c>
      <c r="W457" s="45">
        <f>IF(G457="","",IFERROR(INDEX(Recipes!$AF$5:$AF$204,MATCH(G457,Recipes!$A$5:$A$204,0)),"Not found"))</f>
        <v>0</v>
      </c>
      <c r="X457" s="45">
        <f>IF(G457="","",IFERROR(INDEX(Recipes!$AG$5:$AG$204,MATCH(G457,Recipes!$A$5:$A$204,0)),"Not found"))</f>
        <v>0</v>
      </c>
      <c r="Y457" s="45">
        <f>IF(G457="","",IFERROR(INDEX(Recipes!$AH$5:$AH$204,MATCH(G457,Recipes!$A$5:$A$204,0)),"Not found"))</f>
        <v>0</v>
      </c>
      <c r="Z457" s="45">
        <f>IF(G457="","",IFERROR(INDEX(Recipes!$AI$5:$AI$204,MATCH(G457,Recipes!$A$5:$A$204,0)),"Not found"))</f>
        <v>0</v>
      </c>
      <c r="AA457" s="30">
        <f>IF(OR(V457="",NOT(ISNUMBER(V457))),"",V457*K457)</f>
        <v>0</v>
      </c>
      <c r="AB457" s="18">
        <f>IF(G457="","",IFERROR(INDEX(Recipes!$J$5:$J$204,MATCH(G457,Recipes!$A$5:$A$204,0)),"Not found"))</f>
        <v>0</v>
      </c>
      <c r="AC457" s="17">
        <f>IF(G457="","",IFERROR(INDEX(Recipes!$C$5:$C$204,MATCH(G457,Recipes!$A$5:$A$204,0)),"Not found"))</f>
        <v>0</v>
      </c>
      <c r="AD457" s="46">
        <f>IF(B457="","",IF(G457&lt;&gt;"","Yes",IF(OR(I457="",ISNUMBER(SEARCH("takeaway",I457)),ISNUMBER(SEARCH("out",I457))),"No","Yes")))</f>
        <v>0</v>
      </c>
      <c r="AE457" s="17">
        <f>IF(B457="","",TEXT(B457,"yyyy-mm-dd")&amp;"|"&amp;F457)</f>
        <v>0</v>
      </c>
      <c r="AF457" s="31">
        <f>IF(B457="","",IF(AND(G457="",I457=""),"Add - nothing planned yet",IF(COUNTIFS($AE$5:$AE$504,AE457)&gt;1,"Duplicate - two meals in one slot",IF(AND(G457&lt;&gt;"",H457="Not found"),"Missing - recipe ID not on the Recipes tab",IF(AND(B457&lt;TODAY(),OR(N457="Planned",N457="")),"Check - did you cook it?","OK")))))</f>
        <v>0</v>
      </c>
    </row>
    <row r="458" spans="1:32">
      <c r="A458" s="39">
        <f>IF(B458="","",MealPrefix&amp;TEXT(ROW()-4,"0000"))</f>
        <v>0</v>
      </c>
      <c r="C458" s="17">
        <f>IF(B458="","",TEXT(B458,"ddd"))</f>
        <v>0</v>
      </c>
      <c r="D458" s="18">
        <f>IF(B458="","",WEEKNUM(B458,IF(WeekStart="Sunday",1,2)))</f>
        <v>0</v>
      </c>
      <c r="E458" s="17">
        <f>IF(B458="","",TEXT(B458,"yyyy-mm"))</f>
        <v>0</v>
      </c>
      <c r="H458" s="17">
        <f>IF(G458&lt;&gt;"",IFERROR(INDEX(Recipes!$B$5:$B$204,MATCH(G458,Recipes!$A$5:$A$204,0)),"Not found"),I458)</f>
        <v>0</v>
      </c>
      <c r="K458" s="45">
        <f>IF(B458="","",IF(J458="",DefaultServings,J458))</f>
        <v>0</v>
      </c>
      <c r="L458" s="45">
        <f>IF(G458="",0,IFERROR(K458/INDEX(Recipes!$G$5:$G$204,MATCH(G458,Recipes!$A$5:$A$204,0)),0))</f>
        <v>0</v>
      </c>
      <c r="T458" s="25">
        <f>IF(G458="","",IFERROR(INDEX(Recipes!$AD$5:$AD$204,MATCH(G458,Recipes!$A$5:$A$204,0))*K458,""))</f>
        <v>0</v>
      </c>
      <c r="V458" s="30">
        <f>IF(G458="","",IFERROR(INDEX(Recipes!$AE$5:$AE$204,MATCH(G458,Recipes!$A$5:$A$204,0)),"Not found"))</f>
        <v>0</v>
      </c>
      <c r="W458" s="45">
        <f>IF(G458="","",IFERROR(INDEX(Recipes!$AF$5:$AF$204,MATCH(G458,Recipes!$A$5:$A$204,0)),"Not found"))</f>
        <v>0</v>
      </c>
      <c r="X458" s="45">
        <f>IF(G458="","",IFERROR(INDEX(Recipes!$AG$5:$AG$204,MATCH(G458,Recipes!$A$5:$A$204,0)),"Not found"))</f>
        <v>0</v>
      </c>
      <c r="Y458" s="45">
        <f>IF(G458="","",IFERROR(INDEX(Recipes!$AH$5:$AH$204,MATCH(G458,Recipes!$A$5:$A$204,0)),"Not found"))</f>
        <v>0</v>
      </c>
      <c r="Z458" s="45">
        <f>IF(G458="","",IFERROR(INDEX(Recipes!$AI$5:$AI$204,MATCH(G458,Recipes!$A$5:$A$204,0)),"Not found"))</f>
        <v>0</v>
      </c>
      <c r="AA458" s="30">
        <f>IF(OR(V458="",NOT(ISNUMBER(V458))),"",V458*K458)</f>
        <v>0</v>
      </c>
      <c r="AB458" s="18">
        <f>IF(G458="","",IFERROR(INDEX(Recipes!$J$5:$J$204,MATCH(G458,Recipes!$A$5:$A$204,0)),"Not found"))</f>
        <v>0</v>
      </c>
      <c r="AC458" s="17">
        <f>IF(G458="","",IFERROR(INDEX(Recipes!$C$5:$C$204,MATCH(G458,Recipes!$A$5:$A$204,0)),"Not found"))</f>
        <v>0</v>
      </c>
      <c r="AD458" s="46">
        <f>IF(B458="","",IF(G458&lt;&gt;"","Yes",IF(OR(I458="",ISNUMBER(SEARCH("takeaway",I458)),ISNUMBER(SEARCH("out",I458))),"No","Yes")))</f>
        <v>0</v>
      </c>
      <c r="AE458" s="17">
        <f>IF(B458="","",TEXT(B458,"yyyy-mm-dd")&amp;"|"&amp;F458)</f>
        <v>0</v>
      </c>
      <c r="AF458" s="31">
        <f>IF(B458="","",IF(AND(G458="",I458=""),"Add - nothing planned yet",IF(COUNTIFS($AE$5:$AE$504,AE458)&gt;1,"Duplicate - two meals in one slot",IF(AND(G458&lt;&gt;"",H458="Not found"),"Missing - recipe ID not on the Recipes tab",IF(AND(B458&lt;TODAY(),OR(N458="Planned",N458="")),"Check - did you cook it?","OK")))))</f>
        <v>0</v>
      </c>
    </row>
    <row r="459" spans="1:32">
      <c r="A459" s="39">
        <f>IF(B459="","",MealPrefix&amp;TEXT(ROW()-4,"0000"))</f>
        <v>0</v>
      </c>
      <c r="C459" s="17">
        <f>IF(B459="","",TEXT(B459,"ddd"))</f>
        <v>0</v>
      </c>
      <c r="D459" s="18">
        <f>IF(B459="","",WEEKNUM(B459,IF(WeekStart="Sunday",1,2)))</f>
        <v>0</v>
      </c>
      <c r="E459" s="17">
        <f>IF(B459="","",TEXT(B459,"yyyy-mm"))</f>
        <v>0</v>
      </c>
      <c r="H459" s="17">
        <f>IF(G459&lt;&gt;"",IFERROR(INDEX(Recipes!$B$5:$B$204,MATCH(G459,Recipes!$A$5:$A$204,0)),"Not found"),I459)</f>
        <v>0</v>
      </c>
      <c r="K459" s="45">
        <f>IF(B459="","",IF(J459="",DefaultServings,J459))</f>
        <v>0</v>
      </c>
      <c r="L459" s="45">
        <f>IF(G459="",0,IFERROR(K459/INDEX(Recipes!$G$5:$G$204,MATCH(G459,Recipes!$A$5:$A$204,0)),0))</f>
        <v>0</v>
      </c>
      <c r="T459" s="25">
        <f>IF(G459="","",IFERROR(INDEX(Recipes!$AD$5:$AD$204,MATCH(G459,Recipes!$A$5:$A$204,0))*K459,""))</f>
        <v>0</v>
      </c>
      <c r="V459" s="30">
        <f>IF(G459="","",IFERROR(INDEX(Recipes!$AE$5:$AE$204,MATCH(G459,Recipes!$A$5:$A$204,0)),"Not found"))</f>
        <v>0</v>
      </c>
      <c r="W459" s="45">
        <f>IF(G459="","",IFERROR(INDEX(Recipes!$AF$5:$AF$204,MATCH(G459,Recipes!$A$5:$A$204,0)),"Not found"))</f>
        <v>0</v>
      </c>
      <c r="X459" s="45">
        <f>IF(G459="","",IFERROR(INDEX(Recipes!$AG$5:$AG$204,MATCH(G459,Recipes!$A$5:$A$204,0)),"Not found"))</f>
        <v>0</v>
      </c>
      <c r="Y459" s="45">
        <f>IF(G459="","",IFERROR(INDEX(Recipes!$AH$5:$AH$204,MATCH(G459,Recipes!$A$5:$A$204,0)),"Not found"))</f>
        <v>0</v>
      </c>
      <c r="Z459" s="45">
        <f>IF(G459="","",IFERROR(INDEX(Recipes!$AI$5:$AI$204,MATCH(G459,Recipes!$A$5:$A$204,0)),"Not found"))</f>
        <v>0</v>
      </c>
      <c r="AA459" s="30">
        <f>IF(OR(V459="",NOT(ISNUMBER(V459))),"",V459*K459)</f>
        <v>0</v>
      </c>
      <c r="AB459" s="18">
        <f>IF(G459="","",IFERROR(INDEX(Recipes!$J$5:$J$204,MATCH(G459,Recipes!$A$5:$A$204,0)),"Not found"))</f>
        <v>0</v>
      </c>
      <c r="AC459" s="17">
        <f>IF(G459="","",IFERROR(INDEX(Recipes!$C$5:$C$204,MATCH(G459,Recipes!$A$5:$A$204,0)),"Not found"))</f>
        <v>0</v>
      </c>
      <c r="AD459" s="46">
        <f>IF(B459="","",IF(G459&lt;&gt;"","Yes",IF(OR(I459="",ISNUMBER(SEARCH("takeaway",I459)),ISNUMBER(SEARCH("out",I459))),"No","Yes")))</f>
        <v>0</v>
      </c>
      <c r="AE459" s="17">
        <f>IF(B459="","",TEXT(B459,"yyyy-mm-dd")&amp;"|"&amp;F459)</f>
        <v>0</v>
      </c>
      <c r="AF459" s="31">
        <f>IF(B459="","",IF(AND(G459="",I459=""),"Add - nothing planned yet",IF(COUNTIFS($AE$5:$AE$504,AE459)&gt;1,"Duplicate - two meals in one slot",IF(AND(G459&lt;&gt;"",H459="Not found"),"Missing - recipe ID not on the Recipes tab",IF(AND(B459&lt;TODAY(),OR(N459="Planned",N459="")),"Check - did you cook it?","OK")))))</f>
        <v>0</v>
      </c>
    </row>
    <row r="460" spans="1:32">
      <c r="A460" s="39">
        <f>IF(B460="","",MealPrefix&amp;TEXT(ROW()-4,"0000"))</f>
        <v>0</v>
      </c>
      <c r="C460" s="17">
        <f>IF(B460="","",TEXT(B460,"ddd"))</f>
        <v>0</v>
      </c>
      <c r="D460" s="18">
        <f>IF(B460="","",WEEKNUM(B460,IF(WeekStart="Sunday",1,2)))</f>
        <v>0</v>
      </c>
      <c r="E460" s="17">
        <f>IF(B460="","",TEXT(B460,"yyyy-mm"))</f>
        <v>0</v>
      </c>
      <c r="H460" s="17">
        <f>IF(G460&lt;&gt;"",IFERROR(INDEX(Recipes!$B$5:$B$204,MATCH(G460,Recipes!$A$5:$A$204,0)),"Not found"),I460)</f>
        <v>0</v>
      </c>
      <c r="K460" s="45">
        <f>IF(B460="","",IF(J460="",DefaultServings,J460))</f>
        <v>0</v>
      </c>
      <c r="L460" s="45">
        <f>IF(G460="",0,IFERROR(K460/INDEX(Recipes!$G$5:$G$204,MATCH(G460,Recipes!$A$5:$A$204,0)),0))</f>
        <v>0</v>
      </c>
      <c r="T460" s="25">
        <f>IF(G460="","",IFERROR(INDEX(Recipes!$AD$5:$AD$204,MATCH(G460,Recipes!$A$5:$A$204,0))*K460,""))</f>
        <v>0</v>
      </c>
      <c r="V460" s="30">
        <f>IF(G460="","",IFERROR(INDEX(Recipes!$AE$5:$AE$204,MATCH(G460,Recipes!$A$5:$A$204,0)),"Not found"))</f>
        <v>0</v>
      </c>
      <c r="W460" s="45">
        <f>IF(G460="","",IFERROR(INDEX(Recipes!$AF$5:$AF$204,MATCH(G460,Recipes!$A$5:$A$204,0)),"Not found"))</f>
        <v>0</v>
      </c>
      <c r="X460" s="45">
        <f>IF(G460="","",IFERROR(INDEX(Recipes!$AG$5:$AG$204,MATCH(G460,Recipes!$A$5:$A$204,0)),"Not found"))</f>
        <v>0</v>
      </c>
      <c r="Y460" s="45">
        <f>IF(G460="","",IFERROR(INDEX(Recipes!$AH$5:$AH$204,MATCH(G460,Recipes!$A$5:$A$204,0)),"Not found"))</f>
        <v>0</v>
      </c>
      <c r="Z460" s="45">
        <f>IF(G460="","",IFERROR(INDEX(Recipes!$AI$5:$AI$204,MATCH(G460,Recipes!$A$5:$A$204,0)),"Not found"))</f>
        <v>0</v>
      </c>
      <c r="AA460" s="30">
        <f>IF(OR(V460="",NOT(ISNUMBER(V460))),"",V460*K460)</f>
        <v>0</v>
      </c>
      <c r="AB460" s="18">
        <f>IF(G460="","",IFERROR(INDEX(Recipes!$J$5:$J$204,MATCH(G460,Recipes!$A$5:$A$204,0)),"Not found"))</f>
        <v>0</v>
      </c>
      <c r="AC460" s="17">
        <f>IF(G460="","",IFERROR(INDEX(Recipes!$C$5:$C$204,MATCH(G460,Recipes!$A$5:$A$204,0)),"Not found"))</f>
        <v>0</v>
      </c>
      <c r="AD460" s="46">
        <f>IF(B460="","",IF(G460&lt;&gt;"","Yes",IF(OR(I460="",ISNUMBER(SEARCH("takeaway",I460)),ISNUMBER(SEARCH("out",I460))),"No","Yes")))</f>
        <v>0</v>
      </c>
      <c r="AE460" s="17">
        <f>IF(B460="","",TEXT(B460,"yyyy-mm-dd")&amp;"|"&amp;F460)</f>
        <v>0</v>
      </c>
      <c r="AF460" s="31">
        <f>IF(B460="","",IF(AND(G460="",I460=""),"Add - nothing planned yet",IF(COUNTIFS($AE$5:$AE$504,AE460)&gt;1,"Duplicate - two meals in one slot",IF(AND(G460&lt;&gt;"",H460="Not found"),"Missing - recipe ID not on the Recipes tab",IF(AND(B460&lt;TODAY(),OR(N460="Planned",N460="")),"Check - did you cook it?","OK")))))</f>
        <v>0</v>
      </c>
    </row>
    <row r="461" spans="1:32">
      <c r="A461" s="39">
        <f>IF(B461="","",MealPrefix&amp;TEXT(ROW()-4,"0000"))</f>
        <v>0</v>
      </c>
      <c r="C461" s="17">
        <f>IF(B461="","",TEXT(B461,"ddd"))</f>
        <v>0</v>
      </c>
      <c r="D461" s="18">
        <f>IF(B461="","",WEEKNUM(B461,IF(WeekStart="Sunday",1,2)))</f>
        <v>0</v>
      </c>
      <c r="E461" s="17">
        <f>IF(B461="","",TEXT(B461,"yyyy-mm"))</f>
        <v>0</v>
      </c>
      <c r="H461" s="17">
        <f>IF(G461&lt;&gt;"",IFERROR(INDEX(Recipes!$B$5:$B$204,MATCH(G461,Recipes!$A$5:$A$204,0)),"Not found"),I461)</f>
        <v>0</v>
      </c>
      <c r="K461" s="45">
        <f>IF(B461="","",IF(J461="",DefaultServings,J461))</f>
        <v>0</v>
      </c>
      <c r="L461" s="45">
        <f>IF(G461="",0,IFERROR(K461/INDEX(Recipes!$G$5:$G$204,MATCH(G461,Recipes!$A$5:$A$204,0)),0))</f>
        <v>0</v>
      </c>
      <c r="T461" s="25">
        <f>IF(G461="","",IFERROR(INDEX(Recipes!$AD$5:$AD$204,MATCH(G461,Recipes!$A$5:$A$204,0))*K461,""))</f>
        <v>0</v>
      </c>
      <c r="V461" s="30">
        <f>IF(G461="","",IFERROR(INDEX(Recipes!$AE$5:$AE$204,MATCH(G461,Recipes!$A$5:$A$204,0)),"Not found"))</f>
        <v>0</v>
      </c>
      <c r="W461" s="45">
        <f>IF(G461="","",IFERROR(INDEX(Recipes!$AF$5:$AF$204,MATCH(G461,Recipes!$A$5:$A$204,0)),"Not found"))</f>
        <v>0</v>
      </c>
      <c r="X461" s="45">
        <f>IF(G461="","",IFERROR(INDEX(Recipes!$AG$5:$AG$204,MATCH(G461,Recipes!$A$5:$A$204,0)),"Not found"))</f>
        <v>0</v>
      </c>
      <c r="Y461" s="45">
        <f>IF(G461="","",IFERROR(INDEX(Recipes!$AH$5:$AH$204,MATCH(G461,Recipes!$A$5:$A$204,0)),"Not found"))</f>
        <v>0</v>
      </c>
      <c r="Z461" s="45">
        <f>IF(G461="","",IFERROR(INDEX(Recipes!$AI$5:$AI$204,MATCH(G461,Recipes!$A$5:$A$204,0)),"Not found"))</f>
        <v>0</v>
      </c>
      <c r="AA461" s="30">
        <f>IF(OR(V461="",NOT(ISNUMBER(V461))),"",V461*K461)</f>
        <v>0</v>
      </c>
      <c r="AB461" s="18">
        <f>IF(G461="","",IFERROR(INDEX(Recipes!$J$5:$J$204,MATCH(G461,Recipes!$A$5:$A$204,0)),"Not found"))</f>
        <v>0</v>
      </c>
      <c r="AC461" s="17">
        <f>IF(G461="","",IFERROR(INDEX(Recipes!$C$5:$C$204,MATCH(G461,Recipes!$A$5:$A$204,0)),"Not found"))</f>
        <v>0</v>
      </c>
      <c r="AD461" s="46">
        <f>IF(B461="","",IF(G461&lt;&gt;"","Yes",IF(OR(I461="",ISNUMBER(SEARCH("takeaway",I461)),ISNUMBER(SEARCH("out",I461))),"No","Yes")))</f>
        <v>0</v>
      </c>
      <c r="AE461" s="17">
        <f>IF(B461="","",TEXT(B461,"yyyy-mm-dd")&amp;"|"&amp;F461)</f>
        <v>0</v>
      </c>
      <c r="AF461" s="31">
        <f>IF(B461="","",IF(AND(G461="",I461=""),"Add - nothing planned yet",IF(COUNTIFS($AE$5:$AE$504,AE461)&gt;1,"Duplicate - two meals in one slot",IF(AND(G461&lt;&gt;"",H461="Not found"),"Missing - recipe ID not on the Recipes tab",IF(AND(B461&lt;TODAY(),OR(N461="Planned",N461="")),"Check - did you cook it?","OK")))))</f>
        <v>0</v>
      </c>
    </row>
    <row r="462" spans="1:32">
      <c r="A462" s="39">
        <f>IF(B462="","",MealPrefix&amp;TEXT(ROW()-4,"0000"))</f>
        <v>0</v>
      </c>
      <c r="C462" s="17">
        <f>IF(B462="","",TEXT(B462,"ddd"))</f>
        <v>0</v>
      </c>
      <c r="D462" s="18">
        <f>IF(B462="","",WEEKNUM(B462,IF(WeekStart="Sunday",1,2)))</f>
        <v>0</v>
      </c>
      <c r="E462" s="17">
        <f>IF(B462="","",TEXT(B462,"yyyy-mm"))</f>
        <v>0</v>
      </c>
      <c r="H462" s="17">
        <f>IF(G462&lt;&gt;"",IFERROR(INDEX(Recipes!$B$5:$B$204,MATCH(G462,Recipes!$A$5:$A$204,0)),"Not found"),I462)</f>
        <v>0</v>
      </c>
      <c r="K462" s="45">
        <f>IF(B462="","",IF(J462="",DefaultServings,J462))</f>
        <v>0</v>
      </c>
      <c r="L462" s="45">
        <f>IF(G462="",0,IFERROR(K462/INDEX(Recipes!$G$5:$G$204,MATCH(G462,Recipes!$A$5:$A$204,0)),0))</f>
        <v>0</v>
      </c>
      <c r="T462" s="25">
        <f>IF(G462="","",IFERROR(INDEX(Recipes!$AD$5:$AD$204,MATCH(G462,Recipes!$A$5:$A$204,0))*K462,""))</f>
        <v>0</v>
      </c>
      <c r="V462" s="30">
        <f>IF(G462="","",IFERROR(INDEX(Recipes!$AE$5:$AE$204,MATCH(G462,Recipes!$A$5:$A$204,0)),"Not found"))</f>
        <v>0</v>
      </c>
      <c r="W462" s="45">
        <f>IF(G462="","",IFERROR(INDEX(Recipes!$AF$5:$AF$204,MATCH(G462,Recipes!$A$5:$A$204,0)),"Not found"))</f>
        <v>0</v>
      </c>
      <c r="X462" s="45">
        <f>IF(G462="","",IFERROR(INDEX(Recipes!$AG$5:$AG$204,MATCH(G462,Recipes!$A$5:$A$204,0)),"Not found"))</f>
        <v>0</v>
      </c>
      <c r="Y462" s="45">
        <f>IF(G462="","",IFERROR(INDEX(Recipes!$AH$5:$AH$204,MATCH(G462,Recipes!$A$5:$A$204,0)),"Not found"))</f>
        <v>0</v>
      </c>
      <c r="Z462" s="45">
        <f>IF(G462="","",IFERROR(INDEX(Recipes!$AI$5:$AI$204,MATCH(G462,Recipes!$A$5:$A$204,0)),"Not found"))</f>
        <v>0</v>
      </c>
      <c r="AA462" s="30">
        <f>IF(OR(V462="",NOT(ISNUMBER(V462))),"",V462*K462)</f>
        <v>0</v>
      </c>
      <c r="AB462" s="18">
        <f>IF(G462="","",IFERROR(INDEX(Recipes!$J$5:$J$204,MATCH(G462,Recipes!$A$5:$A$204,0)),"Not found"))</f>
        <v>0</v>
      </c>
      <c r="AC462" s="17">
        <f>IF(G462="","",IFERROR(INDEX(Recipes!$C$5:$C$204,MATCH(G462,Recipes!$A$5:$A$204,0)),"Not found"))</f>
        <v>0</v>
      </c>
      <c r="AD462" s="46">
        <f>IF(B462="","",IF(G462&lt;&gt;"","Yes",IF(OR(I462="",ISNUMBER(SEARCH("takeaway",I462)),ISNUMBER(SEARCH("out",I462))),"No","Yes")))</f>
        <v>0</v>
      </c>
      <c r="AE462" s="17">
        <f>IF(B462="","",TEXT(B462,"yyyy-mm-dd")&amp;"|"&amp;F462)</f>
        <v>0</v>
      </c>
      <c r="AF462" s="31">
        <f>IF(B462="","",IF(AND(G462="",I462=""),"Add - nothing planned yet",IF(COUNTIFS($AE$5:$AE$504,AE462)&gt;1,"Duplicate - two meals in one slot",IF(AND(G462&lt;&gt;"",H462="Not found"),"Missing - recipe ID not on the Recipes tab",IF(AND(B462&lt;TODAY(),OR(N462="Planned",N462="")),"Check - did you cook it?","OK")))))</f>
        <v>0</v>
      </c>
    </row>
    <row r="463" spans="1:32">
      <c r="A463" s="39">
        <f>IF(B463="","",MealPrefix&amp;TEXT(ROW()-4,"0000"))</f>
        <v>0</v>
      </c>
      <c r="C463" s="17">
        <f>IF(B463="","",TEXT(B463,"ddd"))</f>
        <v>0</v>
      </c>
      <c r="D463" s="18">
        <f>IF(B463="","",WEEKNUM(B463,IF(WeekStart="Sunday",1,2)))</f>
        <v>0</v>
      </c>
      <c r="E463" s="17">
        <f>IF(B463="","",TEXT(B463,"yyyy-mm"))</f>
        <v>0</v>
      </c>
      <c r="H463" s="17">
        <f>IF(G463&lt;&gt;"",IFERROR(INDEX(Recipes!$B$5:$B$204,MATCH(G463,Recipes!$A$5:$A$204,0)),"Not found"),I463)</f>
        <v>0</v>
      </c>
      <c r="K463" s="45">
        <f>IF(B463="","",IF(J463="",DefaultServings,J463))</f>
        <v>0</v>
      </c>
      <c r="L463" s="45">
        <f>IF(G463="",0,IFERROR(K463/INDEX(Recipes!$G$5:$G$204,MATCH(G463,Recipes!$A$5:$A$204,0)),0))</f>
        <v>0</v>
      </c>
      <c r="T463" s="25">
        <f>IF(G463="","",IFERROR(INDEX(Recipes!$AD$5:$AD$204,MATCH(G463,Recipes!$A$5:$A$204,0))*K463,""))</f>
        <v>0</v>
      </c>
      <c r="V463" s="30">
        <f>IF(G463="","",IFERROR(INDEX(Recipes!$AE$5:$AE$204,MATCH(G463,Recipes!$A$5:$A$204,0)),"Not found"))</f>
        <v>0</v>
      </c>
      <c r="W463" s="45">
        <f>IF(G463="","",IFERROR(INDEX(Recipes!$AF$5:$AF$204,MATCH(G463,Recipes!$A$5:$A$204,0)),"Not found"))</f>
        <v>0</v>
      </c>
      <c r="X463" s="45">
        <f>IF(G463="","",IFERROR(INDEX(Recipes!$AG$5:$AG$204,MATCH(G463,Recipes!$A$5:$A$204,0)),"Not found"))</f>
        <v>0</v>
      </c>
      <c r="Y463" s="45">
        <f>IF(G463="","",IFERROR(INDEX(Recipes!$AH$5:$AH$204,MATCH(G463,Recipes!$A$5:$A$204,0)),"Not found"))</f>
        <v>0</v>
      </c>
      <c r="Z463" s="45">
        <f>IF(G463="","",IFERROR(INDEX(Recipes!$AI$5:$AI$204,MATCH(G463,Recipes!$A$5:$A$204,0)),"Not found"))</f>
        <v>0</v>
      </c>
      <c r="AA463" s="30">
        <f>IF(OR(V463="",NOT(ISNUMBER(V463))),"",V463*K463)</f>
        <v>0</v>
      </c>
      <c r="AB463" s="18">
        <f>IF(G463="","",IFERROR(INDEX(Recipes!$J$5:$J$204,MATCH(G463,Recipes!$A$5:$A$204,0)),"Not found"))</f>
        <v>0</v>
      </c>
      <c r="AC463" s="17">
        <f>IF(G463="","",IFERROR(INDEX(Recipes!$C$5:$C$204,MATCH(G463,Recipes!$A$5:$A$204,0)),"Not found"))</f>
        <v>0</v>
      </c>
      <c r="AD463" s="46">
        <f>IF(B463="","",IF(G463&lt;&gt;"","Yes",IF(OR(I463="",ISNUMBER(SEARCH("takeaway",I463)),ISNUMBER(SEARCH("out",I463))),"No","Yes")))</f>
        <v>0</v>
      </c>
      <c r="AE463" s="17">
        <f>IF(B463="","",TEXT(B463,"yyyy-mm-dd")&amp;"|"&amp;F463)</f>
        <v>0</v>
      </c>
      <c r="AF463" s="31">
        <f>IF(B463="","",IF(AND(G463="",I463=""),"Add - nothing planned yet",IF(COUNTIFS($AE$5:$AE$504,AE463)&gt;1,"Duplicate - two meals in one slot",IF(AND(G463&lt;&gt;"",H463="Not found"),"Missing - recipe ID not on the Recipes tab",IF(AND(B463&lt;TODAY(),OR(N463="Planned",N463="")),"Check - did you cook it?","OK")))))</f>
        <v>0</v>
      </c>
    </row>
    <row r="464" spans="1:32">
      <c r="A464" s="39">
        <f>IF(B464="","",MealPrefix&amp;TEXT(ROW()-4,"0000"))</f>
        <v>0</v>
      </c>
      <c r="C464" s="17">
        <f>IF(B464="","",TEXT(B464,"ddd"))</f>
        <v>0</v>
      </c>
      <c r="D464" s="18">
        <f>IF(B464="","",WEEKNUM(B464,IF(WeekStart="Sunday",1,2)))</f>
        <v>0</v>
      </c>
      <c r="E464" s="17">
        <f>IF(B464="","",TEXT(B464,"yyyy-mm"))</f>
        <v>0</v>
      </c>
      <c r="H464" s="17">
        <f>IF(G464&lt;&gt;"",IFERROR(INDEX(Recipes!$B$5:$B$204,MATCH(G464,Recipes!$A$5:$A$204,0)),"Not found"),I464)</f>
        <v>0</v>
      </c>
      <c r="K464" s="45">
        <f>IF(B464="","",IF(J464="",DefaultServings,J464))</f>
        <v>0</v>
      </c>
      <c r="L464" s="45">
        <f>IF(G464="",0,IFERROR(K464/INDEX(Recipes!$G$5:$G$204,MATCH(G464,Recipes!$A$5:$A$204,0)),0))</f>
        <v>0</v>
      </c>
      <c r="T464" s="25">
        <f>IF(G464="","",IFERROR(INDEX(Recipes!$AD$5:$AD$204,MATCH(G464,Recipes!$A$5:$A$204,0))*K464,""))</f>
        <v>0</v>
      </c>
      <c r="V464" s="30">
        <f>IF(G464="","",IFERROR(INDEX(Recipes!$AE$5:$AE$204,MATCH(G464,Recipes!$A$5:$A$204,0)),"Not found"))</f>
        <v>0</v>
      </c>
      <c r="W464" s="45">
        <f>IF(G464="","",IFERROR(INDEX(Recipes!$AF$5:$AF$204,MATCH(G464,Recipes!$A$5:$A$204,0)),"Not found"))</f>
        <v>0</v>
      </c>
      <c r="X464" s="45">
        <f>IF(G464="","",IFERROR(INDEX(Recipes!$AG$5:$AG$204,MATCH(G464,Recipes!$A$5:$A$204,0)),"Not found"))</f>
        <v>0</v>
      </c>
      <c r="Y464" s="45">
        <f>IF(G464="","",IFERROR(INDEX(Recipes!$AH$5:$AH$204,MATCH(G464,Recipes!$A$5:$A$204,0)),"Not found"))</f>
        <v>0</v>
      </c>
      <c r="Z464" s="45">
        <f>IF(G464="","",IFERROR(INDEX(Recipes!$AI$5:$AI$204,MATCH(G464,Recipes!$A$5:$A$204,0)),"Not found"))</f>
        <v>0</v>
      </c>
      <c r="AA464" s="30">
        <f>IF(OR(V464="",NOT(ISNUMBER(V464))),"",V464*K464)</f>
        <v>0</v>
      </c>
      <c r="AB464" s="18">
        <f>IF(G464="","",IFERROR(INDEX(Recipes!$J$5:$J$204,MATCH(G464,Recipes!$A$5:$A$204,0)),"Not found"))</f>
        <v>0</v>
      </c>
      <c r="AC464" s="17">
        <f>IF(G464="","",IFERROR(INDEX(Recipes!$C$5:$C$204,MATCH(G464,Recipes!$A$5:$A$204,0)),"Not found"))</f>
        <v>0</v>
      </c>
      <c r="AD464" s="46">
        <f>IF(B464="","",IF(G464&lt;&gt;"","Yes",IF(OR(I464="",ISNUMBER(SEARCH("takeaway",I464)),ISNUMBER(SEARCH("out",I464))),"No","Yes")))</f>
        <v>0</v>
      </c>
      <c r="AE464" s="17">
        <f>IF(B464="","",TEXT(B464,"yyyy-mm-dd")&amp;"|"&amp;F464)</f>
        <v>0</v>
      </c>
      <c r="AF464" s="31">
        <f>IF(B464="","",IF(AND(G464="",I464=""),"Add - nothing planned yet",IF(COUNTIFS($AE$5:$AE$504,AE464)&gt;1,"Duplicate - two meals in one slot",IF(AND(G464&lt;&gt;"",H464="Not found"),"Missing - recipe ID not on the Recipes tab",IF(AND(B464&lt;TODAY(),OR(N464="Planned",N464="")),"Check - did you cook it?","OK")))))</f>
        <v>0</v>
      </c>
    </row>
    <row r="465" spans="1:32">
      <c r="A465" s="39">
        <f>IF(B465="","",MealPrefix&amp;TEXT(ROW()-4,"0000"))</f>
        <v>0</v>
      </c>
      <c r="C465" s="17">
        <f>IF(B465="","",TEXT(B465,"ddd"))</f>
        <v>0</v>
      </c>
      <c r="D465" s="18">
        <f>IF(B465="","",WEEKNUM(B465,IF(WeekStart="Sunday",1,2)))</f>
        <v>0</v>
      </c>
      <c r="E465" s="17">
        <f>IF(B465="","",TEXT(B465,"yyyy-mm"))</f>
        <v>0</v>
      </c>
      <c r="H465" s="17">
        <f>IF(G465&lt;&gt;"",IFERROR(INDEX(Recipes!$B$5:$B$204,MATCH(G465,Recipes!$A$5:$A$204,0)),"Not found"),I465)</f>
        <v>0</v>
      </c>
      <c r="K465" s="45">
        <f>IF(B465="","",IF(J465="",DefaultServings,J465))</f>
        <v>0</v>
      </c>
      <c r="L465" s="45">
        <f>IF(G465="",0,IFERROR(K465/INDEX(Recipes!$G$5:$G$204,MATCH(G465,Recipes!$A$5:$A$204,0)),0))</f>
        <v>0</v>
      </c>
      <c r="T465" s="25">
        <f>IF(G465="","",IFERROR(INDEX(Recipes!$AD$5:$AD$204,MATCH(G465,Recipes!$A$5:$A$204,0))*K465,""))</f>
        <v>0</v>
      </c>
      <c r="V465" s="30">
        <f>IF(G465="","",IFERROR(INDEX(Recipes!$AE$5:$AE$204,MATCH(G465,Recipes!$A$5:$A$204,0)),"Not found"))</f>
        <v>0</v>
      </c>
      <c r="W465" s="45">
        <f>IF(G465="","",IFERROR(INDEX(Recipes!$AF$5:$AF$204,MATCH(G465,Recipes!$A$5:$A$204,0)),"Not found"))</f>
        <v>0</v>
      </c>
      <c r="X465" s="45">
        <f>IF(G465="","",IFERROR(INDEX(Recipes!$AG$5:$AG$204,MATCH(G465,Recipes!$A$5:$A$204,0)),"Not found"))</f>
        <v>0</v>
      </c>
      <c r="Y465" s="45">
        <f>IF(G465="","",IFERROR(INDEX(Recipes!$AH$5:$AH$204,MATCH(G465,Recipes!$A$5:$A$204,0)),"Not found"))</f>
        <v>0</v>
      </c>
      <c r="Z465" s="45">
        <f>IF(G465="","",IFERROR(INDEX(Recipes!$AI$5:$AI$204,MATCH(G465,Recipes!$A$5:$A$204,0)),"Not found"))</f>
        <v>0</v>
      </c>
      <c r="AA465" s="30">
        <f>IF(OR(V465="",NOT(ISNUMBER(V465))),"",V465*K465)</f>
        <v>0</v>
      </c>
      <c r="AB465" s="18">
        <f>IF(G465="","",IFERROR(INDEX(Recipes!$J$5:$J$204,MATCH(G465,Recipes!$A$5:$A$204,0)),"Not found"))</f>
        <v>0</v>
      </c>
      <c r="AC465" s="17">
        <f>IF(G465="","",IFERROR(INDEX(Recipes!$C$5:$C$204,MATCH(G465,Recipes!$A$5:$A$204,0)),"Not found"))</f>
        <v>0</v>
      </c>
      <c r="AD465" s="46">
        <f>IF(B465="","",IF(G465&lt;&gt;"","Yes",IF(OR(I465="",ISNUMBER(SEARCH("takeaway",I465)),ISNUMBER(SEARCH("out",I465))),"No","Yes")))</f>
        <v>0</v>
      </c>
      <c r="AE465" s="17">
        <f>IF(B465="","",TEXT(B465,"yyyy-mm-dd")&amp;"|"&amp;F465)</f>
        <v>0</v>
      </c>
      <c r="AF465" s="31">
        <f>IF(B465="","",IF(AND(G465="",I465=""),"Add - nothing planned yet",IF(COUNTIFS($AE$5:$AE$504,AE465)&gt;1,"Duplicate - two meals in one slot",IF(AND(G465&lt;&gt;"",H465="Not found"),"Missing - recipe ID not on the Recipes tab",IF(AND(B465&lt;TODAY(),OR(N465="Planned",N465="")),"Check - did you cook it?","OK")))))</f>
        <v>0</v>
      </c>
    </row>
    <row r="466" spans="1:32">
      <c r="A466" s="39">
        <f>IF(B466="","",MealPrefix&amp;TEXT(ROW()-4,"0000"))</f>
        <v>0</v>
      </c>
      <c r="C466" s="17">
        <f>IF(B466="","",TEXT(B466,"ddd"))</f>
        <v>0</v>
      </c>
      <c r="D466" s="18">
        <f>IF(B466="","",WEEKNUM(B466,IF(WeekStart="Sunday",1,2)))</f>
        <v>0</v>
      </c>
      <c r="E466" s="17">
        <f>IF(B466="","",TEXT(B466,"yyyy-mm"))</f>
        <v>0</v>
      </c>
      <c r="H466" s="17">
        <f>IF(G466&lt;&gt;"",IFERROR(INDEX(Recipes!$B$5:$B$204,MATCH(G466,Recipes!$A$5:$A$204,0)),"Not found"),I466)</f>
        <v>0</v>
      </c>
      <c r="K466" s="45">
        <f>IF(B466="","",IF(J466="",DefaultServings,J466))</f>
        <v>0</v>
      </c>
      <c r="L466" s="45">
        <f>IF(G466="",0,IFERROR(K466/INDEX(Recipes!$G$5:$G$204,MATCH(G466,Recipes!$A$5:$A$204,0)),0))</f>
        <v>0</v>
      </c>
      <c r="T466" s="25">
        <f>IF(G466="","",IFERROR(INDEX(Recipes!$AD$5:$AD$204,MATCH(G466,Recipes!$A$5:$A$204,0))*K466,""))</f>
        <v>0</v>
      </c>
      <c r="V466" s="30">
        <f>IF(G466="","",IFERROR(INDEX(Recipes!$AE$5:$AE$204,MATCH(G466,Recipes!$A$5:$A$204,0)),"Not found"))</f>
        <v>0</v>
      </c>
      <c r="W466" s="45">
        <f>IF(G466="","",IFERROR(INDEX(Recipes!$AF$5:$AF$204,MATCH(G466,Recipes!$A$5:$A$204,0)),"Not found"))</f>
        <v>0</v>
      </c>
      <c r="X466" s="45">
        <f>IF(G466="","",IFERROR(INDEX(Recipes!$AG$5:$AG$204,MATCH(G466,Recipes!$A$5:$A$204,0)),"Not found"))</f>
        <v>0</v>
      </c>
      <c r="Y466" s="45">
        <f>IF(G466="","",IFERROR(INDEX(Recipes!$AH$5:$AH$204,MATCH(G466,Recipes!$A$5:$A$204,0)),"Not found"))</f>
        <v>0</v>
      </c>
      <c r="Z466" s="45">
        <f>IF(G466="","",IFERROR(INDEX(Recipes!$AI$5:$AI$204,MATCH(G466,Recipes!$A$5:$A$204,0)),"Not found"))</f>
        <v>0</v>
      </c>
      <c r="AA466" s="30">
        <f>IF(OR(V466="",NOT(ISNUMBER(V466))),"",V466*K466)</f>
        <v>0</v>
      </c>
      <c r="AB466" s="18">
        <f>IF(G466="","",IFERROR(INDEX(Recipes!$J$5:$J$204,MATCH(G466,Recipes!$A$5:$A$204,0)),"Not found"))</f>
        <v>0</v>
      </c>
      <c r="AC466" s="17">
        <f>IF(G466="","",IFERROR(INDEX(Recipes!$C$5:$C$204,MATCH(G466,Recipes!$A$5:$A$204,0)),"Not found"))</f>
        <v>0</v>
      </c>
      <c r="AD466" s="46">
        <f>IF(B466="","",IF(G466&lt;&gt;"","Yes",IF(OR(I466="",ISNUMBER(SEARCH("takeaway",I466)),ISNUMBER(SEARCH("out",I466))),"No","Yes")))</f>
        <v>0</v>
      </c>
      <c r="AE466" s="17">
        <f>IF(B466="","",TEXT(B466,"yyyy-mm-dd")&amp;"|"&amp;F466)</f>
        <v>0</v>
      </c>
      <c r="AF466" s="31">
        <f>IF(B466="","",IF(AND(G466="",I466=""),"Add - nothing planned yet",IF(COUNTIFS($AE$5:$AE$504,AE466)&gt;1,"Duplicate - two meals in one slot",IF(AND(G466&lt;&gt;"",H466="Not found"),"Missing - recipe ID not on the Recipes tab",IF(AND(B466&lt;TODAY(),OR(N466="Planned",N466="")),"Check - did you cook it?","OK")))))</f>
        <v>0</v>
      </c>
    </row>
    <row r="467" spans="1:32">
      <c r="A467" s="39">
        <f>IF(B467="","",MealPrefix&amp;TEXT(ROW()-4,"0000"))</f>
        <v>0</v>
      </c>
      <c r="C467" s="17">
        <f>IF(B467="","",TEXT(B467,"ddd"))</f>
        <v>0</v>
      </c>
      <c r="D467" s="18">
        <f>IF(B467="","",WEEKNUM(B467,IF(WeekStart="Sunday",1,2)))</f>
        <v>0</v>
      </c>
      <c r="E467" s="17">
        <f>IF(B467="","",TEXT(B467,"yyyy-mm"))</f>
        <v>0</v>
      </c>
      <c r="H467" s="17">
        <f>IF(G467&lt;&gt;"",IFERROR(INDEX(Recipes!$B$5:$B$204,MATCH(G467,Recipes!$A$5:$A$204,0)),"Not found"),I467)</f>
        <v>0</v>
      </c>
      <c r="K467" s="45">
        <f>IF(B467="","",IF(J467="",DefaultServings,J467))</f>
        <v>0</v>
      </c>
      <c r="L467" s="45">
        <f>IF(G467="",0,IFERROR(K467/INDEX(Recipes!$G$5:$G$204,MATCH(G467,Recipes!$A$5:$A$204,0)),0))</f>
        <v>0</v>
      </c>
      <c r="T467" s="25">
        <f>IF(G467="","",IFERROR(INDEX(Recipes!$AD$5:$AD$204,MATCH(G467,Recipes!$A$5:$A$204,0))*K467,""))</f>
        <v>0</v>
      </c>
      <c r="V467" s="30">
        <f>IF(G467="","",IFERROR(INDEX(Recipes!$AE$5:$AE$204,MATCH(G467,Recipes!$A$5:$A$204,0)),"Not found"))</f>
        <v>0</v>
      </c>
      <c r="W467" s="45">
        <f>IF(G467="","",IFERROR(INDEX(Recipes!$AF$5:$AF$204,MATCH(G467,Recipes!$A$5:$A$204,0)),"Not found"))</f>
        <v>0</v>
      </c>
      <c r="X467" s="45">
        <f>IF(G467="","",IFERROR(INDEX(Recipes!$AG$5:$AG$204,MATCH(G467,Recipes!$A$5:$A$204,0)),"Not found"))</f>
        <v>0</v>
      </c>
      <c r="Y467" s="45">
        <f>IF(G467="","",IFERROR(INDEX(Recipes!$AH$5:$AH$204,MATCH(G467,Recipes!$A$5:$A$204,0)),"Not found"))</f>
        <v>0</v>
      </c>
      <c r="Z467" s="45">
        <f>IF(G467="","",IFERROR(INDEX(Recipes!$AI$5:$AI$204,MATCH(G467,Recipes!$A$5:$A$204,0)),"Not found"))</f>
        <v>0</v>
      </c>
      <c r="AA467" s="30">
        <f>IF(OR(V467="",NOT(ISNUMBER(V467))),"",V467*K467)</f>
        <v>0</v>
      </c>
      <c r="AB467" s="18">
        <f>IF(G467="","",IFERROR(INDEX(Recipes!$J$5:$J$204,MATCH(G467,Recipes!$A$5:$A$204,0)),"Not found"))</f>
        <v>0</v>
      </c>
      <c r="AC467" s="17">
        <f>IF(G467="","",IFERROR(INDEX(Recipes!$C$5:$C$204,MATCH(G467,Recipes!$A$5:$A$204,0)),"Not found"))</f>
        <v>0</v>
      </c>
      <c r="AD467" s="46">
        <f>IF(B467="","",IF(G467&lt;&gt;"","Yes",IF(OR(I467="",ISNUMBER(SEARCH("takeaway",I467)),ISNUMBER(SEARCH("out",I467))),"No","Yes")))</f>
        <v>0</v>
      </c>
      <c r="AE467" s="17">
        <f>IF(B467="","",TEXT(B467,"yyyy-mm-dd")&amp;"|"&amp;F467)</f>
        <v>0</v>
      </c>
      <c r="AF467" s="31">
        <f>IF(B467="","",IF(AND(G467="",I467=""),"Add - nothing planned yet",IF(COUNTIFS($AE$5:$AE$504,AE467)&gt;1,"Duplicate - two meals in one slot",IF(AND(G467&lt;&gt;"",H467="Not found"),"Missing - recipe ID not on the Recipes tab",IF(AND(B467&lt;TODAY(),OR(N467="Planned",N467="")),"Check - did you cook it?","OK")))))</f>
        <v>0</v>
      </c>
    </row>
    <row r="468" spans="1:32">
      <c r="A468" s="39">
        <f>IF(B468="","",MealPrefix&amp;TEXT(ROW()-4,"0000"))</f>
        <v>0</v>
      </c>
      <c r="C468" s="17">
        <f>IF(B468="","",TEXT(B468,"ddd"))</f>
        <v>0</v>
      </c>
      <c r="D468" s="18">
        <f>IF(B468="","",WEEKNUM(B468,IF(WeekStart="Sunday",1,2)))</f>
        <v>0</v>
      </c>
      <c r="E468" s="17">
        <f>IF(B468="","",TEXT(B468,"yyyy-mm"))</f>
        <v>0</v>
      </c>
      <c r="H468" s="17">
        <f>IF(G468&lt;&gt;"",IFERROR(INDEX(Recipes!$B$5:$B$204,MATCH(G468,Recipes!$A$5:$A$204,0)),"Not found"),I468)</f>
        <v>0</v>
      </c>
      <c r="K468" s="45">
        <f>IF(B468="","",IF(J468="",DefaultServings,J468))</f>
        <v>0</v>
      </c>
      <c r="L468" s="45">
        <f>IF(G468="",0,IFERROR(K468/INDEX(Recipes!$G$5:$G$204,MATCH(G468,Recipes!$A$5:$A$204,0)),0))</f>
        <v>0</v>
      </c>
      <c r="T468" s="25">
        <f>IF(G468="","",IFERROR(INDEX(Recipes!$AD$5:$AD$204,MATCH(G468,Recipes!$A$5:$A$204,0))*K468,""))</f>
        <v>0</v>
      </c>
      <c r="V468" s="30">
        <f>IF(G468="","",IFERROR(INDEX(Recipes!$AE$5:$AE$204,MATCH(G468,Recipes!$A$5:$A$204,0)),"Not found"))</f>
        <v>0</v>
      </c>
      <c r="W468" s="45">
        <f>IF(G468="","",IFERROR(INDEX(Recipes!$AF$5:$AF$204,MATCH(G468,Recipes!$A$5:$A$204,0)),"Not found"))</f>
        <v>0</v>
      </c>
      <c r="X468" s="45">
        <f>IF(G468="","",IFERROR(INDEX(Recipes!$AG$5:$AG$204,MATCH(G468,Recipes!$A$5:$A$204,0)),"Not found"))</f>
        <v>0</v>
      </c>
      <c r="Y468" s="45">
        <f>IF(G468="","",IFERROR(INDEX(Recipes!$AH$5:$AH$204,MATCH(G468,Recipes!$A$5:$A$204,0)),"Not found"))</f>
        <v>0</v>
      </c>
      <c r="Z468" s="45">
        <f>IF(G468="","",IFERROR(INDEX(Recipes!$AI$5:$AI$204,MATCH(G468,Recipes!$A$5:$A$204,0)),"Not found"))</f>
        <v>0</v>
      </c>
      <c r="AA468" s="30">
        <f>IF(OR(V468="",NOT(ISNUMBER(V468))),"",V468*K468)</f>
        <v>0</v>
      </c>
      <c r="AB468" s="18">
        <f>IF(G468="","",IFERROR(INDEX(Recipes!$J$5:$J$204,MATCH(G468,Recipes!$A$5:$A$204,0)),"Not found"))</f>
        <v>0</v>
      </c>
      <c r="AC468" s="17">
        <f>IF(G468="","",IFERROR(INDEX(Recipes!$C$5:$C$204,MATCH(G468,Recipes!$A$5:$A$204,0)),"Not found"))</f>
        <v>0</v>
      </c>
      <c r="AD468" s="46">
        <f>IF(B468="","",IF(G468&lt;&gt;"","Yes",IF(OR(I468="",ISNUMBER(SEARCH("takeaway",I468)),ISNUMBER(SEARCH("out",I468))),"No","Yes")))</f>
        <v>0</v>
      </c>
      <c r="AE468" s="17">
        <f>IF(B468="","",TEXT(B468,"yyyy-mm-dd")&amp;"|"&amp;F468)</f>
        <v>0</v>
      </c>
      <c r="AF468" s="31">
        <f>IF(B468="","",IF(AND(G468="",I468=""),"Add - nothing planned yet",IF(COUNTIFS($AE$5:$AE$504,AE468)&gt;1,"Duplicate - two meals in one slot",IF(AND(G468&lt;&gt;"",H468="Not found"),"Missing - recipe ID not on the Recipes tab",IF(AND(B468&lt;TODAY(),OR(N468="Planned",N468="")),"Check - did you cook it?","OK")))))</f>
        <v>0</v>
      </c>
    </row>
    <row r="469" spans="1:32">
      <c r="A469" s="39">
        <f>IF(B469="","",MealPrefix&amp;TEXT(ROW()-4,"0000"))</f>
        <v>0</v>
      </c>
      <c r="C469" s="17">
        <f>IF(B469="","",TEXT(B469,"ddd"))</f>
        <v>0</v>
      </c>
      <c r="D469" s="18">
        <f>IF(B469="","",WEEKNUM(B469,IF(WeekStart="Sunday",1,2)))</f>
        <v>0</v>
      </c>
      <c r="E469" s="17">
        <f>IF(B469="","",TEXT(B469,"yyyy-mm"))</f>
        <v>0</v>
      </c>
      <c r="H469" s="17">
        <f>IF(G469&lt;&gt;"",IFERROR(INDEX(Recipes!$B$5:$B$204,MATCH(G469,Recipes!$A$5:$A$204,0)),"Not found"),I469)</f>
        <v>0</v>
      </c>
      <c r="K469" s="45">
        <f>IF(B469="","",IF(J469="",DefaultServings,J469))</f>
        <v>0</v>
      </c>
      <c r="L469" s="45">
        <f>IF(G469="",0,IFERROR(K469/INDEX(Recipes!$G$5:$G$204,MATCH(G469,Recipes!$A$5:$A$204,0)),0))</f>
        <v>0</v>
      </c>
      <c r="T469" s="25">
        <f>IF(G469="","",IFERROR(INDEX(Recipes!$AD$5:$AD$204,MATCH(G469,Recipes!$A$5:$A$204,0))*K469,""))</f>
        <v>0</v>
      </c>
      <c r="V469" s="30">
        <f>IF(G469="","",IFERROR(INDEX(Recipes!$AE$5:$AE$204,MATCH(G469,Recipes!$A$5:$A$204,0)),"Not found"))</f>
        <v>0</v>
      </c>
      <c r="W469" s="45">
        <f>IF(G469="","",IFERROR(INDEX(Recipes!$AF$5:$AF$204,MATCH(G469,Recipes!$A$5:$A$204,0)),"Not found"))</f>
        <v>0</v>
      </c>
      <c r="X469" s="45">
        <f>IF(G469="","",IFERROR(INDEX(Recipes!$AG$5:$AG$204,MATCH(G469,Recipes!$A$5:$A$204,0)),"Not found"))</f>
        <v>0</v>
      </c>
      <c r="Y469" s="45">
        <f>IF(G469="","",IFERROR(INDEX(Recipes!$AH$5:$AH$204,MATCH(G469,Recipes!$A$5:$A$204,0)),"Not found"))</f>
        <v>0</v>
      </c>
      <c r="Z469" s="45">
        <f>IF(G469="","",IFERROR(INDEX(Recipes!$AI$5:$AI$204,MATCH(G469,Recipes!$A$5:$A$204,0)),"Not found"))</f>
        <v>0</v>
      </c>
      <c r="AA469" s="30">
        <f>IF(OR(V469="",NOT(ISNUMBER(V469))),"",V469*K469)</f>
        <v>0</v>
      </c>
      <c r="AB469" s="18">
        <f>IF(G469="","",IFERROR(INDEX(Recipes!$J$5:$J$204,MATCH(G469,Recipes!$A$5:$A$204,0)),"Not found"))</f>
        <v>0</v>
      </c>
      <c r="AC469" s="17">
        <f>IF(G469="","",IFERROR(INDEX(Recipes!$C$5:$C$204,MATCH(G469,Recipes!$A$5:$A$204,0)),"Not found"))</f>
        <v>0</v>
      </c>
      <c r="AD469" s="46">
        <f>IF(B469="","",IF(G469&lt;&gt;"","Yes",IF(OR(I469="",ISNUMBER(SEARCH("takeaway",I469)),ISNUMBER(SEARCH("out",I469))),"No","Yes")))</f>
        <v>0</v>
      </c>
      <c r="AE469" s="17">
        <f>IF(B469="","",TEXT(B469,"yyyy-mm-dd")&amp;"|"&amp;F469)</f>
        <v>0</v>
      </c>
      <c r="AF469" s="31">
        <f>IF(B469="","",IF(AND(G469="",I469=""),"Add - nothing planned yet",IF(COUNTIFS($AE$5:$AE$504,AE469)&gt;1,"Duplicate - two meals in one slot",IF(AND(G469&lt;&gt;"",H469="Not found"),"Missing - recipe ID not on the Recipes tab",IF(AND(B469&lt;TODAY(),OR(N469="Planned",N469="")),"Check - did you cook it?","OK")))))</f>
        <v>0</v>
      </c>
    </row>
    <row r="470" spans="1:32">
      <c r="A470" s="39">
        <f>IF(B470="","",MealPrefix&amp;TEXT(ROW()-4,"0000"))</f>
        <v>0</v>
      </c>
      <c r="C470" s="17">
        <f>IF(B470="","",TEXT(B470,"ddd"))</f>
        <v>0</v>
      </c>
      <c r="D470" s="18">
        <f>IF(B470="","",WEEKNUM(B470,IF(WeekStart="Sunday",1,2)))</f>
        <v>0</v>
      </c>
      <c r="E470" s="17">
        <f>IF(B470="","",TEXT(B470,"yyyy-mm"))</f>
        <v>0</v>
      </c>
      <c r="H470" s="17">
        <f>IF(G470&lt;&gt;"",IFERROR(INDEX(Recipes!$B$5:$B$204,MATCH(G470,Recipes!$A$5:$A$204,0)),"Not found"),I470)</f>
        <v>0</v>
      </c>
      <c r="K470" s="45">
        <f>IF(B470="","",IF(J470="",DefaultServings,J470))</f>
        <v>0</v>
      </c>
      <c r="L470" s="45">
        <f>IF(G470="",0,IFERROR(K470/INDEX(Recipes!$G$5:$G$204,MATCH(G470,Recipes!$A$5:$A$204,0)),0))</f>
        <v>0</v>
      </c>
      <c r="T470" s="25">
        <f>IF(G470="","",IFERROR(INDEX(Recipes!$AD$5:$AD$204,MATCH(G470,Recipes!$A$5:$A$204,0))*K470,""))</f>
        <v>0</v>
      </c>
      <c r="V470" s="30">
        <f>IF(G470="","",IFERROR(INDEX(Recipes!$AE$5:$AE$204,MATCH(G470,Recipes!$A$5:$A$204,0)),"Not found"))</f>
        <v>0</v>
      </c>
      <c r="W470" s="45">
        <f>IF(G470="","",IFERROR(INDEX(Recipes!$AF$5:$AF$204,MATCH(G470,Recipes!$A$5:$A$204,0)),"Not found"))</f>
        <v>0</v>
      </c>
      <c r="X470" s="45">
        <f>IF(G470="","",IFERROR(INDEX(Recipes!$AG$5:$AG$204,MATCH(G470,Recipes!$A$5:$A$204,0)),"Not found"))</f>
        <v>0</v>
      </c>
      <c r="Y470" s="45">
        <f>IF(G470="","",IFERROR(INDEX(Recipes!$AH$5:$AH$204,MATCH(G470,Recipes!$A$5:$A$204,0)),"Not found"))</f>
        <v>0</v>
      </c>
      <c r="Z470" s="45">
        <f>IF(G470="","",IFERROR(INDEX(Recipes!$AI$5:$AI$204,MATCH(G470,Recipes!$A$5:$A$204,0)),"Not found"))</f>
        <v>0</v>
      </c>
      <c r="AA470" s="30">
        <f>IF(OR(V470="",NOT(ISNUMBER(V470))),"",V470*K470)</f>
        <v>0</v>
      </c>
      <c r="AB470" s="18">
        <f>IF(G470="","",IFERROR(INDEX(Recipes!$J$5:$J$204,MATCH(G470,Recipes!$A$5:$A$204,0)),"Not found"))</f>
        <v>0</v>
      </c>
      <c r="AC470" s="17">
        <f>IF(G470="","",IFERROR(INDEX(Recipes!$C$5:$C$204,MATCH(G470,Recipes!$A$5:$A$204,0)),"Not found"))</f>
        <v>0</v>
      </c>
      <c r="AD470" s="46">
        <f>IF(B470="","",IF(G470&lt;&gt;"","Yes",IF(OR(I470="",ISNUMBER(SEARCH("takeaway",I470)),ISNUMBER(SEARCH("out",I470))),"No","Yes")))</f>
        <v>0</v>
      </c>
      <c r="AE470" s="17">
        <f>IF(B470="","",TEXT(B470,"yyyy-mm-dd")&amp;"|"&amp;F470)</f>
        <v>0</v>
      </c>
      <c r="AF470" s="31">
        <f>IF(B470="","",IF(AND(G470="",I470=""),"Add - nothing planned yet",IF(COUNTIFS($AE$5:$AE$504,AE470)&gt;1,"Duplicate - two meals in one slot",IF(AND(G470&lt;&gt;"",H470="Not found"),"Missing - recipe ID not on the Recipes tab",IF(AND(B470&lt;TODAY(),OR(N470="Planned",N470="")),"Check - did you cook it?","OK")))))</f>
        <v>0</v>
      </c>
    </row>
    <row r="471" spans="1:32">
      <c r="A471" s="39">
        <f>IF(B471="","",MealPrefix&amp;TEXT(ROW()-4,"0000"))</f>
        <v>0</v>
      </c>
      <c r="C471" s="17">
        <f>IF(B471="","",TEXT(B471,"ddd"))</f>
        <v>0</v>
      </c>
      <c r="D471" s="18">
        <f>IF(B471="","",WEEKNUM(B471,IF(WeekStart="Sunday",1,2)))</f>
        <v>0</v>
      </c>
      <c r="E471" s="17">
        <f>IF(B471="","",TEXT(B471,"yyyy-mm"))</f>
        <v>0</v>
      </c>
      <c r="H471" s="17">
        <f>IF(G471&lt;&gt;"",IFERROR(INDEX(Recipes!$B$5:$B$204,MATCH(G471,Recipes!$A$5:$A$204,0)),"Not found"),I471)</f>
        <v>0</v>
      </c>
      <c r="K471" s="45">
        <f>IF(B471="","",IF(J471="",DefaultServings,J471))</f>
        <v>0</v>
      </c>
      <c r="L471" s="45">
        <f>IF(G471="",0,IFERROR(K471/INDEX(Recipes!$G$5:$G$204,MATCH(G471,Recipes!$A$5:$A$204,0)),0))</f>
        <v>0</v>
      </c>
      <c r="T471" s="25">
        <f>IF(G471="","",IFERROR(INDEX(Recipes!$AD$5:$AD$204,MATCH(G471,Recipes!$A$5:$A$204,0))*K471,""))</f>
        <v>0</v>
      </c>
      <c r="V471" s="30">
        <f>IF(G471="","",IFERROR(INDEX(Recipes!$AE$5:$AE$204,MATCH(G471,Recipes!$A$5:$A$204,0)),"Not found"))</f>
        <v>0</v>
      </c>
      <c r="W471" s="45">
        <f>IF(G471="","",IFERROR(INDEX(Recipes!$AF$5:$AF$204,MATCH(G471,Recipes!$A$5:$A$204,0)),"Not found"))</f>
        <v>0</v>
      </c>
      <c r="X471" s="45">
        <f>IF(G471="","",IFERROR(INDEX(Recipes!$AG$5:$AG$204,MATCH(G471,Recipes!$A$5:$A$204,0)),"Not found"))</f>
        <v>0</v>
      </c>
      <c r="Y471" s="45">
        <f>IF(G471="","",IFERROR(INDEX(Recipes!$AH$5:$AH$204,MATCH(G471,Recipes!$A$5:$A$204,0)),"Not found"))</f>
        <v>0</v>
      </c>
      <c r="Z471" s="45">
        <f>IF(G471="","",IFERROR(INDEX(Recipes!$AI$5:$AI$204,MATCH(G471,Recipes!$A$5:$A$204,0)),"Not found"))</f>
        <v>0</v>
      </c>
      <c r="AA471" s="30">
        <f>IF(OR(V471="",NOT(ISNUMBER(V471))),"",V471*K471)</f>
        <v>0</v>
      </c>
      <c r="AB471" s="18">
        <f>IF(G471="","",IFERROR(INDEX(Recipes!$J$5:$J$204,MATCH(G471,Recipes!$A$5:$A$204,0)),"Not found"))</f>
        <v>0</v>
      </c>
      <c r="AC471" s="17">
        <f>IF(G471="","",IFERROR(INDEX(Recipes!$C$5:$C$204,MATCH(G471,Recipes!$A$5:$A$204,0)),"Not found"))</f>
        <v>0</v>
      </c>
      <c r="AD471" s="46">
        <f>IF(B471="","",IF(G471&lt;&gt;"","Yes",IF(OR(I471="",ISNUMBER(SEARCH("takeaway",I471)),ISNUMBER(SEARCH("out",I471))),"No","Yes")))</f>
        <v>0</v>
      </c>
      <c r="AE471" s="17">
        <f>IF(B471="","",TEXT(B471,"yyyy-mm-dd")&amp;"|"&amp;F471)</f>
        <v>0</v>
      </c>
      <c r="AF471" s="31">
        <f>IF(B471="","",IF(AND(G471="",I471=""),"Add - nothing planned yet",IF(COUNTIFS($AE$5:$AE$504,AE471)&gt;1,"Duplicate - two meals in one slot",IF(AND(G471&lt;&gt;"",H471="Not found"),"Missing - recipe ID not on the Recipes tab",IF(AND(B471&lt;TODAY(),OR(N471="Planned",N471="")),"Check - did you cook it?","OK")))))</f>
        <v>0</v>
      </c>
    </row>
    <row r="472" spans="1:32">
      <c r="A472" s="39">
        <f>IF(B472="","",MealPrefix&amp;TEXT(ROW()-4,"0000"))</f>
        <v>0</v>
      </c>
      <c r="C472" s="17">
        <f>IF(B472="","",TEXT(B472,"ddd"))</f>
        <v>0</v>
      </c>
      <c r="D472" s="18">
        <f>IF(B472="","",WEEKNUM(B472,IF(WeekStart="Sunday",1,2)))</f>
        <v>0</v>
      </c>
      <c r="E472" s="17">
        <f>IF(B472="","",TEXT(B472,"yyyy-mm"))</f>
        <v>0</v>
      </c>
      <c r="H472" s="17">
        <f>IF(G472&lt;&gt;"",IFERROR(INDEX(Recipes!$B$5:$B$204,MATCH(G472,Recipes!$A$5:$A$204,0)),"Not found"),I472)</f>
        <v>0</v>
      </c>
      <c r="K472" s="45">
        <f>IF(B472="","",IF(J472="",DefaultServings,J472))</f>
        <v>0</v>
      </c>
      <c r="L472" s="45">
        <f>IF(G472="",0,IFERROR(K472/INDEX(Recipes!$G$5:$G$204,MATCH(G472,Recipes!$A$5:$A$204,0)),0))</f>
        <v>0</v>
      </c>
      <c r="T472" s="25">
        <f>IF(G472="","",IFERROR(INDEX(Recipes!$AD$5:$AD$204,MATCH(G472,Recipes!$A$5:$A$204,0))*K472,""))</f>
        <v>0</v>
      </c>
      <c r="V472" s="30">
        <f>IF(G472="","",IFERROR(INDEX(Recipes!$AE$5:$AE$204,MATCH(G472,Recipes!$A$5:$A$204,0)),"Not found"))</f>
        <v>0</v>
      </c>
      <c r="W472" s="45">
        <f>IF(G472="","",IFERROR(INDEX(Recipes!$AF$5:$AF$204,MATCH(G472,Recipes!$A$5:$A$204,0)),"Not found"))</f>
        <v>0</v>
      </c>
      <c r="X472" s="45">
        <f>IF(G472="","",IFERROR(INDEX(Recipes!$AG$5:$AG$204,MATCH(G472,Recipes!$A$5:$A$204,0)),"Not found"))</f>
        <v>0</v>
      </c>
      <c r="Y472" s="45">
        <f>IF(G472="","",IFERROR(INDEX(Recipes!$AH$5:$AH$204,MATCH(G472,Recipes!$A$5:$A$204,0)),"Not found"))</f>
        <v>0</v>
      </c>
      <c r="Z472" s="45">
        <f>IF(G472="","",IFERROR(INDEX(Recipes!$AI$5:$AI$204,MATCH(G472,Recipes!$A$5:$A$204,0)),"Not found"))</f>
        <v>0</v>
      </c>
      <c r="AA472" s="30">
        <f>IF(OR(V472="",NOT(ISNUMBER(V472))),"",V472*K472)</f>
        <v>0</v>
      </c>
      <c r="AB472" s="18">
        <f>IF(G472="","",IFERROR(INDEX(Recipes!$J$5:$J$204,MATCH(G472,Recipes!$A$5:$A$204,0)),"Not found"))</f>
        <v>0</v>
      </c>
      <c r="AC472" s="17">
        <f>IF(G472="","",IFERROR(INDEX(Recipes!$C$5:$C$204,MATCH(G472,Recipes!$A$5:$A$204,0)),"Not found"))</f>
        <v>0</v>
      </c>
      <c r="AD472" s="46">
        <f>IF(B472="","",IF(G472&lt;&gt;"","Yes",IF(OR(I472="",ISNUMBER(SEARCH("takeaway",I472)),ISNUMBER(SEARCH("out",I472))),"No","Yes")))</f>
        <v>0</v>
      </c>
      <c r="AE472" s="17">
        <f>IF(B472="","",TEXT(B472,"yyyy-mm-dd")&amp;"|"&amp;F472)</f>
        <v>0</v>
      </c>
      <c r="AF472" s="31">
        <f>IF(B472="","",IF(AND(G472="",I472=""),"Add - nothing planned yet",IF(COUNTIFS($AE$5:$AE$504,AE472)&gt;1,"Duplicate - two meals in one slot",IF(AND(G472&lt;&gt;"",H472="Not found"),"Missing - recipe ID not on the Recipes tab",IF(AND(B472&lt;TODAY(),OR(N472="Planned",N472="")),"Check - did you cook it?","OK")))))</f>
        <v>0</v>
      </c>
    </row>
    <row r="473" spans="1:32">
      <c r="A473" s="39">
        <f>IF(B473="","",MealPrefix&amp;TEXT(ROW()-4,"0000"))</f>
        <v>0</v>
      </c>
      <c r="C473" s="17">
        <f>IF(B473="","",TEXT(B473,"ddd"))</f>
        <v>0</v>
      </c>
      <c r="D473" s="18">
        <f>IF(B473="","",WEEKNUM(B473,IF(WeekStart="Sunday",1,2)))</f>
        <v>0</v>
      </c>
      <c r="E473" s="17">
        <f>IF(B473="","",TEXT(B473,"yyyy-mm"))</f>
        <v>0</v>
      </c>
      <c r="H473" s="17">
        <f>IF(G473&lt;&gt;"",IFERROR(INDEX(Recipes!$B$5:$B$204,MATCH(G473,Recipes!$A$5:$A$204,0)),"Not found"),I473)</f>
        <v>0</v>
      </c>
      <c r="K473" s="45">
        <f>IF(B473="","",IF(J473="",DefaultServings,J473))</f>
        <v>0</v>
      </c>
      <c r="L473" s="45">
        <f>IF(G473="",0,IFERROR(K473/INDEX(Recipes!$G$5:$G$204,MATCH(G473,Recipes!$A$5:$A$204,0)),0))</f>
        <v>0</v>
      </c>
      <c r="T473" s="25">
        <f>IF(G473="","",IFERROR(INDEX(Recipes!$AD$5:$AD$204,MATCH(G473,Recipes!$A$5:$A$204,0))*K473,""))</f>
        <v>0</v>
      </c>
      <c r="V473" s="30">
        <f>IF(G473="","",IFERROR(INDEX(Recipes!$AE$5:$AE$204,MATCH(G473,Recipes!$A$5:$A$204,0)),"Not found"))</f>
        <v>0</v>
      </c>
      <c r="W473" s="45">
        <f>IF(G473="","",IFERROR(INDEX(Recipes!$AF$5:$AF$204,MATCH(G473,Recipes!$A$5:$A$204,0)),"Not found"))</f>
        <v>0</v>
      </c>
      <c r="X473" s="45">
        <f>IF(G473="","",IFERROR(INDEX(Recipes!$AG$5:$AG$204,MATCH(G473,Recipes!$A$5:$A$204,0)),"Not found"))</f>
        <v>0</v>
      </c>
      <c r="Y473" s="45">
        <f>IF(G473="","",IFERROR(INDEX(Recipes!$AH$5:$AH$204,MATCH(G473,Recipes!$A$5:$A$204,0)),"Not found"))</f>
        <v>0</v>
      </c>
      <c r="Z473" s="45">
        <f>IF(G473="","",IFERROR(INDEX(Recipes!$AI$5:$AI$204,MATCH(G473,Recipes!$A$5:$A$204,0)),"Not found"))</f>
        <v>0</v>
      </c>
      <c r="AA473" s="30">
        <f>IF(OR(V473="",NOT(ISNUMBER(V473))),"",V473*K473)</f>
        <v>0</v>
      </c>
      <c r="AB473" s="18">
        <f>IF(G473="","",IFERROR(INDEX(Recipes!$J$5:$J$204,MATCH(G473,Recipes!$A$5:$A$204,0)),"Not found"))</f>
        <v>0</v>
      </c>
      <c r="AC473" s="17">
        <f>IF(G473="","",IFERROR(INDEX(Recipes!$C$5:$C$204,MATCH(G473,Recipes!$A$5:$A$204,0)),"Not found"))</f>
        <v>0</v>
      </c>
      <c r="AD473" s="46">
        <f>IF(B473="","",IF(G473&lt;&gt;"","Yes",IF(OR(I473="",ISNUMBER(SEARCH("takeaway",I473)),ISNUMBER(SEARCH("out",I473))),"No","Yes")))</f>
        <v>0</v>
      </c>
      <c r="AE473" s="17">
        <f>IF(B473="","",TEXT(B473,"yyyy-mm-dd")&amp;"|"&amp;F473)</f>
        <v>0</v>
      </c>
      <c r="AF473" s="31">
        <f>IF(B473="","",IF(AND(G473="",I473=""),"Add - nothing planned yet",IF(COUNTIFS($AE$5:$AE$504,AE473)&gt;1,"Duplicate - two meals in one slot",IF(AND(G473&lt;&gt;"",H473="Not found"),"Missing - recipe ID not on the Recipes tab",IF(AND(B473&lt;TODAY(),OR(N473="Planned",N473="")),"Check - did you cook it?","OK")))))</f>
        <v>0</v>
      </c>
    </row>
    <row r="474" spans="1:32">
      <c r="A474" s="39">
        <f>IF(B474="","",MealPrefix&amp;TEXT(ROW()-4,"0000"))</f>
        <v>0</v>
      </c>
      <c r="C474" s="17">
        <f>IF(B474="","",TEXT(B474,"ddd"))</f>
        <v>0</v>
      </c>
      <c r="D474" s="18">
        <f>IF(B474="","",WEEKNUM(B474,IF(WeekStart="Sunday",1,2)))</f>
        <v>0</v>
      </c>
      <c r="E474" s="17">
        <f>IF(B474="","",TEXT(B474,"yyyy-mm"))</f>
        <v>0</v>
      </c>
      <c r="H474" s="17">
        <f>IF(G474&lt;&gt;"",IFERROR(INDEX(Recipes!$B$5:$B$204,MATCH(G474,Recipes!$A$5:$A$204,0)),"Not found"),I474)</f>
        <v>0</v>
      </c>
      <c r="K474" s="45">
        <f>IF(B474="","",IF(J474="",DefaultServings,J474))</f>
        <v>0</v>
      </c>
      <c r="L474" s="45">
        <f>IF(G474="",0,IFERROR(K474/INDEX(Recipes!$G$5:$G$204,MATCH(G474,Recipes!$A$5:$A$204,0)),0))</f>
        <v>0</v>
      </c>
      <c r="T474" s="25">
        <f>IF(G474="","",IFERROR(INDEX(Recipes!$AD$5:$AD$204,MATCH(G474,Recipes!$A$5:$A$204,0))*K474,""))</f>
        <v>0</v>
      </c>
      <c r="V474" s="30">
        <f>IF(G474="","",IFERROR(INDEX(Recipes!$AE$5:$AE$204,MATCH(G474,Recipes!$A$5:$A$204,0)),"Not found"))</f>
        <v>0</v>
      </c>
      <c r="W474" s="45">
        <f>IF(G474="","",IFERROR(INDEX(Recipes!$AF$5:$AF$204,MATCH(G474,Recipes!$A$5:$A$204,0)),"Not found"))</f>
        <v>0</v>
      </c>
      <c r="X474" s="45">
        <f>IF(G474="","",IFERROR(INDEX(Recipes!$AG$5:$AG$204,MATCH(G474,Recipes!$A$5:$A$204,0)),"Not found"))</f>
        <v>0</v>
      </c>
      <c r="Y474" s="45">
        <f>IF(G474="","",IFERROR(INDEX(Recipes!$AH$5:$AH$204,MATCH(G474,Recipes!$A$5:$A$204,0)),"Not found"))</f>
        <v>0</v>
      </c>
      <c r="Z474" s="45">
        <f>IF(G474="","",IFERROR(INDEX(Recipes!$AI$5:$AI$204,MATCH(G474,Recipes!$A$5:$A$204,0)),"Not found"))</f>
        <v>0</v>
      </c>
      <c r="AA474" s="30">
        <f>IF(OR(V474="",NOT(ISNUMBER(V474))),"",V474*K474)</f>
        <v>0</v>
      </c>
      <c r="AB474" s="18">
        <f>IF(G474="","",IFERROR(INDEX(Recipes!$J$5:$J$204,MATCH(G474,Recipes!$A$5:$A$204,0)),"Not found"))</f>
        <v>0</v>
      </c>
      <c r="AC474" s="17">
        <f>IF(G474="","",IFERROR(INDEX(Recipes!$C$5:$C$204,MATCH(G474,Recipes!$A$5:$A$204,0)),"Not found"))</f>
        <v>0</v>
      </c>
      <c r="AD474" s="46">
        <f>IF(B474="","",IF(G474&lt;&gt;"","Yes",IF(OR(I474="",ISNUMBER(SEARCH("takeaway",I474)),ISNUMBER(SEARCH("out",I474))),"No","Yes")))</f>
        <v>0</v>
      </c>
      <c r="AE474" s="17">
        <f>IF(B474="","",TEXT(B474,"yyyy-mm-dd")&amp;"|"&amp;F474)</f>
        <v>0</v>
      </c>
      <c r="AF474" s="31">
        <f>IF(B474="","",IF(AND(G474="",I474=""),"Add - nothing planned yet",IF(COUNTIFS($AE$5:$AE$504,AE474)&gt;1,"Duplicate - two meals in one slot",IF(AND(G474&lt;&gt;"",H474="Not found"),"Missing - recipe ID not on the Recipes tab",IF(AND(B474&lt;TODAY(),OR(N474="Planned",N474="")),"Check - did you cook it?","OK")))))</f>
        <v>0</v>
      </c>
    </row>
    <row r="475" spans="1:32">
      <c r="A475" s="39">
        <f>IF(B475="","",MealPrefix&amp;TEXT(ROW()-4,"0000"))</f>
        <v>0</v>
      </c>
      <c r="C475" s="17">
        <f>IF(B475="","",TEXT(B475,"ddd"))</f>
        <v>0</v>
      </c>
      <c r="D475" s="18">
        <f>IF(B475="","",WEEKNUM(B475,IF(WeekStart="Sunday",1,2)))</f>
        <v>0</v>
      </c>
      <c r="E475" s="17">
        <f>IF(B475="","",TEXT(B475,"yyyy-mm"))</f>
        <v>0</v>
      </c>
      <c r="H475" s="17">
        <f>IF(G475&lt;&gt;"",IFERROR(INDEX(Recipes!$B$5:$B$204,MATCH(G475,Recipes!$A$5:$A$204,0)),"Not found"),I475)</f>
        <v>0</v>
      </c>
      <c r="K475" s="45">
        <f>IF(B475="","",IF(J475="",DefaultServings,J475))</f>
        <v>0</v>
      </c>
      <c r="L475" s="45">
        <f>IF(G475="",0,IFERROR(K475/INDEX(Recipes!$G$5:$G$204,MATCH(G475,Recipes!$A$5:$A$204,0)),0))</f>
        <v>0</v>
      </c>
      <c r="T475" s="25">
        <f>IF(G475="","",IFERROR(INDEX(Recipes!$AD$5:$AD$204,MATCH(G475,Recipes!$A$5:$A$204,0))*K475,""))</f>
        <v>0</v>
      </c>
      <c r="V475" s="30">
        <f>IF(G475="","",IFERROR(INDEX(Recipes!$AE$5:$AE$204,MATCH(G475,Recipes!$A$5:$A$204,0)),"Not found"))</f>
        <v>0</v>
      </c>
      <c r="W475" s="45">
        <f>IF(G475="","",IFERROR(INDEX(Recipes!$AF$5:$AF$204,MATCH(G475,Recipes!$A$5:$A$204,0)),"Not found"))</f>
        <v>0</v>
      </c>
      <c r="X475" s="45">
        <f>IF(G475="","",IFERROR(INDEX(Recipes!$AG$5:$AG$204,MATCH(G475,Recipes!$A$5:$A$204,0)),"Not found"))</f>
        <v>0</v>
      </c>
      <c r="Y475" s="45">
        <f>IF(G475="","",IFERROR(INDEX(Recipes!$AH$5:$AH$204,MATCH(G475,Recipes!$A$5:$A$204,0)),"Not found"))</f>
        <v>0</v>
      </c>
      <c r="Z475" s="45">
        <f>IF(G475="","",IFERROR(INDEX(Recipes!$AI$5:$AI$204,MATCH(G475,Recipes!$A$5:$A$204,0)),"Not found"))</f>
        <v>0</v>
      </c>
      <c r="AA475" s="30">
        <f>IF(OR(V475="",NOT(ISNUMBER(V475))),"",V475*K475)</f>
        <v>0</v>
      </c>
      <c r="AB475" s="18">
        <f>IF(G475="","",IFERROR(INDEX(Recipes!$J$5:$J$204,MATCH(G475,Recipes!$A$5:$A$204,0)),"Not found"))</f>
        <v>0</v>
      </c>
      <c r="AC475" s="17">
        <f>IF(G475="","",IFERROR(INDEX(Recipes!$C$5:$C$204,MATCH(G475,Recipes!$A$5:$A$204,0)),"Not found"))</f>
        <v>0</v>
      </c>
      <c r="AD475" s="46">
        <f>IF(B475="","",IF(G475&lt;&gt;"","Yes",IF(OR(I475="",ISNUMBER(SEARCH("takeaway",I475)),ISNUMBER(SEARCH("out",I475))),"No","Yes")))</f>
        <v>0</v>
      </c>
      <c r="AE475" s="17">
        <f>IF(B475="","",TEXT(B475,"yyyy-mm-dd")&amp;"|"&amp;F475)</f>
        <v>0</v>
      </c>
      <c r="AF475" s="31">
        <f>IF(B475="","",IF(AND(G475="",I475=""),"Add - nothing planned yet",IF(COUNTIFS($AE$5:$AE$504,AE475)&gt;1,"Duplicate - two meals in one slot",IF(AND(G475&lt;&gt;"",H475="Not found"),"Missing - recipe ID not on the Recipes tab",IF(AND(B475&lt;TODAY(),OR(N475="Planned",N475="")),"Check - did you cook it?","OK")))))</f>
        <v>0</v>
      </c>
    </row>
    <row r="476" spans="1:32">
      <c r="A476" s="39">
        <f>IF(B476="","",MealPrefix&amp;TEXT(ROW()-4,"0000"))</f>
        <v>0</v>
      </c>
      <c r="C476" s="17">
        <f>IF(B476="","",TEXT(B476,"ddd"))</f>
        <v>0</v>
      </c>
      <c r="D476" s="18">
        <f>IF(B476="","",WEEKNUM(B476,IF(WeekStart="Sunday",1,2)))</f>
        <v>0</v>
      </c>
      <c r="E476" s="17">
        <f>IF(B476="","",TEXT(B476,"yyyy-mm"))</f>
        <v>0</v>
      </c>
      <c r="H476" s="17">
        <f>IF(G476&lt;&gt;"",IFERROR(INDEX(Recipes!$B$5:$B$204,MATCH(G476,Recipes!$A$5:$A$204,0)),"Not found"),I476)</f>
        <v>0</v>
      </c>
      <c r="K476" s="45">
        <f>IF(B476="","",IF(J476="",DefaultServings,J476))</f>
        <v>0</v>
      </c>
      <c r="L476" s="45">
        <f>IF(G476="",0,IFERROR(K476/INDEX(Recipes!$G$5:$G$204,MATCH(G476,Recipes!$A$5:$A$204,0)),0))</f>
        <v>0</v>
      </c>
      <c r="T476" s="25">
        <f>IF(G476="","",IFERROR(INDEX(Recipes!$AD$5:$AD$204,MATCH(G476,Recipes!$A$5:$A$204,0))*K476,""))</f>
        <v>0</v>
      </c>
      <c r="V476" s="30">
        <f>IF(G476="","",IFERROR(INDEX(Recipes!$AE$5:$AE$204,MATCH(G476,Recipes!$A$5:$A$204,0)),"Not found"))</f>
        <v>0</v>
      </c>
      <c r="W476" s="45">
        <f>IF(G476="","",IFERROR(INDEX(Recipes!$AF$5:$AF$204,MATCH(G476,Recipes!$A$5:$A$204,0)),"Not found"))</f>
        <v>0</v>
      </c>
      <c r="X476" s="45">
        <f>IF(G476="","",IFERROR(INDEX(Recipes!$AG$5:$AG$204,MATCH(G476,Recipes!$A$5:$A$204,0)),"Not found"))</f>
        <v>0</v>
      </c>
      <c r="Y476" s="45">
        <f>IF(G476="","",IFERROR(INDEX(Recipes!$AH$5:$AH$204,MATCH(G476,Recipes!$A$5:$A$204,0)),"Not found"))</f>
        <v>0</v>
      </c>
      <c r="Z476" s="45">
        <f>IF(G476="","",IFERROR(INDEX(Recipes!$AI$5:$AI$204,MATCH(G476,Recipes!$A$5:$A$204,0)),"Not found"))</f>
        <v>0</v>
      </c>
      <c r="AA476" s="30">
        <f>IF(OR(V476="",NOT(ISNUMBER(V476))),"",V476*K476)</f>
        <v>0</v>
      </c>
      <c r="AB476" s="18">
        <f>IF(G476="","",IFERROR(INDEX(Recipes!$J$5:$J$204,MATCH(G476,Recipes!$A$5:$A$204,0)),"Not found"))</f>
        <v>0</v>
      </c>
      <c r="AC476" s="17">
        <f>IF(G476="","",IFERROR(INDEX(Recipes!$C$5:$C$204,MATCH(G476,Recipes!$A$5:$A$204,0)),"Not found"))</f>
        <v>0</v>
      </c>
      <c r="AD476" s="46">
        <f>IF(B476="","",IF(G476&lt;&gt;"","Yes",IF(OR(I476="",ISNUMBER(SEARCH("takeaway",I476)),ISNUMBER(SEARCH("out",I476))),"No","Yes")))</f>
        <v>0</v>
      </c>
      <c r="AE476" s="17">
        <f>IF(B476="","",TEXT(B476,"yyyy-mm-dd")&amp;"|"&amp;F476)</f>
        <v>0</v>
      </c>
      <c r="AF476" s="31">
        <f>IF(B476="","",IF(AND(G476="",I476=""),"Add - nothing planned yet",IF(COUNTIFS($AE$5:$AE$504,AE476)&gt;1,"Duplicate - two meals in one slot",IF(AND(G476&lt;&gt;"",H476="Not found"),"Missing - recipe ID not on the Recipes tab",IF(AND(B476&lt;TODAY(),OR(N476="Planned",N476="")),"Check - did you cook it?","OK")))))</f>
        <v>0</v>
      </c>
    </row>
    <row r="477" spans="1:32">
      <c r="A477" s="39">
        <f>IF(B477="","",MealPrefix&amp;TEXT(ROW()-4,"0000"))</f>
        <v>0</v>
      </c>
      <c r="C477" s="17">
        <f>IF(B477="","",TEXT(B477,"ddd"))</f>
        <v>0</v>
      </c>
      <c r="D477" s="18">
        <f>IF(B477="","",WEEKNUM(B477,IF(WeekStart="Sunday",1,2)))</f>
        <v>0</v>
      </c>
      <c r="E477" s="17">
        <f>IF(B477="","",TEXT(B477,"yyyy-mm"))</f>
        <v>0</v>
      </c>
      <c r="H477" s="17">
        <f>IF(G477&lt;&gt;"",IFERROR(INDEX(Recipes!$B$5:$B$204,MATCH(G477,Recipes!$A$5:$A$204,0)),"Not found"),I477)</f>
        <v>0</v>
      </c>
      <c r="K477" s="45">
        <f>IF(B477="","",IF(J477="",DefaultServings,J477))</f>
        <v>0</v>
      </c>
      <c r="L477" s="45">
        <f>IF(G477="",0,IFERROR(K477/INDEX(Recipes!$G$5:$G$204,MATCH(G477,Recipes!$A$5:$A$204,0)),0))</f>
        <v>0</v>
      </c>
      <c r="T477" s="25">
        <f>IF(G477="","",IFERROR(INDEX(Recipes!$AD$5:$AD$204,MATCH(G477,Recipes!$A$5:$A$204,0))*K477,""))</f>
        <v>0</v>
      </c>
      <c r="V477" s="30">
        <f>IF(G477="","",IFERROR(INDEX(Recipes!$AE$5:$AE$204,MATCH(G477,Recipes!$A$5:$A$204,0)),"Not found"))</f>
        <v>0</v>
      </c>
      <c r="W477" s="45">
        <f>IF(G477="","",IFERROR(INDEX(Recipes!$AF$5:$AF$204,MATCH(G477,Recipes!$A$5:$A$204,0)),"Not found"))</f>
        <v>0</v>
      </c>
      <c r="X477" s="45">
        <f>IF(G477="","",IFERROR(INDEX(Recipes!$AG$5:$AG$204,MATCH(G477,Recipes!$A$5:$A$204,0)),"Not found"))</f>
        <v>0</v>
      </c>
      <c r="Y477" s="45">
        <f>IF(G477="","",IFERROR(INDEX(Recipes!$AH$5:$AH$204,MATCH(G477,Recipes!$A$5:$A$204,0)),"Not found"))</f>
        <v>0</v>
      </c>
      <c r="Z477" s="45">
        <f>IF(G477="","",IFERROR(INDEX(Recipes!$AI$5:$AI$204,MATCH(G477,Recipes!$A$5:$A$204,0)),"Not found"))</f>
        <v>0</v>
      </c>
      <c r="AA477" s="30">
        <f>IF(OR(V477="",NOT(ISNUMBER(V477))),"",V477*K477)</f>
        <v>0</v>
      </c>
      <c r="AB477" s="18">
        <f>IF(G477="","",IFERROR(INDEX(Recipes!$J$5:$J$204,MATCH(G477,Recipes!$A$5:$A$204,0)),"Not found"))</f>
        <v>0</v>
      </c>
      <c r="AC477" s="17">
        <f>IF(G477="","",IFERROR(INDEX(Recipes!$C$5:$C$204,MATCH(G477,Recipes!$A$5:$A$204,0)),"Not found"))</f>
        <v>0</v>
      </c>
      <c r="AD477" s="46">
        <f>IF(B477="","",IF(G477&lt;&gt;"","Yes",IF(OR(I477="",ISNUMBER(SEARCH("takeaway",I477)),ISNUMBER(SEARCH("out",I477))),"No","Yes")))</f>
        <v>0</v>
      </c>
      <c r="AE477" s="17">
        <f>IF(B477="","",TEXT(B477,"yyyy-mm-dd")&amp;"|"&amp;F477)</f>
        <v>0</v>
      </c>
      <c r="AF477" s="31">
        <f>IF(B477="","",IF(AND(G477="",I477=""),"Add - nothing planned yet",IF(COUNTIFS($AE$5:$AE$504,AE477)&gt;1,"Duplicate - two meals in one slot",IF(AND(G477&lt;&gt;"",H477="Not found"),"Missing - recipe ID not on the Recipes tab",IF(AND(B477&lt;TODAY(),OR(N477="Planned",N477="")),"Check - did you cook it?","OK")))))</f>
        <v>0</v>
      </c>
    </row>
    <row r="478" spans="1:32">
      <c r="A478" s="39">
        <f>IF(B478="","",MealPrefix&amp;TEXT(ROW()-4,"0000"))</f>
        <v>0</v>
      </c>
      <c r="C478" s="17">
        <f>IF(B478="","",TEXT(B478,"ddd"))</f>
        <v>0</v>
      </c>
      <c r="D478" s="18">
        <f>IF(B478="","",WEEKNUM(B478,IF(WeekStart="Sunday",1,2)))</f>
        <v>0</v>
      </c>
      <c r="E478" s="17">
        <f>IF(B478="","",TEXT(B478,"yyyy-mm"))</f>
        <v>0</v>
      </c>
      <c r="H478" s="17">
        <f>IF(G478&lt;&gt;"",IFERROR(INDEX(Recipes!$B$5:$B$204,MATCH(G478,Recipes!$A$5:$A$204,0)),"Not found"),I478)</f>
        <v>0</v>
      </c>
      <c r="K478" s="45">
        <f>IF(B478="","",IF(J478="",DefaultServings,J478))</f>
        <v>0</v>
      </c>
      <c r="L478" s="45">
        <f>IF(G478="",0,IFERROR(K478/INDEX(Recipes!$G$5:$G$204,MATCH(G478,Recipes!$A$5:$A$204,0)),0))</f>
        <v>0</v>
      </c>
      <c r="T478" s="25">
        <f>IF(G478="","",IFERROR(INDEX(Recipes!$AD$5:$AD$204,MATCH(G478,Recipes!$A$5:$A$204,0))*K478,""))</f>
        <v>0</v>
      </c>
      <c r="V478" s="30">
        <f>IF(G478="","",IFERROR(INDEX(Recipes!$AE$5:$AE$204,MATCH(G478,Recipes!$A$5:$A$204,0)),"Not found"))</f>
        <v>0</v>
      </c>
      <c r="W478" s="45">
        <f>IF(G478="","",IFERROR(INDEX(Recipes!$AF$5:$AF$204,MATCH(G478,Recipes!$A$5:$A$204,0)),"Not found"))</f>
        <v>0</v>
      </c>
      <c r="X478" s="45">
        <f>IF(G478="","",IFERROR(INDEX(Recipes!$AG$5:$AG$204,MATCH(G478,Recipes!$A$5:$A$204,0)),"Not found"))</f>
        <v>0</v>
      </c>
      <c r="Y478" s="45">
        <f>IF(G478="","",IFERROR(INDEX(Recipes!$AH$5:$AH$204,MATCH(G478,Recipes!$A$5:$A$204,0)),"Not found"))</f>
        <v>0</v>
      </c>
      <c r="Z478" s="45">
        <f>IF(G478="","",IFERROR(INDEX(Recipes!$AI$5:$AI$204,MATCH(G478,Recipes!$A$5:$A$204,0)),"Not found"))</f>
        <v>0</v>
      </c>
      <c r="AA478" s="30">
        <f>IF(OR(V478="",NOT(ISNUMBER(V478))),"",V478*K478)</f>
        <v>0</v>
      </c>
      <c r="AB478" s="18">
        <f>IF(G478="","",IFERROR(INDEX(Recipes!$J$5:$J$204,MATCH(G478,Recipes!$A$5:$A$204,0)),"Not found"))</f>
        <v>0</v>
      </c>
      <c r="AC478" s="17">
        <f>IF(G478="","",IFERROR(INDEX(Recipes!$C$5:$C$204,MATCH(G478,Recipes!$A$5:$A$204,0)),"Not found"))</f>
        <v>0</v>
      </c>
      <c r="AD478" s="46">
        <f>IF(B478="","",IF(G478&lt;&gt;"","Yes",IF(OR(I478="",ISNUMBER(SEARCH("takeaway",I478)),ISNUMBER(SEARCH("out",I478))),"No","Yes")))</f>
        <v>0</v>
      </c>
      <c r="AE478" s="17">
        <f>IF(B478="","",TEXT(B478,"yyyy-mm-dd")&amp;"|"&amp;F478)</f>
        <v>0</v>
      </c>
      <c r="AF478" s="31">
        <f>IF(B478="","",IF(AND(G478="",I478=""),"Add - nothing planned yet",IF(COUNTIFS($AE$5:$AE$504,AE478)&gt;1,"Duplicate - two meals in one slot",IF(AND(G478&lt;&gt;"",H478="Not found"),"Missing - recipe ID not on the Recipes tab",IF(AND(B478&lt;TODAY(),OR(N478="Planned",N478="")),"Check - did you cook it?","OK")))))</f>
        <v>0</v>
      </c>
    </row>
    <row r="479" spans="1:32">
      <c r="A479" s="39">
        <f>IF(B479="","",MealPrefix&amp;TEXT(ROW()-4,"0000"))</f>
        <v>0</v>
      </c>
      <c r="C479" s="17">
        <f>IF(B479="","",TEXT(B479,"ddd"))</f>
        <v>0</v>
      </c>
      <c r="D479" s="18">
        <f>IF(B479="","",WEEKNUM(B479,IF(WeekStart="Sunday",1,2)))</f>
        <v>0</v>
      </c>
      <c r="E479" s="17">
        <f>IF(B479="","",TEXT(B479,"yyyy-mm"))</f>
        <v>0</v>
      </c>
      <c r="H479" s="17">
        <f>IF(G479&lt;&gt;"",IFERROR(INDEX(Recipes!$B$5:$B$204,MATCH(G479,Recipes!$A$5:$A$204,0)),"Not found"),I479)</f>
        <v>0</v>
      </c>
      <c r="K479" s="45">
        <f>IF(B479="","",IF(J479="",DefaultServings,J479))</f>
        <v>0</v>
      </c>
      <c r="L479" s="45">
        <f>IF(G479="",0,IFERROR(K479/INDEX(Recipes!$G$5:$G$204,MATCH(G479,Recipes!$A$5:$A$204,0)),0))</f>
        <v>0</v>
      </c>
      <c r="T479" s="25">
        <f>IF(G479="","",IFERROR(INDEX(Recipes!$AD$5:$AD$204,MATCH(G479,Recipes!$A$5:$A$204,0))*K479,""))</f>
        <v>0</v>
      </c>
      <c r="V479" s="30">
        <f>IF(G479="","",IFERROR(INDEX(Recipes!$AE$5:$AE$204,MATCH(G479,Recipes!$A$5:$A$204,0)),"Not found"))</f>
        <v>0</v>
      </c>
      <c r="W479" s="45">
        <f>IF(G479="","",IFERROR(INDEX(Recipes!$AF$5:$AF$204,MATCH(G479,Recipes!$A$5:$A$204,0)),"Not found"))</f>
        <v>0</v>
      </c>
      <c r="X479" s="45">
        <f>IF(G479="","",IFERROR(INDEX(Recipes!$AG$5:$AG$204,MATCH(G479,Recipes!$A$5:$A$204,0)),"Not found"))</f>
        <v>0</v>
      </c>
      <c r="Y479" s="45">
        <f>IF(G479="","",IFERROR(INDEX(Recipes!$AH$5:$AH$204,MATCH(G479,Recipes!$A$5:$A$204,0)),"Not found"))</f>
        <v>0</v>
      </c>
      <c r="Z479" s="45">
        <f>IF(G479="","",IFERROR(INDEX(Recipes!$AI$5:$AI$204,MATCH(G479,Recipes!$A$5:$A$204,0)),"Not found"))</f>
        <v>0</v>
      </c>
      <c r="AA479" s="30">
        <f>IF(OR(V479="",NOT(ISNUMBER(V479))),"",V479*K479)</f>
        <v>0</v>
      </c>
      <c r="AB479" s="18">
        <f>IF(G479="","",IFERROR(INDEX(Recipes!$J$5:$J$204,MATCH(G479,Recipes!$A$5:$A$204,0)),"Not found"))</f>
        <v>0</v>
      </c>
      <c r="AC479" s="17">
        <f>IF(G479="","",IFERROR(INDEX(Recipes!$C$5:$C$204,MATCH(G479,Recipes!$A$5:$A$204,0)),"Not found"))</f>
        <v>0</v>
      </c>
      <c r="AD479" s="46">
        <f>IF(B479="","",IF(G479&lt;&gt;"","Yes",IF(OR(I479="",ISNUMBER(SEARCH("takeaway",I479)),ISNUMBER(SEARCH("out",I479))),"No","Yes")))</f>
        <v>0</v>
      </c>
      <c r="AE479" s="17">
        <f>IF(B479="","",TEXT(B479,"yyyy-mm-dd")&amp;"|"&amp;F479)</f>
        <v>0</v>
      </c>
      <c r="AF479" s="31">
        <f>IF(B479="","",IF(AND(G479="",I479=""),"Add - nothing planned yet",IF(COUNTIFS($AE$5:$AE$504,AE479)&gt;1,"Duplicate - two meals in one slot",IF(AND(G479&lt;&gt;"",H479="Not found"),"Missing - recipe ID not on the Recipes tab",IF(AND(B479&lt;TODAY(),OR(N479="Planned",N479="")),"Check - did you cook it?","OK")))))</f>
        <v>0</v>
      </c>
    </row>
    <row r="480" spans="1:32">
      <c r="A480" s="39">
        <f>IF(B480="","",MealPrefix&amp;TEXT(ROW()-4,"0000"))</f>
        <v>0</v>
      </c>
      <c r="C480" s="17">
        <f>IF(B480="","",TEXT(B480,"ddd"))</f>
        <v>0</v>
      </c>
      <c r="D480" s="18">
        <f>IF(B480="","",WEEKNUM(B480,IF(WeekStart="Sunday",1,2)))</f>
        <v>0</v>
      </c>
      <c r="E480" s="17">
        <f>IF(B480="","",TEXT(B480,"yyyy-mm"))</f>
        <v>0</v>
      </c>
      <c r="H480" s="17">
        <f>IF(G480&lt;&gt;"",IFERROR(INDEX(Recipes!$B$5:$B$204,MATCH(G480,Recipes!$A$5:$A$204,0)),"Not found"),I480)</f>
        <v>0</v>
      </c>
      <c r="K480" s="45">
        <f>IF(B480="","",IF(J480="",DefaultServings,J480))</f>
        <v>0</v>
      </c>
      <c r="L480" s="45">
        <f>IF(G480="",0,IFERROR(K480/INDEX(Recipes!$G$5:$G$204,MATCH(G480,Recipes!$A$5:$A$204,0)),0))</f>
        <v>0</v>
      </c>
      <c r="T480" s="25">
        <f>IF(G480="","",IFERROR(INDEX(Recipes!$AD$5:$AD$204,MATCH(G480,Recipes!$A$5:$A$204,0))*K480,""))</f>
        <v>0</v>
      </c>
      <c r="V480" s="30">
        <f>IF(G480="","",IFERROR(INDEX(Recipes!$AE$5:$AE$204,MATCH(G480,Recipes!$A$5:$A$204,0)),"Not found"))</f>
        <v>0</v>
      </c>
      <c r="W480" s="45">
        <f>IF(G480="","",IFERROR(INDEX(Recipes!$AF$5:$AF$204,MATCH(G480,Recipes!$A$5:$A$204,0)),"Not found"))</f>
        <v>0</v>
      </c>
      <c r="X480" s="45">
        <f>IF(G480="","",IFERROR(INDEX(Recipes!$AG$5:$AG$204,MATCH(G480,Recipes!$A$5:$A$204,0)),"Not found"))</f>
        <v>0</v>
      </c>
      <c r="Y480" s="45">
        <f>IF(G480="","",IFERROR(INDEX(Recipes!$AH$5:$AH$204,MATCH(G480,Recipes!$A$5:$A$204,0)),"Not found"))</f>
        <v>0</v>
      </c>
      <c r="Z480" s="45">
        <f>IF(G480="","",IFERROR(INDEX(Recipes!$AI$5:$AI$204,MATCH(G480,Recipes!$A$5:$A$204,0)),"Not found"))</f>
        <v>0</v>
      </c>
      <c r="AA480" s="30">
        <f>IF(OR(V480="",NOT(ISNUMBER(V480))),"",V480*K480)</f>
        <v>0</v>
      </c>
      <c r="AB480" s="18">
        <f>IF(G480="","",IFERROR(INDEX(Recipes!$J$5:$J$204,MATCH(G480,Recipes!$A$5:$A$204,0)),"Not found"))</f>
        <v>0</v>
      </c>
      <c r="AC480" s="17">
        <f>IF(G480="","",IFERROR(INDEX(Recipes!$C$5:$C$204,MATCH(G480,Recipes!$A$5:$A$204,0)),"Not found"))</f>
        <v>0</v>
      </c>
      <c r="AD480" s="46">
        <f>IF(B480="","",IF(G480&lt;&gt;"","Yes",IF(OR(I480="",ISNUMBER(SEARCH("takeaway",I480)),ISNUMBER(SEARCH("out",I480))),"No","Yes")))</f>
        <v>0</v>
      </c>
      <c r="AE480" s="17">
        <f>IF(B480="","",TEXT(B480,"yyyy-mm-dd")&amp;"|"&amp;F480)</f>
        <v>0</v>
      </c>
      <c r="AF480" s="31">
        <f>IF(B480="","",IF(AND(G480="",I480=""),"Add - nothing planned yet",IF(COUNTIFS($AE$5:$AE$504,AE480)&gt;1,"Duplicate - two meals in one slot",IF(AND(G480&lt;&gt;"",H480="Not found"),"Missing - recipe ID not on the Recipes tab",IF(AND(B480&lt;TODAY(),OR(N480="Planned",N480="")),"Check - did you cook it?","OK")))))</f>
        <v>0</v>
      </c>
    </row>
    <row r="481" spans="1:32">
      <c r="A481" s="39">
        <f>IF(B481="","",MealPrefix&amp;TEXT(ROW()-4,"0000"))</f>
        <v>0</v>
      </c>
      <c r="C481" s="17">
        <f>IF(B481="","",TEXT(B481,"ddd"))</f>
        <v>0</v>
      </c>
      <c r="D481" s="18">
        <f>IF(B481="","",WEEKNUM(B481,IF(WeekStart="Sunday",1,2)))</f>
        <v>0</v>
      </c>
      <c r="E481" s="17">
        <f>IF(B481="","",TEXT(B481,"yyyy-mm"))</f>
        <v>0</v>
      </c>
      <c r="H481" s="17">
        <f>IF(G481&lt;&gt;"",IFERROR(INDEX(Recipes!$B$5:$B$204,MATCH(G481,Recipes!$A$5:$A$204,0)),"Not found"),I481)</f>
        <v>0</v>
      </c>
      <c r="K481" s="45">
        <f>IF(B481="","",IF(J481="",DefaultServings,J481))</f>
        <v>0</v>
      </c>
      <c r="L481" s="45">
        <f>IF(G481="",0,IFERROR(K481/INDEX(Recipes!$G$5:$G$204,MATCH(G481,Recipes!$A$5:$A$204,0)),0))</f>
        <v>0</v>
      </c>
      <c r="T481" s="25">
        <f>IF(G481="","",IFERROR(INDEX(Recipes!$AD$5:$AD$204,MATCH(G481,Recipes!$A$5:$A$204,0))*K481,""))</f>
        <v>0</v>
      </c>
      <c r="V481" s="30">
        <f>IF(G481="","",IFERROR(INDEX(Recipes!$AE$5:$AE$204,MATCH(G481,Recipes!$A$5:$A$204,0)),"Not found"))</f>
        <v>0</v>
      </c>
      <c r="W481" s="45">
        <f>IF(G481="","",IFERROR(INDEX(Recipes!$AF$5:$AF$204,MATCH(G481,Recipes!$A$5:$A$204,0)),"Not found"))</f>
        <v>0</v>
      </c>
      <c r="X481" s="45">
        <f>IF(G481="","",IFERROR(INDEX(Recipes!$AG$5:$AG$204,MATCH(G481,Recipes!$A$5:$A$204,0)),"Not found"))</f>
        <v>0</v>
      </c>
      <c r="Y481" s="45">
        <f>IF(G481="","",IFERROR(INDEX(Recipes!$AH$5:$AH$204,MATCH(G481,Recipes!$A$5:$A$204,0)),"Not found"))</f>
        <v>0</v>
      </c>
      <c r="Z481" s="45">
        <f>IF(G481="","",IFERROR(INDEX(Recipes!$AI$5:$AI$204,MATCH(G481,Recipes!$A$5:$A$204,0)),"Not found"))</f>
        <v>0</v>
      </c>
      <c r="AA481" s="30">
        <f>IF(OR(V481="",NOT(ISNUMBER(V481))),"",V481*K481)</f>
        <v>0</v>
      </c>
      <c r="AB481" s="18">
        <f>IF(G481="","",IFERROR(INDEX(Recipes!$J$5:$J$204,MATCH(G481,Recipes!$A$5:$A$204,0)),"Not found"))</f>
        <v>0</v>
      </c>
      <c r="AC481" s="17">
        <f>IF(G481="","",IFERROR(INDEX(Recipes!$C$5:$C$204,MATCH(G481,Recipes!$A$5:$A$204,0)),"Not found"))</f>
        <v>0</v>
      </c>
      <c r="AD481" s="46">
        <f>IF(B481="","",IF(G481&lt;&gt;"","Yes",IF(OR(I481="",ISNUMBER(SEARCH("takeaway",I481)),ISNUMBER(SEARCH("out",I481))),"No","Yes")))</f>
        <v>0</v>
      </c>
      <c r="AE481" s="17">
        <f>IF(B481="","",TEXT(B481,"yyyy-mm-dd")&amp;"|"&amp;F481)</f>
        <v>0</v>
      </c>
      <c r="AF481" s="31">
        <f>IF(B481="","",IF(AND(G481="",I481=""),"Add - nothing planned yet",IF(COUNTIFS($AE$5:$AE$504,AE481)&gt;1,"Duplicate - two meals in one slot",IF(AND(G481&lt;&gt;"",H481="Not found"),"Missing - recipe ID not on the Recipes tab",IF(AND(B481&lt;TODAY(),OR(N481="Planned",N481="")),"Check - did you cook it?","OK")))))</f>
        <v>0</v>
      </c>
    </row>
    <row r="482" spans="1:32">
      <c r="A482" s="39">
        <f>IF(B482="","",MealPrefix&amp;TEXT(ROW()-4,"0000"))</f>
        <v>0</v>
      </c>
      <c r="C482" s="17">
        <f>IF(B482="","",TEXT(B482,"ddd"))</f>
        <v>0</v>
      </c>
      <c r="D482" s="18">
        <f>IF(B482="","",WEEKNUM(B482,IF(WeekStart="Sunday",1,2)))</f>
        <v>0</v>
      </c>
      <c r="E482" s="17">
        <f>IF(B482="","",TEXT(B482,"yyyy-mm"))</f>
        <v>0</v>
      </c>
      <c r="H482" s="17">
        <f>IF(G482&lt;&gt;"",IFERROR(INDEX(Recipes!$B$5:$B$204,MATCH(G482,Recipes!$A$5:$A$204,0)),"Not found"),I482)</f>
        <v>0</v>
      </c>
      <c r="K482" s="45">
        <f>IF(B482="","",IF(J482="",DefaultServings,J482))</f>
        <v>0</v>
      </c>
      <c r="L482" s="45">
        <f>IF(G482="",0,IFERROR(K482/INDEX(Recipes!$G$5:$G$204,MATCH(G482,Recipes!$A$5:$A$204,0)),0))</f>
        <v>0</v>
      </c>
      <c r="T482" s="25">
        <f>IF(G482="","",IFERROR(INDEX(Recipes!$AD$5:$AD$204,MATCH(G482,Recipes!$A$5:$A$204,0))*K482,""))</f>
        <v>0</v>
      </c>
      <c r="V482" s="30">
        <f>IF(G482="","",IFERROR(INDEX(Recipes!$AE$5:$AE$204,MATCH(G482,Recipes!$A$5:$A$204,0)),"Not found"))</f>
        <v>0</v>
      </c>
      <c r="W482" s="45">
        <f>IF(G482="","",IFERROR(INDEX(Recipes!$AF$5:$AF$204,MATCH(G482,Recipes!$A$5:$A$204,0)),"Not found"))</f>
        <v>0</v>
      </c>
      <c r="X482" s="45">
        <f>IF(G482="","",IFERROR(INDEX(Recipes!$AG$5:$AG$204,MATCH(G482,Recipes!$A$5:$A$204,0)),"Not found"))</f>
        <v>0</v>
      </c>
      <c r="Y482" s="45">
        <f>IF(G482="","",IFERROR(INDEX(Recipes!$AH$5:$AH$204,MATCH(G482,Recipes!$A$5:$A$204,0)),"Not found"))</f>
        <v>0</v>
      </c>
      <c r="Z482" s="45">
        <f>IF(G482="","",IFERROR(INDEX(Recipes!$AI$5:$AI$204,MATCH(G482,Recipes!$A$5:$A$204,0)),"Not found"))</f>
        <v>0</v>
      </c>
      <c r="AA482" s="30">
        <f>IF(OR(V482="",NOT(ISNUMBER(V482))),"",V482*K482)</f>
        <v>0</v>
      </c>
      <c r="AB482" s="18">
        <f>IF(G482="","",IFERROR(INDEX(Recipes!$J$5:$J$204,MATCH(G482,Recipes!$A$5:$A$204,0)),"Not found"))</f>
        <v>0</v>
      </c>
      <c r="AC482" s="17">
        <f>IF(G482="","",IFERROR(INDEX(Recipes!$C$5:$C$204,MATCH(G482,Recipes!$A$5:$A$204,0)),"Not found"))</f>
        <v>0</v>
      </c>
      <c r="AD482" s="46">
        <f>IF(B482="","",IF(G482&lt;&gt;"","Yes",IF(OR(I482="",ISNUMBER(SEARCH("takeaway",I482)),ISNUMBER(SEARCH("out",I482))),"No","Yes")))</f>
        <v>0</v>
      </c>
      <c r="AE482" s="17">
        <f>IF(B482="","",TEXT(B482,"yyyy-mm-dd")&amp;"|"&amp;F482)</f>
        <v>0</v>
      </c>
      <c r="AF482" s="31">
        <f>IF(B482="","",IF(AND(G482="",I482=""),"Add - nothing planned yet",IF(COUNTIFS($AE$5:$AE$504,AE482)&gt;1,"Duplicate - two meals in one slot",IF(AND(G482&lt;&gt;"",H482="Not found"),"Missing - recipe ID not on the Recipes tab",IF(AND(B482&lt;TODAY(),OR(N482="Planned",N482="")),"Check - did you cook it?","OK")))))</f>
        <v>0</v>
      </c>
    </row>
    <row r="483" spans="1:32">
      <c r="A483" s="39">
        <f>IF(B483="","",MealPrefix&amp;TEXT(ROW()-4,"0000"))</f>
        <v>0</v>
      </c>
      <c r="C483" s="17">
        <f>IF(B483="","",TEXT(B483,"ddd"))</f>
        <v>0</v>
      </c>
      <c r="D483" s="18">
        <f>IF(B483="","",WEEKNUM(B483,IF(WeekStart="Sunday",1,2)))</f>
        <v>0</v>
      </c>
      <c r="E483" s="17">
        <f>IF(B483="","",TEXT(B483,"yyyy-mm"))</f>
        <v>0</v>
      </c>
      <c r="H483" s="17">
        <f>IF(G483&lt;&gt;"",IFERROR(INDEX(Recipes!$B$5:$B$204,MATCH(G483,Recipes!$A$5:$A$204,0)),"Not found"),I483)</f>
        <v>0</v>
      </c>
      <c r="K483" s="45">
        <f>IF(B483="","",IF(J483="",DefaultServings,J483))</f>
        <v>0</v>
      </c>
      <c r="L483" s="45">
        <f>IF(G483="",0,IFERROR(K483/INDEX(Recipes!$G$5:$G$204,MATCH(G483,Recipes!$A$5:$A$204,0)),0))</f>
        <v>0</v>
      </c>
      <c r="T483" s="25">
        <f>IF(G483="","",IFERROR(INDEX(Recipes!$AD$5:$AD$204,MATCH(G483,Recipes!$A$5:$A$204,0))*K483,""))</f>
        <v>0</v>
      </c>
      <c r="V483" s="30">
        <f>IF(G483="","",IFERROR(INDEX(Recipes!$AE$5:$AE$204,MATCH(G483,Recipes!$A$5:$A$204,0)),"Not found"))</f>
        <v>0</v>
      </c>
      <c r="W483" s="45">
        <f>IF(G483="","",IFERROR(INDEX(Recipes!$AF$5:$AF$204,MATCH(G483,Recipes!$A$5:$A$204,0)),"Not found"))</f>
        <v>0</v>
      </c>
      <c r="X483" s="45">
        <f>IF(G483="","",IFERROR(INDEX(Recipes!$AG$5:$AG$204,MATCH(G483,Recipes!$A$5:$A$204,0)),"Not found"))</f>
        <v>0</v>
      </c>
      <c r="Y483" s="45">
        <f>IF(G483="","",IFERROR(INDEX(Recipes!$AH$5:$AH$204,MATCH(G483,Recipes!$A$5:$A$204,0)),"Not found"))</f>
        <v>0</v>
      </c>
      <c r="Z483" s="45">
        <f>IF(G483="","",IFERROR(INDEX(Recipes!$AI$5:$AI$204,MATCH(G483,Recipes!$A$5:$A$204,0)),"Not found"))</f>
        <v>0</v>
      </c>
      <c r="AA483" s="30">
        <f>IF(OR(V483="",NOT(ISNUMBER(V483))),"",V483*K483)</f>
        <v>0</v>
      </c>
      <c r="AB483" s="18">
        <f>IF(G483="","",IFERROR(INDEX(Recipes!$J$5:$J$204,MATCH(G483,Recipes!$A$5:$A$204,0)),"Not found"))</f>
        <v>0</v>
      </c>
      <c r="AC483" s="17">
        <f>IF(G483="","",IFERROR(INDEX(Recipes!$C$5:$C$204,MATCH(G483,Recipes!$A$5:$A$204,0)),"Not found"))</f>
        <v>0</v>
      </c>
      <c r="AD483" s="46">
        <f>IF(B483="","",IF(G483&lt;&gt;"","Yes",IF(OR(I483="",ISNUMBER(SEARCH("takeaway",I483)),ISNUMBER(SEARCH("out",I483))),"No","Yes")))</f>
        <v>0</v>
      </c>
      <c r="AE483" s="17">
        <f>IF(B483="","",TEXT(B483,"yyyy-mm-dd")&amp;"|"&amp;F483)</f>
        <v>0</v>
      </c>
      <c r="AF483" s="31">
        <f>IF(B483="","",IF(AND(G483="",I483=""),"Add - nothing planned yet",IF(COUNTIFS($AE$5:$AE$504,AE483)&gt;1,"Duplicate - two meals in one slot",IF(AND(G483&lt;&gt;"",H483="Not found"),"Missing - recipe ID not on the Recipes tab",IF(AND(B483&lt;TODAY(),OR(N483="Planned",N483="")),"Check - did you cook it?","OK")))))</f>
        <v>0</v>
      </c>
    </row>
    <row r="484" spans="1:32">
      <c r="A484" s="39">
        <f>IF(B484="","",MealPrefix&amp;TEXT(ROW()-4,"0000"))</f>
        <v>0</v>
      </c>
      <c r="C484" s="17">
        <f>IF(B484="","",TEXT(B484,"ddd"))</f>
        <v>0</v>
      </c>
      <c r="D484" s="18">
        <f>IF(B484="","",WEEKNUM(B484,IF(WeekStart="Sunday",1,2)))</f>
        <v>0</v>
      </c>
      <c r="E484" s="17">
        <f>IF(B484="","",TEXT(B484,"yyyy-mm"))</f>
        <v>0</v>
      </c>
      <c r="H484" s="17">
        <f>IF(G484&lt;&gt;"",IFERROR(INDEX(Recipes!$B$5:$B$204,MATCH(G484,Recipes!$A$5:$A$204,0)),"Not found"),I484)</f>
        <v>0</v>
      </c>
      <c r="K484" s="45">
        <f>IF(B484="","",IF(J484="",DefaultServings,J484))</f>
        <v>0</v>
      </c>
      <c r="L484" s="45">
        <f>IF(G484="",0,IFERROR(K484/INDEX(Recipes!$G$5:$G$204,MATCH(G484,Recipes!$A$5:$A$204,0)),0))</f>
        <v>0</v>
      </c>
      <c r="T484" s="25">
        <f>IF(G484="","",IFERROR(INDEX(Recipes!$AD$5:$AD$204,MATCH(G484,Recipes!$A$5:$A$204,0))*K484,""))</f>
        <v>0</v>
      </c>
      <c r="V484" s="30">
        <f>IF(G484="","",IFERROR(INDEX(Recipes!$AE$5:$AE$204,MATCH(G484,Recipes!$A$5:$A$204,0)),"Not found"))</f>
        <v>0</v>
      </c>
      <c r="W484" s="45">
        <f>IF(G484="","",IFERROR(INDEX(Recipes!$AF$5:$AF$204,MATCH(G484,Recipes!$A$5:$A$204,0)),"Not found"))</f>
        <v>0</v>
      </c>
      <c r="X484" s="45">
        <f>IF(G484="","",IFERROR(INDEX(Recipes!$AG$5:$AG$204,MATCH(G484,Recipes!$A$5:$A$204,0)),"Not found"))</f>
        <v>0</v>
      </c>
      <c r="Y484" s="45">
        <f>IF(G484="","",IFERROR(INDEX(Recipes!$AH$5:$AH$204,MATCH(G484,Recipes!$A$5:$A$204,0)),"Not found"))</f>
        <v>0</v>
      </c>
      <c r="Z484" s="45">
        <f>IF(G484="","",IFERROR(INDEX(Recipes!$AI$5:$AI$204,MATCH(G484,Recipes!$A$5:$A$204,0)),"Not found"))</f>
        <v>0</v>
      </c>
      <c r="AA484" s="30">
        <f>IF(OR(V484="",NOT(ISNUMBER(V484))),"",V484*K484)</f>
        <v>0</v>
      </c>
      <c r="AB484" s="18">
        <f>IF(G484="","",IFERROR(INDEX(Recipes!$J$5:$J$204,MATCH(G484,Recipes!$A$5:$A$204,0)),"Not found"))</f>
        <v>0</v>
      </c>
      <c r="AC484" s="17">
        <f>IF(G484="","",IFERROR(INDEX(Recipes!$C$5:$C$204,MATCH(G484,Recipes!$A$5:$A$204,0)),"Not found"))</f>
        <v>0</v>
      </c>
      <c r="AD484" s="46">
        <f>IF(B484="","",IF(G484&lt;&gt;"","Yes",IF(OR(I484="",ISNUMBER(SEARCH("takeaway",I484)),ISNUMBER(SEARCH("out",I484))),"No","Yes")))</f>
        <v>0</v>
      </c>
      <c r="AE484" s="17">
        <f>IF(B484="","",TEXT(B484,"yyyy-mm-dd")&amp;"|"&amp;F484)</f>
        <v>0</v>
      </c>
      <c r="AF484" s="31">
        <f>IF(B484="","",IF(AND(G484="",I484=""),"Add - nothing planned yet",IF(COUNTIFS($AE$5:$AE$504,AE484)&gt;1,"Duplicate - two meals in one slot",IF(AND(G484&lt;&gt;"",H484="Not found"),"Missing - recipe ID not on the Recipes tab",IF(AND(B484&lt;TODAY(),OR(N484="Planned",N484="")),"Check - did you cook it?","OK")))))</f>
        <v>0</v>
      </c>
    </row>
    <row r="485" spans="1:32">
      <c r="A485" s="39">
        <f>IF(B485="","",MealPrefix&amp;TEXT(ROW()-4,"0000"))</f>
        <v>0</v>
      </c>
      <c r="C485" s="17">
        <f>IF(B485="","",TEXT(B485,"ddd"))</f>
        <v>0</v>
      </c>
      <c r="D485" s="18">
        <f>IF(B485="","",WEEKNUM(B485,IF(WeekStart="Sunday",1,2)))</f>
        <v>0</v>
      </c>
      <c r="E485" s="17">
        <f>IF(B485="","",TEXT(B485,"yyyy-mm"))</f>
        <v>0</v>
      </c>
      <c r="H485" s="17">
        <f>IF(G485&lt;&gt;"",IFERROR(INDEX(Recipes!$B$5:$B$204,MATCH(G485,Recipes!$A$5:$A$204,0)),"Not found"),I485)</f>
        <v>0</v>
      </c>
      <c r="K485" s="45">
        <f>IF(B485="","",IF(J485="",DefaultServings,J485))</f>
        <v>0</v>
      </c>
      <c r="L485" s="45">
        <f>IF(G485="",0,IFERROR(K485/INDEX(Recipes!$G$5:$G$204,MATCH(G485,Recipes!$A$5:$A$204,0)),0))</f>
        <v>0</v>
      </c>
      <c r="T485" s="25">
        <f>IF(G485="","",IFERROR(INDEX(Recipes!$AD$5:$AD$204,MATCH(G485,Recipes!$A$5:$A$204,0))*K485,""))</f>
        <v>0</v>
      </c>
      <c r="V485" s="30">
        <f>IF(G485="","",IFERROR(INDEX(Recipes!$AE$5:$AE$204,MATCH(G485,Recipes!$A$5:$A$204,0)),"Not found"))</f>
        <v>0</v>
      </c>
      <c r="W485" s="45">
        <f>IF(G485="","",IFERROR(INDEX(Recipes!$AF$5:$AF$204,MATCH(G485,Recipes!$A$5:$A$204,0)),"Not found"))</f>
        <v>0</v>
      </c>
      <c r="X485" s="45">
        <f>IF(G485="","",IFERROR(INDEX(Recipes!$AG$5:$AG$204,MATCH(G485,Recipes!$A$5:$A$204,0)),"Not found"))</f>
        <v>0</v>
      </c>
      <c r="Y485" s="45">
        <f>IF(G485="","",IFERROR(INDEX(Recipes!$AH$5:$AH$204,MATCH(G485,Recipes!$A$5:$A$204,0)),"Not found"))</f>
        <v>0</v>
      </c>
      <c r="Z485" s="45">
        <f>IF(G485="","",IFERROR(INDEX(Recipes!$AI$5:$AI$204,MATCH(G485,Recipes!$A$5:$A$204,0)),"Not found"))</f>
        <v>0</v>
      </c>
      <c r="AA485" s="30">
        <f>IF(OR(V485="",NOT(ISNUMBER(V485))),"",V485*K485)</f>
        <v>0</v>
      </c>
      <c r="AB485" s="18">
        <f>IF(G485="","",IFERROR(INDEX(Recipes!$J$5:$J$204,MATCH(G485,Recipes!$A$5:$A$204,0)),"Not found"))</f>
        <v>0</v>
      </c>
      <c r="AC485" s="17">
        <f>IF(G485="","",IFERROR(INDEX(Recipes!$C$5:$C$204,MATCH(G485,Recipes!$A$5:$A$204,0)),"Not found"))</f>
        <v>0</v>
      </c>
      <c r="AD485" s="46">
        <f>IF(B485="","",IF(G485&lt;&gt;"","Yes",IF(OR(I485="",ISNUMBER(SEARCH("takeaway",I485)),ISNUMBER(SEARCH("out",I485))),"No","Yes")))</f>
        <v>0</v>
      </c>
      <c r="AE485" s="17">
        <f>IF(B485="","",TEXT(B485,"yyyy-mm-dd")&amp;"|"&amp;F485)</f>
        <v>0</v>
      </c>
      <c r="AF485" s="31">
        <f>IF(B485="","",IF(AND(G485="",I485=""),"Add - nothing planned yet",IF(COUNTIFS($AE$5:$AE$504,AE485)&gt;1,"Duplicate - two meals in one slot",IF(AND(G485&lt;&gt;"",H485="Not found"),"Missing - recipe ID not on the Recipes tab",IF(AND(B485&lt;TODAY(),OR(N485="Planned",N485="")),"Check - did you cook it?","OK")))))</f>
        <v>0</v>
      </c>
    </row>
    <row r="486" spans="1:32">
      <c r="A486" s="39">
        <f>IF(B486="","",MealPrefix&amp;TEXT(ROW()-4,"0000"))</f>
        <v>0</v>
      </c>
      <c r="C486" s="17">
        <f>IF(B486="","",TEXT(B486,"ddd"))</f>
        <v>0</v>
      </c>
      <c r="D486" s="18">
        <f>IF(B486="","",WEEKNUM(B486,IF(WeekStart="Sunday",1,2)))</f>
        <v>0</v>
      </c>
      <c r="E486" s="17">
        <f>IF(B486="","",TEXT(B486,"yyyy-mm"))</f>
        <v>0</v>
      </c>
      <c r="H486" s="17">
        <f>IF(G486&lt;&gt;"",IFERROR(INDEX(Recipes!$B$5:$B$204,MATCH(G486,Recipes!$A$5:$A$204,0)),"Not found"),I486)</f>
        <v>0</v>
      </c>
      <c r="K486" s="45">
        <f>IF(B486="","",IF(J486="",DefaultServings,J486))</f>
        <v>0</v>
      </c>
      <c r="L486" s="45">
        <f>IF(G486="",0,IFERROR(K486/INDEX(Recipes!$G$5:$G$204,MATCH(G486,Recipes!$A$5:$A$204,0)),0))</f>
        <v>0</v>
      </c>
      <c r="T486" s="25">
        <f>IF(G486="","",IFERROR(INDEX(Recipes!$AD$5:$AD$204,MATCH(G486,Recipes!$A$5:$A$204,0))*K486,""))</f>
        <v>0</v>
      </c>
      <c r="V486" s="30">
        <f>IF(G486="","",IFERROR(INDEX(Recipes!$AE$5:$AE$204,MATCH(G486,Recipes!$A$5:$A$204,0)),"Not found"))</f>
        <v>0</v>
      </c>
      <c r="W486" s="45">
        <f>IF(G486="","",IFERROR(INDEX(Recipes!$AF$5:$AF$204,MATCH(G486,Recipes!$A$5:$A$204,0)),"Not found"))</f>
        <v>0</v>
      </c>
      <c r="X486" s="45">
        <f>IF(G486="","",IFERROR(INDEX(Recipes!$AG$5:$AG$204,MATCH(G486,Recipes!$A$5:$A$204,0)),"Not found"))</f>
        <v>0</v>
      </c>
      <c r="Y486" s="45">
        <f>IF(G486="","",IFERROR(INDEX(Recipes!$AH$5:$AH$204,MATCH(G486,Recipes!$A$5:$A$204,0)),"Not found"))</f>
        <v>0</v>
      </c>
      <c r="Z486" s="45">
        <f>IF(G486="","",IFERROR(INDEX(Recipes!$AI$5:$AI$204,MATCH(G486,Recipes!$A$5:$A$204,0)),"Not found"))</f>
        <v>0</v>
      </c>
      <c r="AA486" s="30">
        <f>IF(OR(V486="",NOT(ISNUMBER(V486))),"",V486*K486)</f>
        <v>0</v>
      </c>
      <c r="AB486" s="18">
        <f>IF(G486="","",IFERROR(INDEX(Recipes!$J$5:$J$204,MATCH(G486,Recipes!$A$5:$A$204,0)),"Not found"))</f>
        <v>0</v>
      </c>
      <c r="AC486" s="17">
        <f>IF(G486="","",IFERROR(INDEX(Recipes!$C$5:$C$204,MATCH(G486,Recipes!$A$5:$A$204,0)),"Not found"))</f>
        <v>0</v>
      </c>
      <c r="AD486" s="46">
        <f>IF(B486="","",IF(G486&lt;&gt;"","Yes",IF(OR(I486="",ISNUMBER(SEARCH("takeaway",I486)),ISNUMBER(SEARCH("out",I486))),"No","Yes")))</f>
        <v>0</v>
      </c>
      <c r="AE486" s="17">
        <f>IF(B486="","",TEXT(B486,"yyyy-mm-dd")&amp;"|"&amp;F486)</f>
        <v>0</v>
      </c>
      <c r="AF486" s="31">
        <f>IF(B486="","",IF(AND(G486="",I486=""),"Add - nothing planned yet",IF(COUNTIFS($AE$5:$AE$504,AE486)&gt;1,"Duplicate - two meals in one slot",IF(AND(G486&lt;&gt;"",H486="Not found"),"Missing - recipe ID not on the Recipes tab",IF(AND(B486&lt;TODAY(),OR(N486="Planned",N486="")),"Check - did you cook it?","OK")))))</f>
        <v>0</v>
      </c>
    </row>
    <row r="487" spans="1:32">
      <c r="A487" s="39">
        <f>IF(B487="","",MealPrefix&amp;TEXT(ROW()-4,"0000"))</f>
        <v>0</v>
      </c>
      <c r="C487" s="17">
        <f>IF(B487="","",TEXT(B487,"ddd"))</f>
        <v>0</v>
      </c>
      <c r="D487" s="18">
        <f>IF(B487="","",WEEKNUM(B487,IF(WeekStart="Sunday",1,2)))</f>
        <v>0</v>
      </c>
      <c r="E487" s="17">
        <f>IF(B487="","",TEXT(B487,"yyyy-mm"))</f>
        <v>0</v>
      </c>
      <c r="H487" s="17">
        <f>IF(G487&lt;&gt;"",IFERROR(INDEX(Recipes!$B$5:$B$204,MATCH(G487,Recipes!$A$5:$A$204,0)),"Not found"),I487)</f>
        <v>0</v>
      </c>
      <c r="K487" s="45">
        <f>IF(B487="","",IF(J487="",DefaultServings,J487))</f>
        <v>0</v>
      </c>
      <c r="L487" s="45">
        <f>IF(G487="",0,IFERROR(K487/INDEX(Recipes!$G$5:$G$204,MATCH(G487,Recipes!$A$5:$A$204,0)),0))</f>
        <v>0</v>
      </c>
      <c r="T487" s="25">
        <f>IF(G487="","",IFERROR(INDEX(Recipes!$AD$5:$AD$204,MATCH(G487,Recipes!$A$5:$A$204,0))*K487,""))</f>
        <v>0</v>
      </c>
      <c r="V487" s="30">
        <f>IF(G487="","",IFERROR(INDEX(Recipes!$AE$5:$AE$204,MATCH(G487,Recipes!$A$5:$A$204,0)),"Not found"))</f>
        <v>0</v>
      </c>
      <c r="W487" s="45">
        <f>IF(G487="","",IFERROR(INDEX(Recipes!$AF$5:$AF$204,MATCH(G487,Recipes!$A$5:$A$204,0)),"Not found"))</f>
        <v>0</v>
      </c>
      <c r="X487" s="45">
        <f>IF(G487="","",IFERROR(INDEX(Recipes!$AG$5:$AG$204,MATCH(G487,Recipes!$A$5:$A$204,0)),"Not found"))</f>
        <v>0</v>
      </c>
      <c r="Y487" s="45">
        <f>IF(G487="","",IFERROR(INDEX(Recipes!$AH$5:$AH$204,MATCH(G487,Recipes!$A$5:$A$204,0)),"Not found"))</f>
        <v>0</v>
      </c>
      <c r="Z487" s="45">
        <f>IF(G487="","",IFERROR(INDEX(Recipes!$AI$5:$AI$204,MATCH(G487,Recipes!$A$5:$A$204,0)),"Not found"))</f>
        <v>0</v>
      </c>
      <c r="AA487" s="30">
        <f>IF(OR(V487="",NOT(ISNUMBER(V487))),"",V487*K487)</f>
        <v>0</v>
      </c>
      <c r="AB487" s="18">
        <f>IF(G487="","",IFERROR(INDEX(Recipes!$J$5:$J$204,MATCH(G487,Recipes!$A$5:$A$204,0)),"Not found"))</f>
        <v>0</v>
      </c>
      <c r="AC487" s="17">
        <f>IF(G487="","",IFERROR(INDEX(Recipes!$C$5:$C$204,MATCH(G487,Recipes!$A$5:$A$204,0)),"Not found"))</f>
        <v>0</v>
      </c>
      <c r="AD487" s="46">
        <f>IF(B487="","",IF(G487&lt;&gt;"","Yes",IF(OR(I487="",ISNUMBER(SEARCH("takeaway",I487)),ISNUMBER(SEARCH("out",I487))),"No","Yes")))</f>
        <v>0</v>
      </c>
      <c r="AE487" s="17">
        <f>IF(B487="","",TEXT(B487,"yyyy-mm-dd")&amp;"|"&amp;F487)</f>
        <v>0</v>
      </c>
      <c r="AF487" s="31">
        <f>IF(B487="","",IF(AND(G487="",I487=""),"Add - nothing planned yet",IF(COUNTIFS($AE$5:$AE$504,AE487)&gt;1,"Duplicate - two meals in one slot",IF(AND(G487&lt;&gt;"",H487="Not found"),"Missing - recipe ID not on the Recipes tab",IF(AND(B487&lt;TODAY(),OR(N487="Planned",N487="")),"Check - did you cook it?","OK")))))</f>
        <v>0</v>
      </c>
    </row>
    <row r="488" spans="1:32">
      <c r="A488" s="39">
        <f>IF(B488="","",MealPrefix&amp;TEXT(ROW()-4,"0000"))</f>
        <v>0</v>
      </c>
      <c r="C488" s="17">
        <f>IF(B488="","",TEXT(B488,"ddd"))</f>
        <v>0</v>
      </c>
      <c r="D488" s="18">
        <f>IF(B488="","",WEEKNUM(B488,IF(WeekStart="Sunday",1,2)))</f>
        <v>0</v>
      </c>
      <c r="E488" s="17">
        <f>IF(B488="","",TEXT(B488,"yyyy-mm"))</f>
        <v>0</v>
      </c>
      <c r="H488" s="17">
        <f>IF(G488&lt;&gt;"",IFERROR(INDEX(Recipes!$B$5:$B$204,MATCH(G488,Recipes!$A$5:$A$204,0)),"Not found"),I488)</f>
        <v>0</v>
      </c>
      <c r="K488" s="45">
        <f>IF(B488="","",IF(J488="",DefaultServings,J488))</f>
        <v>0</v>
      </c>
      <c r="L488" s="45">
        <f>IF(G488="",0,IFERROR(K488/INDEX(Recipes!$G$5:$G$204,MATCH(G488,Recipes!$A$5:$A$204,0)),0))</f>
        <v>0</v>
      </c>
      <c r="T488" s="25">
        <f>IF(G488="","",IFERROR(INDEX(Recipes!$AD$5:$AD$204,MATCH(G488,Recipes!$A$5:$A$204,0))*K488,""))</f>
        <v>0</v>
      </c>
      <c r="V488" s="30">
        <f>IF(G488="","",IFERROR(INDEX(Recipes!$AE$5:$AE$204,MATCH(G488,Recipes!$A$5:$A$204,0)),"Not found"))</f>
        <v>0</v>
      </c>
      <c r="W488" s="45">
        <f>IF(G488="","",IFERROR(INDEX(Recipes!$AF$5:$AF$204,MATCH(G488,Recipes!$A$5:$A$204,0)),"Not found"))</f>
        <v>0</v>
      </c>
      <c r="X488" s="45">
        <f>IF(G488="","",IFERROR(INDEX(Recipes!$AG$5:$AG$204,MATCH(G488,Recipes!$A$5:$A$204,0)),"Not found"))</f>
        <v>0</v>
      </c>
      <c r="Y488" s="45">
        <f>IF(G488="","",IFERROR(INDEX(Recipes!$AH$5:$AH$204,MATCH(G488,Recipes!$A$5:$A$204,0)),"Not found"))</f>
        <v>0</v>
      </c>
      <c r="Z488" s="45">
        <f>IF(G488="","",IFERROR(INDEX(Recipes!$AI$5:$AI$204,MATCH(G488,Recipes!$A$5:$A$204,0)),"Not found"))</f>
        <v>0</v>
      </c>
      <c r="AA488" s="30">
        <f>IF(OR(V488="",NOT(ISNUMBER(V488))),"",V488*K488)</f>
        <v>0</v>
      </c>
      <c r="AB488" s="18">
        <f>IF(G488="","",IFERROR(INDEX(Recipes!$J$5:$J$204,MATCH(G488,Recipes!$A$5:$A$204,0)),"Not found"))</f>
        <v>0</v>
      </c>
      <c r="AC488" s="17">
        <f>IF(G488="","",IFERROR(INDEX(Recipes!$C$5:$C$204,MATCH(G488,Recipes!$A$5:$A$204,0)),"Not found"))</f>
        <v>0</v>
      </c>
      <c r="AD488" s="46">
        <f>IF(B488="","",IF(G488&lt;&gt;"","Yes",IF(OR(I488="",ISNUMBER(SEARCH("takeaway",I488)),ISNUMBER(SEARCH("out",I488))),"No","Yes")))</f>
        <v>0</v>
      </c>
      <c r="AE488" s="17">
        <f>IF(B488="","",TEXT(B488,"yyyy-mm-dd")&amp;"|"&amp;F488)</f>
        <v>0</v>
      </c>
      <c r="AF488" s="31">
        <f>IF(B488="","",IF(AND(G488="",I488=""),"Add - nothing planned yet",IF(COUNTIFS($AE$5:$AE$504,AE488)&gt;1,"Duplicate - two meals in one slot",IF(AND(G488&lt;&gt;"",H488="Not found"),"Missing - recipe ID not on the Recipes tab",IF(AND(B488&lt;TODAY(),OR(N488="Planned",N488="")),"Check - did you cook it?","OK")))))</f>
        <v>0</v>
      </c>
    </row>
    <row r="489" spans="1:32">
      <c r="A489" s="39">
        <f>IF(B489="","",MealPrefix&amp;TEXT(ROW()-4,"0000"))</f>
        <v>0</v>
      </c>
      <c r="C489" s="17">
        <f>IF(B489="","",TEXT(B489,"ddd"))</f>
        <v>0</v>
      </c>
      <c r="D489" s="18">
        <f>IF(B489="","",WEEKNUM(B489,IF(WeekStart="Sunday",1,2)))</f>
        <v>0</v>
      </c>
      <c r="E489" s="17">
        <f>IF(B489="","",TEXT(B489,"yyyy-mm"))</f>
        <v>0</v>
      </c>
      <c r="H489" s="17">
        <f>IF(G489&lt;&gt;"",IFERROR(INDEX(Recipes!$B$5:$B$204,MATCH(G489,Recipes!$A$5:$A$204,0)),"Not found"),I489)</f>
        <v>0</v>
      </c>
      <c r="K489" s="45">
        <f>IF(B489="","",IF(J489="",DefaultServings,J489))</f>
        <v>0</v>
      </c>
      <c r="L489" s="45">
        <f>IF(G489="",0,IFERROR(K489/INDEX(Recipes!$G$5:$G$204,MATCH(G489,Recipes!$A$5:$A$204,0)),0))</f>
        <v>0</v>
      </c>
      <c r="T489" s="25">
        <f>IF(G489="","",IFERROR(INDEX(Recipes!$AD$5:$AD$204,MATCH(G489,Recipes!$A$5:$A$204,0))*K489,""))</f>
        <v>0</v>
      </c>
      <c r="V489" s="30">
        <f>IF(G489="","",IFERROR(INDEX(Recipes!$AE$5:$AE$204,MATCH(G489,Recipes!$A$5:$A$204,0)),"Not found"))</f>
        <v>0</v>
      </c>
      <c r="W489" s="45">
        <f>IF(G489="","",IFERROR(INDEX(Recipes!$AF$5:$AF$204,MATCH(G489,Recipes!$A$5:$A$204,0)),"Not found"))</f>
        <v>0</v>
      </c>
      <c r="X489" s="45">
        <f>IF(G489="","",IFERROR(INDEX(Recipes!$AG$5:$AG$204,MATCH(G489,Recipes!$A$5:$A$204,0)),"Not found"))</f>
        <v>0</v>
      </c>
      <c r="Y489" s="45">
        <f>IF(G489="","",IFERROR(INDEX(Recipes!$AH$5:$AH$204,MATCH(G489,Recipes!$A$5:$A$204,0)),"Not found"))</f>
        <v>0</v>
      </c>
      <c r="Z489" s="45">
        <f>IF(G489="","",IFERROR(INDEX(Recipes!$AI$5:$AI$204,MATCH(G489,Recipes!$A$5:$A$204,0)),"Not found"))</f>
        <v>0</v>
      </c>
      <c r="AA489" s="30">
        <f>IF(OR(V489="",NOT(ISNUMBER(V489))),"",V489*K489)</f>
        <v>0</v>
      </c>
      <c r="AB489" s="18">
        <f>IF(G489="","",IFERROR(INDEX(Recipes!$J$5:$J$204,MATCH(G489,Recipes!$A$5:$A$204,0)),"Not found"))</f>
        <v>0</v>
      </c>
      <c r="AC489" s="17">
        <f>IF(G489="","",IFERROR(INDEX(Recipes!$C$5:$C$204,MATCH(G489,Recipes!$A$5:$A$204,0)),"Not found"))</f>
        <v>0</v>
      </c>
      <c r="AD489" s="46">
        <f>IF(B489="","",IF(G489&lt;&gt;"","Yes",IF(OR(I489="",ISNUMBER(SEARCH("takeaway",I489)),ISNUMBER(SEARCH("out",I489))),"No","Yes")))</f>
        <v>0</v>
      </c>
      <c r="AE489" s="17">
        <f>IF(B489="","",TEXT(B489,"yyyy-mm-dd")&amp;"|"&amp;F489)</f>
        <v>0</v>
      </c>
      <c r="AF489" s="31">
        <f>IF(B489="","",IF(AND(G489="",I489=""),"Add - nothing planned yet",IF(COUNTIFS($AE$5:$AE$504,AE489)&gt;1,"Duplicate - two meals in one slot",IF(AND(G489&lt;&gt;"",H489="Not found"),"Missing - recipe ID not on the Recipes tab",IF(AND(B489&lt;TODAY(),OR(N489="Planned",N489="")),"Check - did you cook it?","OK")))))</f>
        <v>0</v>
      </c>
    </row>
    <row r="490" spans="1:32">
      <c r="A490" s="39">
        <f>IF(B490="","",MealPrefix&amp;TEXT(ROW()-4,"0000"))</f>
        <v>0</v>
      </c>
      <c r="C490" s="17">
        <f>IF(B490="","",TEXT(B490,"ddd"))</f>
        <v>0</v>
      </c>
      <c r="D490" s="18">
        <f>IF(B490="","",WEEKNUM(B490,IF(WeekStart="Sunday",1,2)))</f>
        <v>0</v>
      </c>
      <c r="E490" s="17">
        <f>IF(B490="","",TEXT(B490,"yyyy-mm"))</f>
        <v>0</v>
      </c>
      <c r="H490" s="17">
        <f>IF(G490&lt;&gt;"",IFERROR(INDEX(Recipes!$B$5:$B$204,MATCH(G490,Recipes!$A$5:$A$204,0)),"Not found"),I490)</f>
        <v>0</v>
      </c>
      <c r="K490" s="45">
        <f>IF(B490="","",IF(J490="",DefaultServings,J490))</f>
        <v>0</v>
      </c>
      <c r="L490" s="45">
        <f>IF(G490="",0,IFERROR(K490/INDEX(Recipes!$G$5:$G$204,MATCH(G490,Recipes!$A$5:$A$204,0)),0))</f>
        <v>0</v>
      </c>
      <c r="T490" s="25">
        <f>IF(G490="","",IFERROR(INDEX(Recipes!$AD$5:$AD$204,MATCH(G490,Recipes!$A$5:$A$204,0))*K490,""))</f>
        <v>0</v>
      </c>
      <c r="V490" s="30">
        <f>IF(G490="","",IFERROR(INDEX(Recipes!$AE$5:$AE$204,MATCH(G490,Recipes!$A$5:$A$204,0)),"Not found"))</f>
        <v>0</v>
      </c>
      <c r="W490" s="45">
        <f>IF(G490="","",IFERROR(INDEX(Recipes!$AF$5:$AF$204,MATCH(G490,Recipes!$A$5:$A$204,0)),"Not found"))</f>
        <v>0</v>
      </c>
      <c r="X490" s="45">
        <f>IF(G490="","",IFERROR(INDEX(Recipes!$AG$5:$AG$204,MATCH(G490,Recipes!$A$5:$A$204,0)),"Not found"))</f>
        <v>0</v>
      </c>
      <c r="Y490" s="45">
        <f>IF(G490="","",IFERROR(INDEX(Recipes!$AH$5:$AH$204,MATCH(G490,Recipes!$A$5:$A$204,0)),"Not found"))</f>
        <v>0</v>
      </c>
      <c r="Z490" s="45">
        <f>IF(G490="","",IFERROR(INDEX(Recipes!$AI$5:$AI$204,MATCH(G490,Recipes!$A$5:$A$204,0)),"Not found"))</f>
        <v>0</v>
      </c>
      <c r="AA490" s="30">
        <f>IF(OR(V490="",NOT(ISNUMBER(V490))),"",V490*K490)</f>
        <v>0</v>
      </c>
      <c r="AB490" s="18">
        <f>IF(G490="","",IFERROR(INDEX(Recipes!$J$5:$J$204,MATCH(G490,Recipes!$A$5:$A$204,0)),"Not found"))</f>
        <v>0</v>
      </c>
      <c r="AC490" s="17">
        <f>IF(G490="","",IFERROR(INDEX(Recipes!$C$5:$C$204,MATCH(G490,Recipes!$A$5:$A$204,0)),"Not found"))</f>
        <v>0</v>
      </c>
      <c r="AD490" s="46">
        <f>IF(B490="","",IF(G490&lt;&gt;"","Yes",IF(OR(I490="",ISNUMBER(SEARCH("takeaway",I490)),ISNUMBER(SEARCH("out",I490))),"No","Yes")))</f>
        <v>0</v>
      </c>
      <c r="AE490" s="17">
        <f>IF(B490="","",TEXT(B490,"yyyy-mm-dd")&amp;"|"&amp;F490)</f>
        <v>0</v>
      </c>
      <c r="AF490" s="31">
        <f>IF(B490="","",IF(AND(G490="",I490=""),"Add - nothing planned yet",IF(COUNTIFS($AE$5:$AE$504,AE490)&gt;1,"Duplicate - two meals in one slot",IF(AND(G490&lt;&gt;"",H490="Not found"),"Missing - recipe ID not on the Recipes tab",IF(AND(B490&lt;TODAY(),OR(N490="Planned",N490="")),"Check - did you cook it?","OK")))))</f>
        <v>0</v>
      </c>
    </row>
    <row r="491" spans="1:32">
      <c r="A491" s="39">
        <f>IF(B491="","",MealPrefix&amp;TEXT(ROW()-4,"0000"))</f>
        <v>0</v>
      </c>
      <c r="C491" s="17">
        <f>IF(B491="","",TEXT(B491,"ddd"))</f>
        <v>0</v>
      </c>
      <c r="D491" s="18">
        <f>IF(B491="","",WEEKNUM(B491,IF(WeekStart="Sunday",1,2)))</f>
        <v>0</v>
      </c>
      <c r="E491" s="17">
        <f>IF(B491="","",TEXT(B491,"yyyy-mm"))</f>
        <v>0</v>
      </c>
      <c r="H491" s="17">
        <f>IF(G491&lt;&gt;"",IFERROR(INDEX(Recipes!$B$5:$B$204,MATCH(G491,Recipes!$A$5:$A$204,0)),"Not found"),I491)</f>
        <v>0</v>
      </c>
      <c r="K491" s="45">
        <f>IF(B491="","",IF(J491="",DefaultServings,J491))</f>
        <v>0</v>
      </c>
      <c r="L491" s="45">
        <f>IF(G491="",0,IFERROR(K491/INDEX(Recipes!$G$5:$G$204,MATCH(G491,Recipes!$A$5:$A$204,0)),0))</f>
        <v>0</v>
      </c>
      <c r="T491" s="25">
        <f>IF(G491="","",IFERROR(INDEX(Recipes!$AD$5:$AD$204,MATCH(G491,Recipes!$A$5:$A$204,0))*K491,""))</f>
        <v>0</v>
      </c>
      <c r="V491" s="30">
        <f>IF(G491="","",IFERROR(INDEX(Recipes!$AE$5:$AE$204,MATCH(G491,Recipes!$A$5:$A$204,0)),"Not found"))</f>
        <v>0</v>
      </c>
      <c r="W491" s="45">
        <f>IF(G491="","",IFERROR(INDEX(Recipes!$AF$5:$AF$204,MATCH(G491,Recipes!$A$5:$A$204,0)),"Not found"))</f>
        <v>0</v>
      </c>
      <c r="X491" s="45">
        <f>IF(G491="","",IFERROR(INDEX(Recipes!$AG$5:$AG$204,MATCH(G491,Recipes!$A$5:$A$204,0)),"Not found"))</f>
        <v>0</v>
      </c>
      <c r="Y491" s="45">
        <f>IF(G491="","",IFERROR(INDEX(Recipes!$AH$5:$AH$204,MATCH(G491,Recipes!$A$5:$A$204,0)),"Not found"))</f>
        <v>0</v>
      </c>
      <c r="Z491" s="45">
        <f>IF(G491="","",IFERROR(INDEX(Recipes!$AI$5:$AI$204,MATCH(G491,Recipes!$A$5:$A$204,0)),"Not found"))</f>
        <v>0</v>
      </c>
      <c r="AA491" s="30">
        <f>IF(OR(V491="",NOT(ISNUMBER(V491))),"",V491*K491)</f>
        <v>0</v>
      </c>
      <c r="AB491" s="18">
        <f>IF(G491="","",IFERROR(INDEX(Recipes!$J$5:$J$204,MATCH(G491,Recipes!$A$5:$A$204,0)),"Not found"))</f>
        <v>0</v>
      </c>
      <c r="AC491" s="17">
        <f>IF(G491="","",IFERROR(INDEX(Recipes!$C$5:$C$204,MATCH(G491,Recipes!$A$5:$A$204,0)),"Not found"))</f>
        <v>0</v>
      </c>
      <c r="AD491" s="46">
        <f>IF(B491="","",IF(G491&lt;&gt;"","Yes",IF(OR(I491="",ISNUMBER(SEARCH("takeaway",I491)),ISNUMBER(SEARCH("out",I491))),"No","Yes")))</f>
        <v>0</v>
      </c>
      <c r="AE491" s="17">
        <f>IF(B491="","",TEXT(B491,"yyyy-mm-dd")&amp;"|"&amp;F491)</f>
        <v>0</v>
      </c>
      <c r="AF491" s="31">
        <f>IF(B491="","",IF(AND(G491="",I491=""),"Add - nothing planned yet",IF(COUNTIFS($AE$5:$AE$504,AE491)&gt;1,"Duplicate - two meals in one slot",IF(AND(G491&lt;&gt;"",H491="Not found"),"Missing - recipe ID not on the Recipes tab",IF(AND(B491&lt;TODAY(),OR(N491="Planned",N491="")),"Check - did you cook it?","OK")))))</f>
        <v>0</v>
      </c>
    </row>
    <row r="492" spans="1:32">
      <c r="A492" s="39">
        <f>IF(B492="","",MealPrefix&amp;TEXT(ROW()-4,"0000"))</f>
        <v>0</v>
      </c>
      <c r="C492" s="17">
        <f>IF(B492="","",TEXT(B492,"ddd"))</f>
        <v>0</v>
      </c>
      <c r="D492" s="18">
        <f>IF(B492="","",WEEKNUM(B492,IF(WeekStart="Sunday",1,2)))</f>
        <v>0</v>
      </c>
      <c r="E492" s="17">
        <f>IF(B492="","",TEXT(B492,"yyyy-mm"))</f>
        <v>0</v>
      </c>
      <c r="H492" s="17">
        <f>IF(G492&lt;&gt;"",IFERROR(INDEX(Recipes!$B$5:$B$204,MATCH(G492,Recipes!$A$5:$A$204,0)),"Not found"),I492)</f>
        <v>0</v>
      </c>
      <c r="K492" s="45">
        <f>IF(B492="","",IF(J492="",DefaultServings,J492))</f>
        <v>0</v>
      </c>
      <c r="L492" s="45">
        <f>IF(G492="",0,IFERROR(K492/INDEX(Recipes!$G$5:$G$204,MATCH(G492,Recipes!$A$5:$A$204,0)),0))</f>
        <v>0</v>
      </c>
      <c r="T492" s="25">
        <f>IF(G492="","",IFERROR(INDEX(Recipes!$AD$5:$AD$204,MATCH(G492,Recipes!$A$5:$A$204,0))*K492,""))</f>
        <v>0</v>
      </c>
      <c r="V492" s="30">
        <f>IF(G492="","",IFERROR(INDEX(Recipes!$AE$5:$AE$204,MATCH(G492,Recipes!$A$5:$A$204,0)),"Not found"))</f>
        <v>0</v>
      </c>
      <c r="W492" s="45">
        <f>IF(G492="","",IFERROR(INDEX(Recipes!$AF$5:$AF$204,MATCH(G492,Recipes!$A$5:$A$204,0)),"Not found"))</f>
        <v>0</v>
      </c>
      <c r="X492" s="45">
        <f>IF(G492="","",IFERROR(INDEX(Recipes!$AG$5:$AG$204,MATCH(G492,Recipes!$A$5:$A$204,0)),"Not found"))</f>
        <v>0</v>
      </c>
      <c r="Y492" s="45">
        <f>IF(G492="","",IFERROR(INDEX(Recipes!$AH$5:$AH$204,MATCH(G492,Recipes!$A$5:$A$204,0)),"Not found"))</f>
        <v>0</v>
      </c>
      <c r="Z492" s="45">
        <f>IF(G492="","",IFERROR(INDEX(Recipes!$AI$5:$AI$204,MATCH(G492,Recipes!$A$5:$A$204,0)),"Not found"))</f>
        <v>0</v>
      </c>
      <c r="AA492" s="30">
        <f>IF(OR(V492="",NOT(ISNUMBER(V492))),"",V492*K492)</f>
        <v>0</v>
      </c>
      <c r="AB492" s="18">
        <f>IF(G492="","",IFERROR(INDEX(Recipes!$J$5:$J$204,MATCH(G492,Recipes!$A$5:$A$204,0)),"Not found"))</f>
        <v>0</v>
      </c>
      <c r="AC492" s="17">
        <f>IF(G492="","",IFERROR(INDEX(Recipes!$C$5:$C$204,MATCH(G492,Recipes!$A$5:$A$204,0)),"Not found"))</f>
        <v>0</v>
      </c>
      <c r="AD492" s="46">
        <f>IF(B492="","",IF(G492&lt;&gt;"","Yes",IF(OR(I492="",ISNUMBER(SEARCH("takeaway",I492)),ISNUMBER(SEARCH("out",I492))),"No","Yes")))</f>
        <v>0</v>
      </c>
      <c r="AE492" s="17">
        <f>IF(B492="","",TEXT(B492,"yyyy-mm-dd")&amp;"|"&amp;F492)</f>
        <v>0</v>
      </c>
      <c r="AF492" s="31">
        <f>IF(B492="","",IF(AND(G492="",I492=""),"Add - nothing planned yet",IF(COUNTIFS($AE$5:$AE$504,AE492)&gt;1,"Duplicate - two meals in one slot",IF(AND(G492&lt;&gt;"",H492="Not found"),"Missing - recipe ID not on the Recipes tab",IF(AND(B492&lt;TODAY(),OR(N492="Planned",N492="")),"Check - did you cook it?","OK")))))</f>
        <v>0</v>
      </c>
    </row>
    <row r="493" spans="1:32">
      <c r="A493" s="39">
        <f>IF(B493="","",MealPrefix&amp;TEXT(ROW()-4,"0000"))</f>
        <v>0</v>
      </c>
      <c r="C493" s="17">
        <f>IF(B493="","",TEXT(B493,"ddd"))</f>
        <v>0</v>
      </c>
      <c r="D493" s="18">
        <f>IF(B493="","",WEEKNUM(B493,IF(WeekStart="Sunday",1,2)))</f>
        <v>0</v>
      </c>
      <c r="E493" s="17">
        <f>IF(B493="","",TEXT(B493,"yyyy-mm"))</f>
        <v>0</v>
      </c>
      <c r="H493" s="17">
        <f>IF(G493&lt;&gt;"",IFERROR(INDEX(Recipes!$B$5:$B$204,MATCH(G493,Recipes!$A$5:$A$204,0)),"Not found"),I493)</f>
        <v>0</v>
      </c>
      <c r="K493" s="45">
        <f>IF(B493="","",IF(J493="",DefaultServings,J493))</f>
        <v>0</v>
      </c>
      <c r="L493" s="45">
        <f>IF(G493="",0,IFERROR(K493/INDEX(Recipes!$G$5:$G$204,MATCH(G493,Recipes!$A$5:$A$204,0)),0))</f>
        <v>0</v>
      </c>
      <c r="T493" s="25">
        <f>IF(G493="","",IFERROR(INDEX(Recipes!$AD$5:$AD$204,MATCH(G493,Recipes!$A$5:$A$204,0))*K493,""))</f>
        <v>0</v>
      </c>
      <c r="V493" s="30">
        <f>IF(G493="","",IFERROR(INDEX(Recipes!$AE$5:$AE$204,MATCH(G493,Recipes!$A$5:$A$204,0)),"Not found"))</f>
        <v>0</v>
      </c>
      <c r="W493" s="45">
        <f>IF(G493="","",IFERROR(INDEX(Recipes!$AF$5:$AF$204,MATCH(G493,Recipes!$A$5:$A$204,0)),"Not found"))</f>
        <v>0</v>
      </c>
      <c r="X493" s="45">
        <f>IF(G493="","",IFERROR(INDEX(Recipes!$AG$5:$AG$204,MATCH(G493,Recipes!$A$5:$A$204,0)),"Not found"))</f>
        <v>0</v>
      </c>
      <c r="Y493" s="45">
        <f>IF(G493="","",IFERROR(INDEX(Recipes!$AH$5:$AH$204,MATCH(G493,Recipes!$A$5:$A$204,0)),"Not found"))</f>
        <v>0</v>
      </c>
      <c r="Z493" s="45">
        <f>IF(G493="","",IFERROR(INDEX(Recipes!$AI$5:$AI$204,MATCH(G493,Recipes!$A$5:$A$204,0)),"Not found"))</f>
        <v>0</v>
      </c>
      <c r="AA493" s="30">
        <f>IF(OR(V493="",NOT(ISNUMBER(V493))),"",V493*K493)</f>
        <v>0</v>
      </c>
      <c r="AB493" s="18">
        <f>IF(G493="","",IFERROR(INDEX(Recipes!$J$5:$J$204,MATCH(G493,Recipes!$A$5:$A$204,0)),"Not found"))</f>
        <v>0</v>
      </c>
      <c r="AC493" s="17">
        <f>IF(G493="","",IFERROR(INDEX(Recipes!$C$5:$C$204,MATCH(G493,Recipes!$A$5:$A$204,0)),"Not found"))</f>
        <v>0</v>
      </c>
      <c r="AD493" s="46">
        <f>IF(B493="","",IF(G493&lt;&gt;"","Yes",IF(OR(I493="",ISNUMBER(SEARCH("takeaway",I493)),ISNUMBER(SEARCH("out",I493))),"No","Yes")))</f>
        <v>0</v>
      </c>
      <c r="AE493" s="17">
        <f>IF(B493="","",TEXT(B493,"yyyy-mm-dd")&amp;"|"&amp;F493)</f>
        <v>0</v>
      </c>
      <c r="AF493" s="31">
        <f>IF(B493="","",IF(AND(G493="",I493=""),"Add - nothing planned yet",IF(COUNTIFS($AE$5:$AE$504,AE493)&gt;1,"Duplicate - two meals in one slot",IF(AND(G493&lt;&gt;"",H493="Not found"),"Missing - recipe ID not on the Recipes tab",IF(AND(B493&lt;TODAY(),OR(N493="Planned",N493="")),"Check - did you cook it?","OK")))))</f>
        <v>0</v>
      </c>
    </row>
    <row r="494" spans="1:32">
      <c r="A494" s="39">
        <f>IF(B494="","",MealPrefix&amp;TEXT(ROW()-4,"0000"))</f>
        <v>0</v>
      </c>
      <c r="C494" s="17">
        <f>IF(B494="","",TEXT(B494,"ddd"))</f>
        <v>0</v>
      </c>
      <c r="D494" s="18">
        <f>IF(B494="","",WEEKNUM(B494,IF(WeekStart="Sunday",1,2)))</f>
        <v>0</v>
      </c>
      <c r="E494" s="17">
        <f>IF(B494="","",TEXT(B494,"yyyy-mm"))</f>
        <v>0</v>
      </c>
      <c r="H494" s="17">
        <f>IF(G494&lt;&gt;"",IFERROR(INDEX(Recipes!$B$5:$B$204,MATCH(G494,Recipes!$A$5:$A$204,0)),"Not found"),I494)</f>
        <v>0</v>
      </c>
      <c r="K494" s="45">
        <f>IF(B494="","",IF(J494="",DefaultServings,J494))</f>
        <v>0</v>
      </c>
      <c r="L494" s="45">
        <f>IF(G494="",0,IFERROR(K494/INDEX(Recipes!$G$5:$G$204,MATCH(G494,Recipes!$A$5:$A$204,0)),0))</f>
        <v>0</v>
      </c>
      <c r="T494" s="25">
        <f>IF(G494="","",IFERROR(INDEX(Recipes!$AD$5:$AD$204,MATCH(G494,Recipes!$A$5:$A$204,0))*K494,""))</f>
        <v>0</v>
      </c>
      <c r="V494" s="30">
        <f>IF(G494="","",IFERROR(INDEX(Recipes!$AE$5:$AE$204,MATCH(G494,Recipes!$A$5:$A$204,0)),"Not found"))</f>
        <v>0</v>
      </c>
      <c r="W494" s="45">
        <f>IF(G494="","",IFERROR(INDEX(Recipes!$AF$5:$AF$204,MATCH(G494,Recipes!$A$5:$A$204,0)),"Not found"))</f>
        <v>0</v>
      </c>
      <c r="X494" s="45">
        <f>IF(G494="","",IFERROR(INDEX(Recipes!$AG$5:$AG$204,MATCH(G494,Recipes!$A$5:$A$204,0)),"Not found"))</f>
        <v>0</v>
      </c>
      <c r="Y494" s="45">
        <f>IF(G494="","",IFERROR(INDEX(Recipes!$AH$5:$AH$204,MATCH(G494,Recipes!$A$5:$A$204,0)),"Not found"))</f>
        <v>0</v>
      </c>
      <c r="Z494" s="45">
        <f>IF(G494="","",IFERROR(INDEX(Recipes!$AI$5:$AI$204,MATCH(G494,Recipes!$A$5:$A$204,0)),"Not found"))</f>
        <v>0</v>
      </c>
      <c r="AA494" s="30">
        <f>IF(OR(V494="",NOT(ISNUMBER(V494))),"",V494*K494)</f>
        <v>0</v>
      </c>
      <c r="AB494" s="18">
        <f>IF(G494="","",IFERROR(INDEX(Recipes!$J$5:$J$204,MATCH(G494,Recipes!$A$5:$A$204,0)),"Not found"))</f>
        <v>0</v>
      </c>
      <c r="AC494" s="17">
        <f>IF(G494="","",IFERROR(INDEX(Recipes!$C$5:$C$204,MATCH(G494,Recipes!$A$5:$A$204,0)),"Not found"))</f>
        <v>0</v>
      </c>
      <c r="AD494" s="46">
        <f>IF(B494="","",IF(G494&lt;&gt;"","Yes",IF(OR(I494="",ISNUMBER(SEARCH("takeaway",I494)),ISNUMBER(SEARCH("out",I494))),"No","Yes")))</f>
        <v>0</v>
      </c>
      <c r="AE494" s="17">
        <f>IF(B494="","",TEXT(B494,"yyyy-mm-dd")&amp;"|"&amp;F494)</f>
        <v>0</v>
      </c>
      <c r="AF494" s="31">
        <f>IF(B494="","",IF(AND(G494="",I494=""),"Add - nothing planned yet",IF(COUNTIFS($AE$5:$AE$504,AE494)&gt;1,"Duplicate - two meals in one slot",IF(AND(G494&lt;&gt;"",H494="Not found"),"Missing - recipe ID not on the Recipes tab",IF(AND(B494&lt;TODAY(),OR(N494="Planned",N494="")),"Check - did you cook it?","OK")))))</f>
        <v>0</v>
      </c>
    </row>
    <row r="495" spans="1:32">
      <c r="A495" s="39">
        <f>IF(B495="","",MealPrefix&amp;TEXT(ROW()-4,"0000"))</f>
        <v>0</v>
      </c>
      <c r="C495" s="17">
        <f>IF(B495="","",TEXT(B495,"ddd"))</f>
        <v>0</v>
      </c>
      <c r="D495" s="18">
        <f>IF(B495="","",WEEKNUM(B495,IF(WeekStart="Sunday",1,2)))</f>
        <v>0</v>
      </c>
      <c r="E495" s="17">
        <f>IF(B495="","",TEXT(B495,"yyyy-mm"))</f>
        <v>0</v>
      </c>
      <c r="H495" s="17">
        <f>IF(G495&lt;&gt;"",IFERROR(INDEX(Recipes!$B$5:$B$204,MATCH(G495,Recipes!$A$5:$A$204,0)),"Not found"),I495)</f>
        <v>0</v>
      </c>
      <c r="K495" s="45">
        <f>IF(B495="","",IF(J495="",DefaultServings,J495))</f>
        <v>0</v>
      </c>
      <c r="L495" s="45">
        <f>IF(G495="",0,IFERROR(K495/INDEX(Recipes!$G$5:$G$204,MATCH(G495,Recipes!$A$5:$A$204,0)),0))</f>
        <v>0</v>
      </c>
      <c r="T495" s="25">
        <f>IF(G495="","",IFERROR(INDEX(Recipes!$AD$5:$AD$204,MATCH(G495,Recipes!$A$5:$A$204,0))*K495,""))</f>
        <v>0</v>
      </c>
      <c r="V495" s="30">
        <f>IF(G495="","",IFERROR(INDEX(Recipes!$AE$5:$AE$204,MATCH(G495,Recipes!$A$5:$A$204,0)),"Not found"))</f>
        <v>0</v>
      </c>
      <c r="W495" s="45">
        <f>IF(G495="","",IFERROR(INDEX(Recipes!$AF$5:$AF$204,MATCH(G495,Recipes!$A$5:$A$204,0)),"Not found"))</f>
        <v>0</v>
      </c>
      <c r="X495" s="45">
        <f>IF(G495="","",IFERROR(INDEX(Recipes!$AG$5:$AG$204,MATCH(G495,Recipes!$A$5:$A$204,0)),"Not found"))</f>
        <v>0</v>
      </c>
      <c r="Y495" s="45">
        <f>IF(G495="","",IFERROR(INDEX(Recipes!$AH$5:$AH$204,MATCH(G495,Recipes!$A$5:$A$204,0)),"Not found"))</f>
        <v>0</v>
      </c>
      <c r="Z495" s="45">
        <f>IF(G495="","",IFERROR(INDEX(Recipes!$AI$5:$AI$204,MATCH(G495,Recipes!$A$5:$A$204,0)),"Not found"))</f>
        <v>0</v>
      </c>
      <c r="AA495" s="30">
        <f>IF(OR(V495="",NOT(ISNUMBER(V495))),"",V495*K495)</f>
        <v>0</v>
      </c>
      <c r="AB495" s="18">
        <f>IF(G495="","",IFERROR(INDEX(Recipes!$J$5:$J$204,MATCH(G495,Recipes!$A$5:$A$204,0)),"Not found"))</f>
        <v>0</v>
      </c>
      <c r="AC495" s="17">
        <f>IF(G495="","",IFERROR(INDEX(Recipes!$C$5:$C$204,MATCH(G495,Recipes!$A$5:$A$204,0)),"Not found"))</f>
        <v>0</v>
      </c>
      <c r="AD495" s="46">
        <f>IF(B495="","",IF(G495&lt;&gt;"","Yes",IF(OR(I495="",ISNUMBER(SEARCH("takeaway",I495)),ISNUMBER(SEARCH("out",I495))),"No","Yes")))</f>
        <v>0</v>
      </c>
      <c r="AE495" s="17">
        <f>IF(B495="","",TEXT(B495,"yyyy-mm-dd")&amp;"|"&amp;F495)</f>
        <v>0</v>
      </c>
      <c r="AF495" s="31">
        <f>IF(B495="","",IF(AND(G495="",I495=""),"Add - nothing planned yet",IF(COUNTIFS($AE$5:$AE$504,AE495)&gt;1,"Duplicate - two meals in one slot",IF(AND(G495&lt;&gt;"",H495="Not found"),"Missing - recipe ID not on the Recipes tab",IF(AND(B495&lt;TODAY(),OR(N495="Planned",N495="")),"Check - did you cook it?","OK")))))</f>
        <v>0</v>
      </c>
    </row>
    <row r="496" spans="1:32">
      <c r="A496" s="39">
        <f>IF(B496="","",MealPrefix&amp;TEXT(ROW()-4,"0000"))</f>
        <v>0</v>
      </c>
      <c r="C496" s="17">
        <f>IF(B496="","",TEXT(B496,"ddd"))</f>
        <v>0</v>
      </c>
      <c r="D496" s="18">
        <f>IF(B496="","",WEEKNUM(B496,IF(WeekStart="Sunday",1,2)))</f>
        <v>0</v>
      </c>
      <c r="E496" s="17">
        <f>IF(B496="","",TEXT(B496,"yyyy-mm"))</f>
        <v>0</v>
      </c>
      <c r="H496" s="17">
        <f>IF(G496&lt;&gt;"",IFERROR(INDEX(Recipes!$B$5:$B$204,MATCH(G496,Recipes!$A$5:$A$204,0)),"Not found"),I496)</f>
        <v>0</v>
      </c>
      <c r="K496" s="45">
        <f>IF(B496="","",IF(J496="",DefaultServings,J496))</f>
        <v>0</v>
      </c>
      <c r="L496" s="45">
        <f>IF(G496="",0,IFERROR(K496/INDEX(Recipes!$G$5:$G$204,MATCH(G496,Recipes!$A$5:$A$204,0)),0))</f>
        <v>0</v>
      </c>
      <c r="T496" s="25">
        <f>IF(G496="","",IFERROR(INDEX(Recipes!$AD$5:$AD$204,MATCH(G496,Recipes!$A$5:$A$204,0))*K496,""))</f>
        <v>0</v>
      </c>
      <c r="V496" s="30">
        <f>IF(G496="","",IFERROR(INDEX(Recipes!$AE$5:$AE$204,MATCH(G496,Recipes!$A$5:$A$204,0)),"Not found"))</f>
        <v>0</v>
      </c>
      <c r="W496" s="45">
        <f>IF(G496="","",IFERROR(INDEX(Recipes!$AF$5:$AF$204,MATCH(G496,Recipes!$A$5:$A$204,0)),"Not found"))</f>
        <v>0</v>
      </c>
      <c r="X496" s="45">
        <f>IF(G496="","",IFERROR(INDEX(Recipes!$AG$5:$AG$204,MATCH(G496,Recipes!$A$5:$A$204,0)),"Not found"))</f>
        <v>0</v>
      </c>
      <c r="Y496" s="45">
        <f>IF(G496="","",IFERROR(INDEX(Recipes!$AH$5:$AH$204,MATCH(G496,Recipes!$A$5:$A$204,0)),"Not found"))</f>
        <v>0</v>
      </c>
      <c r="Z496" s="45">
        <f>IF(G496="","",IFERROR(INDEX(Recipes!$AI$5:$AI$204,MATCH(G496,Recipes!$A$5:$A$204,0)),"Not found"))</f>
        <v>0</v>
      </c>
      <c r="AA496" s="30">
        <f>IF(OR(V496="",NOT(ISNUMBER(V496))),"",V496*K496)</f>
        <v>0</v>
      </c>
      <c r="AB496" s="18">
        <f>IF(G496="","",IFERROR(INDEX(Recipes!$J$5:$J$204,MATCH(G496,Recipes!$A$5:$A$204,0)),"Not found"))</f>
        <v>0</v>
      </c>
      <c r="AC496" s="17">
        <f>IF(G496="","",IFERROR(INDEX(Recipes!$C$5:$C$204,MATCH(G496,Recipes!$A$5:$A$204,0)),"Not found"))</f>
        <v>0</v>
      </c>
      <c r="AD496" s="46">
        <f>IF(B496="","",IF(G496&lt;&gt;"","Yes",IF(OR(I496="",ISNUMBER(SEARCH("takeaway",I496)),ISNUMBER(SEARCH("out",I496))),"No","Yes")))</f>
        <v>0</v>
      </c>
      <c r="AE496" s="17">
        <f>IF(B496="","",TEXT(B496,"yyyy-mm-dd")&amp;"|"&amp;F496)</f>
        <v>0</v>
      </c>
      <c r="AF496" s="31">
        <f>IF(B496="","",IF(AND(G496="",I496=""),"Add - nothing planned yet",IF(COUNTIFS($AE$5:$AE$504,AE496)&gt;1,"Duplicate - two meals in one slot",IF(AND(G496&lt;&gt;"",H496="Not found"),"Missing - recipe ID not on the Recipes tab",IF(AND(B496&lt;TODAY(),OR(N496="Planned",N496="")),"Check - did you cook it?","OK")))))</f>
        <v>0</v>
      </c>
    </row>
    <row r="497" spans="1:33">
      <c r="A497" s="39">
        <f>IF(B497="","",MealPrefix&amp;TEXT(ROW()-4,"0000"))</f>
        <v>0</v>
      </c>
      <c r="C497" s="17">
        <f>IF(B497="","",TEXT(B497,"ddd"))</f>
        <v>0</v>
      </c>
      <c r="D497" s="18">
        <f>IF(B497="","",WEEKNUM(B497,IF(WeekStart="Sunday",1,2)))</f>
        <v>0</v>
      </c>
      <c r="E497" s="17">
        <f>IF(B497="","",TEXT(B497,"yyyy-mm"))</f>
        <v>0</v>
      </c>
      <c r="H497" s="17">
        <f>IF(G497&lt;&gt;"",IFERROR(INDEX(Recipes!$B$5:$B$204,MATCH(G497,Recipes!$A$5:$A$204,0)),"Not found"),I497)</f>
        <v>0</v>
      </c>
      <c r="K497" s="45">
        <f>IF(B497="","",IF(J497="",DefaultServings,J497))</f>
        <v>0</v>
      </c>
      <c r="L497" s="45">
        <f>IF(G497="",0,IFERROR(K497/INDEX(Recipes!$G$5:$G$204,MATCH(G497,Recipes!$A$5:$A$204,0)),0))</f>
        <v>0</v>
      </c>
      <c r="T497" s="25">
        <f>IF(G497="","",IFERROR(INDEX(Recipes!$AD$5:$AD$204,MATCH(G497,Recipes!$A$5:$A$204,0))*K497,""))</f>
        <v>0</v>
      </c>
      <c r="V497" s="30">
        <f>IF(G497="","",IFERROR(INDEX(Recipes!$AE$5:$AE$204,MATCH(G497,Recipes!$A$5:$A$204,0)),"Not found"))</f>
        <v>0</v>
      </c>
      <c r="W497" s="45">
        <f>IF(G497="","",IFERROR(INDEX(Recipes!$AF$5:$AF$204,MATCH(G497,Recipes!$A$5:$A$204,0)),"Not found"))</f>
        <v>0</v>
      </c>
      <c r="X497" s="45">
        <f>IF(G497="","",IFERROR(INDEX(Recipes!$AG$5:$AG$204,MATCH(G497,Recipes!$A$5:$A$204,0)),"Not found"))</f>
        <v>0</v>
      </c>
      <c r="Y497" s="45">
        <f>IF(G497="","",IFERROR(INDEX(Recipes!$AH$5:$AH$204,MATCH(G497,Recipes!$A$5:$A$204,0)),"Not found"))</f>
        <v>0</v>
      </c>
      <c r="Z497" s="45">
        <f>IF(G497="","",IFERROR(INDEX(Recipes!$AI$5:$AI$204,MATCH(G497,Recipes!$A$5:$A$204,0)),"Not found"))</f>
        <v>0</v>
      </c>
      <c r="AA497" s="30">
        <f>IF(OR(V497="",NOT(ISNUMBER(V497))),"",V497*K497)</f>
        <v>0</v>
      </c>
      <c r="AB497" s="18">
        <f>IF(G497="","",IFERROR(INDEX(Recipes!$J$5:$J$204,MATCH(G497,Recipes!$A$5:$A$204,0)),"Not found"))</f>
        <v>0</v>
      </c>
      <c r="AC497" s="17">
        <f>IF(G497="","",IFERROR(INDEX(Recipes!$C$5:$C$204,MATCH(G497,Recipes!$A$5:$A$204,0)),"Not found"))</f>
        <v>0</v>
      </c>
      <c r="AD497" s="46">
        <f>IF(B497="","",IF(G497&lt;&gt;"","Yes",IF(OR(I497="",ISNUMBER(SEARCH("takeaway",I497)),ISNUMBER(SEARCH("out",I497))),"No","Yes")))</f>
        <v>0</v>
      </c>
      <c r="AE497" s="17">
        <f>IF(B497="","",TEXT(B497,"yyyy-mm-dd")&amp;"|"&amp;F497)</f>
        <v>0</v>
      </c>
      <c r="AF497" s="31">
        <f>IF(B497="","",IF(AND(G497="",I497=""),"Add - nothing planned yet",IF(COUNTIFS($AE$5:$AE$504,AE497)&gt;1,"Duplicate - two meals in one slot",IF(AND(G497&lt;&gt;"",H497="Not found"),"Missing - recipe ID not on the Recipes tab",IF(AND(B497&lt;TODAY(),OR(N497="Planned",N497="")),"Check - did you cook it?","OK")))))</f>
        <v>0</v>
      </c>
    </row>
    <row r="498" spans="1:33">
      <c r="A498" s="39">
        <f>IF(B498="","",MealPrefix&amp;TEXT(ROW()-4,"0000"))</f>
        <v>0</v>
      </c>
      <c r="C498" s="17">
        <f>IF(B498="","",TEXT(B498,"ddd"))</f>
        <v>0</v>
      </c>
      <c r="D498" s="18">
        <f>IF(B498="","",WEEKNUM(B498,IF(WeekStart="Sunday",1,2)))</f>
        <v>0</v>
      </c>
      <c r="E498" s="17">
        <f>IF(B498="","",TEXT(B498,"yyyy-mm"))</f>
        <v>0</v>
      </c>
      <c r="H498" s="17">
        <f>IF(G498&lt;&gt;"",IFERROR(INDEX(Recipes!$B$5:$B$204,MATCH(G498,Recipes!$A$5:$A$204,0)),"Not found"),I498)</f>
        <v>0</v>
      </c>
      <c r="K498" s="45">
        <f>IF(B498="","",IF(J498="",DefaultServings,J498))</f>
        <v>0</v>
      </c>
      <c r="L498" s="45">
        <f>IF(G498="",0,IFERROR(K498/INDEX(Recipes!$G$5:$G$204,MATCH(G498,Recipes!$A$5:$A$204,0)),0))</f>
        <v>0</v>
      </c>
      <c r="T498" s="25">
        <f>IF(G498="","",IFERROR(INDEX(Recipes!$AD$5:$AD$204,MATCH(G498,Recipes!$A$5:$A$204,0))*K498,""))</f>
        <v>0</v>
      </c>
      <c r="V498" s="30">
        <f>IF(G498="","",IFERROR(INDEX(Recipes!$AE$5:$AE$204,MATCH(G498,Recipes!$A$5:$A$204,0)),"Not found"))</f>
        <v>0</v>
      </c>
      <c r="W498" s="45">
        <f>IF(G498="","",IFERROR(INDEX(Recipes!$AF$5:$AF$204,MATCH(G498,Recipes!$A$5:$A$204,0)),"Not found"))</f>
        <v>0</v>
      </c>
      <c r="X498" s="45">
        <f>IF(G498="","",IFERROR(INDEX(Recipes!$AG$5:$AG$204,MATCH(G498,Recipes!$A$5:$A$204,0)),"Not found"))</f>
        <v>0</v>
      </c>
      <c r="Y498" s="45">
        <f>IF(G498="","",IFERROR(INDEX(Recipes!$AH$5:$AH$204,MATCH(G498,Recipes!$A$5:$A$204,0)),"Not found"))</f>
        <v>0</v>
      </c>
      <c r="Z498" s="45">
        <f>IF(G498="","",IFERROR(INDEX(Recipes!$AI$5:$AI$204,MATCH(G498,Recipes!$A$5:$A$204,0)),"Not found"))</f>
        <v>0</v>
      </c>
      <c r="AA498" s="30">
        <f>IF(OR(V498="",NOT(ISNUMBER(V498))),"",V498*K498)</f>
        <v>0</v>
      </c>
      <c r="AB498" s="18">
        <f>IF(G498="","",IFERROR(INDEX(Recipes!$J$5:$J$204,MATCH(G498,Recipes!$A$5:$A$204,0)),"Not found"))</f>
        <v>0</v>
      </c>
      <c r="AC498" s="17">
        <f>IF(G498="","",IFERROR(INDEX(Recipes!$C$5:$C$204,MATCH(G498,Recipes!$A$5:$A$204,0)),"Not found"))</f>
        <v>0</v>
      </c>
      <c r="AD498" s="46">
        <f>IF(B498="","",IF(G498&lt;&gt;"","Yes",IF(OR(I498="",ISNUMBER(SEARCH("takeaway",I498)),ISNUMBER(SEARCH("out",I498))),"No","Yes")))</f>
        <v>0</v>
      </c>
      <c r="AE498" s="17">
        <f>IF(B498="","",TEXT(B498,"yyyy-mm-dd")&amp;"|"&amp;F498)</f>
        <v>0</v>
      </c>
      <c r="AF498" s="31">
        <f>IF(B498="","",IF(AND(G498="",I498=""),"Add - nothing planned yet",IF(COUNTIFS($AE$5:$AE$504,AE498)&gt;1,"Duplicate - two meals in one slot",IF(AND(G498&lt;&gt;"",H498="Not found"),"Missing - recipe ID not on the Recipes tab",IF(AND(B498&lt;TODAY(),OR(N498="Planned",N498="")),"Check - did you cook it?","OK")))))</f>
        <v>0</v>
      </c>
    </row>
    <row r="499" spans="1:33">
      <c r="A499" s="39">
        <f>IF(B499="","",MealPrefix&amp;TEXT(ROW()-4,"0000"))</f>
        <v>0</v>
      </c>
      <c r="C499" s="17">
        <f>IF(B499="","",TEXT(B499,"ddd"))</f>
        <v>0</v>
      </c>
      <c r="D499" s="18">
        <f>IF(B499="","",WEEKNUM(B499,IF(WeekStart="Sunday",1,2)))</f>
        <v>0</v>
      </c>
      <c r="E499" s="17">
        <f>IF(B499="","",TEXT(B499,"yyyy-mm"))</f>
        <v>0</v>
      </c>
      <c r="H499" s="17">
        <f>IF(G499&lt;&gt;"",IFERROR(INDEX(Recipes!$B$5:$B$204,MATCH(G499,Recipes!$A$5:$A$204,0)),"Not found"),I499)</f>
        <v>0</v>
      </c>
      <c r="K499" s="45">
        <f>IF(B499="","",IF(J499="",DefaultServings,J499))</f>
        <v>0</v>
      </c>
      <c r="L499" s="45">
        <f>IF(G499="",0,IFERROR(K499/INDEX(Recipes!$G$5:$G$204,MATCH(G499,Recipes!$A$5:$A$204,0)),0))</f>
        <v>0</v>
      </c>
      <c r="T499" s="25">
        <f>IF(G499="","",IFERROR(INDEX(Recipes!$AD$5:$AD$204,MATCH(G499,Recipes!$A$5:$A$204,0))*K499,""))</f>
        <v>0</v>
      </c>
      <c r="V499" s="30">
        <f>IF(G499="","",IFERROR(INDEX(Recipes!$AE$5:$AE$204,MATCH(G499,Recipes!$A$5:$A$204,0)),"Not found"))</f>
        <v>0</v>
      </c>
      <c r="W499" s="45">
        <f>IF(G499="","",IFERROR(INDEX(Recipes!$AF$5:$AF$204,MATCH(G499,Recipes!$A$5:$A$204,0)),"Not found"))</f>
        <v>0</v>
      </c>
      <c r="X499" s="45">
        <f>IF(G499="","",IFERROR(INDEX(Recipes!$AG$5:$AG$204,MATCH(G499,Recipes!$A$5:$A$204,0)),"Not found"))</f>
        <v>0</v>
      </c>
      <c r="Y499" s="45">
        <f>IF(G499="","",IFERROR(INDEX(Recipes!$AH$5:$AH$204,MATCH(G499,Recipes!$A$5:$A$204,0)),"Not found"))</f>
        <v>0</v>
      </c>
      <c r="Z499" s="45">
        <f>IF(G499="","",IFERROR(INDEX(Recipes!$AI$5:$AI$204,MATCH(G499,Recipes!$A$5:$A$204,0)),"Not found"))</f>
        <v>0</v>
      </c>
      <c r="AA499" s="30">
        <f>IF(OR(V499="",NOT(ISNUMBER(V499))),"",V499*K499)</f>
        <v>0</v>
      </c>
      <c r="AB499" s="18">
        <f>IF(G499="","",IFERROR(INDEX(Recipes!$J$5:$J$204,MATCH(G499,Recipes!$A$5:$A$204,0)),"Not found"))</f>
        <v>0</v>
      </c>
      <c r="AC499" s="17">
        <f>IF(G499="","",IFERROR(INDEX(Recipes!$C$5:$C$204,MATCH(G499,Recipes!$A$5:$A$204,0)),"Not found"))</f>
        <v>0</v>
      </c>
      <c r="AD499" s="46">
        <f>IF(B499="","",IF(G499&lt;&gt;"","Yes",IF(OR(I499="",ISNUMBER(SEARCH("takeaway",I499)),ISNUMBER(SEARCH("out",I499))),"No","Yes")))</f>
        <v>0</v>
      </c>
      <c r="AE499" s="17">
        <f>IF(B499="","",TEXT(B499,"yyyy-mm-dd")&amp;"|"&amp;F499)</f>
        <v>0</v>
      </c>
      <c r="AF499" s="31">
        <f>IF(B499="","",IF(AND(G499="",I499=""),"Add - nothing planned yet",IF(COUNTIFS($AE$5:$AE$504,AE499)&gt;1,"Duplicate - two meals in one slot",IF(AND(G499&lt;&gt;"",H499="Not found"),"Missing - recipe ID not on the Recipes tab",IF(AND(B499&lt;TODAY(),OR(N499="Planned",N499="")),"Check - did you cook it?","OK")))))</f>
        <v>0</v>
      </c>
    </row>
    <row r="500" spans="1:33">
      <c r="A500" s="39">
        <f>IF(B500="","",MealPrefix&amp;TEXT(ROW()-4,"0000"))</f>
        <v>0</v>
      </c>
      <c r="C500" s="17">
        <f>IF(B500="","",TEXT(B500,"ddd"))</f>
        <v>0</v>
      </c>
      <c r="D500" s="18">
        <f>IF(B500="","",WEEKNUM(B500,IF(WeekStart="Sunday",1,2)))</f>
        <v>0</v>
      </c>
      <c r="E500" s="17">
        <f>IF(B500="","",TEXT(B500,"yyyy-mm"))</f>
        <v>0</v>
      </c>
      <c r="H500" s="17">
        <f>IF(G500&lt;&gt;"",IFERROR(INDEX(Recipes!$B$5:$B$204,MATCH(G500,Recipes!$A$5:$A$204,0)),"Not found"),I500)</f>
        <v>0</v>
      </c>
      <c r="K500" s="45">
        <f>IF(B500="","",IF(J500="",DefaultServings,J500))</f>
        <v>0</v>
      </c>
      <c r="L500" s="45">
        <f>IF(G500="",0,IFERROR(K500/INDEX(Recipes!$G$5:$G$204,MATCH(G500,Recipes!$A$5:$A$204,0)),0))</f>
        <v>0</v>
      </c>
      <c r="T500" s="25">
        <f>IF(G500="","",IFERROR(INDEX(Recipes!$AD$5:$AD$204,MATCH(G500,Recipes!$A$5:$A$204,0))*K500,""))</f>
        <v>0</v>
      </c>
      <c r="V500" s="30">
        <f>IF(G500="","",IFERROR(INDEX(Recipes!$AE$5:$AE$204,MATCH(G500,Recipes!$A$5:$A$204,0)),"Not found"))</f>
        <v>0</v>
      </c>
      <c r="W500" s="45">
        <f>IF(G500="","",IFERROR(INDEX(Recipes!$AF$5:$AF$204,MATCH(G500,Recipes!$A$5:$A$204,0)),"Not found"))</f>
        <v>0</v>
      </c>
      <c r="X500" s="45">
        <f>IF(G500="","",IFERROR(INDEX(Recipes!$AG$5:$AG$204,MATCH(G500,Recipes!$A$5:$A$204,0)),"Not found"))</f>
        <v>0</v>
      </c>
      <c r="Y500" s="45">
        <f>IF(G500="","",IFERROR(INDEX(Recipes!$AH$5:$AH$204,MATCH(G500,Recipes!$A$5:$A$204,0)),"Not found"))</f>
        <v>0</v>
      </c>
      <c r="Z500" s="45">
        <f>IF(G500="","",IFERROR(INDEX(Recipes!$AI$5:$AI$204,MATCH(G500,Recipes!$A$5:$A$204,0)),"Not found"))</f>
        <v>0</v>
      </c>
      <c r="AA500" s="30">
        <f>IF(OR(V500="",NOT(ISNUMBER(V500))),"",V500*K500)</f>
        <v>0</v>
      </c>
      <c r="AB500" s="18">
        <f>IF(G500="","",IFERROR(INDEX(Recipes!$J$5:$J$204,MATCH(G500,Recipes!$A$5:$A$204,0)),"Not found"))</f>
        <v>0</v>
      </c>
      <c r="AC500" s="17">
        <f>IF(G500="","",IFERROR(INDEX(Recipes!$C$5:$C$204,MATCH(G500,Recipes!$A$5:$A$204,0)),"Not found"))</f>
        <v>0</v>
      </c>
      <c r="AD500" s="46">
        <f>IF(B500="","",IF(G500&lt;&gt;"","Yes",IF(OR(I500="",ISNUMBER(SEARCH("takeaway",I500)),ISNUMBER(SEARCH("out",I500))),"No","Yes")))</f>
        <v>0</v>
      </c>
      <c r="AE500" s="17">
        <f>IF(B500="","",TEXT(B500,"yyyy-mm-dd")&amp;"|"&amp;F500)</f>
        <v>0</v>
      </c>
      <c r="AF500" s="31">
        <f>IF(B500="","",IF(AND(G500="",I500=""),"Add - nothing planned yet",IF(COUNTIFS($AE$5:$AE$504,AE500)&gt;1,"Duplicate - two meals in one slot",IF(AND(G500&lt;&gt;"",H500="Not found"),"Missing - recipe ID not on the Recipes tab",IF(AND(B500&lt;TODAY(),OR(N500="Planned",N500="")),"Check - did you cook it?","OK")))))</f>
        <v>0</v>
      </c>
    </row>
    <row r="501" spans="1:33">
      <c r="A501" s="39">
        <f>IF(B501="","",MealPrefix&amp;TEXT(ROW()-4,"0000"))</f>
        <v>0</v>
      </c>
      <c r="C501" s="17">
        <f>IF(B501="","",TEXT(B501,"ddd"))</f>
        <v>0</v>
      </c>
      <c r="D501" s="18">
        <f>IF(B501="","",WEEKNUM(B501,IF(WeekStart="Sunday",1,2)))</f>
        <v>0</v>
      </c>
      <c r="E501" s="17">
        <f>IF(B501="","",TEXT(B501,"yyyy-mm"))</f>
        <v>0</v>
      </c>
      <c r="H501" s="17">
        <f>IF(G501&lt;&gt;"",IFERROR(INDEX(Recipes!$B$5:$B$204,MATCH(G501,Recipes!$A$5:$A$204,0)),"Not found"),I501)</f>
        <v>0</v>
      </c>
      <c r="K501" s="45">
        <f>IF(B501="","",IF(J501="",DefaultServings,J501))</f>
        <v>0</v>
      </c>
      <c r="L501" s="45">
        <f>IF(G501="",0,IFERROR(K501/INDEX(Recipes!$G$5:$G$204,MATCH(G501,Recipes!$A$5:$A$204,0)),0))</f>
        <v>0</v>
      </c>
      <c r="T501" s="25">
        <f>IF(G501="","",IFERROR(INDEX(Recipes!$AD$5:$AD$204,MATCH(G501,Recipes!$A$5:$A$204,0))*K501,""))</f>
        <v>0</v>
      </c>
      <c r="V501" s="30">
        <f>IF(G501="","",IFERROR(INDEX(Recipes!$AE$5:$AE$204,MATCH(G501,Recipes!$A$5:$A$204,0)),"Not found"))</f>
        <v>0</v>
      </c>
      <c r="W501" s="45">
        <f>IF(G501="","",IFERROR(INDEX(Recipes!$AF$5:$AF$204,MATCH(G501,Recipes!$A$5:$A$204,0)),"Not found"))</f>
        <v>0</v>
      </c>
      <c r="X501" s="45">
        <f>IF(G501="","",IFERROR(INDEX(Recipes!$AG$5:$AG$204,MATCH(G501,Recipes!$A$5:$A$204,0)),"Not found"))</f>
        <v>0</v>
      </c>
      <c r="Y501" s="45">
        <f>IF(G501="","",IFERROR(INDEX(Recipes!$AH$5:$AH$204,MATCH(G501,Recipes!$A$5:$A$204,0)),"Not found"))</f>
        <v>0</v>
      </c>
      <c r="Z501" s="45">
        <f>IF(G501="","",IFERROR(INDEX(Recipes!$AI$5:$AI$204,MATCH(G501,Recipes!$A$5:$A$204,0)),"Not found"))</f>
        <v>0</v>
      </c>
      <c r="AA501" s="30">
        <f>IF(OR(V501="",NOT(ISNUMBER(V501))),"",V501*K501)</f>
        <v>0</v>
      </c>
      <c r="AB501" s="18">
        <f>IF(G501="","",IFERROR(INDEX(Recipes!$J$5:$J$204,MATCH(G501,Recipes!$A$5:$A$204,0)),"Not found"))</f>
        <v>0</v>
      </c>
      <c r="AC501" s="17">
        <f>IF(G501="","",IFERROR(INDEX(Recipes!$C$5:$C$204,MATCH(G501,Recipes!$A$5:$A$204,0)),"Not found"))</f>
        <v>0</v>
      </c>
      <c r="AD501" s="46">
        <f>IF(B501="","",IF(G501&lt;&gt;"","Yes",IF(OR(I501="",ISNUMBER(SEARCH("takeaway",I501)),ISNUMBER(SEARCH("out",I501))),"No","Yes")))</f>
        <v>0</v>
      </c>
      <c r="AE501" s="17">
        <f>IF(B501="","",TEXT(B501,"yyyy-mm-dd")&amp;"|"&amp;F501)</f>
        <v>0</v>
      </c>
      <c r="AF501" s="31">
        <f>IF(B501="","",IF(AND(G501="",I501=""),"Add - nothing planned yet",IF(COUNTIFS($AE$5:$AE$504,AE501)&gt;1,"Duplicate - two meals in one slot",IF(AND(G501&lt;&gt;"",H501="Not found"),"Missing - recipe ID not on the Recipes tab",IF(AND(B501&lt;TODAY(),OR(N501="Planned",N501="")),"Check - did you cook it?","OK")))))</f>
        <v>0</v>
      </c>
    </row>
    <row r="502" spans="1:33">
      <c r="A502" s="39">
        <f>IF(B502="","",MealPrefix&amp;TEXT(ROW()-4,"0000"))</f>
        <v>0</v>
      </c>
      <c r="C502" s="17">
        <f>IF(B502="","",TEXT(B502,"ddd"))</f>
        <v>0</v>
      </c>
      <c r="D502" s="18">
        <f>IF(B502="","",WEEKNUM(B502,IF(WeekStart="Sunday",1,2)))</f>
        <v>0</v>
      </c>
      <c r="E502" s="17">
        <f>IF(B502="","",TEXT(B502,"yyyy-mm"))</f>
        <v>0</v>
      </c>
      <c r="H502" s="17">
        <f>IF(G502&lt;&gt;"",IFERROR(INDEX(Recipes!$B$5:$B$204,MATCH(G502,Recipes!$A$5:$A$204,0)),"Not found"),I502)</f>
        <v>0</v>
      </c>
      <c r="K502" s="45">
        <f>IF(B502="","",IF(J502="",DefaultServings,J502))</f>
        <v>0</v>
      </c>
      <c r="L502" s="45">
        <f>IF(G502="",0,IFERROR(K502/INDEX(Recipes!$G$5:$G$204,MATCH(G502,Recipes!$A$5:$A$204,0)),0))</f>
        <v>0</v>
      </c>
      <c r="T502" s="25">
        <f>IF(G502="","",IFERROR(INDEX(Recipes!$AD$5:$AD$204,MATCH(G502,Recipes!$A$5:$A$204,0))*K502,""))</f>
        <v>0</v>
      </c>
      <c r="V502" s="30">
        <f>IF(G502="","",IFERROR(INDEX(Recipes!$AE$5:$AE$204,MATCH(G502,Recipes!$A$5:$A$204,0)),"Not found"))</f>
        <v>0</v>
      </c>
      <c r="W502" s="45">
        <f>IF(G502="","",IFERROR(INDEX(Recipes!$AF$5:$AF$204,MATCH(G502,Recipes!$A$5:$A$204,0)),"Not found"))</f>
        <v>0</v>
      </c>
      <c r="X502" s="45">
        <f>IF(G502="","",IFERROR(INDEX(Recipes!$AG$5:$AG$204,MATCH(G502,Recipes!$A$5:$A$204,0)),"Not found"))</f>
        <v>0</v>
      </c>
      <c r="Y502" s="45">
        <f>IF(G502="","",IFERROR(INDEX(Recipes!$AH$5:$AH$204,MATCH(G502,Recipes!$A$5:$A$204,0)),"Not found"))</f>
        <v>0</v>
      </c>
      <c r="Z502" s="45">
        <f>IF(G502="","",IFERROR(INDEX(Recipes!$AI$5:$AI$204,MATCH(G502,Recipes!$A$5:$A$204,0)),"Not found"))</f>
        <v>0</v>
      </c>
      <c r="AA502" s="30">
        <f>IF(OR(V502="",NOT(ISNUMBER(V502))),"",V502*K502)</f>
        <v>0</v>
      </c>
      <c r="AB502" s="18">
        <f>IF(G502="","",IFERROR(INDEX(Recipes!$J$5:$J$204,MATCH(G502,Recipes!$A$5:$A$204,0)),"Not found"))</f>
        <v>0</v>
      </c>
      <c r="AC502" s="17">
        <f>IF(G502="","",IFERROR(INDEX(Recipes!$C$5:$C$204,MATCH(G502,Recipes!$A$5:$A$204,0)),"Not found"))</f>
        <v>0</v>
      </c>
      <c r="AD502" s="46">
        <f>IF(B502="","",IF(G502&lt;&gt;"","Yes",IF(OR(I502="",ISNUMBER(SEARCH("takeaway",I502)),ISNUMBER(SEARCH("out",I502))),"No","Yes")))</f>
        <v>0</v>
      </c>
      <c r="AE502" s="17">
        <f>IF(B502="","",TEXT(B502,"yyyy-mm-dd")&amp;"|"&amp;F502)</f>
        <v>0</v>
      </c>
      <c r="AF502" s="31">
        <f>IF(B502="","",IF(AND(G502="",I502=""),"Add - nothing planned yet",IF(COUNTIFS($AE$5:$AE$504,AE502)&gt;1,"Duplicate - two meals in one slot",IF(AND(G502&lt;&gt;"",H502="Not found"),"Missing - recipe ID not on the Recipes tab",IF(AND(B502&lt;TODAY(),OR(N502="Planned",N502="")),"Check - did you cook it?","OK")))))</f>
        <v>0</v>
      </c>
    </row>
    <row r="503" spans="1:33">
      <c r="A503" s="39">
        <f>IF(B503="","",MealPrefix&amp;TEXT(ROW()-4,"0000"))</f>
        <v>0</v>
      </c>
      <c r="C503" s="17">
        <f>IF(B503="","",TEXT(B503,"ddd"))</f>
        <v>0</v>
      </c>
      <c r="D503" s="18">
        <f>IF(B503="","",WEEKNUM(B503,IF(WeekStart="Sunday",1,2)))</f>
        <v>0</v>
      </c>
      <c r="E503" s="17">
        <f>IF(B503="","",TEXT(B503,"yyyy-mm"))</f>
        <v>0</v>
      </c>
      <c r="H503" s="17">
        <f>IF(G503&lt;&gt;"",IFERROR(INDEX(Recipes!$B$5:$B$204,MATCH(G503,Recipes!$A$5:$A$204,0)),"Not found"),I503)</f>
        <v>0</v>
      </c>
      <c r="K503" s="45">
        <f>IF(B503="","",IF(J503="",DefaultServings,J503))</f>
        <v>0</v>
      </c>
      <c r="L503" s="45">
        <f>IF(G503="",0,IFERROR(K503/INDEX(Recipes!$G$5:$G$204,MATCH(G503,Recipes!$A$5:$A$204,0)),0))</f>
        <v>0</v>
      </c>
      <c r="T503" s="25">
        <f>IF(G503="","",IFERROR(INDEX(Recipes!$AD$5:$AD$204,MATCH(G503,Recipes!$A$5:$A$204,0))*K503,""))</f>
        <v>0</v>
      </c>
      <c r="V503" s="30">
        <f>IF(G503="","",IFERROR(INDEX(Recipes!$AE$5:$AE$204,MATCH(G503,Recipes!$A$5:$A$204,0)),"Not found"))</f>
        <v>0</v>
      </c>
      <c r="W503" s="45">
        <f>IF(G503="","",IFERROR(INDEX(Recipes!$AF$5:$AF$204,MATCH(G503,Recipes!$A$5:$A$204,0)),"Not found"))</f>
        <v>0</v>
      </c>
      <c r="X503" s="45">
        <f>IF(G503="","",IFERROR(INDEX(Recipes!$AG$5:$AG$204,MATCH(G503,Recipes!$A$5:$A$204,0)),"Not found"))</f>
        <v>0</v>
      </c>
      <c r="Y503" s="45">
        <f>IF(G503="","",IFERROR(INDEX(Recipes!$AH$5:$AH$204,MATCH(G503,Recipes!$A$5:$A$204,0)),"Not found"))</f>
        <v>0</v>
      </c>
      <c r="Z503" s="45">
        <f>IF(G503="","",IFERROR(INDEX(Recipes!$AI$5:$AI$204,MATCH(G503,Recipes!$A$5:$A$204,0)),"Not found"))</f>
        <v>0</v>
      </c>
      <c r="AA503" s="30">
        <f>IF(OR(V503="",NOT(ISNUMBER(V503))),"",V503*K503)</f>
        <v>0</v>
      </c>
      <c r="AB503" s="18">
        <f>IF(G503="","",IFERROR(INDEX(Recipes!$J$5:$J$204,MATCH(G503,Recipes!$A$5:$A$204,0)),"Not found"))</f>
        <v>0</v>
      </c>
      <c r="AC503" s="17">
        <f>IF(G503="","",IFERROR(INDEX(Recipes!$C$5:$C$204,MATCH(G503,Recipes!$A$5:$A$204,0)),"Not found"))</f>
        <v>0</v>
      </c>
      <c r="AD503" s="46">
        <f>IF(B503="","",IF(G503&lt;&gt;"","Yes",IF(OR(I503="",ISNUMBER(SEARCH("takeaway",I503)),ISNUMBER(SEARCH("out",I503))),"No","Yes")))</f>
        <v>0</v>
      </c>
      <c r="AE503" s="17">
        <f>IF(B503="","",TEXT(B503,"yyyy-mm-dd")&amp;"|"&amp;F503)</f>
        <v>0</v>
      </c>
      <c r="AF503" s="31">
        <f>IF(B503="","",IF(AND(G503="",I503=""),"Add - nothing planned yet",IF(COUNTIFS($AE$5:$AE$504,AE503)&gt;1,"Duplicate - two meals in one slot",IF(AND(G503&lt;&gt;"",H503="Not found"),"Missing - recipe ID not on the Recipes tab",IF(AND(B503&lt;TODAY(),OR(N503="Planned",N503="")),"Check - did you cook it?","OK")))))</f>
        <v>0</v>
      </c>
    </row>
    <row r="504" spans="1:33">
      <c r="A504" s="39">
        <f>IF(B504="","",MealPrefix&amp;TEXT(ROW()-4,"0000"))</f>
        <v>0</v>
      </c>
      <c r="C504" s="17">
        <f>IF(B504="","",TEXT(B504,"ddd"))</f>
        <v>0</v>
      </c>
      <c r="D504" s="18">
        <f>IF(B504="","",WEEKNUM(B504,IF(WeekStart="Sunday",1,2)))</f>
        <v>0</v>
      </c>
      <c r="E504" s="17">
        <f>IF(B504="","",TEXT(B504,"yyyy-mm"))</f>
        <v>0</v>
      </c>
      <c r="H504" s="17">
        <f>IF(G504&lt;&gt;"",IFERROR(INDEX(Recipes!$B$5:$B$204,MATCH(G504,Recipes!$A$5:$A$204,0)),"Not found"),I504)</f>
        <v>0</v>
      </c>
      <c r="K504" s="45">
        <f>IF(B504="","",IF(J504="",DefaultServings,J504))</f>
        <v>0</v>
      </c>
      <c r="L504" s="45">
        <f>IF(G504="",0,IFERROR(K504/INDEX(Recipes!$G$5:$G$204,MATCH(G504,Recipes!$A$5:$A$204,0)),0))</f>
        <v>0</v>
      </c>
      <c r="T504" s="25">
        <f>IF(G504="","",IFERROR(INDEX(Recipes!$AD$5:$AD$204,MATCH(G504,Recipes!$A$5:$A$204,0))*K504,""))</f>
        <v>0</v>
      </c>
      <c r="V504" s="30">
        <f>IF(G504="","",IFERROR(INDEX(Recipes!$AE$5:$AE$204,MATCH(G504,Recipes!$A$5:$A$204,0)),"Not found"))</f>
        <v>0</v>
      </c>
      <c r="W504" s="45">
        <f>IF(G504="","",IFERROR(INDEX(Recipes!$AF$5:$AF$204,MATCH(G504,Recipes!$A$5:$A$204,0)),"Not found"))</f>
        <v>0</v>
      </c>
      <c r="X504" s="45">
        <f>IF(G504="","",IFERROR(INDEX(Recipes!$AG$5:$AG$204,MATCH(G504,Recipes!$A$5:$A$204,0)),"Not found"))</f>
        <v>0</v>
      </c>
      <c r="Y504" s="45">
        <f>IF(G504="","",IFERROR(INDEX(Recipes!$AH$5:$AH$204,MATCH(G504,Recipes!$A$5:$A$204,0)),"Not found"))</f>
        <v>0</v>
      </c>
      <c r="Z504" s="45">
        <f>IF(G504="","",IFERROR(INDEX(Recipes!$AI$5:$AI$204,MATCH(G504,Recipes!$A$5:$A$204,0)),"Not found"))</f>
        <v>0</v>
      </c>
      <c r="AA504" s="30">
        <f>IF(OR(V504="",NOT(ISNUMBER(V504))),"",V504*K504)</f>
        <v>0</v>
      </c>
      <c r="AB504" s="18">
        <f>IF(G504="","",IFERROR(INDEX(Recipes!$J$5:$J$204,MATCH(G504,Recipes!$A$5:$A$204,0)),"Not found"))</f>
        <v>0</v>
      </c>
      <c r="AC504" s="17">
        <f>IF(G504="","",IFERROR(INDEX(Recipes!$C$5:$C$204,MATCH(G504,Recipes!$A$5:$A$204,0)),"Not found"))</f>
        <v>0</v>
      </c>
      <c r="AD504" s="46">
        <f>IF(B504="","",IF(G504&lt;&gt;"","Yes",IF(OR(I504="",ISNUMBER(SEARCH("takeaway",I504)),ISNUMBER(SEARCH("out",I504))),"No","Yes")))</f>
        <v>0</v>
      </c>
      <c r="AE504" s="17">
        <f>IF(B504="","",TEXT(B504,"yyyy-mm-dd")&amp;"|"&amp;F504)</f>
        <v>0</v>
      </c>
      <c r="AF504" s="31">
        <f>IF(B504="","",IF(AND(G504="",I504=""),"Add - nothing planned yet",IF(COUNTIFS($AE$5:$AE$504,AE504)&gt;1,"Duplicate - two meals in one slot",IF(AND(G504&lt;&gt;"",H504="Not found"),"Missing - recipe ID not on the Recipes tab",IF(AND(B504&lt;TODAY(),OR(N504="Planned",N504="")),"Check - did you cook it?","OK")))))</f>
        <v>0</v>
      </c>
    </row>
    <row r="506" spans="1:33" ht="20" customHeight="1">
      <c r="A506" s="7" t="s">
        <v>1050</v>
      </c>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26" customHeight="1">
      <c r="A507" s="8" t="s">
        <v>175</v>
      </c>
      <c r="B507" s="9" t="s">
        <v>1051</v>
      </c>
      <c r="C507" s="9" t="s">
        <v>179</v>
      </c>
      <c r="D507" s="9" t="s">
        <v>1036</v>
      </c>
      <c r="E507" s="9" t="s">
        <v>1052</v>
      </c>
      <c r="F507" s="9" t="s">
        <v>1053</v>
      </c>
    </row>
    <row r="508" spans="1:33">
      <c r="A508" s="18">
        <f>COUNTIF('Meal Plan'!$B$5:$B$504,"&gt;0")</f>
        <v>0</v>
      </c>
      <c r="B508" s="18">
        <f>COUNTIF('Meal Plan'!$G$5:$G$504,"&lt;&gt;")</f>
        <v>0</v>
      </c>
      <c r="C508" s="18">
        <f>COUNTIF('Meal Plan'!$AD$5:$AD$504,"Yes")</f>
        <v>0</v>
      </c>
      <c r="D508" s="25">
        <f>SUM('Meal Plan'!$T$5:$T$504)</f>
        <v>0</v>
      </c>
      <c r="E508" s="18">
        <f>COUNTIF('Meal Plan'!$AD$5:$AD$504,"No")</f>
        <v>0</v>
      </c>
      <c r="F508" s="18">
        <f>COUNTIFS('Meal Plan'!$N$5:$N$504,"Planned")</f>
        <v>0</v>
      </c>
    </row>
  </sheetData>
  <sheetProtection password="EC7C" sheet="1" objects="1" scenarios="1" formatCells="0" formatColumns="0" formatRows="0" insertRows="0" insertHyperlinks="0" deleteRows="0" autoFilter="0"/>
  <autoFilter ref="A4:AG504"/>
  <mergeCells count="14">
    <mergeCell ref="A1:AD1"/>
    <mergeCell ref="AE1:AG1"/>
    <mergeCell ref="A2:AG2"/>
    <mergeCell ref="A3:B3"/>
    <mergeCell ref="C3:D3"/>
    <mergeCell ref="E3:F3"/>
    <mergeCell ref="G3:H3"/>
    <mergeCell ref="I3:J3"/>
    <mergeCell ref="K3:L3"/>
    <mergeCell ref="M3:N3"/>
    <mergeCell ref="O3:P3"/>
    <mergeCell ref="Q3:R3"/>
    <mergeCell ref="S3:AG3"/>
    <mergeCell ref="A506:AG506"/>
  </mergeCells>
  <conditionalFormatting sqref="AF5:AF504">
    <cfRule type="beginsWith" dxfId="1" priority="30" operator="beginsWith" text="OK">
      <formula>LEFT(AF5,2)="OK"</formula>
    </cfRule>
    <cfRule type="containsText" dxfId="2" priority="31" operator="containsText" text="Overdue">
      <formula>NOT(ISERROR(SEARCH("Overdue",AF5)))</formula>
    </cfRule>
    <cfRule type="containsText" dxfId="2" priority="32" operator="containsText" text="Late">
      <formula>NOT(ISERROR(SEARCH("Late",AF5)))</formula>
    </cfRule>
    <cfRule type="containsText" dxfId="2" priority="33" operator="containsText" text="Missing">
      <formula>NOT(ISERROR(SEARCH("Missing",AF5)))</formula>
    </cfRule>
    <cfRule type="containsText" dxfId="2" priority="34" operator="containsText" text="Conflict">
      <formula>NOT(ISERROR(SEARCH("Conflict",AF5)))</formula>
    </cfRule>
    <cfRule type="containsText" dxfId="2" priority="35" operator="containsText" text="Expired">
      <formula>NOT(ISERROR(SEARCH("Expired",AF5)))</formula>
    </cfRule>
    <cfRule type="containsText" dxfId="2" priority="36" operator="containsText" text="Duplicate">
      <formula>NOT(ISERROR(SEARCH("Duplicate",AF5)))</formula>
    </cfRule>
    <cfRule type="containsText" dxfId="0" priority="37" operator="containsText" text="Action">
      <formula>NOT(ISERROR(SEARCH("Action",AF5)))</formula>
    </cfRule>
    <cfRule type="containsText" dxfId="0" priority="38" operator="containsText" text="Due">
      <formula>NOT(ISERROR(SEARCH("Due",AF5)))</formula>
    </cfRule>
    <cfRule type="containsText" dxfId="0" priority="39" operator="containsText" text="Check">
      <formula>NOT(ISERROR(SEARCH("Check",AF5)))</formula>
    </cfRule>
    <cfRule type="containsText" dxfId="0" priority="40" operator="containsText" text="Add">
      <formula>NOT(ISERROR(SEARCH("Add",AF5)))</formula>
    </cfRule>
    <cfRule type="containsText" dxfId="4" priority="41" operator="containsText" text="Today">
      <formula>NOT(ISERROR(SEARCH("Today",AF5)))</formula>
    </cfRule>
    <cfRule type="containsText" dxfId="4" priority="42" operator="containsText" text="Upcoming">
      <formula>NOT(ISERROR(SEARCH("Upcoming",AF5)))</formula>
    </cfRule>
  </conditionalFormatting>
  <conditionalFormatting sqref="N5:N504">
    <cfRule type="containsText" dxfId="1" priority="1" operator="containsText" text="Prepared">
      <formula>NOT(ISERROR(SEARCH("Prepared",N5)))</formula>
    </cfRule>
    <cfRule type="containsText" dxfId="1" priority="2" operator="containsText" text="Cooked">
      <formula>NOT(ISERROR(SEARCH("Cooked",N5)))</formula>
    </cfRule>
    <cfRule type="containsText" dxfId="1" priority="3" operator="containsText" text="Eaten">
      <formula>NOT(ISERROR(SEARCH("Eaten",N5)))</formula>
    </cfRule>
    <cfRule type="containsText" dxfId="1" priority="4" operator="containsText" text="Bought">
      <formula>NOT(ISERROR(SEARCH("Bought",N5)))</formula>
    </cfRule>
    <cfRule type="containsText" dxfId="1" priority="5" operator="containsText" text="Purchased">
      <formula>NOT(ISERROR(SEARCH("Purchased",N5)))</formula>
    </cfRule>
    <cfRule type="containsText" dxfId="1" priority="6" operator="containsText" text="Done">
      <formula>NOT(ISERROR(SEARCH("Done",N5)))</formula>
    </cfRule>
    <cfRule type="containsText" dxfId="1" priority="7" operator="containsText" text="Complete">
      <formula>NOT(ISERROR(SEARCH("Complete",N5)))</formula>
    </cfRule>
    <cfRule type="containsText" dxfId="1" priority="8" operator="containsText" text="In stock">
      <formula>NOT(ISERROR(SEARCH("In stock",N5)))</formula>
    </cfRule>
    <cfRule type="containsText" dxfId="1" priority="9" operator="containsText" text="Yes">
      <formula>NOT(ISERROR(SEARCH("Yes",N5)))</formula>
    </cfRule>
    <cfRule type="containsText" dxfId="4" priority="10" operator="containsText" text="Planned">
      <formula>NOT(ISERROR(SEARCH("Planned",N5)))</formula>
    </cfRule>
    <cfRule type="containsText" dxfId="4" priority="11" operator="containsText" text="Scheduled">
      <formula>NOT(ISERROR(SEARCH("Scheduled",N5)))</formula>
    </cfRule>
    <cfRule type="containsText" dxfId="4" priority="12" operator="containsText" text="Shopping">
      <formula>NOT(ISERROR(SEARCH("Shopping",N5)))</formula>
    </cfRule>
    <cfRule type="containsText" dxfId="4" priority="13" operator="containsText" text="On the list">
      <formula>NOT(ISERROR(SEARCH("On the list",N5)))</formula>
    </cfRule>
    <cfRule type="containsText" dxfId="4" priority="14" operator="containsText" text="Prepping">
      <formula>NOT(ISERROR(SEARCH("Prepping",N5)))</formula>
    </cfRule>
    <cfRule type="containsText" dxfId="4" priority="15" operator="containsText" text="Frozen">
      <formula>NOT(ISERROR(SEARCH("Frozen",N5)))</formula>
    </cfRule>
    <cfRule type="containsText" dxfId="0" priority="16" operator="containsText" text="To do">
      <formula>NOT(ISERROR(SEARCH("To do",N5)))</formula>
    </cfRule>
    <cfRule type="containsText" dxfId="0" priority="17" operator="containsText" text="Not started">
      <formula>NOT(ISERROR(SEARCH("Not started",N5)))</formula>
    </cfRule>
    <cfRule type="containsText" dxfId="0" priority="18" operator="containsText" text="Low stock">
      <formula>NOT(ISERROR(SEARCH("Low stock",N5)))</formula>
    </cfRule>
    <cfRule type="containsText" dxfId="0" priority="19" operator="containsText" text="Use soon">
      <formula>NOT(ISERROR(SEARCH("Use soon",N5)))</formula>
    </cfRule>
    <cfRule type="containsText" dxfId="0" priority="20" operator="containsText" text="Defrosting">
      <formula>NOT(ISERROR(SEARCH("Defrosting",N5)))</formula>
    </cfRule>
    <cfRule type="containsText" dxfId="0" priority="21" operator="containsText" text="Substituted">
      <formula>NOT(ISERROR(SEARCH("Substituted",N5)))</formula>
    </cfRule>
    <cfRule type="containsText" dxfId="2" priority="22" operator="containsText" text="Out of stock">
      <formula>NOT(ISERROR(SEARCH("Out of stock",N5)))</formula>
    </cfRule>
    <cfRule type="containsText" dxfId="2" priority="23" operator="containsText" text="Expired">
      <formula>NOT(ISERROR(SEARCH("Expired",N5)))</formula>
    </cfRule>
    <cfRule type="containsText" dxfId="2" priority="24" operator="containsText" text="Skipped">
      <formula>NOT(ISERROR(SEARCH("Skipped",N5)))</formula>
    </cfRule>
    <cfRule type="containsText" dxfId="2" priority="25" operator="containsText" text="Binned">
      <formula>NOT(ISERROR(SEARCH("Binned",N5)))</formula>
    </cfRule>
    <cfRule type="containsText" dxfId="2" priority="26" operator="containsText" text="Wasted">
      <formula>NOT(ISERROR(SEARCH("Wasted",N5)))</formula>
    </cfRule>
    <cfRule type="containsText" dxfId="2" priority="27" operator="containsText" text="Cancelled">
      <formula>NOT(ISERROR(SEARCH("Cancelled",N5)))</formula>
    </cfRule>
    <cfRule type="containsText" dxfId="3" priority="28" operator="containsText" text="Archived">
      <formula>NOT(ISERROR(SEARCH("Archived",N5)))</formula>
    </cfRule>
    <cfRule type="containsText" dxfId="3" priority="29" operator="containsText" text="Not needed">
      <formula>NOT(ISERROR(SEARCH("Not needed",N5)))</formula>
    </cfRule>
  </conditionalFormatting>
  <dataValidations count="11">
    <dataValidation type="date" allowBlank="1" showInputMessage="1" showErrorMessage="1" errorTitle="Check the date" error="Enter a real date between 2000 and 2100." promptTitle="Date" prompt="One row per meal. Use the Weekly Planner tab to see it laid out as a week." sqref="B5:B504">
      <formula1>36526</formula1>
      <formula2>73415</formula2>
    </dataValidation>
    <dataValidation type="list" allowBlank="1" showInputMessage="1" showErrorMessage="1" promptTitle="Meal" prompt="Breakfast, Lunch, Dinner, Snack... set your own on the Settings tab." sqref="F5:F504">
      <formula1>MealSlotList</formula1>
    </dataValidation>
    <dataValidation type="list" allowBlank="1" showInputMessage="1" showErrorMessage="1" promptTitle="Recipe ID" prompt="Leave blank for a meal you are not cooking from a recipe - eating out, leftovers, cereal." sqref="G5:G504">
      <formula1>RecipeIDs</formula1>
    </dataValidation>
    <dataValidation type="whole" allowBlank="1" showInputMessage="1" showErrorMessage="1" errorTitle="Check the value" error="Enter a number between 0 and 100." promptTitle="People to feed" prompt="Defaults to your household size if you leave it blank - set that on the Settings tab." sqref="J5:J504">
      <formula1>0</formula1>
      <formula2>100</formula2>
    </dataValidation>
    <dataValidation type="list" allowBlank="1" showInputMessage="1" showErrorMessage="1" promptTitle="Shop for it?" prompt="Yes puts its ingredients on the grocery list. Set it to No for a meal you have already shopped for, or one you are eating out." sqref="M5:M504">
      <formula1>YesNoList</formula1>
    </dataValidation>
    <dataValidation type="list" allowBlank="1" showInputMessage="1" showErrorMessage="1" sqref="N5:N504">
      <formula1>MealStatusList</formula1>
    </dataValidation>
    <dataValidation type="list" allowBlank="1" showInputMessage="1" showErrorMessage="1" sqref="O5:O504">
      <formula1>MemberNames</formula1>
    </dataValidation>
    <dataValidation type="decimal" allowBlank="1" showInputMessage="1" showErrorMessage="1" errorTitle="Check the value" error="Enter a number between 0 and 100." promptTitle="Planned leftovers" prompt="Extra servings you mean to make. They show up on the Leftovers tab." sqref="Q5:Q504">
      <formula1>0</formula1>
      <formula2>100</formula2>
    </dataValidation>
    <dataValidation type="list" allowBlank="1" showInputMessage="1" showErrorMessage="1" promptTitle="Prep ahead?" prompt="Flags it on the Meal Prep tab." sqref="R5:R504">
      <formula1>YesNoList</formula1>
    </dataValidation>
    <dataValidation type="list" allowBlank="1" showInputMessage="1" showErrorMessage="1" promptTitle="Occasion" prompt="Links the meal to anything on the Special Events tab." sqref="S5:S504">
      <formula1>EventNames</formula1>
    </dataValidation>
    <dataValidation type="decimal" allowBlank="1" showInputMessage="1" showErrorMessage="1" errorTitle="Check the value" error="Enter a number between 0 and 100000." promptTitle="Actual spend" prompt="Only for meals out or takeaways - the weekly shop goes on the Grocery Spending tab." sqref="U5:U504">
      <formula1>0</formula1>
      <formula2>100000</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&amp;L&amp;"Calibri,Bold"&amp;12&amp;C&amp;"Calibri,Bold"&amp;11Meal Plan&amp;R&amp;"Calibri,Italic"&amp;9Automated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D9703C"/>
    <pageSetUpPr fitToPage="1"/>
  </sheetPr>
  <dimension ref="A1:Z35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7109375" style="18" hidden="1" customWidth="1"/>
    <col min="2" max="2" width="24.7109375" style="17" customWidth="1"/>
    <col min="3" max="3" width="15.7109375" style="17" customWidth="1"/>
    <col min="4" max="4" width="16.7109375" style="17" customWidth="1"/>
    <col min="5" max="5" width="16.7109375" style="17" customWidth="1"/>
    <col min="6" max="6" width="10.7109375" style="45" customWidth="1"/>
    <col min="7" max="7" width="7.7109375" style="17" customWidth="1"/>
    <col min="8" max="8" width="11.7109375" style="45" customWidth="1"/>
    <col min="9" max="9" width="10.7109375" style="45" customWidth="1"/>
    <col min="10" max="10" width="10.7109375" style="45" hidden="1" customWidth="1"/>
    <col min="11" max="11" width="10.7109375" style="25" hidden="1" customWidth="1"/>
    <col min="12" max="12" width="10.7109375" style="25" hidden="1" customWidth="1"/>
    <col min="13" max="13" width="11.7109375" style="45" customWidth="1"/>
    <col min="14" max="14" width="12.7109375" style="45" customWidth="1"/>
    <col min="15" max="15" width="12.7109375" style="25" customWidth="1"/>
    <col min="16" max="16" width="12.7109375" style="25" customWidth="1"/>
    <col min="17" max="17" width="10.7109375" style="45" hidden="1" customWidth="1"/>
    <col min="18" max="18" width="8.7109375" style="18" hidden="1" customWidth="1"/>
    <col min="19" max="19" width="11.7109375" style="18" customWidth="1"/>
    <col min="20" max="20" width="11.7109375" style="46" customWidth="1"/>
    <col min="21" max="21" width="12.7109375" style="17" hidden="1" customWidth="1"/>
    <col min="22" max="22" width="9.7109375" style="40" customWidth="1"/>
    <col min="23" max="23" width="11.7109375" style="36" customWidth="1"/>
    <col min="24" max="24" width="16.7109375" style="32" customWidth="1"/>
    <col min="25" max="25" width="20.7109375" style="43" customWidth="1"/>
    <col min="26" max="26" width="12.7109375" style="31" customWidth="1"/>
    <col min="1" max="1" width="16.7109375" customWidth="1"/>
    <col min="2" max="2" width="15.7109375" customWidth="1"/>
    <col min="3" max="3" width="13.7109375" customWidth="1"/>
    <col min="4" max="4" width="15.7109375" customWidth="1"/>
    <col min="5" max="5" width="16.7109375" customWidth="1"/>
    <col min="6" max="6" width="15.7109375" customWidth="1"/>
    <col min="7" max="7" width="14.7109375" customWidth="1"/>
    <col min="1" max="1" width="15.7109375" customWidth="1"/>
    <col min="2" max="2" width="14.7109375" customWidth="1"/>
    <col min="3" max="3" width="14.7109375" customWidth="1"/>
    <col min="4" max="4" width="28.7109375" customWidth="1"/>
    <col min="5" max="5" width="20.7109375" customWidth="1"/>
    <col min="1" max="1" width="22.7109375" customWidth="1"/>
    <col min="2" max="2" width="10.7109375" customWidth="1"/>
    <col min="3" max="3" width="15.7109375" customWidth="1"/>
    <col min="4" max="4" width="16.7109375" customWidth="1"/>
    <col min="5" max="5" width="18.7109375" customWidth="1"/>
    <col min="1" max="1" width="24.7109375" customWidth="1"/>
    <col min="2" max="2" width="15.7109375" customWidth="1"/>
    <col min="3" max="3" width="10.7109375" customWidth="1"/>
    <col min="4" max="4" width="8.7109375" customWidth="1"/>
    <col min="5" max="5" width="14.7109375" customWidth="1"/>
    <col min="6" max="6" width="16.7109375" customWidth="1"/>
    <col min="7" max="7" width="9.7109375" customWidth="1"/>
    <col min="8" max="8" width="26.7109375" customWidth="1"/>
  </cols>
  <sheetData>
    <row r="1" spans="1:26" ht="34" customHeight="1">
      <c r="A1" s="2" t="s">
        <v>1054</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1055</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1056</v>
      </c>
      <c r="T3" s="44"/>
      <c r="U3" s="44"/>
      <c r="V3" s="44"/>
      <c r="W3" s="44"/>
      <c r="X3" s="44"/>
      <c r="Y3" s="44"/>
      <c r="Z3" s="44"/>
    </row>
    <row r="4" spans="1:26" ht="30" customHeight="1">
      <c r="A4" s="8" t="s">
        <v>1057</v>
      </c>
      <c r="B4" s="8" t="s">
        <v>1058</v>
      </c>
      <c r="C4" s="9" t="s">
        <v>763</v>
      </c>
      <c r="D4" s="9" t="s">
        <v>425</v>
      </c>
      <c r="E4" s="9" t="s">
        <v>1059</v>
      </c>
      <c r="F4" s="9" t="s">
        <v>1060</v>
      </c>
      <c r="G4" s="9" t="s">
        <v>664</v>
      </c>
      <c r="H4" s="9" t="s">
        <v>1061</v>
      </c>
      <c r="I4" s="9" t="s">
        <v>1062</v>
      </c>
      <c r="J4" s="9" t="s">
        <v>983</v>
      </c>
      <c r="K4" s="9" t="s">
        <v>984</v>
      </c>
      <c r="L4" s="9" t="s">
        <v>877</v>
      </c>
      <c r="M4" s="9" t="s">
        <v>1063</v>
      </c>
      <c r="N4" s="9" t="s">
        <v>1064</v>
      </c>
      <c r="O4" s="9" t="s">
        <v>1065</v>
      </c>
      <c r="P4" s="9" t="s">
        <v>1066</v>
      </c>
      <c r="Q4" s="9" t="s">
        <v>461</v>
      </c>
      <c r="R4" s="9" t="s">
        <v>1067</v>
      </c>
      <c r="S4" s="9" t="s">
        <v>1068</v>
      </c>
      <c r="T4" s="9" t="s">
        <v>1069</v>
      </c>
      <c r="U4" s="9" t="s">
        <v>397</v>
      </c>
      <c r="V4" s="9" t="s">
        <v>1070</v>
      </c>
      <c r="W4" s="9" t="s">
        <v>1071</v>
      </c>
      <c r="X4" s="9" t="s">
        <v>1072</v>
      </c>
      <c r="Y4" s="9" t="s">
        <v>1073</v>
      </c>
      <c r="Z4" s="9" t="s">
        <v>728</v>
      </c>
    </row>
    <row r="5" spans="1:26">
      <c r="A5" s="18">
        <f>ROW()-4</f>
        <v>0</v>
      </c>
      <c r="B5" s="17">
        <f>IFERROR(INDEX(Ingredients!$B$5:$B$304,MATCH(A5,Ingredients!$AL$5:$AL$304,0)),"")</f>
        <v>0</v>
      </c>
      <c r="C5" s="17">
        <f>IF(B5="","",IFERROR(INDEX(Ingredients!$C$5:$C$304,MATCH(B5,Ingredients!$B$5:$B$304,0)),"Add to Ingredients"))</f>
        <v>0</v>
      </c>
      <c r="D5" s="17">
        <f>IF(B5="","",IFERROR(INDEX(Ingredients!$D$5:$D$304,MATCH(B5,Ingredients!$B$5:$B$304,0)),"Add to Ingredients"))</f>
        <v>0</v>
      </c>
      <c r="E5" s="17">
        <f>IF(B5="","",IFERROR(INDEX(Ingredients!$E$5:$E$304,MATCH(B5,Ingredients!$B$5:$B$304,0)),"Add to Ingredients"))</f>
        <v>0</v>
      </c>
      <c r="F5" s="45">
        <f>IF(B5="","",IFERROR(INDEX(Ingredients!$AG$5:$AG$304,MATCH(B5,Ingredients!$B$5:$B$304,0)),""))</f>
        <v>0</v>
      </c>
      <c r="G5" s="17">
        <f>IF(B5="","",IFERROR(INDEX(Ingredients!$G$5:$G$304,MATCH(B5,Ingredients!$B$5:$B$304,0)),"Add to Ingredients"))</f>
        <v>0</v>
      </c>
      <c r="H5" s="45">
        <f>IF(B5="","",IFERROR(INDEX(Ingredients!$AD$5:$AD$304,MATCH(B5,Ingredients!$B$5:$B$304,0)),0))</f>
        <v>0</v>
      </c>
      <c r="I5" s="45">
        <f>IF(F5="","",MAX(0,F5-IF(H5="",0,H5)))</f>
        <v>0</v>
      </c>
      <c r="J5" s="45">
        <f>IF(B5="","",IFERROR(INDEX(Ingredients!$H$5:$H$304,MATCH(B5,Ingredients!$B$5:$B$304,0)),"Add to Ingredients"))</f>
        <v>0</v>
      </c>
      <c r="K5" s="25">
        <f>IF(B5="","",IFERROR(INDEX(Ingredients!$I$5:$I$304,MATCH(B5,Ingredients!$B$5:$B$304,0)),"Add to Ingredients"))</f>
        <v>0</v>
      </c>
      <c r="L5" s="25">
        <f>IF(B5="","",IFERROR(INDEX(Ingredients!$J$5:$J$304,MATCH(B5,Ingredients!$B$5:$B$304,0)),"Add to Ingredients"))</f>
        <v>0</v>
      </c>
      <c r="M5" s="45">
        <f>IF(OR(I5="",I5=0),"",IF(OR(J5="",NOT(ISNUMBER(J5)),J5=0),"",ROUNDUP(I5/J5,0)))</f>
        <v>0</v>
      </c>
      <c r="N5" s="45">
        <f>IF(I5="","",IF(RoundingRule="Exact quantity",I5,IF(M5="",I5,M5*J5)))</f>
        <v>0</v>
      </c>
      <c r="O5" s="25">
        <f>IF(N5="","",IF(RoundingRule="Exact quantity",IF(L5="","",N5*L5),IF(OR(M5="",K5=""),"",M5*K5)))</f>
        <v>0</v>
      </c>
      <c r="P5" s="25">
        <f>IF(B5="","",SUM(O$5:O5))</f>
        <v>0</v>
      </c>
      <c r="Q5" s="45">
        <f>IF(V5="Yes",0,IF(N5="",0,N5))</f>
        <v>0</v>
      </c>
      <c r="R5" s="18">
        <f>IF(OR(B5="",I5=0,I5=""),"",COUNTIFS($I$5:I5,"&gt;0"))</f>
        <v>0</v>
      </c>
      <c r="S5" s="18">
        <f>IF(B5="","",COUNTIFS('Recipe Ingredients'!$D$5:$D$1204,B5,'Recipe Ingredients'!$Y$5:$Y$1204,"&gt;0"))</f>
        <v>0</v>
      </c>
      <c r="T5" s="46">
        <f>IF(B5="","",IF(COUNTIFS('Recipe Ingredients'!$D$5:$D$1204,B5,'Recipe Ingredients'!$Y$5:$Y$1204,"&gt;0",'Recipe Ingredients'!$I$5:$I$1204,"No")=0,"Yes","No"))</f>
        <v>0</v>
      </c>
      <c r="U5" s="17">
        <f>IF(B5="","",IFERROR(INDEX(Ingredients!$W$5:$W$304,MATCH(B5,Ingredients!$B$5:$B$304,0)),"Add to Ingredients"))</f>
        <v>0</v>
      </c>
      <c r="Z5" s="31">
        <f>IF(B5="","",IF(V5="Yes","Bought",IF(I5=0,"In stock",IF(O5="","Check - no price","On the list"))))</f>
        <v>0</v>
      </c>
    </row>
    <row r="6" spans="1:26">
      <c r="A6" s="18">
        <f>ROW()-4</f>
        <v>0</v>
      </c>
      <c r="B6" s="17">
        <f>IFERROR(INDEX(Ingredients!$B$5:$B$304,MATCH(A6,Ingredients!$AL$5:$AL$304,0)),"")</f>
        <v>0</v>
      </c>
      <c r="C6" s="17">
        <f>IF(B6="","",IFERROR(INDEX(Ingredients!$C$5:$C$304,MATCH(B6,Ingredients!$B$5:$B$304,0)),"Add to Ingredients"))</f>
        <v>0</v>
      </c>
      <c r="D6" s="17">
        <f>IF(B6="","",IFERROR(INDEX(Ingredients!$D$5:$D$304,MATCH(B6,Ingredients!$B$5:$B$304,0)),"Add to Ingredients"))</f>
        <v>0</v>
      </c>
      <c r="E6" s="17">
        <f>IF(B6="","",IFERROR(INDEX(Ingredients!$E$5:$E$304,MATCH(B6,Ingredients!$B$5:$B$304,0)),"Add to Ingredients"))</f>
        <v>0</v>
      </c>
      <c r="F6" s="45">
        <f>IF(B6="","",IFERROR(INDEX(Ingredients!$AG$5:$AG$304,MATCH(B6,Ingredients!$B$5:$B$304,0)),""))</f>
        <v>0</v>
      </c>
      <c r="G6" s="17">
        <f>IF(B6="","",IFERROR(INDEX(Ingredients!$G$5:$G$304,MATCH(B6,Ingredients!$B$5:$B$304,0)),"Add to Ingredients"))</f>
        <v>0</v>
      </c>
      <c r="H6" s="45">
        <f>IF(B6="","",IFERROR(INDEX(Ingredients!$AD$5:$AD$304,MATCH(B6,Ingredients!$B$5:$B$304,0)),0))</f>
        <v>0</v>
      </c>
      <c r="I6" s="45">
        <f>IF(F6="","",MAX(0,F6-IF(H6="",0,H6)))</f>
        <v>0</v>
      </c>
      <c r="J6" s="45">
        <f>IF(B6="","",IFERROR(INDEX(Ingredients!$H$5:$H$304,MATCH(B6,Ingredients!$B$5:$B$304,0)),"Add to Ingredients"))</f>
        <v>0</v>
      </c>
      <c r="K6" s="25">
        <f>IF(B6="","",IFERROR(INDEX(Ingredients!$I$5:$I$304,MATCH(B6,Ingredients!$B$5:$B$304,0)),"Add to Ingredients"))</f>
        <v>0</v>
      </c>
      <c r="L6" s="25">
        <f>IF(B6="","",IFERROR(INDEX(Ingredients!$J$5:$J$304,MATCH(B6,Ingredients!$B$5:$B$304,0)),"Add to Ingredients"))</f>
        <v>0</v>
      </c>
      <c r="M6" s="45">
        <f>IF(OR(I6="",I6=0),"",IF(OR(J6="",NOT(ISNUMBER(J6)),J6=0),"",ROUNDUP(I6/J6,0)))</f>
        <v>0</v>
      </c>
      <c r="N6" s="45">
        <f>IF(I6="","",IF(RoundingRule="Exact quantity",I6,IF(M6="",I6,M6*J6)))</f>
        <v>0</v>
      </c>
      <c r="O6" s="25">
        <f>IF(N6="","",IF(RoundingRule="Exact quantity",IF(L6="","",N6*L6),IF(OR(M6="",K6=""),"",M6*K6)))</f>
        <v>0</v>
      </c>
      <c r="P6" s="25">
        <f>IF(B6="","",SUM(O$5:O6))</f>
        <v>0</v>
      </c>
      <c r="Q6" s="45">
        <f>IF(V6="Yes",0,IF(N6="",0,N6))</f>
        <v>0</v>
      </c>
      <c r="R6" s="18">
        <f>IF(OR(B6="",I6=0,I6=""),"",COUNTIFS($I$5:I6,"&gt;0"))</f>
        <v>0</v>
      </c>
      <c r="S6" s="18">
        <f>IF(B6="","",COUNTIFS('Recipe Ingredients'!$D$5:$D$1204,B6,'Recipe Ingredients'!$Y$5:$Y$1204,"&gt;0"))</f>
        <v>0</v>
      </c>
      <c r="T6" s="46">
        <f>IF(B6="","",IF(COUNTIFS('Recipe Ingredients'!$D$5:$D$1204,B6,'Recipe Ingredients'!$Y$5:$Y$1204,"&gt;0",'Recipe Ingredients'!$I$5:$I$1204,"No")=0,"Yes","No"))</f>
        <v>0</v>
      </c>
      <c r="U6" s="17">
        <f>IF(B6="","",IFERROR(INDEX(Ingredients!$W$5:$W$304,MATCH(B6,Ingredients!$B$5:$B$304,0)),"Add to Ingredients"))</f>
        <v>0</v>
      </c>
      <c r="Z6" s="31">
        <f>IF(B6="","",IF(V6="Yes","Bought",IF(I6=0,"In stock",IF(O6="","Check - no price","On the list"))))</f>
        <v>0</v>
      </c>
    </row>
    <row r="7" spans="1:26">
      <c r="A7" s="18">
        <f>ROW()-4</f>
        <v>0</v>
      </c>
      <c r="B7" s="17">
        <f>IFERROR(INDEX(Ingredients!$B$5:$B$304,MATCH(A7,Ingredients!$AL$5:$AL$304,0)),"")</f>
        <v>0</v>
      </c>
      <c r="C7" s="17">
        <f>IF(B7="","",IFERROR(INDEX(Ingredients!$C$5:$C$304,MATCH(B7,Ingredients!$B$5:$B$304,0)),"Add to Ingredients"))</f>
        <v>0</v>
      </c>
      <c r="D7" s="17">
        <f>IF(B7="","",IFERROR(INDEX(Ingredients!$D$5:$D$304,MATCH(B7,Ingredients!$B$5:$B$304,0)),"Add to Ingredients"))</f>
        <v>0</v>
      </c>
      <c r="E7" s="17">
        <f>IF(B7="","",IFERROR(INDEX(Ingredients!$E$5:$E$304,MATCH(B7,Ingredients!$B$5:$B$304,0)),"Add to Ingredients"))</f>
        <v>0</v>
      </c>
      <c r="F7" s="45">
        <f>IF(B7="","",IFERROR(INDEX(Ingredients!$AG$5:$AG$304,MATCH(B7,Ingredients!$B$5:$B$304,0)),""))</f>
        <v>0</v>
      </c>
      <c r="G7" s="17">
        <f>IF(B7="","",IFERROR(INDEX(Ingredients!$G$5:$G$304,MATCH(B7,Ingredients!$B$5:$B$304,0)),"Add to Ingredients"))</f>
        <v>0</v>
      </c>
      <c r="H7" s="45">
        <f>IF(B7="","",IFERROR(INDEX(Ingredients!$AD$5:$AD$304,MATCH(B7,Ingredients!$B$5:$B$304,0)),0))</f>
        <v>0</v>
      </c>
      <c r="I7" s="45">
        <f>IF(F7="","",MAX(0,F7-IF(H7="",0,H7)))</f>
        <v>0</v>
      </c>
      <c r="J7" s="45">
        <f>IF(B7="","",IFERROR(INDEX(Ingredients!$H$5:$H$304,MATCH(B7,Ingredients!$B$5:$B$304,0)),"Add to Ingredients"))</f>
        <v>0</v>
      </c>
      <c r="K7" s="25">
        <f>IF(B7="","",IFERROR(INDEX(Ingredients!$I$5:$I$304,MATCH(B7,Ingredients!$B$5:$B$304,0)),"Add to Ingredients"))</f>
        <v>0</v>
      </c>
      <c r="L7" s="25">
        <f>IF(B7="","",IFERROR(INDEX(Ingredients!$J$5:$J$304,MATCH(B7,Ingredients!$B$5:$B$304,0)),"Add to Ingredients"))</f>
        <v>0</v>
      </c>
      <c r="M7" s="45">
        <f>IF(OR(I7="",I7=0),"",IF(OR(J7="",NOT(ISNUMBER(J7)),J7=0),"",ROUNDUP(I7/J7,0)))</f>
        <v>0</v>
      </c>
      <c r="N7" s="45">
        <f>IF(I7="","",IF(RoundingRule="Exact quantity",I7,IF(M7="",I7,M7*J7)))</f>
        <v>0</v>
      </c>
      <c r="O7" s="25">
        <f>IF(N7="","",IF(RoundingRule="Exact quantity",IF(L7="","",N7*L7),IF(OR(M7="",K7=""),"",M7*K7)))</f>
        <v>0</v>
      </c>
      <c r="P7" s="25">
        <f>IF(B7="","",SUM(O$5:O7))</f>
        <v>0</v>
      </c>
      <c r="Q7" s="45">
        <f>IF(V7="Yes",0,IF(N7="",0,N7))</f>
        <v>0</v>
      </c>
      <c r="R7" s="18">
        <f>IF(OR(B7="",I7=0,I7=""),"",COUNTIFS($I$5:I7,"&gt;0"))</f>
        <v>0</v>
      </c>
      <c r="S7" s="18">
        <f>IF(B7="","",COUNTIFS('Recipe Ingredients'!$D$5:$D$1204,B7,'Recipe Ingredients'!$Y$5:$Y$1204,"&gt;0"))</f>
        <v>0</v>
      </c>
      <c r="T7" s="46">
        <f>IF(B7="","",IF(COUNTIFS('Recipe Ingredients'!$D$5:$D$1204,B7,'Recipe Ingredients'!$Y$5:$Y$1204,"&gt;0",'Recipe Ingredients'!$I$5:$I$1204,"No")=0,"Yes","No"))</f>
        <v>0</v>
      </c>
      <c r="U7" s="17">
        <f>IF(B7="","",IFERROR(INDEX(Ingredients!$W$5:$W$304,MATCH(B7,Ingredients!$B$5:$B$304,0)),"Add to Ingredients"))</f>
        <v>0</v>
      </c>
      <c r="Z7" s="31">
        <f>IF(B7="","",IF(V7="Yes","Bought",IF(I7=0,"In stock",IF(O7="","Check - no price","On the list"))))</f>
        <v>0</v>
      </c>
    </row>
    <row r="8" spans="1:26">
      <c r="A8" s="18">
        <f>ROW()-4</f>
        <v>0</v>
      </c>
      <c r="B8" s="17">
        <f>IFERROR(INDEX(Ingredients!$B$5:$B$304,MATCH(A8,Ingredients!$AL$5:$AL$304,0)),"")</f>
        <v>0</v>
      </c>
      <c r="C8" s="17">
        <f>IF(B8="","",IFERROR(INDEX(Ingredients!$C$5:$C$304,MATCH(B8,Ingredients!$B$5:$B$304,0)),"Add to Ingredients"))</f>
        <v>0</v>
      </c>
      <c r="D8" s="17">
        <f>IF(B8="","",IFERROR(INDEX(Ingredients!$D$5:$D$304,MATCH(B8,Ingredients!$B$5:$B$304,0)),"Add to Ingredients"))</f>
        <v>0</v>
      </c>
      <c r="E8" s="17">
        <f>IF(B8="","",IFERROR(INDEX(Ingredients!$E$5:$E$304,MATCH(B8,Ingredients!$B$5:$B$304,0)),"Add to Ingredients"))</f>
        <v>0</v>
      </c>
      <c r="F8" s="45">
        <f>IF(B8="","",IFERROR(INDEX(Ingredients!$AG$5:$AG$304,MATCH(B8,Ingredients!$B$5:$B$304,0)),""))</f>
        <v>0</v>
      </c>
      <c r="G8" s="17">
        <f>IF(B8="","",IFERROR(INDEX(Ingredients!$G$5:$G$304,MATCH(B8,Ingredients!$B$5:$B$304,0)),"Add to Ingredients"))</f>
        <v>0</v>
      </c>
      <c r="H8" s="45">
        <f>IF(B8="","",IFERROR(INDEX(Ingredients!$AD$5:$AD$304,MATCH(B8,Ingredients!$B$5:$B$304,0)),0))</f>
        <v>0</v>
      </c>
      <c r="I8" s="45">
        <f>IF(F8="","",MAX(0,F8-IF(H8="",0,H8)))</f>
        <v>0</v>
      </c>
      <c r="J8" s="45">
        <f>IF(B8="","",IFERROR(INDEX(Ingredients!$H$5:$H$304,MATCH(B8,Ingredients!$B$5:$B$304,0)),"Add to Ingredients"))</f>
        <v>0</v>
      </c>
      <c r="K8" s="25">
        <f>IF(B8="","",IFERROR(INDEX(Ingredients!$I$5:$I$304,MATCH(B8,Ingredients!$B$5:$B$304,0)),"Add to Ingredients"))</f>
        <v>0</v>
      </c>
      <c r="L8" s="25">
        <f>IF(B8="","",IFERROR(INDEX(Ingredients!$J$5:$J$304,MATCH(B8,Ingredients!$B$5:$B$304,0)),"Add to Ingredients"))</f>
        <v>0</v>
      </c>
      <c r="M8" s="45">
        <f>IF(OR(I8="",I8=0),"",IF(OR(J8="",NOT(ISNUMBER(J8)),J8=0),"",ROUNDUP(I8/J8,0)))</f>
        <v>0</v>
      </c>
      <c r="N8" s="45">
        <f>IF(I8="","",IF(RoundingRule="Exact quantity",I8,IF(M8="",I8,M8*J8)))</f>
        <v>0</v>
      </c>
      <c r="O8" s="25">
        <f>IF(N8="","",IF(RoundingRule="Exact quantity",IF(L8="","",N8*L8),IF(OR(M8="",K8=""),"",M8*K8)))</f>
        <v>0</v>
      </c>
      <c r="P8" s="25">
        <f>IF(B8="","",SUM(O$5:O8))</f>
        <v>0</v>
      </c>
      <c r="Q8" s="45">
        <f>IF(V8="Yes",0,IF(N8="",0,N8))</f>
        <v>0</v>
      </c>
      <c r="R8" s="18">
        <f>IF(OR(B8="",I8=0,I8=""),"",COUNTIFS($I$5:I8,"&gt;0"))</f>
        <v>0</v>
      </c>
      <c r="S8" s="18">
        <f>IF(B8="","",COUNTIFS('Recipe Ingredients'!$D$5:$D$1204,B8,'Recipe Ingredients'!$Y$5:$Y$1204,"&gt;0"))</f>
        <v>0</v>
      </c>
      <c r="T8" s="46">
        <f>IF(B8="","",IF(COUNTIFS('Recipe Ingredients'!$D$5:$D$1204,B8,'Recipe Ingredients'!$Y$5:$Y$1204,"&gt;0",'Recipe Ingredients'!$I$5:$I$1204,"No")=0,"Yes","No"))</f>
        <v>0</v>
      </c>
      <c r="U8" s="17">
        <f>IF(B8="","",IFERROR(INDEX(Ingredients!$W$5:$W$304,MATCH(B8,Ingredients!$B$5:$B$304,0)),"Add to Ingredients"))</f>
        <v>0</v>
      </c>
      <c r="Z8" s="31">
        <f>IF(B8="","",IF(V8="Yes","Bought",IF(I8=0,"In stock",IF(O8="","Check - no price","On the list"))))</f>
        <v>0</v>
      </c>
    </row>
    <row r="9" spans="1:26">
      <c r="A9" s="18">
        <f>ROW()-4</f>
        <v>0</v>
      </c>
      <c r="B9" s="17">
        <f>IFERROR(INDEX(Ingredients!$B$5:$B$304,MATCH(A9,Ingredients!$AL$5:$AL$304,0)),"")</f>
        <v>0</v>
      </c>
      <c r="C9" s="17">
        <f>IF(B9="","",IFERROR(INDEX(Ingredients!$C$5:$C$304,MATCH(B9,Ingredients!$B$5:$B$304,0)),"Add to Ingredients"))</f>
        <v>0</v>
      </c>
      <c r="D9" s="17">
        <f>IF(B9="","",IFERROR(INDEX(Ingredients!$D$5:$D$304,MATCH(B9,Ingredients!$B$5:$B$304,0)),"Add to Ingredients"))</f>
        <v>0</v>
      </c>
      <c r="E9" s="17">
        <f>IF(B9="","",IFERROR(INDEX(Ingredients!$E$5:$E$304,MATCH(B9,Ingredients!$B$5:$B$304,0)),"Add to Ingredients"))</f>
        <v>0</v>
      </c>
      <c r="F9" s="45">
        <f>IF(B9="","",IFERROR(INDEX(Ingredients!$AG$5:$AG$304,MATCH(B9,Ingredients!$B$5:$B$304,0)),""))</f>
        <v>0</v>
      </c>
      <c r="G9" s="17">
        <f>IF(B9="","",IFERROR(INDEX(Ingredients!$G$5:$G$304,MATCH(B9,Ingredients!$B$5:$B$304,0)),"Add to Ingredients"))</f>
        <v>0</v>
      </c>
      <c r="H9" s="45">
        <f>IF(B9="","",IFERROR(INDEX(Ingredients!$AD$5:$AD$304,MATCH(B9,Ingredients!$B$5:$B$304,0)),0))</f>
        <v>0</v>
      </c>
      <c r="I9" s="45">
        <f>IF(F9="","",MAX(0,F9-IF(H9="",0,H9)))</f>
        <v>0</v>
      </c>
      <c r="J9" s="45">
        <f>IF(B9="","",IFERROR(INDEX(Ingredients!$H$5:$H$304,MATCH(B9,Ingredients!$B$5:$B$304,0)),"Add to Ingredients"))</f>
        <v>0</v>
      </c>
      <c r="K9" s="25">
        <f>IF(B9="","",IFERROR(INDEX(Ingredients!$I$5:$I$304,MATCH(B9,Ingredients!$B$5:$B$304,0)),"Add to Ingredients"))</f>
        <v>0</v>
      </c>
      <c r="L9" s="25">
        <f>IF(B9="","",IFERROR(INDEX(Ingredients!$J$5:$J$304,MATCH(B9,Ingredients!$B$5:$B$304,0)),"Add to Ingredients"))</f>
        <v>0</v>
      </c>
      <c r="M9" s="45">
        <f>IF(OR(I9="",I9=0),"",IF(OR(J9="",NOT(ISNUMBER(J9)),J9=0),"",ROUNDUP(I9/J9,0)))</f>
        <v>0</v>
      </c>
      <c r="N9" s="45">
        <f>IF(I9="","",IF(RoundingRule="Exact quantity",I9,IF(M9="",I9,M9*J9)))</f>
        <v>0</v>
      </c>
      <c r="O9" s="25">
        <f>IF(N9="","",IF(RoundingRule="Exact quantity",IF(L9="","",N9*L9),IF(OR(M9="",K9=""),"",M9*K9)))</f>
        <v>0</v>
      </c>
      <c r="P9" s="25">
        <f>IF(B9="","",SUM(O$5:O9))</f>
        <v>0</v>
      </c>
      <c r="Q9" s="45">
        <f>IF(V9="Yes",0,IF(N9="",0,N9))</f>
        <v>0</v>
      </c>
      <c r="R9" s="18">
        <f>IF(OR(B9="",I9=0,I9=""),"",COUNTIFS($I$5:I9,"&gt;0"))</f>
        <v>0</v>
      </c>
      <c r="S9" s="18">
        <f>IF(B9="","",COUNTIFS('Recipe Ingredients'!$D$5:$D$1204,B9,'Recipe Ingredients'!$Y$5:$Y$1204,"&gt;0"))</f>
        <v>0</v>
      </c>
      <c r="T9" s="46">
        <f>IF(B9="","",IF(COUNTIFS('Recipe Ingredients'!$D$5:$D$1204,B9,'Recipe Ingredients'!$Y$5:$Y$1204,"&gt;0",'Recipe Ingredients'!$I$5:$I$1204,"No")=0,"Yes","No"))</f>
        <v>0</v>
      </c>
      <c r="U9" s="17">
        <f>IF(B9="","",IFERROR(INDEX(Ingredients!$W$5:$W$304,MATCH(B9,Ingredients!$B$5:$B$304,0)),"Add to Ingredients"))</f>
        <v>0</v>
      </c>
      <c r="Z9" s="31">
        <f>IF(B9="","",IF(V9="Yes","Bought",IF(I9=0,"In stock",IF(O9="","Check - no price","On the list"))))</f>
        <v>0</v>
      </c>
    </row>
    <row r="10" spans="1:26">
      <c r="A10" s="18">
        <f>ROW()-4</f>
        <v>0</v>
      </c>
      <c r="B10" s="17">
        <f>IFERROR(INDEX(Ingredients!$B$5:$B$304,MATCH(A10,Ingredients!$AL$5:$AL$304,0)),"")</f>
        <v>0</v>
      </c>
      <c r="C10" s="17">
        <f>IF(B10="","",IFERROR(INDEX(Ingredients!$C$5:$C$304,MATCH(B10,Ingredients!$B$5:$B$304,0)),"Add to Ingredients"))</f>
        <v>0</v>
      </c>
      <c r="D10" s="17">
        <f>IF(B10="","",IFERROR(INDEX(Ingredients!$D$5:$D$304,MATCH(B10,Ingredients!$B$5:$B$304,0)),"Add to Ingredients"))</f>
        <v>0</v>
      </c>
      <c r="E10" s="17">
        <f>IF(B10="","",IFERROR(INDEX(Ingredients!$E$5:$E$304,MATCH(B10,Ingredients!$B$5:$B$304,0)),"Add to Ingredients"))</f>
        <v>0</v>
      </c>
      <c r="F10" s="45">
        <f>IF(B10="","",IFERROR(INDEX(Ingredients!$AG$5:$AG$304,MATCH(B10,Ingredients!$B$5:$B$304,0)),""))</f>
        <v>0</v>
      </c>
      <c r="G10" s="17">
        <f>IF(B10="","",IFERROR(INDEX(Ingredients!$G$5:$G$304,MATCH(B10,Ingredients!$B$5:$B$304,0)),"Add to Ingredients"))</f>
        <v>0</v>
      </c>
      <c r="H10" s="45">
        <f>IF(B10="","",IFERROR(INDEX(Ingredients!$AD$5:$AD$304,MATCH(B10,Ingredients!$B$5:$B$304,0)),0))</f>
        <v>0</v>
      </c>
      <c r="I10" s="45">
        <f>IF(F10="","",MAX(0,F10-IF(H10="",0,H10)))</f>
        <v>0</v>
      </c>
      <c r="J10" s="45">
        <f>IF(B10="","",IFERROR(INDEX(Ingredients!$H$5:$H$304,MATCH(B10,Ingredients!$B$5:$B$304,0)),"Add to Ingredients"))</f>
        <v>0</v>
      </c>
      <c r="K10" s="25">
        <f>IF(B10="","",IFERROR(INDEX(Ingredients!$I$5:$I$304,MATCH(B10,Ingredients!$B$5:$B$304,0)),"Add to Ingredients"))</f>
        <v>0</v>
      </c>
      <c r="L10" s="25">
        <f>IF(B10="","",IFERROR(INDEX(Ingredients!$J$5:$J$304,MATCH(B10,Ingredients!$B$5:$B$304,0)),"Add to Ingredients"))</f>
        <v>0</v>
      </c>
      <c r="M10" s="45">
        <f>IF(OR(I10="",I10=0),"",IF(OR(J10="",NOT(ISNUMBER(J10)),J10=0),"",ROUNDUP(I10/J10,0)))</f>
        <v>0</v>
      </c>
      <c r="N10" s="45">
        <f>IF(I10="","",IF(RoundingRule="Exact quantity",I10,IF(M10="",I10,M10*J10)))</f>
        <v>0</v>
      </c>
      <c r="O10" s="25">
        <f>IF(N10="","",IF(RoundingRule="Exact quantity",IF(L10="","",N10*L10),IF(OR(M10="",K10=""),"",M10*K10)))</f>
        <v>0</v>
      </c>
      <c r="P10" s="25">
        <f>IF(B10="","",SUM(O$5:O10))</f>
        <v>0</v>
      </c>
      <c r="Q10" s="45">
        <f>IF(V10="Yes",0,IF(N10="",0,N10))</f>
        <v>0</v>
      </c>
      <c r="R10" s="18">
        <f>IF(OR(B10="",I10=0,I10=""),"",COUNTIFS($I$5:I10,"&gt;0"))</f>
        <v>0</v>
      </c>
      <c r="S10" s="18">
        <f>IF(B10="","",COUNTIFS('Recipe Ingredients'!$D$5:$D$1204,B10,'Recipe Ingredients'!$Y$5:$Y$1204,"&gt;0"))</f>
        <v>0</v>
      </c>
      <c r="T10" s="46">
        <f>IF(B10="","",IF(COUNTIFS('Recipe Ingredients'!$D$5:$D$1204,B10,'Recipe Ingredients'!$Y$5:$Y$1204,"&gt;0",'Recipe Ingredients'!$I$5:$I$1204,"No")=0,"Yes","No"))</f>
        <v>0</v>
      </c>
      <c r="U10" s="17">
        <f>IF(B10="","",IFERROR(INDEX(Ingredients!$W$5:$W$304,MATCH(B10,Ingredients!$B$5:$B$304,0)),"Add to Ingredients"))</f>
        <v>0</v>
      </c>
      <c r="Z10" s="31">
        <f>IF(B10="","",IF(V10="Yes","Bought",IF(I10=0,"In stock",IF(O10="","Check - no price","On the list"))))</f>
        <v>0</v>
      </c>
    </row>
    <row r="11" spans="1:26">
      <c r="A11" s="18">
        <f>ROW()-4</f>
        <v>0</v>
      </c>
      <c r="B11" s="17">
        <f>IFERROR(INDEX(Ingredients!$B$5:$B$304,MATCH(A11,Ingredients!$AL$5:$AL$304,0)),"")</f>
        <v>0</v>
      </c>
      <c r="C11" s="17">
        <f>IF(B11="","",IFERROR(INDEX(Ingredients!$C$5:$C$304,MATCH(B11,Ingredients!$B$5:$B$304,0)),"Add to Ingredients"))</f>
        <v>0</v>
      </c>
      <c r="D11" s="17">
        <f>IF(B11="","",IFERROR(INDEX(Ingredients!$D$5:$D$304,MATCH(B11,Ingredients!$B$5:$B$304,0)),"Add to Ingredients"))</f>
        <v>0</v>
      </c>
      <c r="E11" s="17">
        <f>IF(B11="","",IFERROR(INDEX(Ingredients!$E$5:$E$304,MATCH(B11,Ingredients!$B$5:$B$304,0)),"Add to Ingredients"))</f>
        <v>0</v>
      </c>
      <c r="F11" s="45">
        <f>IF(B11="","",IFERROR(INDEX(Ingredients!$AG$5:$AG$304,MATCH(B11,Ingredients!$B$5:$B$304,0)),""))</f>
        <v>0</v>
      </c>
      <c r="G11" s="17">
        <f>IF(B11="","",IFERROR(INDEX(Ingredients!$G$5:$G$304,MATCH(B11,Ingredients!$B$5:$B$304,0)),"Add to Ingredients"))</f>
        <v>0</v>
      </c>
      <c r="H11" s="45">
        <f>IF(B11="","",IFERROR(INDEX(Ingredients!$AD$5:$AD$304,MATCH(B11,Ingredients!$B$5:$B$304,0)),0))</f>
        <v>0</v>
      </c>
      <c r="I11" s="45">
        <f>IF(F11="","",MAX(0,F11-IF(H11="",0,H11)))</f>
        <v>0</v>
      </c>
      <c r="J11" s="45">
        <f>IF(B11="","",IFERROR(INDEX(Ingredients!$H$5:$H$304,MATCH(B11,Ingredients!$B$5:$B$304,0)),"Add to Ingredients"))</f>
        <v>0</v>
      </c>
      <c r="K11" s="25">
        <f>IF(B11="","",IFERROR(INDEX(Ingredients!$I$5:$I$304,MATCH(B11,Ingredients!$B$5:$B$304,0)),"Add to Ingredients"))</f>
        <v>0</v>
      </c>
      <c r="L11" s="25">
        <f>IF(B11="","",IFERROR(INDEX(Ingredients!$J$5:$J$304,MATCH(B11,Ingredients!$B$5:$B$304,0)),"Add to Ingredients"))</f>
        <v>0</v>
      </c>
      <c r="M11" s="45">
        <f>IF(OR(I11="",I11=0),"",IF(OR(J11="",NOT(ISNUMBER(J11)),J11=0),"",ROUNDUP(I11/J11,0)))</f>
        <v>0</v>
      </c>
      <c r="N11" s="45">
        <f>IF(I11="","",IF(RoundingRule="Exact quantity",I11,IF(M11="",I11,M11*J11)))</f>
        <v>0</v>
      </c>
      <c r="O11" s="25">
        <f>IF(N11="","",IF(RoundingRule="Exact quantity",IF(L11="","",N11*L11),IF(OR(M11="",K11=""),"",M11*K11)))</f>
        <v>0</v>
      </c>
      <c r="P11" s="25">
        <f>IF(B11="","",SUM(O$5:O11))</f>
        <v>0</v>
      </c>
      <c r="Q11" s="45">
        <f>IF(V11="Yes",0,IF(N11="",0,N11))</f>
        <v>0</v>
      </c>
      <c r="R11" s="18">
        <f>IF(OR(B11="",I11=0,I11=""),"",COUNTIFS($I$5:I11,"&gt;0"))</f>
        <v>0</v>
      </c>
      <c r="S11" s="18">
        <f>IF(B11="","",COUNTIFS('Recipe Ingredients'!$D$5:$D$1204,B11,'Recipe Ingredients'!$Y$5:$Y$1204,"&gt;0"))</f>
        <v>0</v>
      </c>
      <c r="T11" s="46">
        <f>IF(B11="","",IF(COUNTIFS('Recipe Ingredients'!$D$5:$D$1204,B11,'Recipe Ingredients'!$Y$5:$Y$1204,"&gt;0",'Recipe Ingredients'!$I$5:$I$1204,"No")=0,"Yes","No"))</f>
        <v>0</v>
      </c>
      <c r="U11" s="17">
        <f>IF(B11="","",IFERROR(INDEX(Ingredients!$W$5:$W$304,MATCH(B11,Ingredients!$B$5:$B$304,0)),"Add to Ingredients"))</f>
        <v>0</v>
      </c>
      <c r="Z11" s="31">
        <f>IF(B11="","",IF(V11="Yes","Bought",IF(I11=0,"In stock",IF(O11="","Check - no price","On the list"))))</f>
        <v>0</v>
      </c>
    </row>
    <row r="12" spans="1:26">
      <c r="A12" s="18">
        <f>ROW()-4</f>
        <v>0</v>
      </c>
      <c r="B12" s="17">
        <f>IFERROR(INDEX(Ingredients!$B$5:$B$304,MATCH(A12,Ingredients!$AL$5:$AL$304,0)),"")</f>
        <v>0</v>
      </c>
      <c r="C12" s="17">
        <f>IF(B12="","",IFERROR(INDEX(Ingredients!$C$5:$C$304,MATCH(B12,Ingredients!$B$5:$B$304,0)),"Add to Ingredients"))</f>
        <v>0</v>
      </c>
      <c r="D12" s="17">
        <f>IF(B12="","",IFERROR(INDEX(Ingredients!$D$5:$D$304,MATCH(B12,Ingredients!$B$5:$B$304,0)),"Add to Ingredients"))</f>
        <v>0</v>
      </c>
      <c r="E12" s="17">
        <f>IF(B12="","",IFERROR(INDEX(Ingredients!$E$5:$E$304,MATCH(B12,Ingredients!$B$5:$B$304,0)),"Add to Ingredients"))</f>
        <v>0</v>
      </c>
      <c r="F12" s="45">
        <f>IF(B12="","",IFERROR(INDEX(Ingredients!$AG$5:$AG$304,MATCH(B12,Ingredients!$B$5:$B$304,0)),""))</f>
        <v>0</v>
      </c>
      <c r="G12" s="17">
        <f>IF(B12="","",IFERROR(INDEX(Ingredients!$G$5:$G$304,MATCH(B12,Ingredients!$B$5:$B$304,0)),"Add to Ingredients"))</f>
        <v>0</v>
      </c>
      <c r="H12" s="45">
        <f>IF(B12="","",IFERROR(INDEX(Ingredients!$AD$5:$AD$304,MATCH(B12,Ingredients!$B$5:$B$304,0)),0))</f>
        <v>0</v>
      </c>
      <c r="I12" s="45">
        <f>IF(F12="","",MAX(0,F12-IF(H12="",0,H12)))</f>
        <v>0</v>
      </c>
      <c r="J12" s="45">
        <f>IF(B12="","",IFERROR(INDEX(Ingredients!$H$5:$H$304,MATCH(B12,Ingredients!$B$5:$B$304,0)),"Add to Ingredients"))</f>
        <v>0</v>
      </c>
      <c r="K12" s="25">
        <f>IF(B12="","",IFERROR(INDEX(Ingredients!$I$5:$I$304,MATCH(B12,Ingredients!$B$5:$B$304,0)),"Add to Ingredients"))</f>
        <v>0</v>
      </c>
      <c r="L12" s="25">
        <f>IF(B12="","",IFERROR(INDEX(Ingredients!$J$5:$J$304,MATCH(B12,Ingredients!$B$5:$B$304,0)),"Add to Ingredients"))</f>
        <v>0</v>
      </c>
      <c r="M12" s="45">
        <f>IF(OR(I12="",I12=0),"",IF(OR(J12="",NOT(ISNUMBER(J12)),J12=0),"",ROUNDUP(I12/J12,0)))</f>
        <v>0</v>
      </c>
      <c r="N12" s="45">
        <f>IF(I12="","",IF(RoundingRule="Exact quantity",I12,IF(M12="",I12,M12*J12)))</f>
        <v>0</v>
      </c>
      <c r="O12" s="25">
        <f>IF(N12="","",IF(RoundingRule="Exact quantity",IF(L12="","",N12*L12),IF(OR(M12="",K12=""),"",M12*K12)))</f>
        <v>0</v>
      </c>
      <c r="P12" s="25">
        <f>IF(B12="","",SUM(O$5:O12))</f>
        <v>0</v>
      </c>
      <c r="Q12" s="45">
        <f>IF(V12="Yes",0,IF(N12="",0,N12))</f>
        <v>0</v>
      </c>
      <c r="R12" s="18">
        <f>IF(OR(B12="",I12=0,I12=""),"",COUNTIFS($I$5:I12,"&gt;0"))</f>
        <v>0</v>
      </c>
      <c r="S12" s="18">
        <f>IF(B12="","",COUNTIFS('Recipe Ingredients'!$D$5:$D$1204,B12,'Recipe Ingredients'!$Y$5:$Y$1204,"&gt;0"))</f>
        <v>0</v>
      </c>
      <c r="T12" s="46">
        <f>IF(B12="","",IF(COUNTIFS('Recipe Ingredients'!$D$5:$D$1204,B12,'Recipe Ingredients'!$Y$5:$Y$1204,"&gt;0",'Recipe Ingredients'!$I$5:$I$1204,"No")=0,"Yes","No"))</f>
        <v>0</v>
      </c>
      <c r="U12" s="17">
        <f>IF(B12="","",IFERROR(INDEX(Ingredients!$W$5:$W$304,MATCH(B12,Ingredients!$B$5:$B$304,0)),"Add to Ingredients"))</f>
        <v>0</v>
      </c>
      <c r="Z12" s="31">
        <f>IF(B12="","",IF(V12="Yes","Bought",IF(I12=0,"In stock",IF(O12="","Check - no price","On the list"))))</f>
        <v>0</v>
      </c>
    </row>
    <row r="13" spans="1:26">
      <c r="A13" s="18">
        <f>ROW()-4</f>
        <v>0</v>
      </c>
      <c r="B13" s="17">
        <f>IFERROR(INDEX(Ingredients!$B$5:$B$304,MATCH(A13,Ingredients!$AL$5:$AL$304,0)),"")</f>
        <v>0</v>
      </c>
      <c r="C13" s="17">
        <f>IF(B13="","",IFERROR(INDEX(Ingredients!$C$5:$C$304,MATCH(B13,Ingredients!$B$5:$B$304,0)),"Add to Ingredients"))</f>
        <v>0</v>
      </c>
      <c r="D13" s="17">
        <f>IF(B13="","",IFERROR(INDEX(Ingredients!$D$5:$D$304,MATCH(B13,Ingredients!$B$5:$B$304,0)),"Add to Ingredients"))</f>
        <v>0</v>
      </c>
      <c r="E13" s="17">
        <f>IF(B13="","",IFERROR(INDEX(Ingredients!$E$5:$E$304,MATCH(B13,Ingredients!$B$5:$B$304,0)),"Add to Ingredients"))</f>
        <v>0</v>
      </c>
      <c r="F13" s="45">
        <f>IF(B13="","",IFERROR(INDEX(Ingredients!$AG$5:$AG$304,MATCH(B13,Ingredients!$B$5:$B$304,0)),""))</f>
        <v>0</v>
      </c>
      <c r="G13" s="17">
        <f>IF(B13="","",IFERROR(INDEX(Ingredients!$G$5:$G$304,MATCH(B13,Ingredients!$B$5:$B$304,0)),"Add to Ingredients"))</f>
        <v>0</v>
      </c>
      <c r="H13" s="45">
        <f>IF(B13="","",IFERROR(INDEX(Ingredients!$AD$5:$AD$304,MATCH(B13,Ingredients!$B$5:$B$304,0)),0))</f>
        <v>0</v>
      </c>
      <c r="I13" s="45">
        <f>IF(F13="","",MAX(0,F13-IF(H13="",0,H13)))</f>
        <v>0</v>
      </c>
      <c r="J13" s="45">
        <f>IF(B13="","",IFERROR(INDEX(Ingredients!$H$5:$H$304,MATCH(B13,Ingredients!$B$5:$B$304,0)),"Add to Ingredients"))</f>
        <v>0</v>
      </c>
      <c r="K13" s="25">
        <f>IF(B13="","",IFERROR(INDEX(Ingredients!$I$5:$I$304,MATCH(B13,Ingredients!$B$5:$B$304,0)),"Add to Ingredients"))</f>
        <v>0</v>
      </c>
      <c r="L13" s="25">
        <f>IF(B13="","",IFERROR(INDEX(Ingredients!$J$5:$J$304,MATCH(B13,Ingredients!$B$5:$B$304,0)),"Add to Ingredients"))</f>
        <v>0</v>
      </c>
      <c r="M13" s="45">
        <f>IF(OR(I13="",I13=0),"",IF(OR(J13="",NOT(ISNUMBER(J13)),J13=0),"",ROUNDUP(I13/J13,0)))</f>
        <v>0</v>
      </c>
      <c r="N13" s="45">
        <f>IF(I13="","",IF(RoundingRule="Exact quantity",I13,IF(M13="",I13,M13*J13)))</f>
        <v>0</v>
      </c>
      <c r="O13" s="25">
        <f>IF(N13="","",IF(RoundingRule="Exact quantity",IF(L13="","",N13*L13),IF(OR(M13="",K13=""),"",M13*K13)))</f>
        <v>0</v>
      </c>
      <c r="P13" s="25">
        <f>IF(B13="","",SUM(O$5:O13))</f>
        <v>0</v>
      </c>
      <c r="Q13" s="45">
        <f>IF(V13="Yes",0,IF(N13="",0,N13))</f>
        <v>0</v>
      </c>
      <c r="R13" s="18">
        <f>IF(OR(B13="",I13=0,I13=""),"",COUNTIFS($I$5:I13,"&gt;0"))</f>
        <v>0</v>
      </c>
      <c r="S13" s="18">
        <f>IF(B13="","",COUNTIFS('Recipe Ingredients'!$D$5:$D$1204,B13,'Recipe Ingredients'!$Y$5:$Y$1204,"&gt;0"))</f>
        <v>0</v>
      </c>
      <c r="T13" s="46">
        <f>IF(B13="","",IF(COUNTIFS('Recipe Ingredients'!$D$5:$D$1204,B13,'Recipe Ingredients'!$Y$5:$Y$1204,"&gt;0",'Recipe Ingredients'!$I$5:$I$1204,"No")=0,"Yes","No"))</f>
        <v>0</v>
      </c>
      <c r="U13" s="17">
        <f>IF(B13="","",IFERROR(INDEX(Ingredients!$W$5:$W$304,MATCH(B13,Ingredients!$B$5:$B$304,0)),"Add to Ingredients"))</f>
        <v>0</v>
      </c>
      <c r="Z13" s="31">
        <f>IF(B13="","",IF(V13="Yes","Bought",IF(I13=0,"In stock",IF(O13="","Check - no price","On the list"))))</f>
        <v>0</v>
      </c>
    </row>
    <row r="14" spans="1:26">
      <c r="A14" s="18">
        <f>ROW()-4</f>
        <v>0</v>
      </c>
      <c r="B14" s="17">
        <f>IFERROR(INDEX(Ingredients!$B$5:$B$304,MATCH(A14,Ingredients!$AL$5:$AL$304,0)),"")</f>
        <v>0</v>
      </c>
      <c r="C14" s="17">
        <f>IF(B14="","",IFERROR(INDEX(Ingredients!$C$5:$C$304,MATCH(B14,Ingredients!$B$5:$B$304,0)),"Add to Ingredients"))</f>
        <v>0</v>
      </c>
      <c r="D14" s="17">
        <f>IF(B14="","",IFERROR(INDEX(Ingredients!$D$5:$D$304,MATCH(B14,Ingredients!$B$5:$B$304,0)),"Add to Ingredients"))</f>
        <v>0</v>
      </c>
      <c r="E14" s="17">
        <f>IF(B14="","",IFERROR(INDEX(Ingredients!$E$5:$E$304,MATCH(B14,Ingredients!$B$5:$B$304,0)),"Add to Ingredients"))</f>
        <v>0</v>
      </c>
      <c r="F14" s="45">
        <f>IF(B14="","",IFERROR(INDEX(Ingredients!$AG$5:$AG$304,MATCH(B14,Ingredients!$B$5:$B$304,0)),""))</f>
        <v>0</v>
      </c>
      <c r="G14" s="17">
        <f>IF(B14="","",IFERROR(INDEX(Ingredients!$G$5:$G$304,MATCH(B14,Ingredients!$B$5:$B$304,0)),"Add to Ingredients"))</f>
        <v>0</v>
      </c>
      <c r="H14" s="45">
        <f>IF(B14="","",IFERROR(INDEX(Ingredients!$AD$5:$AD$304,MATCH(B14,Ingredients!$B$5:$B$304,0)),0))</f>
        <v>0</v>
      </c>
      <c r="I14" s="45">
        <f>IF(F14="","",MAX(0,F14-IF(H14="",0,H14)))</f>
        <v>0</v>
      </c>
      <c r="J14" s="45">
        <f>IF(B14="","",IFERROR(INDEX(Ingredients!$H$5:$H$304,MATCH(B14,Ingredients!$B$5:$B$304,0)),"Add to Ingredients"))</f>
        <v>0</v>
      </c>
      <c r="K14" s="25">
        <f>IF(B14="","",IFERROR(INDEX(Ingredients!$I$5:$I$304,MATCH(B14,Ingredients!$B$5:$B$304,0)),"Add to Ingredients"))</f>
        <v>0</v>
      </c>
      <c r="L14" s="25">
        <f>IF(B14="","",IFERROR(INDEX(Ingredients!$J$5:$J$304,MATCH(B14,Ingredients!$B$5:$B$304,0)),"Add to Ingredients"))</f>
        <v>0</v>
      </c>
      <c r="M14" s="45">
        <f>IF(OR(I14="",I14=0),"",IF(OR(J14="",NOT(ISNUMBER(J14)),J14=0),"",ROUNDUP(I14/J14,0)))</f>
        <v>0</v>
      </c>
      <c r="N14" s="45">
        <f>IF(I14="","",IF(RoundingRule="Exact quantity",I14,IF(M14="",I14,M14*J14)))</f>
        <v>0</v>
      </c>
      <c r="O14" s="25">
        <f>IF(N14="","",IF(RoundingRule="Exact quantity",IF(L14="","",N14*L14),IF(OR(M14="",K14=""),"",M14*K14)))</f>
        <v>0</v>
      </c>
      <c r="P14" s="25">
        <f>IF(B14="","",SUM(O$5:O14))</f>
        <v>0</v>
      </c>
      <c r="Q14" s="45">
        <f>IF(V14="Yes",0,IF(N14="",0,N14))</f>
        <v>0</v>
      </c>
      <c r="R14" s="18">
        <f>IF(OR(B14="",I14=0,I14=""),"",COUNTIFS($I$5:I14,"&gt;0"))</f>
        <v>0</v>
      </c>
      <c r="S14" s="18">
        <f>IF(B14="","",COUNTIFS('Recipe Ingredients'!$D$5:$D$1204,B14,'Recipe Ingredients'!$Y$5:$Y$1204,"&gt;0"))</f>
        <v>0</v>
      </c>
      <c r="T14" s="46">
        <f>IF(B14="","",IF(COUNTIFS('Recipe Ingredients'!$D$5:$D$1204,B14,'Recipe Ingredients'!$Y$5:$Y$1204,"&gt;0",'Recipe Ingredients'!$I$5:$I$1204,"No")=0,"Yes","No"))</f>
        <v>0</v>
      </c>
      <c r="U14" s="17">
        <f>IF(B14="","",IFERROR(INDEX(Ingredients!$W$5:$W$304,MATCH(B14,Ingredients!$B$5:$B$304,0)),"Add to Ingredients"))</f>
        <v>0</v>
      </c>
      <c r="Z14" s="31">
        <f>IF(B14="","",IF(V14="Yes","Bought",IF(I14=0,"In stock",IF(O14="","Check - no price","On the list"))))</f>
        <v>0</v>
      </c>
    </row>
    <row r="15" spans="1:26">
      <c r="A15" s="18">
        <f>ROW()-4</f>
        <v>0</v>
      </c>
      <c r="B15" s="17">
        <f>IFERROR(INDEX(Ingredients!$B$5:$B$304,MATCH(A15,Ingredients!$AL$5:$AL$304,0)),"")</f>
        <v>0</v>
      </c>
      <c r="C15" s="17">
        <f>IF(B15="","",IFERROR(INDEX(Ingredients!$C$5:$C$304,MATCH(B15,Ingredients!$B$5:$B$304,0)),"Add to Ingredients"))</f>
        <v>0</v>
      </c>
      <c r="D15" s="17">
        <f>IF(B15="","",IFERROR(INDEX(Ingredients!$D$5:$D$304,MATCH(B15,Ingredients!$B$5:$B$304,0)),"Add to Ingredients"))</f>
        <v>0</v>
      </c>
      <c r="E15" s="17">
        <f>IF(B15="","",IFERROR(INDEX(Ingredients!$E$5:$E$304,MATCH(B15,Ingredients!$B$5:$B$304,0)),"Add to Ingredients"))</f>
        <v>0</v>
      </c>
      <c r="F15" s="45">
        <f>IF(B15="","",IFERROR(INDEX(Ingredients!$AG$5:$AG$304,MATCH(B15,Ingredients!$B$5:$B$304,0)),""))</f>
        <v>0</v>
      </c>
      <c r="G15" s="17">
        <f>IF(B15="","",IFERROR(INDEX(Ingredients!$G$5:$G$304,MATCH(B15,Ingredients!$B$5:$B$304,0)),"Add to Ingredients"))</f>
        <v>0</v>
      </c>
      <c r="H15" s="45">
        <f>IF(B15="","",IFERROR(INDEX(Ingredients!$AD$5:$AD$304,MATCH(B15,Ingredients!$B$5:$B$304,0)),0))</f>
        <v>0</v>
      </c>
      <c r="I15" s="45">
        <f>IF(F15="","",MAX(0,F15-IF(H15="",0,H15)))</f>
        <v>0</v>
      </c>
      <c r="J15" s="45">
        <f>IF(B15="","",IFERROR(INDEX(Ingredients!$H$5:$H$304,MATCH(B15,Ingredients!$B$5:$B$304,0)),"Add to Ingredients"))</f>
        <v>0</v>
      </c>
      <c r="K15" s="25">
        <f>IF(B15="","",IFERROR(INDEX(Ingredients!$I$5:$I$304,MATCH(B15,Ingredients!$B$5:$B$304,0)),"Add to Ingredients"))</f>
        <v>0</v>
      </c>
      <c r="L15" s="25">
        <f>IF(B15="","",IFERROR(INDEX(Ingredients!$J$5:$J$304,MATCH(B15,Ingredients!$B$5:$B$304,0)),"Add to Ingredients"))</f>
        <v>0</v>
      </c>
      <c r="M15" s="45">
        <f>IF(OR(I15="",I15=0),"",IF(OR(J15="",NOT(ISNUMBER(J15)),J15=0),"",ROUNDUP(I15/J15,0)))</f>
        <v>0</v>
      </c>
      <c r="N15" s="45">
        <f>IF(I15="","",IF(RoundingRule="Exact quantity",I15,IF(M15="",I15,M15*J15)))</f>
        <v>0</v>
      </c>
      <c r="O15" s="25">
        <f>IF(N15="","",IF(RoundingRule="Exact quantity",IF(L15="","",N15*L15),IF(OR(M15="",K15=""),"",M15*K15)))</f>
        <v>0</v>
      </c>
      <c r="P15" s="25">
        <f>IF(B15="","",SUM(O$5:O15))</f>
        <v>0</v>
      </c>
      <c r="Q15" s="45">
        <f>IF(V15="Yes",0,IF(N15="",0,N15))</f>
        <v>0</v>
      </c>
      <c r="R15" s="18">
        <f>IF(OR(B15="",I15=0,I15=""),"",COUNTIFS($I$5:I15,"&gt;0"))</f>
        <v>0</v>
      </c>
      <c r="S15" s="18">
        <f>IF(B15="","",COUNTIFS('Recipe Ingredients'!$D$5:$D$1204,B15,'Recipe Ingredients'!$Y$5:$Y$1204,"&gt;0"))</f>
        <v>0</v>
      </c>
      <c r="T15" s="46">
        <f>IF(B15="","",IF(COUNTIFS('Recipe Ingredients'!$D$5:$D$1204,B15,'Recipe Ingredients'!$Y$5:$Y$1204,"&gt;0",'Recipe Ingredients'!$I$5:$I$1204,"No")=0,"Yes","No"))</f>
        <v>0</v>
      </c>
      <c r="U15" s="17">
        <f>IF(B15="","",IFERROR(INDEX(Ingredients!$W$5:$W$304,MATCH(B15,Ingredients!$B$5:$B$304,0)),"Add to Ingredients"))</f>
        <v>0</v>
      </c>
      <c r="Z15" s="31">
        <f>IF(B15="","",IF(V15="Yes","Bought",IF(I15=0,"In stock",IF(O15="","Check - no price","On the list"))))</f>
        <v>0</v>
      </c>
    </row>
    <row r="16" spans="1:26">
      <c r="A16" s="18">
        <f>ROW()-4</f>
        <v>0</v>
      </c>
      <c r="B16" s="17">
        <f>IFERROR(INDEX(Ingredients!$B$5:$B$304,MATCH(A16,Ingredients!$AL$5:$AL$304,0)),"")</f>
        <v>0</v>
      </c>
      <c r="C16" s="17">
        <f>IF(B16="","",IFERROR(INDEX(Ingredients!$C$5:$C$304,MATCH(B16,Ingredients!$B$5:$B$304,0)),"Add to Ingredients"))</f>
        <v>0</v>
      </c>
      <c r="D16" s="17">
        <f>IF(B16="","",IFERROR(INDEX(Ingredients!$D$5:$D$304,MATCH(B16,Ingredients!$B$5:$B$304,0)),"Add to Ingredients"))</f>
        <v>0</v>
      </c>
      <c r="E16" s="17">
        <f>IF(B16="","",IFERROR(INDEX(Ingredients!$E$5:$E$304,MATCH(B16,Ingredients!$B$5:$B$304,0)),"Add to Ingredients"))</f>
        <v>0</v>
      </c>
      <c r="F16" s="45">
        <f>IF(B16="","",IFERROR(INDEX(Ingredients!$AG$5:$AG$304,MATCH(B16,Ingredients!$B$5:$B$304,0)),""))</f>
        <v>0</v>
      </c>
      <c r="G16" s="17">
        <f>IF(B16="","",IFERROR(INDEX(Ingredients!$G$5:$G$304,MATCH(B16,Ingredients!$B$5:$B$304,0)),"Add to Ingredients"))</f>
        <v>0</v>
      </c>
      <c r="H16" s="45">
        <f>IF(B16="","",IFERROR(INDEX(Ingredients!$AD$5:$AD$304,MATCH(B16,Ingredients!$B$5:$B$304,0)),0))</f>
        <v>0</v>
      </c>
      <c r="I16" s="45">
        <f>IF(F16="","",MAX(0,F16-IF(H16="",0,H16)))</f>
        <v>0</v>
      </c>
      <c r="J16" s="45">
        <f>IF(B16="","",IFERROR(INDEX(Ingredients!$H$5:$H$304,MATCH(B16,Ingredients!$B$5:$B$304,0)),"Add to Ingredients"))</f>
        <v>0</v>
      </c>
      <c r="K16" s="25">
        <f>IF(B16="","",IFERROR(INDEX(Ingredients!$I$5:$I$304,MATCH(B16,Ingredients!$B$5:$B$304,0)),"Add to Ingredients"))</f>
        <v>0</v>
      </c>
      <c r="L16" s="25">
        <f>IF(B16="","",IFERROR(INDEX(Ingredients!$J$5:$J$304,MATCH(B16,Ingredients!$B$5:$B$304,0)),"Add to Ingredients"))</f>
        <v>0</v>
      </c>
      <c r="M16" s="45">
        <f>IF(OR(I16="",I16=0),"",IF(OR(J16="",NOT(ISNUMBER(J16)),J16=0),"",ROUNDUP(I16/J16,0)))</f>
        <v>0</v>
      </c>
      <c r="N16" s="45">
        <f>IF(I16="","",IF(RoundingRule="Exact quantity",I16,IF(M16="",I16,M16*J16)))</f>
        <v>0</v>
      </c>
      <c r="O16" s="25">
        <f>IF(N16="","",IF(RoundingRule="Exact quantity",IF(L16="","",N16*L16),IF(OR(M16="",K16=""),"",M16*K16)))</f>
        <v>0</v>
      </c>
      <c r="P16" s="25">
        <f>IF(B16="","",SUM(O$5:O16))</f>
        <v>0</v>
      </c>
      <c r="Q16" s="45">
        <f>IF(V16="Yes",0,IF(N16="",0,N16))</f>
        <v>0</v>
      </c>
      <c r="R16" s="18">
        <f>IF(OR(B16="",I16=0,I16=""),"",COUNTIFS($I$5:I16,"&gt;0"))</f>
        <v>0</v>
      </c>
      <c r="S16" s="18">
        <f>IF(B16="","",COUNTIFS('Recipe Ingredients'!$D$5:$D$1204,B16,'Recipe Ingredients'!$Y$5:$Y$1204,"&gt;0"))</f>
        <v>0</v>
      </c>
      <c r="T16" s="46">
        <f>IF(B16="","",IF(COUNTIFS('Recipe Ingredients'!$D$5:$D$1204,B16,'Recipe Ingredients'!$Y$5:$Y$1204,"&gt;0",'Recipe Ingredients'!$I$5:$I$1204,"No")=0,"Yes","No"))</f>
        <v>0</v>
      </c>
      <c r="U16" s="17">
        <f>IF(B16="","",IFERROR(INDEX(Ingredients!$W$5:$W$304,MATCH(B16,Ingredients!$B$5:$B$304,0)),"Add to Ingredients"))</f>
        <v>0</v>
      </c>
      <c r="Z16" s="31">
        <f>IF(B16="","",IF(V16="Yes","Bought",IF(I16=0,"In stock",IF(O16="","Check - no price","On the list"))))</f>
        <v>0</v>
      </c>
    </row>
    <row r="17" spans="1:26">
      <c r="A17" s="18">
        <f>ROW()-4</f>
        <v>0</v>
      </c>
      <c r="B17" s="17">
        <f>IFERROR(INDEX(Ingredients!$B$5:$B$304,MATCH(A17,Ingredients!$AL$5:$AL$304,0)),"")</f>
        <v>0</v>
      </c>
      <c r="C17" s="17">
        <f>IF(B17="","",IFERROR(INDEX(Ingredients!$C$5:$C$304,MATCH(B17,Ingredients!$B$5:$B$304,0)),"Add to Ingredients"))</f>
        <v>0</v>
      </c>
      <c r="D17" s="17">
        <f>IF(B17="","",IFERROR(INDEX(Ingredients!$D$5:$D$304,MATCH(B17,Ingredients!$B$5:$B$304,0)),"Add to Ingredients"))</f>
        <v>0</v>
      </c>
      <c r="E17" s="17">
        <f>IF(B17="","",IFERROR(INDEX(Ingredients!$E$5:$E$304,MATCH(B17,Ingredients!$B$5:$B$304,0)),"Add to Ingredients"))</f>
        <v>0</v>
      </c>
      <c r="F17" s="45">
        <f>IF(B17="","",IFERROR(INDEX(Ingredients!$AG$5:$AG$304,MATCH(B17,Ingredients!$B$5:$B$304,0)),""))</f>
        <v>0</v>
      </c>
      <c r="G17" s="17">
        <f>IF(B17="","",IFERROR(INDEX(Ingredients!$G$5:$G$304,MATCH(B17,Ingredients!$B$5:$B$304,0)),"Add to Ingredients"))</f>
        <v>0</v>
      </c>
      <c r="H17" s="45">
        <f>IF(B17="","",IFERROR(INDEX(Ingredients!$AD$5:$AD$304,MATCH(B17,Ingredients!$B$5:$B$304,0)),0))</f>
        <v>0</v>
      </c>
      <c r="I17" s="45">
        <f>IF(F17="","",MAX(0,F17-IF(H17="",0,H17)))</f>
        <v>0</v>
      </c>
      <c r="J17" s="45">
        <f>IF(B17="","",IFERROR(INDEX(Ingredients!$H$5:$H$304,MATCH(B17,Ingredients!$B$5:$B$304,0)),"Add to Ingredients"))</f>
        <v>0</v>
      </c>
      <c r="K17" s="25">
        <f>IF(B17="","",IFERROR(INDEX(Ingredients!$I$5:$I$304,MATCH(B17,Ingredients!$B$5:$B$304,0)),"Add to Ingredients"))</f>
        <v>0</v>
      </c>
      <c r="L17" s="25">
        <f>IF(B17="","",IFERROR(INDEX(Ingredients!$J$5:$J$304,MATCH(B17,Ingredients!$B$5:$B$304,0)),"Add to Ingredients"))</f>
        <v>0</v>
      </c>
      <c r="M17" s="45">
        <f>IF(OR(I17="",I17=0),"",IF(OR(J17="",NOT(ISNUMBER(J17)),J17=0),"",ROUNDUP(I17/J17,0)))</f>
        <v>0</v>
      </c>
      <c r="N17" s="45">
        <f>IF(I17="","",IF(RoundingRule="Exact quantity",I17,IF(M17="",I17,M17*J17)))</f>
        <v>0</v>
      </c>
      <c r="O17" s="25">
        <f>IF(N17="","",IF(RoundingRule="Exact quantity",IF(L17="","",N17*L17),IF(OR(M17="",K17=""),"",M17*K17)))</f>
        <v>0</v>
      </c>
      <c r="P17" s="25">
        <f>IF(B17="","",SUM(O$5:O17))</f>
        <v>0</v>
      </c>
      <c r="Q17" s="45">
        <f>IF(V17="Yes",0,IF(N17="",0,N17))</f>
        <v>0</v>
      </c>
      <c r="R17" s="18">
        <f>IF(OR(B17="",I17=0,I17=""),"",COUNTIFS($I$5:I17,"&gt;0"))</f>
        <v>0</v>
      </c>
      <c r="S17" s="18">
        <f>IF(B17="","",COUNTIFS('Recipe Ingredients'!$D$5:$D$1204,B17,'Recipe Ingredients'!$Y$5:$Y$1204,"&gt;0"))</f>
        <v>0</v>
      </c>
      <c r="T17" s="46">
        <f>IF(B17="","",IF(COUNTIFS('Recipe Ingredients'!$D$5:$D$1204,B17,'Recipe Ingredients'!$Y$5:$Y$1204,"&gt;0",'Recipe Ingredients'!$I$5:$I$1204,"No")=0,"Yes","No"))</f>
        <v>0</v>
      </c>
      <c r="U17" s="17">
        <f>IF(B17="","",IFERROR(INDEX(Ingredients!$W$5:$W$304,MATCH(B17,Ingredients!$B$5:$B$304,0)),"Add to Ingredients"))</f>
        <v>0</v>
      </c>
      <c r="Z17" s="31">
        <f>IF(B17="","",IF(V17="Yes","Bought",IF(I17=0,"In stock",IF(O17="","Check - no price","On the list"))))</f>
        <v>0</v>
      </c>
    </row>
    <row r="18" spans="1:26">
      <c r="A18" s="18">
        <f>ROW()-4</f>
        <v>0</v>
      </c>
      <c r="B18" s="17">
        <f>IFERROR(INDEX(Ingredients!$B$5:$B$304,MATCH(A18,Ingredients!$AL$5:$AL$304,0)),"")</f>
        <v>0</v>
      </c>
      <c r="C18" s="17">
        <f>IF(B18="","",IFERROR(INDEX(Ingredients!$C$5:$C$304,MATCH(B18,Ingredients!$B$5:$B$304,0)),"Add to Ingredients"))</f>
        <v>0</v>
      </c>
      <c r="D18" s="17">
        <f>IF(B18="","",IFERROR(INDEX(Ingredients!$D$5:$D$304,MATCH(B18,Ingredients!$B$5:$B$304,0)),"Add to Ingredients"))</f>
        <v>0</v>
      </c>
      <c r="E18" s="17">
        <f>IF(B18="","",IFERROR(INDEX(Ingredients!$E$5:$E$304,MATCH(B18,Ingredients!$B$5:$B$304,0)),"Add to Ingredients"))</f>
        <v>0</v>
      </c>
      <c r="F18" s="45">
        <f>IF(B18="","",IFERROR(INDEX(Ingredients!$AG$5:$AG$304,MATCH(B18,Ingredients!$B$5:$B$304,0)),""))</f>
        <v>0</v>
      </c>
      <c r="G18" s="17">
        <f>IF(B18="","",IFERROR(INDEX(Ingredients!$G$5:$G$304,MATCH(B18,Ingredients!$B$5:$B$304,0)),"Add to Ingredients"))</f>
        <v>0</v>
      </c>
      <c r="H18" s="45">
        <f>IF(B18="","",IFERROR(INDEX(Ingredients!$AD$5:$AD$304,MATCH(B18,Ingredients!$B$5:$B$304,0)),0))</f>
        <v>0</v>
      </c>
      <c r="I18" s="45">
        <f>IF(F18="","",MAX(0,F18-IF(H18="",0,H18)))</f>
        <v>0</v>
      </c>
      <c r="J18" s="45">
        <f>IF(B18="","",IFERROR(INDEX(Ingredients!$H$5:$H$304,MATCH(B18,Ingredients!$B$5:$B$304,0)),"Add to Ingredients"))</f>
        <v>0</v>
      </c>
      <c r="K18" s="25">
        <f>IF(B18="","",IFERROR(INDEX(Ingredients!$I$5:$I$304,MATCH(B18,Ingredients!$B$5:$B$304,0)),"Add to Ingredients"))</f>
        <v>0</v>
      </c>
      <c r="L18" s="25">
        <f>IF(B18="","",IFERROR(INDEX(Ingredients!$J$5:$J$304,MATCH(B18,Ingredients!$B$5:$B$304,0)),"Add to Ingredients"))</f>
        <v>0</v>
      </c>
      <c r="M18" s="45">
        <f>IF(OR(I18="",I18=0),"",IF(OR(J18="",NOT(ISNUMBER(J18)),J18=0),"",ROUNDUP(I18/J18,0)))</f>
        <v>0</v>
      </c>
      <c r="N18" s="45">
        <f>IF(I18="","",IF(RoundingRule="Exact quantity",I18,IF(M18="",I18,M18*J18)))</f>
        <v>0</v>
      </c>
      <c r="O18" s="25">
        <f>IF(N18="","",IF(RoundingRule="Exact quantity",IF(L18="","",N18*L18),IF(OR(M18="",K18=""),"",M18*K18)))</f>
        <v>0</v>
      </c>
      <c r="P18" s="25">
        <f>IF(B18="","",SUM(O$5:O18))</f>
        <v>0</v>
      </c>
      <c r="Q18" s="45">
        <f>IF(V18="Yes",0,IF(N18="",0,N18))</f>
        <v>0</v>
      </c>
      <c r="R18" s="18">
        <f>IF(OR(B18="",I18=0,I18=""),"",COUNTIFS($I$5:I18,"&gt;0"))</f>
        <v>0</v>
      </c>
      <c r="S18" s="18">
        <f>IF(B18="","",COUNTIFS('Recipe Ingredients'!$D$5:$D$1204,B18,'Recipe Ingredients'!$Y$5:$Y$1204,"&gt;0"))</f>
        <v>0</v>
      </c>
      <c r="T18" s="46">
        <f>IF(B18="","",IF(COUNTIFS('Recipe Ingredients'!$D$5:$D$1204,B18,'Recipe Ingredients'!$Y$5:$Y$1204,"&gt;0",'Recipe Ingredients'!$I$5:$I$1204,"No")=0,"Yes","No"))</f>
        <v>0</v>
      </c>
      <c r="U18" s="17">
        <f>IF(B18="","",IFERROR(INDEX(Ingredients!$W$5:$W$304,MATCH(B18,Ingredients!$B$5:$B$304,0)),"Add to Ingredients"))</f>
        <v>0</v>
      </c>
      <c r="Z18" s="31">
        <f>IF(B18="","",IF(V18="Yes","Bought",IF(I18=0,"In stock",IF(O18="","Check - no price","On the list"))))</f>
        <v>0</v>
      </c>
    </row>
    <row r="19" spans="1:26">
      <c r="A19" s="18">
        <f>ROW()-4</f>
        <v>0</v>
      </c>
      <c r="B19" s="17">
        <f>IFERROR(INDEX(Ingredients!$B$5:$B$304,MATCH(A19,Ingredients!$AL$5:$AL$304,0)),"")</f>
        <v>0</v>
      </c>
      <c r="C19" s="17">
        <f>IF(B19="","",IFERROR(INDEX(Ingredients!$C$5:$C$304,MATCH(B19,Ingredients!$B$5:$B$304,0)),"Add to Ingredients"))</f>
        <v>0</v>
      </c>
      <c r="D19" s="17">
        <f>IF(B19="","",IFERROR(INDEX(Ingredients!$D$5:$D$304,MATCH(B19,Ingredients!$B$5:$B$304,0)),"Add to Ingredients"))</f>
        <v>0</v>
      </c>
      <c r="E19" s="17">
        <f>IF(B19="","",IFERROR(INDEX(Ingredients!$E$5:$E$304,MATCH(B19,Ingredients!$B$5:$B$304,0)),"Add to Ingredients"))</f>
        <v>0</v>
      </c>
      <c r="F19" s="45">
        <f>IF(B19="","",IFERROR(INDEX(Ingredients!$AG$5:$AG$304,MATCH(B19,Ingredients!$B$5:$B$304,0)),""))</f>
        <v>0</v>
      </c>
      <c r="G19" s="17">
        <f>IF(B19="","",IFERROR(INDEX(Ingredients!$G$5:$G$304,MATCH(B19,Ingredients!$B$5:$B$304,0)),"Add to Ingredients"))</f>
        <v>0</v>
      </c>
      <c r="H19" s="45">
        <f>IF(B19="","",IFERROR(INDEX(Ingredients!$AD$5:$AD$304,MATCH(B19,Ingredients!$B$5:$B$304,0)),0))</f>
        <v>0</v>
      </c>
      <c r="I19" s="45">
        <f>IF(F19="","",MAX(0,F19-IF(H19="",0,H19)))</f>
        <v>0</v>
      </c>
      <c r="J19" s="45">
        <f>IF(B19="","",IFERROR(INDEX(Ingredients!$H$5:$H$304,MATCH(B19,Ingredients!$B$5:$B$304,0)),"Add to Ingredients"))</f>
        <v>0</v>
      </c>
      <c r="K19" s="25">
        <f>IF(B19="","",IFERROR(INDEX(Ingredients!$I$5:$I$304,MATCH(B19,Ingredients!$B$5:$B$304,0)),"Add to Ingredients"))</f>
        <v>0</v>
      </c>
      <c r="L19" s="25">
        <f>IF(B19="","",IFERROR(INDEX(Ingredients!$J$5:$J$304,MATCH(B19,Ingredients!$B$5:$B$304,0)),"Add to Ingredients"))</f>
        <v>0</v>
      </c>
      <c r="M19" s="45">
        <f>IF(OR(I19="",I19=0),"",IF(OR(J19="",NOT(ISNUMBER(J19)),J19=0),"",ROUNDUP(I19/J19,0)))</f>
        <v>0</v>
      </c>
      <c r="N19" s="45">
        <f>IF(I19="","",IF(RoundingRule="Exact quantity",I19,IF(M19="",I19,M19*J19)))</f>
        <v>0</v>
      </c>
      <c r="O19" s="25">
        <f>IF(N19="","",IF(RoundingRule="Exact quantity",IF(L19="","",N19*L19),IF(OR(M19="",K19=""),"",M19*K19)))</f>
        <v>0</v>
      </c>
      <c r="P19" s="25">
        <f>IF(B19="","",SUM(O$5:O19))</f>
        <v>0</v>
      </c>
      <c r="Q19" s="45">
        <f>IF(V19="Yes",0,IF(N19="",0,N19))</f>
        <v>0</v>
      </c>
      <c r="R19" s="18">
        <f>IF(OR(B19="",I19=0,I19=""),"",COUNTIFS($I$5:I19,"&gt;0"))</f>
        <v>0</v>
      </c>
      <c r="S19" s="18">
        <f>IF(B19="","",COUNTIFS('Recipe Ingredients'!$D$5:$D$1204,B19,'Recipe Ingredients'!$Y$5:$Y$1204,"&gt;0"))</f>
        <v>0</v>
      </c>
      <c r="T19" s="46">
        <f>IF(B19="","",IF(COUNTIFS('Recipe Ingredients'!$D$5:$D$1204,B19,'Recipe Ingredients'!$Y$5:$Y$1204,"&gt;0",'Recipe Ingredients'!$I$5:$I$1204,"No")=0,"Yes","No"))</f>
        <v>0</v>
      </c>
      <c r="U19" s="17">
        <f>IF(B19="","",IFERROR(INDEX(Ingredients!$W$5:$W$304,MATCH(B19,Ingredients!$B$5:$B$304,0)),"Add to Ingredients"))</f>
        <v>0</v>
      </c>
      <c r="Z19" s="31">
        <f>IF(B19="","",IF(V19="Yes","Bought",IF(I19=0,"In stock",IF(O19="","Check - no price","On the list"))))</f>
        <v>0</v>
      </c>
    </row>
    <row r="20" spans="1:26">
      <c r="A20" s="18">
        <f>ROW()-4</f>
        <v>0</v>
      </c>
      <c r="B20" s="17">
        <f>IFERROR(INDEX(Ingredients!$B$5:$B$304,MATCH(A20,Ingredients!$AL$5:$AL$304,0)),"")</f>
        <v>0</v>
      </c>
      <c r="C20" s="17">
        <f>IF(B20="","",IFERROR(INDEX(Ingredients!$C$5:$C$304,MATCH(B20,Ingredients!$B$5:$B$304,0)),"Add to Ingredients"))</f>
        <v>0</v>
      </c>
      <c r="D20" s="17">
        <f>IF(B20="","",IFERROR(INDEX(Ingredients!$D$5:$D$304,MATCH(B20,Ingredients!$B$5:$B$304,0)),"Add to Ingredients"))</f>
        <v>0</v>
      </c>
      <c r="E20" s="17">
        <f>IF(B20="","",IFERROR(INDEX(Ingredients!$E$5:$E$304,MATCH(B20,Ingredients!$B$5:$B$304,0)),"Add to Ingredients"))</f>
        <v>0</v>
      </c>
      <c r="F20" s="45">
        <f>IF(B20="","",IFERROR(INDEX(Ingredients!$AG$5:$AG$304,MATCH(B20,Ingredients!$B$5:$B$304,0)),""))</f>
        <v>0</v>
      </c>
      <c r="G20" s="17">
        <f>IF(B20="","",IFERROR(INDEX(Ingredients!$G$5:$G$304,MATCH(B20,Ingredients!$B$5:$B$304,0)),"Add to Ingredients"))</f>
        <v>0</v>
      </c>
      <c r="H20" s="45">
        <f>IF(B20="","",IFERROR(INDEX(Ingredients!$AD$5:$AD$304,MATCH(B20,Ingredients!$B$5:$B$304,0)),0))</f>
        <v>0</v>
      </c>
      <c r="I20" s="45">
        <f>IF(F20="","",MAX(0,F20-IF(H20="",0,H20)))</f>
        <v>0</v>
      </c>
      <c r="J20" s="45">
        <f>IF(B20="","",IFERROR(INDEX(Ingredients!$H$5:$H$304,MATCH(B20,Ingredients!$B$5:$B$304,0)),"Add to Ingredients"))</f>
        <v>0</v>
      </c>
      <c r="K20" s="25">
        <f>IF(B20="","",IFERROR(INDEX(Ingredients!$I$5:$I$304,MATCH(B20,Ingredients!$B$5:$B$304,0)),"Add to Ingredients"))</f>
        <v>0</v>
      </c>
      <c r="L20" s="25">
        <f>IF(B20="","",IFERROR(INDEX(Ingredients!$J$5:$J$304,MATCH(B20,Ingredients!$B$5:$B$304,0)),"Add to Ingredients"))</f>
        <v>0</v>
      </c>
      <c r="M20" s="45">
        <f>IF(OR(I20="",I20=0),"",IF(OR(J20="",NOT(ISNUMBER(J20)),J20=0),"",ROUNDUP(I20/J20,0)))</f>
        <v>0</v>
      </c>
      <c r="N20" s="45">
        <f>IF(I20="","",IF(RoundingRule="Exact quantity",I20,IF(M20="",I20,M20*J20)))</f>
        <v>0</v>
      </c>
      <c r="O20" s="25">
        <f>IF(N20="","",IF(RoundingRule="Exact quantity",IF(L20="","",N20*L20),IF(OR(M20="",K20=""),"",M20*K20)))</f>
        <v>0</v>
      </c>
      <c r="P20" s="25">
        <f>IF(B20="","",SUM(O$5:O20))</f>
        <v>0</v>
      </c>
      <c r="Q20" s="45">
        <f>IF(V20="Yes",0,IF(N20="",0,N20))</f>
        <v>0</v>
      </c>
      <c r="R20" s="18">
        <f>IF(OR(B20="",I20=0,I20=""),"",COUNTIFS($I$5:I20,"&gt;0"))</f>
        <v>0</v>
      </c>
      <c r="S20" s="18">
        <f>IF(B20="","",COUNTIFS('Recipe Ingredients'!$D$5:$D$1204,B20,'Recipe Ingredients'!$Y$5:$Y$1204,"&gt;0"))</f>
        <v>0</v>
      </c>
      <c r="T20" s="46">
        <f>IF(B20="","",IF(COUNTIFS('Recipe Ingredients'!$D$5:$D$1204,B20,'Recipe Ingredients'!$Y$5:$Y$1204,"&gt;0",'Recipe Ingredients'!$I$5:$I$1204,"No")=0,"Yes","No"))</f>
        <v>0</v>
      </c>
      <c r="U20" s="17">
        <f>IF(B20="","",IFERROR(INDEX(Ingredients!$W$5:$W$304,MATCH(B20,Ingredients!$B$5:$B$304,0)),"Add to Ingredients"))</f>
        <v>0</v>
      </c>
      <c r="Z20" s="31">
        <f>IF(B20="","",IF(V20="Yes","Bought",IF(I20=0,"In stock",IF(O20="","Check - no price","On the list"))))</f>
        <v>0</v>
      </c>
    </row>
    <row r="21" spans="1:26">
      <c r="A21" s="18">
        <f>ROW()-4</f>
        <v>0</v>
      </c>
      <c r="B21" s="17">
        <f>IFERROR(INDEX(Ingredients!$B$5:$B$304,MATCH(A21,Ingredients!$AL$5:$AL$304,0)),"")</f>
        <v>0</v>
      </c>
      <c r="C21" s="17">
        <f>IF(B21="","",IFERROR(INDEX(Ingredients!$C$5:$C$304,MATCH(B21,Ingredients!$B$5:$B$304,0)),"Add to Ingredients"))</f>
        <v>0</v>
      </c>
      <c r="D21" s="17">
        <f>IF(B21="","",IFERROR(INDEX(Ingredients!$D$5:$D$304,MATCH(B21,Ingredients!$B$5:$B$304,0)),"Add to Ingredients"))</f>
        <v>0</v>
      </c>
      <c r="E21" s="17">
        <f>IF(B21="","",IFERROR(INDEX(Ingredients!$E$5:$E$304,MATCH(B21,Ingredients!$B$5:$B$304,0)),"Add to Ingredients"))</f>
        <v>0</v>
      </c>
      <c r="F21" s="45">
        <f>IF(B21="","",IFERROR(INDEX(Ingredients!$AG$5:$AG$304,MATCH(B21,Ingredients!$B$5:$B$304,0)),""))</f>
        <v>0</v>
      </c>
      <c r="G21" s="17">
        <f>IF(B21="","",IFERROR(INDEX(Ingredients!$G$5:$G$304,MATCH(B21,Ingredients!$B$5:$B$304,0)),"Add to Ingredients"))</f>
        <v>0</v>
      </c>
      <c r="H21" s="45">
        <f>IF(B21="","",IFERROR(INDEX(Ingredients!$AD$5:$AD$304,MATCH(B21,Ingredients!$B$5:$B$304,0)),0))</f>
        <v>0</v>
      </c>
      <c r="I21" s="45">
        <f>IF(F21="","",MAX(0,F21-IF(H21="",0,H21)))</f>
        <v>0</v>
      </c>
      <c r="J21" s="45">
        <f>IF(B21="","",IFERROR(INDEX(Ingredients!$H$5:$H$304,MATCH(B21,Ingredients!$B$5:$B$304,0)),"Add to Ingredients"))</f>
        <v>0</v>
      </c>
      <c r="K21" s="25">
        <f>IF(B21="","",IFERROR(INDEX(Ingredients!$I$5:$I$304,MATCH(B21,Ingredients!$B$5:$B$304,0)),"Add to Ingredients"))</f>
        <v>0</v>
      </c>
      <c r="L21" s="25">
        <f>IF(B21="","",IFERROR(INDEX(Ingredients!$J$5:$J$304,MATCH(B21,Ingredients!$B$5:$B$304,0)),"Add to Ingredients"))</f>
        <v>0</v>
      </c>
      <c r="M21" s="45">
        <f>IF(OR(I21="",I21=0),"",IF(OR(J21="",NOT(ISNUMBER(J21)),J21=0),"",ROUNDUP(I21/J21,0)))</f>
        <v>0</v>
      </c>
      <c r="N21" s="45">
        <f>IF(I21="","",IF(RoundingRule="Exact quantity",I21,IF(M21="",I21,M21*J21)))</f>
        <v>0</v>
      </c>
      <c r="O21" s="25">
        <f>IF(N21="","",IF(RoundingRule="Exact quantity",IF(L21="","",N21*L21),IF(OR(M21="",K21=""),"",M21*K21)))</f>
        <v>0</v>
      </c>
      <c r="P21" s="25">
        <f>IF(B21="","",SUM(O$5:O21))</f>
        <v>0</v>
      </c>
      <c r="Q21" s="45">
        <f>IF(V21="Yes",0,IF(N21="",0,N21))</f>
        <v>0</v>
      </c>
      <c r="R21" s="18">
        <f>IF(OR(B21="",I21=0,I21=""),"",COUNTIFS($I$5:I21,"&gt;0"))</f>
        <v>0</v>
      </c>
      <c r="S21" s="18">
        <f>IF(B21="","",COUNTIFS('Recipe Ingredients'!$D$5:$D$1204,B21,'Recipe Ingredients'!$Y$5:$Y$1204,"&gt;0"))</f>
        <v>0</v>
      </c>
      <c r="T21" s="46">
        <f>IF(B21="","",IF(COUNTIFS('Recipe Ingredients'!$D$5:$D$1204,B21,'Recipe Ingredients'!$Y$5:$Y$1204,"&gt;0",'Recipe Ingredients'!$I$5:$I$1204,"No")=0,"Yes","No"))</f>
        <v>0</v>
      </c>
      <c r="U21" s="17">
        <f>IF(B21="","",IFERROR(INDEX(Ingredients!$W$5:$W$304,MATCH(B21,Ingredients!$B$5:$B$304,0)),"Add to Ingredients"))</f>
        <v>0</v>
      </c>
      <c r="Z21" s="31">
        <f>IF(B21="","",IF(V21="Yes","Bought",IF(I21=0,"In stock",IF(O21="","Check - no price","On the list"))))</f>
        <v>0</v>
      </c>
    </row>
    <row r="22" spans="1:26">
      <c r="A22" s="18">
        <f>ROW()-4</f>
        <v>0</v>
      </c>
      <c r="B22" s="17">
        <f>IFERROR(INDEX(Ingredients!$B$5:$B$304,MATCH(A22,Ingredients!$AL$5:$AL$304,0)),"")</f>
        <v>0</v>
      </c>
      <c r="C22" s="17">
        <f>IF(B22="","",IFERROR(INDEX(Ingredients!$C$5:$C$304,MATCH(B22,Ingredients!$B$5:$B$304,0)),"Add to Ingredients"))</f>
        <v>0</v>
      </c>
      <c r="D22" s="17">
        <f>IF(B22="","",IFERROR(INDEX(Ingredients!$D$5:$D$304,MATCH(B22,Ingredients!$B$5:$B$304,0)),"Add to Ingredients"))</f>
        <v>0</v>
      </c>
      <c r="E22" s="17">
        <f>IF(B22="","",IFERROR(INDEX(Ingredients!$E$5:$E$304,MATCH(B22,Ingredients!$B$5:$B$304,0)),"Add to Ingredients"))</f>
        <v>0</v>
      </c>
      <c r="F22" s="45">
        <f>IF(B22="","",IFERROR(INDEX(Ingredients!$AG$5:$AG$304,MATCH(B22,Ingredients!$B$5:$B$304,0)),""))</f>
        <v>0</v>
      </c>
      <c r="G22" s="17">
        <f>IF(B22="","",IFERROR(INDEX(Ingredients!$G$5:$G$304,MATCH(B22,Ingredients!$B$5:$B$304,0)),"Add to Ingredients"))</f>
        <v>0</v>
      </c>
      <c r="H22" s="45">
        <f>IF(B22="","",IFERROR(INDEX(Ingredients!$AD$5:$AD$304,MATCH(B22,Ingredients!$B$5:$B$304,0)),0))</f>
        <v>0</v>
      </c>
      <c r="I22" s="45">
        <f>IF(F22="","",MAX(0,F22-IF(H22="",0,H22)))</f>
        <v>0</v>
      </c>
      <c r="J22" s="45">
        <f>IF(B22="","",IFERROR(INDEX(Ingredients!$H$5:$H$304,MATCH(B22,Ingredients!$B$5:$B$304,0)),"Add to Ingredients"))</f>
        <v>0</v>
      </c>
      <c r="K22" s="25">
        <f>IF(B22="","",IFERROR(INDEX(Ingredients!$I$5:$I$304,MATCH(B22,Ingredients!$B$5:$B$304,0)),"Add to Ingredients"))</f>
        <v>0</v>
      </c>
      <c r="L22" s="25">
        <f>IF(B22="","",IFERROR(INDEX(Ingredients!$J$5:$J$304,MATCH(B22,Ingredients!$B$5:$B$304,0)),"Add to Ingredients"))</f>
        <v>0</v>
      </c>
      <c r="M22" s="45">
        <f>IF(OR(I22="",I22=0),"",IF(OR(J22="",NOT(ISNUMBER(J22)),J22=0),"",ROUNDUP(I22/J22,0)))</f>
        <v>0</v>
      </c>
      <c r="N22" s="45">
        <f>IF(I22="","",IF(RoundingRule="Exact quantity",I22,IF(M22="",I22,M22*J22)))</f>
        <v>0</v>
      </c>
      <c r="O22" s="25">
        <f>IF(N22="","",IF(RoundingRule="Exact quantity",IF(L22="","",N22*L22),IF(OR(M22="",K22=""),"",M22*K22)))</f>
        <v>0</v>
      </c>
      <c r="P22" s="25">
        <f>IF(B22="","",SUM(O$5:O22))</f>
        <v>0</v>
      </c>
      <c r="Q22" s="45">
        <f>IF(V22="Yes",0,IF(N22="",0,N22))</f>
        <v>0</v>
      </c>
      <c r="R22" s="18">
        <f>IF(OR(B22="",I22=0,I22=""),"",COUNTIFS($I$5:I22,"&gt;0"))</f>
        <v>0</v>
      </c>
      <c r="S22" s="18">
        <f>IF(B22="","",COUNTIFS('Recipe Ingredients'!$D$5:$D$1204,B22,'Recipe Ingredients'!$Y$5:$Y$1204,"&gt;0"))</f>
        <v>0</v>
      </c>
      <c r="T22" s="46">
        <f>IF(B22="","",IF(COUNTIFS('Recipe Ingredients'!$D$5:$D$1204,B22,'Recipe Ingredients'!$Y$5:$Y$1204,"&gt;0",'Recipe Ingredients'!$I$5:$I$1204,"No")=0,"Yes","No"))</f>
        <v>0</v>
      </c>
      <c r="U22" s="17">
        <f>IF(B22="","",IFERROR(INDEX(Ingredients!$W$5:$W$304,MATCH(B22,Ingredients!$B$5:$B$304,0)),"Add to Ingredients"))</f>
        <v>0</v>
      </c>
      <c r="Z22" s="31">
        <f>IF(B22="","",IF(V22="Yes","Bought",IF(I22=0,"In stock",IF(O22="","Check - no price","On the list"))))</f>
        <v>0</v>
      </c>
    </row>
    <row r="23" spans="1:26">
      <c r="A23" s="18">
        <f>ROW()-4</f>
        <v>0</v>
      </c>
      <c r="B23" s="17">
        <f>IFERROR(INDEX(Ingredients!$B$5:$B$304,MATCH(A23,Ingredients!$AL$5:$AL$304,0)),"")</f>
        <v>0</v>
      </c>
      <c r="C23" s="17">
        <f>IF(B23="","",IFERROR(INDEX(Ingredients!$C$5:$C$304,MATCH(B23,Ingredients!$B$5:$B$304,0)),"Add to Ingredients"))</f>
        <v>0</v>
      </c>
      <c r="D23" s="17">
        <f>IF(B23="","",IFERROR(INDEX(Ingredients!$D$5:$D$304,MATCH(B23,Ingredients!$B$5:$B$304,0)),"Add to Ingredients"))</f>
        <v>0</v>
      </c>
      <c r="E23" s="17">
        <f>IF(B23="","",IFERROR(INDEX(Ingredients!$E$5:$E$304,MATCH(B23,Ingredients!$B$5:$B$304,0)),"Add to Ingredients"))</f>
        <v>0</v>
      </c>
      <c r="F23" s="45">
        <f>IF(B23="","",IFERROR(INDEX(Ingredients!$AG$5:$AG$304,MATCH(B23,Ingredients!$B$5:$B$304,0)),""))</f>
        <v>0</v>
      </c>
      <c r="G23" s="17">
        <f>IF(B23="","",IFERROR(INDEX(Ingredients!$G$5:$G$304,MATCH(B23,Ingredients!$B$5:$B$304,0)),"Add to Ingredients"))</f>
        <v>0</v>
      </c>
      <c r="H23" s="45">
        <f>IF(B23="","",IFERROR(INDEX(Ingredients!$AD$5:$AD$304,MATCH(B23,Ingredients!$B$5:$B$304,0)),0))</f>
        <v>0</v>
      </c>
      <c r="I23" s="45">
        <f>IF(F23="","",MAX(0,F23-IF(H23="",0,H23)))</f>
        <v>0</v>
      </c>
      <c r="J23" s="45">
        <f>IF(B23="","",IFERROR(INDEX(Ingredients!$H$5:$H$304,MATCH(B23,Ingredients!$B$5:$B$304,0)),"Add to Ingredients"))</f>
        <v>0</v>
      </c>
      <c r="K23" s="25">
        <f>IF(B23="","",IFERROR(INDEX(Ingredients!$I$5:$I$304,MATCH(B23,Ingredients!$B$5:$B$304,0)),"Add to Ingredients"))</f>
        <v>0</v>
      </c>
      <c r="L23" s="25">
        <f>IF(B23="","",IFERROR(INDEX(Ingredients!$J$5:$J$304,MATCH(B23,Ingredients!$B$5:$B$304,0)),"Add to Ingredients"))</f>
        <v>0</v>
      </c>
      <c r="M23" s="45">
        <f>IF(OR(I23="",I23=0),"",IF(OR(J23="",NOT(ISNUMBER(J23)),J23=0),"",ROUNDUP(I23/J23,0)))</f>
        <v>0</v>
      </c>
      <c r="N23" s="45">
        <f>IF(I23="","",IF(RoundingRule="Exact quantity",I23,IF(M23="",I23,M23*J23)))</f>
        <v>0</v>
      </c>
      <c r="O23" s="25">
        <f>IF(N23="","",IF(RoundingRule="Exact quantity",IF(L23="","",N23*L23),IF(OR(M23="",K23=""),"",M23*K23)))</f>
        <v>0</v>
      </c>
      <c r="P23" s="25">
        <f>IF(B23="","",SUM(O$5:O23))</f>
        <v>0</v>
      </c>
      <c r="Q23" s="45">
        <f>IF(V23="Yes",0,IF(N23="",0,N23))</f>
        <v>0</v>
      </c>
      <c r="R23" s="18">
        <f>IF(OR(B23="",I23=0,I23=""),"",COUNTIFS($I$5:I23,"&gt;0"))</f>
        <v>0</v>
      </c>
      <c r="S23" s="18">
        <f>IF(B23="","",COUNTIFS('Recipe Ingredients'!$D$5:$D$1204,B23,'Recipe Ingredients'!$Y$5:$Y$1204,"&gt;0"))</f>
        <v>0</v>
      </c>
      <c r="T23" s="46">
        <f>IF(B23="","",IF(COUNTIFS('Recipe Ingredients'!$D$5:$D$1204,B23,'Recipe Ingredients'!$Y$5:$Y$1204,"&gt;0",'Recipe Ingredients'!$I$5:$I$1204,"No")=0,"Yes","No"))</f>
        <v>0</v>
      </c>
      <c r="U23" s="17">
        <f>IF(B23="","",IFERROR(INDEX(Ingredients!$W$5:$W$304,MATCH(B23,Ingredients!$B$5:$B$304,0)),"Add to Ingredients"))</f>
        <v>0</v>
      </c>
      <c r="Z23" s="31">
        <f>IF(B23="","",IF(V23="Yes","Bought",IF(I23=0,"In stock",IF(O23="","Check - no price","On the list"))))</f>
        <v>0</v>
      </c>
    </row>
    <row r="24" spans="1:26">
      <c r="A24" s="18">
        <f>ROW()-4</f>
        <v>0</v>
      </c>
      <c r="B24" s="17">
        <f>IFERROR(INDEX(Ingredients!$B$5:$B$304,MATCH(A24,Ingredients!$AL$5:$AL$304,0)),"")</f>
        <v>0</v>
      </c>
      <c r="C24" s="17">
        <f>IF(B24="","",IFERROR(INDEX(Ingredients!$C$5:$C$304,MATCH(B24,Ingredients!$B$5:$B$304,0)),"Add to Ingredients"))</f>
        <v>0</v>
      </c>
      <c r="D24" s="17">
        <f>IF(B24="","",IFERROR(INDEX(Ingredients!$D$5:$D$304,MATCH(B24,Ingredients!$B$5:$B$304,0)),"Add to Ingredients"))</f>
        <v>0</v>
      </c>
      <c r="E24" s="17">
        <f>IF(B24="","",IFERROR(INDEX(Ingredients!$E$5:$E$304,MATCH(B24,Ingredients!$B$5:$B$304,0)),"Add to Ingredients"))</f>
        <v>0</v>
      </c>
      <c r="F24" s="45">
        <f>IF(B24="","",IFERROR(INDEX(Ingredients!$AG$5:$AG$304,MATCH(B24,Ingredients!$B$5:$B$304,0)),""))</f>
        <v>0</v>
      </c>
      <c r="G24" s="17">
        <f>IF(B24="","",IFERROR(INDEX(Ingredients!$G$5:$G$304,MATCH(B24,Ingredients!$B$5:$B$304,0)),"Add to Ingredients"))</f>
        <v>0</v>
      </c>
      <c r="H24" s="45">
        <f>IF(B24="","",IFERROR(INDEX(Ingredients!$AD$5:$AD$304,MATCH(B24,Ingredients!$B$5:$B$304,0)),0))</f>
        <v>0</v>
      </c>
      <c r="I24" s="45">
        <f>IF(F24="","",MAX(0,F24-IF(H24="",0,H24)))</f>
        <v>0</v>
      </c>
      <c r="J24" s="45">
        <f>IF(B24="","",IFERROR(INDEX(Ingredients!$H$5:$H$304,MATCH(B24,Ingredients!$B$5:$B$304,0)),"Add to Ingredients"))</f>
        <v>0</v>
      </c>
      <c r="K24" s="25">
        <f>IF(B24="","",IFERROR(INDEX(Ingredients!$I$5:$I$304,MATCH(B24,Ingredients!$B$5:$B$304,0)),"Add to Ingredients"))</f>
        <v>0</v>
      </c>
      <c r="L24" s="25">
        <f>IF(B24="","",IFERROR(INDEX(Ingredients!$J$5:$J$304,MATCH(B24,Ingredients!$B$5:$B$304,0)),"Add to Ingredients"))</f>
        <v>0</v>
      </c>
      <c r="M24" s="45">
        <f>IF(OR(I24="",I24=0),"",IF(OR(J24="",NOT(ISNUMBER(J24)),J24=0),"",ROUNDUP(I24/J24,0)))</f>
        <v>0</v>
      </c>
      <c r="N24" s="45">
        <f>IF(I24="","",IF(RoundingRule="Exact quantity",I24,IF(M24="",I24,M24*J24)))</f>
        <v>0</v>
      </c>
      <c r="O24" s="25">
        <f>IF(N24="","",IF(RoundingRule="Exact quantity",IF(L24="","",N24*L24),IF(OR(M24="",K24=""),"",M24*K24)))</f>
        <v>0</v>
      </c>
      <c r="P24" s="25">
        <f>IF(B24="","",SUM(O$5:O24))</f>
        <v>0</v>
      </c>
      <c r="Q24" s="45">
        <f>IF(V24="Yes",0,IF(N24="",0,N24))</f>
        <v>0</v>
      </c>
      <c r="R24" s="18">
        <f>IF(OR(B24="",I24=0,I24=""),"",COUNTIFS($I$5:I24,"&gt;0"))</f>
        <v>0</v>
      </c>
      <c r="S24" s="18">
        <f>IF(B24="","",COUNTIFS('Recipe Ingredients'!$D$5:$D$1204,B24,'Recipe Ingredients'!$Y$5:$Y$1204,"&gt;0"))</f>
        <v>0</v>
      </c>
      <c r="T24" s="46">
        <f>IF(B24="","",IF(COUNTIFS('Recipe Ingredients'!$D$5:$D$1204,B24,'Recipe Ingredients'!$Y$5:$Y$1204,"&gt;0",'Recipe Ingredients'!$I$5:$I$1204,"No")=0,"Yes","No"))</f>
        <v>0</v>
      </c>
      <c r="U24" s="17">
        <f>IF(B24="","",IFERROR(INDEX(Ingredients!$W$5:$W$304,MATCH(B24,Ingredients!$B$5:$B$304,0)),"Add to Ingredients"))</f>
        <v>0</v>
      </c>
      <c r="Z24" s="31">
        <f>IF(B24="","",IF(V24="Yes","Bought",IF(I24=0,"In stock",IF(O24="","Check - no price","On the list"))))</f>
        <v>0</v>
      </c>
    </row>
    <row r="25" spans="1:26">
      <c r="A25" s="18">
        <f>ROW()-4</f>
        <v>0</v>
      </c>
      <c r="B25" s="17">
        <f>IFERROR(INDEX(Ingredients!$B$5:$B$304,MATCH(A25,Ingredients!$AL$5:$AL$304,0)),"")</f>
        <v>0</v>
      </c>
      <c r="C25" s="17">
        <f>IF(B25="","",IFERROR(INDEX(Ingredients!$C$5:$C$304,MATCH(B25,Ingredients!$B$5:$B$304,0)),"Add to Ingredients"))</f>
        <v>0</v>
      </c>
      <c r="D25" s="17">
        <f>IF(B25="","",IFERROR(INDEX(Ingredients!$D$5:$D$304,MATCH(B25,Ingredients!$B$5:$B$304,0)),"Add to Ingredients"))</f>
        <v>0</v>
      </c>
      <c r="E25" s="17">
        <f>IF(B25="","",IFERROR(INDEX(Ingredients!$E$5:$E$304,MATCH(B25,Ingredients!$B$5:$B$304,0)),"Add to Ingredients"))</f>
        <v>0</v>
      </c>
      <c r="F25" s="45">
        <f>IF(B25="","",IFERROR(INDEX(Ingredients!$AG$5:$AG$304,MATCH(B25,Ingredients!$B$5:$B$304,0)),""))</f>
        <v>0</v>
      </c>
      <c r="G25" s="17">
        <f>IF(B25="","",IFERROR(INDEX(Ingredients!$G$5:$G$304,MATCH(B25,Ingredients!$B$5:$B$304,0)),"Add to Ingredients"))</f>
        <v>0</v>
      </c>
      <c r="H25" s="45">
        <f>IF(B25="","",IFERROR(INDEX(Ingredients!$AD$5:$AD$304,MATCH(B25,Ingredients!$B$5:$B$304,0)),0))</f>
        <v>0</v>
      </c>
      <c r="I25" s="45">
        <f>IF(F25="","",MAX(0,F25-IF(H25="",0,H25)))</f>
        <v>0</v>
      </c>
      <c r="J25" s="45">
        <f>IF(B25="","",IFERROR(INDEX(Ingredients!$H$5:$H$304,MATCH(B25,Ingredients!$B$5:$B$304,0)),"Add to Ingredients"))</f>
        <v>0</v>
      </c>
      <c r="K25" s="25">
        <f>IF(B25="","",IFERROR(INDEX(Ingredients!$I$5:$I$304,MATCH(B25,Ingredients!$B$5:$B$304,0)),"Add to Ingredients"))</f>
        <v>0</v>
      </c>
      <c r="L25" s="25">
        <f>IF(B25="","",IFERROR(INDEX(Ingredients!$J$5:$J$304,MATCH(B25,Ingredients!$B$5:$B$304,0)),"Add to Ingredients"))</f>
        <v>0</v>
      </c>
      <c r="M25" s="45">
        <f>IF(OR(I25="",I25=0),"",IF(OR(J25="",NOT(ISNUMBER(J25)),J25=0),"",ROUNDUP(I25/J25,0)))</f>
        <v>0</v>
      </c>
      <c r="N25" s="45">
        <f>IF(I25="","",IF(RoundingRule="Exact quantity",I25,IF(M25="",I25,M25*J25)))</f>
        <v>0</v>
      </c>
      <c r="O25" s="25">
        <f>IF(N25="","",IF(RoundingRule="Exact quantity",IF(L25="","",N25*L25),IF(OR(M25="",K25=""),"",M25*K25)))</f>
        <v>0</v>
      </c>
      <c r="P25" s="25">
        <f>IF(B25="","",SUM(O$5:O25))</f>
        <v>0</v>
      </c>
      <c r="Q25" s="45">
        <f>IF(V25="Yes",0,IF(N25="",0,N25))</f>
        <v>0</v>
      </c>
      <c r="R25" s="18">
        <f>IF(OR(B25="",I25=0,I25=""),"",COUNTIFS($I$5:I25,"&gt;0"))</f>
        <v>0</v>
      </c>
      <c r="S25" s="18">
        <f>IF(B25="","",COUNTIFS('Recipe Ingredients'!$D$5:$D$1204,B25,'Recipe Ingredients'!$Y$5:$Y$1204,"&gt;0"))</f>
        <v>0</v>
      </c>
      <c r="T25" s="46">
        <f>IF(B25="","",IF(COUNTIFS('Recipe Ingredients'!$D$5:$D$1204,B25,'Recipe Ingredients'!$Y$5:$Y$1204,"&gt;0",'Recipe Ingredients'!$I$5:$I$1204,"No")=0,"Yes","No"))</f>
        <v>0</v>
      </c>
      <c r="U25" s="17">
        <f>IF(B25="","",IFERROR(INDEX(Ingredients!$W$5:$W$304,MATCH(B25,Ingredients!$B$5:$B$304,0)),"Add to Ingredients"))</f>
        <v>0</v>
      </c>
      <c r="Z25" s="31">
        <f>IF(B25="","",IF(V25="Yes","Bought",IF(I25=0,"In stock",IF(O25="","Check - no price","On the list"))))</f>
        <v>0</v>
      </c>
    </row>
    <row r="26" spans="1:26">
      <c r="A26" s="18">
        <f>ROW()-4</f>
        <v>0</v>
      </c>
      <c r="B26" s="17">
        <f>IFERROR(INDEX(Ingredients!$B$5:$B$304,MATCH(A26,Ingredients!$AL$5:$AL$304,0)),"")</f>
        <v>0</v>
      </c>
      <c r="C26" s="17">
        <f>IF(B26="","",IFERROR(INDEX(Ingredients!$C$5:$C$304,MATCH(B26,Ingredients!$B$5:$B$304,0)),"Add to Ingredients"))</f>
        <v>0</v>
      </c>
      <c r="D26" s="17">
        <f>IF(B26="","",IFERROR(INDEX(Ingredients!$D$5:$D$304,MATCH(B26,Ingredients!$B$5:$B$304,0)),"Add to Ingredients"))</f>
        <v>0</v>
      </c>
      <c r="E26" s="17">
        <f>IF(B26="","",IFERROR(INDEX(Ingredients!$E$5:$E$304,MATCH(B26,Ingredients!$B$5:$B$304,0)),"Add to Ingredients"))</f>
        <v>0</v>
      </c>
      <c r="F26" s="45">
        <f>IF(B26="","",IFERROR(INDEX(Ingredients!$AG$5:$AG$304,MATCH(B26,Ingredients!$B$5:$B$304,0)),""))</f>
        <v>0</v>
      </c>
      <c r="G26" s="17">
        <f>IF(B26="","",IFERROR(INDEX(Ingredients!$G$5:$G$304,MATCH(B26,Ingredients!$B$5:$B$304,0)),"Add to Ingredients"))</f>
        <v>0</v>
      </c>
      <c r="H26" s="45">
        <f>IF(B26="","",IFERROR(INDEX(Ingredients!$AD$5:$AD$304,MATCH(B26,Ingredients!$B$5:$B$304,0)),0))</f>
        <v>0</v>
      </c>
      <c r="I26" s="45">
        <f>IF(F26="","",MAX(0,F26-IF(H26="",0,H26)))</f>
        <v>0</v>
      </c>
      <c r="J26" s="45">
        <f>IF(B26="","",IFERROR(INDEX(Ingredients!$H$5:$H$304,MATCH(B26,Ingredients!$B$5:$B$304,0)),"Add to Ingredients"))</f>
        <v>0</v>
      </c>
      <c r="K26" s="25">
        <f>IF(B26="","",IFERROR(INDEX(Ingredients!$I$5:$I$304,MATCH(B26,Ingredients!$B$5:$B$304,0)),"Add to Ingredients"))</f>
        <v>0</v>
      </c>
      <c r="L26" s="25">
        <f>IF(B26="","",IFERROR(INDEX(Ingredients!$J$5:$J$304,MATCH(B26,Ingredients!$B$5:$B$304,0)),"Add to Ingredients"))</f>
        <v>0</v>
      </c>
      <c r="M26" s="45">
        <f>IF(OR(I26="",I26=0),"",IF(OR(J26="",NOT(ISNUMBER(J26)),J26=0),"",ROUNDUP(I26/J26,0)))</f>
        <v>0</v>
      </c>
      <c r="N26" s="45">
        <f>IF(I26="","",IF(RoundingRule="Exact quantity",I26,IF(M26="",I26,M26*J26)))</f>
        <v>0</v>
      </c>
      <c r="O26" s="25">
        <f>IF(N26="","",IF(RoundingRule="Exact quantity",IF(L26="","",N26*L26),IF(OR(M26="",K26=""),"",M26*K26)))</f>
        <v>0</v>
      </c>
      <c r="P26" s="25">
        <f>IF(B26="","",SUM(O$5:O26))</f>
        <v>0</v>
      </c>
      <c r="Q26" s="45">
        <f>IF(V26="Yes",0,IF(N26="",0,N26))</f>
        <v>0</v>
      </c>
      <c r="R26" s="18">
        <f>IF(OR(B26="",I26=0,I26=""),"",COUNTIFS($I$5:I26,"&gt;0"))</f>
        <v>0</v>
      </c>
      <c r="S26" s="18">
        <f>IF(B26="","",COUNTIFS('Recipe Ingredients'!$D$5:$D$1204,B26,'Recipe Ingredients'!$Y$5:$Y$1204,"&gt;0"))</f>
        <v>0</v>
      </c>
      <c r="T26" s="46">
        <f>IF(B26="","",IF(COUNTIFS('Recipe Ingredients'!$D$5:$D$1204,B26,'Recipe Ingredients'!$Y$5:$Y$1204,"&gt;0",'Recipe Ingredients'!$I$5:$I$1204,"No")=0,"Yes","No"))</f>
        <v>0</v>
      </c>
      <c r="U26" s="17">
        <f>IF(B26="","",IFERROR(INDEX(Ingredients!$W$5:$W$304,MATCH(B26,Ingredients!$B$5:$B$304,0)),"Add to Ingredients"))</f>
        <v>0</v>
      </c>
      <c r="Z26" s="31">
        <f>IF(B26="","",IF(V26="Yes","Bought",IF(I26=0,"In stock",IF(O26="","Check - no price","On the list"))))</f>
        <v>0</v>
      </c>
    </row>
    <row r="27" spans="1:26">
      <c r="A27" s="18">
        <f>ROW()-4</f>
        <v>0</v>
      </c>
      <c r="B27" s="17">
        <f>IFERROR(INDEX(Ingredients!$B$5:$B$304,MATCH(A27,Ingredients!$AL$5:$AL$304,0)),"")</f>
        <v>0</v>
      </c>
      <c r="C27" s="17">
        <f>IF(B27="","",IFERROR(INDEX(Ingredients!$C$5:$C$304,MATCH(B27,Ingredients!$B$5:$B$304,0)),"Add to Ingredients"))</f>
        <v>0</v>
      </c>
      <c r="D27" s="17">
        <f>IF(B27="","",IFERROR(INDEX(Ingredients!$D$5:$D$304,MATCH(B27,Ingredients!$B$5:$B$304,0)),"Add to Ingredients"))</f>
        <v>0</v>
      </c>
      <c r="E27" s="17">
        <f>IF(B27="","",IFERROR(INDEX(Ingredients!$E$5:$E$304,MATCH(B27,Ingredients!$B$5:$B$304,0)),"Add to Ingredients"))</f>
        <v>0</v>
      </c>
      <c r="F27" s="45">
        <f>IF(B27="","",IFERROR(INDEX(Ingredients!$AG$5:$AG$304,MATCH(B27,Ingredients!$B$5:$B$304,0)),""))</f>
        <v>0</v>
      </c>
      <c r="G27" s="17">
        <f>IF(B27="","",IFERROR(INDEX(Ingredients!$G$5:$G$304,MATCH(B27,Ingredients!$B$5:$B$304,0)),"Add to Ingredients"))</f>
        <v>0</v>
      </c>
      <c r="H27" s="45">
        <f>IF(B27="","",IFERROR(INDEX(Ingredients!$AD$5:$AD$304,MATCH(B27,Ingredients!$B$5:$B$304,0)),0))</f>
        <v>0</v>
      </c>
      <c r="I27" s="45">
        <f>IF(F27="","",MAX(0,F27-IF(H27="",0,H27)))</f>
        <v>0</v>
      </c>
      <c r="J27" s="45">
        <f>IF(B27="","",IFERROR(INDEX(Ingredients!$H$5:$H$304,MATCH(B27,Ingredients!$B$5:$B$304,0)),"Add to Ingredients"))</f>
        <v>0</v>
      </c>
      <c r="K27" s="25">
        <f>IF(B27="","",IFERROR(INDEX(Ingredients!$I$5:$I$304,MATCH(B27,Ingredients!$B$5:$B$304,0)),"Add to Ingredients"))</f>
        <v>0</v>
      </c>
      <c r="L27" s="25">
        <f>IF(B27="","",IFERROR(INDEX(Ingredients!$J$5:$J$304,MATCH(B27,Ingredients!$B$5:$B$304,0)),"Add to Ingredients"))</f>
        <v>0</v>
      </c>
      <c r="M27" s="45">
        <f>IF(OR(I27="",I27=0),"",IF(OR(J27="",NOT(ISNUMBER(J27)),J27=0),"",ROUNDUP(I27/J27,0)))</f>
        <v>0</v>
      </c>
      <c r="N27" s="45">
        <f>IF(I27="","",IF(RoundingRule="Exact quantity",I27,IF(M27="",I27,M27*J27)))</f>
        <v>0</v>
      </c>
      <c r="O27" s="25">
        <f>IF(N27="","",IF(RoundingRule="Exact quantity",IF(L27="","",N27*L27),IF(OR(M27="",K27=""),"",M27*K27)))</f>
        <v>0</v>
      </c>
      <c r="P27" s="25">
        <f>IF(B27="","",SUM(O$5:O27))</f>
        <v>0</v>
      </c>
      <c r="Q27" s="45">
        <f>IF(V27="Yes",0,IF(N27="",0,N27))</f>
        <v>0</v>
      </c>
      <c r="R27" s="18">
        <f>IF(OR(B27="",I27=0,I27=""),"",COUNTIFS($I$5:I27,"&gt;0"))</f>
        <v>0</v>
      </c>
      <c r="S27" s="18">
        <f>IF(B27="","",COUNTIFS('Recipe Ingredients'!$D$5:$D$1204,B27,'Recipe Ingredients'!$Y$5:$Y$1204,"&gt;0"))</f>
        <v>0</v>
      </c>
      <c r="T27" s="46">
        <f>IF(B27="","",IF(COUNTIFS('Recipe Ingredients'!$D$5:$D$1204,B27,'Recipe Ingredients'!$Y$5:$Y$1204,"&gt;0",'Recipe Ingredients'!$I$5:$I$1204,"No")=0,"Yes","No"))</f>
        <v>0</v>
      </c>
      <c r="U27" s="17">
        <f>IF(B27="","",IFERROR(INDEX(Ingredients!$W$5:$W$304,MATCH(B27,Ingredients!$B$5:$B$304,0)),"Add to Ingredients"))</f>
        <v>0</v>
      </c>
      <c r="Z27" s="31">
        <f>IF(B27="","",IF(V27="Yes","Bought",IF(I27=0,"In stock",IF(O27="","Check - no price","On the list"))))</f>
        <v>0</v>
      </c>
    </row>
    <row r="28" spans="1:26">
      <c r="A28" s="18">
        <f>ROW()-4</f>
        <v>0</v>
      </c>
      <c r="B28" s="17">
        <f>IFERROR(INDEX(Ingredients!$B$5:$B$304,MATCH(A28,Ingredients!$AL$5:$AL$304,0)),"")</f>
        <v>0</v>
      </c>
      <c r="C28" s="17">
        <f>IF(B28="","",IFERROR(INDEX(Ingredients!$C$5:$C$304,MATCH(B28,Ingredients!$B$5:$B$304,0)),"Add to Ingredients"))</f>
        <v>0</v>
      </c>
      <c r="D28" s="17">
        <f>IF(B28="","",IFERROR(INDEX(Ingredients!$D$5:$D$304,MATCH(B28,Ingredients!$B$5:$B$304,0)),"Add to Ingredients"))</f>
        <v>0</v>
      </c>
      <c r="E28" s="17">
        <f>IF(B28="","",IFERROR(INDEX(Ingredients!$E$5:$E$304,MATCH(B28,Ingredients!$B$5:$B$304,0)),"Add to Ingredients"))</f>
        <v>0</v>
      </c>
      <c r="F28" s="45">
        <f>IF(B28="","",IFERROR(INDEX(Ingredients!$AG$5:$AG$304,MATCH(B28,Ingredients!$B$5:$B$304,0)),""))</f>
        <v>0</v>
      </c>
      <c r="G28" s="17">
        <f>IF(B28="","",IFERROR(INDEX(Ingredients!$G$5:$G$304,MATCH(B28,Ingredients!$B$5:$B$304,0)),"Add to Ingredients"))</f>
        <v>0</v>
      </c>
      <c r="H28" s="45">
        <f>IF(B28="","",IFERROR(INDEX(Ingredients!$AD$5:$AD$304,MATCH(B28,Ingredients!$B$5:$B$304,0)),0))</f>
        <v>0</v>
      </c>
      <c r="I28" s="45">
        <f>IF(F28="","",MAX(0,F28-IF(H28="",0,H28)))</f>
        <v>0</v>
      </c>
      <c r="J28" s="45">
        <f>IF(B28="","",IFERROR(INDEX(Ingredients!$H$5:$H$304,MATCH(B28,Ingredients!$B$5:$B$304,0)),"Add to Ingredients"))</f>
        <v>0</v>
      </c>
      <c r="K28" s="25">
        <f>IF(B28="","",IFERROR(INDEX(Ingredients!$I$5:$I$304,MATCH(B28,Ingredients!$B$5:$B$304,0)),"Add to Ingredients"))</f>
        <v>0</v>
      </c>
      <c r="L28" s="25">
        <f>IF(B28="","",IFERROR(INDEX(Ingredients!$J$5:$J$304,MATCH(B28,Ingredients!$B$5:$B$304,0)),"Add to Ingredients"))</f>
        <v>0</v>
      </c>
      <c r="M28" s="45">
        <f>IF(OR(I28="",I28=0),"",IF(OR(J28="",NOT(ISNUMBER(J28)),J28=0),"",ROUNDUP(I28/J28,0)))</f>
        <v>0</v>
      </c>
      <c r="N28" s="45">
        <f>IF(I28="","",IF(RoundingRule="Exact quantity",I28,IF(M28="",I28,M28*J28)))</f>
        <v>0</v>
      </c>
      <c r="O28" s="25">
        <f>IF(N28="","",IF(RoundingRule="Exact quantity",IF(L28="","",N28*L28),IF(OR(M28="",K28=""),"",M28*K28)))</f>
        <v>0</v>
      </c>
      <c r="P28" s="25">
        <f>IF(B28="","",SUM(O$5:O28))</f>
        <v>0</v>
      </c>
      <c r="Q28" s="45">
        <f>IF(V28="Yes",0,IF(N28="",0,N28))</f>
        <v>0</v>
      </c>
      <c r="R28" s="18">
        <f>IF(OR(B28="",I28=0,I28=""),"",COUNTIFS($I$5:I28,"&gt;0"))</f>
        <v>0</v>
      </c>
      <c r="S28" s="18">
        <f>IF(B28="","",COUNTIFS('Recipe Ingredients'!$D$5:$D$1204,B28,'Recipe Ingredients'!$Y$5:$Y$1204,"&gt;0"))</f>
        <v>0</v>
      </c>
      <c r="T28" s="46">
        <f>IF(B28="","",IF(COUNTIFS('Recipe Ingredients'!$D$5:$D$1204,B28,'Recipe Ingredients'!$Y$5:$Y$1204,"&gt;0",'Recipe Ingredients'!$I$5:$I$1204,"No")=0,"Yes","No"))</f>
        <v>0</v>
      </c>
      <c r="U28" s="17">
        <f>IF(B28="","",IFERROR(INDEX(Ingredients!$W$5:$W$304,MATCH(B28,Ingredients!$B$5:$B$304,0)),"Add to Ingredients"))</f>
        <v>0</v>
      </c>
      <c r="Z28" s="31">
        <f>IF(B28="","",IF(V28="Yes","Bought",IF(I28=0,"In stock",IF(O28="","Check - no price","On the list"))))</f>
        <v>0</v>
      </c>
    </row>
    <row r="29" spans="1:26">
      <c r="A29" s="18">
        <f>ROW()-4</f>
        <v>0</v>
      </c>
      <c r="B29" s="17">
        <f>IFERROR(INDEX(Ingredients!$B$5:$B$304,MATCH(A29,Ingredients!$AL$5:$AL$304,0)),"")</f>
        <v>0</v>
      </c>
      <c r="C29" s="17">
        <f>IF(B29="","",IFERROR(INDEX(Ingredients!$C$5:$C$304,MATCH(B29,Ingredients!$B$5:$B$304,0)),"Add to Ingredients"))</f>
        <v>0</v>
      </c>
      <c r="D29" s="17">
        <f>IF(B29="","",IFERROR(INDEX(Ingredients!$D$5:$D$304,MATCH(B29,Ingredients!$B$5:$B$304,0)),"Add to Ingredients"))</f>
        <v>0</v>
      </c>
      <c r="E29" s="17">
        <f>IF(B29="","",IFERROR(INDEX(Ingredients!$E$5:$E$304,MATCH(B29,Ingredients!$B$5:$B$304,0)),"Add to Ingredients"))</f>
        <v>0</v>
      </c>
      <c r="F29" s="45">
        <f>IF(B29="","",IFERROR(INDEX(Ingredients!$AG$5:$AG$304,MATCH(B29,Ingredients!$B$5:$B$304,0)),""))</f>
        <v>0</v>
      </c>
      <c r="G29" s="17">
        <f>IF(B29="","",IFERROR(INDEX(Ingredients!$G$5:$G$304,MATCH(B29,Ingredients!$B$5:$B$304,0)),"Add to Ingredients"))</f>
        <v>0</v>
      </c>
      <c r="H29" s="45">
        <f>IF(B29="","",IFERROR(INDEX(Ingredients!$AD$5:$AD$304,MATCH(B29,Ingredients!$B$5:$B$304,0)),0))</f>
        <v>0</v>
      </c>
      <c r="I29" s="45">
        <f>IF(F29="","",MAX(0,F29-IF(H29="",0,H29)))</f>
        <v>0</v>
      </c>
      <c r="J29" s="45">
        <f>IF(B29="","",IFERROR(INDEX(Ingredients!$H$5:$H$304,MATCH(B29,Ingredients!$B$5:$B$304,0)),"Add to Ingredients"))</f>
        <v>0</v>
      </c>
      <c r="K29" s="25">
        <f>IF(B29="","",IFERROR(INDEX(Ingredients!$I$5:$I$304,MATCH(B29,Ingredients!$B$5:$B$304,0)),"Add to Ingredients"))</f>
        <v>0</v>
      </c>
      <c r="L29" s="25">
        <f>IF(B29="","",IFERROR(INDEX(Ingredients!$J$5:$J$304,MATCH(B29,Ingredients!$B$5:$B$304,0)),"Add to Ingredients"))</f>
        <v>0</v>
      </c>
      <c r="M29" s="45">
        <f>IF(OR(I29="",I29=0),"",IF(OR(J29="",NOT(ISNUMBER(J29)),J29=0),"",ROUNDUP(I29/J29,0)))</f>
        <v>0</v>
      </c>
      <c r="N29" s="45">
        <f>IF(I29="","",IF(RoundingRule="Exact quantity",I29,IF(M29="",I29,M29*J29)))</f>
        <v>0</v>
      </c>
      <c r="O29" s="25">
        <f>IF(N29="","",IF(RoundingRule="Exact quantity",IF(L29="","",N29*L29),IF(OR(M29="",K29=""),"",M29*K29)))</f>
        <v>0</v>
      </c>
      <c r="P29" s="25">
        <f>IF(B29="","",SUM(O$5:O29))</f>
        <v>0</v>
      </c>
      <c r="Q29" s="45">
        <f>IF(V29="Yes",0,IF(N29="",0,N29))</f>
        <v>0</v>
      </c>
      <c r="R29" s="18">
        <f>IF(OR(B29="",I29=0,I29=""),"",COUNTIFS($I$5:I29,"&gt;0"))</f>
        <v>0</v>
      </c>
      <c r="S29" s="18">
        <f>IF(B29="","",COUNTIFS('Recipe Ingredients'!$D$5:$D$1204,B29,'Recipe Ingredients'!$Y$5:$Y$1204,"&gt;0"))</f>
        <v>0</v>
      </c>
      <c r="T29" s="46">
        <f>IF(B29="","",IF(COUNTIFS('Recipe Ingredients'!$D$5:$D$1204,B29,'Recipe Ingredients'!$Y$5:$Y$1204,"&gt;0",'Recipe Ingredients'!$I$5:$I$1204,"No")=0,"Yes","No"))</f>
        <v>0</v>
      </c>
      <c r="U29" s="17">
        <f>IF(B29="","",IFERROR(INDEX(Ingredients!$W$5:$W$304,MATCH(B29,Ingredients!$B$5:$B$304,0)),"Add to Ingredients"))</f>
        <v>0</v>
      </c>
      <c r="Z29" s="31">
        <f>IF(B29="","",IF(V29="Yes","Bought",IF(I29=0,"In stock",IF(O29="","Check - no price","On the list"))))</f>
        <v>0</v>
      </c>
    </row>
    <row r="30" spans="1:26">
      <c r="A30" s="18">
        <f>ROW()-4</f>
        <v>0</v>
      </c>
      <c r="B30" s="17">
        <f>IFERROR(INDEX(Ingredients!$B$5:$B$304,MATCH(A30,Ingredients!$AL$5:$AL$304,0)),"")</f>
        <v>0</v>
      </c>
      <c r="C30" s="17">
        <f>IF(B30="","",IFERROR(INDEX(Ingredients!$C$5:$C$304,MATCH(B30,Ingredients!$B$5:$B$304,0)),"Add to Ingredients"))</f>
        <v>0</v>
      </c>
      <c r="D30" s="17">
        <f>IF(B30="","",IFERROR(INDEX(Ingredients!$D$5:$D$304,MATCH(B30,Ingredients!$B$5:$B$304,0)),"Add to Ingredients"))</f>
        <v>0</v>
      </c>
      <c r="E30" s="17">
        <f>IF(B30="","",IFERROR(INDEX(Ingredients!$E$5:$E$304,MATCH(B30,Ingredients!$B$5:$B$304,0)),"Add to Ingredients"))</f>
        <v>0</v>
      </c>
      <c r="F30" s="45">
        <f>IF(B30="","",IFERROR(INDEX(Ingredients!$AG$5:$AG$304,MATCH(B30,Ingredients!$B$5:$B$304,0)),""))</f>
        <v>0</v>
      </c>
      <c r="G30" s="17">
        <f>IF(B30="","",IFERROR(INDEX(Ingredients!$G$5:$G$304,MATCH(B30,Ingredients!$B$5:$B$304,0)),"Add to Ingredients"))</f>
        <v>0</v>
      </c>
      <c r="H30" s="45">
        <f>IF(B30="","",IFERROR(INDEX(Ingredients!$AD$5:$AD$304,MATCH(B30,Ingredients!$B$5:$B$304,0)),0))</f>
        <v>0</v>
      </c>
      <c r="I30" s="45">
        <f>IF(F30="","",MAX(0,F30-IF(H30="",0,H30)))</f>
        <v>0</v>
      </c>
      <c r="J30" s="45">
        <f>IF(B30="","",IFERROR(INDEX(Ingredients!$H$5:$H$304,MATCH(B30,Ingredients!$B$5:$B$304,0)),"Add to Ingredients"))</f>
        <v>0</v>
      </c>
      <c r="K30" s="25">
        <f>IF(B30="","",IFERROR(INDEX(Ingredients!$I$5:$I$304,MATCH(B30,Ingredients!$B$5:$B$304,0)),"Add to Ingredients"))</f>
        <v>0</v>
      </c>
      <c r="L30" s="25">
        <f>IF(B30="","",IFERROR(INDEX(Ingredients!$J$5:$J$304,MATCH(B30,Ingredients!$B$5:$B$304,0)),"Add to Ingredients"))</f>
        <v>0</v>
      </c>
      <c r="M30" s="45">
        <f>IF(OR(I30="",I30=0),"",IF(OR(J30="",NOT(ISNUMBER(J30)),J30=0),"",ROUNDUP(I30/J30,0)))</f>
        <v>0</v>
      </c>
      <c r="N30" s="45">
        <f>IF(I30="","",IF(RoundingRule="Exact quantity",I30,IF(M30="",I30,M30*J30)))</f>
        <v>0</v>
      </c>
      <c r="O30" s="25">
        <f>IF(N30="","",IF(RoundingRule="Exact quantity",IF(L30="","",N30*L30),IF(OR(M30="",K30=""),"",M30*K30)))</f>
        <v>0</v>
      </c>
      <c r="P30" s="25">
        <f>IF(B30="","",SUM(O$5:O30))</f>
        <v>0</v>
      </c>
      <c r="Q30" s="45">
        <f>IF(V30="Yes",0,IF(N30="",0,N30))</f>
        <v>0</v>
      </c>
      <c r="R30" s="18">
        <f>IF(OR(B30="",I30=0,I30=""),"",COUNTIFS($I$5:I30,"&gt;0"))</f>
        <v>0</v>
      </c>
      <c r="S30" s="18">
        <f>IF(B30="","",COUNTIFS('Recipe Ingredients'!$D$5:$D$1204,B30,'Recipe Ingredients'!$Y$5:$Y$1204,"&gt;0"))</f>
        <v>0</v>
      </c>
      <c r="T30" s="46">
        <f>IF(B30="","",IF(COUNTIFS('Recipe Ingredients'!$D$5:$D$1204,B30,'Recipe Ingredients'!$Y$5:$Y$1204,"&gt;0",'Recipe Ingredients'!$I$5:$I$1204,"No")=0,"Yes","No"))</f>
        <v>0</v>
      </c>
      <c r="U30" s="17">
        <f>IF(B30="","",IFERROR(INDEX(Ingredients!$W$5:$W$304,MATCH(B30,Ingredients!$B$5:$B$304,0)),"Add to Ingredients"))</f>
        <v>0</v>
      </c>
      <c r="Z30" s="31">
        <f>IF(B30="","",IF(V30="Yes","Bought",IF(I30=0,"In stock",IF(O30="","Check - no price","On the list"))))</f>
        <v>0</v>
      </c>
    </row>
    <row r="31" spans="1:26">
      <c r="A31" s="18">
        <f>ROW()-4</f>
        <v>0</v>
      </c>
      <c r="B31" s="17">
        <f>IFERROR(INDEX(Ingredients!$B$5:$B$304,MATCH(A31,Ingredients!$AL$5:$AL$304,0)),"")</f>
        <v>0</v>
      </c>
      <c r="C31" s="17">
        <f>IF(B31="","",IFERROR(INDEX(Ingredients!$C$5:$C$304,MATCH(B31,Ingredients!$B$5:$B$304,0)),"Add to Ingredients"))</f>
        <v>0</v>
      </c>
      <c r="D31" s="17">
        <f>IF(B31="","",IFERROR(INDEX(Ingredients!$D$5:$D$304,MATCH(B31,Ingredients!$B$5:$B$304,0)),"Add to Ingredients"))</f>
        <v>0</v>
      </c>
      <c r="E31" s="17">
        <f>IF(B31="","",IFERROR(INDEX(Ingredients!$E$5:$E$304,MATCH(B31,Ingredients!$B$5:$B$304,0)),"Add to Ingredients"))</f>
        <v>0</v>
      </c>
      <c r="F31" s="45">
        <f>IF(B31="","",IFERROR(INDEX(Ingredients!$AG$5:$AG$304,MATCH(B31,Ingredients!$B$5:$B$304,0)),""))</f>
        <v>0</v>
      </c>
      <c r="G31" s="17">
        <f>IF(B31="","",IFERROR(INDEX(Ingredients!$G$5:$G$304,MATCH(B31,Ingredients!$B$5:$B$304,0)),"Add to Ingredients"))</f>
        <v>0</v>
      </c>
      <c r="H31" s="45">
        <f>IF(B31="","",IFERROR(INDEX(Ingredients!$AD$5:$AD$304,MATCH(B31,Ingredients!$B$5:$B$304,0)),0))</f>
        <v>0</v>
      </c>
      <c r="I31" s="45">
        <f>IF(F31="","",MAX(0,F31-IF(H31="",0,H31)))</f>
        <v>0</v>
      </c>
      <c r="J31" s="45">
        <f>IF(B31="","",IFERROR(INDEX(Ingredients!$H$5:$H$304,MATCH(B31,Ingredients!$B$5:$B$304,0)),"Add to Ingredients"))</f>
        <v>0</v>
      </c>
      <c r="K31" s="25">
        <f>IF(B31="","",IFERROR(INDEX(Ingredients!$I$5:$I$304,MATCH(B31,Ingredients!$B$5:$B$304,0)),"Add to Ingredients"))</f>
        <v>0</v>
      </c>
      <c r="L31" s="25">
        <f>IF(B31="","",IFERROR(INDEX(Ingredients!$J$5:$J$304,MATCH(B31,Ingredients!$B$5:$B$304,0)),"Add to Ingredients"))</f>
        <v>0</v>
      </c>
      <c r="M31" s="45">
        <f>IF(OR(I31="",I31=0),"",IF(OR(J31="",NOT(ISNUMBER(J31)),J31=0),"",ROUNDUP(I31/J31,0)))</f>
        <v>0</v>
      </c>
      <c r="N31" s="45">
        <f>IF(I31="","",IF(RoundingRule="Exact quantity",I31,IF(M31="",I31,M31*J31)))</f>
        <v>0</v>
      </c>
      <c r="O31" s="25">
        <f>IF(N31="","",IF(RoundingRule="Exact quantity",IF(L31="","",N31*L31),IF(OR(M31="",K31=""),"",M31*K31)))</f>
        <v>0</v>
      </c>
      <c r="P31" s="25">
        <f>IF(B31="","",SUM(O$5:O31))</f>
        <v>0</v>
      </c>
      <c r="Q31" s="45">
        <f>IF(V31="Yes",0,IF(N31="",0,N31))</f>
        <v>0</v>
      </c>
      <c r="R31" s="18">
        <f>IF(OR(B31="",I31=0,I31=""),"",COUNTIFS($I$5:I31,"&gt;0"))</f>
        <v>0</v>
      </c>
      <c r="S31" s="18">
        <f>IF(B31="","",COUNTIFS('Recipe Ingredients'!$D$5:$D$1204,B31,'Recipe Ingredients'!$Y$5:$Y$1204,"&gt;0"))</f>
        <v>0</v>
      </c>
      <c r="T31" s="46">
        <f>IF(B31="","",IF(COUNTIFS('Recipe Ingredients'!$D$5:$D$1204,B31,'Recipe Ingredients'!$Y$5:$Y$1204,"&gt;0",'Recipe Ingredients'!$I$5:$I$1204,"No")=0,"Yes","No"))</f>
        <v>0</v>
      </c>
      <c r="U31" s="17">
        <f>IF(B31="","",IFERROR(INDEX(Ingredients!$W$5:$W$304,MATCH(B31,Ingredients!$B$5:$B$304,0)),"Add to Ingredients"))</f>
        <v>0</v>
      </c>
      <c r="Z31" s="31">
        <f>IF(B31="","",IF(V31="Yes","Bought",IF(I31=0,"In stock",IF(O31="","Check - no price","On the list"))))</f>
        <v>0</v>
      </c>
    </row>
    <row r="32" spans="1:26">
      <c r="A32" s="18">
        <f>ROW()-4</f>
        <v>0</v>
      </c>
      <c r="B32" s="17">
        <f>IFERROR(INDEX(Ingredients!$B$5:$B$304,MATCH(A32,Ingredients!$AL$5:$AL$304,0)),"")</f>
        <v>0</v>
      </c>
      <c r="C32" s="17">
        <f>IF(B32="","",IFERROR(INDEX(Ingredients!$C$5:$C$304,MATCH(B32,Ingredients!$B$5:$B$304,0)),"Add to Ingredients"))</f>
        <v>0</v>
      </c>
      <c r="D32" s="17">
        <f>IF(B32="","",IFERROR(INDEX(Ingredients!$D$5:$D$304,MATCH(B32,Ingredients!$B$5:$B$304,0)),"Add to Ingredients"))</f>
        <v>0</v>
      </c>
      <c r="E32" s="17">
        <f>IF(B32="","",IFERROR(INDEX(Ingredients!$E$5:$E$304,MATCH(B32,Ingredients!$B$5:$B$304,0)),"Add to Ingredients"))</f>
        <v>0</v>
      </c>
      <c r="F32" s="45">
        <f>IF(B32="","",IFERROR(INDEX(Ingredients!$AG$5:$AG$304,MATCH(B32,Ingredients!$B$5:$B$304,0)),""))</f>
        <v>0</v>
      </c>
      <c r="G32" s="17">
        <f>IF(B32="","",IFERROR(INDEX(Ingredients!$G$5:$G$304,MATCH(B32,Ingredients!$B$5:$B$304,0)),"Add to Ingredients"))</f>
        <v>0</v>
      </c>
      <c r="H32" s="45">
        <f>IF(B32="","",IFERROR(INDEX(Ingredients!$AD$5:$AD$304,MATCH(B32,Ingredients!$B$5:$B$304,0)),0))</f>
        <v>0</v>
      </c>
      <c r="I32" s="45">
        <f>IF(F32="","",MAX(0,F32-IF(H32="",0,H32)))</f>
        <v>0</v>
      </c>
      <c r="J32" s="45">
        <f>IF(B32="","",IFERROR(INDEX(Ingredients!$H$5:$H$304,MATCH(B32,Ingredients!$B$5:$B$304,0)),"Add to Ingredients"))</f>
        <v>0</v>
      </c>
      <c r="K32" s="25">
        <f>IF(B32="","",IFERROR(INDEX(Ingredients!$I$5:$I$304,MATCH(B32,Ingredients!$B$5:$B$304,0)),"Add to Ingredients"))</f>
        <v>0</v>
      </c>
      <c r="L32" s="25">
        <f>IF(B32="","",IFERROR(INDEX(Ingredients!$J$5:$J$304,MATCH(B32,Ingredients!$B$5:$B$304,0)),"Add to Ingredients"))</f>
        <v>0</v>
      </c>
      <c r="M32" s="45">
        <f>IF(OR(I32="",I32=0),"",IF(OR(J32="",NOT(ISNUMBER(J32)),J32=0),"",ROUNDUP(I32/J32,0)))</f>
        <v>0</v>
      </c>
      <c r="N32" s="45">
        <f>IF(I32="","",IF(RoundingRule="Exact quantity",I32,IF(M32="",I32,M32*J32)))</f>
        <v>0</v>
      </c>
      <c r="O32" s="25">
        <f>IF(N32="","",IF(RoundingRule="Exact quantity",IF(L32="","",N32*L32),IF(OR(M32="",K32=""),"",M32*K32)))</f>
        <v>0</v>
      </c>
      <c r="P32" s="25">
        <f>IF(B32="","",SUM(O$5:O32))</f>
        <v>0</v>
      </c>
      <c r="Q32" s="45">
        <f>IF(V32="Yes",0,IF(N32="",0,N32))</f>
        <v>0</v>
      </c>
      <c r="R32" s="18">
        <f>IF(OR(B32="",I32=0,I32=""),"",COUNTIFS($I$5:I32,"&gt;0"))</f>
        <v>0</v>
      </c>
      <c r="S32" s="18">
        <f>IF(B32="","",COUNTIFS('Recipe Ingredients'!$D$5:$D$1204,B32,'Recipe Ingredients'!$Y$5:$Y$1204,"&gt;0"))</f>
        <v>0</v>
      </c>
      <c r="T32" s="46">
        <f>IF(B32="","",IF(COUNTIFS('Recipe Ingredients'!$D$5:$D$1204,B32,'Recipe Ingredients'!$Y$5:$Y$1204,"&gt;0",'Recipe Ingredients'!$I$5:$I$1204,"No")=0,"Yes","No"))</f>
        <v>0</v>
      </c>
      <c r="U32" s="17">
        <f>IF(B32="","",IFERROR(INDEX(Ingredients!$W$5:$W$304,MATCH(B32,Ingredients!$B$5:$B$304,0)),"Add to Ingredients"))</f>
        <v>0</v>
      </c>
      <c r="Z32" s="31">
        <f>IF(B32="","",IF(V32="Yes","Bought",IF(I32=0,"In stock",IF(O32="","Check - no price","On the list"))))</f>
        <v>0</v>
      </c>
    </row>
    <row r="33" spans="1:26">
      <c r="A33" s="18">
        <f>ROW()-4</f>
        <v>0</v>
      </c>
      <c r="B33" s="17">
        <f>IFERROR(INDEX(Ingredients!$B$5:$B$304,MATCH(A33,Ingredients!$AL$5:$AL$304,0)),"")</f>
        <v>0</v>
      </c>
      <c r="C33" s="17">
        <f>IF(B33="","",IFERROR(INDEX(Ingredients!$C$5:$C$304,MATCH(B33,Ingredients!$B$5:$B$304,0)),"Add to Ingredients"))</f>
        <v>0</v>
      </c>
      <c r="D33" s="17">
        <f>IF(B33="","",IFERROR(INDEX(Ingredients!$D$5:$D$304,MATCH(B33,Ingredients!$B$5:$B$304,0)),"Add to Ingredients"))</f>
        <v>0</v>
      </c>
      <c r="E33" s="17">
        <f>IF(B33="","",IFERROR(INDEX(Ingredients!$E$5:$E$304,MATCH(B33,Ingredients!$B$5:$B$304,0)),"Add to Ingredients"))</f>
        <v>0</v>
      </c>
      <c r="F33" s="45">
        <f>IF(B33="","",IFERROR(INDEX(Ingredients!$AG$5:$AG$304,MATCH(B33,Ingredients!$B$5:$B$304,0)),""))</f>
        <v>0</v>
      </c>
      <c r="G33" s="17">
        <f>IF(B33="","",IFERROR(INDEX(Ingredients!$G$5:$G$304,MATCH(B33,Ingredients!$B$5:$B$304,0)),"Add to Ingredients"))</f>
        <v>0</v>
      </c>
      <c r="H33" s="45">
        <f>IF(B33="","",IFERROR(INDEX(Ingredients!$AD$5:$AD$304,MATCH(B33,Ingredients!$B$5:$B$304,0)),0))</f>
        <v>0</v>
      </c>
      <c r="I33" s="45">
        <f>IF(F33="","",MAX(0,F33-IF(H33="",0,H33)))</f>
        <v>0</v>
      </c>
      <c r="J33" s="45">
        <f>IF(B33="","",IFERROR(INDEX(Ingredients!$H$5:$H$304,MATCH(B33,Ingredients!$B$5:$B$304,0)),"Add to Ingredients"))</f>
        <v>0</v>
      </c>
      <c r="K33" s="25">
        <f>IF(B33="","",IFERROR(INDEX(Ingredients!$I$5:$I$304,MATCH(B33,Ingredients!$B$5:$B$304,0)),"Add to Ingredients"))</f>
        <v>0</v>
      </c>
      <c r="L33" s="25">
        <f>IF(B33="","",IFERROR(INDEX(Ingredients!$J$5:$J$304,MATCH(B33,Ingredients!$B$5:$B$304,0)),"Add to Ingredients"))</f>
        <v>0</v>
      </c>
      <c r="M33" s="45">
        <f>IF(OR(I33="",I33=0),"",IF(OR(J33="",NOT(ISNUMBER(J33)),J33=0),"",ROUNDUP(I33/J33,0)))</f>
        <v>0</v>
      </c>
      <c r="N33" s="45">
        <f>IF(I33="","",IF(RoundingRule="Exact quantity",I33,IF(M33="",I33,M33*J33)))</f>
        <v>0</v>
      </c>
      <c r="O33" s="25">
        <f>IF(N33="","",IF(RoundingRule="Exact quantity",IF(L33="","",N33*L33),IF(OR(M33="",K33=""),"",M33*K33)))</f>
        <v>0</v>
      </c>
      <c r="P33" s="25">
        <f>IF(B33="","",SUM(O$5:O33))</f>
        <v>0</v>
      </c>
      <c r="Q33" s="45">
        <f>IF(V33="Yes",0,IF(N33="",0,N33))</f>
        <v>0</v>
      </c>
      <c r="R33" s="18">
        <f>IF(OR(B33="",I33=0,I33=""),"",COUNTIFS($I$5:I33,"&gt;0"))</f>
        <v>0</v>
      </c>
      <c r="S33" s="18">
        <f>IF(B33="","",COUNTIFS('Recipe Ingredients'!$D$5:$D$1204,B33,'Recipe Ingredients'!$Y$5:$Y$1204,"&gt;0"))</f>
        <v>0</v>
      </c>
      <c r="T33" s="46">
        <f>IF(B33="","",IF(COUNTIFS('Recipe Ingredients'!$D$5:$D$1204,B33,'Recipe Ingredients'!$Y$5:$Y$1204,"&gt;0",'Recipe Ingredients'!$I$5:$I$1204,"No")=0,"Yes","No"))</f>
        <v>0</v>
      </c>
      <c r="U33" s="17">
        <f>IF(B33="","",IFERROR(INDEX(Ingredients!$W$5:$W$304,MATCH(B33,Ingredients!$B$5:$B$304,0)),"Add to Ingredients"))</f>
        <v>0</v>
      </c>
      <c r="Z33" s="31">
        <f>IF(B33="","",IF(V33="Yes","Bought",IF(I33=0,"In stock",IF(O33="","Check - no price","On the list"))))</f>
        <v>0</v>
      </c>
    </row>
    <row r="34" spans="1:26">
      <c r="A34" s="18">
        <f>ROW()-4</f>
        <v>0</v>
      </c>
      <c r="B34" s="17">
        <f>IFERROR(INDEX(Ingredients!$B$5:$B$304,MATCH(A34,Ingredients!$AL$5:$AL$304,0)),"")</f>
        <v>0</v>
      </c>
      <c r="C34" s="17">
        <f>IF(B34="","",IFERROR(INDEX(Ingredients!$C$5:$C$304,MATCH(B34,Ingredients!$B$5:$B$304,0)),"Add to Ingredients"))</f>
        <v>0</v>
      </c>
      <c r="D34" s="17">
        <f>IF(B34="","",IFERROR(INDEX(Ingredients!$D$5:$D$304,MATCH(B34,Ingredients!$B$5:$B$304,0)),"Add to Ingredients"))</f>
        <v>0</v>
      </c>
      <c r="E34" s="17">
        <f>IF(B34="","",IFERROR(INDEX(Ingredients!$E$5:$E$304,MATCH(B34,Ingredients!$B$5:$B$304,0)),"Add to Ingredients"))</f>
        <v>0</v>
      </c>
      <c r="F34" s="45">
        <f>IF(B34="","",IFERROR(INDEX(Ingredients!$AG$5:$AG$304,MATCH(B34,Ingredients!$B$5:$B$304,0)),""))</f>
        <v>0</v>
      </c>
      <c r="G34" s="17">
        <f>IF(B34="","",IFERROR(INDEX(Ingredients!$G$5:$G$304,MATCH(B34,Ingredients!$B$5:$B$304,0)),"Add to Ingredients"))</f>
        <v>0</v>
      </c>
      <c r="H34" s="45">
        <f>IF(B34="","",IFERROR(INDEX(Ingredients!$AD$5:$AD$304,MATCH(B34,Ingredients!$B$5:$B$304,0)),0))</f>
        <v>0</v>
      </c>
      <c r="I34" s="45">
        <f>IF(F34="","",MAX(0,F34-IF(H34="",0,H34)))</f>
        <v>0</v>
      </c>
      <c r="J34" s="45">
        <f>IF(B34="","",IFERROR(INDEX(Ingredients!$H$5:$H$304,MATCH(B34,Ingredients!$B$5:$B$304,0)),"Add to Ingredients"))</f>
        <v>0</v>
      </c>
      <c r="K34" s="25">
        <f>IF(B34="","",IFERROR(INDEX(Ingredients!$I$5:$I$304,MATCH(B34,Ingredients!$B$5:$B$304,0)),"Add to Ingredients"))</f>
        <v>0</v>
      </c>
      <c r="L34" s="25">
        <f>IF(B34="","",IFERROR(INDEX(Ingredients!$J$5:$J$304,MATCH(B34,Ingredients!$B$5:$B$304,0)),"Add to Ingredients"))</f>
        <v>0</v>
      </c>
      <c r="M34" s="45">
        <f>IF(OR(I34="",I34=0),"",IF(OR(J34="",NOT(ISNUMBER(J34)),J34=0),"",ROUNDUP(I34/J34,0)))</f>
        <v>0</v>
      </c>
      <c r="N34" s="45">
        <f>IF(I34="","",IF(RoundingRule="Exact quantity",I34,IF(M34="",I34,M34*J34)))</f>
        <v>0</v>
      </c>
      <c r="O34" s="25">
        <f>IF(N34="","",IF(RoundingRule="Exact quantity",IF(L34="","",N34*L34),IF(OR(M34="",K34=""),"",M34*K34)))</f>
        <v>0</v>
      </c>
      <c r="P34" s="25">
        <f>IF(B34="","",SUM(O$5:O34))</f>
        <v>0</v>
      </c>
      <c r="Q34" s="45">
        <f>IF(V34="Yes",0,IF(N34="",0,N34))</f>
        <v>0</v>
      </c>
      <c r="R34" s="18">
        <f>IF(OR(B34="",I34=0,I34=""),"",COUNTIFS($I$5:I34,"&gt;0"))</f>
        <v>0</v>
      </c>
      <c r="S34" s="18">
        <f>IF(B34="","",COUNTIFS('Recipe Ingredients'!$D$5:$D$1204,B34,'Recipe Ingredients'!$Y$5:$Y$1204,"&gt;0"))</f>
        <v>0</v>
      </c>
      <c r="T34" s="46">
        <f>IF(B34="","",IF(COUNTIFS('Recipe Ingredients'!$D$5:$D$1204,B34,'Recipe Ingredients'!$Y$5:$Y$1204,"&gt;0",'Recipe Ingredients'!$I$5:$I$1204,"No")=0,"Yes","No"))</f>
        <v>0</v>
      </c>
      <c r="U34" s="17">
        <f>IF(B34="","",IFERROR(INDEX(Ingredients!$W$5:$W$304,MATCH(B34,Ingredients!$B$5:$B$304,0)),"Add to Ingredients"))</f>
        <v>0</v>
      </c>
      <c r="Z34" s="31">
        <f>IF(B34="","",IF(V34="Yes","Bought",IF(I34=0,"In stock",IF(O34="","Check - no price","On the list"))))</f>
        <v>0</v>
      </c>
    </row>
    <row r="35" spans="1:26">
      <c r="A35" s="18">
        <f>ROW()-4</f>
        <v>0</v>
      </c>
      <c r="B35" s="17">
        <f>IFERROR(INDEX(Ingredients!$B$5:$B$304,MATCH(A35,Ingredients!$AL$5:$AL$304,0)),"")</f>
        <v>0</v>
      </c>
      <c r="C35" s="17">
        <f>IF(B35="","",IFERROR(INDEX(Ingredients!$C$5:$C$304,MATCH(B35,Ingredients!$B$5:$B$304,0)),"Add to Ingredients"))</f>
        <v>0</v>
      </c>
      <c r="D35" s="17">
        <f>IF(B35="","",IFERROR(INDEX(Ingredients!$D$5:$D$304,MATCH(B35,Ingredients!$B$5:$B$304,0)),"Add to Ingredients"))</f>
        <v>0</v>
      </c>
      <c r="E35" s="17">
        <f>IF(B35="","",IFERROR(INDEX(Ingredients!$E$5:$E$304,MATCH(B35,Ingredients!$B$5:$B$304,0)),"Add to Ingredients"))</f>
        <v>0</v>
      </c>
      <c r="F35" s="45">
        <f>IF(B35="","",IFERROR(INDEX(Ingredients!$AG$5:$AG$304,MATCH(B35,Ingredients!$B$5:$B$304,0)),""))</f>
        <v>0</v>
      </c>
      <c r="G35" s="17">
        <f>IF(B35="","",IFERROR(INDEX(Ingredients!$G$5:$G$304,MATCH(B35,Ingredients!$B$5:$B$304,0)),"Add to Ingredients"))</f>
        <v>0</v>
      </c>
      <c r="H35" s="45">
        <f>IF(B35="","",IFERROR(INDEX(Ingredients!$AD$5:$AD$304,MATCH(B35,Ingredients!$B$5:$B$304,0)),0))</f>
        <v>0</v>
      </c>
      <c r="I35" s="45">
        <f>IF(F35="","",MAX(0,F35-IF(H35="",0,H35)))</f>
        <v>0</v>
      </c>
      <c r="J35" s="45">
        <f>IF(B35="","",IFERROR(INDEX(Ingredients!$H$5:$H$304,MATCH(B35,Ingredients!$B$5:$B$304,0)),"Add to Ingredients"))</f>
        <v>0</v>
      </c>
      <c r="K35" s="25">
        <f>IF(B35="","",IFERROR(INDEX(Ingredients!$I$5:$I$304,MATCH(B35,Ingredients!$B$5:$B$304,0)),"Add to Ingredients"))</f>
        <v>0</v>
      </c>
      <c r="L35" s="25">
        <f>IF(B35="","",IFERROR(INDEX(Ingredients!$J$5:$J$304,MATCH(B35,Ingredients!$B$5:$B$304,0)),"Add to Ingredients"))</f>
        <v>0</v>
      </c>
      <c r="M35" s="45">
        <f>IF(OR(I35="",I35=0),"",IF(OR(J35="",NOT(ISNUMBER(J35)),J35=0),"",ROUNDUP(I35/J35,0)))</f>
        <v>0</v>
      </c>
      <c r="N35" s="45">
        <f>IF(I35="","",IF(RoundingRule="Exact quantity",I35,IF(M35="",I35,M35*J35)))</f>
        <v>0</v>
      </c>
      <c r="O35" s="25">
        <f>IF(N35="","",IF(RoundingRule="Exact quantity",IF(L35="","",N35*L35),IF(OR(M35="",K35=""),"",M35*K35)))</f>
        <v>0</v>
      </c>
      <c r="P35" s="25">
        <f>IF(B35="","",SUM(O$5:O35))</f>
        <v>0</v>
      </c>
      <c r="Q35" s="45">
        <f>IF(V35="Yes",0,IF(N35="",0,N35))</f>
        <v>0</v>
      </c>
      <c r="R35" s="18">
        <f>IF(OR(B35="",I35=0,I35=""),"",COUNTIFS($I$5:I35,"&gt;0"))</f>
        <v>0</v>
      </c>
      <c r="S35" s="18">
        <f>IF(B35="","",COUNTIFS('Recipe Ingredients'!$D$5:$D$1204,B35,'Recipe Ingredients'!$Y$5:$Y$1204,"&gt;0"))</f>
        <v>0</v>
      </c>
      <c r="T35" s="46">
        <f>IF(B35="","",IF(COUNTIFS('Recipe Ingredients'!$D$5:$D$1204,B35,'Recipe Ingredients'!$Y$5:$Y$1204,"&gt;0",'Recipe Ingredients'!$I$5:$I$1204,"No")=0,"Yes","No"))</f>
        <v>0</v>
      </c>
      <c r="U35" s="17">
        <f>IF(B35="","",IFERROR(INDEX(Ingredients!$W$5:$W$304,MATCH(B35,Ingredients!$B$5:$B$304,0)),"Add to Ingredients"))</f>
        <v>0</v>
      </c>
      <c r="Z35" s="31">
        <f>IF(B35="","",IF(V35="Yes","Bought",IF(I35=0,"In stock",IF(O35="","Check - no price","On the list"))))</f>
        <v>0</v>
      </c>
    </row>
    <row r="36" spans="1:26">
      <c r="A36" s="18">
        <f>ROW()-4</f>
        <v>0</v>
      </c>
      <c r="B36" s="17">
        <f>IFERROR(INDEX(Ingredients!$B$5:$B$304,MATCH(A36,Ingredients!$AL$5:$AL$304,0)),"")</f>
        <v>0</v>
      </c>
      <c r="C36" s="17">
        <f>IF(B36="","",IFERROR(INDEX(Ingredients!$C$5:$C$304,MATCH(B36,Ingredients!$B$5:$B$304,0)),"Add to Ingredients"))</f>
        <v>0</v>
      </c>
      <c r="D36" s="17">
        <f>IF(B36="","",IFERROR(INDEX(Ingredients!$D$5:$D$304,MATCH(B36,Ingredients!$B$5:$B$304,0)),"Add to Ingredients"))</f>
        <v>0</v>
      </c>
      <c r="E36" s="17">
        <f>IF(B36="","",IFERROR(INDEX(Ingredients!$E$5:$E$304,MATCH(B36,Ingredients!$B$5:$B$304,0)),"Add to Ingredients"))</f>
        <v>0</v>
      </c>
      <c r="F36" s="45">
        <f>IF(B36="","",IFERROR(INDEX(Ingredients!$AG$5:$AG$304,MATCH(B36,Ingredients!$B$5:$B$304,0)),""))</f>
        <v>0</v>
      </c>
      <c r="G36" s="17">
        <f>IF(B36="","",IFERROR(INDEX(Ingredients!$G$5:$G$304,MATCH(B36,Ingredients!$B$5:$B$304,0)),"Add to Ingredients"))</f>
        <v>0</v>
      </c>
      <c r="H36" s="45">
        <f>IF(B36="","",IFERROR(INDEX(Ingredients!$AD$5:$AD$304,MATCH(B36,Ingredients!$B$5:$B$304,0)),0))</f>
        <v>0</v>
      </c>
      <c r="I36" s="45">
        <f>IF(F36="","",MAX(0,F36-IF(H36="",0,H36)))</f>
        <v>0</v>
      </c>
      <c r="J36" s="45">
        <f>IF(B36="","",IFERROR(INDEX(Ingredients!$H$5:$H$304,MATCH(B36,Ingredients!$B$5:$B$304,0)),"Add to Ingredients"))</f>
        <v>0</v>
      </c>
      <c r="K36" s="25">
        <f>IF(B36="","",IFERROR(INDEX(Ingredients!$I$5:$I$304,MATCH(B36,Ingredients!$B$5:$B$304,0)),"Add to Ingredients"))</f>
        <v>0</v>
      </c>
      <c r="L36" s="25">
        <f>IF(B36="","",IFERROR(INDEX(Ingredients!$J$5:$J$304,MATCH(B36,Ingredients!$B$5:$B$304,0)),"Add to Ingredients"))</f>
        <v>0</v>
      </c>
      <c r="M36" s="45">
        <f>IF(OR(I36="",I36=0),"",IF(OR(J36="",NOT(ISNUMBER(J36)),J36=0),"",ROUNDUP(I36/J36,0)))</f>
        <v>0</v>
      </c>
      <c r="N36" s="45">
        <f>IF(I36="","",IF(RoundingRule="Exact quantity",I36,IF(M36="",I36,M36*J36)))</f>
        <v>0</v>
      </c>
      <c r="O36" s="25">
        <f>IF(N36="","",IF(RoundingRule="Exact quantity",IF(L36="","",N36*L36),IF(OR(M36="",K36=""),"",M36*K36)))</f>
        <v>0</v>
      </c>
      <c r="P36" s="25">
        <f>IF(B36="","",SUM(O$5:O36))</f>
        <v>0</v>
      </c>
      <c r="Q36" s="45">
        <f>IF(V36="Yes",0,IF(N36="",0,N36))</f>
        <v>0</v>
      </c>
      <c r="R36" s="18">
        <f>IF(OR(B36="",I36=0,I36=""),"",COUNTIFS($I$5:I36,"&gt;0"))</f>
        <v>0</v>
      </c>
      <c r="S36" s="18">
        <f>IF(B36="","",COUNTIFS('Recipe Ingredients'!$D$5:$D$1204,B36,'Recipe Ingredients'!$Y$5:$Y$1204,"&gt;0"))</f>
        <v>0</v>
      </c>
      <c r="T36" s="46">
        <f>IF(B36="","",IF(COUNTIFS('Recipe Ingredients'!$D$5:$D$1204,B36,'Recipe Ingredients'!$Y$5:$Y$1204,"&gt;0",'Recipe Ingredients'!$I$5:$I$1204,"No")=0,"Yes","No"))</f>
        <v>0</v>
      </c>
      <c r="U36" s="17">
        <f>IF(B36="","",IFERROR(INDEX(Ingredients!$W$5:$W$304,MATCH(B36,Ingredients!$B$5:$B$304,0)),"Add to Ingredients"))</f>
        <v>0</v>
      </c>
      <c r="Z36" s="31">
        <f>IF(B36="","",IF(V36="Yes","Bought",IF(I36=0,"In stock",IF(O36="","Check - no price","On the list"))))</f>
        <v>0</v>
      </c>
    </row>
    <row r="37" spans="1:26">
      <c r="A37" s="18">
        <f>ROW()-4</f>
        <v>0</v>
      </c>
      <c r="B37" s="17">
        <f>IFERROR(INDEX(Ingredients!$B$5:$B$304,MATCH(A37,Ingredients!$AL$5:$AL$304,0)),"")</f>
        <v>0</v>
      </c>
      <c r="C37" s="17">
        <f>IF(B37="","",IFERROR(INDEX(Ingredients!$C$5:$C$304,MATCH(B37,Ingredients!$B$5:$B$304,0)),"Add to Ingredients"))</f>
        <v>0</v>
      </c>
      <c r="D37" s="17">
        <f>IF(B37="","",IFERROR(INDEX(Ingredients!$D$5:$D$304,MATCH(B37,Ingredients!$B$5:$B$304,0)),"Add to Ingredients"))</f>
        <v>0</v>
      </c>
      <c r="E37" s="17">
        <f>IF(B37="","",IFERROR(INDEX(Ingredients!$E$5:$E$304,MATCH(B37,Ingredients!$B$5:$B$304,0)),"Add to Ingredients"))</f>
        <v>0</v>
      </c>
      <c r="F37" s="45">
        <f>IF(B37="","",IFERROR(INDEX(Ingredients!$AG$5:$AG$304,MATCH(B37,Ingredients!$B$5:$B$304,0)),""))</f>
        <v>0</v>
      </c>
      <c r="G37" s="17">
        <f>IF(B37="","",IFERROR(INDEX(Ingredients!$G$5:$G$304,MATCH(B37,Ingredients!$B$5:$B$304,0)),"Add to Ingredients"))</f>
        <v>0</v>
      </c>
      <c r="H37" s="45">
        <f>IF(B37="","",IFERROR(INDEX(Ingredients!$AD$5:$AD$304,MATCH(B37,Ingredients!$B$5:$B$304,0)),0))</f>
        <v>0</v>
      </c>
      <c r="I37" s="45">
        <f>IF(F37="","",MAX(0,F37-IF(H37="",0,H37)))</f>
        <v>0</v>
      </c>
      <c r="J37" s="45">
        <f>IF(B37="","",IFERROR(INDEX(Ingredients!$H$5:$H$304,MATCH(B37,Ingredients!$B$5:$B$304,0)),"Add to Ingredients"))</f>
        <v>0</v>
      </c>
      <c r="K37" s="25">
        <f>IF(B37="","",IFERROR(INDEX(Ingredients!$I$5:$I$304,MATCH(B37,Ingredients!$B$5:$B$304,0)),"Add to Ingredients"))</f>
        <v>0</v>
      </c>
      <c r="L37" s="25">
        <f>IF(B37="","",IFERROR(INDEX(Ingredients!$J$5:$J$304,MATCH(B37,Ingredients!$B$5:$B$304,0)),"Add to Ingredients"))</f>
        <v>0</v>
      </c>
      <c r="M37" s="45">
        <f>IF(OR(I37="",I37=0),"",IF(OR(J37="",NOT(ISNUMBER(J37)),J37=0),"",ROUNDUP(I37/J37,0)))</f>
        <v>0</v>
      </c>
      <c r="N37" s="45">
        <f>IF(I37="","",IF(RoundingRule="Exact quantity",I37,IF(M37="",I37,M37*J37)))</f>
        <v>0</v>
      </c>
      <c r="O37" s="25">
        <f>IF(N37="","",IF(RoundingRule="Exact quantity",IF(L37="","",N37*L37),IF(OR(M37="",K37=""),"",M37*K37)))</f>
        <v>0</v>
      </c>
      <c r="P37" s="25">
        <f>IF(B37="","",SUM(O$5:O37))</f>
        <v>0</v>
      </c>
      <c r="Q37" s="45">
        <f>IF(V37="Yes",0,IF(N37="",0,N37))</f>
        <v>0</v>
      </c>
      <c r="R37" s="18">
        <f>IF(OR(B37="",I37=0,I37=""),"",COUNTIFS($I$5:I37,"&gt;0"))</f>
        <v>0</v>
      </c>
      <c r="S37" s="18">
        <f>IF(B37="","",COUNTIFS('Recipe Ingredients'!$D$5:$D$1204,B37,'Recipe Ingredients'!$Y$5:$Y$1204,"&gt;0"))</f>
        <v>0</v>
      </c>
      <c r="T37" s="46">
        <f>IF(B37="","",IF(COUNTIFS('Recipe Ingredients'!$D$5:$D$1204,B37,'Recipe Ingredients'!$Y$5:$Y$1204,"&gt;0",'Recipe Ingredients'!$I$5:$I$1204,"No")=0,"Yes","No"))</f>
        <v>0</v>
      </c>
      <c r="U37" s="17">
        <f>IF(B37="","",IFERROR(INDEX(Ingredients!$W$5:$W$304,MATCH(B37,Ingredients!$B$5:$B$304,0)),"Add to Ingredients"))</f>
        <v>0</v>
      </c>
      <c r="Z37" s="31">
        <f>IF(B37="","",IF(V37="Yes","Bought",IF(I37=0,"In stock",IF(O37="","Check - no price","On the list"))))</f>
        <v>0</v>
      </c>
    </row>
    <row r="38" spans="1:26">
      <c r="A38" s="18">
        <f>ROW()-4</f>
        <v>0</v>
      </c>
      <c r="B38" s="17">
        <f>IFERROR(INDEX(Ingredients!$B$5:$B$304,MATCH(A38,Ingredients!$AL$5:$AL$304,0)),"")</f>
        <v>0</v>
      </c>
      <c r="C38" s="17">
        <f>IF(B38="","",IFERROR(INDEX(Ingredients!$C$5:$C$304,MATCH(B38,Ingredients!$B$5:$B$304,0)),"Add to Ingredients"))</f>
        <v>0</v>
      </c>
      <c r="D38" s="17">
        <f>IF(B38="","",IFERROR(INDEX(Ingredients!$D$5:$D$304,MATCH(B38,Ingredients!$B$5:$B$304,0)),"Add to Ingredients"))</f>
        <v>0</v>
      </c>
      <c r="E38" s="17">
        <f>IF(B38="","",IFERROR(INDEX(Ingredients!$E$5:$E$304,MATCH(B38,Ingredients!$B$5:$B$304,0)),"Add to Ingredients"))</f>
        <v>0</v>
      </c>
      <c r="F38" s="45">
        <f>IF(B38="","",IFERROR(INDEX(Ingredients!$AG$5:$AG$304,MATCH(B38,Ingredients!$B$5:$B$304,0)),""))</f>
        <v>0</v>
      </c>
      <c r="G38" s="17">
        <f>IF(B38="","",IFERROR(INDEX(Ingredients!$G$5:$G$304,MATCH(B38,Ingredients!$B$5:$B$304,0)),"Add to Ingredients"))</f>
        <v>0</v>
      </c>
      <c r="H38" s="45">
        <f>IF(B38="","",IFERROR(INDEX(Ingredients!$AD$5:$AD$304,MATCH(B38,Ingredients!$B$5:$B$304,0)),0))</f>
        <v>0</v>
      </c>
      <c r="I38" s="45">
        <f>IF(F38="","",MAX(0,F38-IF(H38="",0,H38)))</f>
        <v>0</v>
      </c>
      <c r="J38" s="45">
        <f>IF(B38="","",IFERROR(INDEX(Ingredients!$H$5:$H$304,MATCH(B38,Ingredients!$B$5:$B$304,0)),"Add to Ingredients"))</f>
        <v>0</v>
      </c>
      <c r="K38" s="25">
        <f>IF(B38="","",IFERROR(INDEX(Ingredients!$I$5:$I$304,MATCH(B38,Ingredients!$B$5:$B$304,0)),"Add to Ingredients"))</f>
        <v>0</v>
      </c>
      <c r="L38" s="25">
        <f>IF(B38="","",IFERROR(INDEX(Ingredients!$J$5:$J$304,MATCH(B38,Ingredients!$B$5:$B$304,0)),"Add to Ingredients"))</f>
        <v>0</v>
      </c>
      <c r="M38" s="45">
        <f>IF(OR(I38="",I38=0),"",IF(OR(J38="",NOT(ISNUMBER(J38)),J38=0),"",ROUNDUP(I38/J38,0)))</f>
        <v>0</v>
      </c>
      <c r="N38" s="45">
        <f>IF(I38="","",IF(RoundingRule="Exact quantity",I38,IF(M38="",I38,M38*J38)))</f>
        <v>0</v>
      </c>
      <c r="O38" s="25">
        <f>IF(N38="","",IF(RoundingRule="Exact quantity",IF(L38="","",N38*L38),IF(OR(M38="",K38=""),"",M38*K38)))</f>
        <v>0</v>
      </c>
      <c r="P38" s="25">
        <f>IF(B38="","",SUM(O$5:O38))</f>
        <v>0</v>
      </c>
      <c r="Q38" s="45">
        <f>IF(V38="Yes",0,IF(N38="",0,N38))</f>
        <v>0</v>
      </c>
      <c r="R38" s="18">
        <f>IF(OR(B38="",I38=0,I38=""),"",COUNTIFS($I$5:I38,"&gt;0"))</f>
        <v>0</v>
      </c>
      <c r="S38" s="18">
        <f>IF(B38="","",COUNTIFS('Recipe Ingredients'!$D$5:$D$1204,B38,'Recipe Ingredients'!$Y$5:$Y$1204,"&gt;0"))</f>
        <v>0</v>
      </c>
      <c r="T38" s="46">
        <f>IF(B38="","",IF(COUNTIFS('Recipe Ingredients'!$D$5:$D$1204,B38,'Recipe Ingredients'!$Y$5:$Y$1204,"&gt;0",'Recipe Ingredients'!$I$5:$I$1204,"No")=0,"Yes","No"))</f>
        <v>0</v>
      </c>
      <c r="U38" s="17">
        <f>IF(B38="","",IFERROR(INDEX(Ingredients!$W$5:$W$304,MATCH(B38,Ingredients!$B$5:$B$304,0)),"Add to Ingredients"))</f>
        <v>0</v>
      </c>
      <c r="Z38" s="31">
        <f>IF(B38="","",IF(V38="Yes","Bought",IF(I38=0,"In stock",IF(O38="","Check - no price","On the list"))))</f>
        <v>0</v>
      </c>
    </row>
    <row r="39" spans="1:26">
      <c r="A39" s="18">
        <f>ROW()-4</f>
        <v>0</v>
      </c>
      <c r="B39" s="17">
        <f>IFERROR(INDEX(Ingredients!$B$5:$B$304,MATCH(A39,Ingredients!$AL$5:$AL$304,0)),"")</f>
        <v>0</v>
      </c>
      <c r="C39" s="17">
        <f>IF(B39="","",IFERROR(INDEX(Ingredients!$C$5:$C$304,MATCH(B39,Ingredients!$B$5:$B$304,0)),"Add to Ingredients"))</f>
        <v>0</v>
      </c>
      <c r="D39" s="17">
        <f>IF(B39="","",IFERROR(INDEX(Ingredients!$D$5:$D$304,MATCH(B39,Ingredients!$B$5:$B$304,0)),"Add to Ingredients"))</f>
        <v>0</v>
      </c>
      <c r="E39" s="17">
        <f>IF(B39="","",IFERROR(INDEX(Ingredients!$E$5:$E$304,MATCH(B39,Ingredients!$B$5:$B$304,0)),"Add to Ingredients"))</f>
        <v>0</v>
      </c>
      <c r="F39" s="45">
        <f>IF(B39="","",IFERROR(INDEX(Ingredients!$AG$5:$AG$304,MATCH(B39,Ingredients!$B$5:$B$304,0)),""))</f>
        <v>0</v>
      </c>
      <c r="G39" s="17">
        <f>IF(B39="","",IFERROR(INDEX(Ingredients!$G$5:$G$304,MATCH(B39,Ingredients!$B$5:$B$304,0)),"Add to Ingredients"))</f>
        <v>0</v>
      </c>
      <c r="H39" s="45">
        <f>IF(B39="","",IFERROR(INDEX(Ingredients!$AD$5:$AD$304,MATCH(B39,Ingredients!$B$5:$B$304,0)),0))</f>
        <v>0</v>
      </c>
      <c r="I39" s="45">
        <f>IF(F39="","",MAX(0,F39-IF(H39="",0,H39)))</f>
        <v>0</v>
      </c>
      <c r="J39" s="45">
        <f>IF(B39="","",IFERROR(INDEX(Ingredients!$H$5:$H$304,MATCH(B39,Ingredients!$B$5:$B$304,0)),"Add to Ingredients"))</f>
        <v>0</v>
      </c>
      <c r="K39" s="25">
        <f>IF(B39="","",IFERROR(INDEX(Ingredients!$I$5:$I$304,MATCH(B39,Ingredients!$B$5:$B$304,0)),"Add to Ingredients"))</f>
        <v>0</v>
      </c>
      <c r="L39" s="25">
        <f>IF(B39="","",IFERROR(INDEX(Ingredients!$J$5:$J$304,MATCH(B39,Ingredients!$B$5:$B$304,0)),"Add to Ingredients"))</f>
        <v>0</v>
      </c>
      <c r="M39" s="45">
        <f>IF(OR(I39="",I39=0),"",IF(OR(J39="",NOT(ISNUMBER(J39)),J39=0),"",ROUNDUP(I39/J39,0)))</f>
        <v>0</v>
      </c>
      <c r="N39" s="45">
        <f>IF(I39="","",IF(RoundingRule="Exact quantity",I39,IF(M39="",I39,M39*J39)))</f>
        <v>0</v>
      </c>
      <c r="O39" s="25">
        <f>IF(N39="","",IF(RoundingRule="Exact quantity",IF(L39="","",N39*L39),IF(OR(M39="",K39=""),"",M39*K39)))</f>
        <v>0</v>
      </c>
      <c r="P39" s="25">
        <f>IF(B39="","",SUM(O$5:O39))</f>
        <v>0</v>
      </c>
      <c r="Q39" s="45">
        <f>IF(V39="Yes",0,IF(N39="",0,N39))</f>
        <v>0</v>
      </c>
      <c r="R39" s="18">
        <f>IF(OR(B39="",I39=0,I39=""),"",COUNTIFS($I$5:I39,"&gt;0"))</f>
        <v>0</v>
      </c>
      <c r="S39" s="18">
        <f>IF(B39="","",COUNTIFS('Recipe Ingredients'!$D$5:$D$1204,B39,'Recipe Ingredients'!$Y$5:$Y$1204,"&gt;0"))</f>
        <v>0</v>
      </c>
      <c r="T39" s="46">
        <f>IF(B39="","",IF(COUNTIFS('Recipe Ingredients'!$D$5:$D$1204,B39,'Recipe Ingredients'!$Y$5:$Y$1204,"&gt;0",'Recipe Ingredients'!$I$5:$I$1204,"No")=0,"Yes","No"))</f>
        <v>0</v>
      </c>
      <c r="U39" s="17">
        <f>IF(B39="","",IFERROR(INDEX(Ingredients!$W$5:$W$304,MATCH(B39,Ingredients!$B$5:$B$304,0)),"Add to Ingredients"))</f>
        <v>0</v>
      </c>
      <c r="Z39" s="31">
        <f>IF(B39="","",IF(V39="Yes","Bought",IF(I39=0,"In stock",IF(O39="","Check - no price","On the list"))))</f>
        <v>0</v>
      </c>
    </row>
    <row r="40" spans="1:26">
      <c r="A40" s="18">
        <f>ROW()-4</f>
        <v>0</v>
      </c>
      <c r="B40" s="17">
        <f>IFERROR(INDEX(Ingredients!$B$5:$B$304,MATCH(A40,Ingredients!$AL$5:$AL$304,0)),"")</f>
        <v>0</v>
      </c>
      <c r="C40" s="17">
        <f>IF(B40="","",IFERROR(INDEX(Ingredients!$C$5:$C$304,MATCH(B40,Ingredients!$B$5:$B$304,0)),"Add to Ingredients"))</f>
        <v>0</v>
      </c>
      <c r="D40" s="17">
        <f>IF(B40="","",IFERROR(INDEX(Ingredients!$D$5:$D$304,MATCH(B40,Ingredients!$B$5:$B$304,0)),"Add to Ingredients"))</f>
        <v>0</v>
      </c>
      <c r="E40" s="17">
        <f>IF(B40="","",IFERROR(INDEX(Ingredients!$E$5:$E$304,MATCH(B40,Ingredients!$B$5:$B$304,0)),"Add to Ingredients"))</f>
        <v>0</v>
      </c>
      <c r="F40" s="45">
        <f>IF(B40="","",IFERROR(INDEX(Ingredients!$AG$5:$AG$304,MATCH(B40,Ingredients!$B$5:$B$304,0)),""))</f>
        <v>0</v>
      </c>
      <c r="G40" s="17">
        <f>IF(B40="","",IFERROR(INDEX(Ingredients!$G$5:$G$304,MATCH(B40,Ingredients!$B$5:$B$304,0)),"Add to Ingredients"))</f>
        <v>0</v>
      </c>
      <c r="H40" s="45">
        <f>IF(B40="","",IFERROR(INDEX(Ingredients!$AD$5:$AD$304,MATCH(B40,Ingredients!$B$5:$B$304,0)),0))</f>
        <v>0</v>
      </c>
      <c r="I40" s="45">
        <f>IF(F40="","",MAX(0,F40-IF(H40="",0,H40)))</f>
        <v>0</v>
      </c>
      <c r="J40" s="45">
        <f>IF(B40="","",IFERROR(INDEX(Ingredients!$H$5:$H$304,MATCH(B40,Ingredients!$B$5:$B$304,0)),"Add to Ingredients"))</f>
        <v>0</v>
      </c>
      <c r="K40" s="25">
        <f>IF(B40="","",IFERROR(INDEX(Ingredients!$I$5:$I$304,MATCH(B40,Ingredients!$B$5:$B$304,0)),"Add to Ingredients"))</f>
        <v>0</v>
      </c>
      <c r="L40" s="25">
        <f>IF(B40="","",IFERROR(INDEX(Ingredients!$J$5:$J$304,MATCH(B40,Ingredients!$B$5:$B$304,0)),"Add to Ingredients"))</f>
        <v>0</v>
      </c>
      <c r="M40" s="45">
        <f>IF(OR(I40="",I40=0),"",IF(OR(J40="",NOT(ISNUMBER(J40)),J40=0),"",ROUNDUP(I40/J40,0)))</f>
        <v>0</v>
      </c>
      <c r="N40" s="45">
        <f>IF(I40="","",IF(RoundingRule="Exact quantity",I40,IF(M40="",I40,M40*J40)))</f>
        <v>0</v>
      </c>
      <c r="O40" s="25">
        <f>IF(N40="","",IF(RoundingRule="Exact quantity",IF(L40="","",N40*L40),IF(OR(M40="",K40=""),"",M40*K40)))</f>
        <v>0</v>
      </c>
      <c r="P40" s="25">
        <f>IF(B40="","",SUM(O$5:O40))</f>
        <v>0</v>
      </c>
      <c r="Q40" s="45">
        <f>IF(V40="Yes",0,IF(N40="",0,N40))</f>
        <v>0</v>
      </c>
      <c r="R40" s="18">
        <f>IF(OR(B40="",I40=0,I40=""),"",COUNTIFS($I$5:I40,"&gt;0"))</f>
        <v>0</v>
      </c>
      <c r="S40" s="18">
        <f>IF(B40="","",COUNTIFS('Recipe Ingredients'!$D$5:$D$1204,B40,'Recipe Ingredients'!$Y$5:$Y$1204,"&gt;0"))</f>
        <v>0</v>
      </c>
      <c r="T40" s="46">
        <f>IF(B40="","",IF(COUNTIFS('Recipe Ingredients'!$D$5:$D$1204,B40,'Recipe Ingredients'!$Y$5:$Y$1204,"&gt;0",'Recipe Ingredients'!$I$5:$I$1204,"No")=0,"Yes","No"))</f>
        <v>0</v>
      </c>
      <c r="U40" s="17">
        <f>IF(B40="","",IFERROR(INDEX(Ingredients!$W$5:$W$304,MATCH(B40,Ingredients!$B$5:$B$304,0)),"Add to Ingredients"))</f>
        <v>0</v>
      </c>
      <c r="Z40" s="31">
        <f>IF(B40="","",IF(V40="Yes","Bought",IF(I40=0,"In stock",IF(O40="","Check - no price","On the list"))))</f>
        <v>0</v>
      </c>
    </row>
    <row r="41" spans="1:26">
      <c r="A41" s="18">
        <f>ROW()-4</f>
        <v>0</v>
      </c>
      <c r="B41" s="17">
        <f>IFERROR(INDEX(Ingredients!$B$5:$B$304,MATCH(A41,Ingredients!$AL$5:$AL$304,0)),"")</f>
        <v>0</v>
      </c>
      <c r="C41" s="17">
        <f>IF(B41="","",IFERROR(INDEX(Ingredients!$C$5:$C$304,MATCH(B41,Ingredients!$B$5:$B$304,0)),"Add to Ingredients"))</f>
        <v>0</v>
      </c>
      <c r="D41" s="17">
        <f>IF(B41="","",IFERROR(INDEX(Ingredients!$D$5:$D$304,MATCH(B41,Ingredients!$B$5:$B$304,0)),"Add to Ingredients"))</f>
        <v>0</v>
      </c>
      <c r="E41" s="17">
        <f>IF(B41="","",IFERROR(INDEX(Ingredients!$E$5:$E$304,MATCH(B41,Ingredients!$B$5:$B$304,0)),"Add to Ingredients"))</f>
        <v>0</v>
      </c>
      <c r="F41" s="45">
        <f>IF(B41="","",IFERROR(INDEX(Ingredients!$AG$5:$AG$304,MATCH(B41,Ingredients!$B$5:$B$304,0)),""))</f>
        <v>0</v>
      </c>
      <c r="G41" s="17">
        <f>IF(B41="","",IFERROR(INDEX(Ingredients!$G$5:$G$304,MATCH(B41,Ingredients!$B$5:$B$304,0)),"Add to Ingredients"))</f>
        <v>0</v>
      </c>
      <c r="H41" s="45">
        <f>IF(B41="","",IFERROR(INDEX(Ingredients!$AD$5:$AD$304,MATCH(B41,Ingredients!$B$5:$B$304,0)),0))</f>
        <v>0</v>
      </c>
      <c r="I41" s="45">
        <f>IF(F41="","",MAX(0,F41-IF(H41="",0,H41)))</f>
        <v>0</v>
      </c>
      <c r="J41" s="45">
        <f>IF(B41="","",IFERROR(INDEX(Ingredients!$H$5:$H$304,MATCH(B41,Ingredients!$B$5:$B$304,0)),"Add to Ingredients"))</f>
        <v>0</v>
      </c>
      <c r="K41" s="25">
        <f>IF(B41="","",IFERROR(INDEX(Ingredients!$I$5:$I$304,MATCH(B41,Ingredients!$B$5:$B$304,0)),"Add to Ingredients"))</f>
        <v>0</v>
      </c>
      <c r="L41" s="25">
        <f>IF(B41="","",IFERROR(INDEX(Ingredients!$J$5:$J$304,MATCH(B41,Ingredients!$B$5:$B$304,0)),"Add to Ingredients"))</f>
        <v>0</v>
      </c>
      <c r="M41" s="45">
        <f>IF(OR(I41="",I41=0),"",IF(OR(J41="",NOT(ISNUMBER(J41)),J41=0),"",ROUNDUP(I41/J41,0)))</f>
        <v>0</v>
      </c>
      <c r="N41" s="45">
        <f>IF(I41="","",IF(RoundingRule="Exact quantity",I41,IF(M41="",I41,M41*J41)))</f>
        <v>0</v>
      </c>
      <c r="O41" s="25">
        <f>IF(N41="","",IF(RoundingRule="Exact quantity",IF(L41="","",N41*L41),IF(OR(M41="",K41=""),"",M41*K41)))</f>
        <v>0</v>
      </c>
      <c r="P41" s="25">
        <f>IF(B41="","",SUM(O$5:O41))</f>
        <v>0</v>
      </c>
      <c r="Q41" s="45">
        <f>IF(V41="Yes",0,IF(N41="",0,N41))</f>
        <v>0</v>
      </c>
      <c r="R41" s="18">
        <f>IF(OR(B41="",I41=0,I41=""),"",COUNTIFS($I$5:I41,"&gt;0"))</f>
        <v>0</v>
      </c>
      <c r="S41" s="18">
        <f>IF(B41="","",COUNTIFS('Recipe Ingredients'!$D$5:$D$1204,B41,'Recipe Ingredients'!$Y$5:$Y$1204,"&gt;0"))</f>
        <v>0</v>
      </c>
      <c r="T41" s="46">
        <f>IF(B41="","",IF(COUNTIFS('Recipe Ingredients'!$D$5:$D$1204,B41,'Recipe Ingredients'!$Y$5:$Y$1204,"&gt;0",'Recipe Ingredients'!$I$5:$I$1204,"No")=0,"Yes","No"))</f>
        <v>0</v>
      </c>
      <c r="U41" s="17">
        <f>IF(B41="","",IFERROR(INDEX(Ingredients!$W$5:$W$304,MATCH(B41,Ingredients!$B$5:$B$304,0)),"Add to Ingredients"))</f>
        <v>0</v>
      </c>
      <c r="Z41" s="31">
        <f>IF(B41="","",IF(V41="Yes","Bought",IF(I41=0,"In stock",IF(O41="","Check - no price","On the list"))))</f>
        <v>0</v>
      </c>
    </row>
    <row r="42" spans="1:26">
      <c r="A42" s="18">
        <f>ROW()-4</f>
        <v>0</v>
      </c>
      <c r="B42" s="17">
        <f>IFERROR(INDEX(Ingredients!$B$5:$B$304,MATCH(A42,Ingredients!$AL$5:$AL$304,0)),"")</f>
        <v>0</v>
      </c>
      <c r="C42" s="17">
        <f>IF(B42="","",IFERROR(INDEX(Ingredients!$C$5:$C$304,MATCH(B42,Ingredients!$B$5:$B$304,0)),"Add to Ingredients"))</f>
        <v>0</v>
      </c>
      <c r="D42" s="17">
        <f>IF(B42="","",IFERROR(INDEX(Ingredients!$D$5:$D$304,MATCH(B42,Ingredients!$B$5:$B$304,0)),"Add to Ingredients"))</f>
        <v>0</v>
      </c>
      <c r="E42" s="17">
        <f>IF(B42="","",IFERROR(INDEX(Ingredients!$E$5:$E$304,MATCH(B42,Ingredients!$B$5:$B$304,0)),"Add to Ingredients"))</f>
        <v>0</v>
      </c>
      <c r="F42" s="45">
        <f>IF(B42="","",IFERROR(INDEX(Ingredients!$AG$5:$AG$304,MATCH(B42,Ingredients!$B$5:$B$304,0)),""))</f>
        <v>0</v>
      </c>
      <c r="G42" s="17">
        <f>IF(B42="","",IFERROR(INDEX(Ingredients!$G$5:$G$304,MATCH(B42,Ingredients!$B$5:$B$304,0)),"Add to Ingredients"))</f>
        <v>0</v>
      </c>
      <c r="H42" s="45">
        <f>IF(B42="","",IFERROR(INDEX(Ingredients!$AD$5:$AD$304,MATCH(B42,Ingredients!$B$5:$B$304,0)),0))</f>
        <v>0</v>
      </c>
      <c r="I42" s="45">
        <f>IF(F42="","",MAX(0,F42-IF(H42="",0,H42)))</f>
        <v>0</v>
      </c>
      <c r="J42" s="45">
        <f>IF(B42="","",IFERROR(INDEX(Ingredients!$H$5:$H$304,MATCH(B42,Ingredients!$B$5:$B$304,0)),"Add to Ingredients"))</f>
        <v>0</v>
      </c>
      <c r="K42" s="25">
        <f>IF(B42="","",IFERROR(INDEX(Ingredients!$I$5:$I$304,MATCH(B42,Ingredients!$B$5:$B$304,0)),"Add to Ingredients"))</f>
        <v>0</v>
      </c>
      <c r="L42" s="25">
        <f>IF(B42="","",IFERROR(INDEX(Ingredients!$J$5:$J$304,MATCH(B42,Ingredients!$B$5:$B$304,0)),"Add to Ingredients"))</f>
        <v>0</v>
      </c>
      <c r="M42" s="45">
        <f>IF(OR(I42="",I42=0),"",IF(OR(J42="",NOT(ISNUMBER(J42)),J42=0),"",ROUNDUP(I42/J42,0)))</f>
        <v>0</v>
      </c>
      <c r="N42" s="45">
        <f>IF(I42="","",IF(RoundingRule="Exact quantity",I42,IF(M42="",I42,M42*J42)))</f>
        <v>0</v>
      </c>
      <c r="O42" s="25">
        <f>IF(N42="","",IF(RoundingRule="Exact quantity",IF(L42="","",N42*L42),IF(OR(M42="",K42=""),"",M42*K42)))</f>
        <v>0</v>
      </c>
      <c r="P42" s="25">
        <f>IF(B42="","",SUM(O$5:O42))</f>
        <v>0</v>
      </c>
      <c r="Q42" s="45">
        <f>IF(V42="Yes",0,IF(N42="",0,N42))</f>
        <v>0</v>
      </c>
      <c r="R42" s="18">
        <f>IF(OR(B42="",I42=0,I42=""),"",COUNTIFS($I$5:I42,"&gt;0"))</f>
        <v>0</v>
      </c>
      <c r="S42" s="18">
        <f>IF(B42="","",COUNTIFS('Recipe Ingredients'!$D$5:$D$1204,B42,'Recipe Ingredients'!$Y$5:$Y$1204,"&gt;0"))</f>
        <v>0</v>
      </c>
      <c r="T42" s="46">
        <f>IF(B42="","",IF(COUNTIFS('Recipe Ingredients'!$D$5:$D$1204,B42,'Recipe Ingredients'!$Y$5:$Y$1204,"&gt;0",'Recipe Ingredients'!$I$5:$I$1204,"No")=0,"Yes","No"))</f>
        <v>0</v>
      </c>
      <c r="U42" s="17">
        <f>IF(B42="","",IFERROR(INDEX(Ingredients!$W$5:$W$304,MATCH(B42,Ingredients!$B$5:$B$304,0)),"Add to Ingredients"))</f>
        <v>0</v>
      </c>
      <c r="Z42" s="31">
        <f>IF(B42="","",IF(V42="Yes","Bought",IF(I42=0,"In stock",IF(O42="","Check - no price","On the list"))))</f>
        <v>0</v>
      </c>
    </row>
    <row r="43" spans="1:26">
      <c r="A43" s="18">
        <f>ROW()-4</f>
        <v>0</v>
      </c>
      <c r="B43" s="17">
        <f>IFERROR(INDEX(Ingredients!$B$5:$B$304,MATCH(A43,Ingredients!$AL$5:$AL$304,0)),"")</f>
        <v>0</v>
      </c>
      <c r="C43" s="17">
        <f>IF(B43="","",IFERROR(INDEX(Ingredients!$C$5:$C$304,MATCH(B43,Ingredients!$B$5:$B$304,0)),"Add to Ingredients"))</f>
        <v>0</v>
      </c>
      <c r="D43" s="17">
        <f>IF(B43="","",IFERROR(INDEX(Ingredients!$D$5:$D$304,MATCH(B43,Ingredients!$B$5:$B$304,0)),"Add to Ingredients"))</f>
        <v>0</v>
      </c>
      <c r="E43" s="17">
        <f>IF(B43="","",IFERROR(INDEX(Ingredients!$E$5:$E$304,MATCH(B43,Ingredients!$B$5:$B$304,0)),"Add to Ingredients"))</f>
        <v>0</v>
      </c>
      <c r="F43" s="45">
        <f>IF(B43="","",IFERROR(INDEX(Ingredients!$AG$5:$AG$304,MATCH(B43,Ingredients!$B$5:$B$304,0)),""))</f>
        <v>0</v>
      </c>
      <c r="G43" s="17">
        <f>IF(B43="","",IFERROR(INDEX(Ingredients!$G$5:$G$304,MATCH(B43,Ingredients!$B$5:$B$304,0)),"Add to Ingredients"))</f>
        <v>0</v>
      </c>
      <c r="H43" s="45">
        <f>IF(B43="","",IFERROR(INDEX(Ingredients!$AD$5:$AD$304,MATCH(B43,Ingredients!$B$5:$B$304,0)),0))</f>
        <v>0</v>
      </c>
      <c r="I43" s="45">
        <f>IF(F43="","",MAX(0,F43-IF(H43="",0,H43)))</f>
        <v>0</v>
      </c>
      <c r="J43" s="45">
        <f>IF(B43="","",IFERROR(INDEX(Ingredients!$H$5:$H$304,MATCH(B43,Ingredients!$B$5:$B$304,0)),"Add to Ingredients"))</f>
        <v>0</v>
      </c>
      <c r="K43" s="25">
        <f>IF(B43="","",IFERROR(INDEX(Ingredients!$I$5:$I$304,MATCH(B43,Ingredients!$B$5:$B$304,0)),"Add to Ingredients"))</f>
        <v>0</v>
      </c>
      <c r="L43" s="25">
        <f>IF(B43="","",IFERROR(INDEX(Ingredients!$J$5:$J$304,MATCH(B43,Ingredients!$B$5:$B$304,0)),"Add to Ingredients"))</f>
        <v>0</v>
      </c>
      <c r="M43" s="45">
        <f>IF(OR(I43="",I43=0),"",IF(OR(J43="",NOT(ISNUMBER(J43)),J43=0),"",ROUNDUP(I43/J43,0)))</f>
        <v>0</v>
      </c>
      <c r="N43" s="45">
        <f>IF(I43="","",IF(RoundingRule="Exact quantity",I43,IF(M43="",I43,M43*J43)))</f>
        <v>0</v>
      </c>
      <c r="O43" s="25">
        <f>IF(N43="","",IF(RoundingRule="Exact quantity",IF(L43="","",N43*L43),IF(OR(M43="",K43=""),"",M43*K43)))</f>
        <v>0</v>
      </c>
      <c r="P43" s="25">
        <f>IF(B43="","",SUM(O$5:O43))</f>
        <v>0</v>
      </c>
      <c r="Q43" s="45">
        <f>IF(V43="Yes",0,IF(N43="",0,N43))</f>
        <v>0</v>
      </c>
      <c r="R43" s="18">
        <f>IF(OR(B43="",I43=0,I43=""),"",COUNTIFS($I$5:I43,"&gt;0"))</f>
        <v>0</v>
      </c>
      <c r="S43" s="18">
        <f>IF(B43="","",COUNTIFS('Recipe Ingredients'!$D$5:$D$1204,B43,'Recipe Ingredients'!$Y$5:$Y$1204,"&gt;0"))</f>
        <v>0</v>
      </c>
      <c r="T43" s="46">
        <f>IF(B43="","",IF(COUNTIFS('Recipe Ingredients'!$D$5:$D$1204,B43,'Recipe Ingredients'!$Y$5:$Y$1204,"&gt;0",'Recipe Ingredients'!$I$5:$I$1204,"No")=0,"Yes","No"))</f>
        <v>0</v>
      </c>
      <c r="U43" s="17">
        <f>IF(B43="","",IFERROR(INDEX(Ingredients!$W$5:$W$304,MATCH(B43,Ingredients!$B$5:$B$304,0)),"Add to Ingredients"))</f>
        <v>0</v>
      </c>
      <c r="Z43" s="31">
        <f>IF(B43="","",IF(V43="Yes","Bought",IF(I43=0,"In stock",IF(O43="","Check - no price","On the list"))))</f>
        <v>0</v>
      </c>
    </row>
    <row r="44" spans="1:26">
      <c r="A44" s="18">
        <f>ROW()-4</f>
        <v>0</v>
      </c>
      <c r="B44" s="17">
        <f>IFERROR(INDEX(Ingredients!$B$5:$B$304,MATCH(A44,Ingredients!$AL$5:$AL$304,0)),"")</f>
        <v>0</v>
      </c>
      <c r="C44" s="17">
        <f>IF(B44="","",IFERROR(INDEX(Ingredients!$C$5:$C$304,MATCH(B44,Ingredients!$B$5:$B$304,0)),"Add to Ingredients"))</f>
        <v>0</v>
      </c>
      <c r="D44" s="17">
        <f>IF(B44="","",IFERROR(INDEX(Ingredients!$D$5:$D$304,MATCH(B44,Ingredients!$B$5:$B$304,0)),"Add to Ingredients"))</f>
        <v>0</v>
      </c>
      <c r="E44" s="17">
        <f>IF(B44="","",IFERROR(INDEX(Ingredients!$E$5:$E$304,MATCH(B44,Ingredients!$B$5:$B$304,0)),"Add to Ingredients"))</f>
        <v>0</v>
      </c>
      <c r="F44" s="45">
        <f>IF(B44="","",IFERROR(INDEX(Ingredients!$AG$5:$AG$304,MATCH(B44,Ingredients!$B$5:$B$304,0)),""))</f>
        <v>0</v>
      </c>
      <c r="G44" s="17">
        <f>IF(B44="","",IFERROR(INDEX(Ingredients!$G$5:$G$304,MATCH(B44,Ingredients!$B$5:$B$304,0)),"Add to Ingredients"))</f>
        <v>0</v>
      </c>
      <c r="H44" s="45">
        <f>IF(B44="","",IFERROR(INDEX(Ingredients!$AD$5:$AD$304,MATCH(B44,Ingredients!$B$5:$B$304,0)),0))</f>
        <v>0</v>
      </c>
      <c r="I44" s="45">
        <f>IF(F44="","",MAX(0,F44-IF(H44="",0,H44)))</f>
        <v>0</v>
      </c>
      <c r="J44" s="45">
        <f>IF(B44="","",IFERROR(INDEX(Ingredients!$H$5:$H$304,MATCH(B44,Ingredients!$B$5:$B$304,0)),"Add to Ingredients"))</f>
        <v>0</v>
      </c>
      <c r="K44" s="25">
        <f>IF(B44="","",IFERROR(INDEX(Ingredients!$I$5:$I$304,MATCH(B44,Ingredients!$B$5:$B$304,0)),"Add to Ingredients"))</f>
        <v>0</v>
      </c>
      <c r="L44" s="25">
        <f>IF(B44="","",IFERROR(INDEX(Ingredients!$J$5:$J$304,MATCH(B44,Ingredients!$B$5:$B$304,0)),"Add to Ingredients"))</f>
        <v>0</v>
      </c>
      <c r="M44" s="45">
        <f>IF(OR(I44="",I44=0),"",IF(OR(J44="",NOT(ISNUMBER(J44)),J44=0),"",ROUNDUP(I44/J44,0)))</f>
        <v>0</v>
      </c>
      <c r="N44" s="45">
        <f>IF(I44="","",IF(RoundingRule="Exact quantity",I44,IF(M44="",I44,M44*J44)))</f>
        <v>0</v>
      </c>
      <c r="O44" s="25">
        <f>IF(N44="","",IF(RoundingRule="Exact quantity",IF(L44="","",N44*L44),IF(OR(M44="",K44=""),"",M44*K44)))</f>
        <v>0</v>
      </c>
      <c r="P44" s="25">
        <f>IF(B44="","",SUM(O$5:O44))</f>
        <v>0</v>
      </c>
      <c r="Q44" s="45">
        <f>IF(V44="Yes",0,IF(N44="",0,N44))</f>
        <v>0</v>
      </c>
      <c r="R44" s="18">
        <f>IF(OR(B44="",I44=0,I44=""),"",COUNTIFS($I$5:I44,"&gt;0"))</f>
        <v>0</v>
      </c>
      <c r="S44" s="18">
        <f>IF(B44="","",COUNTIFS('Recipe Ingredients'!$D$5:$D$1204,B44,'Recipe Ingredients'!$Y$5:$Y$1204,"&gt;0"))</f>
        <v>0</v>
      </c>
      <c r="T44" s="46">
        <f>IF(B44="","",IF(COUNTIFS('Recipe Ingredients'!$D$5:$D$1204,B44,'Recipe Ingredients'!$Y$5:$Y$1204,"&gt;0",'Recipe Ingredients'!$I$5:$I$1204,"No")=0,"Yes","No"))</f>
        <v>0</v>
      </c>
      <c r="U44" s="17">
        <f>IF(B44="","",IFERROR(INDEX(Ingredients!$W$5:$W$304,MATCH(B44,Ingredients!$B$5:$B$304,0)),"Add to Ingredients"))</f>
        <v>0</v>
      </c>
      <c r="Z44" s="31">
        <f>IF(B44="","",IF(V44="Yes","Bought",IF(I44=0,"In stock",IF(O44="","Check - no price","On the list"))))</f>
        <v>0</v>
      </c>
    </row>
    <row r="45" spans="1:26">
      <c r="A45" s="18">
        <f>ROW()-4</f>
        <v>0</v>
      </c>
      <c r="B45" s="17">
        <f>IFERROR(INDEX(Ingredients!$B$5:$B$304,MATCH(A45,Ingredients!$AL$5:$AL$304,0)),"")</f>
        <v>0</v>
      </c>
      <c r="C45" s="17">
        <f>IF(B45="","",IFERROR(INDEX(Ingredients!$C$5:$C$304,MATCH(B45,Ingredients!$B$5:$B$304,0)),"Add to Ingredients"))</f>
        <v>0</v>
      </c>
      <c r="D45" s="17">
        <f>IF(B45="","",IFERROR(INDEX(Ingredients!$D$5:$D$304,MATCH(B45,Ingredients!$B$5:$B$304,0)),"Add to Ingredients"))</f>
        <v>0</v>
      </c>
      <c r="E45" s="17">
        <f>IF(B45="","",IFERROR(INDEX(Ingredients!$E$5:$E$304,MATCH(B45,Ingredients!$B$5:$B$304,0)),"Add to Ingredients"))</f>
        <v>0</v>
      </c>
      <c r="F45" s="45">
        <f>IF(B45="","",IFERROR(INDEX(Ingredients!$AG$5:$AG$304,MATCH(B45,Ingredients!$B$5:$B$304,0)),""))</f>
        <v>0</v>
      </c>
      <c r="G45" s="17">
        <f>IF(B45="","",IFERROR(INDEX(Ingredients!$G$5:$G$304,MATCH(B45,Ingredients!$B$5:$B$304,0)),"Add to Ingredients"))</f>
        <v>0</v>
      </c>
      <c r="H45" s="45">
        <f>IF(B45="","",IFERROR(INDEX(Ingredients!$AD$5:$AD$304,MATCH(B45,Ingredients!$B$5:$B$304,0)),0))</f>
        <v>0</v>
      </c>
      <c r="I45" s="45">
        <f>IF(F45="","",MAX(0,F45-IF(H45="",0,H45)))</f>
        <v>0</v>
      </c>
      <c r="J45" s="45">
        <f>IF(B45="","",IFERROR(INDEX(Ingredients!$H$5:$H$304,MATCH(B45,Ingredients!$B$5:$B$304,0)),"Add to Ingredients"))</f>
        <v>0</v>
      </c>
      <c r="K45" s="25">
        <f>IF(B45="","",IFERROR(INDEX(Ingredients!$I$5:$I$304,MATCH(B45,Ingredients!$B$5:$B$304,0)),"Add to Ingredients"))</f>
        <v>0</v>
      </c>
      <c r="L45" s="25">
        <f>IF(B45="","",IFERROR(INDEX(Ingredients!$J$5:$J$304,MATCH(B45,Ingredients!$B$5:$B$304,0)),"Add to Ingredients"))</f>
        <v>0</v>
      </c>
      <c r="M45" s="45">
        <f>IF(OR(I45="",I45=0),"",IF(OR(J45="",NOT(ISNUMBER(J45)),J45=0),"",ROUNDUP(I45/J45,0)))</f>
        <v>0</v>
      </c>
      <c r="N45" s="45">
        <f>IF(I45="","",IF(RoundingRule="Exact quantity",I45,IF(M45="",I45,M45*J45)))</f>
        <v>0</v>
      </c>
      <c r="O45" s="25">
        <f>IF(N45="","",IF(RoundingRule="Exact quantity",IF(L45="","",N45*L45),IF(OR(M45="",K45=""),"",M45*K45)))</f>
        <v>0</v>
      </c>
      <c r="P45" s="25">
        <f>IF(B45="","",SUM(O$5:O45))</f>
        <v>0</v>
      </c>
      <c r="Q45" s="45">
        <f>IF(V45="Yes",0,IF(N45="",0,N45))</f>
        <v>0</v>
      </c>
      <c r="R45" s="18">
        <f>IF(OR(B45="",I45=0,I45=""),"",COUNTIFS($I$5:I45,"&gt;0"))</f>
        <v>0</v>
      </c>
      <c r="S45" s="18">
        <f>IF(B45="","",COUNTIFS('Recipe Ingredients'!$D$5:$D$1204,B45,'Recipe Ingredients'!$Y$5:$Y$1204,"&gt;0"))</f>
        <v>0</v>
      </c>
      <c r="T45" s="46">
        <f>IF(B45="","",IF(COUNTIFS('Recipe Ingredients'!$D$5:$D$1204,B45,'Recipe Ingredients'!$Y$5:$Y$1204,"&gt;0",'Recipe Ingredients'!$I$5:$I$1204,"No")=0,"Yes","No"))</f>
        <v>0</v>
      </c>
      <c r="U45" s="17">
        <f>IF(B45="","",IFERROR(INDEX(Ingredients!$W$5:$W$304,MATCH(B45,Ingredients!$B$5:$B$304,0)),"Add to Ingredients"))</f>
        <v>0</v>
      </c>
      <c r="Z45" s="31">
        <f>IF(B45="","",IF(V45="Yes","Bought",IF(I45=0,"In stock",IF(O45="","Check - no price","On the list"))))</f>
        <v>0</v>
      </c>
    </row>
    <row r="46" spans="1:26">
      <c r="A46" s="18">
        <f>ROW()-4</f>
        <v>0</v>
      </c>
      <c r="B46" s="17">
        <f>IFERROR(INDEX(Ingredients!$B$5:$B$304,MATCH(A46,Ingredients!$AL$5:$AL$304,0)),"")</f>
        <v>0</v>
      </c>
      <c r="C46" s="17">
        <f>IF(B46="","",IFERROR(INDEX(Ingredients!$C$5:$C$304,MATCH(B46,Ingredients!$B$5:$B$304,0)),"Add to Ingredients"))</f>
        <v>0</v>
      </c>
      <c r="D46" s="17">
        <f>IF(B46="","",IFERROR(INDEX(Ingredients!$D$5:$D$304,MATCH(B46,Ingredients!$B$5:$B$304,0)),"Add to Ingredients"))</f>
        <v>0</v>
      </c>
      <c r="E46" s="17">
        <f>IF(B46="","",IFERROR(INDEX(Ingredients!$E$5:$E$304,MATCH(B46,Ingredients!$B$5:$B$304,0)),"Add to Ingredients"))</f>
        <v>0</v>
      </c>
      <c r="F46" s="45">
        <f>IF(B46="","",IFERROR(INDEX(Ingredients!$AG$5:$AG$304,MATCH(B46,Ingredients!$B$5:$B$304,0)),""))</f>
        <v>0</v>
      </c>
      <c r="G46" s="17">
        <f>IF(B46="","",IFERROR(INDEX(Ingredients!$G$5:$G$304,MATCH(B46,Ingredients!$B$5:$B$304,0)),"Add to Ingredients"))</f>
        <v>0</v>
      </c>
      <c r="H46" s="45">
        <f>IF(B46="","",IFERROR(INDEX(Ingredients!$AD$5:$AD$304,MATCH(B46,Ingredients!$B$5:$B$304,0)),0))</f>
        <v>0</v>
      </c>
      <c r="I46" s="45">
        <f>IF(F46="","",MAX(0,F46-IF(H46="",0,H46)))</f>
        <v>0</v>
      </c>
      <c r="J46" s="45">
        <f>IF(B46="","",IFERROR(INDEX(Ingredients!$H$5:$H$304,MATCH(B46,Ingredients!$B$5:$B$304,0)),"Add to Ingredients"))</f>
        <v>0</v>
      </c>
      <c r="K46" s="25">
        <f>IF(B46="","",IFERROR(INDEX(Ingredients!$I$5:$I$304,MATCH(B46,Ingredients!$B$5:$B$304,0)),"Add to Ingredients"))</f>
        <v>0</v>
      </c>
      <c r="L46" s="25">
        <f>IF(B46="","",IFERROR(INDEX(Ingredients!$J$5:$J$304,MATCH(B46,Ingredients!$B$5:$B$304,0)),"Add to Ingredients"))</f>
        <v>0</v>
      </c>
      <c r="M46" s="45">
        <f>IF(OR(I46="",I46=0),"",IF(OR(J46="",NOT(ISNUMBER(J46)),J46=0),"",ROUNDUP(I46/J46,0)))</f>
        <v>0</v>
      </c>
      <c r="N46" s="45">
        <f>IF(I46="","",IF(RoundingRule="Exact quantity",I46,IF(M46="",I46,M46*J46)))</f>
        <v>0</v>
      </c>
      <c r="O46" s="25">
        <f>IF(N46="","",IF(RoundingRule="Exact quantity",IF(L46="","",N46*L46),IF(OR(M46="",K46=""),"",M46*K46)))</f>
        <v>0</v>
      </c>
      <c r="P46" s="25">
        <f>IF(B46="","",SUM(O$5:O46))</f>
        <v>0</v>
      </c>
      <c r="Q46" s="45">
        <f>IF(V46="Yes",0,IF(N46="",0,N46))</f>
        <v>0</v>
      </c>
      <c r="R46" s="18">
        <f>IF(OR(B46="",I46=0,I46=""),"",COUNTIFS($I$5:I46,"&gt;0"))</f>
        <v>0</v>
      </c>
      <c r="S46" s="18">
        <f>IF(B46="","",COUNTIFS('Recipe Ingredients'!$D$5:$D$1204,B46,'Recipe Ingredients'!$Y$5:$Y$1204,"&gt;0"))</f>
        <v>0</v>
      </c>
      <c r="T46" s="46">
        <f>IF(B46="","",IF(COUNTIFS('Recipe Ingredients'!$D$5:$D$1204,B46,'Recipe Ingredients'!$Y$5:$Y$1204,"&gt;0",'Recipe Ingredients'!$I$5:$I$1204,"No")=0,"Yes","No"))</f>
        <v>0</v>
      </c>
      <c r="U46" s="17">
        <f>IF(B46="","",IFERROR(INDEX(Ingredients!$W$5:$W$304,MATCH(B46,Ingredients!$B$5:$B$304,0)),"Add to Ingredients"))</f>
        <v>0</v>
      </c>
      <c r="Z46" s="31">
        <f>IF(B46="","",IF(V46="Yes","Bought",IF(I46=0,"In stock",IF(O46="","Check - no price","On the list"))))</f>
        <v>0</v>
      </c>
    </row>
    <row r="47" spans="1:26">
      <c r="A47" s="18">
        <f>ROW()-4</f>
        <v>0</v>
      </c>
      <c r="B47" s="17">
        <f>IFERROR(INDEX(Ingredients!$B$5:$B$304,MATCH(A47,Ingredients!$AL$5:$AL$304,0)),"")</f>
        <v>0</v>
      </c>
      <c r="C47" s="17">
        <f>IF(B47="","",IFERROR(INDEX(Ingredients!$C$5:$C$304,MATCH(B47,Ingredients!$B$5:$B$304,0)),"Add to Ingredients"))</f>
        <v>0</v>
      </c>
      <c r="D47" s="17">
        <f>IF(B47="","",IFERROR(INDEX(Ingredients!$D$5:$D$304,MATCH(B47,Ingredients!$B$5:$B$304,0)),"Add to Ingredients"))</f>
        <v>0</v>
      </c>
      <c r="E47" s="17">
        <f>IF(B47="","",IFERROR(INDEX(Ingredients!$E$5:$E$304,MATCH(B47,Ingredients!$B$5:$B$304,0)),"Add to Ingredients"))</f>
        <v>0</v>
      </c>
      <c r="F47" s="45">
        <f>IF(B47="","",IFERROR(INDEX(Ingredients!$AG$5:$AG$304,MATCH(B47,Ingredients!$B$5:$B$304,0)),""))</f>
        <v>0</v>
      </c>
      <c r="G47" s="17">
        <f>IF(B47="","",IFERROR(INDEX(Ingredients!$G$5:$G$304,MATCH(B47,Ingredients!$B$5:$B$304,0)),"Add to Ingredients"))</f>
        <v>0</v>
      </c>
      <c r="H47" s="45">
        <f>IF(B47="","",IFERROR(INDEX(Ingredients!$AD$5:$AD$304,MATCH(B47,Ingredients!$B$5:$B$304,0)),0))</f>
        <v>0</v>
      </c>
      <c r="I47" s="45">
        <f>IF(F47="","",MAX(0,F47-IF(H47="",0,H47)))</f>
        <v>0</v>
      </c>
      <c r="J47" s="45">
        <f>IF(B47="","",IFERROR(INDEX(Ingredients!$H$5:$H$304,MATCH(B47,Ingredients!$B$5:$B$304,0)),"Add to Ingredients"))</f>
        <v>0</v>
      </c>
      <c r="K47" s="25">
        <f>IF(B47="","",IFERROR(INDEX(Ingredients!$I$5:$I$304,MATCH(B47,Ingredients!$B$5:$B$304,0)),"Add to Ingredients"))</f>
        <v>0</v>
      </c>
      <c r="L47" s="25">
        <f>IF(B47="","",IFERROR(INDEX(Ingredients!$J$5:$J$304,MATCH(B47,Ingredients!$B$5:$B$304,0)),"Add to Ingredients"))</f>
        <v>0</v>
      </c>
      <c r="M47" s="45">
        <f>IF(OR(I47="",I47=0),"",IF(OR(J47="",NOT(ISNUMBER(J47)),J47=0),"",ROUNDUP(I47/J47,0)))</f>
        <v>0</v>
      </c>
      <c r="N47" s="45">
        <f>IF(I47="","",IF(RoundingRule="Exact quantity",I47,IF(M47="",I47,M47*J47)))</f>
        <v>0</v>
      </c>
      <c r="O47" s="25">
        <f>IF(N47="","",IF(RoundingRule="Exact quantity",IF(L47="","",N47*L47),IF(OR(M47="",K47=""),"",M47*K47)))</f>
        <v>0</v>
      </c>
      <c r="P47" s="25">
        <f>IF(B47="","",SUM(O$5:O47))</f>
        <v>0</v>
      </c>
      <c r="Q47" s="45">
        <f>IF(V47="Yes",0,IF(N47="",0,N47))</f>
        <v>0</v>
      </c>
      <c r="R47" s="18">
        <f>IF(OR(B47="",I47=0,I47=""),"",COUNTIFS($I$5:I47,"&gt;0"))</f>
        <v>0</v>
      </c>
      <c r="S47" s="18">
        <f>IF(B47="","",COUNTIFS('Recipe Ingredients'!$D$5:$D$1204,B47,'Recipe Ingredients'!$Y$5:$Y$1204,"&gt;0"))</f>
        <v>0</v>
      </c>
      <c r="T47" s="46">
        <f>IF(B47="","",IF(COUNTIFS('Recipe Ingredients'!$D$5:$D$1204,B47,'Recipe Ingredients'!$Y$5:$Y$1204,"&gt;0",'Recipe Ingredients'!$I$5:$I$1204,"No")=0,"Yes","No"))</f>
        <v>0</v>
      </c>
      <c r="U47" s="17">
        <f>IF(B47="","",IFERROR(INDEX(Ingredients!$W$5:$W$304,MATCH(B47,Ingredients!$B$5:$B$304,0)),"Add to Ingredients"))</f>
        <v>0</v>
      </c>
      <c r="Z47" s="31">
        <f>IF(B47="","",IF(V47="Yes","Bought",IF(I47=0,"In stock",IF(O47="","Check - no price","On the list"))))</f>
        <v>0</v>
      </c>
    </row>
    <row r="48" spans="1:26">
      <c r="A48" s="18">
        <f>ROW()-4</f>
        <v>0</v>
      </c>
      <c r="B48" s="17">
        <f>IFERROR(INDEX(Ingredients!$B$5:$B$304,MATCH(A48,Ingredients!$AL$5:$AL$304,0)),"")</f>
        <v>0</v>
      </c>
      <c r="C48" s="17">
        <f>IF(B48="","",IFERROR(INDEX(Ingredients!$C$5:$C$304,MATCH(B48,Ingredients!$B$5:$B$304,0)),"Add to Ingredients"))</f>
        <v>0</v>
      </c>
      <c r="D48" s="17">
        <f>IF(B48="","",IFERROR(INDEX(Ingredients!$D$5:$D$304,MATCH(B48,Ingredients!$B$5:$B$304,0)),"Add to Ingredients"))</f>
        <v>0</v>
      </c>
      <c r="E48" s="17">
        <f>IF(B48="","",IFERROR(INDEX(Ingredients!$E$5:$E$304,MATCH(B48,Ingredients!$B$5:$B$304,0)),"Add to Ingredients"))</f>
        <v>0</v>
      </c>
      <c r="F48" s="45">
        <f>IF(B48="","",IFERROR(INDEX(Ingredients!$AG$5:$AG$304,MATCH(B48,Ingredients!$B$5:$B$304,0)),""))</f>
        <v>0</v>
      </c>
      <c r="G48" s="17">
        <f>IF(B48="","",IFERROR(INDEX(Ingredients!$G$5:$G$304,MATCH(B48,Ingredients!$B$5:$B$304,0)),"Add to Ingredients"))</f>
        <v>0</v>
      </c>
      <c r="H48" s="45">
        <f>IF(B48="","",IFERROR(INDEX(Ingredients!$AD$5:$AD$304,MATCH(B48,Ingredients!$B$5:$B$304,0)),0))</f>
        <v>0</v>
      </c>
      <c r="I48" s="45">
        <f>IF(F48="","",MAX(0,F48-IF(H48="",0,H48)))</f>
        <v>0</v>
      </c>
      <c r="J48" s="45">
        <f>IF(B48="","",IFERROR(INDEX(Ingredients!$H$5:$H$304,MATCH(B48,Ingredients!$B$5:$B$304,0)),"Add to Ingredients"))</f>
        <v>0</v>
      </c>
      <c r="K48" s="25">
        <f>IF(B48="","",IFERROR(INDEX(Ingredients!$I$5:$I$304,MATCH(B48,Ingredients!$B$5:$B$304,0)),"Add to Ingredients"))</f>
        <v>0</v>
      </c>
      <c r="L48" s="25">
        <f>IF(B48="","",IFERROR(INDEX(Ingredients!$J$5:$J$304,MATCH(B48,Ingredients!$B$5:$B$304,0)),"Add to Ingredients"))</f>
        <v>0</v>
      </c>
      <c r="M48" s="45">
        <f>IF(OR(I48="",I48=0),"",IF(OR(J48="",NOT(ISNUMBER(J48)),J48=0),"",ROUNDUP(I48/J48,0)))</f>
        <v>0</v>
      </c>
      <c r="N48" s="45">
        <f>IF(I48="","",IF(RoundingRule="Exact quantity",I48,IF(M48="",I48,M48*J48)))</f>
        <v>0</v>
      </c>
      <c r="O48" s="25">
        <f>IF(N48="","",IF(RoundingRule="Exact quantity",IF(L48="","",N48*L48),IF(OR(M48="",K48=""),"",M48*K48)))</f>
        <v>0</v>
      </c>
      <c r="P48" s="25">
        <f>IF(B48="","",SUM(O$5:O48))</f>
        <v>0</v>
      </c>
      <c r="Q48" s="45">
        <f>IF(V48="Yes",0,IF(N48="",0,N48))</f>
        <v>0</v>
      </c>
      <c r="R48" s="18">
        <f>IF(OR(B48="",I48=0,I48=""),"",COUNTIFS($I$5:I48,"&gt;0"))</f>
        <v>0</v>
      </c>
      <c r="S48" s="18">
        <f>IF(B48="","",COUNTIFS('Recipe Ingredients'!$D$5:$D$1204,B48,'Recipe Ingredients'!$Y$5:$Y$1204,"&gt;0"))</f>
        <v>0</v>
      </c>
      <c r="T48" s="46">
        <f>IF(B48="","",IF(COUNTIFS('Recipe Ingredients'!$D$5:$D$1204,B48,'Recipe Ingredients'!$Y$5:$Y$1204,"&gt;0",'Recipe Ingredients'!$I$5:$I$1204,"No")=0,"Yes","No"))</f>
        <v>0</v>
      </c>
      <c r="U48" s="17">
        <f>IF(B48="","",IFERROR(INDEX(Ingredients!$W$5:$W$304,MATCH(B48,Ingredients!$B$5:$B$304,0)),"Add to Ingredients"))</f>
        <v>0</v>
      </c>
      <c r="Z48" s="31">
        <f>IF(B48="","",IF(V48="Yes","Bought",IF(I48=0,"In stock",IF(O48="","Check - no price","On the list"))))</f>
        <v>0</v>
      </c>
    </row>
    <row r="49" spans="1:26">
      <c r="A49" s="18">
        <f>ROW()-4</f>
        <v>0</v>
      </c>
      <c r="B49" s="17">
        <f>IFERROR(INDEX(Ingredients!$B$5:$B$304,MATCH(A49,Ingredients!$AL$5:$AL$304,0)),"")</f>
        <v>0</v>
      </c>
      <c r="C49" s="17">
        <f>IF(B49="","",IFERROR(INDEX(Ingredients!$C$5:$C$304,MATCH(B49,Ingredients!$B$5:$B$304,0)),"Add to Ingredients"))</f>
        <v>0</v>
      </c>
      <c r="D49" s="17">
        <f>IF(B49="","",IFERROR(INDEX(Ingredients!$D$5:$D$304,MATCH(B49,Ingredients!$B$5:$B$304,0)),"Add to Ingredients"))</f>
        <v>0</v>
      </c>
      <c r="E49" s="17">
        <f>IF(B49="","",IFERROR(INDEX(Ingredients!$E$5:$E$304,MATCH(B49,Ingredients!$B$5:$B$304,0)),"Add to Ingredients"))</f>
        <v>0</v>
      </c>
      <c r="F49" s="45">
        <f>IF(B49="","",IFERROR(INDEX(Ingredients!$AG$5:$AG$304,MATCH(B49,Ingredients!$B$5:$B$304,0)),""))</f>
        <v>0</v>
      </c>
      <c r="G49" s="17">
        <f>IF(B49="","",IFERROR(INDEX(Ingredients!$G$5:$G$304,MATCH(B49,Ingredients!$B$5:$B$304,0)),"Add to Ingredients"))</f>
        <v>0</v>
      </c>
      <c r="H49" s="45">
        <f>IF(B49="","",IFERROR(INDEX(Ingredients!$AD$5:$AD$304,MATCH(B49,Ingredients!$B$5:$B$304,0)),0))</f>
        <v>0</v>
      </c>
      <c r="I49" s="45">
        <f>IF(F49="","",MAX(0,F49-IF(H49="",0,H49)))</f>
        <v>0</v>
      </c>
      <c r="J49" s="45">
        <f>IF(B49="","",IFERROR(INDEX(Ingredients!$H$5:$H$304,MATCH(B49,Ingredients!$B$5:$B$304,0)),"Add to Ingredients"))</f>
        <v>0</v>
      </c>
      <c r="K49" s="25">
        <f>IF(B49="","",IFERROR(INDEX(Ingredients!$I$5:$I$304,MATCH(B49,Ingredients!$B$5:$B$304,0)),"Add to Ingredients"))</f>
        <v>0</v>
      </c>
      <c r="L49" s="25">
        <f>IF(B49="","",IFERROR(INDEX(Ingredients!$J$5:$J$304,MATCH(B49,Ingredients!$B$5:$B$304,0)),"Add to Ingredients"))</f>
        <v>0</v>
      </c>
      <c r="M49" s="45">
        <f>IF(OR(I49="",I49=0),"",IF(OR(J49="",NOT(ISNUMBER(J49)),J49=0),"",ROUNDUP(I49/J49,0)))</f>
        <v>0</v>
      </c>
      <c r="N49" s="45">
        <f>IF(I49="","",IF(RoundingRule="Exact quantity",I49,IF(M49="",I49,M49*J49)))</f>
        <v>0</v>
      </c>
      <c r="O49" s="25">
        <f>IF(N49="","",IF(RoundingRule="Exact quantity",IF(L49="","",N49*L49),IF(OR(M49="",K49=""),"",M49*K49)))</f>
        <v>0</v>
      </c>
      <c r="P49" s="25">
        <f>IF(B49="","",SUM(O$5:O49))</f>
        <v>0</v>
      </c>
      <c r="Q49" s="45">
        <f>IF(V49="Yes",0,IF(N49="",0,N49))</f>
        <v>0</v>
      </c>
      <c r="R49" s="18">
        <f>IF(OR(B49="",I49=0,I49=""),"",COUNTIFS($I$5:I49,"&gt;0"))</f>
        <v>0</v>
      </c>
      <c r="S49" s="18">
        <f>IF(B49="","",COUNTIFS('Recipe Ingredients'!$D$5:$D$1204,B49,'Recipe Ingredients'!$Y$5:$Y$1204,"&gt;0"))</f>
        <v>0</v>
      </c>
      <c r="T49" s="46">
        <f>IF(B49="","",IF(COUNTIFS('Recipe Ingredients'!$D$5:$D$1204,B49,'Recipe Ingredients'!$Y$5:$Y$1204,"&gt;0",'Recipe Ingredients'!$I$5:$I$1204,"No")=0,"Yes","No"))</f>
        <v>0</v>
      </c>
      <c r="U49" s="17">
        <f>IF(B49="","",IFERROR(INDEX(Ingredients!$W$5:$W$304,MATCH(B49,Ingredients!$B$5:$B$304,0)),"Add to Ingredients"))</f>
        <v>0</v>
      </c>
      <c r="Z49" s="31">
        <f>IF(B49="","",IF(V49="Yes","Bought",IF(I49=0,"In stock",IF(O49="","Check - no price","On the list"))))</f>
        <v>0</v>
      </c>
    </row>
    <row r="50" spans="1:26">
      <c r="A50" s="18">
        <f>ROW()-4</f>
        <v>0</v>
      </c>
      <c r="B50" s="17">
        <f>IFERROR(INDEX(Ingredients!$B$5:$B$304,MATCH(A50,Ingredients!$AL$5:$AL$304,0)),"")</f>
        <v>0</v>
      </c>
      <c r="C50" s="17">
        <f>IF(B50="","",IFERROR(INDEX(Ingredients!$C$5:$C$304,MATCH(B50,Ingredients!$B$5:$B$304,0)),"Add to Ingredients"))</f>
        <v>0</v>
      </c>
      <c r="D50" s="17">
        <f>IF(B50="","",IFERROR(INDEX(Ingredients!$D$5:$D$304,MATCH(B50,Ingredients!$B$5:$B$304,0)),"Add to Ingredients"))</f>
        <v>0</v>
      </c>
      <c r="E50" s="17">
        <f>IF(B50="","",IFERROR(INDEX(Ingredients!$E$5:$E$304,MATCH(B50,Ingredients!$B$5:$B$304,0)),"Add to Ingredients"))</f>
        <v>0</v>
      </c>
      <c r="F50" s="45">
        <f>IF(B50="","",IFERROR(INDEX(Ingredients!$AG$5:$AG$304,MATCH(B50,Ingredients!$B$5:$B$304,0)),""))</f>
        <v>0</v>
      </c>
      <c r="G50" s="17">
        <f>IF(B50="","",IFERROR(INDEX(Ingredients!$G$5:$G$304,MATCH(B50,Ingredients!$B$5:$B$304,0)),"Add to Ingredients"))</f>
        <v>0</v>
      </c>
      <c r="H50" s="45">
        <f>IF(B50="","",IFERROR(INDEX(Ingredients!$AD$5:$AD$304,MATCH(B50,Ingredients!$B$5:$B$304,0)),0))</f>
        <v>0</v>
      </c>
      <c r="I50" s="45">
        <f>IF(F50="","",MAX(0,F50-IF(H50="",0,H50)))</f>
        <v>0</v>
      </c>
      <c r="J50" s="45">
        <f>IF(B50="","",IFERROR(INDEX(Ingredients!$H$5:$H$304,MATCH(B50,Ingredients!$B$5:$B$304,0)),"Add to Ingredients"))</f>
        <v>0</v>
      </c>
      <c r="K50" s="25">
        <f>IF(B50="","",IFERROR(INDEX(Ingredients!$I$5:$I$304,MATCH(B50,Ingredients!$B$5:$B$304,0)),"Add to Ingredients"))</f>
        <v>0</v>
      </c>
      <c r="L50" s="25">
        <f>IF(B50="","",IFERROR(INDEX(Ingredients!$J$5:$J$304,MATCH(B50,Ingredients!$B$5:$B$304,0)),"Add to Ingredients"))</f>
        <v>0</v>
      </c>
      <c r="M50" s="45">
        <f>IF(OR(I50="",I50=0),"",IF(OR(J50="",NOT(ISNUMBER(J50)),J50=0),"",ROUNDUP(I50/J50,0)))</f>
        <v>0</v>
      </c>
      <c r="N50" s="45">
        <f>IF(I50="","",IF(RoundingRule="Exact quantity",I50,IF(M50="",I50,M50*J50)))</f>
        <v>0</v>
      </c>
      <c r="O50" s="25">
        <f>IF(N50="","",IF(RoundingRule="Exact quantity",IF(L50="","",N50*L50),IF(OR(M50="",K50=""),"",M50*K50)))</f>
        <v>0</v>
      </c>
      <c r="P50" s="25">
        <f>IF(B50="","",SUM(O$5:O50))</f>
        <v>0</v>
      </c>
      <c r="Q50" s="45">
        <f>IF(V50="Yes",0,IF(N50="",0,N50))</f>
        <v>0</v>
      </c>
      <c r="R50" s="18">
        <f>IF(OR(B50="",I50=0,I50=""),"",COUNTIFS($I$5:I50,"&gt;0"))</f>
        <v>0</v>
      </c>
      <c r="S50" s="18">
        <f>IF(B50="","",COUNTIFS('Recipe Ingredients'!$D$5:$D$1204,B50,'Recipe Ingredients'!$Y$5:$Y$1204,"&gt;0"))</f>
        <v>0</v>
      </c>
      <c r="T50" s="46">
        <f>IF(B50="","",IF(COUNTIFS('Recipe Ingredients'!$D$5:$D$1204,B50,'Recipe Ingredients'!$Y$5:$Y$1204,"&gt;0",'Recipe Ingredients'!$I$5:$I$1204,"No")=0,"Yes","No"))</f>
        <v>0</v>
      </c>
      <c r="U50" s="17">
        <f>IF(B50="","",IFERROR(INDEX(Ingredients!$W$5:$W$304,MATCH(B50,Ingredients!$B$5:$B$304,0)),"Add to Ingredients"))</f>
        <v>0</v>
      </c>
      <c r="Z50" s="31">
        <f>IF(B50="","",IF(V50="Yes","Bought",IF(I50=0,"In stock",IF(O50="","Check - no price","On the list"))))</f>
        <v>0</v>
      </c>
    </row>
    <row r="51" spans="1:26">
      <c r="A51" s="18">
        <f>ROW()-4</f>
        <v>0</v>
      </c>
      <c r="B51" s="17">
        <f>IFERROR(INDEX(Ingredients!$B$5:$B$304,MATCH(A51,Ingredients!$AL$5:$AL$304,0)),"")</f>
        <v>0</v>
      </c>
      <c r="C51" s="17">
        <f>IF(B51="","",IFERROR(INDEX(Ingredients!$C$5:$C$304,MATCH(B51,Ingredients!$B$5:$B$304,0)),"Add to Ingredients"))</f>
        <v>0</v>
      </c>
      <c r="D51" s="17">
        <f>IF(B51="","",IFERROR(INDEX(Ingredients!$D$5:$D$304,MATCH(B51,Ingredients!$B$5:$B$304,0)),"Add to Ingredients"))</f>
        <v>0</v>
      </c>
      <c r="E51" s="17">
        <f>IF(B51="","",IFERROR(INDEX(Ingredients!$E$5:$E$304,MATCH(B51,Ingredients!$B$5:$B$304,0)),"Add to Ingredients"))</f>
        <v>0</v>
      </c>
      <c r="F51" s="45">
        <f>IF(B51="","",IFERROR(INDEX(Ingredients!$AG$5:$AG$304,MATCH(B51,Ingredients!$B$5:$B$304,0)),""))</f>
        <v>0</v>
      </c>
      <c r="G51" s="17">
        <f>IF(B51="","",IFERROR(INDEX(Ingredients!$G$5:$G$304,MATCH(B51,Ingredients!$B$5:$B$304,0)),"Add to Ingredients"))</f>
        <v>0</v>
      </c>
      <c r="H51" s="45">
        <f>IF(B51="","",IFERROR(INDEX(Ingredients!$AD$5:$AD$304,MATCH(B51,Ingredients!$B$5:$B$304,0)),0))</f>
        <v>0</v>
      </c>
      <c r="I51" s="45">
        <f>IF(F51="","",MAX(0,F51-IF(H51="",0,H51)))</f>
        <v>0</v>
      </c>
      <c r="J51" s="45">
        <f>IF(B51="","",IFERROR(INDEX(Ingredients!$H$5:$H$304,MATCH(B51,Ingredients!$B$5:$B$304,0)),"Add to Ingredients"))</f>
        <v>0</v>
      </c>
      <c r="K51" s="25">
        <f>IF(B51="","",IFERROR(INDEX(Ingredients!$I$5:$I$304,MATCH(B51,Ingredients!$B$5:$B$304,0)),"Add to Ingredients"))</f>
        <v>0</v>
      </c>
      <c r="L51" s="25">
        <f>IF(B51="","",IFERROR(INDEX(Ingredients!$J$5:$J$304,MATCH(B51,Ingredients!$B$5:$B$304,0)),"Add to Ingredients"))</f>
        <v>0</v>
      </c>
      <c r="M51" s="45">
        <f>IF(OR(I51="",I51=0),"",IF(OR(J51="",NOT(ISNUMBER(J51)),J51=0),"",ROUNDUP(I51/J51,0)))</f>
        <v>0</v>
      </c>
      <c r="N51" s="45">
        <f>IF(I51="","",IF(RoundingRule="Exact quantity",I51,IF(M51="",I51,M51*J51)))</f>
        <v>0</v>
      </c>
      <c r="O51" s="25">
        <f>IF(N51="","",IF(RoundingRule="Exact quantity",IF(L51="","",N51*L51),IF(OR(M51="",K51=""),"",M51*K51)))</f>
        <v>0</v>
      </c>
      <c r="P51" s="25">
        <f>IF(B51="","",SUM(O$5:O51))</f>
        <v>0</v>
      </c>
      <c r="Q51" s="45">
        <f>IF(V51="Yes",0,IF(N51="",0,N51))</f>
        <v>0</v>
      </c>
      <c r="R51" s="18">
        <f>IF(OR(B51="",I51=0,I51=""),"",COUNTIFS($I$5:I51,"&gt;0"))</f>
        <v>0</v>
      </c>
      <c r="S51" s="18">
        <f>IF(B51="","",COUNTIFS('Recipe Ingredients'!$D$5:$D$1204,B51,'Recipe Ingredients'!$Y$5:$Y$1204,"&gt;0"))</f>
        <v>0</v>
      </c>
      <c r="T51" s="46">
        <f>IF(B51="","",IF(COUNTIFS('Recipe Ingredients'!$D$5:$D$1204,B51,'Recipe Ingredients'!$Y$5:$Y$1204,"&gt;0",'Recipe Ingredients'!$I$5:$I$1204,"No")=0,"Yes","No"))</f>
        <v>0</v>
      </c>
      <c r="U51" s="17">
        <f>IF(B51="","",IFERROR(INDEX(Ingredients!$W$5:$W$304,MATCH(B51,Ingredients!$B$5:$B$304,0)),"Add to Ingredients"))</f>
        <v>0</v>
      </c>
      <c r="Z51" s="31">
        <f>IF(B51="","",IF(V51="Yes","Bought",IF(I51=0,"In stock",IF(O51="","Check - no price","On the list"))))</f>
        <v>0</v>
      </c>
    </row>
    <row r="52" spans="1:26">
      <c r="A52" s="18">
        <f>ROW()-4</f>
        <v>0</v>
      </c>
      <c r="B52" s="17">
        <f>IFERROR(INDEX(Ingredients!$B$5:$B$304,MATCH(A52,Ingredients!$AL$5:$AL$304,0)),"")</f>
        <v>0</v>
      </c>
      <c r="C52" s="17">
        <f>IF(B52="","",IFERROR(INDEX(Ingredients!$C$5:$C$304,MATCH(B52,Ingredients!$B$5:$B$304,0)),"Add to Ingredients"))</f>
        <v>0</v>
      </c>
      <c r="D52" s="17">
        <f>IF(B52="","",IFERROR(INDEX(Ingredients!$D$5:$D$304,MATCH(B52,Ingredients!$B$5:$B$304,0)),"Add to Ingredients"))</f>
        <v>0</v>
      </c>
      <c r="E52" s="17">
        <f>IF(B52="","",IFERROR(INDEX(Ingredients!$E$5:$E$304,MATCH(B52,Ingredients!$B$5:$B$304,0)),"Add to Ingredients"))</f>
        <v>0</v>
      </c>
      <c r="F52" s="45">
        <f>IF(B52="","",IFERROR(INDEX(Ingredients!$AG$5:$AG$304,MATCH(B52,Ingredients!$B$5:$B$304,0)),""))</f>
        <v>0</v>
      </c>
      <c r="G52" s="17">
        <f>IF(B52="","",IFERROR(INDEX(Ingredients!$G$5:$G$304,MATCH(B52,Ingredients!$B$5:$B$304,0)),"Add to Ingredients"))</f>
        <v>0</v>
      </c>
      <c r="H52" s="45">
        <f>IF(B52="","",IFERROR(INDEX(Ingredients!$AD$5:$AD$304,MATCH(B52,Ingredients!$B$5:$B$304,0)),0))</f>
        <v>0</v>
      </c>
      <c r="I52" s="45">
        <f>IF(F52="","",MAX(0,F52-IF(H52="",0,H52)))</f>
        <v>0</v>
      </c>
      <c r="J52" s="45">
        <f>IF(B52="","",IFERROR(INDEX(Ingredients!$H$5:$H$304,MATCH(B52,Ingredients!$B$5:$B$304,0)),"Add to Ingredients"))</f>
        <v>0</v>
      </c>
      <c r="K52" s="25">
        <f>IF(B52="","",IFERROR(INDEX(Ingredients!$I$5:$I$304,MATCH(B52,Ingredients!$B$5:$B$304,0)),"Add to Ingredients"))</f>
        <v>0</v>
      </c>
      <c r="L52" s="25">
        <f>IF(B52="","",IFERROR(INDEX(Ingredients!$J$5:$J$304,MATCH(B52,Ingredients!$B$5:$B$304,0)),"Add to Ingredients"))</f>
        <v>0</v>
      </c>
      <c r="M52" s="45">
        <f>IF(OR(I52="",I52=0),"",IF(OR(J52="",NOT(ISNUMBER(J52)),J52=0),"",ROUNDUP(I52/J52,0)))</f>
        <v>0</v>
      </c>
      <c r="N52" s="45">
        <f>IF(I52="","",IF(RoundingRule="Exact quantity",I52,IF(M52="",I52,M52*J52)))</f>
        <v>0</v>
      </c>
      <c r="O52" s="25">
        <f>IF(N52="","",IF(RoundingRule="Exact quantity",IF(L52="","",N52*L52),IF(OR(M52="",K52=""),"",M52*K52)))</f>
        <v>0</v>
      </c>
      <c r="P52" s="25">
        <f>IF(B52="","",SUM(O$5:O52))</f>
        <v>0</v>
      </c>
      <c r="Q52" s="45">
        <f>IF(V52="Yes",0,IF(N52="",0,N52))</f>
        <v>0</v>
      </c>
      <c r="R52" s="18">
        <f>IF(OR(B52="",I52=0,I52=""),"",COUNTIFS($I$5:I52,"&gt;0"))</f>
        <v>0</v>
      </c>
      <c r="S52" s="18">
        <f>IF(B52="","",COUNTIFS('Recipe Ingredients'!$D$5:$D$1204,B52,'Recipe Ingredients'!$Y$5:$Y$1204,"&gt;0"))</f>
        <v>0</v>
      </c>
      <c r="T52" s="46">
        <f>IF(B52="","",IF(COUNTIFS('Recipe Ingredients'!$D$5:$D$1204,B52,'Recipe Ingredients'!$Y$5:$Y$1204,"&gt;0",'Recipe Ingredients'!$I$5:$I$1204,"No")=0,"Yes","No"))</f>
        <v>0</v>
      </c>
      <c r="U52" s="17">
        <f>IF(B52="","",IFERROR(INDEX(Ingredients!$W$5:$W$304,MATCH(B52,Ingredients!$B$5:$B$304,0)),"Add to Ingredients"))</f>
        <v>0</v>
      </c>
      <c r="Z52" s="31">
        <f>IF(B52="","",IF(V52="Yes","Bought",IF(I52=0,"In stock",IF(O52="","Check - no price","On the list"))))</f>
        <v>0</v>
      </c>
    </row>
    <row r="53" spans="1:26">
      <c r="A53" s="18">
        <f>ROW()-4</f>
        <v>0</v>
      </c>
      <c r="B53" s="17">
        <f>IFERROR(INDEX(Ingredients!$B$5:$B$304,MATCH(A53,Ingredients!$AL$5:$AL$304,0)),"")</f>
        <v>0</v>
      </c>
      <c r="C53" s="17">
        <f>IF(B53="","",IFERROR(INDEX(Ingredients!$C$5:$C$304,MATCH(B53,Ingredients!$B$5:$B$304,0)),"Add to Ingredients"))</f>
        <v>0</v>
      </c>
      <c r="D53" s="17">
        <f>IF(B53="","",IFERROR(INDEX(Ingredients!$D$5:$D$304,MATCH(B53,Ingredients!$B$5:$B$304,0)),"Add to Ingredients"))</f>
        <v>0</v>
      </c>
      <c r="E53" s="17">
        <f>IF(B53="","",IFERROR(INDEX(Ingredients!$E$5:$E$304,MATCH(B53,Ingredients!$B$5:$B$304,0)),"Add to Ingredients"))</f>
        <v>0</v>
      </c>
      <c r="F53" s="45">
        <f>IF(B53="","",IFERROR(INDEX(Ingredients!$AG$5:$AG$304,MATCH(B53,Ingredients!$B$5:$B$304,0)),""))</f>
        <v>0</v>
      </c>
      <c r="G53" s="17">
        <f>IF(B53="","",IFERROR(INDEX(Ingredients!$G$5:$G$304,MATCH(B53,Ingredients!$B$5:$B$304,0)),"Add to Ingredients"))</f>
        <v>0</v>
      </c>
      <c r="H53" s="45">
        <f>IF(B53="","",IFERROR(INDEX(Ingredients!$AD$5:$AD$304,MATCH(B53,Ingredients!$B$5:$B$304,0)),0))</f>
        <v>0</v>
      </c>
      <c r="I53" s="45">
        <f>IF(F53="","",MAX(0,F53-IF(H53="",0,H53)))</f>
        <v>0</v>
      </c>
      <c r="J53" s="45">
        <f>IF(B53="","",IFERROR(INDEX(Ingredients!$H$5:$H$304,MATCH(B53,Ingredients!$B$5:$B$304,0)),"Add to Ingredients"))</f>
        <v>0</v>
      </c>
      <c r="K53" s="25">
        <f>IF(B53="","",IFERROR(INDEX(Ingredients!$I$5:$I$304,MATCH(B53,Ingredients!$B$5:$B$304,0)),"Add to Ingredients"))</f>
        <v>0</v>
      </c>
      <c r="L53" s="25">
        <f>IF(B53="","",IFERROR(INDEX(Ingredients!$J$5:$J$304,MATCH(B53,Ingredients!$B$5:$B$304,0)),"Add to Ingredients"))</f>
        <v>0</v>
      </c>
      <c r="M53" s="45">
        <f>IF(OR(I53="",I53=0),"",IF(OR(J53="",NOT(ISNUMBER(J53)),J53=0),"",ROUNDUP(I53/J53,0)))</f>
        <v>0</v>
      </c>
      <c r="N53" s="45">
        <f>IF(I53="","",IF(RoundingRule="Exact quantity",I53,IF(M53="",I53,M53*J53)))</f>
        <v>0</v>
      </c>
      <c r="O53" s="25">
        <f>IF(N53="","",IF(RoundingRule="Exact quantity",IF(L53="","",N53*L53),IF(OR(M53="",K53=""),"",M53*K53)))</f>
        <v>0</v>
      </c>
      <c r="P53" s="25">
        <f>IF(B53="","",SUM(O$5:O53))</f>
        <v>0</v>
      </c>
      <c r="Q53" s="45">
        <f>IF(V53="Yes",0,IF(N53="",0,N53))</f>
        <v>0</v>
      </c>
      <c r="R53" s="18">
        <f>IF(OR(B53="",I53=0,I53=""),"",COUNTIFS($I$5:I53,"&gt;0"))</f>
        <v>0</v>
      </c>
      <c r="S53" s="18">
        <f>IF(B53="","",COUNTIFS('Recipe Ingredients'!$D$5:$D$1204,B53,'Recipe Ingredients'!$Y$5:$Y$1204,"&gt;0"))</f>
        <v>0</v>
      </c>
      <c r="T53" s="46">
        <f>IF(B53="","",IF(COUNTIFS('Recipe Ingredients'!$D$5:$D$1204,B53,'Recipe Ingredients'!$Y$5:$Y$1204,"&gt;0",'Recipe Ingredients'!$I$5:$I$1204,"No")=0,"Yes","No"))</f>
        <v>0</v>
      </c>
      <c r="U53" s="17">
        <f>IF(B53="","",IFERROR(INDEX(Ingredients!$W$5:$W$304,MATCH(B53,Ingredients!$B$5:$B$304,0)),"Add to Ingredients"))</f>
        <v>0</v>
      </c>
      <c r="Z53" s="31">
        <f>IF(B53="","",IF(V53="Yes","Bought",IF(I53=0,"In stock",IF(O53="","Check - no price","On the list"))))</f>
        <v>0</v>
      </c>
    </row>
    <row r="54" spans="1:26">
      <c r="A54" s="18">
        <f>ROW()-4</f>
        <v>0</v>
      </c>
      <c r="B54" s="17">
        <f>IFERROR(INDEX(Ingredients!$B$5:$B$304,MATCH(A54,Ingredients!$AL$5:$AL$304,0)),"")</f>
        <v>0</v>
      </c>
      <c r="C54" s="17">
        <f>IF(B54="","",IFERROR(INDEX(Ingredients!$C$5:$C$304,MATCH(B54,Ingredients!$B$5:$B$304,0)),"Add to Ingredients"))</f>
        <v>0</v>
      </c>
      <c r="D54" s="17">
        <f>IF(B54="","",IFERROR(INDEX(Ingredients!$D$5:$D$304,MATCH(B54,Ingredients!$B$5:$B$304,0)),"Add to Ingredients"))</f>
        <v>0</v>
      </c>
      <c r="E54" s="17">
        <f>IF(B54="","",IFERROR(INDEX(Ingredients!$E$5:$E$304,MATCH(B54,Ingredients!$B$5:$B$304,0)),"Add to Ingredients"))</f>
        <v>0</v>
      </c>
      <c r="F54" s="45">
        <f>IF(B54="","",IFERROR(INDEX(Ingredients!$AG$5:$AG$304,MATCH(B54,Ingredients!$B$5:$B$304,0)),""))</f>
        <v>0</v>
      </c>
      <c r="G54" s="17">
        <f>IF(B54="","",IFERROR(INDEX(Ingredients!$G$5:$G$304,MATCH(B54,Ingredients!$B$5:$B$304,0)),"Add to Ingredients"))</f>
        <v>0</v>
      </c>
      <c r="H54" s="45">
        <f>IF(B54="","",IFERROR(INDEX(Ingredients!$AD$5:$AD$304,MATCH(B54,Ingredients!$B$5:$B$304,0)),0))</f>
        <v>0</v>
      </c>
      <c r="I54" s="45">
        <f>IF(F54="","",MAX(0,F54-IF(H54="",0,H54)))</f>
        <v>0</v>
      </c>
      <c r="J54" s="45">
        <f>IF(B54="","",IFERROR(INDEX(Ingredients!$H$5:$H$304,MATCH(B54,Ingredients!$B$5:$B$304,0)),"Add to Ingredients"))</f>
        <v>0</v>
      </c>
      <c r="K54" s="25">
        <f>IF(B54="","",IFERROR(INDEX(Ingredients!$I$5:$I$304,MATCH(B54,Ingredients!$B$5:$B$304,0)),"Add to Ingredients"))</f>
        <v>0</v>
      </c>
      <c r="L54" s="25">
        <f>IF(B54="","",IFERROR(INDEX(Ingredients!$J$5:$J$304,MATCH(B54,Ingredients!$B$5:$B$304,0)),"Add to Ingredients"))</f>
        <v>0</v>
      </c>
      <c r="M54" s="45">
        <f>IF(OR(I54="",I54=0),"",IF(OR(J54="",NOT(ISNUMBER(J54)),J54=0),"",ROUNDUP(I54/J54,0)))</f>
        <v>0</v>
      </c>
      <c r="N54" s="45">
        <f>IF(I54="","",IF(RoundingRule="Exact quantity",I54,IF(M54="",I54,M54*J54)))</f>
        <v>0</v>
      </c>
      <c r="O54" s="25">
        <f>IF(N54="","",IF(RoundingRule="Exact quantity",IF(L54="","",N54*L54),IF(OR(M54="",K54=""),"",M54*K54)))</f>
        <v>0</v>
      </c>
      <c r="P54" s="25">
        <f>IF(B54="","",SUM(O$5:O54))</f>
        <v>0</v>
      </c>
      <c r="Q54" s="45">
        <f>IF(V54="Yes",0,IF(N54="",0,N54))</f>
        <v>0</v>
      </c>
      <c r="R54" s="18">
        <f>IF(OR(B54="",I54=0,I54=""),"",COUNTIFS($I$5:I54,"&gt;0"))</f>
        <v>0</v>
      </c>
      <c r="S54" s="18">
        <f>IF(B54="","",COUNTIFS('Recipe Ingredients'!$D$5:$D$1204,B54,'Recipe Ingredients'!$Y$5:$Y$1204,"&gt;0"))</f>
        <v>0</v>
      </c>
      <c r="T54" s="46">
        <f>IF(B54="","",IF(COUNTIFS('Recipe Ingredients'!$D$5:$D$1204,B54,'Recipe Ingredients'!$Y$5:$Y$1204,"&gt;0",'Recipe Ingredients'!$I$5:$I$1204,"No")=0,"Yes","No"))</f>
        <v>0</v>
      </c>
      <c r="U54" s="17">
        <f>IF(B54="","",IFERROR(INDEX(Ingredients!$W$5:$W$304,MATCH(B54,Ingredients!$B$5:$B$304,0)),"Add to Ingredients"))</f>
        <v>0</v>
      </c>
      <c r="Z54" s="31">
        <f>IF(B54="","",IF(V54="Yes","Bought",IF(I54=0,"In stock",IF(O54="","Check - no price","On the list"))))</f>
        <v>0</v>
      </c>
    </row>
    <row r="55" spans="1:26">
      <c r="A55" s="18">
        <f>ROW()-4</f>
        <v>0</v>
      </c>
      <c r="B55" s="17">
        <f>IFERROR(INDEX(Ingredients!$B$5:$B$304,MATCH(A55,Ingredients!$AL$5:$AL$304,0)),"")</f>
        <v>0</v>
      </c>
      <c r="C55" s="17">
        <f>IF(B55="","",IFERROR(INDEX(Ingredients!$C$5:$C$304,MATCH(B55,Ingredients!$B$5:$B$304,0)),"Add to Ingredients"))</f>
        <v>0</v>
      </c>
      <c r="D55" s="17">
        <f>IF(B55="","",IFERROR(INDEX(Ingredients!$D$5:$D$304,MATCH(B55,Ingredients!$B$5:$B$304,0)),"Add to Ingredients"))</f>
        <v>0</v>
      </c>
      <c r="E55" s="17">
        <f>IF(B55="","",IFERROR(INDEX(Ingredients!$E$5:$E$304,MATCH(B55,Ingredients!$B$5:$B$304,0)),"Add to Ingredients"))</f>
        <v>0</v>
      </c>
      <c r="F55" s="45">
        <f>IF(B55="","",IFERROR(INDEX(Ingredients!$AG$5:$AG$304,MATCH(B55,Ingredients!$B$5:$B$304,0)),""))</f>
        <v>0</v>
      </c>
      <c r="G55" s="17">
        <f>IF(B55="","",IFERROR(INDEX(Ingredients!$G$5:$G$304,MATCH(B55,Ingredients!$B$5:$B$304,0)),"Add to Ingredients"))</f>
        <v>0</v>
      </c>
      <c r="H55" s="45">
        <f>IF(B55="","",IFERROR(INDEX(Ingredients!$AD$5:$AD$304,MATCH(B55,Ingredients!$B$5:$B$304,0)),0))</f>
        <v>0</v>
      </c>
      <c r="I55" s="45">
        <f>IF(F55="","",MAX(0,F55-IF(H55="",0,H55)))</f>
        <v>0</v>
      </c>
      <c r="J55" s="45">
        <f>IF(B55="","",IFERROR(INDEX(Ingredients!$H$5:$H$304,MATCH(B55,Ingredients!$B$5:$B$304,0)),"Add to Ingredients"))</f>
        <v>0</v>
      </c>
      <c r="K55" s="25">
        <f>IF(B55="","",IFERROR(INDEX(Ingredients!$I$5:$I$304,MATCH(B55,Ingredients!$B$5:$B$304,0)),"Add to Ingredients"))</f>
        <v>0</v>
      </c>
      <c r="L55" s="25">
        <f>IF(B55="","",IFERROR(INDEX(Ingredients!$J$5:$J$304,MATCH(B55,Ingredients!$B$5:$B$304,0)),"Add to Ingredients"))</f>
        <v>0</v>
      </c>
      <c r="M55" s="45">
        <f>IF(OR(I55="",I55=0),"",IF(OR(J55="",NOT(ISNUMBER(J55)),J55=0),"",ROUNDUP(I55/J55,0)))</f>
        <v>0</v>
      </c>
      <c r="N55" s="45">
        <f>IF(I55="","",IF(RoundingRule="Exact quantity",I55,IF(M55="",I55,M55*J55)))</f>
        <v>0</v>
      </c>
      <c r="O55" s="25">
        <f>IF(N55="","",IF(RoundingRule="Exact quantity",IF(L55="","",N55*L55),IF(OR(M55="",K55=""),"",M55*K55)))</f>
        <v>0</v>
      </c>
      <c r="P55" s="25">
        <f>IF(B55="","",SUM(O$5:O55))</f>
        <v>0</v>
      </c>
      <c r="Q55" s="45">
        <f>IF(V55="Yes",0,IF(N55="",0,N55))</f>
        <v>0</v>
      </c>
      <c r="R55" s="18">
        <f>IF(OR(B55="",I55=0,I55=""),"",COUNTIFS($I$5:I55,"&gt;0"))</f>
        <v>0</v>
      </c>
      <c r="S55" s="18">
        <f>IF(B55="","",COUNTIFS('Recipe Ingredients'!$D$5:$D$1204,B55,'Recipe Ingredients'!$Y$5:$Y$1204,"&gt;0"))</f>
        <v>0</v>
      </c>
      <c r="T55" s="46">
        <f>IF(B55="","",IF(COUNTIFS('Recipe Ingredients'!$D$5:$D$1204,B55,'Recipe Ingredients'!$Y$5:$Y$1204,"&gt;0",'Recipe Ingredients'!$I$5:$I$1204,"No")=0,"Yes","No"))</f>
        <v>0</v>
      </c>
      <c r="U55" s="17">
        <f>IF(B55="","",IFERROR(INDEX(Ingredients!$W$5:$W$304,MATCH(B55,Ingredients!$B$5:$B$304,0)),"Add to Ingredients"))</f>
        <v>0</v>
      </c>
      <c r="Z55" s="31">
        <f>IF(B55="","",IF(V55="Yes","Bought",IF(I55=0,"In stock",IF(O55="","Check - no price","On the list"))))</f>
        <v>0</v>
      </c>
    </row>
    <row r="56" spans="1:26">
      <c r="A56" s="18">
        <f>ROW()-4</f>
        <v>0</v>
      </c>
      <c r="B56" s="17">
        <f>IFERROR(INDEX(Ingredients!$B$5:$B$304,MATCH(A56,Ingredients!$AL$5:$AL$304,0)),"")</f>
        <v>0</v>
      </c>
      <c r="C56" s="17">
        <f>IF(B56="","",IFERROR(INDEX(Ingredients!$C$5:$C$304,MATCH(B56,Ingredients!$B$5:$B$304,0)),"Add to Ingredients"))</f>
        <v>0</v>
      </c>
      <c r="D56" s="17">
        <f>IF(B56="","",IFERROR(INDEX(Ingredients!$D$5:$D$304,MATCH(B56,Ingredients!$B$5:$B$304,0)),"Add to Ingredients"))</f>
        <v>0</v>
      </c>
      <c r="E56" s="17">
        <f>IF(B56="","",IFERROR(INDEX(Ingredients!$E$5:$E$304,MATCH(B56,Ingredients!$B$5:$B$304,0)),"Add to Ingredients"))</f>
        <v>0</v>
      </c>
      <c r="F56" s="45">
        <f>IF(B56="","",IFERROR(INDEX(Ingredients!$AG$5:$AG$304,MATCH(B56,Ingredients!$B$5:$B$304,0)),""))</f>
        <v>0</v>
      </c>
      <c r="G56" s="17">
        <f>IF(B56="","",IFERROR(INDEX(Ingredients!$G$5:$G$304,MATCH(B56,Ingredients!$B$5:$B$304,0)),"Add to Ingredients"))</f>
        <v>0</v>
      </c>
      <c r="H56" s="45">
        <f>IF(B56="","",IFERROR(INDEX(Ingredients!$AD$5:$AD$304,MATCH(B56,Ingredients!$B$5:$B$304,0)),0))</f>
        <v>0</v>
      </c>
      <c r="I56" s="45">
        <f>IF(F56="","",MAX(0,F56-IF(H56="",0,H56)))</f>
        <v>0</v>
      </c>
      <c r="J56" s="45">
        <f>IF(B56="","",IFERROR(INDEX(Ingredients!$H$5:$H$304,MATCH(B56,Ingredients!$B$5:$B$304,0)),"Add to Ingredients"))</f>
        <v>0</v>
      </c>
      <c r="K56" s="25">
        <f>IF(B56="","",IFERROR(INDEX(Ingredients!$I$5:$I$304,MATCH(B56,Ingredients!$B$5:$B$304,0)),"Add to Ingredients"))</f>
        <v>0</v>
      </c>
      <c r="L56" s="25">
        <f>IF(B56="","",IFERROR(INDEX(Ingredients!$J$5:$J$304,MATCH(B56,Ingredients!$B$5:$B$304,0)),"Add to Ingredients"))</f>
        <v>0</v>
      </c>
      <c r="M56" s="45">
        <f>IF(OR(I56="",I56=0),"",IF(OR(J56="",NOT(ISNUMBER(J56)),J56=0),"",ROUNDUP(I56/J56,0)))</f>
        <v>0</v>
      </c>
      <c r="N56" s="45">
        <f>IF(I56="","",IF(RoundingRule="Exact quantity",I56,IF(M56="",I56,M56*J56)))</f>
        <v>0</v>
      </c>
      <c r="O56" s="25">
        <f>IF(N56="","",IF(RoundingRule="Exact quantity",IF(L56="","",N56*L56),IF(OR(M56="",K56=""),"",M56*K56)))</f>
        <v>0</v>
      </c>
      <c r="P56" s="25">
        <f>IF(B56="","",SUM(O$5:O56))</f>
        <v>0</v>
      </c>
      <c r="Q56" s="45">
        <f>IF(V56="Yes",0,IF(N56="",0,N56))</f>
        <v>0</v>
      </c>
      <c r="R56" s="18">
        <f>IF(OR(B56="",I56=0,I56=""),"",COUNTIFS($I$5:I56,"&gt;0"))</f>
        <v>0</v>
      </c>
      <c r="S56" s="18">
        <f>IF(B56="","",COUNTIFS('Recipe Ingredients'!$D$5:$D$1204,B56,'Recipe Ingredients'!$Y$5:$Y$1204,"&gt;0"))</f>
        <v>0</v>
      </c>
      <c r="T56" s="46">
        <f>IF(B56="","",IF(COUNTIFS('Recipe Ingredients'!$D$5:$D$1204,B56,'Recipe Ingredients'!$Y$5:$Y$1204,"&gt;0",'Recipe Ingredients'!$I$5:$I$1204,"No")=0,"Yes","No"))</f>
        <v>0</v>
      </c>
      <c r="U56" s="17">
        <f>IF(B56="","",IFERROR(INDEX(Ingredients!$W$5:$W$304,MATCH(B56,Ingredients!$B$5:$B$304,0)),"Add to Ingredients"))</f>
        <v>0</v>
      </c>
      <c r="Z56" s="31">
        <f>IF(B56="","",IF(V56="Yes","Bought",IF(I56=0,"In stock",IF(O56="","Check - no price","On the list"))))</f>
        <v>0</v>
      </c>
    </row>
    <row r="57" spans="1:26">
      <c r="A57" s="18">
        <f>ROW()-4</f>
        <v>0</v>
      </c>
      <c r="B57" s="17">
        <f>IFERROR(INDEX(Ingredients!$B$5:$B$304,MATCH(A57,Ingredients!$AL$5:$AL$304,0)),"")</f>
        <v>0</v>
      </c>
      <c r="C57" s="17">
        <f>IF(B57="","",IFERROR(INDEX(Ingredients!$C$5:$C$304,MATCH(B57,Ingredients!$B$5:$B$304,0)),"Add to Ingredients"))</f>
        <v>0</v>
      </c>
      <c r="D57" s="17">
        <f>IF(B57="","",IFERROR(INDEX(Ingredients!$D$5:$D$304,MATCH(B57,Ingredients!$B$5:$B$304,0)),"Add to Ingredients"))</f>
        <v>0</v>
      </c>
      <c r="E57" s="17">
        <f>IF(B57="","",IFERROR(INDEX(Ingredients!$E$5:$E$304,MATCH(B57,Ingredients!$B$5:$B$304,0)),"Add to Ingredients"))</f>
        <v>0</v>
      </c>
      <c r="F57" s="45">
        <f>IF(B57="","",IFERROR(INDEX(Ingredients!$AG$5:$AG$304,MATCH(B57,Ingredients!$B$5:$B$304,0)),""))</f>
        <v>0</v>
      </c>
      <c r="G57" s="17">
        <f>IF(B57="","",IFERROR(INDEX(Ingredients!$G$5:$G$304,MATCH(B57,Ingredients!$B$5:$B$304,0)),"Add to Ingredients"))</f>
        <v>0</v>
      </c>
      <c r="H57" s="45">
        <f>IF(B57="","",IFERROR(INDEX(Ingredients!$AD$5:$AD$304,MATCH(B57,Ingredients!$B$5:$B$304,0)),0))</f>
        <v>0</v>
      </c>
      <c r="I57" s="45">
        <f>IF(F57="","",MAX(0,F57-IF(H57="",0,H57)))</f>
        <v>0</v>
      </c>
      <c r="J57" s="45">
        <f>IF(B57="","",IFERROR(INDEX(Ingredients!$H$5:$H$304,MATCH(B57,Ingredients!$B$5:$B$304,0)),"Add to Ingredients"))</f>
        <v>0</v>
      </c>
      <c r="K57" s="25">
        <f>IF(B57="","",IFERROR(INDEX(Ingredients!$I$5:$I$304,MATCH(B57,Ingredients!$B$5:$B$304,0)),"Add to Ingredients"))</f>
        <v>0</v>
      </c>
      <c r="L57" s="25">
        <f>IF(B57="","",IFERROR(INDEX(Ingredients!$J$5:$J$304,MATCH(B57,Ingredients!$B$5:$B$304,0)),"Add to Ingredients"))</f>
        <v>0</v>
      </c>
      <c r="M57" s="45">
        <f>IF(OR(I57="",I57=0),"",IF(OR(J57="",NOT(ISNUMBER(J57)),J57=0),"",ROUNDUP(I57/J57,0)))</f>
        <v>0</v>
      </c>
      <c r="N57" s="45">
        <f>IF(I57="","",IF(RoundingRule="Exact quantity",I57,IF(M57="",I57,M57*J57)))</f>
        <v>0</v>
      </c>
      <c r="O57" s="25">
        <f>IF(N57="","",IF(RoundingRule="Exact quantity",IF(L57="","",N57*L57),IF(OR(M57="",K57=""),"",M57*K57)))</f>
        <v>0</v>
      </c>
      <c r="P57" s="25">
        <f>IF(B57="","",SUM(O$5:O57))</f>
        <v>0</v>
      </c>
      <c r="Q57" s="45">
        <f>IF(V57="Yes",0,IF(N57="",0,N57))</f>
        <v>0</v>
      </c>
      <c r="R57" s="18">
        <f>IF(OR(B57="",I57=0,I57=""),"",COUNTIFS($I$5:I57,"&gt;0"))</f>
        <v>0</v>
      </c>
      <c r="S57" s="18">
        <f>IF(B57="","",COUNTIFS('Recipe Ingredients'!$D$5:$D$1204,B57,'Recipe Ingredients'!$Y$5:$Y$1204,"&gt;0"))</f>
        <v>0</v>
      </c>
      <c r="T57" s="46">
        <f>IF(B57="","",IF(COUNTIFS('Recipe Ingredients'!$D$5:$D$1204,B57,'Recipe Ingredients'!$Y$5:$Y$1204,"&gt;0",'Recipe Ingredients'!$I$5:$I$1204,"No")=0,"Yes","No"))</f>
        <v>0</v>
      </c>
      <c r="U57" s="17">
        <f>IF(B57="","",IFERROR(INDEX(Ingredients!$W$5:$W$304,MATCH(B57,Ingredients!$B$5:$B$304,0)),"Add to Ingredients"))</f>
        <v>0</v>
      </c>
      <c r="Z57" s="31">
        <f>IF(B57="","",IF(V57="Yes","Bought",IF(I57=0,"In stock",IF(O57="","Check - no price","On the list"))))</f>
        <v>0</v>
      </c>
    </row>
    <row r="58" spans="1:26">
      <c r="A58" s="18">
        <f>ROW()-4</f>
        <v>0</v>
      </c>
      <c r="B58" s="17">
        <f>IFERROR(INDEX(Ingredients!$B$5:$B$304,MATCH(A58,Ingredients!$AL$5:$AL$304,0)),"")</f>
        <v>0</v>
      </c>
      <c r="C58" s="17">
        <f>IF(B58="","",IFERROR(INDEX(Ingredients!$C$5:$C$304,MATCH(B58,Ingredients!$B$5:$B$304,0)),"Add to Ingredients"))</f>
        <v>0</v>
      </c>
      <c r="D58" s="17">
        <f>IF(B58="","",IFERROR(INDEX(Ingredients!$D$5:$D$304,MATCH(B58,Ingredients!$B$5:$B$304,0)),"Add to Ingredients"))</f>
        <v>0</v>
      </c>
      <c r="E58" s="17">
        <f>IF(B58="","",IFERROR(INDEX(Ingredients!$E$5:$E$304,MATCH(B58,Ingredients!$B$5:$B$304,0)),"Add to Ingredients"))</f>
        <v>0</v>
      </c>
      <c r="F58" s="45">
        <f>IF(B58="","",IFERROR(INDEX(Ingredients!$AG$5:$AG$304,MATCH(B58,Ingredients!$B$5:$B$304,0)),""))</f>
        <v>0</v>
      </c>
      <c r="G58" s="17">
        <f>IF(B58="","",IFERROR(INDEX(Ingredients!$G$5:$G$304,MATCH(B58,Ingredients!$B$5:$B$304,0)),"Add to Ingredients"))</f>
        <v>0</v>
      </c>
      <c r="H58" s="45">
        <f>IF(B58="","",IFERROR(INDEX(Ingredients!$AD$5:$AD$304,MATCH(B58,Ingredients!$B$5:$B$304,0)),0))</f>
        <v>0</v>
      </c>
      <c r="I58" s="45">
        <f>IF(F58="","",MAX(0,F58-IF(H58="",0,H58)))</f>
        <v>0</v>
      </c>
      <c r="J58" s="45">
        <f>IF(B58="","",IFERROR(INDEX(Ingredients!$H$5:$H$304,MATCH(B58,Ingredients!$B$5:$B$304,0)),"Add to Ingredients"))</f>
        <v>0</v>
      </c>
      <c r="K58" s="25">
        <f>IF(B58="","",IFERROR(INDEX(Ingredients!$I$5:$I$304,MATCH(B58,Ingredients!$B$5:$B$304,0)),"Add to Ingredients"))</f>
        <v>0</v>
      </c>
      <c r="L58" s="25">
        <f>IF(B58="","",IFERROR(INDEX(Ingredients!$J$5:$J$304,MATCH(B58,Ingredients!$B$5:$B$304,0)),"Add to Ingredients"))</f>
        <v>0</v>
      </c>
      <c r="M58" s="45">
        <f>IF(OR(I58="",I58=0),"",IF(OR(J58="",NOT(ISNUMBER(J58)),J58=0),"",ROUNDUP(I58/J58,0)))</f>
        <v>0</v>
      </c>
      <c r="N58" s="45">
        <f>IF(I58="","",IF(RoundingRule="Exact quantity",I58,IF(M58="",I58,M58*J58)))</f>
        <v>0</v>
      </c>
      <c r="O58" s="25">
        <f>IF(N58="","",IF(RoundingRule="Exact quantity",IF(L58="","",N58*L58),IF(OR(M58="",K58=""),"",M58*K58)))</f>
        <v>0</v>
      </c>
      <c r="P58" s="25">
        <f>IF(B58="","",SUM(O$5:O58))</f>
        <v>0</v>
      </c>
      <c r="Q58" s="45">
        <f>IF(V58="Yes",0,IF(N58="",0,N58))</f>
        <v>0</v>
      </c>
      <c r="R58" s="18">
        <f>IF(OR(B58="",I58=0,I58=""),"",COUNTIFS($I$5:I58,"&gt;0"))</f>
        <v>0</v>
      </c>
      <c r="S58" s="18">
        <f>IF(B58="","",COUNTIFS('Recipe Ingredients'!$D$5:$D$1204,B58,'Recipe Ingredients'!$Y$5:$Y$1204,"&gt;0"))</f>
        <v>0</v>
      </c>
      <c r="T58" s="46">
        <f>IF(B58="","",IF(COUNTIFS('Recipe Ingredients'!$D$5:$D$1204,B58,'Recipe Ingredients'!$Y$5:$Y$1204,"&gt;0",'Recipe Ingredients'!$I$5:$I$1204,"No")=0,"Yes","No"))</f>
        <v>0</v>
      </c>
      <c r="U58" s="17">
        <f>IF(B58="","",IFERROR(INDEX(Ingredients!$W$5:$W$304,MATCH(B58,Ingredients!$B$5:$B$304,0)),"Add to Ingredients"))</f>
        <v>0</v>
      </c>
      <c r="Z58" s="31">
        <f>IF(B58="","",IF(V58="Yes","Bought",IF(I58=0,"In stock",IF(O58="","Check - no price","On the list"))))</f>
        <v>0</v>
      </c>
    </row>
    <row r="59" spans="1:26">
      <c r="A59" s="18">
        <f>ROW()-4</f>
        <v>0</v>
      </c>
      <c r="B59" s="17">
        <f>IFERROR(INDEX(Ingredients!$B$5:$B$304,MATCH(A59,Ingredients!$AL$5:$AL$304,0)),"")</f>
        <v>0</v>
      </c>
      <c r="C59" s="17">
        <f>IF(B59="","",IFERROR(INDEX(Ingredients!$C$5:$C$304,MATCH(B59,Ingredients!$B$5:$B$304,0)),"Add to Ingredients"))</f>
        <v>0</v>
      </c>
      <c r="D59" s="17">
        <f>IF(B59="","",IFERROR(INDEX(Ingredients!$D$5:$D$304,MATCH(B59,Ingredients!$B$5:$B$304,0)),"Add to Ingredients"))</f>
        <v>0</v>
      </c>
      <c r="E59" s="17">
        <f>IF(B59="","",IFERROR(INDEX(Ingredients!$E$5:$E$304,MATCH(B59,Ingredients!$B$5:$B$304,0)),"Add to Ingredients"))</f>
        <v>0</v>
      </c>
      <c r="F59" s="45">
        <f>IF(B59="","",IFERROR(INDEX(Ingredients!$AG$5:$AG$304,MATCH(B59,Ingredients!$B$5:$B$304,0)),""))</f>
        <v>0</v>
      </c>
      <c r="G59" s="17">
        <f>IF(B59="","",IFERROR(INDEX(Ingredients!$G$5:$G$304,MATCH(B59,Ingredients!$B$5:$B$304,0)),"Add to Ingredients"))</f>
        <v>0</v>
      </c>
      <c r="H59" s="45">
        <f>IF(B59="","",IFERROR(INDEX(Ingredients!$AD$5:$AD$304,MATCH(B59,Ingredients!$B$5:$B$304,0)),0))</f>
        <v>0</v>
      </c>
      <c r="I59" s="45">
        <f>IF(F59="","",MAX(0,F59-IF(H59="",0,H59)))</f>
        <v>0</v>
      </c>
      <c r="J59" s="45">
        <f>IF(B59="","",IFERROR(INDEX(Ingredients!$H$5:$H$304,MATCH(B59,Ingredients!$B$5:$B$304,0)),"Add to Ingredients"))</f>
        <v>0</v>
      </c>
      <c r="K59" s="25">
        <f>IF(B59="","",IFERROR(INDEX(Ingredients!$I$5:$I$304,MATCH(B59,Ingredients!$B$5:$B$304,0)),"Add to Ingredients"))</f>
        <v>0</v>
      </c>
      <c r="L59" s="25">
        <f>IF(B59="","",IFERROR(INDEX(Ingredients!$J$5:$J$304,MATCH(B59,Ingredients!$B$5:$B$304,0)),"Add to Ingredients"))</f>
        <v>0</v>
      </c>
      <c r="M59" s="45">
        <f>IF(OR(I59="",I59=0),"",IF(OR(J59="",NOT(ISNUMBER(J59)),J59=0),"",ROUNDUP(I59/J59,0)))</f>
        <v>0</v>
      </c>
      <c r="N59" s="45">
        <f>IF(I59="","",IF(RoundingRule="Exact quantity",I59,IF(M59="",I59,M59*J59)))</f>
        <v>0</v>
      </c>
      <c r="O59" s="25">
        <f>IF(N59="","",IF(RoundingRule="Exact quantity",IF(L59="","",N59*L59),IF(OR(M59="",K59=""),"",M59*K59)))</f>
        <v>0</v>
      </c>
      <c r="P59" s="25">
        <f>IF(B59="","",SUM(O$5:O59))</f>
        <v>0</v>
      </c>
      <c r="Q59" s="45">
        <f>IF(V59="Yes",0,IF(N59="",0,N59))</f>
        <v>0</v>
      </c>
      <c r="R59" s="18">
        <f>IF(OR(B59="",I59=0,I59=""),"",COUNTIFS($I$5:I59,"&gt;0"))</f>
        <v>0</v>
      </c>
      <c r="S59" s="18">
        <f>IF(B59="","",COUNTIFS('Recipe Ingredients'!$D$5:$D$1204,B59,'Recipe Ingredients'!$Y$5:$Y$1204,"&gt;0"))</f>
        <v>0</v>
      </c>
      <c r="T59" s="46">
        <f>IF(B59="","",IF(COUNTIFS('Recipe Ingredients'!$D$5:$D$1204,B59,'Recipe Ingredients'!$Y$5:$Y$1204,"&gt;0",'Recipe Ingredients'!$I$5:$I$1204,"No")=0,"Yes","No"))</f>
        <v>0</v>
      </c>
      <c r="U59" s="17">
        <f>IF(B59="","",IFERROR(INDEX(Ingredients!$W$5:$W$304,MATCH(B59,Ingredients!$B$5:$B$304,0)),"Add to Ingredients"))</f>
        <v>0</v>
      </c>
      <c r="Z59" s="31">
        <f>IF(B59="","",IF(V59="Yes","Bought",IF(I59=0,"In stock",IF(O59="","Check - no price","On the list"))))</f>
        <v>0</v>
      </c>
    </row>
    <row r="60" spans="1:26">
      <c r="A60" s="18">
        <f>ROW()-4</f>
        <v>0</v>
      </c>
      <c r="B60" s="17">
        <f>IFERROR(INDEX(Ingredients!$B$5:$B$304,MATCH(A60,Ingredients!$AL$5:$AL$304,0)),"")</f>
        <v>0</v>
      </c>
      <c r="C60" s="17">
        <f>IF(B60="","",IFERROR(INDEX(Ingredients!$C$5:$C$304,MATCH(B60,Ingredients!$B$5:$B$304,0)),"Add to Ingredients"))</f>
        <v>0</v>
      </c>
      <c r="D60" s="17">
        <f>IF(B60="","",IFERROR(INDEX(Ingredients!$D$5:$D$304,MATCH(B60,Ingredients!$B$5:$B$304,0)),"Add to Ingredients"))</f>
        <v>0</v>
      </c>
      <c r="E60" s="17">
        <f>IF(B60="","",IFERROR(INDEX(Ingredients!$E$5:$E$304,MATCH(B60,Ingredients!$B$5:$B$304,0)),"Add to Ingredients"))</f>
        <v>0</v>
      </c>
      <c r="F60" s="45">
        <f>IF(B60="","",IFERROR(INDEX(Ingredients!$AG$5:$AG$304,MATCH(B60,Ingredients!$B$5:$B$304,0)),""))</f>
        <v>0</v>
      </c>
      <c r="G60" s="17">
        <f>IF(B60="","",IFERROR(INDEX(Ingredients!$G$5:$G$304,MATCH(B60,Ingredients!$B$5:$B$304,0)),"Add to Ingredients"))</f>
        <v>0</v>
      </c>
      <c r="H60" s="45">
        <f>IF(B60="","",IFERROR(INDEX(Ingredients!$AD$5:$AD$304,MATCH(B60,Ingredients!$B$5:$B$304,0)),0))</f>
        <v>0</v>
      </c>
      <c r="I60" s="45">
        <f>IF(F60="","",MAX(0,F60-IF(H60="",0,H60)))</f>
        <v>0</v>
      </c>
      <c r="J60" s="45">
        <f>IF(B60="","",IFERROR(INDEX(Ingredients!$H$5:$H$304,MATCH(B60,Ingredients!$B$5:$B$304,0)),"Add to Ingredients"))</f>
        <v>0</v>
      </c>
      <c r="K60" s="25">
        <f>IF(B60="","",IFERROR(INDEX(Ingredients!$I$5:$I$304,MATCH(B60,Ingredients!$B$5:$B$304,0)),"Add to Ingredients"))</f>
        <v>0</v>
      </c>
      <c r="L60" s="25">
        <f>IF(B60="","",IFERROR(INDEX(Ingredients!$J$5:$J$304,MATCH(B60,Ingredients!$B$5:$B$304,0)),"Add to Ingredients"))</f>
        <v>0</v>
      </c>
      <c r="M60" s="45">
        <f>IF(OR(I60="",I60=0),"",IF(OR(J60="",NOT(ISNUMBER(J60)),J60=0),"",ROUNDUP(I60/J60,0)))</f>
        <v>0</v>
      </c>
      <c r="N60" s="45">
        <f>IF(I60="","",IF(RoundingRule="Exact quantity",I60,IF(M60="",I60,M60*J60)))</f>
        <v>0</v>
      </c>
      <c r="O60" s="25">
        <f>IF(N60="","",IF(RoundingRule="Exact quantity",IF(L60="","",N60*L60),IF(OR(M60="",K60=""),"",M60*K60)))</f>
        <v>0</v>
      </c>
      <c r="P60" s="25">
        <f>IF(B60="","",SUM(O$5:O60))</f>
        <v>0</v>
      </c>
      <c r="Q60" s="45">
        <f>IF(V60="Yes",0,IF(N60="",0,N60))</f>
        <v>0</v>
      </c>
      <c r="R60" s="18">
        <f>IF(OR(B60="",I60=0,I60=""),"",COUNTIFS($I$5:I60,"&gt;0"))</f>
        <v>0</v>
      </c>
      <c r="S60" s="18">
        <f>IF(B60="","",COUNTIFS('Recipe Ingredients'!$D$5:$D$1204,B60,'Recipe Ingredients'!$Y$5:$Y$1204,"&gt;0"))</f>
        <v>0</v>
      </c>
      <c r="T60" s="46">
        <f>IF(B60="","",IF(COUNTIFS('Recipe Ingredients'!$D$5:$D$1204,B60,'Recipe Ingredients'!$Y$5:$Y$1204,"&gt;0",'Recipe Ingredients'!$I$5:$I$1204,"No")=0,"Yes","No"))</f>
        <v>0</v>
      </c>
      <c r="U60" s="17">
        <f>IF(B60="","",IFERROR(INDEX(Ingredients!$W$5:$W$304,MATCH(B60,Ingredients!$B$5:$B$304,0)),"Add to Ingredients"))</f>
        <v>0</v>
      </c>
      <c r="Z60" s="31">
        <f>IF(B60="","",IF(V60="Yes","Bought",IF(I60=0,"In stock",IF(O60="","Check - no price","On the list"))))</f>
        <v>0</v>
      </c>
    </row>
    <row r="61" spans="1:26">
      <c r="A61" s="18">
        <f>ROW()-4</f>
        <v>0</v>
      </c>
      <c r="B61" s="17">
        <f>IFERROR(INDEX(Ingredients!$B$5:$B$304,MATCH(A61,Ingredients!$AL$5:$AL$304,0)),"")</f>
        <v>0</v>
      </c>
      <c r="C61" s="17">
        <f>IF(B61="","",IFERROR(INDEX(Ingredients!$C$5:$C$304,MATCH(B61,Ingredients!$B$5:$B$304,0)),"Add to Ingredients"))</f>
        <v>0</v>
      </c>
      <c r="D61" s="17">
        <f>IF(B61="","",IFERROR(INDEX(Ingredients!$D$5:$D$304,MATCH(B61,Ingredients!$B$5:$B$304,0)),"Add to Ingredients"))</f>
        <v>0</v>
      </c>
      <c r="E61" s="17">
        <f>IF(B61="","",IFERROR(INDEX(Ingredients!$E$5:$E$304,MATCH(B61,Ingredients!$B$5:$B$304,0)),"Add to Ingredients"))</f>
        <v>0</v>
      </c>
      <c r="F61" s="45">
        <f>IF(B61="","",IFERROR(INDEX(Ingredients!$AG$5:$AG$304,MATCH(B61,Ingredients!$B$5:$B$304,0)),""))</f>
        <v>0</v>
      </c>
      <c r="G61" s="17">
        <f>IF(B61="","",IFERROR(INDEX(Ingredients!$G$5:$G$304,MATCH(B61,Ingredients!$B$5:$B$304,0)),"Add to Ingredients"))</f>
        <v>0</v>
      </c>
      <c r="H61" s="45">
        <f>IF(B61="","",IFERROR(INDEX(Ingredients!$AD$5:$AD$304,MATCH(B61,Ingredients!$B$5:$B$304,0)),0))</f>
        <v>0</v>
      </c>
      <c r="I61" s="45">
        <f>IF(F61="","",MAX(0,F61-IF(H61="",0,H61)))</f>
        <v>0</v>
      </c>
      <c r="J61" s="45">
        <f>IF(B61="","",IFERROR(INDEX(Ingredients!$H$5:$H$304,MATCH(B61,Ingredients!$B$5:$B$304,0)),"Add to Ingredients"))</f>
        <v>0</v>
      </c>
      <c r="K61" s="25">
        <f>IF(B61="","",IFERROR(INDEX(Ingredients!$I$5:$I$304,MATCH(B61,Ingredients!$B$5:$B$304,0)),"Add to Ingredients"))</f>
        <v>0</v>
      </c>
      <c r="L61" s="25">
        <f>IF(B61="","",IFERROR(INDEX(Ingredients!$J$5:$J$304,MATCH(B61,Ingredients!$B$5:$B$304,0)),"Add to Ingredients"))</f>
        <v>0</v>
      </c>
      <c r="M61" s="45">
        <f>IF(OR(I61="",I61=0),"",IF(OR(J61="",NOT(ISNUMBER(J61)),J61=0),"",ROUNDUP(I61/J61,0)))</f>
        <v>0</v>
      </c>
      <c r="N61" s="45">
        <f>IF(I61="","",IF(RoundingRule="Exact quantity",I61,IF(M61="",I61,M61*J61)))</f>
        <v>0</v>
      </c>
      <c r="O61" s="25">
        <f>IF(N61="","",IF(RoundingRule="Exact quantity",IF(L61="","",N61*L61),IF(OR(M61="",K61=""),"",M61*K61)))</f>
        <v>0</v>
      </c>
      <c r="P61" s="25">
        <f>IF(B61="","",SUM(O$5:O61))</f>
        <v>0</v>
      </c>
      <c r="Q61" s="45">
        <f>IF(V61="Yes",0,IF(N61="",0,N61))</f>
        <v>0</v>
      </c>
      <c r="R61" s="18">
        <f>IF(OR(B61="",I61=0,I61=""),"",COUNTIFS($I$5:I61,"&gt;0"))</f>
        <v>0</v>
      </c>
      <c r="S61" s="18">
        <f>IF(B61="","",COUNTIFS('Recipe Ingredients'!$D$5:$D$1204,B61,'Recipe Ingredients'!$Y$5:$Y$1204,"&gt;0"))</f>
        <v>0</v>
      </c>
      <c r="T61" s="46">
        <f>IF(B61="","",IF(COUNTIFS('Recipe Ingredients'!$D$5:$D$1204,B61,'Recipe Ingredients'!$Y$5:$Y$1204,"&gt;0",'Recipe Ingredients'!$I$5:$I$1204,"No")=0,"Yes","No"))</f>
        <v>0</v>
      </c>
      <c r="U61" s="17">
        <f>IF(B61="","",IFERROR(INDEX(Ingredients!$W$5:$W$304,MATCH(B61,Ingredients!$B$5:$B$304,0)),"Add to Ingredients"))</f>
        <v>0</v>
      </c>
      <c r="Z61" s="31">
        <f>IF(B61="","",IF(V61="Yes","Bought",IF(I61=0,"In stock",IF(O61="","Check - no price","On the list"))))</f>
        <v>0</v>
      </c>
    </row>
    <row r="62" spans="1:26">
      <c r="A62" s="18">
        <f>ROW()-4</f>
        <v>0</v>
      </c>
      <c r="B62" s="17">
        <f>IFERROR(INDEX(Ingredients!$B$5:$B$304,MATCH(A62,Ingredients!$AL$5:$AL$304,0)),"")</f>
        <v>0</v>
      </c>
      <c r="C62" s="17">
        <f>IF(B62="","",IFERROR(INDEX(Ingredients!$C$5:$C$304,MATCH(B62,Ingredients!$B$5:$B$304,0)),"Add to Ingredients"))</f>
        <v>0</v>
      </c>
      <c r="D62" s="17">
        <f>IF(B62="","",IFERROR(INDEX(Ingredients!$D$5:$D$304,MATCH(B62,Ingredients!$B$5:$B$304,0)),"Add to Ingredients"))</f>
        <v>0</v>
      </c>
      <c r="E62" s="17">
        <f>IF(B62="","",IFERROR(INDEX(Ingredients!$E$5:$E$304,MATCH(B62,Ingredients!$B$5:$B$304,0)),"Add to Ingredients"))</f>
        <v>0</v>
      </c>
      <c r="F62" s="45">
        <f>IF(B62="","",IFERROR(INDEX(Ingredients!$AG$5:$AG$304,MATCH(B62,Ingredients!$B$5:$B$304,0)),""))</f>
        <v>0</v>
      </c>
      <c r="G62" s="17">
        <f>IF(B62="","",IFERROR(INDEX(Ingredients!$G$5:$G$304,MATCH(B62,Ingredients!$B$5:$B$304,0)),"Add to Ingredients"))</f>
        <v>0</v>
      </c>
      <c r="H62" s="45">
        <f>IF(B62="","",IFERROR(INDEX(Ingredients!$AD$5:$AD$304,MATCH(B62,Ingredients!$B$5:$B$304,0)),0))</f>
        <v>0</v>
      </c>
      <c r="I62" s="45">
        <f>IF(F62="","",MAX(0,F62-IF(H62="",0,H62)))</f>
        <v>0</v>
      </c>
      <c r="J62" s="45">
        <f>IF(B62="","",IFERROR(INDEX(Ingredients!$H$5:$H$304,MATCH(B62,Ingredients!$B$5:$B$304,0)),"Add to Ingredients"))</f>
        <v>0</v>
      </c>
      <c r="K62" s="25">
        <f>IF(B62="","",IFERROR(INDEX(Ingredients!$I$5:$I$304,MATCH(B62,Ingredients!$B$5:$B$304,0)),"Add to Ingredients"))</f>
        <v>0</v>
      </c>
      <c r="L62" s="25">
        <f>IF(B62="","",IFERROR(INDEX(Ingredients!$J$5:$J$304,MATCH(B62,Ingredients!$B$5:$B$304,0)),"Add to Ingredients"))</f>
        <v>0</v>
      </c>
      <c r="M62" s="45">
        <f>IF(OR(I62="",I62=0),"",IF(OR(J62="",NOT(ISNUMBER(J62)),J62=0),"",ROUNDUP(I62/J62,0)))</f>
        <v>0</v>
      </c>
      <c r="N62" s="45">
        <f>IF(I62="","",IF(RoundingRule="Exact quantity",I62,IF(M62="",I62,M62*J62)))</f>
        <v>0</v>
      </c>
      <c r="O62" s="25">
        <f>IF(N62="","",IF(RoundingRule="Exact quantity",IF(L62="","",N62*L62),IF(OR(M62="",K62=""),"",M62*K62)))</f>
        <v>0</v>
      </c>
      <c r="P62" s="25">
        <f>IF(B62="","",SUM(O$5:O62))</f>
        <v>0</v>
      </c>
      <c r="Q62" s="45">
        <f>IF(V62="Yes",0,IF(N62="",0,N62))</f>
        <v>0</v>
      </c>
      <c r="R62" s="18">
        <f>IF(OR(B62="",I62=0,I62=""),"",COUNTIFS($I$5:I62,"&gt;0"))</f>
        <v>0</v>
      </c>
      <c r="S62" s="18">
        <f>IF(B62="","",COUNTIFS('Recipe Ingredients'!$D$5:$D$1204,B62,'Recipe Ingredients'!$Y$5:$Y$1204,"&gt;0"))</f>
        <v>0</v>
      </c>
      <c r="T62" s="46">
        <f>IF(B62="","",IF(COUNTIFS('Recipe Ingredients'!$D$5:$D$1204,B62,'Recipe Ingredients'!$Y$5:$Y$1204,"&gt;0",'Recipe Ingredients'!$I$5:$I$1204,"No")=0,"Yes","No"))</f>
        <v>0</v>
      </c>
      <c r="U62" s="17">
        <f>IF(B62="","",IFERROR(INDEX(Ingredients!$W$5:$W$304,MATCH(B62,Ingredients!$B$5:$B$304,0)),"Add to Ingredients"))</f>
        <v>0</v>
      </c>
      <c r="Z62" s="31">
        <f>IF(B62="","",IF(V62="Yes","Bought",IF(I62=0,"In stock",IF(O62="","Check - no price","On the list"))))</f>
        <v>0</v>
      </c>
    </row>
    <row r="63" spans="1:26">
      <c r="A63" s="18">
        <f>ROW()-4</f>
        <v>0</v>
      </c>
      <c r="B63" s="17">
        <f>IFERROR(INDEX(Ingredients!$B$5:$B$304,MATCH(A63,Ingredients!$AL$5:$AL$304,0)),"")</f>
        <v>0</v>
      </c>
      <c r="C63" s="17">
        <f>IF(B63="","",IFERROR(INDEX(Ingredients!$C$5:$C$304,MATCH(B63,Ingredients!$B$5:$B$304,0)),"Add to Ingredients"))</f>
        <v>0</v>
      </c>
      <c r="D63" s="17">
        <f>IF(B63="","",IFERROR(INDEX(Ingredients!$D$5:$D$304,MATCH(B63,Ingredients!$B$5:$B$304,0)),"Add to Ingredients"))</f>
        <v>0</v>
      </c>
      <c r="E63" s="17">
        <f>IF(B63="","",IFERROR(INDEX(Ingredients!$E$5:$E$304,MATCH(B63,Ingredients!$B$5:$B$304,0)),"Add to Ingredients"))</f>
        <v>0</v>
      </c>
      <c r="F63" s="45">
        <f>IF(B63="","",IFERROR(INDEX(Ingredients!$AG$5:$AG$304,MATCH(B63,Ingredients!$B$5:$B$304,0)),""))</f>
        <v>0</v>
      </c>
      <c r="G63" s="17">
        <f>IF(B63="","",IFERROR(INDEX(Ingredients!$G$5:$G$304,MATCH(B63,Ingredients!$B$5:$B$304,0)),"Add to Ingredients"))</f>
        <v>0</v>
      </c>
      <c r="H63" s="45">
        <f>IF(B63="","",IFERROR(INDEX(Ingredients!$AD$5:$AD$304,MATCH(B63,Ingredients!$B$5:$B$304,0)),0))</f>
        <v>0</v>
      </c>
      <c r="I63" s="45">
        <f>IF(F63="","",MAX(0,F63-IF(H63="",0,H63)))</f>
        <v>0</v>
      </c>
      <c r="J63" s="45">
        <f>IF(B63="","",IFERROR(INDEX(Ingredients!$H$5:$H$304,MATCH(B63,Ingredients!$B$5:$B$304,0)),"Add to Ingredients"))</f>
        <v>0</v>
      </c>
      <c r="K63" s="25">
        <f>IF(B63="","",IFERROR(INDEX(Ingredients!$I$5:$I$304,MATCH(B63,Ingredients!$B$5:$B$304,0)),"Add to Ingredients"))</f>
        <v>0</v>
      </c>
      <c r="L63" s="25">
        <f>IF(B63="","",IFERROR(INDEX(Ingredients!$J$5:$J$304,MATCH(B63,Ingredients!$B$5:$B$304,0)),"Add to Ingredients"))</f>
        <v>0</v>
      </c>
      <c r="M63" s="45">
        <f>IF(OR(I63="",I63=0),"",IF(OR(J63="",NOT(ISNUMBER(J63)),J63=0),"",ROUNDUP(I63/J63,0)))</f>
        <v>0</v>
      </c>
      <c r="N63" s="45">
        <f>IF(I63="","",IF(RoundingRule="Exact quantity",I63,IF(M63="",I63,M63*J63)))</f>
        <v>0</v>
      </c>
      <c r="O63" s="25">
        <f>IF(N63="","",IF(RoundingRule="Exact quantity",IF(L63="","",N63*L63),IF(OR(M63="",K63=""),"",M63*K63)))</f>
        <v>0</v>
      </c>
      <c r="P63" s="25">
        <f>IF(B63="","",SUM(O$5:O63))</f>
        <v>0</v>
      </c>
      <c r="Q63" s="45">
        <f>IF(V63="Yes",0,IF(N63="",0,N63))</f>
        <v>0</v>
      </c>
      <c r="R63" s="18">
        <f>IF(OR(B63="",I63=0,I63=""),"",COUNTIFS($I$5:I63,"&gt;0"))</f>
        <v>0</v>
      </c>
      <c r="S63" s="18">
        <f>IF(B63="","",COUNTIFS('Recipe Ingredients'!$D$5:$D$1204,B63,'Recipe Ingredients'!$Y$5:$Y$1204,"&gt;0"))</f>
        <v>0</v>
      </c>
      <c r="T63" s="46">
        <f>IF(B63="","",IF(COUNTIFS('Recipe Ingredients'!$D$5:$D$1204,B63,'Recipe Ingredients'!$Y$5:$Y$1204,"&gt;0",'Recipe Ingredients'!$I$5:$I$1204,"No")=0,"Yes","No"))</f>
        <v>0</v>
      </c>
      <c r="U63" s="17">
        <f>IF(B63="","",IFERROR(INDEX(Ingredients!$W$5:$W$304,MATCH(B63,Ingredients!$B$5:$B$304,0)),"Add to Ingredients"))</f>
        <v>0</v>
      </c>
      <c r="Z63" s="31">
        <f>IF(B63="","",IF(V63="Yes","Bought",IF(I63=0,"In stock",IF(O63="","Check - no price","On the list"))))</f>
        <v>0</v>
      </c>
    </row>
    <row r="64" spans="1:26">
      <c r="A64" s="18">
        <f>ROW()-4</f>
        <v>0</v>
      </c>
      <c r="B64" s="17">
        <f>IFERROR(INDEX(Ingredients!$B$5:$B$304,MATCH(A64,Ingredients!$AL$5:$AL$304,0)),"")</f>
        <v>0</v>
      </c>
      <c r="C64" s="17">
        <f>IF(B64="","",IFERROR(INDEX(Ingredients!$C$5:$C$304,MATCH(B64,Ingredients!$B$5:$B$304,0)),"Add to Ingredients"))</f>
        <v>0</v>
      </c>
      <c r="D64" s="17">
        <f>IF(B64="","",IFERROR(INDEX(Ingredients!$D$5:$D$304,MATCH(B64,Ingredients!$B$5:$B$304,0)),"Add to Ingredients"))</f>
        <v>0</v>
      </c>
      <c r="E64" s="17">
        <f>IF(B64="","",IFERROR(INDEX(Ingredients!$E$5:$E$304,MATCH(B64,Ingredients!$B$5:$B$304,0)),"Add to Ingredients"))</f>
        <v>0</v>
      </c>
      <c r="F64" s="45">
        <f>IF(B64="","",IFERROR(INDEX(Ingredients!$AG$5:$AG$304,MATCH(B64,Ingredients!$B$5:$B$304,0)),""))</f>
        <v>0</v>
      </c>
      <c r="G64" s="17">
        <f>IF(B64="","",IFERROR(INDEX(Ingredients!$G$5:$G$304,MATCH(B64,Ingredients!$B$5:$B$304,0)),"Add to Ingredients"))</f>
        <v>0</v>
      </c>
      <c r="H64" s="45">
        <f>IF(B64="","",IFERROR(INDEX(Ingredients!$AD$5:$AD$304,MATCH(B64,Ingredients!$B$5:$B$304,0)),0))</f>
        <v>0</v>
      </c>
      <c r="I64" s="45">
        <f>IF(F64="","",MAX(0,F64-IF(H64="",0,H64)))</f>
        <v>0</v>
      </c>
      <c r="J64" s="45">
        <f>IF(B64="","",IFERROR(INDEX(Ingredients!$H$5:$H$304,MATCH(B64,Ingredients!$B$5:$B$304,0)),"Add to Ingredients"))</f>
        <v>0</v>
      </c>
      <c r="K64" s="25">
        <f>IF(B64="","",IFERROR(INDEX(Ingredients!$I$5:$I$304,MATCH(B64,Ingredients!$B$5:$B$304,0)),"Add to Ingredients"))</f>
        <v>0</v>
      </c>
      <c r="L64" s="25">
        <f>IF(B64="","",IFERROR(INDEX(Ingredients!$J$5:$J$304,MATCH(B64,Ingredients!$B$5:$B$304,0)),"Add to Ingredients"))</f>
        <v>0</v>
      </c>
      <c r="M64" s="45">
        <f>IF(OR(I64="",I64=0),"",IF(OR(J64="",NOT(ISNUMBER(J64)),J64=0),"",ROUNDUP(I64/J64,0)))</f>
        <v>0</v>
      </c>
      <c r="N64" s="45">
        <f>IF(I64="","",IF(RoundingRule="Exact quantity",I64,IF(M64="",I64,M64*J64)))</f>
        <v>0</v>
      </c>
      <c r="O64" s="25">
        <f>IF(N64="","",IF(RoundingRule="Exact quantity",IF(L64="","",N64*L64),IF(OR(M64="",K64=""),"",M64*K64)))</f>
        <v>0</v>
      </c>
      <c r="P64" s="25">
        <f>IF(B64="","",SUM(O$5:O64))</f>
        <v>0</v>
      </c>
      <c r="Q64" s="45">
        <f>IF(V64="Yes",0,IF(N64="",0,N64))</f>
        <v>0</v>
      </c>
      <c r="R64" s="18">
        <f>IF(OR(B64="",I64=0,I64=""),"",COUNTIFS($I$5:I64,"&gt;0"))</f>
        <v>0</v>
      </c>
      <c r="S64" s="18">
        <f>IF(B64="","",COUNTIFS('Recipe Ingredients'!$D$5:$D$1204,B64,'Recipe Ingredients'!$Y$5:$Y$1204,"&gt;0"))</f>
        <v>0</v>
      </c>
      <c r="T64" s="46">
        <f>IF(B64="","",IF(COUNTIFS('Recipe Ingredients'!$D$5:$D$1204,B64,'Recipe Ingredients'!$Y$5:$Y$1204,"&gt;0",'Recipe Ingredients'!$I$5:$I$1204,"No")=0,"Yes","No"))</f>
        <v>0</v>
      </c>
      <c r="U64" s="17">
        <f>IF(B64="","",IFERROR(INDEX(Ingredients!$W$5:$W$304,MATCH(B64,Ingredients!$B$5:$B$304,0)),"Add to Ingredients"))</f>
        <v>0</v>
      </c>
      <c r="Z64" s="31">
        <f>IF(B64="","",IF(V64="Yes","Bought",IF(I64=0,"In stock",IF(O64="","Check - no price","On the list"))))</f>
        <v>0</v>
      </c>
    </row>
    <row r="65" spans="1:26">
      <c r="A65" s="18">
        <f>ROW()-4</f>
        <v>0</v>
      </c>
      <c r="B65" s="17">
        <f>IFERROR(INDEX(Ingredients!$B$5:$B$304,MATCH(A65,Ingredients!$AL$5:$AL$304,0)),"")</f>
        <v>0</v>
      </c>
      <c r="C65" s="17">
        <f>IF(B65="","",IFERROR(INDEX(Ingredients!$C$5:$C$304,MATCH(B65,Ingredients!$B$5:$B$304,0)),"Add to Ingredients"))</f>
        <v>0</v>
      </c>
      <c r="D65" s="17">
        <f>IF(B65="","",IFERROR(INDEX(Ingredients!$D$5:$D$304,MATCH(B65,Ingredients!$B$5:$B$304,0)),"Add to Ingredients"))</f>
        <v>0</v>
      </c>
      <c r="E65" s="17">
        <f>IF(B65="","",IFERROR(INDEX(Ingredients!$E$5:$E$304,MATCH(B65,Ingredients!$B$5:$B$304,0)),"Add to Ingredients"))</f>
        <v>0</v>
      </c>
      <c r="F65" s="45">
        <f>IF(B65="","",IFERROR(INDEX(Ingredients!$AG$5:$AG$304,MATCH(B65,Ingredients!$B$5:$B$304,0)),""))</f>
        <v>0</v>
      </c>
      <c r="G65" s="17">
        <f>IF(B65="","",IFERROR(INDEX(Ingredients!$G$5:$G$304,MATCH(B65,Ingredients!$B$5:$B$304,0)),"Add to Ingredients"))</f>
        <v>0</v>
      </c>
      <c r="H65" s="45">
        <f>IF(B65="","",IFERROR(INDEX(Ingredients!$AD$5:$AD$304,MATCH(B65,Ingredients!$B$5:$B$304,0)),0))</f>
        <v>0</v>
      </c>
      <c r="I65" s="45">
        <f>IF(F65="","",MAX(0,F65-IF(H65="",0,H65)))</f>
        <v>0</v>
      </c>
      <c r="J65" s="45">
        <f>IF(B65="","",IFERROR(INDEX(Ingredients!$H$5:$H$304,MATCH(B65,Ingredients!$B$5:$B$304,0)),"Add to Ingredients"))</f>
        <v>0</v>
      </c>
      <c r="K65" s="25">
        <f>IF(B65="","",IFERROR(INDEX(Ingredients!$I$5:$I$304,MATCH(B65,Ingredients!$B$5:$B$304,0)),"Add to Ingredients"))</f>
        <v>0</v>
      </c>
      <c r="L65" s="25">
        <f>IF(B65="","",IFERROR(INDEX(Ingredients!$J$5:$J$304,MATCH(B65,Ingredients!$B$5:$B$304,0)),"Add to Ingredients"))</f>
        <v>0</v>
      </c>
      <c r="M65" s="45">
        <f>IF(OR(I65="",I65=0),"",IF(OR(J65="",NOT(ISNUMBER(J65)),J65=0),"",ROUNDUP(I65/J65,0)))</f>
        <v>0</v>
      </c>
      <c r="N65" s="45">
        <f>IF(I65="","",IF(RoundingRule="Exact quantity",I65,IF(M65="",I65,M65*J65)))</f>
        <v>0</v>
      </c>
      <c r="O65" s="25">
        <f>IF(N65="","",IF(RoundingRule="Exact quantity",IF(L65="","",N65*L65),IF(OR(M65="",K65=""),"",M65*K65)))</f>
        <v>0</v>
      </c>
      <c r="P65" s="25">
        <f>IF(B65="","",SUM(O$5:O65))</f>
        <v>0</v>
      </c>
      <c r="Q65" s="45">
        <f>IF(V65="Yes",0,IF(N65="",0,N65))</f>
        <v>0</v>
      </c>
      <c r="R65" s="18">
        <f>IF(OR(B65="",I65=0,I65=""),"",COUNTIFS($I$5:I65,"&gt;0"))</f>
        <v>0</v>
      </c>
      <c r="S65" s="18">
        <f>IF(B65="","",COUNTIFS('Recipe Ingredients'!$D$5:$D$1204,B65,'Recipe Ingredients'!$Y$5:$Y$1204,"&gt;0"))</f>
        <v>0</v>
      </c>
      <c r="T65" s="46">
        <f>IF(B65="","",IF(COUNTIFS('Recipe Ingredients'!$D$5:$D$1204,B65,'Recipe Ingredients'!$Y$5:$Y$1204,"&gt;0",'Recipe Ingredients'!$I$5:$I$1204,"No")=0,"Yes","No"))</f>
        <v>0</v>
      </c>
      <c r="U65" s="17">
        <f>IF(B65="","",IFERROR(INDEX(Ingredients!$W$5:$W$304,MATCH(B65,Ingredients!$B$5:$B$304,0)),"Add to Ingredients"))</f>
        <v>0</v>
      </c>
      <c r="Z65" s="31">
        <f>IF(B65="","",IF(V65="Yes","Bought",IF(I65=0,"In stock",IF(O65="","Check - no price","On the list"))))</f>
        <v>0</v>
      </c>
    </row>
    <row r="66" spans="1:26">
      <c r="A66" s="18">
        <f>ROW()-4</f>
        <v>0</v>
      </c>
      <c r="B66" s="17">
        <f>IFERROR(INDEX(Ingredients!$B$5:$B$304,MATCH(A66,Ingredients!$AL$5:$AL$304,0)),"")</f>
        <v>0</v>
      </c>
      <c r="C66" s="17">
        <f>IF(B66="","",IFERROR(INDEX(Ingredients!$C$5:$C$304,MATCH(B66,Ingredients!$B$5:$B$304,0)),"Add to Ingredients"))</f>
        <v>0</v>
      </c>
      <c r="D66" s="17">
        <f>IF(B66="","",IFERROR(INDEX(Ingredients!$D$5:$D$304,MATCH(B66,Ingredients!$B$5:$B$304,0)),"Add to Ingredients"))</f>
        <v>0</v>
      </c>
      <c r="E66" s="17">
        <f>IF(B66="","",IFERROR(INDEX(Ingredients!$E$5:$E$304,MATCH(B66,Ingredients!$B$5:$B$304,0)),"Add to Ingredients"))</f>
        <v>0</v>
      </c>
      <c r="F66" s="45">
        <f>IF(B66="","",IFERROR(INDEX(Ingredients!$AG$5:$AG$304,MATCH(B66,Ingredients!$B$5:$B$304,0)),""))</f>
        <v>0</v>
      </c>
      <c r="G66" s="17">
        <f>IF(B66="","",IFERROR(INDEX(Ingredients!$G$5:$G$304,MATCH(B66,Ingredients!$B$5:$B$304,0)),"Add to Ingredients"))</f>
        <v>0</v>
      </c>
      <c r="H66" s="45">
        <f>IF(B66="","",IFERROR(INDEX(Ingredients!$AD$5:$AD$304,MATCH(B66,Ingredients!$B$5:$B$304,0)),0))</f>
        <v>0</v>
      </c>
      <c r="I66" s="45">
        <f>IF(F66="","",MAX(0,F66-IF(H66="",0,H66)))</f>
        <v>0</v>
      </c>
      <c r="J66" s="45">
        <f>IF(B66="","",IFERROR(INDEX(Ingredients!$H$5:$H$304,MATCH(B66,Ingredients!$B$5:$B$304,0)),"Add to Ingredients"))</f>
        <v>0</v>
      </c>
      <c r="K66" s="25">
        <f>IF(B66="","",IFERROR(INDEX(Ingredients!$I$5:$I$304,MATCH(B66,Ingredients!$B$5:$B$304,0)),"Add to Ingredients"))</f>
        <v>0</v>
      </c>
      <c r="L66" s="25">
        <f>IF(B66="","",IFERROR(INDEX(Ingredients!$J$5:$J$304,MATCH(B66,Ingredients!$B$5:$B$304,0)),"Add to Ingredients"))</f>
        <v>0</v>
      </c>
      <c r="M66" s="45">
        <f>IF(OR(I66="",I66=0),"",IF(OR(J66="",NOT(ISNUMBER(J66)),J66=0),"",ROUNDUP(I66/J66,0)))</f>
        <v>0</v>
      </c>
      <c r="N66" s="45">
        <f>IF(I66="","",IF(RoundingRule="Exact quantity",I66,IF(M66="",I66,M66*J66)))</f>
        <v>0</v>
      </c>
      <c r="O66" s="25">
        <f>IF(N66="","",IF(RoundingRule="Exact quantity",IF(L66="","",N66*L66),IF(OR(M66="",K66=""),"",M66*K66)))</f>
        <v>0</v>
      </c>
      <c r="P66" s="25">
        <f>IF(B66="","",SUM(O$5:O66))</f>
        <v>0</v>
      </c>
      <c r="Q66" s="45">
        <f>IF(V66="Yes",0,IF(N66="",0,N66))</f>
        <v>0</v>
      </c>
      <c r="R66" s="18">
        <f>IF(OR(B66="",I66=0,I66=""),"",COUNTIFS($I$5:I66,"&gt;0"))</f>
        <v>0</v>
      </c>
      <c r="S66" s="18">
        <f>IF(B66="","",COUNTIFS('Recipe Ingredients'!$D$5:$D$1204,B66,'Recipe Ingredients'!$Y$5:$Y$1204,"&gt;0"))</f>
        <v>0</v>
      </c>
      <c r="T66" s="46">
        <f>IF(B66="","",IF(COUNTIFS('Recipe Ingredients'!$D$5:$D$1204,B66,'Recipe Ingredients'!$Y$5:$Y$1204,"&gt;0",'Recipe Ingredients'!$I$5:$I$1204,"No")=0,"Yes","No"))</f>
        <v>0</v>
      </c>
      <c r="U66" s="17">
        <f>IF(B66="","",IFERROR(INDEX(Ingredients!$W$5:$W$304,MATCH(B66,Ingredients!$B$5:$B$304,0)),"Add to Ingredients"))</f>
        <v>0</v>
      </c>
      <c r="Z66" s="31">
        <f>IF(B66="","",IF(V66="Yes","Bought",IF(I66=0,"In stock",IF(O66="","Check - no price","On the list"))))</f>
        <v>0</v>
      </c>
    </row>
    <row r="67" spans="1:26">
      <c r="A67" s="18">
        <f>ROW()-4</f>
        <v>0</v>
      </c>
      <c r="B67" s="17">
        <f>IFERROR(INDEX(Ingredients!$B$5:$B$304,MATCH(A67,Ingredients!$AL$5:$AL$304,0)),"")</f>
        <v>0</v>
      </c>
      <c r="C67" s="17">
        <f>IF(B67="","",IFERROR(INDEX(Ingredients!$C$5:$C$304,MATCH(B67,Ingredients!$B$5:$B$304,0)),"Add to Ingredients"))</f>
        <v>0</v>
      </c>
      <c r="D67" s="17">
        <f>IF(B67="","",IFERROR(INDEX(Ingredients!$D$5:$D$304,MATCH(B67,Ingredients!$B$5:$B$304,0)),"Add to Ingredients"))</f>
        <v>0</v>
      </c>
      <c r="E67" s="17">
        <f>IF(B67="","",IFERROR(INDEX(Ingredients!$E$5:$E$304,MATCH(B67,Ingredients!$B$5:$B$304,0)),"Add to Ingredients"))</f>
        <v>0</v>
      </c>
      <c r="F67" s="45">
        <f>IF(B67="","",IFERROR(INDEX(Ingredients!$AG$5:$AG$304,MATCH(B67,Ingredients!$B$5:$B$304,0)),""))</f>
        <v>0</v>
      </c>
      <c r="G67" s="17">
        <f>IF(B67="","",IFERROR(INDEX(Ingredients!$G$5:$G$304,MATCH(B67,Ingredients!$B$5:$B$304,0)),"Add to Ingredients"))</f>
        <v>0</v>
      </c>
      <c r="H67" s="45">
        <f>IF(B67="","",IFERROR(INDEX(Ingredients!$AD$5:$AD$304,MATCH(B67,Ingredients!$B$5:$B$304,0)),0))</f>
        <v>0</v>
      </c>
      <c r="I67" s="45">
        <f>IF(F67="","",MAX(0,F67-IF(H67="",0,H67)))</f>
        <v>0</v>
      </c>
      <c r="J67" s="45">
        <f>IF(B67="","",IFERROR(INDEX(Ingredients!$H$5:$H$304,MATCH(B67,Ingredients!$B$5:$B$304,0)),"Add to Ingredients"))</f>
        <v>0</v>
      </c>
      <c r="K67" s="25">
        <f>IF(B67="","",IFERROR(INDEX(Ingredients!$I$5:$I$304,MATCH(B67,Ingredients!$B$5:$B$304,0)),"Add to Ingredients"))</f>
        <v>0</v>
      </c>
      <c r="L67" s="25">
        <f>IF(B67="","",IFERROR(INDEX(Ingredients!$J$5:$J$304,MATCH(B67,Ingredients!$B$5:$B$304,0)),"Add to Ingredients"))</f>
        <v>0</v>
      </c>
      <c r="M67" s="45">
        <f>IF(OR(I67="",I67=0),"",IF(OR(J67="",NOT(ISNUMBER(J67)),J67=0),"",ROUNDUP(I67/J67,0)))</f>
        <v>0</v>
      </c>
      <c r="N67" s="45">
        <f>IF(I67="","",IF(RoundingRule="Exact quantity",I67,IF(M67="",I67,M67*J67)))</f>
        <v>0</v>
      </c>
      <c r="O67" s="25">
        <f>IF(N67="","",IF(RoundingRule="Exact quantity",IF(L67="","",N67*L67),IF(OR(M67="",K67=""),"",M67*K67)))</f>
        <v>0</v>
      </c>
      <c r="P67" s="25">
        <f>IF(B67="","",SUM(O$5:O67))</f>
        <v>0</v>
      </c>
      <c r="Q67" s="45">
        <f>IF(V67="Yes",0,IF(N67="",0,N67))</f>
        <v>0</v>
      </c>
      <c r="R67" s="18">
        <f>IF(OR(B67="",I67=0,I67=""),"",COUNTIFS($I$5:I67,"&gt;0"))</f>
        <v>0</v>
      </c>
      <c r="S67" s="18">
        <f>IF(B67="","",COUNTIFS('Recipe Ingredients'!$D$5:$D$1204,B67,'Recipe Ingredients'!$Y$5:$Y$1204,"&gt;0"))</f>
        <v>0</v>
      </c>
      <c r="T67" s="46">
        <f>IF(B67="","",IF(COUNTIFS('Recipe Ingredients'!$D$5:$D$1204,B67,'Recipe Ingredients'!$Y$5:$Y$1204,"&gt;0",'Recipe Ingredients'!$I$5:$I$1204,"No")=0,"Yes","No"))</f>
        <v>0</v>
      </c>
      <c r="U67" s="17">
        <f>IF(B67="","",IFERROR(INDEX(Ingredients!$W$5:$W$304,MATCH(B67,Ingredients!$B$5:$B$304,0)),"Add to Ingredients"))</f>
        <v>0</v>
      </c>
      <c r="Z67" s="31">
        <f>IF(B67="","",IF(V67="Yes","Bought",IF(I67=0,"In stock",IF(O67="","Check - no price","On the list"))))</f>
        <v>0</v>
      </c>
    </row>
    <row r="68" spans="1:26">
      <c r="A68" s="18">
        <f>ROW()-4</f>
        <v>0</v>
      </c>
      <c r="B68" s="17">
        <f>IFERROR(INDEX(Ingredients!$B$5:$B$304,MATCH(A68,Ingredients!$AL$5:$AL$304,0)),"")</f>
        <v>0</v>
      </c>
      <c r="C68" s="17">
        <f>IF(B68="","",IFERROR(INDEX(Ingredients!$C$5:$C$304,MATCH(B68,Ingredients!$B$5:$B$304,0)),"Add to Ingredients"))</f>
        <v>0</v>
      </c>
      <c r="D68" s="17">
        <f>IF(B68="","",IFERROR(INDEX(Ingredients!$D$5:$D$304,MATCH(B68,Ingredients!$B$5:$B$304,0)),"Add to Ingredients"))</f>
        <v>0</v>
      </c>
      <c r="E68" s="17">
        <f>IF(B68="","",IFERROR(INDEX(Ingredients!$E$5:$E$304,MATCH(B68,Ingredients!$B$5:$B$304,0)),"Add to Ingredients"))</f>
        <v>0</v>
      </c>
      <c r="F68" s="45">
        <f>IF(B68="","",IFERROR(INDEX(Ingredients!$AG$5:$AG$304,MATCH(B68,Ingredients!$B$5:$B$304,0)),""))</f>
        <v>0</v>
      </c>
      <c r="G68" s="17">
        <f>IF(B68="","",IFERROR(INDEX(Ingredients!$G$5:$G$304,MATCH(B68,Ingredients!$B$5:$B$304,0)),"Add to Ingredients"))</f>
        <v>0</v>
      </c>
      <c r="H68" s="45">
        <f>IF(B68="","",IFERROR(INDEX(Ingredients!$AD$5:$AD$304,MATCH(B68,Ingredients!$B$5:$B$304,0)),0))</f>
        <v>0</v>
      </c>
      <c r="I68" s="45">
        <f>IF(F68="","",MAX(0,F68-IF(H68="",0,H68)))</f>
        <v>0</v>
      </c>
      <c r="J68" s="45">
        <f>IF(B68="","",IFERROR(INDEX(Ingredients!$H$5:$H$304,MATCH(B68,Ingredients!$B$5:$B$304,0)),"Add to Ingredients"))</f>
        <v>0</v>
      </c>
      <c r="K68" s="25">
        <f>IF(B68="","",IFERROR(INDEX(Ingredients!$I$5:$I$304,MATCH(B68,Ingredients!$B$5:$B$304,0)),"Add to Ingredients"))</f>
        <v>0</v>
      </c>
      <c r="L68" s="25">
        <f>IF(B68="","",IFERROR(INDEX(Ingredients!$J$5:$J$304,MATCH(B68,Ingredients!$B$5:$B$304,0)),"Add to Ingredients"))</f>
        <v>0</v>
      </c>
      <c r="M68" s="45">
        <f>IF(OR(I68="",I68=0),"",IF(OR(J68="",NOT(ISNUMBER(J68)),J68=0),"",ROUNDUP(I68/J68,0)))</f>
        <v>0</v>
      </c>
      <c r="N68" s="45">
        <f>IF(I68="","",IF(RoundingRule="Exact quantity",I68,IF(M68="",I68,M68*J68)))</f>
        <v>0</v>
      </c>
      <c r="O68" s="25">
        <f>IF(N68="","",IF(RoundingRule="Exact quantity",IF(L68="","",N68*L68),IF(OR(M68="",K68=""),"",M68*K68)))</f>
        <v>0</v>
      </c>
      <c r="P68" s="25">
        <f>IF(B68="","",SUM(O$5:O68))</f>
        <v>0</v>
      </c>
      <c r="Q68" s="45">
        <f>IF(V68="Yes",0,IF(N68="",0,N68))</f>
        <v>0</v>
      </c>
      <c r="R68" s="18">
        <f>IF(OR(B68="",I68=0,I68=""),"",COUNTIFS($I$5:I68,"&gt;0"))</f>
        <v>0</v>
      </c>
      <c r="S68" s="18">
        <f>IF(B68="","",COUNTIFS('Recipe Ingredients'!$D$5:$D$1204,B68,'Recipe Ingredients'!$Y$5:$Y$1204,"&gt;0"))</f>
        <v>0</v>
      </c>
      <c r="T68" s="46">
        <f>IF(B68="","",IF(COUNTIFS('Recipe Ingredients'!$D$5:$D$1204,B68,'Recipe Ingredients'!$Y$5:$Y$1204,"&gt;0",'Recipe Ingredients'!$I$5:$I$1204,"No")=0,"Yes","No"))</f>
        <v>0</v>
      </c>
      <c r="U68" s="17">
        <f>IF(B68="","",IFERROR(INDEX(Ingredients!$W$5:$W$304,MATCH(B68,Ingredients!$B$5:$B$304,0)),"Add to Ingredients"))</f>
        <v>0</v>
      </c>
      <c r="Z68" s="31">
        <f>IF(B68="","",IF(V68="Yes","Bought",IF(I68=0,"In stock",IF(O68="","Check - no price","On the list"))))</f>
        <v>0</v>
      </c>
    </row>
    <row r="69" spans="1:26">
      <c r="A69" s="18">
        <f>ROW()-4</f>
        <v>0</v>
      </c>
      <c r="B69" s="17">
        <f>IFERROR(INDEX(Ingredients!$B$5:$B$304,MATCH(A69,Ingredients!$AL$5:$AL$304,0)),"")</f>
        <v>0</v>
      </c>
      <c r="C69" s="17">
        <f>IF(B69="","",IFERROR(INDEX(Ingredients!$C$5:$C$304,MATCH(B69,Ingredients!$B$5:$B$304,0)),"Add to Ingredients"))</f>
        <v>0</v>
      </c>
      <c r="D69" s="17">
        <f>IF(B69="","",IFERROR(INDEX(Ingredients!$D$5:$D$304,MATCH(B69,Ingredients!$B$5:$B$304,0)),"Add to Ingredients"))</f>
        <v>0</v>
      </c>
      <c r="E69" s="17">
        <f>IF(B69="","",IFERROR(INDEX(Ingredients!$E$5:$E$304,MATCH(B69,Ingredients!$B$5:$B$304,0)),"Add to Ingredients"))</f>
        <v>0</v>
      </c>
      <c r="F69" s="45">
        <f>IF(B69="","",IFERROR(INDEX(Ingredients!$AG$5:$AG$304,MATCH(B69,Ingredients!$B$5:$B$304,0)),""))</f>
        <v>0</v>
      </c>
      <c r="G69" s="17">
        <f>IF(B69="","",IFERROR(INDEX(Ingredients!$G$5:$G$304,MATCH(B69,Ingredients!$B$5:$B$304,0)),"Add to Ingredients"))</f>
        <v>0</v>
      </c>
      <c r="H69" s="45">
        <f>IF(B69="","",IFERROR(INDEX(Ingredients!$AD$5:$AD$304,MATCH(B69,Ingredients!$B$5:$B$304,0)),0))</f>
        <v>0</v>
      </c>
      <c r="I69" s="45">
        <f>IF(F69="","",MAX(0,F69-IF(H69="",0,H69)))</f>
        <v>0</v>
      </c>
      <c r="J69" s="45">
        <f>IF(B69="","",IFERROR(INDEX(Ingredients!$H$5:$H$304,MATCH(B69,Ingredients!$B$5:$B$304,0)),"Add to Ingredients"))</f>
        <v>0</v>
      </c>
      <c r="K69" s="25">
        <f>IF(B69="","",IFERROR(INDEX(Ingredients!$I$5:$I$304,MATCH(B69,Ingredients!$B$5:$B$304,0)),"Add to Ingredients"))</f>
        <v>0</v>
      </c>
      <c r="L69" s="25">
        <f>IF(B69="","",IFERROR(INDEX(Ingredients!$J$5:$J$304,MATCH(B69,Ingredients!$B$5:$B$304,0)),"Add to Ingredients"))</f>
        <v>0</v>
      </c>
      <c r="M69" s="45">
        <f>IF(OR(I69="",I69=0),"",IF(OR(J69="",NOT(ISNUMBER(J69)),J69=0),"",ROUNDUP(I69/J69,0)))</f>
        <v>0</v>
      </c>
      <c r="N69" s="45">
        <f>IF(I69="","",IF(RoundingRule="Exact quantity",I69,IF(M69="",I69,M69*J69)))</f>
        <v>0</v>
      </c>
      <c r="O69" s="25">
        <f>IF(N69="","",IF(RoundingRule="Exact quantity",IF(L69="","",N69*L69),IF(OR(M69="",K69=""),"",M69*K69)))</f>
        <v>0</v>
      </c>
      <c r="P69" s="25">
        <f>IF(B69="","",SUM(O$5:O69))</f>
        <v>0</v>
      </c>
      <c r="Q69" s="45">
        <f>IF(V69="Yes",0,IF(N69="",0,N69))</f>
        <v>0</v>
      </c>
      <c r="R69" s="18">
        <f>IF(OR(B69="",I69=0,I69=""),"",COUNTIFS($I$5:I69,"&gt;0"))</f>
        <v>0</v>
      </c>
      <c r="S69" s="18">
        <f>IF(B69="","",COUNTIFS('Recipe Ingredients'!$D$5:$D$1204,B69,'Recipe Ingredients'!$Y$5:$Y$1204,"&gt;0"))</f>
        <v>0</v>
      </c>
      <c r="T69" s="46">
        <f>IF(B69="","",IF(COUNTIFS('Recipe Ingredients'!$D$5:$D$1204,B69,'Recipe Ingredients'!$Y$5:$Y$1204,"&gt;0",'Recipe Ingredients'!$I$5:$I$1204,"No")=0,"Yes","No"))</f>
        <v>0</v>
      </c>
      <c r="U69" s="17">
        <f>IF(B69="","",IFERROR(INDEX(Ingredients!$W$5:$W$304,MATCH(B69,Ingredients!$B$5:$B$304,0)),"Add to Ingredients"))</f>
        <v>0</v>
      </c>
      <c r="Z69" s="31">
        <f>IF(B69="","",IF(V69="Yes","Bought",IF(I69=0,"In stock",IF(O69="","Check - no price","On the list"))))</f>
        <v>0</v>
      </c>
    </row>
    <row r="70" spans="1:26">
      <c r="A70" s="18">
        <f>ROW()-4</f>
        <v>0</v>
      </c>
      <c r="B70" s="17">
        <f>IFERROR(INDEX(Ingredients!$B$5:$B$304,MATCH(A70,Ingredients!$AL$5:$AL$304,0)),"")</f>
        <v>0</v>
      </c>
      <c r="C70" s="17">
        <f>IF(B70="","",IFERROR(INDEX(Ingredients!$C$5:$C$304,MATCH(B70,Ingredients!$B$5:$B$304,0)),"Add to Ingredients"))</f>
        <v>0</v>
      </c>
      <c r="D70" s="17">
        <f>IF(B70="","",IFERROR(INDEX(Ingredients!$D$5:$D$304,MATCH(B70,Ingredients!$B$5:$B$304,0)),"Add to Ingredients"))</f>
        <v>0</v>
      </c>
      <c r="E70" s="17">
        <f>IF(B70="","",IFERROR(INDEX(Ingredients!$E$5:$E$304,MATCH(B70,Ingredients!$B$5:$B$304,0)),"Add to Ingredients"))</f>
        <v>0</v>
      </c>
      <c r="F70" s="45">
        <f>IF(B70="","",IFERROR(INDEX(Ingredients!$AG$5:$AG$304,MATCH(B70,Ingredients!$B$5:$B$304,0)),""))</f>
        <v>0</v>
      </c>
      <c r="G70" s="17">
        <f>IF(B70="","",IFERROR(INDEX(Ingredients!$G$5:$G$304,MATCH(B70,Ingredients!$B$5:$B$304,0)),"Add to Ingredients"))</f>
        <v>0</v>
      </c>
      <c r="H70" s="45">
        <f>IF(B70="","",IFERROR(INDEX(Ingredients!$AD$5:$AD$304,MATCH(B70,Ingredients!$B$5:$B$304,0)),0))</f>
        <v>0</v>
      </c>
      <c r="I70" s="45">
        <f>IF(F70="","",MAX(0,F70-IF(H70="",0,H70)))</f>
        <v>0</v>
      </c>
      <c r="J70" s="45">
        <f>IF(B70="","",IFERROR(INDEX(Ingredients!$H$5:$H$304,MATCH(B70,Ingredients!$B$5:$B$304,0)),"Add to Ingredients"))</f>
        <v>0</v>
      </c>
      <c r="K70" s="25">
        <f>IF(B70="","",IFERROR(INDEX(Ingredients!$I$5:$I$304,MATCH(B70,Ingredients!$B$5:$B$304,0)),"Add to Ingredients"))</f>
        <v>0</v>
      </c>
      <c r="L70" s="25">
        <f>IF(B70="","",IFERROR(INDEX(Ingredients!$J$5:$J$304,MATCH(B70,Ingredients!$B$5:$B$304,0)),"Add to Ingredients"))</f>
        <v>0</v>
      </c>
      <c r="M70" s="45">
        <f>IF(OR(I70="",I70=0),"",IF(OR(J70="",NOT(ISNUMBER(J70)),J70=0),"",ROUNDUP(I70/J70,0)))</f>
        <v>0</v>
      </c>
      <c r="N70" s="45">
        <f>IF(I70="","",IF(RoundingRule="Exact quantity",I70,IF(M70="",I70,M70*J70)))</f>
        <v>0</v>
      </c>
      <c r="O70" s="25">
        <f>IF(N70="","",IF(RoundingRule="Exact quantity",IF(L70="","",N70*L70),IF(OR(M70="",K70=""),"",M70*K70)))</f>
        <v>0</v>
      </c>
      <c r="P70" s="25">
        <f>IF(B70="","",SUM(O$5:O70))</f>
        <v>0</v>
      </c>
      <c r="Q70" s="45">
        <f>IF(V70="Yes",0,IF(N70="",0,N70))</f>
        <v>0</v>
      </c>
      <c r="R70" s="18">
        <f>IF(OR(B70="",I70=0,I70=""),"",COUNTIFS($I$5:I70,"&gt;0"))</f>
        <v>0</v>
      </c>
      <c r="S70" s="18">
        <f>IF(B70="","",COUNTIFS('Recipe Ingredients'!$D$5:$D$1204,B70,'Recipe Ingredients'!$Y$5:$Y$1204,"&gt;0"))</f>
        <v>0</v>
      </c>
      <c r="T70" s="46">
        <f>IF(B70="","",IF(COUNTIFS('Recipe Ingredients'!$D$5:$D$1204,B70,'Recipe Ingredients'!$Y$5:$Y$1204,"&gt;0",'Recipe Ingredients'!$I$5:$I$1204,"No")=0,"Yes","No"))</f>
        <v>0</v>
      </c>
      <c r="U70" s="17">
        <f>IF(B70="","",IFERROR(INDEX(Ingredients!$W$5:$W$304,MATCH(B70,Ingredients!$B$5:$B$304,0)),"Add to Ingredients"))</f>
        <v>0</v>
      </c>
      <c r="Z70" s="31">
        <f>IF(B70="","",IF(V70="Yes","Bought",IF(I70=0,"In stock",IF(O70="","Check - no price","On the list"))))</f>
        <v>0</v>
      </c>
    </row>
    <row r="71" spans="1:26">
      <c r="A71" s="18">
        <f>ROW()-4</f>
        <v>0</v>
      </c>
      <c r="B71" s="17">
        <f>IFERROR(INDEX(Ingredients!$B$5:$B$304,MATCH(A71,Ingredients!$AL$5:$AL$304,0)),"")</f>
        <v>0</v>
      </c>
      <c r="C71" s="17">
        <f>IF(B71="","",IFERROR(INDEX(Ingredients!$C$5:$C$304,MATCH(B71,Ingredients!$B$5:$B$304,0)),"Add to Ingredients"))</f>
        <v>0</v>
      </c>
      <c r="D71" s="17">
        <f>IF(B71="","",IFERROR(INDEX(Ingredients!$D$5:$D$304,MATCH(B71,Ingredients!$B$5:$B$304,0)),"Add to Ingredients"))</f>
        <v>0</v>
      </c>
      <c r="E71" s="17">
        <f>IF(B71="","",IFERROR(INDEX(Ingredients!$E$5:$E$304,MATCH(B71,Ingredients!$B$5:$B$304,0)),"Add to Ingredients"))</f>
        <v>0</v>
      </c>
      <c r="F71" s="45">
        <f>IF(B71="","",IFERROR(INDEX(Ingredients!$AG$5:$AG$304,MATCH(B71,Ingredients!$B$5:$B$304,0)),""))</f>
        <v>0</v>
      </c>
      <c r="G71" s="17">
        <f>IF(B71="","",IFERROR(INDEX(Ingredients!$G$5:$G$304,MATCH(B71,Ingredients!$B$5:$B$304,0)),"Add to Ingredients"))</f>
        <v>0</v>
      </c>
      <c r="H71" s="45">
        <f>IF(B71="","",IFERROR(INDEX(Ingredients!$AD$5:$AD$304,MATCH(B71,Ingredients!$B$5:$B$304,0)),0))</f>
        <v>0</v>
      </c>
      <c r="I71" s="45">
        <f>IF(F71="","",MAX(0,F71-IF(H71="",0,H71)))</f>
        <v>0</v>
      </c>
      <c r="J71" s="45">
        <f>IF(B71="","",IFERROR(INDEX(Ingredients!$H$5:$H$304,MATCH(B71,Ingredients!$B$5:$B$304,0)),"Add to Ingredients"))</f>
        <v>0</v>
      </c>
      <c r="K71" s="25">
        <f>IF(B71="","",IFERROR(INDEX(Ingredients!$I$5:$I$304,MATCH(B71,Ingredients!$B$5:$B$304,0)),"Add to Ingredients"))</f>
        <v>0</v>
      </c>
      <c r="L71" s="25">
        <f>IF(B71="","",IFERROR(INDEX(Ingredients!$J$5:$J$304,MATCH(B71,Ingredients!$B$5:$B$304,0)),"Add to Ingredients"))</f>
        <v>0</v>
      </c>
      <c r="M71" s="45">
        <f>IF(OR(I71="",I71=0),"",IF(OR(J71="",NOT(ISNUMBER(J71)),J71=0),"",ROUNDUP(I71/J71,0)))</f>
        <v>0</v>
      </c>
      <c r="N71" s="45">
        <f>IF(I71="","",IF(RoundingRule="Exact quantity",I71,IF(M71="",I71,M71*J71)))</f>
        <v>0</v>
      </c>
      <c r="O71" s="25">
        <f>IF(N71="","",IF(RoundingRule="Exact quantity",IF(L71="","",N71*L71),IF(OR(M71="",K71=""),"",M71*K71)))</f>
        <v>0</v>
      </c>
      <c r="P71" s="25">
        <f>IF(B71="","",SUM(O$5:O71))</f>
        <v>0</v>
      </c>
      <c r="Q71" s="45">
        <f>IF(V71="Yes",0,IF(N71="",0,N71))</f>
        <v>0</v>
      </c>
      <c r="R71" s="18">
        <f>IF(OR(B71="",I71=0,I71=""),"",COUNTIFS($I$5:I71,"&gt;0"))</f>
        <v>0</v>
      </c>
      <c r="S71" s="18">
        <f>IF(B71="","",COUNTIFS('Recipe Ingredients'!$D$5:$D$1204,B71,'Recipe Ingredients'!$Y$5:$Y$1204,"&gt;0"))</f>
        <v>0</v>
      </c>
      <c r="T71" s="46">
        <f>IF(B71="","",IF(COUNTIFS('Recipe Ingredients'!$D$5:$D$1204,B71,'Recipe Ingredients'!$Y$5:$Y$1204,"&gt;0",'Recipe Ingredients'!$I$5:$I$1204,"No")=0,"Yes","No"))</f>
        <v>0</v>
      </c>
      <c r="U71" s="17">
        <f>IF(B71="","",IFERROR(INDEX(Ingredients!$W$5:$W$304,MATCH(B71,Ingredients!$B$5:$B$304,0)),"Add to Ingredients"))</f>
        <v>0</v>
      </c>
      <c r="Z71" s="31">
        <f>IF(B71="","",IF(V71="Yes","Bought",IF(I71=0,"In stock",IF(O71="","Check - no price","On the list"))))</f>
        <v>0</v>
      </c>
    </row>
    <row r="72" spans="1:26">
      <c r="A72" s="18">
        <f>ROW()-4</f>
        <v>0</v>
      </c>
      <c r="B72" s="17">
        <f>IFERROR(INDEX(Ingredients!$B$5:$B$304,MATCH(A72,Ingredients!$AL$5:$AL$304,0)),"")</f>
        <v>0</v>
      </c>
      <c r="C72" s="17">
        <f>IF(B72="","",IFERROR(INDEX(Ingredients!$C$5:$C$304,MATCH(B72,Ingredients!$B$5:$B$304,0)),"Add to Ingredients"))</f>
        <v>0</v>
      </c>
      <c r="D72" s="17">
        <f>IF(B72="","",IFERROR(INDEX(Ingredients!$D$5:$D$304,MATCH(B72,Ingredients!$B$5:$B$304,0)),"Add to Ingredients"))</f>
        <v>0</v>
      </c>
      <c r="E72" s="17">
        <f>IF(B72="","",IFERROR(INDEX(Ingredients!$E$5:$E$304,MATCH(B72,Ingredients!$B$5:$B$304,0)),"Add to Ingredients"))</f>
        <v>0</v>
      </c>
      <c r="F72" s="45">
        <f>IF(B72="","",IFERROR(INDEX(Ingredients!$AG$5:$AG$304,MATCH(B72,Ingredients!$B$5:$B$304,0)),""))</f>
        <v>0</v>
      </c>
      <c r="G72" s="17">
        <f>IF(B72="","",IFERROR(INDEX(Ingredients!$G$5:$G$304,MATCH(B72,Ingredients!$B$5:$B$304,0)),"Add to Ingredients"))</f>
        <v>0</v>
      </c>
      <c r="H72" s="45">
        <f>IF(B72="","",IFERROR(INDEX(Ingredients!$AD$5:$AD$304,MATCH(B72,Ingredients!$B$5:$B$304,0)),0))</f>
        <v>0</v>
      </c>
      <c r="I72" s="45">
        <f>IF(F72="","",MAX(0,F72-IF(H72="",0,H72)))</f>
        <v>0</v>
      </c>
      <c r="J72" s="45">
        <f>IF(B72="","",IFERROR(INDEX(Ingredients!$H$5:$H$304,MATCH(B72,Ingredients!$B$5:$B$304,0)),"Add to Ingredients"))</f>
        <v>0</v>
      </c>
      <c r="K72" s="25">
        <f>IF(B72="","",IFERROR(INDEX(Ingredients!$I$5:$I$304,MATCH(B72,Ingredients!$B$5:$B$304,0)),"Add to Ingredients"))</f>
        <v>0</v>
      </c>
      <c r="L72" s="25">
        <f>IF(B72="","",IFERROR(INDEX(Ingredients!$J$5:$J$304,MATCH(B72,Ingredients!$B$5:$B$304,0)),"Add to Ingredients"))</f>
        <v>0</v>
      </c>
      <c r="M72" s="45">
        <f>IF(OR(I72="",I72=0),"",IF(OR(J72="",NOT(ISNUMBER(J72)),J72=0),"",ROUNDUP(I72/J72,0)))</f>
        <v>0</v>
      </c>
      <c r="N72" s="45">
        <f>IF(I72="","",IF(RoundingRule="Exact quantity",I72,IF(M72="",I72,M72*J72)))</f>
        <v>0</v>
      </c>
      <c r="O72" s="25">
        <f>IF(N72="","",IF(RoundingRule="Exact quantity",IF(L72="","",N72*L72),IF(OR(M72="",K72=""),"",M72*K72)))</f>
        <v>0</v>
      </c>
      <c r="P72" s="25">
        <f>IF(B72="","",SUM(O$5:O72))</f>
        <v>0</v>
      </c>
      <c r="Q72" s="45">
        <f>IF(V72="Yes",0,IF(N72="",0,N72))</f>
        <v>0</v>
      </c>
      <c r="R72" s="18">
        <f>IF(OR(B72="",I72=0,I72=""),"",COUNTIFS($I$5:I72,"&gt;0"))</f>
        <v>0</v>
      </c>
      <c r="S72" s="18">
        <f>IF(B72="","",COUNTIFS('Recipe Ingredients'!$D$5:$D$1204,B72,'Recipe Ingredients'!$Y$5:$Y$1204,"&gt;0"))</f>
        <v>0</v>
      </c>
      <c r="T72" s="46">
        <f>IF(B72="","",IF(COUNTIFS('Recipe Ingredients'!$D$5:$D$1204,B72,'Recipe Ingredients'!$Y$5:$Y$1204,"&gt;0",'Recipe Ingredients'!$I$5:$I$1204,"No")=0,"Yes","No"))</f>
        <v>0</v>
      </c>
      <c r="U72" s="17">
        <f>IF(B72="","",IFERROR(INDEX(Ingredients!$W$5:$W$304,MATCH(B72,Ingredients!$B$5:$B$304,0)),"Add to Ingredients"))</f>
        <v>0</v>
      </c>
      <c r="Z72" s="31">
        <f>IF(B72="","",IF(V72="Yes","Bought",IF(I72=0,"In stock",IF(O72="","Check - no price","On the list"))))</f>
        <v>0</v>
      </c>
    </row>
    <row r="73" spans="1:26">
      <c r="A73" s="18">
        <f>ROW()-4</f>
        <v>0</v>
      </c>
      <c r="B73" s="17">
        <f>IFERROR(INDEX(Ingredients!$B$5:$B$304,MATCH(A73,Ingredients!$AL$5:$AL$304,0)),"")</f>
        <v>0</v>
      </c>
      <c r="C73" s="17">
        <f>IF(B73="","",IFERROR(INDEX(Ingredients!$C$5:$C$304,MATCH(B73,Ingredients!$B$5:$B$304,0)),"Add to Ingredients"))</f>
        <v>0</v>
      </c>
      <c r="D73" s="17">
        <f>IF(B73="","",IFERROR(INDEX(Ingredients!$D$5:$D$304,MATCH(B73,Ingredients!$B$5:$B$304,0)),"Add to Ingredients"))</f>
        <v>0</v>
      </c>
      <c r="E73" s="17">
        <f>IF(B73="","",IFERROR(INDEX(Ingredients!$E$5:$E$304,MATCH(B73,Ingredients!$B$5:$B$304,0)),"Add to Ingredients"))</f>
        <v>0</v>
      </c>
      <c r="F73" s="45">
        <f>IF(B73="","",IFERROR(INDEX(Ingredients!$AG$5:$AG$304,MATCH(B73,Ingredients!$B$5:$B$304,0)),""))</f>
        <v>0</v>
      </c>
      <c r="G73" s="17">
        <f>IF(B73="","",IFERROR(INDEX(Ingredients!$G$5:$G$304,MATCH(B73,Ingredients!$B$5:$B$304,0)),"Add to Ingredients"))</f>
        <v>0</v>
      </c>
      <c r="H73" s="45">
        <f>IF(B73="","",IFERROR(INDEX(Ingredients!$AD$5:$AD$304,MATCH(B73,Ingredients!$B$5:$B$304,0)),0))</f>
        <v>0</v>
      </c>
      <c r="I73" s="45">
        <f>IF(F73="","",MAX(0,F73-IF(H73="",0,H73)))</f>
        <v>0</v>
      </c>
      <c r="J73" s="45">
        <f>IF(B73="","",IFERROR(INDEX(Ingredients!$H$5:$H$304,MATCH(B73,Ingredients!$B$5:$B$304,0)),"Add to Ingredients"))</f>
        <v>0</v>
      </c>
      <c r="K73" s="25">
        <f>IF(B73="","",IFERROR(INDEX(Ingredients!$I$5:$I$304,MATCH(B73,Ingredients!$B$5:$B$304,0)),"Add to Ingredients"))</f>
        <v>0</v>
      </c>
      <c r="L73" s="25">
        <f>IF(B73="","",IFERROR(INDEX(Ingredients!$J$5:$J$304,MATCH(B73,Ingredients!$B$5:$B$304,0)),"Add to Ingredients"))</f>
        <v>0</v>
      </c>
      <c r="M73" s="45">
        <f>IF(OR(I73="",I73=0),"",IF(OR(J73="",NOT(ISNUMBER(J73)),J73=0),"",ROUNDUP(I73/J73,0)))</f>
        <v>0</v>
      </c>
      <c r="N73" s="45">
        <f>IF(I73="","",IF(RoundingRule="Exact quantity",I73,IF(M73="",I73,M73*J73)))</f>
        <v>0</v>
      </c>
      <c r="O73" s="25">
        <f>IF(N73="","",IF(RoundingRule="Exact quantity",IF(L73="","",N73*L73),IF(OR(M73="",K73=""),"",M73*K73)))</f>
        <v>0</v>
      </c>
      <c r="P73" s="25">
        <f>IF(B73="","",SUM(O$5:O73))</f>
        <v>0</v>
      </c>
      <c r="Q73" s="45">
        <f>IF(V73="Yes",0,IF(N73="",0,N73))</f>
        <v>0</v>
      </c>
      <c r="R73" s="18">
        <f>IF(OR(B73="",I73=0,I73=""),"",COUNTIFS($I$5:I73,"&gt;0"))</f>
        <v>0</v>
      </c>
      <c r="S73" s="18">
        <f>IF(B73="","",COUNTIFS('Recipe Ingredients'!$D$5:$D$1204,B73,'Recipe Ingredients'!$Y$5:$Y$1204,"&gt;0"))</f>
        <v>0</v>
      </c>
      <c r="T73" s="46">
        <f>IF(B73="","",IF(COUNTIFS('Recipe Ingredients'!$D$5:$D$1204,B73,'Recipe Ingredients'!$Y$5:$Y$1204,"&gt;0",'Recipe Ingredients'!$I$5:$I$1204,"No")=0,"Yes","No"))</f>
        <v>0</v>
      </c>
      <c r="U73" s="17">
        <f>IF(B73="","",IFERROR(INDEX(Ingredients!$W$5:$W$304,MATCH(B73,Ingredients!$B$5:$B$304,0)),"Add to Ingredients"))</f>
        <v>0</v>
      </c>
      <c r="Z73" s="31">
        <f>IF(B73="","",IF(V73="Yes","Bought",IF(I73=0,"In stock",IF(O73="","Check - no price","On the list"))))</f>
        <v>0</v>
      </c>
    </row>
    <row r="74" spans="1:26">
      <c r="A74" s="18">
        <f>ROW()-4</f>
        <v>0</v>
      </c>
      <c r="B74" s="17">
        <f>IFERROR(INDEX(Ingredients!$B$5:$B$304,MATCH(A74,Ingredients!$AL$5:$AL$304,0)),"")</f>
        <v>0</v>
      </c>
      <c r="C74" s="17">
        <f>IF(B74="","",IFERROR(INDEX(Ingredients!$C$5:$C$304,MATCH(B74,Ingredients!$B$5:$B$304,0)),"Add to Ingredients"))</f>
        <v>0</v>
      </c>
      <c r="D74" s="17">
        <f>IF(B74="","",IFERROR(INDEX(Ingredients!$D$5:$D$304,MATCH(B74,Ingredients!$B$5:$B$304,0)),"Add to Ingredients"))</f>
        <v>0</v>
      </c>
      <c r="E74" s="17">
        <f>IF(B74="","",IFERROR(INDEX(Ingredients!$E$5:$E$304,MATCH(B74,Ingredients!$B$5:$B$304,0)),"Add to Ingredients"))</f>
        <v>0</v>
      </c>
      <c r="F74" s="45">
        <f>IF(B74="","",IFERROR(INDEX(Ingredients!$AG$5:$AG$304,MATCH(B74,Ingredients!$B$5:$B$304,0)),""))</f>
        <v>0</v>
      </c>
      <c r="G74" s="17">
        <f>IF(B74="","",IFERROR(INDEX(Ingredients!$G$5:$G$304,MATCH(B74,Ingredients!$B$5:$B$304,0)),"Add to Ingredients"))</f>
        <v>0</v>
      </c>
      <c r="H74" s="45">
        <f>IF(B74="","",IFERROR(INDEX(Ingredients!$AD$5:$AD$304,MATCH(B74,Ingredients!$B$5:$B$304,0)),0))</f>
        <v>0</v>
      </c>
      <c r="I74" s="45">
        <f>IF(F74="","",MAX(0,F74-IF(H74="",0,H74)))</f>
        <v>0</v>
      </c>
      <c r="J74" s="45">
        <f>IF(B74="","",IFERROR(INDEX(Ingredients!$H$5:$H$304,MATCH(B74,Ingredients!$B$5:$B$304,0)),"Add to Ingredients"))</f>
        <v>0</v>
      </c>
      <c r="K74" s="25">
        <f>IF(B74="","",IFERROR(INDEX(Ingredients!$I$5:$I$304,MATCH(B74,Ingredients!$B$5:$B$304,0)),"Add to Ingredients"))</f>
        <v>0</v>
      </c>
      <c r="L74" s="25">
        <f>IF(B74="","",IFERROR(INDEX(Ingredients!$J$5:$J$304,MATCH(B74,Ingredients!$B$5:$B$304,0)),"Add to Ingredients"))</f>
        <v>0</v>
      </c>
      <c r="M74" s="45">
        <f>IF(OR(I74="",I74=0),"",IF(OR(J74="",NOT(ISNUMBER(J74)),J74=0),"",ROUNDUP(I74/J74,0)))</f>
        <v>0</v>
      </c>
      <c r="N74" s="45">
        <f>IF(I74="","",IF(RoundingRule="Exact quantity",I74,IF(M74="",I74,M74*J74)))</f>
        <v>0</v>
      </c>
      <c r="O74" s="25">
        <f>IF(N74="","",IF(RoundingRule="Exact quantity",IF(L74="","",N74*L74),IF(OR(M74="",K74=""),"",M74*K74)))</f>
        <v>0</v>
      </c>
      <c r="P74" s="25">
        <f>IF(B74="","",SUM(O$5:O74))</f>
        <v>0</v>
      </c>
      <c r="Q74" s="45">
        <f>IF(V74="Yes",0,IF(N74="",0,N74))</f>
        <v>0</v>
      </c>
      <c r="R74" s="18">
        <f>IF(OR(B74="",I74=0,I74=""),"",COUNTIFS($I$5:I74,"&gt;0"))</f>
        <v>0</v>
      </c>
      <c r="S74" s="18">
        <f>IF(B74="","",COUNTIFS('Recipe Ingredients'!$D$5:$D$1204,B74,'Recipe Ingredients'!$Y$5:$Y$1204,"&gt;0"))</f>
        <v>0</v>
      </c>
      <c r="T74" s="46">
        <f>IF(B74="","",IF(COUNTIFS('Recipe Ingredients'!$D$5:$D$1204,B74,'Recipe Ingredients'!$Y$5:$Y$1204,"&gt;0",'Recipe Ingredients'!$I$5:$I$1204,"No")=0,"Yes","No"))</f>
        <v>0</v>
      </c>
      <c r="U74" s="17">
        <f>IF(B74="","",IFERROR(INDEX(Ingredients!$W$5:$W$304,MATCH(B74,Ingredients!$B$5:$B$304,0)),"Add to Ingredients"))</f>
        <v>0</v>
      </c>
      <c r="Z74" s="31">
        <f>IF(B74="","",IF(V74="Yes","Bought",IF(I74=0,"In stock",IF(O74="","Check - no price","On the list"))))</f>
        <v>0</v>
      </c>
    </row>
    <row r="75" spans="1:26">
      <c r="A75" s="18">
        <f>ROW()-4</f>
        <v>0</v>
      </c>
      <c r="B75" s="17">
        <f>IFERROR(INDEX(Ingredients!$B$5:$B$304,MATCH(A75,Ingredients!$AL$5:$AL$304,0)),"")</f>
        <v>0</v>
      </c>
      <c r="C75" s="17">
        <f>IF(B75="","",IFERROR(INDEX(Ingredients!$C$5:$C$304,MATCH(B75,Ingredients!$B$5:$B$304,0)),"Add to Ingredients"))</f>
        <v>0</v>
      </c>
      <c r="D75" s="17">
        <f>IF(B75="","",IFERROR(INDEX(Ingredients!$D$5:$D$304,MATCH(B75,Ingredients!$B$5:$B$304,0)),"Add to Ingredients"))</f>
        <v>0</v>
      </c>
      <c r="E75" s="17">
        <f>IF(B75="","",IFERROR(INDEX(Ingredients!$E$5:$E$304,MATCH(B75,Ingredients!$B$5:$B$304,0)),"Add to Ingredients"))</f>
        <v>0</v>
      </c>
      <c r="F75" s="45">
        <f>IF(B75="","",IFERROR(INDEX(Ingredients!$AG$5:$AG$304,MATCH(B75,Ingredients!$B$5:$B$304,0)),""))</f>
        <v>0</v>
      </c>
      <c r="G75" s="17">
        <f>IF(B75="","",IFERROR(INDEX(Ingredients!$G$5:$G$304,MATCH(B75,Ingredients!$B$5:$B$304,0)),"Add to Ingredients"))</f>
        <v>0</v>
      </c>
      <c r="H75" s="45">
        <f>IF(B75="","",IFERROR(INDEX(Ingredients!$AD$5:$AD$304,MATCH(B75,Ingredients!$B$5:$B$304,0)),0))</f>
        <v>0</v>
      </c>
      <c r="I75" s="45">
        <f>IF(F75="","",MAX(0,F75-IF(H75="",0,H75)))</f>
        <v>0</v>
      </c>
      <c r="J75" s="45">
        <f>IF(B75="","",IFERROR(INDEX(Ingredients!$H$5:$H$304,MATCH(B75,Ingredients!$B$5:$B$304,0)),"Add to Ingredients"))</f>
        <v>0</v>
      </c>
      <c r="K75" s="25">
        <f>IF(B75="","",IFERROR(INDEX(Ingredients!$I$5:$I$304,MATCH(B75,Ingredients!$B$5:$B$304,0)),"Add to Ingredients"))</f>
        <v>0</v>
      </c>
      <c r="L75" s="25">
        <f>IF(B75="","",IFERROR(INDEX(Ingredients!$J$5:$J$304,MATCH(B75,Ingredients!$B$5:$B$304,0)),"Add to Ingredients"))</f>
        <v>0</v>
      </c>
      <c r="M75" s="45">
        <f>IF(OR(I75="",I75=0),"",IF(OR(J75="",NOT(ISNUMBER(J75)),J75=0),"",ROUNDUP(I75/J75,0)))</f>
        <v>0</v>
      </c>
      <c r="N75" s="45">
        <f>IF(I75="","",IF(RoundingRule="Exact quantity",I75,IF(M75="",I75,M75*J75)))</f>
        <v>0</v>
      </c>
      <c r="O75" s="25">
        <f>IF(N75="","",IF(RoundingRule="Exact quantity",IF(L75="","",N75*L75),IF(OR(M75="",K75=""),"",M75*K75)))</f>
        <v>0</v>
      </c>
      <c r="P75" s="25">
        <f>IF(B75="","",SUM(O$5:O75))</f>
        <v>0</v>
      </c>
      <c r="Q75" s="45">
        <f>IF(V75="Yes",0,IF(N75="",0,N75))</f>
        <v>0</v>
      </c>
      <c r="R75" s="18">
        <f>IF(OR(B75="",I75=0,I75=""),"",COUNTIFS($I$5:I75,"&gt;0"))</f>
        <v>0</v>
      </c>
      <c r="S75" s="18">
        <f>IF(B75="","",COUNTIFS('Recipe Ingredients'!$D$5:$D$1204,B75,'Recipe Ingredients'!$Y$5:$Y$1204,"&gt;0"))</f>
        <v>0</v>
      </c>
      <c r="T75" s="46">
        <f>IF(B75="","",IF(COUNTIFS('Recipe Ingredients'!$D$5:$D$1204,B75,'Recipe Ingredients'!$Y$5:$Y$1204,"&gt;0",'Recipe Ingredients'!$I$5:$I$1204,"No")=0,"Yes","No"))</f>
        <v>0</v>
      </c>
      <c r="U75" s="17">
        <f>IF(B75="","",IFERROR(INDEX(Ingredients!$W$5:$W$304,MATCH(B75,Ingredients!$B$5:$B$304,0)),"Add to Ingredients"))</f>
        <v>0</v>
      </c>
      <c r="Z75" s="31">
        <f>IF(B75="","",IF(V75="Yes","Bought",IF(I75=0,"In stock",IF(O75="","Check - no price","On the list"))))</f>
        <v>0</v>
      </c>
    </row>
    <row r="76" spans="1:26">
      <c r="A76" s="18">
        <f>ROW()-4</f>
        <v>0</v>
      </c>
      <c r="B76" s="17">
        <f>IFERROR(INDEX(Ingredients!$B$5:$B$304,MATCH(A76,Ingredients!$AL$5:$AL$304,0)),"")</f>
        <v>0</v>
      </c>
      <c r="C76" s="17">
        <f>IF(B76="","",IFERROR(INDEX(Ingredients!$C$5:$C$304,MATCH(B76,Ingredients!$B$5:$B$304,0)),"Add to Ingredients"))</f>
        <v>0</v>
      </c>
      <c r="D76" s="17">
        <f>IF(B76="","",IFERROR(INDEX(Ingredients!$D$5:$D$304,MATCH(B76,Ingredients!$B$5:$B$304,0)),"Add to Ingredients"))</f>
        <v>0</v>
      </c>
      <c r="E76" s="17">
        <f>IF(B76="","",IFERROR(INDEX(Ingredients!$E$5:$E$304,MATCH(B76,Ingredients!$B$5:$B$304,0)),"Add to Ingredients"))</f>
        <v>0</v>
      </c>
      <c r="F76" s="45">
        <f>IF(B76="","",IFERROR(INDEX(Ingredients!$AG$5:$AG$304,MATCH(B76,Ingredients!$B$5:$B$304,0)),""))</f>
        <v>0</v>
      </c>
      <c r="G76" s="17">
        <f>IF(B76="","",IFERROR(INDEX(Ingredients!$G$5:$G$304,MATCH(B76,Ingredients!$B$5:$B$304,0)),"Add to Ingredients"))</f>
        <v>0</v>
      </c>
      <c r="H76" s="45">
        <f>IF(B76="","",IFERROR(INDEX(Ingredients!$AD$5:$AD$304,MATCH(B76,Ingredients!$B$5:$B$304,0)),0))</f>
        <v>0</v>
      </c>
      <c r="I76" s="45">
        <f>IF(F76="","",MAX(0,F76-IF(H76="",0,H76)))</f>
        <v>0</v>
      </c>
      <c r="J76" s="45">
        <f>IF(B76="","",IFERROR(INDEX(Ingredients!$H$5:$H$304,MATCH(B76,Ingredients!$B$5:$B$304,0)),"Add to Ingredients"))</f>
        <v>0</v>
      </c>
      <c r="K76" s="25">
        <f>IF(B76="","",IFERROR(INDEX(Ingredients!$I$5:$I$304,MATCH(B76,Ingredients!$B$5:$B$304,0)),"Add to Ingredients"))</f>
        <v>0</v>
      </c>
      <c r="L76" s="25">
        <f>IF(B76="","",IFERROR(INDEX(Ingredients!$J$5:$J$304,MATCH(B76,Ingredients!$B$5:$B$304,0)),"Add to Ingredients"))</f>
        <v>0</v>
      </c>
      <c r="M76" s="45">
        <f>IF(OR(I76="",I76=0),"",IF(OR(J76="",NOT(ISNUMBER(J76)),J76=0),"",ROUNDUP(I76/J76,0)))</f>
        <v>0</v>
      </c>
      <c r="N76" s="45">
        <f>IF(I76="","",IF(RoundingRule="Exact quantity",I76,IF(M76="",I76,M76*J76)))</f>
        <v>0</v>
      </c>
      <c r="O76" s="25">
        <f>IF(N76="","",IF(RoundingRule="Exact quantity",IF(L76="","",N76*L76),IF(OR(M76="",K76=""),"",M76*K76)))</f>
        <v>0</v>
      </c>
      <c r="P76" s="25">
        <f>IF(B76="","",SUM(O$5:O76))</f>
        <v>0</v>
      </c>
      <c r="Q76" s="45">
        <f>IF(V76="Yes",0,IF(N76="",0,N76))</f>
        <v>0</v>
      </c>
      <c r="R76" s="18">
        <f>IF(OR(B76="",I76=0,I76=""),"",COUNTIFS($I$5:I76,"&gt;0"))</f>
        <v>0</v>
      </c>
      <c r="S76" s="18">
        <f>IF(B76="","",COUNTIFS('Recipe Ingredients'!$D$5:$D$1204,B76,'Recipe Ingredients'!$Y$5:$Y$1204,"&gt;0"))</f>
        <v>0</v>
      </c>
      <c r="T76" s="46">
        <f>IF(B76="","",IF(COUNTIFS('Recipe Ingredients'!$D$5:$D$1204,B76,'Recipe Ingredients'!$Y$5:$Y$1204,"&gt;0",'Recipe Ingredients'!$I$5:$I$1204,"No")=0,"Yes","No"))</f>
        <v>0</v>
      </c>
      <c r="U76" s="17">
        <f>IF(B76="","",IFERROR(INDEX(Ingredients!$W$5:$W$304,MATCH(B76,Ingredients!$B$5:$B$304,0)),"Add to Ingredients"))</f>
        <v>0</v>
      </c>
      <c r="Z76" s="31">
        <f>IF(B76="","",IF(V76="Yes","Bought",IF(I76=0,"In stock",IF(O76="","Check - no price","On the list"))))</f>
        <v>0</v>
      </c>
    </row>
    <row r="77" spans="1:26">
      <c r="A77" s="18">
        <f>ROW()-4</f>
        <v>0</v>
      </c>
      <c r="B77" s="17">
        <f>IFERROR(INDEX(Ingredients!$B$5:$B$304,MATCH(A77,Ingredients!$AL$5:$AL$304,0)),"")</f>
        <v>0</v>
      </c>
      <c r="C77" s="17">
        <f>IF(B77="","",IFERROR(INDEX(Ingredients!$C$5:$C$304,MATCH(B77,Ingredients!$B$5:$B$304,0)),"Add to Ingredients"))</f>
        <v>0</v>
      </c>
      <c r="D77" s="17">
        <f>IF(B77="","",IFERROR(INDEX(Ingredients!$D$5:$D$304,MATCH(B77,Ingredients!$B$5:$B$304,0)),"Add to Ingredients"))</f>
        <v>0</v>
      </c>
      <c r="E77" s="17">
        <f>IF(B77="","",IFERROR(INDEX(Ingredients!$E$5:$E$304,MATCH(B77,Ingredients!$B$5:$B$304,0)),"Add to Ingredients"))</f>
        <v>0</v>
      </c>
      <c r="F77" s="45">
        <f>IF(B77="","",IFERROR(INDEX(Ingredients!$AG$5:$AG$304,MATCH(B77,Ingredients!$B$5:$B$304,0)),""))</f>
        <v>0</v>
      </c>
      <c r="G77" s="17">
        <f>IF(B77="","",IFERROR(INDEX(Ingredients!$G$5:$G$304,MATCH(B77,Ingredients!$B$5:$B$304,0)),"Add to Ingredients"))</f>
        <v>0</v>
      </c>
      <c r="H77" s="45">
        <f>IF(B77="","",IFERROR(INDEX(Ingredients!$AD$5:$AD$304,MATCH(B77,Ingredients!$B$5:$B$304,0)),0))</f>
        <v>0</v>
      </c>
      <c r="I77" s="45">
        <f>IF(F77="","",MAX(0,F77-IF(H77="",0,H77)))</f>
        <v>0</v>
      </c>
      <c r="J77" s="45">
        <f>IF(B77="","",IFERROR(INDEX(Ingredients!$H$5:$H$304,MATCH(B77,Ingredients!$B$5:$B$304,0)),"Add to Ingredients"))</f>
        <v>0</v>
      </c>
      <c r="K77" s="25">
        <f>IF(B77="","",IFERROR(INDEX(Ingredients!$I$5:$I$304,MATCH(B77,Ingredients!$B$5:$B$304,0)),"Add to Ingredients"))</f>
        <v>0</v>
      </c>
      <c r="L77" s="25">
        <f>IF(B77="","",IFERROR(INDEX(Ingredients!$J$5:$J$304,MATCH(B77,Ingredients!$B$5:$B$304,0)),"Add to Ingredients"))</f>
        <v>0</v>
      </c>
      <c r="M77" s="45">
        <f>IF(OR(I77="",I77=0),"",IF(OR(J77="",NOT(ISNUMBER(J77)),J77=0),"",ROUNDUP(I77/J77,0)))</f>
        <v>0</v>
      </c>
      <c r="N77" s="45">
        <f>IF(I77="","",IF(RoundingRule="Exact quantity",I77,IF(M77="",I77,M77*J77)))</f>
        <v>0</v>
      </c>
      <c r="O77" s="25">
        <f>IF(N77="","",IF(RoundingRule="Exact quantity",IF(L77="","",N77*L77),IF(OR(M77="",K77=""),"",M77*K77)))</f>
        <v>0</v>
      </c>
      <c r="P77" s="25">
        <f>IF(B77="","",SUM(O$5:O77))</f>
        <v>0</v>
      </c>
      <c r="Q77" s="45">
        <f>IF(V77="Yes",0,IF(N77="",0,N77))</f>
        <v>0</v>
      </c>
      <c r="R77" s="18">
        <f>IF(OR(B77="",I77=0,I77=""),"",COUNTIFS($I$5:I77,"&gt;0"))</f>
        <v>0</v>
      </c>
      <c r="S77" s="18">
        <f>IF(B77="","",COUNTIFS('Recipe Ingredients'!$D$5:$D$1204,B77,'Recipe Ingredients'!$Y$5:$Y$1204,"&gt;0"))</f>
        <v>0</v>
      </c>
      <c r="T77" s="46">
        <f>IF(B77="","",IF(COUNTIFS('Recipe Ingredients'!$D$5:$D$1204,B77,'Recipe Ingredients'!$Y$5:$Y$1204,"&gt;0",'Recipe Ingredients'!$I$5:$I$1204,"No")=0,"Yes","No"))</f>
        <v>0</v>
      </c>
      <c r="U77" s="17">
        <f>IF(B77="","",IFERROR(INDEX(Ingredients!$W$5:$W$304,MATCH(B77,Ingredients!$B$5:$B$304,0)),"Add to Ingredients"))</f>
        <v>0</v>
      </c>
      <c r="Z77" s="31">
        <f>IF(B77="","",IF(V77="Yes","Bought",IF(I77=0,"In stock",IF(O77="","Check - no price","On the list"))))</f>
        <v>0</v>
      </c>
    </row>
    <row r="78" spans="1:26">
      <c r="A78" s="18">
        <f>ROW()-4</f>
        <v>0</v>
      </c>
      <c r="B78" s="17">
        <f>IFERROR(INDEX(Ingredients!$B$5:$B$304,MATCH(A78,Ingredients!$AL$5:$AL$304,0)),"")</f>
        <v>0</v>
      </c>
      <c r="C78" s="17">
        <f>IF(B78="","",IFERROR(INDEX(Ingredients!$C$5:$C$304,MATCH(B78,Ingredients!$B$5:$B$304,0)),"Add to Ingredients"))</f>
        <v>0</v>
      </c>
      <c r="D78" s="17">
        <f>IF(B78="","",IFERROR(INDEX(Ingredients!$D$5:$D$304,MATCH(B78,Ingredients!$B$5:$B$304,0)),"Add to Ingredients"))</f>
        <v>0</v>
      </c>
      <c r="E78" s="17">
        <f>IF(B78="","",IFERROR(INDEX(Ingredients!$E$5:$E$304,MATCH(B78,Ingredients!$B$5:$B$304,0)),"Add to Ingredients"))</f>
        <v>0</v>
      </c>
      <c r="F78" s="45">
        <f>IF(B78="","",IFERROR(INDEX(Ingredients!$AG$5:$AG$304,MATCH(B78,Ingredients!$B$5:$B$304,0)),""))</f>
        <v>0</v>
      </c>
      <c r="G78" s="17">
        <f>IF(B78="","",IFERROR(INDEX(Ingredients!$G$5:$G$304,MATCH(B78,Ingredients!$B$5:$B$304,0)),"Add to Ingredients"))</f>
        <v>0</v>
      </c>
      <c r="H78" s="45">
        <f>IF(B78="","",IFERROR(INDEX(Ingredients!$AD$5:$AD$304,MATCH(B78,Ingredients!$B$5:$B$304,0)),0))</f>
        <v>0</v>
      </c>
      <c r="I78" s="45">
        <f>IF(F78="","",MAX(0,F78-IF(H78="",0,H78)))</f>
        <v>0</v>
      </c>
      <c r="J78" s="45">
        <f>IF(B78="","",IFERROR(INDEX(Ingredients!$H$5:$H$304,MATCH(B78,Ingredients!$B$5:$B$304,0)),"Add to Ingredients"))</f>
        <v>0</v>
      </c>
      <c r="K78" s="25">
        <f>IF(B78="","",IFERROR(INDEX(Ingredients!$I$5:$I$304,MATCH(B78,Ingredients!$B$5:$B$304,0)),"Add to Ingredients"))</f>
        <v>0</v>
      </c>
      <c r="L78" s="25">
        <f>IF(B78="","",IFERROR(INDEX(Ingredients!$J$5:$J$304,MATCH(B78,Ingredients!$B$5:$B$304,0)),"Add to Ingredients"))</f>
        <v>0</v>
      </c>
      <c r="M78" s="45">
        <f>IF(OR(I78="",I78=0),"",IF(OR(J78="",NOT(ISNUMBER(J78)),J78=0),"",ROUNDUP(I78/J78,0)))</f>
        <v>0</v>
      </c>
      <c r="N78" s="45">
        <f>IF(I78="","",IF(RoundingRule="Exact quantity",I78,IF(M78="",I78,M78*J78)))</f>
        <v>0</v>
      </c>
      <c r="O78" s="25">
        <f>IF(N78="","",IF(RoundingRule="Exact quantity",IF(L78="","",N78*L78),IF(OR(M78="",K78=""),"",M78*K78)))</f>
        <v>0</v>
      </c>
      <c r="P78" s="25">
        <f>IF(B78="","",SUM(O$5:O78))</f>
        <v>0</v>
      </c>
      <c r="Q78" s="45">
        <f>IF(V78="Yes",0,IF(N78="",0,N78))</f>
        <v>0</v>
      </c>
      <c r="R78" s="18">
        <f>IF(OR(B78="",I78=0,I78=""),"",COUNTIFS($I$5:I78,"&gt;0"))</f>
        <v>0</v>
      </c>
      <c r="S78" s="18">
        <f>IF(B78="","",COUNTIFS('Recipe Ingredients'!$D$5:$D$1204,B78,'Recipe Ingredients'!$Y$5:$Y$1204,"&gt;0"))</f>
        <v>0</v>
      </c>
      <c r="T78" s="46">
        <f>IF(B78="","",IF(COUNTIFS('Recipe Ingredients'!$D$5:$D$1204,B78,'Recipe Ingredients'!$Y$5:$Y$1204,"&gt;0",'Recipe Ingredients'!$I$5:$I$1204,"No")=0,"Yes","No"))</f>
        <v>0</v>
      </c>
      <c r="U78" s="17">
        <f>IF(B78="","",IFERROR(INDEX(Ingredients!$W$5:$W$304,MATCH(B78,Ingredients!$B$5:$B$304,0)),"Add to Ingredients"))</f>
        <v>0</v>
      </c>
      <c r="Z78" s="31">
        <f>IF(B78="","",IF(V78="Yes","Bought",IF(I78=0,"In stock",IF(O78="","Check - no price","On the list"))))</f>
        <v>0</v>
      </c>
    </row>
    <row r="79" spans="1:26">
      <c r="A79" s="18">
        <f>ROW()-4</f>
        <v>0</v>
      </c>
      <c r="B79" s="17">
        <f>IFERROR(INDEX(Ingredients!$B$5:$B$304,MATCH(A79,Ingredients!$AL$5:$AL$304,0)),"")</f>
        <v>0</v>
      </c>
      <c r="C79" s="17">
        <f>IF(B79="","",IFERROR(INDEX(Ingredients!$C$5:$C$304,MATCH(B79,Ingredients!$B$5:$B$304,0)),"Add to Ingredients"))</f>
        <v>0</v>
      </c>
      <c r="D79" s="17">
        <f>IF(B79="","",IFERROR(INDEX(Ingredients!$D$5:$D$304,MATCH(B79,Ingredients!$B$5:$B$304,0)),"Add to Ingredients"))</f>
        <v>0</v>
      </c>
      <c r="E79" s="17">
        <f>IF(B79="","",IFERROR(INDEX(Ingredients!$E$5:$E$304,MATCH(B79,Ingredients!$B$5:$B$304,0)),"Add to Ingredients"))</f>
        <v>0</v>
      </c>
      <c r="F79" s="45">
        <f>IF(B79="","",IFERROR(INDEX(Ingredients!$AG$5:$AG$304,MATCH(B79,Ingredients!$B$5:$B$304,0)),""))</f>
        <v>0</v>
      </c>
      <c r="G79" s="17">
        <f>IF(B79="","",IFERROR(INDEX(Ingredients!$G$5:$G$304,MATCH(B79,Ingredients!$B$5:$B$304,0)),"Add to Ingredients"))</f>
        <v>0</v>
      </c>
      <c r="H79" s="45">
        <f>IF(B79="","",IFERROR(INDEX(Ingredients!$AD$5:$AD$304,MATCH(B79,Ingredients!$B$5:$B$304,0)),0))</f>
        <v>0</v>
      </c>
      <c r="I79" s="45">
        <f>IF(F79="","",MAX(0,F79-IF(H79="",0,H79)))</f>
        <v>0</v>
      </c>
      <c r="J79" s="45">
        <f>IF(B79="","",IFERROR(INDEX(Ingredients!$H$5:$H$304,MATCH(B79,Ingredients!$B$5:$B$304,0)),"Add to Ingredients"))</f>
        <v>0</v>
      </c>
      <c r="K79" s="25">
        <f>IF(B79="","",IFERROR(INDEX(Ingredients!$I$5:$I$304,MATCH(B79,Ingredients!$B$5:$B$304,0)),"Add to Ingredients"))</f>
        <v>0</v>
      </c>
      <c r="L79" s="25">
        <f>IF(B79="","",IFERROR(INDEX(Ingredients!$J$5:$J$304,MATCH(B79,Ingredients!$B$5:$B$304,0)),"Add to Ingredients"))</f>
        <v>0</v>
      </c>
      <c r="M79" s="45">
        <f>IF(OR(I79="",I79=0),"",IF(OR(J79="",NOT(ISNUMBER(J79)),J79=0),"",ROUNDUP(I79/J79,0)))</f>
        <v>0</v>
      </c>
      <c r="N79" s="45">
        <f>IF(I79="","",IF(RoundingRule="Exact quantity",I79,IF(M79="",I79,M79*J79)))</f>
        <v>0</v>
      </c>
      <c r="O79" s="25">
        <f>IF(N79="","",IF(RoundingRule="Exact quantity",IF(L79="","",N79*L79),IF(OR(M79="",K79=""),"",M79*K79)))</f>
        <v>0</v>
      </c>
      <c r="P79" s="25">
        <f>IF(B79="","",SUM(O$5:O79))</f>
        <v>0</v>
      </c>
      <c r="Q79" s="45">
        <f>IF(V79="Yes",0,IF(N79="",0,N79))</f>
        <v>0</v>
      </c>
      <c r="R79" s="18">
        <f>IF(OR(B79="",I79=0,I79=""),"",COUNTIFS($I$5:I79,"&gt;0"))</f>
        <v>0</v>
      </c>
      <c r="S79" s="18">
        <f>IF(B79="","",COUNTIFS('Recipe Ingredients'!$D$5:$D$1204,B79,'Recipe Ingredients'!$Y$5:$Y$1204,"&gt;0"))</f>
        <v>0</v>
      </c>
      <c r="T79" s="46">
        <f>IF(B79="","",IF(COUNTIFS('Recipe Ingredients'!$D$5:$D$1204,B79,'Recipe Ingredients'!$Y$5:$Y$1204,"&gt;0",'Recipe Ingredients'!$I$5:$I$1204,"No")=0,"Yes","No"))</f>
        <v>0</v>
      </c>
      <c r="U79" s="17">
        <f>IF(B79="","",IFERROR(INDEX(Ingredients!$W$5:$W$304,MATCH(B79,Ingredients!$B$5:$B$304,0)),"Add to Ingredients"))</f>
        <v>0</v>
      </c>
      <c r="Z79" s="31">
        <f>IF(B79="","",IF(V79="Yes","Bought",IF(I79=0,"In stock",IF(O79="","Check - no price","On the list"))))</f>
        <v>0</v>
      </c>
    </row>
    <row r="80" spans="1:26">
      <c r="A80" s="18">
        <f>ROW()-4</f>
        <v>0</v>
      </c>
      <c r="B80" s="17">
        <f>IFERROR(INDEX(Ingredients!$B$5:$B$304,MATCH(A80,Ingredients!$AL$5:$AL$304,0)),"")</f>
        <v>0</v>
      </c>
      <c r="C80" s="17">
        <f>IF(B80="","",IFERROR(INDEX(Ingredients!$C$5:$C$304,MATCH(B80,Ingredients!$B$5:$B$304,0)),"Add to Ingredients"))</f>
        <v>0</v>
      </c>
      <c r="D80" s="17">
        <f>IF(B80="","",IFERROR(INDEX(Ingredients!$D$5:$D$304,MATCH(B80,Ingredients!$B$5:$B$304,0)),"Add to Ingredients"))</f>
        <v>0</v>
      </c>
      <c r="E80" s="17">
        <f>IF(B80="","",IFERROR(INDEX(Ingredients!$E$5:$E$304,MATCH(B80,Ingredients!$B$5:$B$304,0)),"Add to Ingredients"))</f>
        <v>0</v>
      </c>
      <c r="F80" s="45">
        <f>IF(B80="","",IFERROR(INDEX(Ingredients!$AG$5:$AG$304,MATCH(B80,Ingredients!$B$5:$B$304,0)),""))</f>
        <v>0</v>
      </c>
      <c r="G80" s="17">
        <f>IF(B80="","",IFERROR(INDEX(Ingredients!$G$5:$G$304,MATCH(B80,Ingredients!$B$5:$B$304,0)),"Add to Ingredients"))</f>
        <v>0</v>
      </c>
      <c r="H80" s="45">
        <f>IF(B80="","",IFERROR(INDEX(Ingredients!$AD$5:$AD$304,MATCH(B80,Ingredients!$B$5:$B$304,0)),0))</f>
        <v>0</v>
      </c>
      <c r="I80" s="45">
        <f>IF(F80="","",MAX(0,F80-IF(H80="",0,H80)))</f>
        <v>0</v>
      </c>
      <c r="J80" s="45">
        <f>IF(B80="","",IFERROR(INDEX(Ingredients!$H$5:$H$304,MATCH(B80,Ingredients!$B$5:$B$304,0)),"Add to Ingredients"))</f>
        <v>0</v>
      </c>
      <c r="K80" s="25">
        <f>IF(B80="","",IFERROR(INDEX(Ingredients!$I$5:$I$304,MATCH(B80,Ingredients!$B$5:$B$304,0)),"Add to Ingredients"))</f>
        <v>0</v>
      </c>
      <c r="L80" s="25">
        <f>IF(B80="","",IFERROR(INDEX(Ingredients!$J$5:$J$304,MATCH(B80,Ingredients!$B$5:$B$304,0)),"Add to Ingredients"))</f>
        <v>0</v>
      </c>
      <c r="M80" s="45">
        <f>IF(OR(I80="",I80=0),"",IF(OR(J80="",NOT(ISNUMBER(J80)),J80=0),"",ROUNDUP(I80/J80,0)))</f>
        <v>0</v>
      </c>
      <c r="N80" s="45">
        <f>IF(I80="","",IF(RoundingRule="Exact quantity",I80,IF(M80="",I80,M80*J80)))</f>
        <v>0</v>
      </c>
      <c r="O80" s="25">
        <f>IF(N80="","",IF(RoundingRule="Exact quantity",IF(L80="","",N80*L80),IF(OR(M80="",K80=""),"",M80*K80)))</f>
        <v>0</v>
      </c>
      <c r="P80" s="25">
        <f>IF(B80="","",SUM(O$5:O80))</f>
        <v>0</v>
      </c>
      <c r="Q80" s="45">
        <f>IF(V80="Yes",0,IF(N80="",0,N80))</f>
        <v>0</v>
      </c>
      <c r="R80" s="18">
        <f>IF(OR(B80="",I80=0,I80=""),"",COUNTIFS($I$5:I80,"&gt;0"))</f>
        <v>0</v>
      </c>
      <c r="S80" s="18">
        <f>IF(B80="","",COUNTIFS('Recipe Ingredients'!$D$5:$D$1204,B80,'Recipe Ingredients'!$Y$5:$Y$1204,"&gt;0"))</f>
        <v>0</v>
      </c>
      <c r="T80" s="46">
        <f>IF(B80="","",IF(COUNTIFS('Recipe Ingredients'!$D$5:$D$1204,B80,'Recipe Ingredients'!$Y$5:$Y$1204,"&gt;0",'Recipe Ingredients'!$I$5:$I$1204,"No")=0,"Yes","No"))</f>
        <v>0</v>
      </c>
      <c r="U80" s="17">
        <f>IF(B80="","",IFERROR(INDEX(Ingredients!$W$5:$W$304,MATCH(B80,Ingredients!$B$5:$B$304,0)),"Add to Ingredients"))</f>
        <v>0</v>
      </c>
      <c r="Z80" s="31">
        <f>IF(B80="","",IF(V80="Yes","Bought",IF(I80=0,"In stock",IF(O80="","Check - no price","On the list"))))</f>
        <v>0</v>
      </c>
    </row>
    <row r="81" spans="1:26">
      <c r="A81" s="18">
        <f>ROW()-4</f>
        <v>0</v>
      </c>
      <c r="B81" s="17">
        <f>IFERROR(INDEX(Ingredients!$B$5:$B$304,MATCH(A81,Ingredients!$AL$5:$AL$304,0)),"")</f>
        <v>0</v>
      </c>
      <c r="C81" s="17">
        <f>IF(B81="","",IFERROR(INDEX(Ingredients!$C$5:$C$304,MATCH(B81,Ingredients!$B$5:$B$304,0)),"Add to Ingredients"))</f>
        <v>0</v>
      </c>
      <c r="D81" s="17">
        <f>IF(B81="","",IFERROR(INDEX(Ingredients!$D$5:$D$304,MATCH(B81,Ingredients!$B$5:$B$304,0)),"Add to Ingredients"))</f>
        <v>0</v>
      </c>
      <c r="E81" s="17">
        <f>IF(B81="","",IFERROR(INDEX(Ingredients!$E$5:$E$304,MATCH(B81,Ingredients!$B$5:$B$304,0)),"Add to Ingredients"))</f>
        <v>0</v>
      </c>
      <c r="F81" s="45">
        <f>IF(B81="","",IFERROR(INDEX(Ingredients!$AG$5:$AG$304,MATCH(B81,Ingredients!$B$5:$B$304,0)),""))</f>
        <v>0</v>
      </c>
      <c r="G81" s="17">
        <f>IF(B81="","",IFERROR(INDEX(Ingredients!$G$5:$G$304,MATCH(B81,Ingredients!$B$5:$B$304,0)),"Add to Ingredients"))</f>
        <v>0</v>
      </c>
      <c r="H81" s="45">
        <f>IF(B81="","",IFERROR(INDEX(Ingredients!$AD$5:$AD$304,MATCH(B81,Ingredients!$B$5:$B$304,0)),0))</f>
        <v>0</v>
      </c>
      <c r="I81" s="45">
        <f>IF(F81="","",MAX(0,F81-IF(H81="",0,H81)))</f>
        <v>0</v>
      </c>
      <c r="J81" s="45">
        <f>IF(B81="","",IFERROR(INDEX(Ingredients!$H$5:$H$304,MATCH(B81,Ingredients!$B$5:$B$304,0)),"Add to Ingredients"))</f>
        <v>0</v>
      </c>
      <c r="K81" s="25">
        <f>IF(B81="","",IFERROR(INDEX(Ingredients!$I$5:$I$304,MATCH(B81,Ingredients!$B$5:$B$304,0)),"Add to Ingredients"))</f>
        <v>0</v>
      </c>
      <c r="L81" s="25">
        <f>IF(B81="","",IFERROR(INDEX(Ingredients!$J$5:$J$304,MATCH(B81,Ingredients!$B$5:$B$304,0)),"Add to Ingredients"))</f>
        <v>0</v>
      </c>
      <c r="M81" s="45">
        <f>IF(OR(I81="",I81=0),"",IF(OR(J81="",NOT(ISNUMBER(J81)),J81=0),"",ROUNDUP(I81/J81,0)))</f>
        <v>0</v>
      </c>
      <c r="N81" s="45">
        <f>IF(I81="","",IF(RoundingRule="Exact quantity",I81,IF(M81="",I81,M81*J81)))</f>
        <v>0</v>
      </c>
      <c r="O81" s="25">
        <f>IF(N81="","",IF(RoundingRule="Exact quantity",IF(L81="","",N81*L81),IF(OR(M81="",K81=""),"",M81*K81)))</f>
        <v>0</v>
      </c>
      <c r="P81" s="25">
        <f>IF(B81="","",SUM(O$5:O81))</f>
        <v>0</v>
      </c>
      <c r="Q81" s="45">
        <f>IF(V81="Yes",0,IF(N81="",0,N81))</f>
        <v>0</v>
      </c>
      <c r="R81" s="18">
        <f>IF(OR(B81="",I81=0,I81=""),"",COUNTIFS($I$5:I81,"&gt;0"))</f>
        <v>0</v>
      </c>
      <c r="S81" s="18">
        <f>IF(B81="","",COUNTIFS('Recipe Ingredients'!$D$5:$D$1204,B81,'Recipe Ingredients'!$Y$5:$Y$1204,"&gt;0"))</f>
        <v>0</v>
      </c>
      <c r="T81" s="46">
        <f>IF(B81="","",IF(COUNTIFS('Recipe Ingredients'!$D$5:$D$1204,B81,'Recipe Ingredients'!$Y$5:$Y$1204,"&gt;0",'Recipe Ingredients'!$I$5:$I$1204,"No")=0,"Yes","No"))</f>
        <v>0</v>
      </c>
      <c r="U81" s="17">
        <f>IF(B81="","",IFERROR(INDEX(Ingredients!$W$5:$W$304,MATCH(B81,Ingredients!$B$5:$B$304,0)),"Add to Ingredients"))</f>
        <v>0</v>
      </c>
      <c r="Z81" s="31">
        <f>IF(B81="","",IF(V81="Yes","Bought",IF(I81=0,"In stock",IF(O81="","Check - no price","On the list"))))</f>
        <v>0</v>
      </c>
    </row>
    <row r="82" spans="1:26">
      <c r="A82" s="18">
        <f>ROW()-4</f>
        <v>0</v>
      </c>
      <c r="B82" s="17">
        <f>IFERROR(INDEX(Ingredients!$B$5:$B$304,MATCH(A82,Ingredients!$AL$5:$AL$304,0)),"")</f>
        <v>0</v>
      </c>
      <c r="C82" s="17">
        <f>IF(B82="","",IFERROR(INDEX(Ingredients!$C$5:$C$304,MATCH(B82,Ingredients!$B$5:$B$304,0)),"Add to Ingredients"))</f>
        <v>0</v>
      </c>
      <c r="D82" s="17">
        <f>IF(B82="","",IFERROR(INDEX(Ingredients!$D$5:$D$304,MATCH(B82,Ingredients!$B$5:$B$304,0)),"Add to Ingredients"))</f>
        <v>0</v>
      </c>
      <c r="E82" s="17">
        <f>IF(B82="","",IFERROR(INDEX(Ingredients!$E$5:$E$304,MATCH(B82,Ingredients!$B$5:$B$304,0)),"Add to Ingredients"))</f>
        <v>0</v>
      </c>
      <c r="F82" s="45">
        <f>IF(B82="","",IFERROR(INDEX(Ingredients!$AG$5:$AG$304,MATCH(B82,Ingredients!$B$5:$B$304,0)),""))</f>
        <v>0</v>
      </c>
      <c r="G82" s="17">
        <f>IF(B82="","",IFERROR(INDEX(Ingredients!$G$5:$G$304,MATCH(B82,Ingredients!$B$5:$B$304,0)),"Add to Ingredients"))</f>
        <v>0</v>
      </c>
      <c r="H82" s="45">
        <f>IF(B82="","",IFERROR(INDEX(Ingredients!$AD$5:$AD$304,MATCH(B82,Ingredients!$B$5:$B$304,0)),0))</f>
        <v>0</v>
      </c>
      <c r="I82" s="45">
        <f>IF(F82="","",MAX(0,F82-IF(H82="",0,H82)))</f>
        <v>0</v>
      </c>
      <c r="J82" s="45">
        <f>IF(B82="","",IFERROR(INDEX(Ingredients!$H$5:$H$304,MATCH(B82,Ingredients!$B$5:$B$304,0)),"Add to Ingredients"))</f>
        <v>0</v>
      </c>
      <c r="K82" s="25">
        <f>IF(B82="","",IFERROR(INDEX(Ingredients!$I$5:$I$304,MATCH(B82,Ingredients!$B$5:$B$304,0)),"Add to Ingredients"))</f>
        <v>0</v>
      </c>
      <c r="L82" s="25">
        <f>IF(B82="","",IFERROR(INDEX(Ingredients!$J$5:$J$304,MATCH(B82,Ingredients!$B$5:$B$304,0)),"Add to Ingredients"))</f>
        <v>0</v>
      </c>
      <c r="M82" s="45">
        <f>IF(OR(I82="",I82=0),"",IF(OR(J82="",NOT(ISNUMBER(J82)),J82=0),"",ROUNDUP(I82/J82,0)))</f>
        <v>0</v>
      </c>
      <c r="N82" s="45">
        <f>IF(I82="","",IF(RoundingRule="Exact quantity",I82,IF(M82="",I82,M82*J82)))</f>
        <v>0</v>
      </c>
      <c r="O82" s="25">
        <f>IF(N82="","",IF(RoundingRule="Exact quantity",IF(L82="","",N82*L82),IF(OR(M82="",K82=""),"",M82*K82)))</f>
        <v>0</v>
      </c>
      <c r="P82" s="25">
        <f>IF(B82="","",SUM(O$5:O82))</f>
        <v>0</v>
      </c>
      <c r="Q82" s="45">
        <f>IF(V82="Yes",0,IF(N82="",0,N82))</f>
        <v>0</v>
      </c>
      <c r="R82" s="18">
        <f>IF(OR(B82="",I82=0,I82=""),"",COUNTIFS($I$5:I82,"&gt;0"))</f>
        <v>0</v>
      </c>
      <c r="S82" s="18">
        <f>IF(B82="","",COUNTIFS('Recipe Ingredients'!$D$5:$D$1204,B82,'Recipe Ingredients'!$Y$5:$Y$1204,"&gt;0"))</f>
        <v>0</v>
      </c>
      <c r="T82" s="46">
        <f>IF(B82="","",IF(COUNTIFS('Recipe Ingredients'!$D$5:$D$1204,B82,'Recipe Ingredients'!$Y$5:$Y$1204,"&gt;0",'Recipe Ingredients'!$I$5:$I$1204,"No")=0,"Yes","No"))</f>
        <v>0</v>
      </c>
      <c r="U82" s="17">
        <f>IF(B82="","",IFERROR(INDEX(Ingredients!$W$5:$W$304,MATCH(B82,Ingredients!$B$5:$B$304,0)),"Add to Ingredients"))</f>
        <v>0</v>
      </c>
      <c r="Z82" s="31">
        <f>IF(B82="","",IF(V82="Yes","Bought",IF(I82=0,"In stock",IF(O82="","Check - no price","On the list"))))</f>
        <v>0</v>
      </c>
    </row>
    <row r="83" spans="1:26">
      <c r="A83" s="18">
        <f>ROW()-4</f>
        <v>0</v>
      </c>
      <c r="B83" s="17">
        <f>IFERROR(INDEX(Ingredients!$B$5:$B$304,MATCH(A83,Ingredients!$AL$5:$AL$304,0)),"")</f>
        <v>0</v>
      </c>
      <c r="C83" s="17">
        <f>IF(B83="","",IFERROR(INDEX(Ingredients!$C$5:$C$304,MATCH(B83,Ingredients!$B$5:$B$304,0)),"Add to Ingredients"))</f>
        <v>0</v>
      </c>
      <c r="D83" s="17">
        <f>IF(B83="","",IFERROR(INDEX(Ingredients!$D$5:$D$304,MATCH(B83,Ingredients!$B$5:$B$304,0)),"Add to Ingredients"))</f>
        <v>0</v>
      </c>
      <c r="E83" s="17">
        <f>IF(B83="","",IFERROR(INDEX(Ingredients!$E$5:$E$304,MATCH(B83,Ingredients!$B$5:$B$304,0)),"Add to Ingredients"))</f>
        <v>0</v>
      </c>
      <c r="F83" s="45">
        <f>IF(B83="","",IFERROR(INDEX(Ingredients!$AG$5:$AG$304,MATCH(B83,Ingredients!$B$5:$B$304,0)),""))</f>
        <v>0</v>
      </c>
      <c r="G83" s="17">
        <f>IF(B83="","",IFERROR(INDEX(Ingredients!$G$5:$G$304,MATCH(B83,Ingredients!$B$5:$B$304,0)),"Add to Ingredients"))</f>
        <v>0</v>
      </c>
      <c r="H83" s="45">
        <f>IF(B83="","",IFERROR(INDEX(Ingredients!$AD$5:$AD$304,MATCH(B83,Ingredients!$B$5:$B$304,0)),0))</f>
        <v>0</v>
      </c>
      <c r="I83" s="45">
        <f>IF(F83="","",MAX(0,F83-IF(H83="",0,H83)))</f>
        <v>0</v>
      </c>
      <c r="J83" s="45">
        <f>IF(B83="","",IFERROR(INDEX(Ingredients!$H$5:$H$304,MATCH(B83,Ingredients!$B$5:$B$304,0)),"Add to Ingredients"))</f>
        <v>0</v>
      </c>
      <c r="K83" s="25">
        <f>IF(B83="","",IFERROR(INDEX(Ingredients!$I$5:$I$304,MATCH(B83,Ingredients!$B$5:$B$304,0)),"Add to Ingredients"))</f>
        <v>0</v>
      </c>
      <c r="L83" s="25">
        <f>IF(B83="","",IFERROR(INDEX(Ingredients!$J$5:$J$304,MATCH(B83,Ingredients!$B$5:$B$304,0)),"Add to Ingredients"))</f>
        <v>0</v>
      </c>
      <c r="M83" s="45">
        <f>IF(OR(I83="",I83=0),"",IF(OR(J83="",NOT(ISNUMBER(J83)),J83=0),"",ROUNDUP(I83/J83,0)))</f>
        <v>0</v>
      </c>
      <c r="N83" s="45">
        <f>IF(I83="","",IF(RoundingRule="Exact quantity",I83,IF(M83="",I83,M83*J83)))</f>
        <v>0</v>
      </c>
      <c r="O83" s="25">
        <f>IF(N83="","",IF(RoundingRule="Exact quantity",IF(L83="","",N83*L83),IF(OR(M83="",K83=""),"",M83*K83)))</f>
        <v>0</v>
      </c>
      <c r="P83" s="25">
        <f>IF(B83="","",SUM(O$5:O83))</f>
        <v>0</v>
      </c>
      <c r="Q83" s="45">
        <f>IF(V83="Yes",0,IF(N83="",0,N83))</f>
        <v>0</v>
      </c>
      <c r="R83" s="18">
        <f>IF(OR(B83="",I83=0,I83=""),"",COUNTIFS($I$5:I83,"&gt;0"))</f>
        <v>0</v>
      </c>
      <c r="S83" s="18">
        <f>IF(B83="","",COUNTIFS('Recipe Ingredients'!$D$5:$D$1204,B83,'Recipe Ingredients'!$Y$5:$Y$1204,"&gt;0"))</f>
        <v>0</v>
      </c>
      <c r="T83" s="46">
        <f>IF(B83="","",IF(COUNTIFS('Recipe Ingredients'!$D$5:$D$1204,B83,'Recipe Ingredients'!$Y$5:$Y$1204,"&gt;0",'Recipe Ingredients'!$I$5:$I$1204,"No")=0,"Yes","No"))</f>
        <v>0</v>
      </c>
      <c r="U83" s="17">
        <f>IF(B83="","",IFERROR(INDEX(Ingredients!$W$5:$W$304,MATCH(B83,Ingredients!$B$5:$B$304,0)),"Add to Ingredients"))</f>
        <v>0</v>
      </c>
      <c r="Z83" s="31">
        <f>IF(B83="","",IF(V83="Yes","Bought",IF(I83=0,"In stock",IF(O83="","Check - no price","On the list"))))</f>
        <v>0</v>
      </c>
    </row>
    <row r="84" spans="1:26">
      <c r="A84" s="18">
        <f>ROW()-4</f>
        <v>0</v>
      </c>
      <c r="B84" s="17">
        <f>IFERROR(INDEX(Ingredients!$B$5:$B$304,MATCH(A84,Ingredients!$AL$5:$AL$304,0)),"")</f>
        <v>0</v>
      </c>
      <c r="C84" s="17">
        <f>IF(B84="","",IFERROR(INDEX(Ingredients!$C$5:$C$304,MATCH(B84,Ingredients!$B$5:$B$304,0)),"Add to Ingredients"))</f>
        <v>0</v>
      </c>
      <c r="D84" s="17">
        <f>IF(B84="","",IFERROR(INDEX(Ingredients!$D$5:$D$304,MATCH(B84,Ingredients!$B$5:$B$304,0)),"Add to Ingredients"))</f>
        <v>0</v>
      </c>
      <c r="E84" s="17">
        <f>IF(B84="","",IFERROR(INDEX(Ingredients!$E$5:$E$304,MATCH(B84,Ingredients!$B$5:$B$304,0)),"Add to Ingredients"))</f>
        <v>0</v>
      </c>
      <c r="F84" s="45">
        <f>IF(B84="","",IFERROR(INDEX(Ingredients!$AG$5:$AG$304,MATCH(B84,Ingredients!$B$5:$B$304,0)),""))</f>
        <v>0</v>
      </c>
      <c r="G84" s="17">
        <f>IF(B84="","",IFERROR(INDEX(Ingredients!$G$5:$G$304,MATCH(B84,Ingredients!$B$5:$B$304,0)),"Add to Ingredients"))</f>
        <v>0</v>
      </c>
      <c r="H84" s="45">
        <f>IF(B84="","",IFERROR(INDEX(Ingredients!$AD$5:$AD$304,MATCH(B84,Ingredients!$B$5:$B$304,0)),0))</f>
        <v>0</v>
      </c>
      <c r="I84" s="45">
        <f>IF(F84="","",MAX(0,F84-IF(H84="",0,H84)))</f>
        <v>0</v>
      </c>
      <c r="J84" s="45">
        <f>IF(B84="","",IFERROR(INDEX(Ingredients!$H$5:$H$304,MATCH(B84,Ingredients!$B$5:$B$304,0)),"Add to Ingredients"))</f>
        <v>0</v>
      </c>
      <c r="K84" s="25">
        <f>IF(B84="","",IFERROR(INDEX(Ingredients!$I$5:$I$304,MATCH(B84,Ingredients!$B$5:$B$304,0)),"Add to Ingredients"))</f>
        <v>0</v>
      </c>
      <c r="L84" s="25">
        <f>IF(B84="","",IFERROR(INDEX(Ingredients!$J$5:$J$304,MATCH(B84,Ingredients!$B$5:$B$304,0)),"Add to Ingredients"))</f>
        <v>0</v>
      </c>
      <c r="M84" s="45">
        <f>IF(OR(I84="",I84=0),"",IF(OR(J84="",NOT(ISNUMBER(J84)),J84=0),"",ROUNDUP(I84/J84,0)))</f>
        <v>0</v>
      </c>
      <c r="N84" s="45">
        <f>IF(I84="","",IF(RoundingRule="Exact quantity",I84,IF(M84="",I84,M84*J84)))</f>
        <v>0</v>
      </c>
      <c r="O84" s="25">
        <f>IF(N84="","",IF(RoundingRule="Exact quantity",IF(L84="","",N84*L84),IF(OR(M84="",K84=""),"",M84*K84)))</f>
        <v>0</v>
      </c>
      <c r="P84" s="25">
        <f>IF(B84="","",SUM(O$5:O84))</f>
        <v>0</v>
      </c>
      <c r="Q84" s="45">
        <f>IF(V84="Yes",0,IF(N84="",0,N84))</f>
        <v>0</v>
      </c>
      <c r="R84" s="18">
        <f>IF(OR(B84="",I84=0,I84=""),"",COUNTIFS($I$5:I84,"&gt;0"))</f>
        <v>0</v>
      </c>
      <c r="S84" s="18">
        <f>IF(B84="","",COUNTIFS('Recipe Ingredients'!$D$5:$D$1204,B84,'Recipe Ingredients'!$Y$5:$Y$1204,"&gt;0"))</f>
        <v>0</v>
      </c>
      <c r="T84" s="46">
        <f>IF(B84="","",IF(COUNTIFS('Recipe Ingredients'!$D$5:$D$1204,B84,'Recipe Ingredients'!$Y$5:$Y$1204,"&gt;0",'Recipe Ingredients'!$I$5:$I$1204,"No")=0,"Yes","No"))</f>
        <v>0</v>
      </c>
      <c r="U84" s="17">
        <f>IF(B84="","",IFERROR(INDEX(Ingredients!$W$5:$W$304,MATCH(B84,Ingredients!$B$5:$B$304,0)),"Add to Ingredients"))</f>
        <v>0</v>
      </c>
      <c r="Z84" s="31">
        <f>IF(B84="","",IF(V84="Yes","Bought",IF(I84=0,"In stock",IF(O84="","Check - no price","On the list"))))</f>
        <v>0</v>
      </c>
    </row>
    <row r="85" spans="1:26">
      <c r="A85" s="18">
        <f>ROW()-4</f>
        <v>0</v>
      </c>
      <c r="B85" s="17">
        <f>IFERROR(INDEX(Ingredients!$B$5:$B$304,MATCH(A85,Ingredients!$AL$5:$AL$304,0)),"")</f>
        <v>0</v>
      </c>
      <c r="C85" s="17">
        <f>IF(B85="","",IFERROR(INDEX(Ingredients!$C$5:$C$304,MATCH(B85,Ingredients!$B$5:$B$304,0)),"Add to Ingredients"))</f>
        <v>0</v>
      </c>
      <c r="D85" s="17">
        <f>IF(B85="","",IFERROR(INDEX(Ingredients!$D$5:$D$304,MATCH(B85,Ingredients!$B$5:$B$304,0)),"Add to Ingredients"))</f>
        <v>0</v>
      </c>
      <c r="E85" s="17">
        <f>IF(B85="","",IFERROR(INDEX(Ingredients!$E$5:$E$304,MATCH(B85,Ingredients!$B$5:$B$304,0)),"Add to Ingredients"))</f>
        <v>0</v>
      </c>
      <c r="F85" s="45">
        <f>IF(B85="","",IFERROR(INDEX(Ingredients!$AG$5:$AG$304,MATCH(B85,Ingredients!$B$5:$B$304,0)),""))</f>
        <v>0</v>
      </c>
      <c r="G85" s="17">
        <f>IF(B85="","",IFERROR(INDEX(Ingredients!$G$5:$G$304,MATCH(B85,Ingredients!$B$5:$B$304,0)),"Add to Ingredients"))</f>
        <v>0</v>
      </c>
      <c r="H85" s="45">
        <f>IF(B85="","",IFERROR(INDEX(Ingredients!$AD$5:$AD$304,MATCH(B85,Ingredients!$B$5:$B$304,0)),0))</f>
        <v>0</v>
      </c>
      <c r="I85" s="45">
        <f>IF(F85="","",MAX(0,F85-IF(H85="",0,H85)))</f>
        <v>0</v>
      </c>
      <c r="J85" s="45">
        <f>IF(B85="","",IFERROR(INDEX(Ingredients!$H$5:$H$304,MATCH(B85,Ingredients!$B$5:$B$304,0)),"Add to Ingredients"))</f>
        <v>0</v>
      </c>
      <c r="K85" s="25">
        <f>IF(B85="","",IFERROR(INDEX(Ingredients!$I$5:$I$304,MATCH(B85,Ingredients!$B$5:$B$304,0)),"Add to Ingredients"))</f>
        <v>0</v>
      </c>
      <c r="L85" s="25">
        <f>IF(B85="","",IFERROR(INDEX(Ingredients!$J$5:$J$304,MATCH(B85,Ingredients!$B$5:$B$304,0)),"Add to Ingredients"))</f>
        <v>0</v>
      </c>
      <c r="M85" s="45">
        <f>IF(OR(I85="",I85=0),"",IF(OR(J85="",NOT(ISNUMBER(J85)),J85=0),"",ROUNDUP(I85/J85,0)))</f>
        <v>0</v>
      </c>
      <c r="N85" s="45">
        <f>IF(I85="","",IF(RoundingRule="Exact quantity",I85,IF(M85="",I85,M85*J85)))</f>
        <v>0</v>
      </c>
      <c r="O85" s="25">
        <f>IF(N85="","",IF(RoundingRule="Exact quantity",IF(L85="","",N85*L85),IF(OR(M85="",K85=""),"",M85*K85)))</f>
        <v>0</v>
      </c>
      <c r="P85" s="25">
        <f>IF(B85="","",SUM(O$5:O85))</f>
        <v>0</v>
      </c>
      <c r="Q85" s="45">
        <f>IF(V85="Yes",0,IF(N85="",0,N85))</f>
        <v>0</v>
      </c>
      <c r="R85" s="18">
        <f>IF(OR(B85="",I85=0,I85=""),"",COUNTIFS($I$5:I85,"&gt;0"))</f>
        <v>0</v>
      </c>
      <c r="S85" s="18">
        <f>IF(B85="","",COUNTIFS('Recipe Ingredients'!$D$5:$D$1204,B85,'Recipe Ingredients'!$Y$5:$Y$1204,"&gt;0"))</f>
        <v>0</v>
      </c>
      <c r="T85" s="46">
        <f>IF(B85="","",IF(COUNTIFS('Recipe Ingredients'!$D$5:$D$1204,B85,'Recipe Ingredients'!$Y$5:$Y$1204,"&gt;0",'Recipe Ingredients'!$I$5:$I$1204,"No")=0,"Yes","No"))</f>
        <v>0</v>
      </c>
      <c r="U85" s="17">
        <f>IF(B85="","",IFERROR(INDEX(Ingredients!$W$5:$W$304,MATCH(B85,Ingredients!$B$5:$B$304,0)),"Add to Ingredients"))</f>
        <v>0</v>
      </c>
      <c r="Z85" s="31">
        <f>IF(B85="","",IF(V85="Yes","Bought",IF(I85=0,"In stock",IF(O85="","Check - no price","On the list"))))</f>
        <v>0</v>
      </c>
    </row>
    <row r="86" spans="1:26">
      <c r="A86" s="18">
        <f>ROW()-4</f>
        <v>0</v>
      </c>
      <c r="B86" s="17">
        <f>IFERROR(INDEX(Ingredients!$B$5:$B$304,MATCH(A86,Ingredients!$AL$5:$AL$304,0)),"")</f>
        <v>0</v>
      </c>
      <c r="C86" s="17">
        <f>IF(B86="","",IFERROR(INDEX(Ingredients!$C$5:$C$304,MATCH(B86,Ingredients!$B$5:$B$304,0)),"Add to Ingredients"))</f>
        <v>0</v>
      </c>
      <c r="D86" s="17">
        <f>IF(B86="","",IFERROR(INDEX(Ingredients!$D$5:$D$304,MATCH(B86,Ingredients!$B$5:$B$304,0)),"Add to Ingredients"))</f>
        <v>0</v>
      </c>
      <c r="E86" s="17">
        <f>IF(B86="","",IFERROR(INDEX(Ingredients!$E$5:$E$304,MATCH(B86,Ingredients!$B$5:$B$304,0)),"Add to Ingredients"))</f>
        <v>0</v>
      </c>
      <c r="F86" s="45">
        <f>IF(B86="","",IFERROR(INDEX(Ingredients!$AG$5:$AG$304,MATCH(B86,Ingredients!$B$5:$B$304,0)),""))</f>
        <v>0</v>
      </c>
      <c r="G86" s="17">
        <f>IF(B86="","",IFERROR(INDEX(Ingredients!$G$5:$G$304,MATCH(B86,Ingredients!$B$5:$B$304,0)),"Add to Ingredients"))</f>
        <v>0</v>
      </c>
      <c r="H86" s="45">
        <f>IF(B86="","",IFERROR(INDEX(Ingredients!$AD$5:$AD$304,MATCH(B86,Ingredients!$B$5:$B$304,0)),0))</f>
        <v>0</v>
      </c>
      <c r="I86" s="45">
        <f>IF(F86="","",MAX(0,F86-IF(H86="",0,H86)))</f>
        <v>0</v>
      </c>
      <c r="J86" s="45">
        <f>IF(B86="","",IFERROR(INDEX(Ingredients!$H$5:$H$304,MATCH(B86,Ingredients!$B$5:$B$304,0)),"Add to Ingredients"))</f>
        <v>0</v>
      </c>
      <c r="K86" s="25">
        <f>IF(B86="","",IFERROR(INDEX(Ingredients!$I$5:$I$304,MATCH(B86,Ingredients!$B$5:$B$304,0)),"Add to Ingredients"))</f>
        <v>0</v>
      </c>
      <c r="L86" s="25">
        <f>IF(B86="","",IFERROR(INDEX(Ingredients!$J$5:$J$304,MATCH(B86,Ingredients!$B$5:$B$304,0)),"Add to Ingredients"))</f>
        <v>0</v>
      </c>
      <c r="M86" s="45">
        <f>IF(OR(I86="",I86=0),"",IF(OR(J86="",NOT(ISNUMBER(J86)),J86=0),"",ROUNDUP(I86/J86,0)))</f>
        <v>0</v>
      </c>
      <c r="N86" s="45">
        <f>IF(I86="","",IF(RoundingRule="Exact quantity",I86,IF(M86="",I86,M86*J86)))</f>
        <v>0</v>
      </c>
      <c r="O86" s="25">
        <f>IF(N86="","",IF(RoundingRule="Exact quantity",IF(L86="","",N86*L86),IF(OR(M86="",K86=""),"",M86*K86)))</f>
        <v>0</v>
      </c>
      <c r="P86" s="25">
        <f>IF(B86="","",SUM(O$5:O86))</f>
        <v>0</v>
      </c>
      <c r="Q86" s="45">
        <f>IF(V86="Yes",0,IF(N86="",0,N86))</f>
        <v>0</v>
      </c>
      <c r="R86" s="18">
        <f>IF(OR(B86="",I86=0,I86=""),"",COUNTIFS($I$5:I86,"&gt;0"))</f>
        <v>0</v>
      </c>
      <c r="S86" s="18">
        <f>IF(B86="","",COUNTIFS('Recipe Ingredients'!$D$5:$D$1204,B86,'Recipe Ingredients'!$Y$5:$Y$1204,"&gt;0"))</f>
        <v>0</v>
      </c>
      <c r="T86" s="46">
        <f>IF(B86="","",IF(COUNTIFS('Recipe Ingredients'!$D$5:$D$1204,B86,'Recipe Ingredients'!$Y$5:$Y$1204,"&gt;0",'Recipe Ingredients'!$I$5:$I$1204,"No")=0,"Yes","No"))</f>
        <v>0</v>
      </c>
      <c r="U86" s="17">
        <f>IF(B86="","",IFERROR(INDEX(Ingredients!$W$5:$W$304,MATCH(B86,Ingredients!$B$5:$B$304,0)),"Add to Ingredients"))</f>
        <v>0</v>
      </c>
      <c r="Z86" s="31">
        <f>IF(B86="","",IF(V86="Yes","Bought",IF(I86=0,"In stock",IF(O86="","Check - no price","On the list"))))</f>
        <v>0</v>
      </c>
    </row>
    <row r="87" spans="1:26">
      <c r="A87" s="18">
        <f>ROW()-4</f>
        <v>0</v>
      </c>
      <c r="B87" s="17">
        <f>IFERROR(INDEX(Ingredients!$B$5:$B$304,MATCH(A87,Ingredients!$AL$5:$AL$304,0)),"")</f>
        <v>0</v>
      </c>
      <c r="C87" s="17">
        <f>IF(B87="","",IFERROR(INDEX(Ingredients!$C$5:$C$304,MATCH(B87,Ingredients!$B$5:$B$304,0)),"Add to Ingredients"))</f>
        <v>0</v>
      </c>
      <c r="D87" s="17">
        <f>IF(B87="","",IFERROR(INDEX(Ingredients!$D$5:$D$304,MATCH(B87,Ingredients!$B$5:$B$304,0)),"Add to Ingredients"))</f>
        <v>0</v>
      </c>
      <c r="E87" s="17">
        <f>IF(B87="","",IFERROR(INDEX(Ingredients!$E$5:$E$304,MATCH(B87,Ingredients!$B$5:$B$304,0)),"Add to Ingredients"))</f>
        <v>0</v>
      </c>
      <c r="F87" s="45">
        <f>IF(B87="","",IFERROR(INDEX(Ingredients!$AG$5:$AG$304,MATCH(B87,Ingredients!$B$5:$B$304,0)),""))</f>
        <v>0</v>
      </c>
      <c r="G87" s="17">
        <f>IF(B87="","",IFERROR(INDEX(Ingredients!$G$5:$G$304,MATCH(B87,Ingredients!$B$5:$B$304,0)),"Add to Ingredients"))</f>
        <v>0</v>
      </c>
      <c r="H87" s="45">
        <f>IF(B87="","",IFERROR(INDEX(Ingredients!$AD$5:$AD$304,MATCH(B87,Ingredients!$B$5:$B$304,0)),0))</f>
        <v>0</v>
      </c>
      <c r="I87" s="45">
        <f>IF(F87="","",MAX(0,F87-IF(H87="",0,H87)))</f>
        <v>0</v>
      </c>
      <c r="J87" s="45">
        <f>IF(B87="","",IFERROR(INDEX(Ingredients!$H$5:$H$304,MATCH(B87,Ingredients!$B$5:$B$304,0)),"Add to Ingredients"))</f>
        <v>0</v>
      </c>
      <c r="K87" s="25">
        <f>IF(B87="","",IFERROR(INDEX(Ingredients!$I$5:$I$304,MATCH(B87,Ingredients!$B$5:$B$304,0)),"Add to Ingredients"))</f>
        <v>0</v>
      </c>
      <c r="L87" s="25">
        <f>IF(B87="","",IFERROR(INDEX(Ingredients!$J$5:$J$304,MATCH(B87,Ingredients!$B$5:$B$304,0)),"Add to Ingredients"))</f>
        <v>0</v>
      </c>
      <c r="M87" s="45">
        <f>IF(OR(I87="",I87=0),"",IF(OR(J87="",NOT(ISNUMBER(J87)),J87=0),"",ROUNDUP(I87/J87,0)))</f>
        <v>0</v>
      </c>
      <c r="N87" s="45">
        <f>IF(I87="","",IF(RoundingRule="Exact quantity",I87,IF(M87="",I87,M87*J87)))</f>
        <v>0</v>
      </c>
      <c r="O87" s="25">
        <f>IF(N87="","",IF(RoundingRule="Exact quantity",IF(L87="","",N87*L87),IF(OR(M87="",K87=""),"",M87*K87)))</f>
        <v>0</v>
      </c>
      <c r="P87" s="25">
        <f>IF(B87="","",SUM(O$5:O87))</f>
        <v>0</v>
      </c>
      <c r="Q87" s="45">
        <f>IF(V87="Yes",0,IF(N87="",0,N87))</f>
        <v>0</v>
      </c>
      <c r="R87" s="18">
        <f>IF(OR(B87="",I87=0,I87=""),"",COUNTIFS($I$5:I87,"&gt;0"))</f>
        <v>0</v>
      </c>
      <c r="S87" s="18">
        <f>IF(B87="","",COUNTIFS('Recipe Ingredients'!$D$5:$D$1204,B87,'Recipe Ingredients'!$Y$5:$Y$1204,"&gt;0"))</f>
        <v>0</v>
      </c>
      <c r="T87" s="46">
        <f>IF(B87="","",IF(COUNTIFS('Recipe Ingredients'!$D$5:$D$1204,B87,'Recipe Ingredients'!$Y$5:$Y$1204,"&gt;0",'Recipe Ingredients'!$I$5:$I$1204,"No")=0,"Yes","No"))</f>
        <v>0</v>
      </c>
      <c r="U87" s="17">
        <f>IF(B87="","",IFERROR(INDEX(Ingredients!$W$5:$W$304,MATCH(B87,Ingredients!$B$5:$B$304,0)),"Add to Ingredients"))</f>
        <v>0</v>
      </c>
      <c r="Z87" s="31">
        <f>IF(B87="","",IF(V87="Yes","Bought",IF(I87=0,"In stock",IF(O87="","Check - no price","On the list"))))</f>
        <v>0</v>
      </c>
    </row>
    <row r="88" spans="1:26">
      <c r="A88" s="18">
        <f>ROW()-4</f>
        <v>0</v>
      </c>
      <c r="B88" s="17">
        <f>IFERROR(INDEX(Ingredients!$B$5:$B$304,MATCH(A88,Ingredients!$AL$5:$AL$304,0)),"")</f>
        <v>0</v>
      </c>
      <c r="C88" s="17">
        <f>IF(B88="","",IFERROR(INDEX(Ingredients!$C$5:$C$304,MATCH(B88,Ingredients!$B$5:$B$304,0)),"Add to Ingredients"))</f>
        <v>0</v>
      </c>
      <c r="D88" s="17">
        <f>IF(B88="","",IFERROR(INDEX(Ingredients!$D$5:$D$304,MATCH(B88,Ingredients!$B$5:$B$304,0)),"Add to Ingredients"))</f>
        <v>0</v>
      </c>
      <c r="E88" s="17">
        <f>IF(B88="","",IFERROR(INDEX(Ingredients!$E$5:$E$304,MATCH(B88,Ingredients!$B$5:$B$304,0)),"Add to Ingredients"))</f>
        <v>0</v>
      </c>
      <c r="F88" s="45">
        <f>IF(B88="","",IFERROR(INDEX(Ingredients!$AG$5:$AG$304,MATCH(B88,Ingredients!$B$5:$B$304,0)),""))</f>
        <v>0</v>
      </c>
      <c r="G88" s="17">
        <f>IF(B88="","",IFERROR(INDEX(Ingredients!$G$5:$G$304,MATCH(B88,Ingredients!$B$5:$B$304,0)),"Add to Ingredients"))</f>
        <v>0</v>
      </c>
      <c r="H88" s="45">
        <f>IF(B88="","",IFERROR(INDEX(Ingredients!$AD$5:$AD$304,MATCH(B88,Ingredients!$B$5:$B$304,0)),0))</f>
        <v>0</v>
      </c>
      <c r="I88" s="45">
        <f>IF(F88="","",MAX(0,F88-IF(H88="",0,H88)))</f>
        <v>0</v>
      </c>
      <c r="J88" s="45">
        <f>IF(B88="","",IFERROR(INDEX(Ingredients!$H$5:$H$304,MATCH(B88,Ingredients!$B$5:$B$304,0)),"Add to Ingredients"))</f>
        <v>0</v>
      </c>
      <c r="K88" s="25">
        <f>IF(B88="","",IFERROR(INDEX(Ingredients!$I$5:$I$304,MATCH(B88,Ingredients!$B$5:$B$304,0)),"Add to Ingredients"))</f>
        <v>0</v>
      </c>
      <c r="L88" s="25">
        <f>IF(B88="","",IFERROR(INDEX(Ingredients!$J$5:$J$304,MATCH(B88,Ingredients!$B$5:$B$304,0)),"Add to Ingredients"))</f>
        <v>0</v>
      </c>
      <c r="M88" s="45">
        <f>IF(OR(I88="",I88=0),"",IF(OR(J88="",NOT(ISNUMBER(J88)),J88=0),"",ROUNDUP(I88/J88,0)))</f>
        <v>0</v>
      </c>
      <c r="N88" s="45">
        <f>IF(I88="","",IF(RoundingRule="Exact quantity",I88,IF(M88="",I88,M88*J88)))</f>
        <v>0</v>
      </c>
      <c r="O88" s="25">
        <f>IF(N88="","",IF(RoundingRule="Exact quantity",IF(L88="","",N88*L88),IF(OR(M88="",K88=""),"",M88*K88)))</f>
        <v>0</v>
      </c>
      <c r="P88" s="25">
        <f>IF(B88="","",SUM(O$5:O88))</f>
        <v>0</v>
      </c>
      <c r="Q88" s="45">
        <f>IF(V88="Yes",0,IF(N88="",0,N88))</f>
        <v>0</v>
      </c>
      <c r="R88" s="18">
        <f>IF(OR(B88="",I88=0,I88=""),"",COUNTIFS($I$5:I88,"&gt;0"))</f>
        <v>0</v>
      </c>
      <c r="S88" s="18">
        <f>IF(B88="","",COUNTIFS('Recipe Ingredients'!$D$5:$D$1204,B88,'Recipe Ingredients'!$Y$5:$Y$1204,"&gt;0"))</f>
        <v>0</v>
      </c>
      <c r="T88" s="46">
        <f>IF(B88="","",IF(COUNTIFS('Recipe Ingredients'!$D$5:$D$1204,B88,'Recipe Ingredients'!$Y$5:$Y$1204,"&gt;0",'Recipe Ingredients'!$I$5:$I$1204,"No")=0,"Yes","No"))</f>
        <v>0</v>
      </c>
      <c r="U88" s="17">
        <f>IF(B88="","",IFERROR(INDEX(Ingredients!$W$5:$W$304,MATCH(B88,Ingredients!$B$5:$B$304,0)),"Add to Ingredients"))</f>
        <v>0</v>
      </c>
      <c r="Z88" s="31">
        <f>IF(B88="","",IF(V88="Yes","Bought",IF(I88=0,"In stock",IF(O88="","Check - no price","On the list"))))</f>
        <v>0</v>
      </c>
    </row>
    <row r="89" spans="1:26">
      <c r="A89" s="18">
        <f>ROW()-4</f>
        <v>0</v>
      </c>
      <c r="B89" s="17">
        <f>IFERROR(INDEX(Ingredients!$B$5:$B$304,MATCH(A89,Ingredients!$AL$5:$AL$304,0)),"")</f>
        <v>0</v>
      </c>
      <c r="C89" s="17">
        <f>IF(B89="","",IFERROR(INDEX(Ingredients!$C$5:$C$304,MATCH(B89,Ingredients!$B$5:$B$304,0)),"Add to Ingredients"))</f>
        <v>0</v>
      </c>
      <c r="D89" s="17">
        <f>IF(B89="","",IFERROR(INDEX(Ingredients!$D$5:$D$304,MATCH(B89,Ingredients!$B$5:$B$304,0)),"Add to Ingredients"))</f>
        <v>0</v>
      </c>
      <c r="E89" s="17">
        <f>IF(B89="","",IFERROR(INDEX(Ingredients!$E$5:$E$304,MATCH(B89,Ingredients!$B$5:$B$304,0)),"Add to Ingredients"))</f>
        <v>0</v>
      </c>
      <c r="F89" s="45">
        <f>IF(B89="","",IFERROR(INDEX(Ingredients!$AG$5:$AG$304,MATCH(B89,Ingredients!$B$5:$B$304,0)),""))</f>
        <v>0</v>
      </c>
      <c r="G89" s="17">
        <f>IF(B89="","",IFERROR(INDEX(Ingredients!$G$5:$G$304,MATCH(B89,Ingredients!$B$5:$B$304,0)),"Add to Ingredients"))</f>
        <v>0</v>
      </c>
      <c r="H89" s="45">
        <f>IF(B89="","",IFERROR(INDEX(Ingredients!$AD$5:$AD$304,MATCH(B89,Ingredients!$B$5:$B$304,0)),0))</f>
        <v>0</v>
      </c>
      <c r="I89" s="45">
        <f>IF(F89="","",MAX(0,F89-IF(H89="",0,H89)))</f>
        <v>0</v>
      </c>
      <c r="J89" s="45">
        <f>IF(B89="","",IFERROR(INDEX(Ingredients!$H$5:$H$304,MATCH(B89,Ingredients!$B$5:$B$304,0)),"Add to Ingredients"))</f>
        <v>0</v>
      </c>
      <c r="K89" s="25">
        <f>IF(B89="","",IFERROR(INDEX(Ingredients!$I$5:$I$304,MATCH(B89,Ingredients!$B$5:$B$304,0)),"Add to Ingredients"))</f>
        <v>0</v>
      </c>
      <c r="L89" s="25">
        <f>IF(B89="","",IFERROR(INDEX(Ingredients!$J$5:$J$304,MATCH(B89,Ingredients!$B$5:$B$304,0)),"Add to Ingredients"))</f>
        <v>0</v>
      </c>
      <c r="M89" s="45">
        <f>IF(OR(I89="",I89=0),"",IF(OR(J89="",NOT(ISNUMBER(J89)),J89=0),"",ROUNDUP(I89/J89,0)))</f>
        <v>0</v>
      </c>
      <c r="N89" s="45">
        <f>IF(I89="","",IF(RoundingRule="Exact quantity",I89,IF(M89="",I89,M89*J89)))</f>
        <v>0</v>
      </c>
      <c r="O89" s="25">
        <f>IF(N89="","",IF(RoundingRule="Exact quantity",IF(L89="","",N89*L89),IF(OR(M89="",K89=""),"",M89*K89)))</f>
        <v>0</v>
      </c>
      <c r="P89" s="25">
        <f>IF(B89="","",SUM(O$5:O89))</f>
        <v>0</v>
      </c>
      <c r="Q89" s="45">
        <f>IF(V89="Yes",0,IF(N89="",0,N89))</f>
        <v>0</v>
      </c>
      <c r="R89" s="18">
        <f>IF(OR(B89="",I89=0,I89=""),"",COUNTIFS($I$5:I89,"&gt;0"))</f>
        <v>0</v>
      </c>
      <c r="S89" s="18">
        <f>IF(B89="","",COUNTIFS('Recipe Ingredients'!$D$5:$D$1204,B89,'Recipe Ingredients'!$Y$5:$Y$1204,"&gt;0"))</f>
        <v>0</v>
      </c>
      <c r="T89" s="46">
        <f>IF(B89="","",IF(COUNTIFS('Recipe Ingredients'!$D$5:$D$1204,B89,'Recipe Ingredients'!$Y$5:$Y$1204,"&gt;0",'Recipe Ingredients'!$I$5:$I$1204,"No")=0,"Yes","No"))</f>
        <v>0</v>
      </c>
      <c r="U89" s="17">
        <f>IF(B89="","",IFERROR(INDEX(Ingredients!$W$5:$W$304,MATCH(B89,Ingredients!$B$5:$B$304,0)),"Add to Ingredients"))</f>
        <v>0</v>
      </c>
      <c r="Z89" s="31">
        <f>IF(B89="","",IF(V89="Yes","Bought",IF(I89=0,"In stock",IF(O89="","Check - no price","On the list"))))</f>
        <v>0</v>
      </c>
    </row>
    <row r="90" spans="1:26">
      <c r="A90" s="18">
        <f>ROW()-4</f>
        <v>0</v>
      </c>
      <c r="B90" s="17">
        <f>IFERROR(INDEX(Ingredients!$B$5:$B$304,MATCH(A90,Ingredients!$AL$5:$AL$304,0)),"")</f>
        <v>0</v>
      </c>
      <c r="C90" s="17">
        <f>IF(B90="","",IFERROR(INDEX(Ingredients!$C$5:$C$304,MATCH(B90,Ingredients!$B$5:$B$304,0)),"Add to Ingredients"))</f>
        <v>0</v>
      </c>
      <c r="D90" s="17">
        <f>IF(B90="","",IFERROR(INDEX(Ingredients!$D$5:$D$304,MATCH(B90,Ingredients!$B$5:$B$304,0)),"Add to Ingredients"))</f>
        <v>0</v>
      </c>
      <c r="E90" s="17">
        <f>IF(B90="","",IFERROR(INDEX(Ingredients!$E$5:$E$304,MATCH(B90,Ingredients!$B$5:$B$304,0)),"Add to Ingredients"))</f>
        <v>0</v>
      </c>
      <c r="F90" s="45">
        <f>IF(B90="","",IFERROR(INDEX(Ingredients!$AG$5:$AG$304,MATCH(B90,Ingredients!$B$5:$B$304,0)),""))</f>
        <v>0</v>
      </c>
      <c r="G90" s="17">
        <f>IF(B90="","",IFERROR(INDEX(Ingredients!$G$5:$G$304,MATCH(B90,Ingredients!$B$5:$B$304,0)),"Add to Ingredients"))</f>
        <v>0</v>
      </c>
      <c r="H90" s="45">
        <f>IF(B90="","",IFERROR(INDEX(Ingredients!$AD$5:$AD$304,MATCH(B90,Ingredients!$B$5:$B$304,0)),0))</f>
        <v>0</v>
      </c>
      <c r="I90" s="45">
        <f>IF(F90="","",MAX(0,F90-IF(H90="",0,H90)))</f>
        <v>0</v>
      </c>
      <c r="J90" s="45">
        <f>IF(B90="","",IFERROR(INDEX(Ingredients!$H$5:$H$304,MATCH(B90,Ingredients!$B$5:$B$304,0)),"Add to Ingredients"))</f>
        <v>0</v>
      </c>
      <c r="K90" s="25">
        <f>IF(B90="","",IFERROR(INDEX(Ingredients!$I$5:$I$304,MATCH(B90,Ingredients!$B$5:$B$304,0)),"Add to Ingredients"))</f>
        <v>0</v>
      </c>
      <c r="L90" s="25">
        <f>IF(B90="","",IFERROR(INDEX(Ingredients!$J$5:$J$304,MATCH(B90,Ingredients!$B$5:$B$304,0)),"Add to Ingredients"))</f>
        <v>0</v>
      </c>
      <c r="M90" s="45">
        <f>IF(OR(I90="",I90=0),"",IF(OR(J90="",NOT(ISNUMBER(J90)),J90=0),"",ROUNDUP(I90/J90,0)))</f>
        <v>0</v>
      </c>
      <c r="N90" s="45">
        <f>IF(I90="","",IF(RoundingRule="Exact quantity",I90,IF(M90="",I90,M90*J90)))</f>
        <v>0</v>
      </c>
      <c r="O90" s="25">
        <f>IF(N90="","",IF(RoundingRule="Exact quantity",IF(L90="","",N90*L90),IF(OR(M90="",K90=""),"",M90*K90)))</f>
        <v>0</v>
      </c>
      <c r="P90" s="25">
        <f>IF(B90="","",SUM(O$5:O90))</f>
        <v>0</v>
      </c>
      <c r="Q90" s="45">
        <f>IF(V90="Yes",0,IF(N90="",0,N90))</f>
        <v>0</v>
      </c>
      <c r="R90" s="18">
        <f>IF(OR(B90="",I90=0,I90=""),"",COUNTIFS($I$5:I90,"&gt;0"))</f>
        <v>0</v>
      </c>
      <c r="S90" s="18">
        <f>IF(B90="","",COUNTIFS('Recipe Ingredients'!$D$5:$D$1204,B90,'Recipe Ingredients'!$Y$5:$Y$1204,"&gt;0"))</f>
        <v>0</v>
      </c>
      <c r="T90" s="46">
        <f>IF(B90="","",IF(COUNTIFS('Recipe Ingredients'!$D$5:$D$1204,B90,'Recipe Ingredients'!$Y$5:$Y$1204,"&gt;0",'Recipe Ingredients'!$I$5:$I$1204,"No")=0,"Yes","No"))</f>
        <v>0</v>
      </c>
      <c r="U90" s="17">
        <f>IF(B90="","",IFERROR(INDEX(Ingredients!$W$5:$W$304,MATCH(B90,Ingredients!$B$5:$B$304,0)),"Add to Ingredients"))</f>
        <v>0</v>
      </c>
      <c r="Z90" s="31">
        <f>IF(B90="","",IF(V90="Yes","Bought",IF(I90=0,"In stock",IF(O90="","Check - no price","On the list"))))</f>
        <v>0</v>
      </c>
    </row>
    <row r="91" spans="1:26">
      <c r="A91" s="18">
        <f>ROW()-4</f>
        <v>0</v>
      </c>
      <c r="B91" s="17">
        <f>IFERROR(INDEX(Ingredients!$B$5:$B$304,MATCH(A91,Ingredients!$AL$5:$AL$304,0)),"")</f>
        <v>0</v>
      </c>
      <c r="C91" s="17">
        <f>IF(B91="","",IFERROR(INDEX(Ingredients!$C$5:$C$304,MATCH(B91,Ingredients!$B$5:$B$304,0)),"Add to Ingredients"))</f>
        <v>0</v>
      </c>
      <c r="D91" s="17">
        <f>IF(B91="","",IFERROR(INDEX(Ingredients!$D$5:$D$304,MATCH(B91,Ingredients!$B$5:$B$304,0)),"Add to Ingredients"))</f>
        <v>0</v>
      </c>
      <c r="E91" s="17">
        <f>IF(B91="","",IFERROR(INDEX(Ingredients!$E$5:$E$304,MATCH(B91,Ingredients!$B$5:$B$304,0)),"Add to Ingredients"))</f>
        <v>0</v>
      </c>
      <c r="F91" s="45">
        <f>IF(B91="","",IFERROR(INDEX(Ingredients!$AG$5:$AG$304,MATCH(B91,Ingredients!$B$5:$B$304,0)),""))</f>
        <v>0</v>
      </c>
      <c r="G91" s="17">
        <f>IF(B91="","",IFERROR(INDEX(Ingredients!$G$5:$G$304,MATCH(B91,Ingredients!$B$5:$B$304,0)),"Add to Ingredients"))</f>
        <v>0</v>
      </c>
      <c r="H91" s="45">
        <f>IF(B91="","",IFERROR(INDEX(Ingredients!$AD$5:$AD$304,MATCH(B91,Ingredients!$B$5:$B$304,0)),0))</f>
        <v>0</v>
      </c>
      <c r="I91" s="45">
        <f>IF(F91="","",MAX(0,F91-IF(H91="",0,H91)))</f>
        <v>0</v>
      </c>
      <c r="J91" s="45">
        <f>IF(B91="","",IFERROR(INDEX(Ingredients!$H$5:$H$304,MATCH(B91,Ingredients!$B$5:$B$304,0)),"Add to Ingredients"))</f>
        <v>0</v>
      </c>
      <c r="K91" s="25">
        <f>IF(B91="","",IFERROR(INDEX(Ingredients!$I$5:$I$304,MATCH(B91,Ingredients!$B$5:$B$304,0)),"Add to Ingredients"))</f>
        <v>0</v>
      </c>
      <c r="L91" s="25">
        <f>IF(B91="","",IFERROR(INDEX(Ingredients!$J$5:$J$304,MATCH(B91,Ingredients!$B$5:$B$304,0)),"Add to Ingredients"))</f>
        <v>0</v>
      </c>
      <c r="M91" s="45">
        <f>IF(OR(I91="",I91=0),"",IF(OR(J91="",NOT(ISNUMBER(J91)),J91=0),"",ROUNDUP(I91/J91,0)))</f>
        <v>0</v>
      </c>
      <c r="N91" s="45">
        <f>IF(I91="","",IF(RoundingRule="Exact quantity",I91,IF(M91="",I91,M91*J91)))</f>
        <v>0</v>
      </c>
      <c r="O91" s="25">
        <f>IF(N91="","",IF(RoundingRule="Exact quantity",IF(L91="","",N91*L91),IF(OR(M91="",K91=""),"",M91*K91)))</f>
        <v>0</v>
      </c>
      <c r="P91" s="25">
        <f>IF(B91="","",SUM(O$5:O91))</f>
        <v>0</v>
      </c>
      <c r="Q91" s="45">
        <f>IF(V91="Yes",0,IF(N91="",0,N91))</f>
        <v>0</v>
      </c>
      <c r="R91" s="18">
        <f>IF(OR(B91="",I91=0,I91=""),"",COUNTIFS($I$5:I91,"&gt;0"))</f>
        <v>0</v>
      </c>
      <c r="S91" s="18">
        <f>IF(B91="","",COUNTIFS('Recipe Ingredients'!$D$5:$D$1204,B91,'Recipe Ingredients'!$Y$5:$Y$1204,"&gt;0"))</f>
        <v>0</v>
      </c>
      <c r="T91" s="46">
        <f>IF(B91="","",IF(COUNTIFS('Recipe Ingredients'!$D$5:$D$1204,B91,'Recipe Ingredients'!$Y$5:$Y$1204,"&gt;0",'Recipe Ingredients'!$I$5:$I$1204,"No")=0,"Yes","No"))</f>
        <v>0</v>
      </c>
      <c r="U91" s="17">
        <f>IF(B91="","",IFERROR(INDEX(Ingredients!$W$5:$W$304,MATCH(B91,Ingredients!$B$5:$B$304,0)),"Add to Ingredients"))</f>
        <v>0</v>
      </c>
      <c r="Z91" s="31">
        <f>IF(B91="","",IF(V91="Yes","Bought",IF(I91=0,"In stock",IF(O91="","Check - no price","On the list"))))</f>
        <v>0</v>
      </c>
    </row>
    <row r="92" spans="1:26">
      <c r="A92" s="18">
        <f>ROW()-4</f>
        <v>0</v>
      </c>
      <c r="B92" s="17">
        <f>IFERROR(INDEX(Ingredients!$B$5:$B$304,MATCH(A92,Ingredients!$AL$5:$AL$304,0)),"")</f>
        <v>0</v>
      </c>
      <c r="C92" s="17">
        <f>IF(B92="","",IFERROR(INDEX(Ingredients!$C$5:$C$304,MATCH(B92,Ingredients!$B$5:$B$304,0)),"Add to Ingredients"))</f>
        <v>0</v>
      </c>
      <c r="D92" s="17">
        <f>IF(B92="","",IFERROR(INDEX(Ingredients!$D$5:$D$304,MATCH(B92,Ingredients!$B$5:$B$304,0)),"Add to Ingredients"))</f>
        <v>0</v>
      </c>
      <c r="E92" s="17">
        <f>IF(B92="","",IFERROR(INDEX(Ingredients!$E$5:$E$304,MATCH(B92,Ingredients!$B$5:$B$304,0)),"Add to Ingredients"))</f>
        <v>0</v>
      </c>
      <c r="F92" s="45">
        <f>IF(B92="","",IFERROR(INDEX(Ingredients!$AG$5:$AG$304,MATCH(B92,Ingredients!$B$5:$B$304,0)),""))</f>
        <v>0</v>
      </c>
      <c r="G92" s="17">
        <f>IF(B92="","",IFERROR(INDEX(Ingredients!$G$5:$G$304,MATCH(B92,Ingredients!$B$5:$B$304,0)),"Add to Ingredients"))</f>
        <v>0</v>
      </c>
      <c r="H92" s="45">
        <f>IF(B92="","",IFERROR(INDEX(Ingredients!$AD$5:$AD$304,MATCH(B92,Ingredients!$B$5:$B$304,0)),0))</f>
        <v>0</v>
      </c>
      <c r="I92" s="45">
        <f>IF(F92="","",MAX(0,F92-IF(H92="",0,H92)))</f>
        <v>0</v>
      </c>
      <c r="J92" s="45">
        <f>IF(B92="","",IFERROR(INDEX(Ingredients!$H$5:$H$304,MATCH(B92,Ingredients!$B$5:$B$304,0)),"Add to Ingredients"))</f>
        <v>0</v>
      </c>
      <c r="K92" s="25">
        <f>IF(B92="","",IFERROR(INDEX(Ingredients!$I$5:$I$304,MATCH(B92,Ingredients!$B$5:$B$304,0)),"Add to Ingredients"))</f>
        <v>0</v>
      </c>
      <c r="L92" s="25">
        <f>IF(B92="","",IFERROR(INDEX(Ingredients!$J$5:$J$304,MATCH(B92,Ingredients!$B$5:$B$304,0)),"Add to Ingredients"))</f>
        <v>0</v>
      </c>
      <c r="M92" s="45">
        <f>IF(OR(I92="",I92=0),"",IF(OR(J92="",NOT(ISNUMBER(J92)),J92=0),"",ROUNDUP(I92/J92,0)))</f>
        <v>0</v>
      </c>
      <c r="N92" s="45">
        <f>IF(I92="","",IF(RoundingRule="Exact quantity",I92,IF(M92="",I92,M92*J92)))</f>
        <v>0</v>
      </c>
      <c r="O92" s="25">
        <f>IF(N92="","",IF(RoundingRule="Exact quantity",IF(L92="","",N92*L92),IF(OR(M92="",K92=""),"",M92*K92)))</f>
        <v>0</v>
      </c>
      <c r="P92" s="25">
        <f>IF(B92="","",SUM(O$5:O92))</f>
        <v>0</v>
      </c>
      <c r="Q92" s="45">
        <f>IF(V92="Yes",0,IF(N92="",0,N92))</f>
        <v>0</v>
      </c>
      <c r="R92" s="18">
        <f>IF(OR(B92="",I92=0,I92=""),"",COUNTIFS($I$5:I92,"&gt;0"))</f>
        <v>0</v>
      </c>
      <c r="S92" s="18">
        <f>IF(B92="","",COUNTIFS('Recipe Ingredients'!$D$5:$D$1204,B92,'Recipe Ingredients'!$Y$5:$Y$1204,"&gt;0"))</f>
        <v>0</v>
      </c>
      <c r="T92" s="46">
        <f>IF(B92="","",IF(COUNTIFS('Recipe Ingredients'!$D$5:$D$1204,B92,'Recipe Ingredients'!$Y$5:$Y$1204,"&gt;0",'Recipe Ingredients'!$I$5:$I$1204,"No")=0,"Yes","No"))</f>
        <v>0</v>
      </c>
      <c r="U92" s="17">
        <f>IF(B92="","",IFERROR(INDEX(Ingredients!$W$5:$W$304,MATCH(B92,Ingredients!$B$5:$B$304,0)),"Add to Ingredients"))</f>
        <v>0</v>
      </c>
      <c r="Z92" s="31">
        <f>IF(B92="","",IF(V92="Yes","Bought",IF(I92=0,"In stock",IF(O92="","Check - no price","On the list"))))</f>
        <v>0</v>
      </c>
    </row>
    <row r="93" spans="1:26">
      <c r="A93" s="18">
        <f>ROW()-4</f>
        <v>0</v>
      </c>
      <c r="B93" s="17">
        <f>IFERROR(INDEX(Ingredients!$B$5:$B$304,MATCH(A93,Ingredients!$AL$5:$AL$304,0)),"")</f>
        <v>0</v>
      </c>
      <c r="C93" s="17">
        <f>IF(B93="","",IFERROR(INDEX(Ingredients!$C$5:$C$304,MATCH(B93,Ingredients!$B$5:$B$304,0)),"Add to Ingredients"))</f>
        <v>0</v>
      </c>
      <c r="D93" s="17">
        <f>IF(B93="","",IFERROR(INDEX(Ingredients!$D$5:$D$304,MATCH(B93,Ingredients!$B$5:$B$304,0)),"Add to Ingredients"))</f>
        <v>0</v>
      </c>
      <c r="E93" s="17">
        <f>IF(B93="","",IFERROR(INDEX(Ingredients!$E$5:$E$304,MATCH(B93,Ingredients!$B$5:$B$304,0)),"Add to Ingredients"))</f>
        <v>0</v>
      </c>
      <c r="F93" s="45">
        <f>IF(B93="","",IFERROR(INDEX(Ingredients!$AG$5:$AG$304,MATCH(B93,Ingredients!$B$5:$B$304,0)),""))</f>
        <v>0</v>
      </c>
      <c r="G93" s="17">
        <f>IF(B93="","",IFERROR(INDEX(Ingredients!$G$5:$G$304,MATCH(B93,Ingredients!$B$5:$B$304,0)),"Add to Ingredients"))</f>
        <v>0</v>
      </c>
      <c r="H93" s="45">
        <f>IF(B93="","",IFERROR(INDEX(Ingredients!$AD$5:$AD$304,MATCH(B93,Ingredients!$B$5:$B$304,0)),0))</f>
        <v>0</v>
      </c>
      <c r="I93" s="45">
        <f>IF(F93="","",MAX(0,F93-IF(H93="",0,H93)))</f>
        <v>0</v>
      </c>
      <c r="J93" s="45">
        <f>IF(B93="","",IFERROR(INDEX(Ingredients!$H$5:$H$304,MATCH(B93,Ingredients!$B$5:$B$304,0)),"Add to Ingredients"))</f>
        <v>0</v>
      </c>
      <c r="K93" s="25">
        <f>IF(B93="","",IFERROR(INDEX(Ingredients!$I$5:$I$304,MATCH(B93,Ingredients!$B$5:$B$304,0)),"Add to Ingredients"))</f>
        <v>0</v>
      </c>
      <c r="L93" s="25">
        <f>IF(B93="","",IFERROR(INDEX(Ingredients!$J$5:$J$304,MATCH(B93,Ingredients!$B$5:$B$304,0)),"Add to Ingredients"))</f>
        <v>0</v>
      </c>
      <c r="M93" s="45">
        <f>IF(OR(I93="",I93=0),"",IF(OR(J93="",NOT(ISNUMBER(J93)),J93=0),"",ROUNDUP(I93/J93,0)))</f>
        <v>0</v>
      </c>
      <c r="N93" s="45">
        <f>IF(I93="","",IF(RoundingRule="Exact quantity",I93,IF(M93="",I93,M93*J93)))</f>
        <v>0</v>
      </c>
      <c r="O93" s="25">
        <f>IF(N93="","",IF(RoundingRule="Exact quantity",IF(L93="","",N93*L93),IF(OR(M93="",K93=""),"",M93*K93)))</f>
        <v>0</v>
      </c>
      <c r="P93" s="25">
        <f>IF(B93="","",SUM(O$5:O93))</f>
        <v>0</v>
      </c>
      <c r="Q93" s="45">
        <f>IF(V93="Yes",0,IF(N93="",0,N93))</f>
        <v>0</v>
      </c>
      <c r="R93" s="18">
        <f>IF(OR(B93="",I93=0,I93=""),"",COUNTIFS($I$5:I93,"&gt;0"))</f>
        <v>0</v>
      </c>
      <c r="S93" s="18">
        <f>IF(B93="","",COUNTIFS('Recipe Ingredients'!$D$5:$D$1204,B93,'Recipe Ingredients'!$Y$5:$Y$1204,"&gt;0"))</f>
        <v>0</v>
      </c>
      <c r="T93" s="46">
        <f>IF(B93="","",IF(COUNTIFS('Recipe Ingredients'!$D$5:$D$1204,B93,'Recipe Ingredients'!$Y$5:$Y$1204,"&gt;0",'Recipe Ingredients'!$I$5:$I$1204,"No")=0,"Yes","No"))</f>
        <v>0</v>
      </c>
      <c r="U93" s="17">
        <f>IF(B93="","",IFERROR(INDEX(Ingredients!$W$5:$W$304,MATCH(B93,Ingredients!$B$5:$B$304,0)),"Add to Ingredients"))</f>
        <v>0</v>
      </c>
      <c r="Z93" s="31">
        <f>IF(B93="","",IF(V93="Yes","Bought",IF(I93=0,"In stock",IF(O93="","Check - no price","On the list"))))</f>
        <v>0</v>
      </c>
    </row>
    <row r="94" spans="1:26">
      <c r="A94" s="18">
        <f>ROW()-4</f>
        <v>0</v>
      </c>
      <c r="B94" s="17">
        <f>IFERROR(INDEX(Ingredients!$B$5:$B$304,MATCH(A94,Ingredients!$AL$5:$AL$304,0)),"")</f>
        <v>0</v>
      </c>
      <c r="C94" s="17">
        <f>IF(B94="","",IFERROR(INDEX(Ingredients!$C$5:$C$304,MATCH(B94,Ingredients!$B$5:$B$304,0)),"Add to Ingredients"))</f>
        <v>0</v>
      </c>
      <c r="D94" s="17">
        <f>IF(B94="","",IFERROR(INDEX(Ingredients!$D$5:$D$304,MATCH(B94,Ingredients!$B$5:$B$304,0)),"Add to Ingredients"))</f>
        <v>0</v>
      </c>
      <c r="E94" s="17">
        <f>IF(B94="","",IFERROR(INDEX(Ingredients!$E$5:$E$304,MATCH(B94,Ingredients!$B$5:$B$304,0)),"Add to Ingredients"))</f>
        <v>0</v>
      </c>
      <c r="F94" s="45">
        <f>IF(B94="","",IFERROR(INDEX(Ingredients!$AG$5:$AG$304,MATCH(B94,Ingredients!$B$5:$B$304,0)),""))</f>
        <v>0</v>
      </c>
      <c r="G94" s="17">
        <f>IF(B94="","",IFERROR(INDEX(Ingredients!$G$5:$G$304,MATCH(B94,Ingredients!$B$5:$B$304,0)),"Add to Ingredients"))</f>
        <v>0</v>
      </c>
      <c r="H94" s="45">
        <f>IF(B94="","",IFERROR(INDEX(Ingredients!$AD$5:$AD$304,MATCH(B94,Ingredients!$B$5:$B$304,0)),0))</f>
        <v>0</v>
      </c>
      <c r="I94" s="45">
        <f>IF(F94="","",MAX(0,F94-IF(H94="",0,H94)))</f>
        <v>0</v>
      </c>
      <c r="J94" s="45">
        <f>IF(B94="","",IFERROR(INDEX(Ingredients!$H$5:$H$304,MATCH(B94,Ingredients!$B$5:$B$304,0)),"Add to Ingredients"))</f>
        <v>0</v>
      </c>
      <c r="K94" s="25">
        <f>IF(B94="","",IFERROR(INDEX(Ingredients!$I$5:$I$304,MATCH(B94,Ingredients!$B$5:$B$304,0)),"Add to Ingredients"))</f>
        <v>0</v>
      </c>
      <c r="L94" s="25">
        <f>IF(B94="","",IFERROR(INDEX(Ingredients!$J$5:$J$304,MATCH(B94,Ingredients!$B$5:$B$304,0)),"Add to Ingredients"))</f>
        <v>0</v>
      </c>
      <c r="M94" s="45">
        <f>IF(OR(I94="",I94=0),"",IF(OR(J94="",NOT(ISNUMBER(J94)),J94=0),"",ROUNDUP(I94/J94,0)))</f>
        <v>0</v>
      </c>
      <c r="N94" s="45">
        <f>IF(I94="","",IF(RoundingRule="Exact quantity",I94,IF(M94="",I94,M94*J94)))</f>
        <v>0</v>
      </c>
      <c r="O94" s="25">
        <f>IF(N94="","",IF(RoundingRule="Exact quantity",IF(L94="","",N94*L94),IF(OR(M94="",K94=""),"",M94*K94)))</f>
        <v>0</v>
      </c>
      <c r="P94" s="25">
        <f>IF(B94="","",SUM(O$5:O94))</f>
        <v>0</v>
      </c>
      <c r="Q94" s="45">
        <f>IF(V94="Yes",0,IF(N94="",0,N94))</f>
        <v>0</v>
      </c>
      <c r="R94" s="18">
        <f>IF(OR(B94="",I94=0,I94=""),"",COUNTIFS($I$5:I94,"&gt;0"))</f>
        <v>0</v>
      </c>
      <c r="S94" s="18">
        <f>IF(B94="","",COUNTIFS('Recipe Ingredients'!$D$5:$D$1204,B94,'Recipe Ingredients'!$Y$5:$Y$1204,"&gt;0"))</f>
        <v>0</v>
      </c>
      <c r="T94" s="46">
        <f>IF(B94="","",IF(COUNTIFS('Recipe Ingredients'!$D$5:$D$1204,B94,'Recipe Ingredients'!$Y$5:$Y$1204,"&gt;0",'Recipe Ingredients'!$I$5:$I$1204,"No")=0,"Yes","No"))</f>
        <v>0</v>
      </c>
      <c r="U94" s="17">
        <f>IF(B94="","",IFERROR(INDEX(Ingredients!$W$5:$W$304,MATCH(B94,Ingredients!$B$5:$B$304,0)),"Add to Ingredients"))</f>
        <v>0</v>
      </c>
      <c r="Z94" s="31">
        <f>IF(B94="","",IF(V94="Yes","Bought",IF(I94=0,"In stock",IF(O94="","Check - no price","On the list"))))</f>
        <v>0</v>
      </c>
    </row>
    <row r="95" spans="1:26">
      <c r="A95" s="18">
        <f>ROW()-4</f>
        <v>0</v>
      </c>
      <c r="B95" s="17">
        <f>IFERROR(INDEX(Ingredients!$B$5:$B$304,MATCH(A95,Ingredients!$AL$5:$AL$304,0)),"")</f>
        <v>0</v>
      </c>
      <c r="C95" s="17">
        <f>IF(B95="","",IFERROR(INDEX(Ingredients!$C$5:$C$304,MATCH(B95,Ingredients!$B$5:$B$304,0)),"Add to Ingredients"))</f>
        <v>0</v>
      </c>
      <c r="D95" s="17">
        <f>IF(B95="","",IFERROR(INDEX(Ingredients!$D$5:$D$304,MATCH(B95,Ingredients!$B$5:$B$304,0)),"Add to Ingredients"))</f>
        <v>0</v>
      </c>
      <c r="E95" s="17">
        <f>IF(B95="","",IFERROR(INDEX(Ingredients!$E$5:$E$304,MATCH(B95,Ingredients!$B$5:$B$304,0)),"Add to Ingredients"))</f>
        <v>0</v>
      </c>
      <c r="F95" s="45">
        <f>IF(B95="","",IFERROR(INDEX(Ingredients!$AG$5:$AG$304,MATCH(B95,Ingredients!$B$5:$B$304,0)),""))</f>
        <v>0</v>
      </c>
      <c r="G95" s="17">
        <f>IF(B95="","",IFERROR(INDEX(Ingredients!$G$5:$G$304,MATCH(B95,Ingredients!$B$5:$B$304,0)),"Add to Ingredients"))</f>
        <v>0</v>
      </c>
      <c r="H95" s="45">
        <f>IF(B95="","",IFERROR(INDEX(Ingredients!$AD$5:$AD$304,MATCH(B95,Ingredients!$B$5:$B$304,0)),0))</f>
        <v>0</v>
      </c>
      <c r="I95" s="45">
        <f>IF(F95="","",MAX(0,F95-IF(H95="",0,H95)))</f>
        <v>0</v>
      </c>
      <c r="J95" s="45">
        <f>IF(B95="","",IFERROR(INDEX(Ingredients!$H$5:$H$304,MATCH(B95,Ingredients!$B$5:$B$304,0)),"Add to Ingredients"))</f>
        <v>0</v>
      </c>
      <c r="K95" s="25">
        <f>IF(B95="","",IFERROR(INDEX(Ingredients!$I$5:$I$304,MATCH(B95,Ingredients!$B$5:$B$304,0)),"Add to Ingredients"))</f>
        <v>0</v>
      </c>
      <c r="L95" s="25">
        <f>IF(B95="","",IFERROR(INDEX(Ingredients!$J$5:$J$304,MATCH(B95,Ingredients!$B$5:$B$304,0)),"Add to Ingredients"))</f>
        <v>0</v>
      </c>
      <c r="M95" s="45">
        <f>IF(OR(I95="",I95=0),"",IF(OR(J95="",NOT(ISNUMBER(J95)),J95=0),"",ROUNDUP(I95/J95,0)))</f>
        <v>0</v>
      </c>
      <c r="N95" s="45">
        <f>IF(I95="","",IF(RoundingRule="Exact quantity",I95,IF(M95="",I95,M95*J95)))</f>
        <v>0</v>
      </c>
      <c r="O95" s="25">
        <f>IF(N95="","",IF(RoundingRule="Exact quantity",IF(L95="","",N95*L95),IF(OR(M95="",K95=""),"",M95*K95)))</f>
        <v>0</v>
      </c>
      <c r="P95" s="25">
        <f>IF(B95="","",SUM(O$5:O95))</f>
        <v>0</v>
      </c>
      <c r="Q95" s="45">
        <f>IF(V95="Yes",0,IF(N95="",0,N95))</f>
        <v>0</v>
      </c>
      <c r="R95" s="18">
        <f>IF(OR(B95="",I95=0,I95=""),"",COUNTIFS($I$5:I95,"&gt;0"))</f>
        <v>0</v>
      </c>
      <c r="S95" s="18">
        <f>IF(B95="","",COUNTIFS('Recipe Ingredients'!$D$5:$D$1204,B95,'Recipe Ingredients'!$Y$5:$Y$1204,"&gt;0"))</f>
        <v>0</v>
      </c>
      <c r="T95" s="46">
        <f>IF(B95="","",IF(COUNTIFS('Recipe Ingredients'!$D$5:$D$1204,B95,'Recipe Ingredients'!$Y$5:$Y$1204,"&gt;0",'Recipe Ingredients'!$I$5:$I$1204,"No")=0,"Yes","No"))</f>
        <v>0</v>
      </c>
      <c r="U95" s="17">
        <f>IF(B95="","",IFERROR(INDEX(Ingredients!$W$5:$W$304,MATCH(B95,Ingredients!$B$5:$B$304,0)),"Add to Ingredients"))</f>
        <v>0</v>
      </c>
      <c r="Z95" s="31">
        <f>IF(B95="","",IF(V95="Yes","Bought",IF(I95=0,"In stock",IF(O95="","Check - no price","On the list"))))</f>
        <v>0</v>
      </c>
    </row>
    <row r="96" spans="1:26">
      <c r="A96" s="18">
        <f>ROW()-4</f>
        <v>0</v>
      </c>
      <c r="B96" s="17">
        <f>IFERROR(INDEX(Ingredients!$B$5:$B$304,MATCH(A96,Ingredients!$AL$5:$AL$304,0)),"")</f>
        <v>0</v>
      </c>
      <c r="C96" s="17">
        <f>IF(B96="","",IFERROR(INDEX(Ingredients!$C$5:$C$304,MATCH(B96,Ingredients!$B$5:$B$304,0)),"Add to Ingredients"))</f>
        <v>0</v>
      </c>
      <c r="D96" s="17">
        <f>IF(B96="","",IFERROR(INDEX(Ingredients!$D$5:$D$304,MATCH(B96,Ingredients!$B$5:$B$304,0)),"Add to Ingredients"))</f>
        <v>0</v>
      </c>
      <c r="E96" s="17">
        <f>IF(B96="","",IFERROR(INDEX(Ingredients!$E$5:$E$304,MATCH(B96,Ingredients!$B$5:$B$304,0)),"Add to Ingredients"))</f>
        <v>0</v>
      </c>
      <c r="F96" s="45">
        <f>IF(B96="","",IFERROR(INDEX(Ingredients!$AG$5:$AG$304,MATCH(B96,Ingredients!$B$5:$B$304,0)),""))</f>
        <v>0</v>
      </c>
      <c r="G96" s="17">
        <f>IF(B96="","",IFERROR(INDEX(Ingredients!$G$5:$G$304,MATCH(B96,Ingredients!$B$5:$B$304,0)),"Add to Ingredients"))</f>
        <v>0</v>
      </c>
      <c r="H96" s="45">
        <f>IF(B96="","",IFERROR(INDEX(Ingredients!$AD$5:$AD$304,MATCH(B96,Ingredients!$B$5:$B$304,0)),0))</f>
        <v>0</v>
      </c>
      <c r="I96" s="45">
        <f>IF(F96="","",MAX(0,F96-IF(H96="",0,H96)))</f>
        <v>0</v>
      </c>
      <c r="J96" s="45">
        <f>IF(B96="","",IFERROR(INDEX(Ingredients!$H$5:$H$304,MATCH(B96,Ingredients!$B$5:$B$304,0)),"Add to Ingredients"))</f>
        <v>0</v>
      </c>
      <c r="K96" s="25">
        <f>IF(B96="","",IFERROR(INDEX(Ingredients!$I$5:$I$304,MATCH(B96,Ingredients!$B$5:$B$304,0)),"Add to Ingredients"))</f>
        <v>0</v>
      </c>
      <c r="L96" s="25">
        <f>IF(B96="","",IFERROR(INDEX(Ingredients!$J$5:$J$304,MATCH(B96,Ingredients!$B$5:$B$304,0)),"Add to Ingredients"))</f>
        <v>0</v>
      </c>
      <c r="M96" s="45">
        <f>IF(OR(I96="",I96=0),"",IF(OR(J96="",NOT(ISNUMBER(J96)),J96=0),"",ROUNDUP(I96/J96,0)))</f>
        <v>0</v>
      </c>
      <c r="N96" s="45">
        <f>IF(I96="","",IF(RoundingRule="Exact quantity",I96,IF(M96="",I96,M96*J96)))</f>
        <v>0</v>
      </c>
      <c r="O96" s="25">
        <f>IF(N96="","",IF(RoundingRule="Exact quantity",IF(L96="","",N96*L96),IF(OR(M96="",K96=""),"",M96*K96)))</f>
        <v>0</v>
      </c>
      <c r="P96" s="25">
        <f>IF(B96="","",SUM(O$5:O96))</f>
        <v>0</v>
      </c>
      <c r="Q96" s="45">
        <f>IF(V96="Yes",0,IF(N96="",0,N96))</f>
        <v>0</v>
      </c>
      <c r="R96" s="18">
        <f>IF(OR(B96="",I96=0,I96=""),"",COUNTIFS($I$5:I96,"&gt;0"))</f>
        <v>0</v>
      </c>
      <c r="S96" s="18">
        <f>IF(B96="","",COUNTIFS('Recipe Ingredients'!$D$5:$D$1204,B96,'Recipe Ingredients'!$Y$5:$Y$1204,"&gt;0"))</f>
        <v>0</v>
      </c>
      <c r="T96" s="46">
        <f>IF(B96="","",IF(COUNTIFS('Recipe Ingredients'!$D$5:$D$1204,B96,'Recipe Ingredients'!$Y$5:$Y$1204,"&gt;0",'Recipe Ingredients'!$I$5:$I$1204,"No")=0,"Yes","No"))</f>
        <v>0</v>
      </c>
      <c r="U96" s="17">
        <f>IF(B96="","",IFERROR(INDEX(Ingredients!$W$5:$W$304,MATCH(B96,Ingredients!$B$5:$B$304,0)),"Add to Ingredients"))</f>
        <v>0</v>
      </c>
      <c r="Z96" s="31">
        <f>IF(B96="","",IF(V96="Yes","Bought",IF(I96=0,"In stock",IF(O96="","Check - no price","On the list"))))</f>
        <v>0</v>
      </c>
    </row>
    <row r="97" spans="1:26">
      <c r="A97" s="18">
        <f>ROW()-4</f>
        <v>0</v>
      </c>
      <c r="B97" s="17">
        <f>IFERROR(INDEX(Ingredients!$B$5:$B$304,MATCH(A97,Ingredients!$AL$5:$AL$304,0)),"")</f>
        <v>0</v>
      </c>
      <c r="C97" s="17">
        <f>IF(B97="","",IFERROR(INDEX(Ingredients!$C$5:$C$304,MATCH(B97,Ingredients!$B$5:$B$304,0)),"Add to Ingredients"))</f>
        <v>0</v>
      </c>
      <c r="D97" s="17">
        <f>IF(B97="","",IFERROR(INDEX(Ingredients!$D$5:$D$304,MATCH(B97,Ingredients!$B$5:$B$304,0)),"Add to Ingredients"))</f>
        <v>0</v>
      </c>
      <c r="E97" s="17">
        <f>IF(B97="","",IFERROR(INDEX(Ingredients!$E$5:$E$304,MATCH(B97,Ingredients!$B$5:$B$304,0)),"Add to Ingredients"))</f>
        <v>0</v>
      </c>
      <c r="F97" s="45">
        <f>IF(B97="","",IFERROR(INDEX(Ingredients!$AG$5:$AG$304,MATCH(B97,Ingredients!$B$5:$B$304,0)),""))</f>
        <v>0</v>
      </c>
      <c r="G97" s="17">
        <f>IF(B97="","",IFERROR(INDEX(Ingredients!$G$5:$G$304,MATCH(B97,Ingredients!$B$5:$B$304,0)),"Add to Ingredients"))</f>
        <v>0</v>
      </c>
      <c r="H97" s="45">
        <f>IF(B97="","",IFERROR(INDEX(Ingredients!$AD$5:$AD$304,MATCH(B97,Ingredients!$B$5:$B$304,0)),0))</f>
        <v>0</v>
      </c>
      <c r="I97" s="45">
        <f>IF(F97="","",MAX(0,F97-IF(H97="",0,H97)))</f>
        <v>0</v>
      </c>
      <c r="J97" s="45">
        <f>IF(B97="","",IFERROR(INDEX(Ingredients!$H$5:$H$304,MATCH(B97,Ingredients!$B$5:$B$304,0)),"Add to Ingredients"))</f>
        <v>0</v>
      </c>
      <c r="K97" s="25">
        <f>IF(B97="","",IFERROR(INDEX(Ingredients!$I$5:$I$304,MATCH(B97,Ingredients!$B$5:$B$304,0)),"Add to Ingredients"))</f>
        <v>0</v>
      </c>
      <c r="L97" s="25">
        <f>IF(B97="","",IFERROR(INDEX(Ingredients!$J$5:$J$304,MATCH(B97,Ingredients!$B$5:$B$304,0)),"Add to Ingredients"))</f>
        <v>0</v>
      </c>
      <c r="M97" s="45">
        <f>IF(OR(I97="",I97=0),"",IF(OR(J97="",NOT(ISNUMBER(J97)),J97=0),"",ROUNDUP(I97/J97,0)))</f>
        <v>0</v>
      </c>
      <c r="N97" s="45">
        <f>IF(I97="","",IF(RoundingRule="Exact quantity",I97,IF(M97="",I97,M97*J97)))</f>
        <v>0</v>
      </c>
      <c r="O97" s="25">
        <f>IF(N97="","",IF(RoundingRule="Exact quantity",IF(L97="","",N97*L97),IF(OR(M97="",K97=""),"",M97*K97)))</f>
        <v>0</v>
      </c>
      <c r="P97" s="25">
        <f>IF(B97="","",SUM(O$5:O97))</f>
        <v>0</v>
      </c>
      <c r="Q97" s="45">
        <f>IF(V97="Yes",0,IF(N97="",0,N97))</f>
        <v>0</v>
      </c>
      <c r="R97" s="18">
        <f>IF(OR(B97="",I97=0,I97=""),"",COUNTIFS($I$5:I97,"&gt;0"))</f>
        <v>0</v>
      </c>
      <c r="S97" s="18">
        <f>IF(B97="","",COUNTIFS('Recipe Ingredients'!$D$5:$D$1204,B97,'Recipe Ingredients'!$Y$5:$Y$1204,"&gt;0"))</f>
        <v>0</v>
      </c>
      <c r="T97" s="46">
        <f>IF(B97="","",IF(COUNTIFS('Recipe Ingredients'!$D$5:$D$1204,B97,'Recipe Ingredients'!$Y$5:$Y$1204,"&gt;0",'Recipe Ingredients'!$I$5:$I$1204,"No")=0,"Yes","No"))</f>
        <v>0</v>
      </c>
      <c r="U97" s="17">
        <f>IF(B97="","",IFERROR(INDEX(Ingredients!$W$5:$W$304,MATCH(B97,Ingredients!$B$5:$B$304,0)),"Add to Ingredients"))</f>
        <v>0</v>
      </c>
      <c r="Z97" s="31">
        <f>IF(B97="","",IF(V97="Yes","Bought",IF(I97=0,"In stock",IF(O97="","Check - no price","On the list"))))</f>
        <v>0</v>
      </c>
    </row>
    <row r="98" spans="1:26">
      <c r="A98" s="18">
        <f>ROW()-4</f>
        <v>0</v>
      </c>
      <c r="B98" s="17">
        <f>IFERROR(INDEX(Ingredients!$B$5:$B$304,MATCH(A98,Ingredients!$AL$5:$AL$304,0)),"")</f>
        <v>0</v>
      </c>
      <c r="C98" s="17">
        <f>IF(B98="","",IFERROR(INDEX(Ingredients!$C$5:$C$304,MATCH(B98,Ingredients!$B$5:$B$304,0)),"Add to Ingredients"))</f>
        <v>0</v>
      </c>
      <c r="D98" s="17">
        <f>IF(B98="","",IFERROR(INDEX(Ingredients!$D$5:$D$304,MATCH(B98,Ingredients!$B$5:$B$304,0)),"Add to Ingredients"))</f>
        <v>0</v>
      </c>
      <c r="E98" s="17">
        <f>IF(B98="","",IFERROR(INDEX(Ingredients!$E$5:$E$304,MATCH(B98,Ingredients!$B$5:$B$304,0)),"Add to Ingredients"))</f>
        <v>0</v>
      </c>
      <c r="F98" s="45">
        <f>IF(B98="","",IFERROR(INDEX(Ingredients!$AG$5:$AG$304,MATCH(B98,Ingredients!$B$5:$B$304,0)),""))</f>
        <v>0</v>
      </c>
      <c r="G98" s="17">
        <f>IF(B98="","",IFERROR(INDEX(Ingredients!$G$5:$G$304,MATCH(B98,Ingredients!$B$5:$B$304,0)),"Add to Ingredients"))</f>
        <v>0</v>
      </c>
      <c r="H98" s="45">
        <f>IF(B98="","",IFERROR(INDEX(Ingredients!$AD$5:$AD$304,MATCH(B98,Ingredients!$B$5:$B$304,0)),0))</f>
        <v>0</v>
      </c>
      <c r="I98" s="45">
        <f>IF(F98="","",MAX(0,F98-IF(H98="",0,H98)))</f>
        <v>0</v>
      </c>
      <c r="J98" s="45">
        <f>IF(B98="","",IFERROR(INDEX(Ingredients!$H$5:$H$304,MATCH(B98,Ingredients!$B$5:$B$304,0)),"Add to Ingredients"))</f>
        <v>0</v>
      </c>
      <c r="K98" s="25">
        <f>IF(B98="","",IFERROR(INDEX(Ingredients!$I$5:$I$304,MATCH(B98,Ingredients!$B$5:$B$304,0)),"Add to Ingredients"))</f>
        <v>0</v>
      </c>
      <c r="L98" s="25">
        <f>IF(B98="","",IFERROR(INDEX(Ingredients!$J$5:$J$304,MATCH(B98,Ingredients!$B$5:$B$304,0)),"Add to Ingredients"))</f>
        <v>0</v>
      </c>
      <c r="M98" s="45">
        <f>IF(OR(I98="",I98=0),"",IF(OR(J98="",NOT(ISNUMBER(J98)),J98=0),"",ROUNDUP(I98/J98,0)))</f>
        <v>0</v>
      </c>
      <c r="N98" s="45">
        <f>IF(I98="","",IF(RoundingRule="Exact quantity",I98,IF(M98="",I98,M98*J98)))</f>
        <v>0</v>
      </c>
      <c r="O98" s="25">
        <f>IF(N98="","",IF(RoundingRule="Exact quantity",IF(L98="","",N98*L98),IF(OR(M98="",K98=""),"",M98*K98)))</f>
        <v>0</v>
      </c>
      <c r="P98" s="25">
        <f>IF(B98="","",SUM(O$5:O98))</f>
        <v>0</v>
      </c>
      <c r="Q98" s="45">
        <f>IF(V98="Yes",0,IF(N98="",0,N98))</f>
        <v>0</v>
      </c>
      <c r="R98" s="18">
        <f>IF(OR(B98="",I98=0,I98=""),"",COUNTIFS($I$5:I98,"&gt;0"))</f>
        <v>0</v>
      </c>
      <c r="S98" s="18">
        <f>IF(B98="","",COUNTIFS('Recipe Ingredients'!$D$5:$D$1204,B98,'Recipe Ingredients'!$Y$5:$Y$1204,"&gt;0"))</f>
        <v>0</v>
      </c>
      <c r="T98" s="46">
        <f>IF(B98="","",IF(COUNTIFS('Recipe Ingredients'!$D$5:$D$1204,B98,'Recipe Ingredients'!$Y$5:$Y$1204,"&gt;0",'Recipe Ingredients'!$I$5:$I$1204,"No")=0,"Yes","No"))</f>
        <v>0</v>
      </c>
      <c r="U98" s="17">
        <f>IF(B98="","",IFERROR(INDEX(Ingredients!$W$5:$W$304,MATCH(B98,Ingredients!$B$5:$B$304,0)),"Add to Ingredients"))</f>
        <v>0</v>
      </c>
      <c r="Z98" s="31">
        <f>IF(B98="","",IF(V98="Yes","Bought",IF(I98=0,"In stock",IF(O98="","Check - no price","On the list"))))</f>
        <v>0</v>
      </c>
    </row>
    <row r="99" spans="1:26">
      <c r="A99" s="18">
        <f>ROW()-4</f>
        <v>0</v>
      </c>
      <c r="B99" s="17">
        <f>IFERROR(INDEX(Ingredients!$B$5:$B$304,MATCH(A99,Ingredients!$AL$5:$AL$304,0)),"")</f>
        <v>0</v>
      </c>
      <c r="C99" s="17">
        <f>IF(B99="","",IFERROR(INDEX(Ingredients!$C$5:$C$304,MATCH(B99,Ingredients!$B$5:$B$304,0)),"Add to Ingredients"))</f>
        <v>0</v>
      </c>
      <c r="D99" s="17">
        <f>IF(B99="","",IFERROR(INDEX(Ingredients!$D$5:$D$304,MATCH(B99,Ingredients!$B$5:$B$304,0)),"Add to Ingredients"))</f>
        <v>0</v>
      </c>
      <c r="E99" s="17">
        <f>IF(B99="","",IFERROR(INDEX(Ingredients!$E$5:$E$304,MATCH(B99,Ingredients!$B$5:$B$304,0)),"Add to Ingredients"))</f>
        <v>0</v>
      </c>
      <c r="F99" s="45">
        <f>IF(B99="","",IFERROR(INDEX(Ingredients!$AG$5:$AG$304,MATCH(B99,Ingredients!$B$5:$B$304,0)),""))</f>
        <v>0</v>
      </c>
      <c r="G99" s="17">
        <f>IF(B99="","",IFERROR(INDEX(Ingredients!$G$5:$G$304,MATCH(B99,Ingredients!$B$5:$B$304,0)),"Add to Ingredients"))</f>
        <v>0</v>
      </c>
      <c r="H99" s="45">
        <f>IF(B99="","",IFERROR(INDEX(Ingredients!$AD$5:$AD$304,MATCH(B99,Ingredients!$B$5:$B$304,0)),0))</f>
        <v>0</v>
      </c>
      <c r="I99" s="45">
        <f>IF(F99="","",MAX(0,F99-IF(H99="",0,H99)))</f>
        <v>0</v>
      </c>
      <c r="J99" s="45">
        <f>IF(B99="","",IFERROR(INDEX(Ingredients!$H$5:$H$304,MATCH(B99,Ingredients!$B$5:$B$304,0)),"Add to Ingredients"))</f>
        <v>0</v>
      </c>
      <c r="K99" s="25">
        <f>IF(B99="","",IFERROR(INDEX(Ingredients!$I$5:$I$304,MATCH(B99,Ingredients!$B$5:$B$304,0)),"Add to Ingredients"))</f>
        <v>0</v>
      </c>
      <c r="L99" s="25">
        <f>IF(B99="","",IFERROR(INDEX(Ingredients!$J$5:$J$304,MATCH(B99,Ingredients!$B$5:$B$304,0)),"Add to Ingredients"))</f>
        <v>0</v>
      </c>
      <c r="M99" s="45">
        <f>IF(OR(I99="",I99=0),"",IF(OR(J99="",NOT(ISNUMBER(J99)),J99=0),"",ROUNDUP(I99/J99,0)))</f>
        <v>0</v>
      </c>
      <c r="N99" s="45">
        <f>IF(I99="","",IF(RoundingRule="Exact quantity",I99,IF(M99="",I99,M99*J99)))</f>
        <v>0</v>
      </c>
      <c r="O99" s="25">
        <f>IF(N99="","",IF(RoundingRule="Exact quantity",IF(L99="","",N99*L99),IF(OR(M99="",K99=""),"",M99*K99)))</f>
        <v>0</v>
      </c>
      <c r="P99" s="25">
        <f>IF(B99="","",SUM(O$5:O99))</f>
        <v>0</v>
      </c>
      <c r="Q99" s="45">
        <f>IF(V99="Yes",0,IF(N99="",0,N99))</f>
        <v>0</v>
      </c>
      <c r="R99" s="18">
        <f>IF(OR(B99="",I99=0,I99=""),"",COUNTIFS($I$5:I99,"&gt;0"))</f>
        <v>0</v>
      </c>
      <c r="S99" s="18">
        <f>IF(B99="","",COUNTIFS('Recipe Ingredients'!$D$5:$D$1204,B99,'Recipe Ingredients'!$Y$5:$Y$1204,"&gt;0"))</f>
        <v>0</v>
      </c>
      <c r="T99" s="46">
        <f>IF(B99="","",IF(COUNTIFS('Recipe Ingredients'!$D$5:$D$1204,B99,'Recipe Ingredients'!$Y$5:$Y$1204,"&gt;0",'Recipe Ingredients'!$I$5:$I$1204,"No")=0,"Yes","No"))</f>
        <v>0</v>
      </c>
      <c r="U99" s="17">
        <f>IF(B99="","",IFERROR(INDEX(Ingredients!$W$5:$W$304,MATCH(B99,Ingredients!$B$5:$B$304,0)),"Add to Ingredients"))</f>
        <v>0</v>
      </c>
      <c r="Z99" s="31">
        <f>IF(B99="","",IF(V99="Yes","Bought",IF(I99=0,"In stock",IF(O99="","Check - no price","On the list"))))</f>
        <v>0</v>
      </c>
    </row>
    <row r="100" spans="1:26">
      <c r="A100" s="18">
        <f>ROW()-4</f>
        <v>0</v>
      </c>
      <c r="B100" s="17">
        <f>IFERROR(INDEX(Ingredients!$B$5:$B$304,MATCH(A100,Ingredients!$AL$5:$AL$304,0)),"")</f>
        <v>0</v>
      </c>
      <c r="C100" s="17">
        <f>IF(B100="","",IFERROR(INDEX(Ingredients!$C$5:$C$304,MATCH(B100,Ingredients!$B$5:$B$304,0)),"Add to Ingredients"))</f>
        <v>0</v>
      </c>
      <c r="D100" s="17">
        <f>IF(B100="","",IFERROR(INDEX(Ingredients!$D$5:$D$304,MATCH(B100,Ingredients!$B$5:$B$304,0)),"Add to Ingredients"))</f>
        <v>0</v>
      </c>
      <c r="E100" s="17">
        <f>IF(B100="","",IFERROR(INDEX(Ingredients!$E$5:$E$304,MATCH(B100,Ingredients!$B$5:$B$304,0)),"Add to Ingredients"))</f>
        <v>0</v>
      </c>
      <c r="F100" s="45">
        <f>IF(B100="","",IFERROR(INDEX(Ingredients!$AG$5:$AG$304,MATCH(B100,Ingredients!$B$5:$B$304,0)),""))</f>
        <v>0</v>
      </c>
      <c r="G100" s="17">
        <f>IF(B100="","",IFERROR(INDEX(Ingredients!$G$5:$G$304,MATCH(B100,Ingredients!$B$5:$B$304,0)),"Add to Ingredients"))</f>
        <v>0</v>
      </c>
      <c r="H100" s="45">
        <f>IF(B100="","",IFERROR(INDEX(Ingredients!$AD$5:$AD$304,MATCH(B100,Ingredients!$B$5:$B$304,0)),0))</f>
        <v>0</v>
      </c>
      <c r="I100" s="45">
        <f>IF(F100="","",MAX(0,F100-IF(H100="",0,H100)))</f>
        <v>0</v>
      </c>
      <c r="J100" s="45">
        <f>IF(B100="","",IFERROR(INDEX(Ingredients!$H$5:$H$304,MATCH(B100,Ingredients!$B$5:$B$304,0)),"Add to Ingredients"))</f>
        <v>0</v>
      </c>
      <c r="K100" s="25">
        <f>IF(B100="","",IFERROR(INDEX(Ingredients!$I$5:$I$304,MATCH(B100,Ingredients!$B$5:$B$304,0)),"Add to Ingredients"))</f>
        <v>0</v>
      </c>
      <c r="L100" s="25">
        <f>IF(B100="","",IFERROR(INDEX(Ingredients!$J$5:$J$304,MATCH(B100,Ingredients!$B$5:$B$304,0)),"Add to Ingredients"))</f>
        <v>0</v>
      </c>
      <c r="M100" s="45">
        <f>IF(OR(I100="",I100=0),"",IF(OR(J100="",NOT(ISNUMBER(J100)),J100=0),"",ROUNDUP(I100/J100,0)))</f>
        <v>0</v>
      </c>
      <c r="N100" s="45">
        <f>IF(I100="","",IF(RoundingRule="Exact quantity",I100,IF(M100="",I100,M100*J100)))</f>
        <v>0</v>
      </c>
      <c r="O100" s="25">
        <f>IF(N100="","",IF(RoundingRule="Exact quantity",IF(L100="","",N100*L100),IF(OR(M100="",K100=""),"",M100*K100)))</f>
        <v>0</v>
      </c>
      <c r="P100" s="25">
        <f>IF(B100="","",SUM(O$5:O100))</f>
        <v>0</v>
      </c>
      <c r="Q100" s="45">
        <f>IF(V100="Yes",0,IF(N100="",0,N100))</f>
        <v>0</v>
      </c>
      <c r="R100" s="18">
        <f>IF(OR(B100="",I100=0,I100=""),"",COUNTIFS($I$5:I100,"&gt;0"))</f>
        <v>0</v>
      </c>
      <c r="S100" s="18">
        <f>IF(B100="","",COUNTIFS('Recipe Ingredients'!$D$5:$D$1204,B100,'Recipe Ingredients'!$Y$5:$Y$1204,"&gt;0"))</f>
        <v>0</v>
      </c>
      <c r="T100" s="46">
        <f>IF(B100="","",IF(COUNTIFS('Recipe Ingredients'!$D$5:$D$1204,B100,'Recipe Ingredients'!$Y$5:$Y$1204,"&gt;0",'Recipe Ingredients'!$I$5:$I$1204,"No")=0,"Yes","No"))</f>
        <v>0</v>
      </c>
      <c r="U100" s="17">
        <f>IF(B100="","",IFERROR(INDEX(Ingredients!$W$5:$W$304,MATCH(B100,Ingredients!$B$5:$B$304,0)),"Add to Ingredients"))</f>
        <v>0</v>
      </c>
      <c r="Z100" s="31">
        <f>IF(B100="","",IF(V100="Yes","Bought",IF(I100=0,"In stock",IF(O100="","Check - no price","On the list"))))</f>
        <v>0</v>
      </c>
    </row>
    <row r="101" spans="1:26">
      <c r="A101" s="18">
        <f>ROW()-4</f>
        <v>0</v>
      </c>
      <c r="B101" s="17">
        <f>IFERROR(INDEX(Ingredients!$B$5:$B$304,MATCH(A101,Ingredients!$AL$5:$AL$304,0)),"")</f>
        <v>0</v>
      </c>
      <c r="C101" s="17">
        <f>IF(B101="","",IFERROR(INDEX(Ingredients!$C$5:$C$304,MATCH(B101,Ingredients!$B$5:$B$304,0)),"Add to Ingredients"))</f>
        <v>0</v>
      </c>
      <c r="D101" s="17">
        <f>IF(B101="","",IFERROR(INDEX(Ingredients!$D$5:$D$304,MATCH(B101,Ingredients!$B$5:$B$304,0)),"Add to Ingredients"))</f>
        <v>0</v>
      </c>
      <c r="E101" s="17">
        <f>IF(B101="","",IFERROR(INDEX(Ingredients!$E$5:$E$304,MATCH(B101,Ingredients!$B$5:$B$304,0)),"Add to Ingredients"))</f>
        <v>0</v>
      </c>
      <c r="F101" s="45">
        <f>IF(B101="","",IFERROR(INDEX(Ingredients!$AG$5:$AG$304,MATCH(B101,Ingredients!$B$5:$B$304,0)),""))</f>
        <v>0</v>
      </c>
      <c r="G101" s="17">
        <f>IF(B101="","",IFERROR(INDEX(Ingredients!$G$5:$G$304,MATCH(B101,Ingredients!$B$5:$B$304,0)),"Add to Ingredients"))</f>
        <v>0</v>
      </c>
      <c r="H101" s="45">
        <f>IF(B101="","",IFERROR(INDEX(Ingredients!$AD$5:$AD$304,MATCH(B101,Ingredients!$B$5:$B$304,0)),0))</f>
        <v>0</v>
      </c>
      <c r="I101" s="45">
        <f>IF(F101="","",MAX(0,F101-IF(H101="",0,H101)))</f>
        <v>0</v>
      </c>
      <c r="J101" s="45">
        <f>IF(B101="","",IFERROR(INDEX(Ingredients!$H$5:$H$304,MATCH(B101,Ingredients!$B$5:$B$304,0)),"Add to Ingredients"))</f>
        <v>0</v>
      </c>
      <c r="K101" s="25">
        <f>IF(B101="","",IFERROR(INDEX(Ingredients!$I$5:$I$304,MATCH(B101,Ingredients!$B$5:$B$304,0)),"Add to Ingredients"))</f>
        <v>0</v>
      </c>
      <c r="L101" s="25">
        <f>IF(B101="","",IFERROR(INDEX(Ingredients!$J$5:$J$304,MATCH(B101,Ingredients!$B$5:$B$304,0)),"Add to Ingredients"))</f>
        <v>0</v>
      </c>
      <c r="M101" s="45">
        <f>IF(OR(I101="",I101=0),"",IF(OR(J101="",NOT(ISNUMBER(J101)),J101=0),"",ROUNDUP(I101/J101,0)))</f>
        <v>0</v>
      </c>
      <c r="N101" s="45">
        <f>IF(I101="","",IF(RoundingRule="Exact quantity",I101,IF(M101="",I101,M101*J101)))</f>
        <v>0</v>
      </c>
      <c r="O101" s="25">
        <f>IF(N101="","",IF(RoundingRule="Exact quantity",IF(L101="","",N101*L101),IF(OR(M101="",K101=""),"",M101*K101)))</f>
        <v>0</v>
      </c>
      <c r="P101" s="25">
        <f>IF(B101="","",SUM(O$5:O101))</f>
        <v>0</v>
      </c>
      <c r="Q101" s="45">
        <f>IF(V101="Yes",0,IF(N101="",0,N101))</f>
        <v>0</v>
      </c>
      <c r="R101" s="18">
        <f>IF(OR(B101="",I101=0,I101=""),"",COUNTIFS($I$5:I101,"&gt;0"))</f>
        <v>0</v>
      </c>
      <c r="S101" s="18">
        <f>IF(B101="","",COUNTIFS('Recipe Ingredients'!$D$5:$D$1204,B101,'Recipe Ingredients'!$Y$5:$Y$1204,"&gt;0"))</f>
        <v>0</v>
      </c>
      <c r="T101" s="46">
        <f>IF(B101="","",IF(COUNTIFS('Recipe Ingredients'!$D$5:$D$1204,B101,'Recipe Ingredients'!$Y$5:$Y$1204,"&gt;0",'Recipe Ingredients'!$I$5:$I$1204,"No")=0,"Yes","No"))</f>
        <v>0</v>
      </c>
      <c r="U101" s="17">
        <f>IF(B101="","",IFERROR(INDEX(Ingredients!$W$5:$W$304,MATCH(B101,Ingredients!$B$5:$B$304,0)),"Add to Ingredients"))</f>
        <v>0</v>
      </c>
      <c r="Z101" s="31">
        <f>IF(B101="","",IF(V101="Yes","Bought",IF(I101=0,"In stock",IF(O101="","Check - no price","On the list"))))</f>
        <v>0</v>
      </c>
    </row>
    <row r="102" spans="1:26">
      <c r="A102" s="18">
        <f>ROW()-4</f>
        <v>0</v>
      </c>
      <c r="B102" s="17">
        <f>IFERROR(INDEX(Ingredients!$B$5:$B$304,MATCH(A102,Ingredients!$AL$5:$AL$304,0)),"")</f>
        <v>0</v>
      </c>
      <c r="C102" s="17">
        <f>IF(B102="","",IFERROR(INDEX(Ingredients!$C$5:$C$304,MATCH(B102,Ingredients!$B$5:$B$304,0)),"Add to Ingredients"))</f>
        <v>0</v>
      </c>
      <c r="D102" s="17">
        <f>IF(B102="","",IFERROR(INDEX(Ingredients!$D$5:$D$304,MATCH(B102,Ingredients!$B$5:$B$304,0)),"Add to Ingredients"))</f>
        <v>0</v>
      </c>
      <c r="E102" s="17">
        <f>IF(B102="","",IFERROR(INDEX(Ingredients!$E$5:$E$304,MATCH(B102,Ingredients!$B$5:$B$304,0)),"Add to Ingredients"))</f>
        <v>0</v>
      </c>
      <c r="F102" s="45">
        <f>IF(B102="","",IFERROR(INDEX(Ingredients!$AG$5:$AG$304,MATCH(B102,Ingredients!$B$5:$B$304,0)),""))</f>
        <v>0</v>
      </c>
      <c r="G102" s="17">
        <f>IF(B102="","",IFERROR(INDEX(Ingredients!$G$5:$G$304,MATCH(B102,Ingredients!$B$5:$B$304,0)),"Add to Ingredients"))</f>
        <v>0</v>
      </c>
      <c r="H102" s="45">
        <f>IF(B102="","",IFERROR(INDEX(Ingredients!$AD$5:$AD$304,MATCH(B102,Ingredients!$B$5:$B$304,0)),0))</f>
        <v>0</v>
      </c>
      <c r="I102" s="45">
        <f>IF(F102="","",MAX(0,F102-IF(H102="",0,H102)))</f>
        <v>0</v>
      </c>
      <c r="J102" s="45">
        <f>IF(B102="","",IFERROR(INDEX(Ingredients!$H$5:$H$304,MATCH(B102,Ingredients!$B$5:$B$304,0)),"Add to Ingredients"))</f>
        <v>0</v>
      </c>
      <c r="K102" s="25">
        <f>IF(B102="","",IFERROR(INDEX(Ingredients!$I$5:$I$304,MATCH(B102,Ingredients!$B$5:$B$304,0)),"Add to Ingredients"))</f>
        <v>0</v>
      </c>
      <c r="L102" s="25">
        <f>IF(B102="","",IFERROR(INDEX(Ingredients!$J$5:$J$304,MATCH(B102,Ingredients!$B$5:$B$304,0)),"Add to Ingredients"))</f>
        <v>0</v>
      </c>
      <c r="M102" s="45">
        <f>IF(OR(I102="",I102=0),"",IF(OR(J102="",NOT(ISNUMBER(J102)),J102=0),"",ROUNDUP(I102/J102,0)))</f>
        <v>0</v>
      </c>
      <c r="N102" s="45">
        <f>IF(I102="","",IF(RoundingRule="Exact quantity",I102,IF(M102="",I102,M102*J102)))</f>
        <v>0</v>
      </c>
      <c r="O102" s="25">
        <f>IF(N102="","",IF(RoundingRule="Exact quantity",IF(L102="","",N102*L102),IF(OR(M102="",K102=""),"",M102*K102)))</f>
        <v>0</v>
      </c>
      <c r="P102" s="25">
        <f>IF(B102="","",SUM(O$5:O102))</f>
        <v>0</v>
      </c>
      <c r="Q102" s="45">
        <f>IF(V102="Yes",0,IF(N102="",0,N102))</f>
        <v>0</v>
      </c>
      <c r="R102" s="18">
        <f>IF(OR(B102="",I102=0,I102=""),"",COUNTIFS($I$5:I102,"&gt;0"))</f>
        <v>0</v>
      </c>
      <c r="S102" s="18">
        <f>IF(B102="","",COUNTIFS('Recipe Ingredients'!$D$5:$D$1204,B102,'Recipe Ingredients'!$Y$5:$Y$1204,"&gt;0"))</f>
        <v>0</v>
      </c>
      <c r="T102" s="46">
        <f>IF(B102="","",IF(COUNTIFS('Recipe Ingredients'!$D$5:$D$1204,B102,'Recipe Ingredients'!$Y$5:$Y$1204,"&gt;0",'Recipe Ingredients'!$I$5:$I$1204,"No")=0,"Yes","No"))</f>
        <v>0</v>
      </c>
      <c r="U102" s="17">
        <f>IF(B102="","",IFERROR(INDEX(Ingredients!$W$5:$W$304,MATCH(B102,Ingredients!$B$5:$B$304,0)),"Add to Ingredients"))</f>
        <v>0</v>
      </c>
      <c r="Z102" s="31">
        <f>IF(B102="","",IF(V102="Yes","Bought",IF(I102=0,"In stock",IF(O102="","Check - no price","On the list"))))</f>
        <v>0</v>
      </c>
    </row>
    <row r="103" spans="1:26">
      <c r="A103" s="18">
        <f>ROW()-4</f>
        <v>0</v>
      </c>
      <c r="B103" s="17">
        <f>IFERROR(INDEX(Ingredients!$B$5:$B$304,MATCH(A103,Ingredients!$AL$5:$AL$304,0)),"")</f>
        <v>0</v>
      </c>
      <c r="C103" s="17">
        <f>IF(B103="","",IFERROR(INDEX(Ingredients!$C$5:$C$304,MATCH(B103,Ingredients!$B$5:$B$304,0)),"Add to Ingredients"))</f>
        <v>0</v>
      </c>
      <c r="D103" s="17">
        <f>IF(B103="","",IFERROR(INDEX(Ingredients!$D$5:$D$304,MATCH(B103,Ingredients!$B$5:$B$304,0)),"Add to Ingredients"))</f>
        <v>0</v>
      </c>
      <c r="E103" s="17">
        <f>IF(B103="","",IFERROR(INDEX(Ingredients!$E$5:$E$304,MATCH(B103,Ingredients!$B$5:$B$304,0)),"Add to Ingredients"))</f>
        <v>0</v>
      </c>
      <c r="F103" s="45">
        <f>IF(B103="","",IFERROR(INDEX(Ingredients!$AG$5:$AG$304,MATCH(B103,Ingredients!$B$5:$B$304,0)),""))</f>
        <v>0</v>
      </c>
      <c r="G103" s="17">
        <f>IF(B103="","",IFERROR(INDEX(Ingredients!$G$5:$G$304,MATCH(B103,Ingredients!$B$5:$B$304,0)),"Add to Ingredients"))</f>
        <v>0</v>
      </c>
      <c r="H103" s="45">
        <f>IF(B103="","",IFERROR(INDEX(Ingredients!$AD$5:$AD$304,MATCH(B103,Ingredients!$B$5:$B$304,0)),0))</f>
        <v>0</v>
      </c>
      <c r="I103" s="45">
        <f>IF(F103="","",MAX(0,F103-IF(H103="",0,H103)))</f>
        <v>0</v>
      </c>
      <c r="J103" s="45">
        <f>IF(B103="","",IFERROR(INDEX(Ingredients!$H$5:$H$304,MATCH(B103,Ingredients!$B$5:$B$304,0)),"Add to Ingredients"))</f>
        <v>0</v>
      </c>
      <c r="K103" s="25">
        <f>IF(B103="","",IFERROR(INDEX(Ingredients!$I$5:$I$304,MATCH(B103,Ingredients!$B$5:$B$304,0)),"Add to Ingredients"))</f>
        <v>0</v>
      </c>
      <c r="L103" s="25">
        <f>IF(B103="","",IFERROR(INDEX(Ingredients!$J$5:$J$304,MATCH(B103,Ingredients!$B$5:$B$304,0)),"Add to Ingredients"))</f>
        <v>0</v>
      </c>
      <c r="M103" s="45">
        <f>IF(OR(I103="",I103=0),"",IF(OR(J103="",NOT(ISNUMBER(J103)),J103=0),"",ROUNDUP(I103/J103,0)))</f>
        <v>0</v>
      </c>
      <c r="N103" s="45">
        <f>IF(I103="","",IF(RoundingRule="Exact quantity",I103,IF(M103="",I103,M103*J103)))</f>
        <v>0</v>
      </c>
      <c r="O103" s="25">
        <f>IF(N103="","",IF(RoundingRule="Exact quantity",IF(L103="","",N103*L103),IF(OR(M103="",K103=""),"",M103*K103)))</f>
        <v>0</v>
      </c>
      <c r="P103" s="25">
        <f>IF(B103="","",SUM(O$5:O103))</f>
        <v>0</v>
      </c>
      <c r="Q103" s="45">
        <f>IF(V103="Yes",0,IF(N103="",0,N103))</f>
        <v>0</v>
      </c>
      <c r="R103" s="18">
        <f>IF(OR(B103="",I103=0,I103=""),"",COUNTIFS($I$5:I103,"&gt;0"))</f>
        <v>0</v>
      </c>
      <c r="S103" s="18">
        <f>IF(B103="","",COUNTIFS('Recipe Ingredients'!$D$5:$D$1204,B103,'Recipe Ingredients'!$Y$5:$Y$1204,"&gt;0"))</f>
        <v>0</v>
      </c>
      <c r="T103" s="46">
        <f>IF(B103="","",IF(COUNTIFS('Recipe Ingredients'!$D$5:$D$1204,B103,'Recipe Ingredients'!$Y$5:$Y$1204,"&gt;0",'Recipe Ingredients'!$I$5:$I$1204,"No")=0,"Yes","No"))</f>
        <v>0</v>
      </c>
      <c r="U103" s="17">
        <f>IF(B103="","",IFERROR(INDEX(Ingredients!$W$5:$W$304,MATCH(B103,Ingredients!$B$5:$B$304,0)),"Add to Ingredients"))</f>
        <v>0</v>
      </c>
      <c r="Z103" s="31">
        <f>IF(B103="","",IF(V103="Yes","Bought",IF(I103=0,"In stock",IF(O103="","Check - no price","On the list"))))</f>
        <v>0</v>
      </c>
    </row>
    <row r="104" spans="1:26">
      <c r="A104" s="18">
        <f>ROW()-4</f>
        <v>0</v>
      </c>
      <c r="B104" s="17">
        <f>IFERROR(INDEX(Ingredients!$B$5:$B$304,MATCH(A104,Ingredients!$AL$5:$AL$304,0)),"")</f>
        <v>0</v>
      </c>
      <c r="C104" s="17">
        <f>IF(B104="","",IFERROR(INDEX(Ingredients!$C$5:$C$304,MATCH(B104,Ingredients!$B$5:$B$304,0)),"Add to Ingredients"))</f>
        <v>0</v>
      </c>
      <c r="D104" s="17">
        <f>IF(B104="","",IFERROR(INDEX(Ingredients!$D$5:$D$304,MATCH(B104,Ingredients!$B$5:$B$304,0)),"Add to Ingredients"))</f>
        <v>0</v>
      </c>
      <c r="E104" s="17">
        <f>IF(B104="","",IFERROR(INDEX(Ingredients!$E$5:$E$304,MATCH(B104,Ingredients!$B$5:$B$304,0)),"Add to Ingredients"))</f>
        <v>0</v>
      </c>
      <c r="F104" s="45">
        <f>IF(B104="","",IFERROR(INDEX(Ingredients!$AG$5:$AG$304,MATCH(B104,Ingredients!$B$5:$B$304,0)),""))</f>
        <v>0</v>
      </c>
      <c r="G104" s="17">
        <f>IF(B104="","",IFERROR(INDEX(Ingredients!$G$5:$G$304,MATCH(B104,Ingredients!$B$5:$B$304,0)),"Add to Ingredients"))</f>
        <v>0</v>
      </c>
      <c r="H104" s="45">
        <f>IF(B104="","",IFERROR(INDEX(Ingredients!$AD$5:$AD$304,MATCH(B104,Ingredients!$B$5:$B$304,0)),0))</f>
        <v>0</v>
      </c>
      <c r="I104" s="45">
        <f>IF(F104="","",MAX(0,F104-IF(H104="",0,H104)))</f>
        <v>0</v>
      </c>
      <c r="J104" s="45">
        <f>IF(B104="","",IFERROR(INDEX(Ingredients!$H$5:$H$304,MATCH(B104,Ingredients!$B$5:$B$304,0)),"Add to Ingredients"))</f>
        <v>0</v>
      </c>
      <c r="K104" s="25">
        <f>IF(B104="","",IFERROR(INDEX(Ingredients!$I$5:$I$304,MATCH(B104,Ingredients!$B$5:$B$304,0)),"Add to Ingredients"))</f>
        <v>0</v>
      </c>
      <c r="L104" s="25">
        <f>IF(B104="","",IFERROR(INDEX(Ingredients!$J$5:$J$304,MATCH(B104,Ingredients!$B$5:$B$304,0)),"Add to Ingredients"))</f>
        <v>0</v>
      </c>
      <c r="M104" s="45">
        <f>IF(OR(I104="",I104=0),"",IF(OR(J104="",NOT(ISNUMBER(J104)),J104=0),"",ROUNDUP(I104/J104,0)))</f>
        <v>0</v>
      </c>
      <c r="N104" s="45">
        <f>IF(I104="","",IF(RoundingRule="Exact quantity",I104,IF(M104="",I104,M104*J104)))</f>
        <v>0</v>
      </c>
      <c r="O104" s="25">
        <f>IF(N104="","",IF(RoundingRule="Exact quantity",IF(L104="","",N104*L104),IF(OR(M104="",K104=""),"",M104*K104)))</f>
        <v>0</v>
      </c>
      <c r="P104" s="25">
        <f>IF(B104="","",SUM(O$5:O104))</f>
        <v>0</v>
      </c>
      <c r="Q104" s="45">
        <f>IF(V104="Yes",0,IF(N104="",0,N104))</f>
        <v>0</v>
      </c>
      <c r="R104" s="18">
        <f>IF(OR(B104="",I104=0,I104=""),"",COUNTIFS($I$5:I104,"&gt;0"))</f>
        <v>0</v>
      </c>
      <c r="S104" s="18">
        <f>IF(B104="","",COUNTIFS('Recipe Ingredients'!$D$5:$D$1204,B104,'Recipe Ingredients'!$Y$5:$Y$1204,"&gt;0"))</f>
        <v>0</v>
      </c>
      <c r="T104" s="46">
        <f>IF(B104="","",IF(COUNTIFS('Recipe Ingredients'!$D$5:$D$1204,B104,'Recipe Ingredients'!$Y$5:$Y$1204,"&gt;0",'Recipe Ingredients'!$I$5:$I$1204,"No")=0,"Yes","No"))</f>
        <v>0</v>
      </c>
      <c r="U104" s="17">
        <f>IF(B104="","",IFERROR(INDEX(Ingredients!$W$5:$W$304,MATCH(B104,Ingredients!$B$5:$B$304,0)),"Add to Ingredients"))</f>
        <v>0</v>
      </c>
      <c r="Z104" s="31">
        <f>IF(B104="","",IF(V104="Yes","Bought",IF(I104=0,"In stock",IF(O104="","Check - no price","On the list"))))</f>
        <v>0</v>
      </c>
    </row>
    <row r="105" spans="1:26">
      <c r="A105" s="18">
        <f>ROW()-4</f>
        <v>0</v>
      </c>
      <c r="B105" s="17">
        <f>IFERROR(INDEX(Ingredients!$B$5:$B$304,MATCH(A105,Ingredients!$AL$5:$AL$304,0)),"")</f>
        <v>0</v>
      </c>
      <c r="C105" s="17">
        <f>IF(B105="","",IFERROR(INDEX(Ingredients!$C$5:$C$304,MATCH(B105,Ingredients!$B$5:$B$304,0)),"Add to Ingredients"))</f>
        <v>0</v>
      </c>
      <c r="D105" s="17">
        <f>IF(B105="","",IFERROR(INDEX(Ingredients!$D$5:$D$304,MATCH(B105,Ingredients!$B$5:$B$304,0)),"Add to Ingredients"))</f>
        <v>0</v>
      </c>
      <c r="E105" s="17">
        <f>IF(B105="","",IFERROR(INDEX(Ingredients!$E$5:$E$304,MATCH(B105,Ingredients!$B$5:$B$304,0)),"Add to Ingredients"))</f>
        <v>0</v>
      </c>
      <c r="F105" s="45">
        <f>IF(B105="","",IFERROR(INDEX(Ingredients!$AG$5:$AG$304,MATCH(B105,Ingredients!$B$5:$B$304,0)),""))</f>
        <v>0</v>
      </c>
      <c r="G105" s="17">
        <f>IF(B105="","",IFERROR(INDEX(Ingredients!$G$5:$G$304,MATCH(B105,Ingredients!$B$5:$B$304,0)),"Add to Ingredients"))</f>
        <v>0</v>
      </c>
      <c r="H105" s="45">
        <f>IF(B105="","",IFERROR(INDEX(Ingredients!$AD$5:$AD$304,MATCH(B105,Ingredients!$B$5:$B$304,0)),0))</f>
        <v>0</v>
      </c>
      <c r="I105" s="45">
        <f>IF(F105="","",MAX(0,F105-IF(H105="",0,H105)))</f>
        <v>0</v>
      </c>
      <c r="J105" s="45">
        <f>IF(B105="","",IFERROR(INDEX(Ingredients!$H$5:$H$304,MATCH(B105,Ingredients!$B$5:$B$304,0)),"Add to Ingredients"))</f>
        <v>0</v>
      </c>
      <c r="K105" s="25">
        <f>IF(B105="","",IFERROR(INDEX(Ingredients!$I$5:$I$304,MATCH(B105,Ingredients!$B$5:$B$304,0)),"Add to Ingredients"))</f>
        <v>0</v>
      </c>
      <c r="L105" s="25">
        <f>IF(B105="","",IFERROR(INDEX(Ingredients!$J$5:$J$304,MATCH(B105,Ingredients!$B$5:$B$304,0)),"Add to Ingredients"))</f>
        <v>0</v>
      </c>
      <c r="M105" s="45">
        <f>IF(OR(I105="",I105=0),"",IF(OR(J105="",NOT(ISNUMBER(J105)),J105=0),"",ROUNDUP(I105/J105,0)))</f>
        <v>0</v>
      </c>
      <c r="N105" s="45">
        <f>IF(I105="","",IF(RoundingRule="Exact quantity",I105,IF(M105="",I105,M105*J105)))</f>
        <v>0</v>
      </c>
      <c r="O105" s="25">
        <f>IF(N105="","",IF(RoundingRule="Exact quantity",IF(L105="","",N105*L105),IF(OR(M105="",K105=""),"",M105*K105)))</f>
        <v>0</v>
      </c>
      <c r="P105" s="25">
        <f>IF(B105="","",SUM(O$5:O105))</f>
        <v>0</v>
      </c>
      <c r="Q105" s="45">
        <f>IF(V105="Yes",0,IF(N105="",0,N105))</f>
        <v>0</v>
      </c>
      <c r="R105" s="18">
        <f>IF(OR(B105="",I105=0,I105=""),"",COUNTIFS($I$5:I105,"&gt;0"))</f>
        <v>0</v>
      </c>
      <c r="S105" s="18">
        <f>IF(B105="","",COUNTIFS('Recipe Ingredients'!$D$5:$D$1204,B105,'Recipe Ingredients'!$Y$5:$Y$1204,"&gt;0"))</f>
        <v>0</v>
      </c>
      <c r="T105" s="46">
        <f>IF(B105="","",IF(COUNTIFS('Recipe Ingredients'!$D$5:$D$1204,B105,'Recipe Ingredients'!$Y$5:$Y$1204,"&gt;0",'Recipe Ingredients'!$I$5:$I$1204,"No")=0,"Yes","No"))</f>
        <v>0</v>
      </c>
      <c r="U105" s="17">
        <f>IF(B105="","",IFERROR(INDEX(Ingredients!$W$5:$W$304,MATCH(B105,Ingredients!$B$5:$B$304,0)),"Add to Ingredients"))</f>
        <v>0</v>
      </c>
      <c r="Z105" s="31">
        <f>IF(B105="","",IF(V105="Yes","Bought",IF(I105=0,"In stock",IF(O105="","Check - no price","On the list"))))</f>
        <v>0</v>
      </c>
    </row>
    <row r="106" spans="1:26">
      <c r="A106" s="18">
        <f>ROW()-4</f>
        <v>0</v>
      </c>
      <c r="B106" s="17">
        <f>IFERROR(INDEX(Ingredients!$B$5:$B$304,MATCH(A106,Ingredients!$AL$5:$AL$304,0)),"")</f>
        <v>0</v>
      </c>
      <c r="C106" s="17">
        <f>IF(B106="","",IFERROR(INDEX(Ingredients!$C$5:$C$304,MATCH(B106,Ingredients!$B$5:$B$304,0)),"Add to Ingredients"))</f>
        <v>0</v>
      </c>
      <c r="D106" s="17">
        <f>IF(B106="","",IFERROR(INDEX(Ingredients!$D$5:$D$304,MATCH(B106,Ingredients!$B$5:$B$304,0)),"Add to Ingredients"))</f>
        <v>0</v>
      </c>
      <c r="E106" s="17">
        <f>IF(B106="","",IFERROR(INDEX(Ingredients!$E$5:$E$304,MATCH(B106,Ingredients!$B$5:$B$304,0)),"Add to Ingredients"))</f>
        <v>0</v>
      </c>
      <c r="F106" s="45">
        <f>IF(B106="","",IFERROR(INDEX(Ingredients!$AG$5:$AG$304,MATCH(B106,Ingredients!$B$5:$B$304,0)),""))</f>
        <v>0</v>
      </c>
      <c r="G106" s="17">
        <f>IF(B106="","",IFERROR(INDEX(Ingredients!$G$5:$G$304,MATCH(B106,Ingredients!$B$5:$B$304,0)),"Add to Ingredients"))</f>
        <v>0</v>
      </c>
      <c r="H106" s="45">
        <f>IF(B106="","",IFERROR(INDEX(Ingredients!$AD$5:$AD$304,MATCH(B106,Ingredients!$B$5:$B$304,0)),0))</f>
        <v>0</v>
      </c>
      <c r="I106" s="45">
        <f>IF(F106="","",MAX(0,F106-IF(H106="",0,H106)))</f>
        <v>0</v>
      </c>
      <c r="J106" s="45">
        <f>IF(B106="","",IFERROR(INDEX(Ingredients!$H$5:$H$304,MATCH(B106,Ingredients!$B$5:$B$304,0)),"Add to Ingredients"))</f>
        <v>0</v>
      </c>
      <c r="K106" s="25">
        <f>IF(B106="","",IFERROR(INDEX(Ingredients!$I$5:$I$304,MATCH(B106,Ingredients!$B$5:$B$304,0)),"Add to Ingredients"))</f>
        <v>0</v>
      </c>
      <c r="L106" s="25">
        <f>IF(B106="","",IFERROR(INDEX(Ingredients!$J$5:$J$304,MATCH(B106,Ingredients!$B$5:$B$304,0)),"Add to Ingredients"))</f>
        <v>0</v>
      </c>
      <c r="M106" s="45">
        <f>IF(OR(I106="",I106=0),"",IF(OR(J106="",NOT(ISNUMBER(J106)),J106=0),"",ROUNDUP(I106/J106,0)))</f>
        <v>0</v>
      </c>
      <c r="N106" s="45">
        <f>IF(I106="","",IF(RoundingRule="Exact quantity",I106,IF(M106="",I106,M106*J106)))</f>
        <v>0</v>
      </c>
      <c r="O106" s="25">
        <f>IF(N106="","",IF(RoundingRule="Exact quantity",IF(L106="","",N106*L106),IF(OR(M106="",K106=""),"",M106*K106)))</f>
        <v>0</v>
      </c>
      <c r="P106" s="25">
        <f>IF(B106="","",SUM(O$5:O106))</f>
        <v>0</v>
      </c>
      <c r="Q106" s="45">
        <f>IF(V106="Yes",0,IF(N106="",0,N106))</f>
        <v>0</v>
      </c>
      <c r="R106" s="18">
        <f>IF(OR(B106="",I106=0,I106=""),"",COUNTIFS($I$5:I106,"&gt;0"))</f>
        <v>0</v>
      </c>
      <c r="S106" s="18">
        <f>IF(B106="","",COUNTIFS('Recipe Ingredients'!$D$5:$D$1204,B106,'Recipe Ingredients'!$Y$5:$Y$1204,"&gt;0"))</f>
        <v>0</v>
      </c>
      <c r="T106" s="46">
        <f>IF(B106="","",IF(COUNTIFS('Recipe Ingredients'!$D$5:$D$1204,B106,'Recipe Ingredients'!$Y$5:$Y$1204,"&gt;0",'Recipe Ingredients'!$I$5:$I$1204,"No")=0,"Yes","No"))</f>
        <v>0</v>
      </c>
      <c r="U106" s="17">
        <f>IF(B106="","",IFERROR(INDEX(Ingredients!$W$5:$W$304,MATCH(B106,Ingredients!$B$5:$B$304,0)),"Add to Ingredients"))</f>
        <v>0</v>
      </c>
      <c r="Z106" s="31">
        <f>IF(B106="","",IF(V106="Yes","Bought",IF(I106=0,"In stock",IF(O106="","Check - no price","On the list"))))</f>
        <v>0</v>
      </c>
    </row>
    <row r="107" spans="1:26">
      <c r="A107" s="18">
        <f>ROW()-4</f>
        <v>0</v>
      </c>
      <c r="B107" s="17">
        <f>IFERROR(INDEX(Ingredients!$B$5:$B$304,MATCH(A107,Ingredients!$AL$5:$AL$304,0)),"")</f>
        <v>0</v>
      </c>
      <c r="C107" s="17">
        <f>IF(B107="","",IFERROR(INDEX(Ingredients!$C$5:$C$304,MATCH(B107,Ingredients!$B$5:$B$304,0)),"Add to Ingredients"))</f>
        <v>0</v>
      </c>
      <c r="D107" s="17">
        <f>IF(B107="","",IFERROR(INDEX(Ingredients!$D$5:$D$304,MATCH(B107,Ingredients!$B$5:$B$304,0)),"Add to Ingredients"))</f>
        <v>0</v>
      </c>
      <c r="E107" s="17">
        <f>IF(B107="","",IFERROR(INDEX(Ingredients!$E$5:$E$304,MATCH(B107,Ingredients!$B$5:$B$304,0)),"Add to Ingredients"))</f>
        <v>0</v>
      </c>
      <c r="F107" s="45">
        <f>IF(B107="","",IFERROR(INDEX(Ingredients!$AG$5:$AG$304,MATCH(B107,Ingredients!$B$5:$B$304,0)),""))</f>
        <v>0</v>
      </c>
      <c r="G107" s="17">
        <f>IF(B107="","",IFERROR(INDEX(Ingredients!$G$5:$G$304,MATCH(B107,Ingredients!$B$5:$B$304,0)),"Add to Ingredients"))</f>
        <v>0</v>
      </c>
      <c r="H107" s="45">
        <f>IF(B107="","",IFERROR(INDEX(Ingredients!$AD$5:$AD$304,MATCH(B107,Ingredients!$B$5:$B$304,0)),0))</f>
        <v>0</v>
      </c>
      <c r="I107" s="45">
        <f>IF(F107="","",MAX(0,F107-IF(H107="",0,H107)))</f>
        <v>0</v>
      </c>
      <c r="J107" s="45">
        <f>IF(B107="","",IFERROR(INDEX(Ingredients!$H$5:$H$304,MATCH(B107,Ingredients!$B$5:$B$304,0)),"Add to Ingredients"))</f>
        <v>0</v>
      </c>
      <c r="K107" s="25">
        <f>IF(B107="","",IFERROR(INDEX(Ingredients!$I$5:$I$304,MATCH(B107,Ingredients!$B$5:$B$304,0)),"Add to Ingredients"))</f>
        <v>0</v>
      </c>
      <c r="L107" s="25">
        <f>IF(B107="","",IFERROR(INDEX(Ingredients!$J$5:$J$304,MATCH(B107,Ingredients!$B$5:$B$304,0)),"Add to Ingredients"))</f>
        <v>0</v>
      </c>
      <c r="M107" s="45">
        <f>IF(OR(I107="",I107=0),"",IF(OR(J107="",NOT(ISNUMBER(J107)),J107=0),"",ROUNDUP(I107/J107,0)))</f>
        <v>0</v>
      </c>
      <c r="N107" s="45">
        <f>IF(I107="","",IF(RoundingRule="Exact quantity",I107,IF(M107="",I107,M107*J107)))</f>
        <v>0</v>
      </c>
      <c r="O107" s="25">
        <f>IF(N107="","",IF(RoundingRule="Exact quantity",IF(L107="","",N107*L107),IF(OR(M107="",K107=""),"",M107*K107)))</f>
        <v>0</v>
      </c>
      <c r="P107" s="25">
        <f>IF(B107="","",SUM(O$5:O107))</f>
        <v>0</v>
      </c>
      <c r="Q107" s="45">
        <f>IF(V107="Yes",0,IF(N107="",0,N107))</f>
        <v>0</v>
      </c>
      <c r="R107" s="18">
        <f>IF(OR(B107="",I107=0,I107=""),"",COUNTIFS($I$5:I107,"&gt;0"))</f>
        <v>0</v>
      </c>
      <c r="S107" s="18">
        <f>IF(B107="","",COUNTIFS('Recipe Ingredients'!$D$5:$D$1204,B107,'Recipe Ingredients'!$Y$5:$Y$1204,"&gt;0"))</f>
        <v>0</v>
      </c>
      <c r="T107" s="46">
        <f>IF(B107="","",IF(COUNTIFS('Recipe Ingredients'!$D$5:$D$1204,B107,'Recipe Ingredients'!$Y$5:$Y$1204,"&gt;0",'Recipe Ingredients'!$I$5:$I$1204,"No")=0,"Yes","No"))</f>
        <v>0</v>
      </c>
      <c r="U107" s="17">
        <f>IF(B107="","",IFERROR(INDEX(Ingredients!$W$5:$W$304,MATCH(B107,Ingredients!$B$5:$B$304,0)),"Add to Ingredients"))</f>
        <v>0</v>
      </c>
      <c r="Z107" s="31">
        <f>IF(B107="","",IF(V107="Yes","Bought",IF(I107=0,"In stock",IF(O107="","Check - no price","On the list"))))</f>
        <v>0</v>
      </c>
    </row>
    <row r="108" spans="1:26">
      <c r="A108" s="18">
        <f>ROW()-4</f>
        <v>0</v>
      </c>
      <c r="B108" s="17">
        <f>IFERROR(INDEX(Ingredients!$B$5:$B$304,MATCH(A108,Ingredients!$AL$5:$AL$304,0)),"")</f>
        <v>0</v>
      </c>
      <c r="C108" s="17">
        <f>IF(B108="","",IFERROR(INDEX(Ingredients!$C$5:$C$304,MATCH(B108,Ingredients!$B$5:$B$304,0)),"Add to Ingredients"))</f>
        <v>0</v>
      </c>
      <c r="D108" s="17">
        <f>IF(B108="","",IFERROR(INDEX(Ingredients!$D$5:$D$304,MATCH(B108,Ingredients!$B$5:$B$304,0)),"Add to Ingredients"))</f>
        <v>0</v>
      </c>
      <c r="E108" s="17">
        <f>IF(B108="","",IFERROR(INDEX(Ingredients!$E$5:$E$304,MATCH(B108,Ingredients!$B$5:$B$304,0)),"Add to Ingredients"))</f>
        <v>0</v>
      </c>
      <c r="F108" s="45">
        <f>IF(B108="","",IFERROR(INDEX(Ingredients!$AG$5:$AG$304,MATCH(B108,Ingredients!$B$5:$B$304,0)),""))</f>
        <v>0</v>
      </c>
      <c r="G108" s="17">
        <f>IF(B108="","",IFERROR(INDEX(Ingredients!$G$5:$G$304,MATCH(B108,Ingredients!$B$5:$B$304,0)),"Add to Ingredients"))</f>
        <v>0</v>
      </c>
      <c r="H108" s="45">
        <f>IF(B108="","",IFERROR(INDEX(Ingredients!$AD$5:$AD$304,MATCH(B108,Ingredients!$B$5:$B$304,0)),0))</f>
        <v>0</v>
      </c>
      <c r="I108" s="45">
        <f>IF(F108="","",MAX(0,F108-IF(H108="",0,H108)))</f>
        <v>0</v>
      </c>
      <c r="J108" s="45">
        <f>IF(B108="","",IFERROR(INDEX(Ingredients!$H$5:$H$304,MATCH(B108,Ingredients!$B$5:$B$304,0)),"Add to Ingredients"))</f>
        <v>0</v>
      </c>
      <c r="K108" s="25">
        <f>IF(B108="","",IFERROR(INDEX(Ingredients!$I$5:$I$304,MATCH(B108,Ingredients!$B$5:$B$304,0)),"Add to Ingredients"))</f>
        <v>0</v>
      </c>
      <c r="L108" s="25">
        <f>IF(B108="","",IFERROR(INDEX(Ingredients!$J$5:$J$304,MATCH(B108,Ingredients!$B$5:$B$304,0)),"Add to Ingredients"))</f>
        <v>0</v>
      </c>
      <c r="M108" s="45">
        <f>IF(OR(I108="",I108=0),"",IF(OR(J108="",NOT(ISNUMBER(J108)),J108=0),"",ROUNDUP(I108/J108,0)))</f>
        <v>0</v>
      </c>
      <c r="N108" s="45">
        <f>IF(I108="","",IF(RoundingRule="Exact quantity",I108,IF(M108="",I108,M108*J108)))</f>
        <v>0</v>
      </c>
      <c r="O108" s="25">
        <f>IF(N108="","",IF(RoundingRule="Exact quantity",IF(L108="","",N108*L108),IF(OR(M108="",K108=""),"",M108*K108)))</f>
        <v>0</v>
      </c>
      <c r="P108" s="25">
        <f>IF(B108="","",SUM(O$5:O108))</f>
        <v>0</v>
      </c>
      <c r="Q108" s="45">
        <f>IF(V108="Yes",0,IF(N108="",0,N108))</f>
        <v>0</v>
      </c>
      <c r="R108" s="18">
        <f>IF(OR(B108="",I108=0,I108=""),"",COUNTIFS($I$5:I108,"&gt;0"))</f>
        <v>0</v>
      </c>
      <c r="S108" s="18">
        <f>IF(B108="","",COUNTIFS('Recipe Ingredients'!$D$5:$D$1204,B108,'Recipe Ingredients'!$Y$5:$Y$1204,"&gt;0"))</f>
        <v>0</v>
      </c>
      <c r="T108" s="46">
        <f>IF(B108="","",IF(COUNTIFS('Recipe Ingredients'!$D$5:$D$1204,B108,'Recipe Ingredients'!$Y$5:$Y$1204,"&gt;0",'Recipe Ingredients'!$I$5:$I$1204,"No")=0,"Yes","No"))</f>
        <v>0</v>
      </c>
      <c r="U108" s="17">
        <f>IF(B108="","",IFERROR(INDEX(Ingredients!$W$5:$W$304,MATCH(B108,Ingredients!$B$5:$B$304,0)),"Add to Ingredients"))</f>
        <v>0</v>
      </c>
      <c r="Z108" s="31">
        <f>IF(B108="","",IF(V108="Yes","Bought",IF(I108=0,"In stock",IF(O108="","Check - no price","On the list"))))</f>
        <v>0</v>
      </c>
    </row>
    <row r="109" spans="1:26">
      <c r="A109" s="18">
        <f>ROW()-4</f>
        <v>0</v>
      </c>
      <c r="B109" s="17">
        <f>IFERROR(INDEX(Ingredients!$B$5:$B$304,MATCH(A109,Ingredients!$AL$5:$AL$304,0)),"")</f>
        <v>0</v>
      </c>
      <c r="C109" s="17">
        <f>IF(B109="","",IFERROR(INDEX(Ingredients!$C$5:$C$304,MATCH(B109,Ingredients!$B$5:$B$304,0)),"Add to Ingredients"))</f>
        <v>0</v>
      </c>
      <c r="D109" s="17">
        <f>IF(B109="","",IFERROR(INDEX(Ingredients!$D$5:$D$304,MATCH(B109,Ingredients!$B$5:$B$304,0)),"Add to Ingredients"))</f>
        <v>0</v>
      </c>
      <c r="E109" s="17">
        <f>IF(B109="","",IFERROR(INDEX(Ingredients!$E$5:$E$304,MATCH(B109,Ingredients!$B$5:$B$304,0)),"Add to Ingredients"))</f>
        <v>0</v>
      </c>
      <c r="F109" s="45">
        <f>IF(B109="","",IFERROR(INDEX(Ingredients!$AG$5:$AG$304,MATCH(B109,Ingredients!$B$5:$B$304,0)),""))</f>
        <v>0</v>
      </c>
      <c r="G109" s="17">
        <f>IF(B109="","",IFERROR(INDEX(Ingredients!$G$5:$G$304,MATCH(B109,Ingredients!$B$5:$B$304,0)),"Add to Ingredients"))</f>
        <v>0</v>
      </c>
      <c r="H109" s="45">
        <f>IF(B109="","",IFERROR(INDEX(Ingredients!$AD$5:$AD$304,MATCH(B109,Ingredients!$B$5:$B$304,0)),0))</f>
        <v>0</v>
      </c>
      <c r="I109" s="45">
        <f>IF(F109="","",MAX(0,F109-IF(H109="",0,H109)))</f>
        <v>0</v>
      </c>
      <c r="J109" s="45">
        <f>IF(B109="","",IFERROR(INDEX(Ingredients!$H$5:$H$304,MATCH(B109,Ingredients!$B$5:$B$304,0)),"Add to Ingredients"))</f>
        <v>0</v>
      </c>
      <c r="K109" s="25">
        <f>IF(B109="","",IFERROR(INDEX(Ingredients!$I$5:$I$304,MATCH(B109,Ingredients!$B$5:$B$304,0)),"Add to Ingredients"))</f>
        <v>0</v>
      </c>
      <c r="L109" s="25">
        <f>IF(B109="","",IFERROR(INDEX(Ingredients!$J$5:$J$304,MATCH(B109,Ingredients!$B$5:$B$304,0)),"Add to Ingredients"))</f>
        <v>0</v>
      </c>
      <c r="M109" s="45">
        <f>IF(OR(I109="",I109=0),"",IF(OR(J109="",NOT(ISNUMBER(J109)),J109=0),"",ROUNDUP(I109/J109,0)))</f>
        <v>0</v>
      </c>
      <c r="N109" s="45">
        <f>IF(I109="","",IF(RoundingRule="Exact quantity",I109,IF(M109="",I109,M109*J109)))</f>
        <v>0</v>
      </c>
      <c r="O109" s="25">
        <f>IF(N109="","",IF(RoundingRule="Exact quantity",IF(L109="","",N109*L109),IF(OR(M109="",K109=""),"",M109*K109)))</f>
        <v>0</v>
      </c>
      <c r="P109" s="25">
        <f>IF(B109="","",SUM(O$5:O109))</f>
        <v>0</v>
      </c>
      <c r="Q109" s="45">
        <f>IF(V109="Yes",0,IF(N109="",0,N109))</f>
        <v>0</v>
      </c>
      <c r="R109" s="18">
        <f>IF(OR(B109="",I109=0,I109=""),"",COUNTIFS($I$5:I109,"&gt;0"))</f>
        <v>0</v>
      </c>
      <c r="S109" s="18">
        <f>IF(B109="","",COUNTIFS('Recipe Ingredients'!$D$5:$D$1204,B109,'Recipe Ingredients'!$Y$5:$Y$1204,"&gt;0"))</f>
        <v>0</v>
      </c>
      <c r="T109" s="46">
        <f>IF(B109="","",IF(COUNTIFS('Recipe Ingredients'!$D$5:$D$1204,B109,'Recipe Ingredients'!$Y$5:$Y$1204,"&gt;0",'Recipe Ingredients'!$I$5:$I$1204,"No")=0,"Yes","No"))</f>
        <v>0</v>
      </c>
      <c r="U109" s="17">
        <f>IF(B109="","",IFERROR(INDEX(Ingredients!$W$5:$W$304,MATCH(B109,Ingredients!$B$5:$B$304,0)),"Add to Ingredients"))</f>
        <v>0</v>
      </c>
      <c r="Z109" s="31">
        <f>IF(B109="","",IF(V109="Yes","Bought",IF(I109=0,"In stock",IF(O109="","Check - no price","On the list"))))</f>
        <v>0</v>
      </c>
    </row>
    <row r="110" spans="1:26">
      <c r="A110" s="18">
        <f>ROW()-4</f>
        <v>0</v>
      </c>
      <c r="B110" s="17">
        <f>IFERROR(INDEX(Ingredients!$B$5:$B$304,MATCH(A110,Ingredients!$AL$5:$AL$304,0)),"")</f>
        <v>0</v>
      </c>
      <c r="C110" s="17">
        <f>IF(B110="","",IFERROR(INDEX(Ingredients!$C$5:$C$304,MATCH(B110,Ingredients!$B$5:$B$304,0)),"Add to Ingredients"))</f>
        <v>0</v>
      </c>
      <c r="D110" s="17">
        <f>IF(B110="","",IFERROR(INDEX(Ingredients!$D$5:$D$304,MATCH(B110,Ingredients!$B$5:$B$304,0)),"Add to Ingredients"))</f>
        <v>0</v>
      </c>
      <c r="E110" s="17">
        <f>IF(B110="","",IFERROR(INDEX(Ingredients!$E$5:$E$304,MATCH(B110,Ingredients!$B$5:$B$304,0)),"Add to Ingredients"))</f>
        <v>0</v>
      </c>
      <c r="F110" s="45">
        <f>IF(B110="","",IFERROR(INDEX(Ingredients!$AG$5:$AG$304,MATCH(B110,Ingredients!$B$5:$B$304,0)),""))</f>
        <v>0</v>
      </c>
      <c r="G110" s="17">
        <f>IF(B110="","",IFERROR(INDEX(Ingredients!$G$5:$G$304,MATCH(B110,Ingredients!$B$5:$B$304,0)),"Add to Ingredients"))</f>
        <v>0</v>
      </c>
      <c r="H110" s="45">
        <f>IF(B110="","",IFERROR(INDEX(Ingredients!$AD$5:$AD$304,MATCH(B110,Ingredients!$B$5:$B$304,0)),0))</f>
        <v>0</v>
      </c>
      <c r="I110" s="45">
        <f>IF(F110="","",MAX(0,F110-IF(H110="",0,H110)))</f>
        <v>0</v>
      </c>
      <c r="J110" s="45">
        <f>IF(B110="","",IFERROR(INDEX(Ingredients!$H$5:$H$304,MATCH(B110,Ingredients!$B$5:$B$304,0)),"Add to Ingredients"))</f>
        <v>0</v>
      </c>
      <c r="K110" s="25">
        <f>IF(B110="","",IFERROR(INDEX(Ingredients!$I$5:$I$304,MATCH(B110,Ingredients!$B$5:$B$304,0)),"Add to Ingredients"))</f>
        <v>0</v>
      </c>
      <c r="L110" s="25">
        <f>IF(B110="","",IFERROR(INDEX(Ingredients!$J$5:$J$304,MATCH(B110,Ingredients!$B$5:$B$304,0)),"Add to Ingredients"))</f>
        <v>0</v>
      </c>
      <c r="M110" s="45">
        <f>IF(OR(I110="",I110=0),"",IF(OR(J110="",NOT(ISNUMBER(J110)),J110=0),"",ROUNDUP(I110/J110,0)))</f>
        <v>0</v>
      </c>
      <c r="N110" s="45">
        <f>IF(I110="","",IF(RoundingRule="Exact quantity",I110,IF(M110="",I110,M110*J110)))</f>
        <v>0</v>
      </c>
      <c r="O110" s="25">
        <f>IF(N110="","",IF(RoundingRule="Exact quantity",IF(L110="","",N110*L110),IF(OR(M110="",K110=""),"",M110*K110)))</f>
        <v>0</v>
      </c>
      <c r="P110" s="25">
        <f>IF(B110="","",SUM(O$5:O110))</f>
        <v>0</v>
      </c>
      <c r="Q110" s="45">
        <f>IF(V110="Yes",0,IF(N110="",0,N110))</f>
        <v>0</v>
      </c>
      <c r="R110" s="18">
        <f>IF(OR(B110="",I110=0,I110=""),"",COUNTIFS($I$5:I110,"&gt;0"))</f>
        <v>0</v>
      </c>
      <c r="S110" s="18">
        <f>IF(B110="","",COUNTIFS('Recipe Ingredients'!$D$5:$D$1204,B110,'Recipe Ingredients'!$Y$5:$Y$1204,"&gt;0"))</f>
        <v>0</v>
      </c>
      <c r="T110" s="46">
        <f>IF(B110="","",IF(COUNTIFS('Recipe Ingredients'!$D$5:$D$1204,B110,'Recipe Ingredients'!$Y$5:$Y$1204,"&gt;0",'Recipe Ingredients'!$I$5:$I$1204,"No")=0,"Yes","No"))</f>
        <v>0</v>
      </c>
      <c r="U110" s="17">
        <f>IF(B110="","",IFERROR(INDEX(Ingredients!$W$5:$W$304,MATCH(B110,Ingredients!$B$5:$B$304,0)),"Add to Ingredients"))</f>
        <v>0</v>
      </c>
      <c r="Z110" s="31">
        <f>IF(B110="","",IF(V110="Yes","Bought",IF(I110=0,"In stock",IF(O110="","Check - no price","On the list"))))</f>
        <v>0</v>
      </c>
    </row>
    <row r="111" spans="1:26">
      <c r="A111" s="18">
        <f>ROW()-4</f>
        <v>0</v>
      </c>
      <c r="B111" s="17">
        <f>IFERROR(INDEX(Ingredients!$B$5:$B$304,MATCH(A111,Ingredients!$AL$5:$AL$304,0)),"")</f>
        <v>0</v>
      </c>
      <c r="C111" s="17">
        <f>IF(B111="","",IFERROR(INDEX(Ingredients!$C$5:$C$304,MATCH(B111,Ingredients!$B$5:$B$304,0)),"Add to Ingredients"))</f>
        <v>0</v>
      </c>
      <c r="D111" s="17">
        <f>IF(B111="","",IFERROR(INDEX(Ingredients!$D$5:$D$304,MATCH(B111,Ingredients!$B$5:$B$304,0)),"Add to Ingredients"))</f>
        <v>0</v>
      </c>
      <c r="E111" s="17">
        <f>IF(B111="","",IFERROR(INDEX(Ingredients!$E$5:$E$304,MATCH(B111,Ingredients!$B$5:$B$304,0)),"Add to Ingredients"))</f>
        <v>0</v>
      </c>
      <c r="F111" s="45">
        <f>IF(B111="","",IFERROR(INDEX(Ingredients!$AG$5:$AG$304,MATCH(B111,Ingredients!$B$5:$B$304,0)),""))</f>
        <v>0</v>
      </c>
      <c r="G111" s="17">
        <f>IF(B111="","",IFERROR(INDEX(Ingredients!$G$5:$G$304,MATCH(B111,Ingredients!$B$5:$B$304,0)),"Add to Ingredients"))</f>
        <v>0</v>
      </c>
      <c r="H111" s="45">
        <f>IF(B111="","",IFERROR(INDEX(Ingredients!$AD$5:$AD$304,MATCH(B111,Ingredients!$B$5:$B$304,0)),0))</f>
        <v>0</v>
      </c>
      <c r="I111" s="45">
        <f>IF(F111="","",MAX(0,F111-IF(H111="",0,H111)))</f>
        <v>0</v>
      </c>
      <c r="J111" s="45">
        <f>IF(B111="","",IFERROR(INDEX(Ingredients!$H$5:$H$304,MATCH(B111,Ingredients!$B$5:$B$304,0)),"Add to Ingredients"))</f>
        <v>0</v>
      </c>
      <c r="K111" s="25">
        <f>IF(B111="","",IFERROR(INDEX(Ingredients!$I$5:$I$304,MATCH(B111,Ingredients!$B$5:$B$304,0)),"Add to Ingredients"))</f>
        <v>0</v>
      </c>
      <c r="L111" s="25">
        <f>IF(B111="","",IFERROR(INDEX(Ingredients!$J$5:$J$304,MATCH(B111,Ingredients!$B$5:$B$304,0)),"Add to Ingredients"))</f>
        <v>0</v>
      </c>
      <c r="M111" s="45">
        <f>IF(OR(I111="",I111=0),"",IF(OR(J111="",NOT(ISNUMBER(J111)),J111=0),"",ROUNDUP(I111/J111,0)))</f>
        <v>0</v>
      </c>
      <c r="N111" s="45">
        <f>IF(I111="","",IF(RoundingRule="Exact quantity",I111,IF(M111="",I111,M111*J111)))</f>
        <v>0</v>
      </c>
      <c r="O111" s="25">
        <f>IF(N111="","",IF(RoundingRule="Exact quantity",IF(L111="","",N111*L111),IF(OR(M111="",K111=""),"",M111*K111)))</f>
        <v>0</v>
      </c>
      <c r="P111" s="25">
        <f>IF(B111="","",SUM(O$5:O111))</f>
        <v>0</v>
      </c>
      <c r="Q111" s="45">
        <f>IF(V111="Yes",0,IF(N111="",0,N111))</f>
        <v>0</v>
      </c>
      <c r="R111" s="18">
        <f>IF(OR(B111="",I111=0,I111=""),"",COUNTIFS($I$5:I111,"&gt;0"))</f>
        <v>0</v>
      </c>
      <c r="S111" s="18">
        <f>IF(B111="","",COUNTIFS('Recipe Ingredients'!$D$5:$D$1204,B111,'Recipe Ingredients'!$Y$5:$Y$1204,"&gt;0"))</f>
        <v>0</v>
      </c>
      <c r="T111" s="46">
        <f>IF(B111="","",IF(COUNTIFS('Recipe Ingredients'!$D$5:$D$1204,B111,'Recipe Ingredients'!$Y$5:$Y$1204,"&gt;0",'Recipe Ingredients'!$I$5:$I$1204,"No")=0,"Yes","No"))</f>
        <v>0</v>
      </c>
      <c r="U111" s="17">
        <f>IF(B111="","",IFERROR(INDEX(Ingredients!$W$5:$W$304,MATCH(B111,Ingredients!$B$5:$B$304,0)),"Add to Ingredients"))</f>
        <v>0</v>
      </c>
      <c r="Z111" s="31">
        <f>IF(B111="","",IF(V111="Yes","Bought",IF(I111=0,"In stock",IF(O111="","Check - no price","On the list"))))</f>
        <v>0</v>
      </c>
    </row>
    <row r="112" spans="1:26">
      <c r="A112" s="18">
        <f>ROW()-4</f>
        <v>0</v>
      </c>
      <c r="B112" s="17">
        <f>IFERROR(INDEX(Ingredients!$B$5:$B$304,MATCH(A112,Ingredients!$AL$5:$AL$304,0)),"")</f>
        <v>0</v>
      </c>
      <c r="C112" s="17">
        <f>IF(B112="","",IFERROR(INDEX(Ingredients!$C$5:$C$304,MATCH(B112,Ingredients!$B$5:$B$304,0)),"Add to Ingredients"))</f>
        <v>0</v>
      </c>
      <c r="D112" s="17">
        <f>IF(B112="","",IFERROR(INDEX(Ingredients!$D$5:$D$304,MATCH(B112,Ingredients!$B$5:$B$304,0)),"Add to Ingredients"))</f>
        <v>0</v>
      </c>
      <c r="E112" s="17">
        <f>IF(B112="","",IFERROR(INDEX(Ingredients!$E$5:$E$304,MATCH(B112,Ingredients!$B$5:$B$304,0)),"Add to Ingredients"))</f>
        <v>0</v>
      </c>
      <c r="F112" s="45">
        <f>IF(B112="","",IFERROR(INDEX(Ingredients!$AG$5:$AG$304,MATCH(B112,Ingredients!$B$5:$B$304,0)),""))</f>
        <v>0</v>
      </c>
      <c r="G112" s="17">
        <f>IF(B112="","",IFERROR(INDEX(Ingredients!$G$5:$G$304,MATCH(B112,Ingredients!$B$5:$B$304,0)),"Add to Ingredients"))</f>
        <v>0</v>
      </c>
      <c r="H112" s="45">
        <f>IF(B112="","",IFERROR(INDEX(Ingredients!$AD$5:$AD$304,MATCH(B112,Ingredients!$B$5:$B$304,0)),0))</f>
        <v>0</v>
      </c>
      <c r="I112" s="45">
        <f>IF(F112="","",MAX(0,F112-IF(H112="",0,H112)))</f>
        <v>0</v>
      </c>
      <c r="J112" s="45">
        <f>IF(B112="","",IFERROR(INDEX(Ingredients!$H$5:$H$304,MATCH(B112,Ingredients!$B$5:$B$304,0)),"Add to Ingredients"))</f>
        <v>0</v>
      </c>
      <c r="K112" s="25">
        <f>IF(B112="","",IFERROR(INDEX(Ingredients!$I$5:$I$304,MATCH(B112,Ingredients!$B$5:$B$304,0)),"Add to Ingredients"))</f>
        <v>0</v>
      </c>
      <c r="L112" s="25">
        <f>IF(B112="","",IFERROR(INDEX(Ingredients!$J$5:$J$304,MATCH(B112,Ingredients!$B$5:$B$304,0)),"Add to Ingredients"))</f>
        <v>0</v>
      </c>
      <c r="M112" s="45">
        <f>IF(OR(I112="",I112=0),"",IF(OR(J112="",NOT(ISNUMBER(J112)),J112=0),"",ROUNDUP(I112/J112,0)))</f>
        <v>0</v>
      </c>
      <c r="N112" s="45">
        <f>IF(I112="","",IF(RoundingRule="Exact quantity",I112,IF(M112="",I112,M112*J112)))</f>
        <v>0</v>
      </c>
      <c r="O112" s="25">
        <f>IF(N112="","",IF(RoundingRule="Exact quantity",IF(L112="","",N112*L112),IF(OR(M112="",K112=""),"",M112*K112)))</f>
        <v>0</v>
      </c>
      <c r="P112" s="25">
        <f>IF(B112="","",SUM(O$5:O112))</f>
        <v>0</v>
      </c>
      <c r="Q112" s="45">
        <f>IF(V112="Yes",0,IF(N112="",0,N112))</f>
        <v>0</v>
      </c>
      <c r="R112" s="18">
        <f>IF(OR(B112="",I112=0,I112=""),"",COUNTIFS($I$5:I112,"&gt;0"))</f>
        <v>0</v>
      </c>
      <c r="S112" s="18">
        <f>IF(B112="","",COUNTIFS('Recipe Ingredients'!$D$5:$D$1204,B112,'Recipe Ingredients'!$Y$5:$Y$1204,"&gt;0"))</f>
        <v>0</v>
      </c>
      <c r="T112" s="46">
        <f>IF(B112="","",IF(COUNTIFS('Recipe Ingredients'!$D$5:$D$1204,B112,'Recipe Ingredients'!$Y$5:$Y$1204,"&gt;0",'Recipe Ingredients'!$I$5:$I$1204,"No")=0,"Yes","No"))</f>
        <v>0</v>
      </c>
      <c r="U112" s="17">
        <f>IF(B112="","",IFERROR(INDEX(Ingredients!$W$5:$W$304,MATCH(B112,Ingredients!$B$5:$B$304,0)),"Add to Ingredients"))</f>
        <v>0</v>
      </c>
      <c r="Z112" s="31">
        <f>IF(B112="","",IF(V112="Yes","Bought",IF(I112=0,"In stock",IF(O112="","Check - no price","On the list"))))</f>
        <v>0</v>
      </c>
    </row>
    <row r="113" spans="1:26">
      <c r="A113" s="18">
        <f>ROW()-4</f>
        <v>0</v>
      </c>
      <c r="B113" s="17">
        <f>IFERROR(INDEX(Ingredients!$B$5:$B$304,MATCH(A113,Ingredients!$AL$5:$AL$304,0)),"")</f>
        <v>0</v>
      </c>
      <c r="C113" s="17">
        <f>IF(B113="","",IFERROR(INDEX(Ingredients!$C$5:$C$304,MATCH(B113,Ingredients!$B$5:$B$304,0)),"Add to Ingredients"))</f>
        <v>0</v>
      </c>
      <c r="D113" s="17">
        <f>IF(B113="","",IFERROR(INDEX(Ingredients!$D$5:$D$304,MATCH(B113,Ingredients!$B$5:$B$304,0)),"Add to Ingredients"))</f>
        <v>0</v>
      </c>
      <c r="E113" s="17">
        <f>IF(B113="","",IFERROR(INDEX(Ingredients!$E$5:$E$304,MATCH(B113,Ingredients!$B$5:$B$304,0)),"Add to Ingredients"))</f>
        <v>0</v>
      </c>
      <c r="F113" s="45">
        <f>IF(B113="","",IFERROR(INDEX(Ingredients!$AG$5:$AG$304,MATCH(B113,Ingredients!$B$5:$B$304,0)),""))</f>
        <v>0</v>
      </c>
      <c r="G113" s="17">
        <f>IF(B113="","",IFERROR(INDEX(Ingredients!$G$5:$G$304,MATCH(B113,Ingredients!$B$5:$B$304,0)),"Add to Ingredients"))</f>
        <v>0</v>
      </c>
      <c r="H113" s="45">
        <f>IF(B113="","",IFERROR(INDEX(Ingredients!$AD$5:$AD$304,MATCH(B113,Ingredients!$B$5:$B$304,0)),0))</f>
        <v>0</v>
      </c>
      <c r="I113" s="45">
        <f>IF(F113="","",MAX(0,F113-IF(H113="",0,H113)))</f>
        <v>0</v>
      </c>
      <c r="J113" s="45">
        <f>IF(B113="","",IFERROR(INDEX(Ingredients!$H$5:$H$304,MATCH(B113,Ingredients!$B$5:$B$304,0)),"Add to Ingredients"))</f>
        <v>0</v>
      </c>
      <c r="K113" s="25">
        <f>IF(B113="","",IFERROR(INDEX(Ingredients!$I$5:$I$304,MATCH(B113,Ingredients!$B$5:$B$304,0)),"Add to Ingredients"))</f>
        <v>0</v>
      </c>
      <c r="L113" s="25">
        <f>IF(B113="","",IFERROR(INDEX(Ingredients!$J$5:$J$304,MATCH(B113,Ingredients!$B$5:$B$304,0)),"Add to Ingredients"))</f>
        <v>0</v>
      </c>
      <c r="M113" s="45">
        <f>IF(OR(I113="",I113=0),"",IF(OR(J113="",NOT(ISNUMBER(J113)),J113=0),"",ROUNDUP(I113/J113,0)))</f>
        <v>0</v>
      </c>
      <c r="N113" s="45">
        <f>IF(I113="","",IF(RoundingRule="Exact quantity",I113,IF(M113="",I113,M113*J113)))</f>
        <v>0</v>
      </c>
      <c r="O113" s="25">
        <f>IF(N113="","",IF(RoundingRule="Exact quantity",IF(L113="","",N113*L113),IF(OR(M113="",K113=""),"",M113*K113)))</f>
        <v>0</v>
      </c>
      <c r="P113" s="25">
        <f>IF(B113="","",SUM(O$5:O113))</f>
        <v>0</v>
      </c>
      <c r="Q113" s="45">
        <f>IF(V113="Yes",0,IF(N113="",0,N113))</f>
        <v>0</v>
      </c>
      <c r="R113" s="18">
        <f>IF(OR(B113="",I113=0,I113=""),"",COUNTIFS($I$5:I113,"&gt;0"))</f>
        <v>0</v>
      </c>
      <c r="S113" s="18">
        <f>IF(B113="","",COUNTIFS('Recipe Ingredients'!$D$5:$D$1204,B113,'Recipe Ingredients'!$Y$5:$Y$1204,"&gt;0"))</f>
        <v>0</v>
      </c>
      <c r="T113" s="46">
        <f>IF(B113="","",IF(COUNTIFS('Recipe Ingredients'!$D$5:$D$1204,B113,'Recipe Ingredients'!$Y$5:$Y$1204,"&gt;0",'Recipe Ingredients'!$I$5:$I$1204,"No")=0,"Yes","No"))</f>
        <v>0</v>
      </c>
      <c r="U113" s="17">
        <f>IF(B113="","",IFERROR(INDEX(Ingredients!$W$5:$W$304,MATCH(B113,Ingredients!$B$5:$B$304,0)),"Add to Ingredients"))</f>
        <v>0</v>
      </c>
      <c r="Z113" s="31">
        <f>IF(B113="","",IF(V113="Yes","Bought",IF(I113=0,"In stock",IF(O113="","Check - no price","On the list"))))</f>
        <v>0</v>
      </c>
    </row>
    <row r="114" spans="1:26">
      <c r="A114" s="18">
        <f>ROW()-4</f>
        <v>0</v>
      </c>
      <c r="B114" s="17">
        <f>IFERROR(INDEX(Ingredients!$B$5:$B$304,MATCH(A114,Ingredients!$AL$5:$AL$304,0)),"")</f>
        <v>0</v>
      </c>
      <c r="C114" s="17">
        <f>IF(B114="","",IFERROR(INDEX(Ingredients!$C$5:$C$304,MATCH(B114,Ingredients!$B$5:$B$304,0)),"Add to Ingredients"))</f>
        <v>0</v>
      </c>
      <c r="D114" s="17">
        <f>IF(B114="","",IFERROR(INDEX(Ingredients!$D$5:$D$304,MATCH(B114,Ingredients!$B$5:$B$304,0)),"Add to Ingredients"))</f>
        <v>0</v>
      </c>
      <c r="E114" s="17">
        <f>IF(B114="","",IFERROR(INDEX(Ingredients!$E$5:$E$304,MATCH(B114,Ingredients!$B$5:$B$304,0)),"Add to Ingredients"))</f>
        <v>0</v>
      </c>
      <c r="F114" s="45">
        <f>IF(B114="","",IFERROR(INDEX(Ingredients!$AG$5:$AG$304,MATCH(B114,Ingredients!$B$5:$B$304,0)),""))</f>
        <v>0</v>
      </c>
      <c r="G114" s="17">
        <f>IF(B114="","",IFERROR(INDEX(Ingredients!$G$5:$G$304,MATCH(B114,Ingredients!$B$5:$B$304,0)),"Add to Ingredients"))</f>
        <v>0</v>
      </c>
      <c r="H114" s="45">
        <f>IF(B114="","",IFERROR(INDEX(Ingredients!$AD$5:$AD$304,MATCH(B114,Ingredients!$B$5:$B$304,0)),0))</f>
        <v>0</v>
      </c>
      <c r="I114" s="45">
        <f>IF(F114="","",MAX(0,F114-IF(H114="",0,H114)))</f>
        <v>0</v>
      </c>
      <c r="J114" s="45">
        <f>IF(B114="","",IFERROR(INDEX(Ingredients!$H$5:$H$304,MATCH(B114,Ingredients!$B$5:$B$304,0)),"Add to Ingredients"))</f>
        <v>0</v>
      </c>
      <c r="K114" s="25">
        <f>IF(B114="","",IFERROR(INDEX(Ingredients!$I$5:$I$304,MATCH(B114,Ingredients!$B$5:$B$304,0)),"Add to Ingredients"))</f>
        <v>0</v>
      </c>
      <c r="L114" s="25">
        <f>IF(B114="","",IFERROR(INDEX(Ingredients!$J$5:$J$304,MATCH(B114,Ingredients!$B$5:$B$304,0)),"Add to Ingredients"))</f>
        <v>0</v>
      </c>
      <c r="M114" s="45">
        <f>IF(OR(I114="",I114=0),"",IF(OR(J114="",NOT(ISNUMBER(J114)),J114=0),"",ROUNDUP(I114/J114,0)))</f>
        <v>0</v>
      </c>
      <c r="N114" s="45">
        <f>IF(I114="","",IF(RoundingRule="Exact quantity",I114,IF(M114="",I114,M114*J114)))</f>
        <v>0</v>
      </c>
      <c r="O114" s="25">
        <f>IF(N114="","",IF(RoundingRule="Exact quantity",IF(L114="","",N114*L114),IF(OR(M114="",K114=""),"",M114*K114)))</f>
        <v>0</v>
      </c>
      <c r="P114" s="25">
        <f>IF(B114="","",SUM(O$5:O114))</f>
        <v>0</v>
      </c>
      <c r="Q114" s="45">
        <f>IF(V114="Yes",0,IF(N114="",0,N114))</f>
        <v>0</v>
      </c>
      <c r="R114" s="18">
        <f>IF(OR(B114="",I114=0,I114=""),"",COUNTIFS($I$5:I114,"&gt;0"))</f>
        <v>0</v>
      </c>
      <c r="S114" s="18">
        <f>IF(B114="","",COUNTIFS('Recipe Ingredients'!$D$5:$D$1204,B114,'Recipe Ingredients'!$Y$5:$Y$1204,"&gt;0"))</f>
        <v>0</v>
      </c>
      <c r="T114" s="46">
        <f>IF(B114="","",IF(COUNTIFS('Recipe Ingredients'!$D$5:$D$1204,B114,'Recipe Ingredients'!$Y$5:$Y$1204,"&gt;0",'Recipe Ingredients'!$I$5:$I$1204,"No")=0,"Yes","No"))</f>
        <v>0</v>
      </c>
      <c r="U114" s="17">
        <f>IF(B114="","",IFERROR(INDEX(Ingredients!$W$5:$W$304,MATCH(B114,Ingredients!$B$5:$B$304,0)),"Add to Ingredients"))</f>
        <v>0</v>
      </c>
      <c r="Z114" s="31">
        <f>IF(B114="","",IF(V114="Yes","Bought",IF(I114=0,"In stock",IF(O114="","Check - no price","On the list"))))</f>
        <v>0</v>
      </c>
    </row>
    <row r="115" spans="1:26">
      <c r="A115" s="18">
        <f>ROW()-4</f>
        <v>0</v>
      </c>
      <c r="B115" s="17">
        <f>IFERROR(INDEX(Ingredients!$B$5:$B$304,MATCH(A115,Ingredients!$AL$5:$AL$304,0)),"")</f>
        <v>0</v>
      </c>
      <c r="C115" s="17">
        <f>IF(B115="","",IFERROR(INDEX(Ingredients!$C$5:$C$304,MATCH(B115,Ingredients!$B$5:$B$304,0)),"Add to Ingredients"))</f>
        <v>0</v>
      </c>
      <c r="D115" s="17">
        <f>IF(B115="","",IFERROR(INDEX(Ingredients!$D$5:$D$304,MATCH(B115,Ingredients!$B$5:$B$304,0)),"Add to Ingredients"))</f>
        <v>0</v>
      </c>
      <c r="E115" s="17">
        <f>IF(B115="","",IFERROR(INDEX(Ingredients!$E$5:$E$304,MATCH(B115,Ingredients!$B$5:$B$304,0)),"Add to Ingredients"))</f>
        <v>0</v>
      </c>
      <c r="F115" s="45">
        <f>IF(B115="","",IFERROR(INDEX(Ingredients!$AG$5:$AG$304,MATCH(B115,Ingredients!$B$5:$B$304,0)),""))</f>
        <v>0</v>
      </c>
      <c r="G115" s="17">
        <f>IF(B115="","",IFERROR(INDEX(Ingredients!$G$5:$G$304,MATCH(B115,Ingredients!$B$5:$B$304,0)),"Add to Ingredients"))</f>
        <v>0</v>
      </c>
      <c r="H115" s="45">
        <f>IF(B115="","",IFERROR(INDEX(Ingredients!$AD$5:$AD$304,MATCH(B115,Ingredients!$B$5:$B$304,0)),0))</f>
        <v>0</v>
      </c>
      <c r="I115" s="45">
        <f>IF(F115="","",MAX(0,F115-IF(H115="",0,H115)))</f>
        <v>0</v>
      </c>
      <c r="J115" s="45">
        <f>IF(B115="","",IFERROR(INDEX(Ingredients!$H$5:$H$304,MATCH(B115,Ingredients!$B$5:$B$304,0)),"Add to Ingredients"))</f>
        <v>0</v>
      </c>
      <c r="K115" s="25">
        <f>IF(B115="","",IFERROR(INDEX(Ingredients!$I$5:$I$304,MATCH(B115,Ingredients!$B$5:$B$304,0)),"Add to Ingredients"))</f>
        <v>0</v>
      </c>
      <c r="L115" s="25">
        <f>IF(B115="","",IFERROR(INDEX(Ingredients!$J$5:$J$304,MATCH(B115,Ingredients!$B$5:$B$304,0)),"Add to Ingredients"))</f>
        <v>0</v>
      </c>
      <c r="M115" s="45">
        <f>IF(OR(I115="",I115=0),"",IF(OR(J115="",NOT(ISNUMBER(J115)),J115=0),"",ROUNDUP(I115/J115,0)))</f>
        <v>0</v>
      </c>
      <c r="N115" s="45">
        <f>IF(I115="","",IF(RoundingRule="Exact quantity",I115,IF(M115="",I115,M115*J115)))</f>
        <v>0</v>
      </c>
      <c r="O115" s="25">
        <f>IF(N115="","",IF(RoundingRule="Exact quantity",IF(L115="","",N115*L115),IF(OR(M115="",K115=""),"",M115*K115)))</f>
        <v>0</v>
      </c>
      <c r="P115" s="25">
        <f>IF(B115="","",SUM(O$5:O115))</f>
        <v>0</v>
      </c>
      <c r="Q115" s="45">
        <f>IF(V115="Yes",0,IF(N115="",0,N115))</f>
        <v>0</v>
      </c>
      <c r="R115" s="18">
        <f>IF(OR(B115="",I115=0,I115=""),"",COUNTIFS($I$5:I115,"&gt;0"))</f>
        <v>0</v>
      </c>
      <c r="S115" s="18">
        <f>IF(B115="","",COUNTIFS('Recipe Ingredients'!$D$5:$D$1204,B115,'Recipe Ingredients'!$Y$5:$Y$1204,"&gt;0"))</f>
        <v>0</v>
      </c>
      <c r="T115" s="46">
        <f>IF(B115="","",IF(COUNTIFS('Recipe Ingredients'!$D$5:$D$1204,B115,'Recipe Ingredients'!$Y$5:$Y$1204,"&gt;0",'Recipe Ingredients'!$I$5:$I$1204,"No")=0,"Yes","No"))</f>
        <v>0</v>
      </c>
      <c r="U115" s="17">
        <f>IF(B115="","",IFERROR(INDEX(Ingredients!$W$5:$W$304,MATCH(B115,Ingredients!$B$5:$B$304,0)),"Add to Ingredients"))</f>
        <v>0</v>
      </c>
      <c r="Z115" s="31">
        <f>IF(B115="","",IF(V115="Yes","Bought",IF(I115=0,"In stock",IF(O115="","Check - no price","On the list"))))</f>
        <v>0</v>
      </c>
    </row>
    <row r="116" spans="1:26">
      <c r="A116" s="18">
        <f>ROW()-4</f>
        <v>0</v>
      </c>
      <c r="B116" s="17">
        <f>IFERROR(INDEX(Ingredients!$B$5:$B$304,MATCH(A116,Ingredients!$AL$5:$AL$304,0)),"")</f>
        <v>0</v>
      </c>
      <c r="C116" s="17">
        <f>IF(B116="","",IFERROR(INDEX(Ingredients!$C$5:$C$304,MATCH(B116,Ingredients!$B$5:$B$304,0)),"Add to Ingredients"))</f>
        <v>0</v>
      </c>
      <c r="D116" s="17">
        <f>IF(B116="","",IFERROR(INDEX(Ingredients!$D$5:$D$304,MATCH(B116,Ingredients!$B$5:$B$304,0)),"Add to Ingredients"))</f>
        <v>0</v>
      </c>
      <c r="E116" s="17">
        <f>IF(B116="","",IFERROR(INDEX(Ingredients!$E$5:$E$304,MATCH(B116,Ingredients!$B$5:$B$304,0)),"Add to Ingredients"))</f>
        <v>0</v>
      </c>
      <c r="F116" s="45">
        <f>IF(B116="","",IFERROR(INDEX(Ingredients!$AG$5:$AG$304,MATCH(B116,Ingredients!$B$5:$B$304,0)),""))</f>
        <v>0</v>
      </c>
      <c r="G116" s="17">
        <f>IF(B116="","",IFERROR(INDEX(Ingredients!$G$5:$G$304,MATCH(B116,Ingredients!$B$5:$B$304,0)),"Add to Ingredients"))</f>
        <v>0</v>
      </c>
      <c r="H116" s="45">
        <f>IF(B116="","",IFERROR(INDEX(Ingredients!$AD$5:$AD$304,MATCH(B116,Ingredients!$B$5:$B$304,0)),0))</f>
        <v>0</v>
      </c>
      <c r="I116" s="45">
        <f>IF(F116="","",MAX(0,F116-IF(H116="",0,H116)))</f>
        <v>0</v>
      </c>
      <c r="J116" s="45">
        <f>IF(B116="","",IFERROR(INDEX(Ingredients!$H$5:$H$304,MATCH(B116,Ingredients!$B$5:$B$304,0)),"Add to Ingredients"))</f>
        <v>0</v>
      </c>
      <c r="K116" s="25">
        <f>IF(B116="","",IFERROR(INDEX(Ingredients!$I$5:$I$304,MATCH(B116,Ingredients!$B$5:$B$304,0)),"Add to Ingredients"))</f>
        <v>0</v>
      </c>
      <c r="L116" s="25">
        <f>IF(B116="","",IFERROR(INDEX(Ingredients!$J$5:$J$304,MATCH(B116,Ingredients!$B$5:$B$304,0)),"Add to Ingredients"))</f>
        <v>0</v>
      </c>
      <c r="M116" s="45">
        <f>IF(OR(I116="",I116=0),"",IF(OR(J116="",NOT(ISNUMBER(J116)),J116=0),"",ROUNDUP(I116/J116,0)))</f>
        <v>0</v>
      </c>
      <c r="N116" s="45">
        <f>IF(I116="","",IF(RoundingRule="Exact quantity",I116,IF(M116="",I116,M116*J116)))</f>
        <v>0</v>
      </c>
      <c r="O116" s="25">
        <f>IF(N116="","",IF(RoundingRule="Exact quantity",IF(L116="","",N116*L116),IF(OR(M116="",K116=""),"",M116*K116)))</f>
        <v>0</v>
      </c>
      <c r="P116" s="25">
        <f>IF(B116="","",SUM(O$5:O116))</f>
        <v>0</v>
      </c>
      <c r="Q116" s="45">
        <f>IF(V116="Yes",0,IF(N116="",0,N116))</f>
        <v>0</v>
      </c>
      <c r="R116" s="18">
        <f>IF(OR(B116="",I116=0,I116=""),"",COUNTIFS($I$5:I116,"&gt;0"))</f>
        <v>0</v>
      </c>
      <c r="S116" s="18">
        <f>IF(B116="","",COUNTIFS('Recipe Ingredients'!$D$5:$D$1204,B116,'Recipe Ingredients'!$Y$5:$Y$1204,"&gt;0"))</f>
        <v>0</v>
      </c>
      <c r="T116" s="46">
        <f>IF(B116="","",IF(COUNTIFS('Recipe Ingredients'!$D$5:$D$1204,B116,'Recipe Ingredients'!$Y$5:$Y$1204,"&gt;0",'Recipe Ingredients'!$I$5:$I$1204,"No")=0,"Yes","No"))</f>
        <v>0</v>
      </c>
      <c r="U116" s="17">
        <f>IF(B116="","",IFERROR(INDEX(Ingredients!$W$5:$W$304,MATCH(B116,Ingredients!$B$5:$B$304,0)),"Add to Ingredients"))</f>
        <v>0</v>
      </c>
      <c r="Z116" s="31">
        <f>IF(B116="","",IF(V116="Yes","Bought",IF(I116=0,"In stock",IF(O116="","Check - no price","On the list"))))</f>
        <v>0</v>
      </c>
    </row>
    <row r="117" spans="1:26">
      <c r="A117" s="18">
        <f>ROW()-4</f>
        <v>0</v>
      </c>
      <c r="B117" s="17">
        <f>IFERROR(INDEX(Ingredients!$B$5:$B$304,MATCH(A117,Ingredients!$AL$5:$AL$304,0)),"")</f>
        <v>0</v>
      </c>
      <c r="C117" s="17">
        <f>IF(B117="","",IFERROR(INDEX(Ingredients!$C$5:$C$304,MATCH(B117,Ingredients!$B$5:$B$304,0)),"Add to Ingredients"))</f>
        <v>0</v>
      </c>
      <c r="D117" s="17">
        <f>IF(B117="","",IFERROR(INDEX(Ingredients!$D$5:$D$304,MATCH(B117,Ingredients!$B$5:$B$304,0)),"Add to Ingredients"))</f>
        <v>0</v>
      </c>
      <c r="E117" s="17">
        <f>IF(B117="","",IFERROR(INDEX(Ingredients!$E$5:$E$304,MATCH(B117,Ingredients!$B$5:$B$304,0)),"Add to Ingredients"))</f>
        <v>0</v>
      </c>
      <c r="F117" s="45">
        <f>IF(B117="","",IFERROR(INDEX(Ingredients!$AG$5:$AG$304,MATCH(B117,Ingredients!$B$5:$B$304,0)),""))</f>
        <v>0</v>
      </c>
      <c r="G117" s="17">
        <f>IF(B117="","",IFERROR(INDEX(Ingredients!$G$5:$G$304,MATCH(B117,Ingredients!$B$5:$B$304,0)),"Add to Ingredients"))</f>
        <v>0</v>
      </c>
      <c r="H117" s="45">
        <f>IF(B117="","",IFERROR(INDEX(Ingredients!$AD$5:$AD$304,MATCH(B117,Ingredients!$B$5:$B$304,0)),0))</f>
        <v>0</v>
      </c>
      <c r="I117" s="45">
        <f>IF(F117="","",MAX(0,F117-IF(H117="",0,H117)))</f>
        <v>0</v>
      </c>
      <c r="J117" s="45">
        <f>IF(B117="","",IFERROR(INDEX(Ingredients!$H$5:$H$304,MATCH(B117,Ingredients!$B$5:$B$304,0)),"Add to Ingredients"))</f>
        <v>0</v>
      </c>
      <c r="K117" s="25">
        <f>IF(B117="","",IFERROR(INDEX(Ingredients!$I$5:$I$304,MATCH(B117,Ingredients!$B$5:$B$304,0)),"Add to Ingredients"))</f>
        <v>0</v>
      </c>
      <c r="L117" s="25">
        <f>IF(B117="","",IFERROR(INDEX(Ingredients!$J$5:$J$304,MATCH(B117,Ingredients!$B$5:$B$304,0)),"Add to Ingredients"))</f>
        <v>0</v>
      </c>
      <c r="M117" s="45">
        <f>IF(OR(I117="",I117=0),"",IF(OR(J117="",NOT(ISNUMBER(J117)),J117=0),"",ROUNDUP(I117/J117,0)))</f>
        <v>0</v>
      </c>
      <c r="N117" s="45">
        <f>IF(I117="","",IF(RoundingRule="Exact quantity",I117,IF(M117="",I117,M117*J117)))</f>
        <v>0</v>
      </c>
      <c r="O117" s="25">
        <f>IF(N117="","",IF(RoundingRule="Exact quantity",IF(L117="","",N117*L117),IF(OR(M117="",K117=""),"",M117*K117)))</f>
        <v>0</v>
      </c>
      <c r="P117" s="25">
        <f>IF(B117="","",SUM(O$5:O117))</f>
        <v>0</v>
      </c>
      <c r="Q117" s="45">
        <f>IF(V117="Yes",0,IF(N117="",0,N117))</f>
        <v>0</v>
      </c>
      <c r="R117" s="18">
        <f>IF(OR(B117="",I117=0,I117=""),"",COUNTIFS($I$5:I117,"&gt;0"))</f>
        <v>0</v>
      </c>
      <c r="S117" s="18">
        <f>IF(B117="","",COUNTIFS('Recipe Ingredients'!$D$5:$D$1204,B117,'Recipe Ingredients'!$Y$5:$Y$1204,"&gt;0"))</f>
        <v>0</v>
      </c>
      <c r="T117" s="46">
        <f>IF(B117="","",IF(COUNTIFS('Recipe Ingredients'!$D$5:$D$1204,B117,'Recipe Ingredients'!$Y$5:$Y$1204,"&gt;0",'Recipe Ingredients'!$I$5:$I$1204,"No")=0,"Yes","No"))</f>
        <v>0</v>
      </c>
      <c r="U117" s="17">
        <f>IF(B117="","",IFERROR(INDEX(Ingredients!$W$5:$W$304,MATCH(B117,Ingredients!$B$5:$B$304,0)),"Add to Ingredients"))</f>
        <v>0</v>
      </c>
      <c r="Z117" s="31">
        <f>IF(B117="","",IF(V117="Yes","Bought",IF(I117=0,"In stock",IF(O117="","Check - no price","On the list"))))</f>
        <v>0</v>
      </c>
    </row>
    <row r="118" spans="1:26">
      <c r="A118" s="18">
        <f>ROW()-4</f>
        <v>0</v>
      </c>
      <c r="B118" s="17">
        <f>IFERROR(INDEX(Ingredients!$B$5:$B$304,MATCH(A118,Ingredients!$AL$5:$AL$304,0)),"")</f>
        <v>0</v>
      </c>
      <c r="C118" s="17">
        <f>IF(B118="","",IFERROR(INDEX(Ingredients!$C$5:$C$304,MATCH(B118,Ingredients!$B$5:$B$304,0)),"Add to Ingredients"))</f>
        <v>0</v>
      </c>
      <c r="D118" s="17">
        <f>IF(B118="","",IFERROR(INDEX(Ingredients!$D$5:$D$304,MATCH(B118,Ingredients!$B$5:$B$304,0)),"Add to Ingredients"))</f>
        <v>0</v>
      </c>
      <c r="E118" s="17">
        <f>IF(B118="","",IFERROR(INDEX(Ingredients!$E$5:$E$304,MATCH(B118,Ingredients!$B$5:$B$304,0)),"Add to Ingredients"))</f>
        <v>0</v>
      </c>
      <c r="F118" s="45">
        <f>IF(B118="","",IFERROR(INDEX(Ingredients!$AG$5:$AG$304,MATCH(B118,Ingredients!$B$5:$B$304,0)),""))</f>
        <v>0</v>
      </c>
      <c r="G118" s="17">
        <f>IF(B118="","",IFERROR(INDEX(Ingredients!$G$5:$G$304,MATCH(B118,Ingredients!$B$5:$B$304,0)),"Add to Ingredients"))</f>
        <v>0</v>
      </c>
      <c r="H118" s="45">
        <f>IF(B118="","",IFERROR(INDEX(Ingredients!$AD$5:$AD$304,MATCH(B118,Ingredients!$B$5:$B$304,0)),0))</f>
        <v>0</v>
      </c>
      <c r="I118" s="45">
        <f>IF(F118="","",MAX(0,F118-IF(H118="",0,H118)))</f>
        <v>0</v>
      </c>
      <c r="J118" s="45">
        <f>IF(B118="","",IFERROR(INDEX(Ingredients!$H$5:$H$304,MATCH(B118,Ingredients!$B$5:$B$304,0)),"Add to Ingredients"))</f>
        <v>0</v>
      </c>
      <c r="K118" s="25">
        <f>IF(B118="","",IFERROR(INDEX(Ingredients!$I$5:$I$304,MATCH(B118,Ingredients!$B$5:$B$304,0)),"Add to Ingredients"))</f>
        <v>0</v>
      </c>
      <c r="L118" s="25">
        <f>IF(B118="","",IFERROR(INDEX(Ingredients!$J$5:$J$304,MATCH(B118,Ingredients!$B$5:$B$304,0)),"Add to Ingredients"))</f>
        <v>0</v>
      </c>
      <c r="M118" s="45">
        <f>IF(OR(I118="",I118=0),"",IF(OR(J118="",NOT(ISNUMBER(J118)),J118=0),"",ROUNDUP(I118/J118,0)))</f>
        <v>0</v>
      </c>
      <c r="N118" s="45">
        <f>IF(I118="","",IF(RoundingRule="Exact quantity",I118,IF(M118="",I118,M118*J118)))</f>
        <v>0</v>
      </c>
      <c r="O118" s="25">
        <f>IF(N118="","",IF(RoundingRule="Exact quantity",IF(L118="","",N118*L118),IF(OR(M118="",K118=""),"",M118*K118)))</f>
        <v>0</v>
      </c>
      <c r="P118" s="25">
        <f>IF(B118="","",SUM(O$5:O118))</f>
        <v>0</v>
      </c>
      <c r="Q118" s="45">
        <f>IF(V118="Yes",0,IF(N118="",0,N118))</f>
        <v>0</v>
      </c>
      <c r="R118" s="18">
        <f>IF(OR(B118="",I118=0,I118=""),"",COUNTIFS($I$5:I118,"&gt;0"))</f>
        <v>0</v>
      </c>
      <c r="S118" s="18">
        <f>IF(B118="","",COUNTIFS('Recipe Ingredients'!$D$5:$D$1204,B118,'Recipe Ingredients'!$Y$5:$Y$1204,"&gt;0"))</f>
        <v>0</v>
      </c>
      <c r="T118" s="46">
        <f>IF(B118="","",IF(COUNTIFS('Recipe Ingredients'!$D$5:$D$1204,B118,'Recipe Ingredients'!$Y$5:$Y$1204,"&gt;0",'Recipe Ingredients'!$I$5:$I$1204,"No")=0,"Yes","No"))</f>
        <v>0</v>
      </c>
      <c r="U118" s="17">
        <f>IF(B118="","",IFERROR(INDEX(Ingredients!$W$5:$W$304,MATCH(B118,Ingredients!$B$5:$B$304,0)),"Add to Ingredients"))</f>
        <v>0</v>
      </c>
      <c r="Z118" s="31">
        <f>IF(B118="","",IF(V118="Yes","Bought",IF(I118=0,"In stock",IF(O118="","Check - no price","On the list"))))</f>
        <v>0</v>
      </c>
    </row>
    <row r="119" spans="1:26">
      <c r="A119" s="18">
        <f>ROW()-4</f>
        <v>0</v>
      </c>
      <c r="B119" s="17">
        <f>IFERROR(INDEX(Ingredients!$B$5:$B$304,MATCH(A119,Ingredients!$AL$5:$AL$304,0)),"")</f>
        <v>0</v>
      </c>
      <c r="C119" s="17">
        <f>IF(B119="","",IFERROR(INDEX(Ingredients!$C$5:$C$304,MATCH(B119,Ingredients!$B$5:$B$304,0)),"Add to Ingredients"))</f>
        <v>0</v>
      </c>
      <c r="D119" s="17">
        <f>IF(B119="","",IFERROR(INDEX(Ingredients!$D$5:$D$304,MATCH(B119,Ingredients!$B$5:$B$304,0)),"Add to Ingredients"))</f>
        <v>0</v>
      </c>
      <c r="E119" s="17">
        <f>IF(B119="","",IFERROR(INDEX(Ingredients!$E$5:$E$304,MATCH(B119,Ingredients!$B$5:$B$304,0)),"Add to Ingredients"))</f>
        <v>0</v>
      </c>
      <c r="F119" s="45">
        <f>IF(B119="","",IFERROR(INDEX(Ingredients!$AG$5:$AG$304,MATCH(B119,Ingredients!$B$5:$B$304,0)),""))</f>
        <v>0</v>
      </c>
      <c r="G119" s="17">
        <f>IF(B119="","",IFERROR(INDEX(Ingredients!$G$5:$G$304,MATCH(B119,Ingredients!$B$5:$B$304,0)),"Add to Ingredients"))</f>
        <v>0</v>
      </c>
      <c r="H119" s="45">
        <f>IF(B119="","",IFERROR(INDEX(Ingredients!$AD$5:$AD$304,MATCH(B119,Ingredients!$B$5:$B$304,0)),0))</f>
        <v>0</v>
      </c>
      <c r="I119" s="45">
        <f>IF(F119="","",MAX(0,F119-IF(H119="",0,H119)))</f>
        <v>0</v>
      </c>
      <c r="J119" s="45">
        <f>IF(B119="","",IFERROR(INDEX(Ingredients!$H$5:$H$304,MATCH(B119,Ingredients!$B$5:$B$304,0)),"Add to Ingredients"))</f>
        <v>0</v>
      </c>
      <c r="K119" s="25">
        <f>IF(B119="","",IFERROR(INDEX(Ingredients!$I$5:$I$304,MATCH(B119,Ingredients!$B$5:$B$304,0)),"Add to Ingredients"))</f>
        <v>0</v>
      </c>
      <c r="L119" s="25">
        <f>IF(B119="","",IFERROR(INDEX(Ingredients!$J$5:$J$304,MATCH(B119,Ingredients!$B$5:$B$304,0)),"Add to Ingredients"))</f>
        <v>0</v>
      </c>
      <c r="M119" s="45">
        <f>IF(OR(I119="",I119=0),"",IF(OR(J119="",NOT(ISNUMBER(J119)),J119=0),"",ROUNDUP(I119/J119,0)))</f>
        <v>0</v>
      </c>
      <c r="N119" s="45">
        <f>IF(I119="","",IF(RoundingRule="Exact quantity",I119,IF(M119="",I119,M119*J119)))</f>
        <v>0</v>
      </c>
      <c r="O119" s="25">
        <f>IF(N119="","",IF(RoundingRule="Exact quantity",IF(L119="","",N119*L119),IF(OR(M119="",K119=""),"",M119*K119)))</f>
        <v>0</v>
      </c>
      <c r="P119" s="25">
        <f>IF(B119="","",SUM(O$5:O119))</f>
        <v>0</v>
      </c>
      <c r="Q119" s="45">
        <f>IF(V119="Yes",0,IF(N119="",0,N119))</f>
        <v>0</v>
      </c>
      <c r="R119" s="18">
        <f>IF(OR(B119="",I119=0,I119=""),"",COUNTIFS($I$5:I119,"&gt;0"))</f>
        <v>0</v>
      </c>
      <c r="S119" s="18">
        <f>IF(B119="","",COUNTIFS('Recipe Ingredients'!$D$5:$D$1204,B119,'Recipe Ingredients'!$Y$5:$Y$1204,"&gt;0"))</f>
        <v>0</v>
      </c>
      <c r="T119" s="46">
        <f>IF(B119="","",IF(COUNTIFS('Recipe Ingredients'!$D$5:$D$1204,B119,'Recipe Ingredients'!$Y$5:$Y$1204,"&gt;0",'Recipe Ingredients'!$I$5:$I$1204,"No")=0,"Yes","No"))</f>
        <v>0</v>
      </c>
      <c r="U119" s="17">
        <f>IF(B119="","",IFERROR(INDEX(Ingredients!$W$5:$W$304,MATCH(B119,Ingredients!$B$5:$B$304,0)),"Add to Ingredients"))</f>
        <v>0</v>
      </c>
      <c r="Z119" s="31">
        <f>IF(B119="","",IF(V119="Yes","Bought",IF(I119=0,"In stock",IF(O119="","Check - no price","On the list"))))</f>
        <v>0</v>
      </c>
    </row>
    <row r="120" spans="1:26">
      <c r="A120" s="18">
        <f>ROW()-4</f>
        <v>0</v>
      </c>
      <c r="B120" s="17">
        <f>IFERROR(INDEX(Ingredients!$B$5:$B$304,MATCH(A120,Ingredients!$AL$5:$AL$304,0)),"")</f>
        <v>0</v>
      </c>
      <c r="C120" s="17">
        <f>IF(B120="","",IFERROR(INDEX(Ingredients!$C$5:$C$304,MATCH(B120,Ingredients!$B$5:$B$304,0)),"Add to Ingredients"))</f>
        <v>0</v>
      </c>
      <c r="D120" s="17">
        <f>IF(B120="","",IFERROR(INDEX(Ingredients!$D$5:$D$304,MATCH(B120,Ingredients!$B$5:$B$304,0)),"Add to Ingredients"))</f>
        <v>0</v>
      </c>
      <c r="E120" s="17">
        <f>IF(B120="","",IFERROR(INDEX(Ingredients!$E$5:$E$304,MATCH(B120,Ingredients!$B$5:$B$304,0)),"Add to Ingredients"))</f>
        <v>0</v>
      </c>
      <c r="F120" s="45">
        <f>IF(B120="","",IFERROR(INDEX(Ingredients!$AG$5:$AG$304,MATCH(B120,Ingredients!$B$5:$B$304,0)),""))</f>
        <v>0</v>
      </c>
      <c r="G120" s="17">
        <f>IF(B120="","",IFERROR(INDEX(Ingredients!$G$5:$G$304,MATCH(B120,Ingredients!$B$5:$B$304,0)),"Add to Ingredients"))</f>
        <v>0</v>
      </c>
      <c r="H120" s="45">
        <f>IF(B120="","",IFERROR(INDEX(Ingredients!$AD$5:$AD$304,MATCH(B120,Ingredients!$B$5:$B$304,0)),0))</f>
        <v>0</v>
      </c>
      <c r="I120" s="45">
        <f>IF(F120="","",MAX(0,F120-IF(H120="",0,H120)))</f>
        <v>0</v>
      </c>
      <c r="J120" s="45">
        <f>IF(B120="","",IFERROR(INDEX(Ingredients!$H$5:$H$304,MATCH(B120,Ingredients!$B$5:$B$304,0)),"Add to Ingredients"))</f>
        <v>0</v>
      </c>
      <c r="K120" s="25">
        <f>IF(B120="","",IFERROR(INDEX(Ingredients!$I$5:$I$304,MATCH(B120,Ingredients!$B$5:$B$304,0)),"Add to Ingredients"))</f>
        <v>0</v>
      </c>
      <c r="L120" s="25">
        <f>IF(B120="","",IFERROR(INDEX(Ingredients!$J$5:$J$304,MATCH(B120,Ingredients!$B$5:$B$304,0)),"Add to Ingredients"))</f>
        <v>0</v>
      </c>
      <c r="M120" s="45">
        <f>IF(OR(I120="",I120=0),"",IF(OR(J120="",NOT(ISNUMBER(J120)),J120=0),"",ROUNDUP(I120/J120,0)))</f>
        <v>0</v>
      </c>
      <c r="N120" s="45">
        <f>IF(I120="","",IF(RoundingRule="Exact quantity",I120,IF(M120="",I120,M120*J120)))</f>
        <v>0</v>
      </c>
      <c r="O120" s="25">
        <f>IF(N120="","",IF(RoundingRule="Exact quantity",IF(L120="","",N120*L120),IF(OR(M120="",K120=""),"",M120*K120)))</f>
        <v>0</v>
      </c>
      <c r="P120" s="25">
        <f>IF(B120="","",SUM(O$5:O120))</f>
        <v>0</v>
      </c>
      <c r="Q120" s="45">
        <f>IF(V120="Yes",0,IF(N120="",0,N120))</f>
        <v>0</v>
      </c>
      <c r="R120" s="18">
        <f>IF(OR(B120="",I120=0,I120=""),"",COUNTIFS($I$5:I120,"&gt;0"))</f>
        <v>0</v>
      </c>
      <c r="S120" s="18">
        <f>IF(B120="","",COUNTIFS('Recipe Ingredients'!$D$5:$D$1204,B120,'Recipe Ingredients'!$Y$5:$Y$1204,"&gt;0"))</f>
        <v>0</v>
      </c>
      <c r="T120" s="46">
        <f>IF(B120="","",IF(COUNTIFS('Recipe Ingredients'!$D$5:$D$1204,B120,'Recipe Ingredients'!$Y$5:$Y$1204,"&gt;0",'Recipe Ingredients'!$I$5:$I$1204,"No")=0,"Yes","No"))</f>
        <v>0</v>
      </c>
      <c r="U120" s="17">
        <f>IF(B120="","",IFERROR(INDEX(Ingredients!$W$5:$W$304,MATCH(B120,Ingredients!$B$5:$B$304,0)),"Add to Ingredients"))</f>
        <v>0</v>
      </c>
      <c r="Z120" s="31">
        <f>IF(B120="","",IF(V120="Yes","Bought",IF(I120=0,"In stock",IF(O120="","Check - no price","On the list"))))</f>
        <v>0</v>
      </c>
    </row>
    <row r="121" spans="1:26">
      <c r="A121" s="18">
        <f>ROW()-4</f>
        <v>0</v>
      </c>
      <c r="B121" s="17">
        <f>IFERROR(INDEX(Ingredients!$B$5:$B$304,MATCH(A121,Ingredients!$AL$5:$AL$304,0)),"")</f>
        <v>0</v>
      </c>
      <c r="C121" s="17">
        <f>IF(B121="","",IFERROR(INDEX(Ingredients!$C$5:$C$304,MATCH(B121,Ingredients!$B$5:$B$304,0)),"Add to Ingredients"))</f>
        <v>0</v>
      </c>
      <c r="D121" s="17">
        <f>IF(B121="","",IFERROR(INDEX(Ingredients!$D$5:$D$304,MATCH(B121,Ingredients!$B$5:$B$304,0)),"Add to Ingredients"))</f>
        <v>0</v>
      </c>
      <c r="E121" s="17">
        <f>IF(B121="","",IFERROR(INDEX(Ingredients!$E$5:$E$304,MATCH(B121,Ingredients!$B$5:$B$304,0)),"Add to Ingredients"))</f>
        <v>0</v>
      </c>
      <c r="F121" s="45">
        <f>IF(B121="","",IFERROR(INDEX(Ingredients!$AG$5:$AG$304,MATCH(B121,Ingredients!$B$5:$B$304,0)),""))</f>
        <v>0</v>
      </c>
      <c r="G121" s="17">
        <f>IF(B121="","",IFERROR(INDEX(Ingredients!$G$5:$G$304,MATCH(B121,Ingredients!$B$5:$B$304,0)),"Add to Ingredients"))</f>
        <v>0</v>
      </c>
      <c r="H121" s="45">
        <f>IF(B121="","",IFERROR(INDEX(Ingredients!$AD$5:$AD$304,MATCH(B121,Ingredients!$B$5:$B$304,0)),0))</f>
        <v>0</v>
      </c>
      <c r="I121" s="45">
        <f>IF(F121="","",MAX(0,F121-IF(H121="",0,H121)))</f>
        <v>0</v>
      </c>
      <c r="J121" s="45">
        <f>IF(B121="","",IFERROR(INDEX(Ingredients!$H$5:$H$304,MATCH(B121,Ingredients!$B$5:$B$304,0)),"Add to Ingredients"))</f>
        <v>0</v>
      </c>
      <c r="K121" s="25">
        <f>IF(B121="","",IFERROR(INDEX(Ingredients!$I$5:$I$304,MATCH(B121,Ingredients!$B$5:$B$304,0)),"Add to Ingredients"))</f>
        <v>0</v>
      </c>
      <c r="L121" s="25">
        <f>IF(B121="","",IFERROR(INDEX(Ingredients!$J$5:$J$304,MATCH(B121,Ingredients!$B$5:$B$304,0)),"Add to Ingredients"))</f>
        <v>0</v>
      </c>
      <c r="M121" s="45">
        <f>IF(OR(I121="",I121=0),"",IF(OR(J121="",NOT(ISNUMBER(J121)),J121=0),"",ROUNDUP(I121/J121,0)))</f>
        <v>0</v>
      </c>
      <c r="N121" s="45">
        <f>IF(I121="","",IF(RoundingRule="Exact quantity",I121,IF(M121="",I121,M121*J121)))</f>
        <v>0</v>
      </c>
      <c r="O121" s="25">
        <f>IF(N121="","",IF(RoundingRule="Exact quantity",IF(L121="","",N121*L121),IF(OR(M121="",K121=""),"",M121*K121)))</f>
        <v>0</v>
      </c>
      <c r="P121" s="25">
        <f>IF(B121="","",SUM(O$5:O121))</f>
        <v>0</v>
      </c>
      <c r="Q121" s="45">
        <f>IF(V121="Yes",0,IF(N121="",0,N121))</f>
        <v>0</v>
      </c>
      <c r="R121" s="18">
        <f>IF(OR(B121="",I121=0,I121=""),"",COUNTIFS($I$5:I121,"&gt;0"))</f>
        <v>0</v>
      </c>
      <c r="S121" s="18">
        <f>IF(B121="","",COUNTIFS('Recipe Ingredients'!$D$5:$D$1204,B121,'Recipe Ingredients'!$Y$5:$Y$1204,"&gt;0"))</f>
        <v>0</v>
      </c>
      <c r="T121" s="46">
        <f>IF(B121="","",IF(COUNTIFS('Recipe Ingredients'!$D$5:$D$1204,B121,'Recipe Ingredients'!$Y$5:$Y$1204,"&gt;0",'Recipe Ingredients'!$I$5:$I$1204,"No")=0,"Yes","No"))</f>
        <v>0</v>
      </c>
      <c r="U121" s="17">
        <f>IF(B121="","",IFERROR(INDEX(Ingredients!$W$5:$W$304,MATCH(B121,Ingredients!$B$5:$B$304,0)),"Add to Ingredients"))</f>
        <v>0</v>
      </c>
      <c r="Z121" s="31">
        <f>IF(B121="","",IF(V121="Yes","Bought",IF(I121=0,"In stock",IF(O121="","Check - no price","On the list"))))</f>
        <v>0</v>
      </c>
    </row>
    <row r="122" spans="1:26">
      <c r="A122" s="18">
        <f>ROW()-4</f>
        <v>0</v>
      </c>
      <c r="B122" s="17">
        <f>IFERROR(INDEX(Ingredients!$B$5:$B$304,MATCH(A122,Ingredients!$AL$5:$AL$304,0)),"")</f>
        <v>0</v>
      </c>
      <c r="C122" s="17">
        <f>IF(B122="","",IFERROR(INDEX(Ingredients!$C$5:$C$304,MATCH(B122,Ingredients!$B$5:$B$304,0)),"Add to Ingredients"))</f>
        <v>0</v>
      </c>
      <c r="D122" s="17">
        <f>IF(B122="","",IFERROR(INDEX(Ingredients!$D$5:$D$304,MATCH(B122,Ingredients!$B$5:$B$304,0)),"Add to Ingredients"))</f>
        <v>0</v>
      </c>
      <c r="E122" s="17">
        <f>IF(B122="","",IFERROR(INDEX(Ingredients!$E$5:$E$304,MATCH(B122,Ingredients!$B$5:$B$304,0)),"Add to Ingredients"))</f>
        <v>0</v>
      </c>
      <c r="F122" s="45">
        <f>IF(B122="","",IFERROR(INDEX(Ingredients!$AG$5:$AG$304,MATCH(B122,Ingredients!$B$5:$B$304,0)),""))</f>
        <v>0</v>
      </c>
      <c r="G122" s="17">
        <f>IF(B122="","",IFERROR(INDEX(Ingredients!$G$5:$G$304,MATCH(B122,Ingredients!$B$5:$B$304,0)),"Add to Ingredients"))</f>
        <v>0</v>
      </c>
      <c r="H122" s="45">
        <f>IF(B122="","",IFERROR(INDEX(Ingredients!$AD$5:$AD$304,MATCH(B122,Ingredients!$B$5:$B$304,0)),0))</f>
        <v>0</v>
      </c>
      <c r="I122" s="45">
        <f>IF(F122="","",MAX(0,F122-IF(H122="",0,H122)))</f>
        <v>0</v>
      </c>
      <c r="J122" s="45">
        <f>IF(B122="","",IFERROR(INDEX(Ingredients!$H$5:$H$304,MATCH(B122,Ingredients!$B$5:$B$304,0)),"Add to Ingredients"))</f>
        <v>0</v>
      </c>
      <c r="K122" s="25">
        <f>IF(B122="","",IFERROR(INDEX(Ingredients!$I$5:$I$304,MATCH(B122,Ingredients!$B$5:$B$304,0)),"Add to Ingredients"))</f>
        <v>0</v>
      </c>
      <c r="L122" s="25">
        <f>IF(B122="","",IFERROR(INDEX(Ingredients!$J$5:$J$304,MATCH(B122,Ingredients!$B$5:$B$304,0)),"Add to Ingredients"))</f>
        <v>0</v>
      </c>
      <c r="M122" s="45">
        <f>IF(OR(I122="",I122=0),"",IF(OR(J122="",NOT(ISNUMBER(J122)),J122=0),"",ROUNDUP(I122/J122,0)))</f>
        <v>0</v>
      </c>
      <c r="N122" s="45">
        <f>IF(I122="","",IF(RoundingRule="Exact quantity",I122,IF(M122="",I122,M122*J122)))</f>
        <v>0</v>
      </c>
      <c r="O122" s="25">
        <f>IF(N122="","",IF(RoundingRule="Exact quantity",IF(L122="","",N122*L122),IF(OR(M122="",K122=""),"",M122*K122)))</f>
        <v>0</v>
      </c>
      <c r="P122" s="25">
        <f>IF(B122="","",SUM(O$5:O122))</f>
        <v>0</v>
      </c>
      <c r="Q122" s="45">
        <f>IF(V122="Yes",0,IF(N122="",0,N122))</f>
        <v>0</v>
      </c>
      <c r="R122" s="18">
        <f>IF(OR(B122="",I122=0,I122=""),"",COUNTIFS($I$5:I122,"&gt;0"))</f>
        <v>0</v>
      </c>
      <c r="S122" s="18">
        <f>IF(B122="","",COUNTIFS('Recipe Ingredients'!$D$5:$D$1204,B122,'Recipe Ingredients'!$Y$5:$Y$1204,"&gt;0"))</f>
        <v>0</v>
      </c>
      <c r="T122" s="46">
        <f>IF(B122="","",IF(COUNTIFS('Recipe Ingredients'!$D$5:$D$1204,B122,'Recipe Ingredients'!$Y$5:$Y$1204,"&gt;0",'Recipe Ingredients'!$I$5:$I$1204,"No")=0,"Yes","No"))</f>
        <v>0</v>
      </c>
      <c r="U122" s="17">
        <f>IF(B122="","",IFERROR(INDEX(Ingredients!$W$5:$W$304,MATCH(B122,Ingredients!$B$5:$B$304,0)),"Add to Ingredients"))</f>
        <v>0</v>
      </c>
      <c r="Z122" s="31">
        <f>IF(B122="","",IF(V122="Yes","Bought",IF(I122=0,"In stock",IF(O122="","Check - no price","On the list"))))</f>
        <v>0</v>
      </c>
    </row>
    <row r="123" spans="1:26">
      <c r="A123" s="18">
        <f>ROW()-4</f>
        <v>0</v>
      </c>
      <c r="B123" s="17">
        <f>IFERROR(INDEX(Ingredients!$B$5:$B$304,MATCH(A123,Ingredients!$AL$5:$AL$304,0)),"")</f>
        <v>0</v>
      </c>
      <c r="C123" s="17">
        <f>IF(B123="","",IFERROR(INDEX(Ingredients!$C$5:$C$304,MATCH(B123,Ingredients!$B$5:$B$304,0)),"Add to Ingredients"))</f>
        <v>0</v>
      </c>
      <c r="D123" s="17">
        <f>IF(B123="","",IFERROR(INDEX(Ingredients!$D$5:$D$304,MATCH(B123,Ingredients!$B$5:$B$304,0)),"Add to Ingredients"))</f>
        <v>0</v>
      </c>
      <c r="E123" s="17">
        <f>IF(B123="","",IFERROR(INDEX(Ingredients!$E$5:$E$304,MATCH(B123,Ingredients!$B$5:$B$304,0)),"Add to Ingredients"))</f>
        <v>0</v>
      </c>
      <c r="F123" s="45">
        <f>IF(B123="","",IFERROR(INDEX(Ingredients!$AG$5:$AG$304,MATCH(B123,Ingredients!$B$5:$B$304,0)),""))</f>
        <v>0</v>
      </c>
      <c r="G123" s="17">
        <f>IF(B123="","",IFERROR(INDEX(Ingredients!$G$5:$G$304,MATCH(B123,Ingredients!$B$5:$B$304,0)),"Add to Ingredients"))</f>
        <v>0</v>
      </c>
      <c r="H123" s="45">
        <f>IF(B123="","",IFERROR(INDEX(Ingredients!$AD$5:$AD$304,MATCH(B123,Ingredients!$B$5:$B$304,0)),0))</f>
        <v>0</v>
      </c>
      <c r="I123" s="45">
        <f>IF(F123="","",MAX(0,F123-IF(H123="",0,H123)))</f>
        <v>0</v>
      </c>
      <c r="J123" s="45">
        <f>IF(B123="","",IFERROR(INDEX(Ingredients!$H$5:$H$304,MATCH(B123,Ingredients!$B$5:$B$304,0)),"Add to Ingredients"))</f>
        <v>0</v>
      </c>
      <c r="K123" s="25">
        <f>IF(B123="","",IFERROR(INDEX(Ingredients!$I$5:$I$304,MATCH(B123,Ingredients!$B$5:$B$304,0)),"Add to Ingredients"))</f>
        <v>0</v>
      </c>
      <c r="L123" s="25">
        <f>IF(B123="","",IFERROR(INDEX(Ingredients!$J$5:$J$304,MATCH(B123,Ingredients!$B$5:$B$304,0)),"Add to Ingredients"))</f>
        <v>0</v>
      </c>
      <c r="M123" s="45">
        <f>IF(OR(I123="",I123=0),"",IF(OR(J123="",NOT(ISNUMBER(J123)),J123=0),"",ROUNDUP(I123/J123,0)))</f>
        <v>0</v>
      </c>
      <c r="N123" s="45">
        <f>IF(I123="","",IF(RoundingRule="Exact quantity",I123,IF(M123="",I123,M123*J123)))</f>
        <v>0</v>
      </c>
      <c r="O123" s="25">
        <f>IF(N123="","",IF(RoundingRule="Exact quantity",IF(L123="","",N123*L123),IF(OR(M123="",K123=""),"",M123*K123)))</f>
        <v>0</v>
      </c>
      <c r="P123" s="25">
        <f>IF(B123="","",SUM(O$5:O123))</f>
        <v>0</v>
      </c>
      <c r="Q123" s="45">
        <f>IF(V123="Yes",0,IF(N123="",0,N123))</f>
        <v>0</v>
      </c>
      <c r="R123" s="18">
        <f>IF(OR(B123="",I123=0,I123=""),"",COUNTIFS($I$5:I123,"&gt;0"))</f>
        <v>0</v>
      </c>
      <c r="S123" s="18">
        <f>IF(B123="","",COUNTIFS('Recipe Ingredients'!$D$5:$D$1204,B123,'Recipe Ingredients'!$Y$5:$Y$1204,"&gt;0"))</f>
        <v>0</v>
      </c>
      <c r="T123" s="46">
        <f>IF(B123="","",IF(COUNTIFS('Recipe Ingredients'!$D$5:$D$1204,B123,'Recipe Ingredients'!$Y$5:$Y$1204,"&gt;0",'Recipe Ingredients'!$I$5:$I$1204,"No")=0,"Yes","No"))</f>
        <v>0</v>
      </c>
      <c r="U123" s="17">
        <f>IF(B123="","",IFERROR(INDEX(Ingredients!$W$5:$W$304,MATCH(B123,Ingredients!$B$5:$B$304,0)),"Add to Ingredients"))</f>
        <v>0</v>
      </c>
      <c r="Z123" s="31">
        <f>IF(B123="","",IF(V123="Yes","Bought",IF(I123=0,"In stock",IF(O123="","Check - no price","On the list"))))</f>
        <v>0</v>
      </c>
    </row>
    <row r="124" spans="1:26">
      <c r="A124" s="18">
        <f>ROW()-4</f>
        <v>0</v>
      </c>
      <c r="B124" s="17">
        <f>IFERROR(INDEX(Ingredients!$B$5:$B$304,MATCH(A124,Ingredients!$AL$5:$AL$304,0)),"")</f>
        <v>0</v>
      </c>
      <c r="C124" s="17">
        <f>IF(B124="","",IFERROR(INDEX(Ingredients!$C$5:$C$304,MATCH(B124,Ingredients!$B$5:$B$304,0)),"Add to Ingredients"))</f>
        <v>0</v>
      </c>
      <c r="D124" s="17">
        <f>IF(B124="","",IFERROR(INDEX(Ingredients!$D$5:$D$304,MATCH(B124,Ingredients!$B$5:$B$304,0)),"Add to Ingredients"))</f>
        <v>0</v>
      </c>
      <c r="E124" s="17">
        <f>IF(B124="","",IFERROR(INDEX(Ingredients!$E$5:$E$304,MATCH(B124,Ingredients!$B$5:$B$304,0)),"Add to Ingredients"))</f>
        <v>0</v>
      </c>
      <c r="F124" s="45">
        <f>IF(B124="","",IFERROR(INDEX(Ingredients!$AG$5:$AG$304,MATCH(B124,Ingredients!$B$5:$B$304,0)),""))</f>
        <v>0</v>
      </c>
      <c r="G124" s="17">
        <f>IF(B124="","",IFERROR(INDEX(Ingredients!$G$5:$G$304,MATCH(B124,Ingredients!$B$5:$B$304,0)),"Add to Ingredients"))</f>
        <v>0</v>
      </c>
      <c r="H124" s="45">
        <f>IF(B124="","",IFERROR(INDEX(Ingredients!$AD$5:$AD$304,MATCH(B124,Ingredients!$B$5:$B$304,0)),0))</f>
        <v>0</v>
      </c>
      <c r="I124" s="45">
        <f>IF(F124="","",MAX(0,F124-IF(H124="",0,H124)))</f>
        <v>0</v>
      </c>
      <c r="J124" s="45">
        <f>IF(B124="","",IFERROR(INDEX(Ingredients!$H$5:$H$304,MATCH(B124,Ingredients!$B$5:$B$304,0)),"Add to Ingredients"))</f>
        <v>0</v>
      </c>
      <c r="K124" s="25">
        <f>IF(B124="","",IFERROR(INDEX(Ingredients!$I$5:$I$304,MATCH(B124,Ingredients!$B$5:$B$304,0)),"Add to Ingredients"))</f>
        <v>0</v>
      </c>
      <c r="L124" s="25">
        <f>IF(B124="","",IFERROR(INDEX(Ingredients!$J$5:$J$304,MATCH(B124,Ingredients!$B$5:$B$304,0)),"Add to Ingredients"))</f>
        <v>0</v>
      </c>
      <c r="M124" s="45">
        <f>IF(OR(I124="",I124=0),"",IF(OR(J124="",NOT(ISNUMBER(J124)),J124=0),"",ROUNDUP(I124/J124,0)))</f>
        <v>0</v>
      </c>
      <c r="N124" s="45">
        <f>IF(I124="","",IF(RoundingRule="Exact quantity",I124,IF(M124="",I124,M124*J124)))</f>
        <v>0</v>
      </c>
      <c r="O124" s="25">
        <f>IF(N124="","",IF(RoundingRule="Exact quantity",IF(L124="","",N124*L124),IF(OR(M124="",K124=""),"",M124*K124)))</f>
        <v>0</v>
      </c>
      <c r="P124" s="25">
        <f>IF(B124="","",SUM(O$5:O124))</f>
        <v>0</v>
      </c>
      <c r="Q124" s="45">
        <f>IF(V124="Yes",0,IF(N124="",0,N124))</f>
        <v>0</v>
      </c>
      <c r="R124" s="18">
        <f>IF(OR(B124="",I124=0,I124=""),"",COUNTIFS($I$5:I124,"&gt;0"))</f>
        <v>0</v>
      </c>
      <c r="S124" s="18">
        <f>IF(B124="","",COUNTIFS('Recipe Ingredients'!$D$5:$D$1204,B124,'Recipe Ingredients'!$Y$5:$Y$1204,"&gt;0"))</f>
        <v>0</v>
      </c>
      <c r="T124" s="46">
        <f>IF(B124="","",IF(COUNTIFS('Recipe Ingredients'!$D$5:$D$1204,B124,'Recipe Ingredients'!$Y$5:$Y$1204,"&gt;0",'Recipe Ingredients'!$I$5:$I$1204,"No")=0,"Yes","No"))</f>
        <v>0</v>
      </c>
      <c r="U124" s="17">
        <f>IF(B124="","",IFERROR(INDEX(Ingredients!$W$5:$W$304,MATCH(B124,Ingredients!$B$5:$B$304,0)),"Add to Ingredients"))</f>
        <v>0</v>
      </c>
      <c r="Z124" s="31">
        <f>IF(B124="","",IF(V124="Yes","Bought",IF(I124=0,"In stock",IF(O124="","Check - no price","On the list"))))</f>
        <v>0</v>
      </c>
    </row>
    <row r="125" spans="1:26">
      <c r="A125" s="18">
        <f>ROW()-4</f>
        <v>0</v>
      </c>
      <c r="B125" s="17">
        <f>IFERROR(INDEX(Ingredients!$B$5:$B$304,MATCH(A125,Ingredients!$AL$5:$AL$304,0)),"")</f>
        <v>0</v>
      </c>
      <c r="C125" s="17">
        <f>IF(B125="","",IFERROR(INDEX(Ingredients!$C$5:$C$304,MATCH(B125,Ingredients!$B$5:$B$304,0)),"Add to Ingredients"))</f>
        <v>0</v>
      </c>
      <c r="D125" s="17">
        <f>IF(B125="","",IFERROR(INDEX(Ingredients!$D$5:$D$304,MATCH(B125,Ingredients!$B$5:$B$304,0)),"Add to Ingredients"))</f>
        <v>0</v>
      </c>
      <c r="E125" s="17">
        <f>IF(B125="","",IFERROR(INDEX(Ingredients!$E$5:$E$304,MATCH(B125,Ingredients!$B$5:$B$304,0)),"Add to Ingredients"))</f>
        <v>0</v>
      </c>
      <c r="F125" s="45">
        <f>IF(B125="","",IFERROR(INDEX(Ingredients!$AG$5:$AG$304,MATCH(B125,Ingredients!$B$5:$B$304,0)),""))</f>
        <v>0</v>
      </c>
      <c r="G125" s="17">
        <f>IF(B125="","",IFERROR(INDEX(Ingredients!$G$5:$G$304,MATCH(B125,Ingredients!$B$5:$B$304,0)),"Add to Ingredients"))</f>
        <v>0</v>
      </c>
      <c r="H125" s="45">
        <f>IF(B125="","",IFERROR(INDEX(Ingredients!$AD$5:$AD$304,MATCH(B125,Ingredients!$B$5:$B$304,0)),0))</f>
        <v>0</v>
      </c>
      <c r="I125" s="45">
        <f>IF(F125="","",MAX(0,F125-IF(H125="",0,H125)))</f>
        <v>0</v>
      </c>
      <c r="J125" s="45">
        <f>IF(B125="","",IFERROR(INDEX(Ingredients!$H$5:$H$304,MATCH(B125,Ingredients!$B$5:$B$304,0)),"Add to Ingredients"))</f>
        <v>0</v>
      </c>
      <c r="K125" s="25">
        <f>IF(B125="","",IFERROR(INDEX(Ingredients!$I$5:$I$304,MATCH(B125,Ingredients!$B$5:$B$304,0)),"Add to Ingredients"))</f>
        <v>0</v>
      </c>
      <c r="L125" s="25">
        <f>IF(B125="","",IFERROR(INDEX(Ingredients!$J$5:$J$304,MATCH(B125,Ingredients!$B$5:$B$304,0)),"Add to Ingredients"))</f>
        <v>0</v>
      </c>
      <c r="M125" s="45">
        <f>IF(OR(I125="",I125=0),"",IF(OR(J125="",NOT(ISNUMBER(J125)),J125=0),"",ROUNDUP(I125/J125,0)))</f>
        <v>0</v>
      </c>
      <c r="N125" s="45">
        <f>IF(I125="","",IF(RoundingRule="Exact quantity",I125,IF(M125="",I125,M125*J125)))</f>
        <v>0</v>
      </c>
      <c r="O125" s="25">
        <f>IF(N125="","",IF(RoundingRule="Exact quantity",IF(L125="","",N125*L125),IF(OR(M125="",K125=""),"",M125*K125)))</f>
        <v>0</v>
      </c>
      <c r="P125" s="25">
        <f>IF(B125="","",SUM(O$5:O125))</f>
        <v>0</v>
      </c>
      <c r="Q125" s="45">
        <f>IF(V125="Yes",0,IF(N125="",0,N125))</f>
        <v>0</v>
      </c>
      <c r="R125" s="18">
        <f>IF(OR(B125="",I125=0,I125=""),"",COUNTIFS($I$5:I125,"&gt;0"))</f>
        <v>0</v>
      </c>
      <c r="S125" s="18">
        <f>IF(B125="","",COUNTIFS('Recipe Ingredients'!$D$5:$D$1204,B125,'Recipe Ingredients'!$Y$5:$Y$1204,"&gt;0"))</f>
        <v>0</v>
      </c>
      <c r="T125" s="46">
        <f>IF(B125="","",IF(COUNTIFS('Recipe Ingredients'!$D$5:$D$1204,B125,'Recipe Ingredients'!$Y$5:$Y$1204,"&gt;0",'Recipe Ingredients'!$I$5:$I$1204,"No")=0,"Yes","No"))</f>
        <v>0</v>
      </c>
      <c r="U125" s="17">
        <f>IF(B125="","",IFERROR(INDEX(Ingredients!$W$5:$W$304,MATCH(B125,Ingredients!$B$5:$B$304,0)),"Add to Ingredients"))</f>
        <v>0</v>
      </c>
      <c r="Z125" s="31">
        <f>IF(B125="","",IF(V125="Yes","Bought",IF(I125=0,"In stock",IF(O125="","Check - no price","On the list"))))</f>
        <v>0</v>
      </c>
    </row>
    <row r="126" spans="1:26">
      <c r="A126" s="18">
        <f>ROW()-4</f>
        <v>0</v>
      </c>
      <c r="B126" s="17">
        <f>IFERROR(INDEX(Ingredients!$B$5:$B$304,MATCH(A126,Ingredients!$AL$5:$AL$304,0)),"")</f>
        <v>0</v>
      </c>
      <c r="C126" s="17">
        <f>IF(B126="","",IFERROR(INDEX(Ingredients!$C$5:$C$304,MATCH(B126,Ingredients!$B$5:$B$304,0)),"Add to Ingredients"))</f>
        <v>0</v>
      </c>
      <c r="D126" s="17">
        <f>IF(B126="","",IFERROR(INDEX(Ingredients!$D$5:$D$304,MATCH(B126,Ingredients!$B$5:$B$304,0)),"Add to Ingredients"))</f>
        <v>0</v>
      </c>
      <c r="E126" s="17">
        <f>IF(B126="","",IFERROR(INDEX(Ingredients!$E$5:$E$304,MATCH(B126,Ingredients!$B$5:$B$304,0)),"Add to Ingredients"))</f>
        <v>0</v>
      </c>
      <c r="F126" s="45">
        <f>IF(B126="","",IFERROR(INDEX(Ingredients!$AG$5:$AG$304,MATCH(B126,Ingredients!$B$5:$B$304,0)),""))</f>
        <v>0</v>
      </c>
      <c r="G126" s="17">
        <f>IF(B126="","",IFERROR(INDEX(Ingredients!$G$5:$G$304,MATCH(B126,Ingredients!$B$5:$B$304,0)),"Add to Ingredients"))</f>
        <v>0</v>
      </c>
      <c r="H126" s="45">
        <f>IF(B126="","",IFERROR(INDEX(Ingredients!$AD$5:$AD$304,MATCH(B126,Ingredients!$B$5:$B$304,0)),0))</f>
        <v>0</v>
      </c>
      <c r="I126" s="45">
        <f>IF(F126="","",MAX(0,F126-IF(H126="",0,H126)))</f>
        <v>0</v>
      </c>
      <c r="J126" s="45">
        <f>IF(B126="","",IFERROR(INDEX(Ingredients!$H$5:$H$304,MATCH(B126,Ingredients!$B$5:$B$304,0)),"Add to Ingredients"))</f>
        <v>0</v>
      </c>
      <c r="K126" s="25">
        <f>IF(B126="","",IFERROR(INDEX(Ingredients!$I$5:$I$304,MATCH(B126,Ingredients!$B$5:$B$304,0)),"Add to Ingredients"))</f>
        <v>0</v>
      </c>
      <c r="L126" s="25">
        <f>IF(B126="","",IFERROR(INDEX(Ingredients!$J$5:$J$304,MATCH(B126,Ingredients!$B$5:$B$304,0)),"Add to Ingredients"))</f>
        <v>0</v>
      </c>
      <c r="M126" s="45">
        <f>IF(OR(I126="",I126=0),"",IF(OR(J126="",NOT(ISNUMBER(J126)),J126=0),"",ROUNDUP(I126/J126,0)))</f>
        <v>0</v>
      </c>
      <c r="N126" s="45">
        <f>IF(I126="","",IF(RoundingRule="Exact quantity",I126,IF(M126="",I126,M126*J126)))</f>
        <v>0</v>
      </c>
      <c r="O126" s="25">
        <f>IF(N126="","",IF(RoundingRule="Exact quantity",IF(L126="","",N126*L126),IF(OR(M126="",K126=""),"",M126*K126)))</f>
        <v>0</v>
      </c>
      <c r="P126" s="25">
        <f>IF(B126="","",SUM(O$5:O126))</f>
        <v>0</v>
      </c>
      <c r="Q126" s="45">
        <f>IF(V126="Yes",0,IF(N126="",0,N126))</f>
        <v>0</v>
      </c>
      <c r="R126" s="18">
        <f>IF(OR(B126="",I126=0,I126=""),"",COUNTIFS($I$5:I126,"&gt;0"))</f>
        <v>0</v>
      </c>
      <c r="S126" s="18">
        <f>IF(B126="","",COUNTIFS('Recipe Ingredients'!$D$5:$D$1204,B126,'Recipe Ingredients'!$Y$5:$Y$1204,"&gt;0"))</f>
        <v>0</v>
      </c>
      <c r="T126" s="46">
        <f>IF(B126="","",IF(COUNTIFS('Recipe Ingredients'!$D$5:$D$1204,B126,'Recipe Ingredients'!$Y$5:$Y$1204,"&gt;0",'Recipe Ingredients'!$I$5:$I$1204,"No")=0,"Yes","No"))</f>
        <v>0</v>
      </c>
      <c r="U126" s="17">
        <f>IF(B126="","",IFERROR(INDEX(Ingredients!$W$5:$W$304,MATCH(B126,Ingredients!$B$5:$B$304,0)),"Add to Ingredients"))</f>
        <v>0</v>
      </c>
      <c r="Z126" s="31">
        <f>IF(B126="","",IF(V126="Yes","Bought",IF(I126=0,"In stock",IF(O126="","Check - no price","On the list"))))</f>
        <v>0</v>
      </c>
    </row>
    <row r="127" spans="1:26">
      <c r="A127" s="18">
        <f>ROW()-4</f>
        <v>0</v>
      </c>
      <c r="B127" s="17">
        <f>IFERROR(INDEX(Ingredients!$B$5:$B$304,MATCH(A127,Ingredients!$AL$5:$AL$304,0)),"")</f>
        <v>0</v>
      </c>
      <c r="C127" s="17">
        <f>IF(B127="","",IFERROR(INDEX(Ingredients!$C$5:$C$304,MATCH(B127,Ingredients!$B$5:$B$304,0)),"Add to Ingredients"))</f>
        <v>0</v>
      </c>
      <c r="D127" s="17">
        <f>IF(B127="","",IFERROR(INDEX(Ingredients!$D$5:$D$304,MATCH(B127,Ingredients!$B$5:$B$304,0)),"Add to Ingredients"))</f>
        <v>0</v>
      </c>
      <c r="E127" s="17">
        <f>IF(B127="","",IFERROR(INDEX(Ingredients!$E$5:$E$304,MATCH(B127,Ingredients!$B$5:$B$304,0)),"Add to Ingredients"))</f>
        <v>0</v>
      </c>
      <c r="F127" s="45">
        <f>IF(B127="","",IFERROR(INDEX(Ingredients!$AG$5:$AG$304,MATCH(B127,Ingredients!$B$5:$B$304,0)),""))</f>
        <v>0</v>
      </c>
      <c r="G127" s="17">
        <f>IF(B127="","",IFERROR(INDEX(Ingredients!$G$5:$G$304,MATCH(B127,Ingredients!$B$5:$B$304,0)),"Add to Ingredients"))</f>
        <v>0</v>
      </c>
      <c r="H127" s="45">
        <f>IF(B127="","",IFERROR(INDEX(Ingredients!$AD$5:$AD$304,MATCH(B127,Ingredients!$B$5:$B$304,0)),0))</f>
        <v>0</v>
      </c>
      <c r="I127" s="45">
        <f>IF(F127="","",MAX(0,F127-IF(H127="",0,H127)))</f>
        <v>0</v>
      </c>
      <c r="J127" s="45">
        <f>IF(B127="","",IFERROR(INDEX(Ingredients!$H$5:$H$304,MATCH(B127,Ingredients!$B$5:$B$304,0)),"Add to Ingredients"))</f>
        <v>0</v>
      </c>
      <c r="K127" s="25">
        <f>IF(B127="","",IFERROR(INDEX(Ingredients!$I$5:$I$304,MATCH(B127,Ingredients!$B$5:$B$304,0)),"Add to Ingredients"))</f>
        <v>0</v>
      </c>
      <c r="L127" s="25">
        <f>IF(B127="","",IFERROR(INDEX(Ingredients!$J$5:$J$304,MATCH(B127,Ingredients!$B$5:$B$304,0)),"Add to Ingredients"))</f>
        <v>0</v>
      </c>
      <c r="M127" s="45">
        <f>IF(OR(I127="",I127=0),"",IF(OR(J127="",NOT(ISNUMBER(J127)),J127=0),"",ROUNDUP(I127/J127,0)))</f>
        <v>0</v>
      </c>
      <c r="N127" s="45">
        <f>IF(I127="","",IF(RoundingRule="Exact quantity",I127,IF(M127="",I127,M127*J127)))</f>
        <v>0</v>
      </c>
      <c r="O127" s="25">
        <f>IF(N127="","",IF(RoundingRule="Exact quantity",IF(L127="","",N127*L127),IF(OR(M127="",K127=""),"",M127*K127)))</f>
        <v>0</v>
      </c>
      <c r="P127" s="25">
        <f>IF(B127="","",SUM(O$5:O127))</f>
        <v>0</v>
      </c>
      <c r="Q127" s="45">
        <f>IF(V127="Yes",0,IF(N127="",0,N127))</f>
        <v>0</v>
      </c>
      <c r="R127" s="18">
        <f>IF(OR(B127="",I127=0,I127=""),"",COUNTIFS($I$5:I127,"&gt;0"))</f>
        <v>0</v>
      </c>
      <c r="S127" s="18">
        <f>IF(B127="","",COUNTIFS('Recipe Ingredients'!$D$5:$D$1204,B127,'Recipe Ingredients'!$Y$5:$Y$1204,"&gt;0"))</f>
        <v>0</v>
      </c>
      <c r="T127" s="46">
        <f>IF(B127="","",IF(COUNTIFS('Recipe Ingredients'!$D$5:$D$1204,B127,'Recipe Ingredients'!$Y$5:$Y$1204,"&gt;0",'Recipe Ingredients'!$I$5:$I$1204,"No")=0,"Yes","No"))</f>
        <v>0</v>
      </c>
      <c r="U127" s="17">
        <f>IF(B127="","",IFERROR(INDEX(Ingredients!$W$5:$W$304,MATCH(B127,Ingredients!$B$5:$B$304,0)),"Add to Ingredients"))</f>
        <v>0</v>
      </c>
      <c r="Z127" s="31">
        <f>IF(B127="","",IF(V127="Yes","Bought",IF(I127=0,"In stock",IF(O127="","Check - no price","On the list"))))</f>
        <v>0</v>
      </c>
    </row>
    <row r="128" spans="1:26">
      <c r="A128" s="18">
        <f>ROW()-4</f>
        <v>0</v>
      </c>
      <c r="B128" s="17">
        <f>IFERROR(INDEX(Ingredients!$B$5:$B$304,MATCH(A128,Ingredients!$AL$5:$AL$304,0)),"")</f>
        <v>0</v>
      </c>
      <c r="C128" s="17">
        <f>IF(B128="","",IFERROR(INDEX(Ingredients!$C$5:$C$304,MATCH(B128,Ingredients!$B$5:$B$304,0)),"Add to Ingredients"))</f>
        <v>0</v>
      </c>
      <c r="D128" s="17">
        <f>IF(B128="","",IFERROR(INDEX(Ingredients!$D$5:$D$304,MATCH(B128,Ingredients!$B$5:$B$304,0)),"Add to Ingredients"))</f>
        <v>0</v>
      </c>
      <c r="E128" s="17">
        <f>IF(B128="","",IFERROR(INDEX(Ingredients!$E$5:$E$304,MATCH(B128,Ingredients!$B$5:$B$304,0)),"Add to Ingredients"))</f>
        <v>0</v>
      </c>
      <c r="F128" s="45">
        <f>IF(B128="","",IFERROR(INDEX(Ingredients!$AG$5:$AG$304,MATCH(B128,Ingredients!$B$5:$B$304,0)),""))</f>
        <v>0</v>
      </c>
      <c r="G128" s="17">
        <f>IF(B128="","",IFERROR(INDEX(Ingredients!$G$5:$G$304,MATCH(B128,Ingredients!$B$5:$B$304,0)),"Add to Ingredients"))</f>
        <v>0</v>
      </c>
      <c r="H128" s="45">
        <f>IF(B128="","",IFERROR(INDEX(Ingredients!$AD$5:$AD$304,MATCH(B128,Ingredients!$B$5:$B$304,0)),0))</f>
        <v>0</v>
      </c>
      <c r="I128" s="45">
        <f>IF(F128="","",MAX(0,F128-IF(H128="",0,H128)))</f>
        <v>0</v>
      </c>
      <c r="J128" s="45">
        <f>IF(B128="","",IFERROR(INDEX(Ingredients!$H$5:$H$304,MATCH(B128,Ingredients!$B$5:$B$304,0)),"Add to Ingredients"))</f>
        <v>0</v>
      </c>
      <c r="K128" s="25">
        <f>IF(B128="","",IFERROR(INDEX(Ingredients!$I$5:$I$304,MATCH(B128,Ingredients!$B$5:$B$304,0)),"Add to Ingredients"))</f>
        <v>0</v>
      </c>
      <c r="L128" s="25">
        <f>IF(B128="","",IFERROR(INDEX(Ingredients!$J$5:$J$304,MATCH(B128,Ingredients!$B$5:$B$304,0)),"Add to Ingredients"))</f>
        <v>0</v>
      </c>
      <c r="M128" s="45">
        <f>IF(OR(I128="",I128=0),"",IF(OR(J128="",NOT(ISNUMBER(J128)),J128=0),"",ROUNDUP(I128/J128,0)))</f>
        <v>0</v>
      </c>
      <c r="N128" s="45">
        <f>IF(I128="","",IF(RoundingRule="Exact quantity",I128,IF(M128="",I128,M128*J128)))</f>
        <v>0</v>
      </c>
      <c r="O128" s="25">
        <f>IF(N128="","",IF(RoundingRule="Exact quantity",IF(L128="","",N128*L128),IF(OR(M128="",K128=""),"",M128*K128)))</f>
        <v>0</v>
      </c>
      <c r="P128" s="25">
        <f>IF(B128="","",SUM(O$5:O128))</f>
        <v>0</v>
      </c>
      <c r="Q128" s="45">
        <f>IF(V128="Yes",0,IF(N128="",0,N128))</f>
        <v>0</v>
      </c>
      <c r="R128" s="18">
        <f>IF(OR(B128="",I128=0,I128=""),"",COUNTIFS($I$5:I128,"&gt;0"))</f>
        <v>0</v>
      </c>
      <c r="S128" s="18">
        <f>IF(B128="","",COUNTIFS('Recipe Ingredients'!$D$5:$D$1204,B128,'Recipe Ingredients'!$Y$5:$Y$1204,"&gt;0"))</f>
        <v>0</v>
      </c>
      <c r="T128" s="46">
        <f>IF(B128="","",IF(COUNTIFS('Recipe Ingredients'!$D$5:$D$1204,B128,'Recipe Ingredients'!$Y$5:$Y$1204,"&gt;0",'Recipe Ingredients'!$I$5:$I$1204,"No")=0,"Yes","No"))</f>
        <v>0</v>
      </c>
      <c r="U128" s="17">
        <f>IF(B128="","",IFERROR(INDEX(Ingredients!$W$5:$W$304,MATCH(B128,Ingredients!$B$5:$B$304,0)),"Add to Ingredients"))</f>
        <v>0</v>
      </c>
      <c r="Z128" s="31">
        <f>IF(B128="","",IF(V128="Yes","Bought",IF(I128=0,"In stock",IF(O128="","Check - no price","On the list"))))</f>
        <v>0</v>
      </c>
    </row>
    <row r="129" spans="1:26">
      <c r="A129" s="18">
        <f>ROW()-4</f>
        <v>0</v>
      </c>
      <c r="B129" s="17">
        <f>IFERROR(INDEX(Ingredients!$B$5:$B$304,MATCH(A129,Ingredients!$AL$5:$AL$304,0)),"")</f>
        <v>0</v>
      </c>
      <c r="C129" s="17">
        <f>IF(B129="","",IFERROR(INDEX(Ingredients!$C$5:$C$304,MATCH(B129,Ingredients!$B$5:$B$304,0)),"Add to Ingredients"))</f>
        <v>0</v>
      </c>
      <c r="D129" s="17">
        <f>IF(B129="","",IFERROR(INDEX(Ingredients!$D$5:$D$304,MATCH(B129,Ingredients!$B$5:$B$304,0)),"Add to Ingredients"))</f>
        <v>0</v>
      </c>
      <c r="E129" s="17">
        <f>IF(B129="","",IFERROR(INDEX(Ingredients!$E$5:$E$304,MATCH(B129,Ingredients!$B$5:$B$304,0)),"Add to Ingredients"))</f>
        <v>0</v>
      </c>
      <c r="F129" s="45">
        <f>IF(B129="","",IFERROR(INDEX(Ingredients!$AG$5:$AG$304,MATCH(B129,Ingredients!$B$5:$B$304,0)),""))</f>
        <v>0</v>
      </c>
      <c r="G129" s="17">
        <f>IF(B129="","",IFERROR(INDEX(Ingredients!$G$5:$G$304,MATCH(B129,Ingredients!$B$5:$B$304,0)),"Add to Ingredients"))</f>
        <v>0</v>
      </c>
      <c r="H129" s="45">
        <f>IF(B129="","",IFERROR(INDEX(Ingredients!$AD$5:$AD$304,MATCH(B129,Ingredients!$B$5:$B$304,0)),0))</f>
        <v>0</v>
      </c>
      <c r="I129" s="45">
        <f>IF(F129="","",MAX(0,F129-IF(H129="",0,H129)))</f>
        <v>0</v>
      </c>
      <c r="J129" s="45">
        <f>IF(B129="","",IFERROR(INDEX(Ingredients!$H$5:$H$304,MATCH(B129,Ingredients!$B$5:$B$304,0)),"Add to Ingredients"))</f>
        <v>0</v>
      </c>
      <c r="K129" s="25">
        <f>IF(B129="","",IFERROR(INDEX(Ingredients!$I$5:$I$304,MATCH(B129,Ingredients!$B$5:$B$304,0)),"Add to Ingredients"))</f>
        <v>0</v>
      </c>
      <c r="L129" s="25">
        <f>IF(B129="","",IFERROR(INDEX(Ingredients!$J$5:$J$304,MATCH(B129,Ingredients!$B$5:$B$304,0)),"Add to Ingredients"))</f>
        <v>0</v>
      </c>
      <c r="M129" s="45">
        <f>IF(OR(I129="",I129=0),"",IF(OR(J129="",NOT(ISNUMBER(J129)),J129=0),"",ROUNDUP(I129/J129,0)))</f>
        <v>0</v>
      </c>
      <c r="N129" s="45">
        <f>IF(I129="","",IF(RoundingRule="Exact quantity",I129,IF(M129="",I129,M129*J129)))</f>
        <v>0</v>
      </c>
      <c r="O129" s="25">
        <f>IF(N129="","",IF(RoundingRule="Exact quantity",IF(L129="","",N129*L129),IF(OR(M129="",K129=""),"",M129*K129)))</f>
        <v>0</v>
      </c>
      <c r="P129" s="25">
        <f>IF(B129="","",SUM(O$5:O129))</f>
        <v>0</v>
      </c>
      <c r="Q129" s="45">
        <f>IF(V129="Yes",0,IF(N129="",0,N129))</f>
        <v>0</v>
      </c>
      <c r="R129" s="18">
        <f>IF(OR(B129="",I129=0,I129=""),"",COUNTIFS($I$5:I129,"&gt;0"))</f>
        <v>0</v>
      </c>
      <c r="S129" s="18">
        <f>IF(B129="","",COUNTIFS('Recipe Ingredients'!$D$5:$D$1204,B129,'Recipe Ingredients'!$Y$5:$Y$1204,"&gt;0"))</f>
        <v>0</v>
      </c>
      <c r="T129" s="46">
        <f>IF(B129="","",IF(COUNTIFS('Recipe Ingredients'!$D$5:$D$1204,B129,'Recipe Ingredients'!$Y$5:$Y$1204,"&gt;0",'Recipe Ingredients'!$I$5:$I$1204,"No")=0,"Yes","No"))</f>
        <v>0</v>
      </c>
      <c r="U129" s="17">
        <f>IF(B129="","",IFERROR(INDEX(Ingredients!$W$5:$W$304,MATCH(B129,Ingredients!$B$5:$B$304,0)),"Add to Ingredients"))</f>
        <v>0</v>
      </c>
      <c r="Z129" s="31">
        <f>IF(B129="","",IF(V129="Yes","Bought",IF(I129=0,"In stock",IF(O129="","Check - no price","On the list"))))</f>
        <v>0</v>
      </c>
    </row>
    <row r="130" spans="1:26">
      <c r="A130" s="18">
        <f>ROW()-4</f>
        <v>0</v>
      </c>
      <c r="B130" s="17">
        <f>IFERROR(INDEX(Ingredients!$B$5:$B$304,MATCH(A130,Ingredients!$AL$5:$AL$304,0)),"")</f>
        <v>0</v>
      </c>
      <c r="C130" s="17">
        <f>IF(B130="","",IFERROR(INDEX(Ingredients!$C$5:$C$304,MATCH(B130,Ingredients!$B$5:$B$304,0)),"Add to Ingredients"))</f>
        <v>0</v>
      </c>
      <c r="D130" s="17">
        <f>IF(B130="","",IFERROR(INDEX(Ingredients!$D$5:$D$304,MATCH(B130,Ingredients!$B$5:$B$304,0)),"Add to Ingredients"))</f>
        <v>0</v>
      </c>
      <c r="E130" s="17">
        <f>IF(B130="","",IFERROR(INDEX(Ingredients!$E$5:$E$304,MATCH(B130,Ingredients!$B$5:$B$304,0)),"Add to Ingredients"))</f>
        <v>0</v>
      </c>
      <c r="F130" s="45">
        <f>IF(B130="","",IFERROR(INDEX(Ingredients!$AG$5:$AG$304,MATCH(B130,Ingredients!$B$5:$B$304,0)),""))</f>
        <v>0</v>
      </c>
      <c r="G130" s="17">
        <f>IF(B130="","",IFERROR(INDEX(Ingredients!$G$5:$G$304,MATCH(B130,Ingredients!$B$5:$B$304,0)),"Add to Ingredients"))</f>
        <v>0</v>
      </c>
      <c r="H130" s="45">
        <f>IF(B130="","",IFERROR(INDEX(Ingredients!$AD$5:$AD$304,MATCH(B130,Ingredients!$B$5:$B$304,0)),0))</f>
        <v>0</v>
      </c>
      <c r="I130" s="45">
        <f>IF(F130="","",MAX(0,F130-IF(H130="",0,H130)))</f>
        <v>0</v>
      </c>
      <c r="J130" s="45">
        <f>IF(B130="","",IFERROR(INDEX(Ingredients!$H$5:$H$304,MATCH(B130,Ingredients!$B$5:$B$304,0)),"Add to Ingredients"))</f>
        <v>0</v>
      </c>
      <c r="K130" s="25">
        <f>IF(B130="","",IFERROR(INDEX(Ingredients!$I$5:$I$304,MATCH(B130,Ingredients!$B$5:$B$304,0)),"Add to Ingredients"))</f>
        <v>0</v>
      </c>
      <c r="L130" s="25">
        <f>IF(B130="","",IFERROR(INDEX(Ingredients!$J$5:$J$304,MATCH(B130,Ingredients!$B$5:$B$304,0)),"Add to Ingredients"))</f>
        <v>0</v>
      </c>
      <c r="M130" s="45">
        <f>IF(OR(I130="",I130=0),"",IF(OR(J130="",NOT(ISNUMBER(J130)),J130=0),"",ROUNDUP(I130/J130,0)))</f>
        <v>0</v>
      </c>
      <c r="N130" s="45">
        <f>IF(I130="","",IF(RoundingRule="Exact quantity",I130,IF(M130="",I130,M130*J130)))</f>
        <v>0</v>
      </c>
      <c r="O130" s="25">
        <f>IF(N130="","",IF(RoundingRule="Exact quantity",IF(L130="","",N130*L130),IF(OR(M130="",K130=""),"",M130*K130)))</f>
        <v>0</v>
      </c>
      <c r="P130" s="25">
        <f>IF(B130="","",SUM(O$5:O130))</f>
        <v>0</v>
      </c>
      <c r="Q130" s="45">
        <f>IF(V130="Yes",0,IF(N130="",0,N130))</f>
        <v>0</v>
      </c>
      <c r="R130" s="18">
        <f>IF(OR(B130="",I130=0,I130=""),"",COUNTIFS($I$5:I130,"&gt;0"))</f>
        <v>0</v>
      </c>
      <c r="S130" s="18">
        <f>IF(B130="","",COUNTIFS('Recipe Ingredients'!$D$5:$D$1204,B130,'Recipe Ingredients'!$Y$5:$Y$1204,"&gt;0"))</f>
        <v>0</v>
      </c>
      <c r="T130" s="46">
        <f>IF(B130="","",IF(COUNTIFS('Recipe Ingredients'!$D$5:$D$1204,B130,'Recipe Ingredients'!$Y$5:$Y$1204,"&gt;0",'Recipe Ingredients'!$I$5:$I$1204,"No")=0,"Yes","No"))</f>
        <v>0</v>
      </c>
      <c r="U130" s="17">
        <f>IF(B130="","",IFERROR(INDEX(Ingredients!$W$5:$W$304,MATCH(B130,Ingredients!$B$5:$B$304,0)),"Add to Ingredients"))</f>
        <v>0</v>
      </c>
      <c r="Z130" s="31">
        <f>IF(B130="","",IF(V130="Yes","Bought",IF(I130=0,"In stock",IF(O130="","Check - no price","On the list"))))</f>
        <v>0</v>
      </c>
    </row>
    <row r="131" spans="1:26">
      <c r="A131" s="18">
        <f>ROW()-4</f>
        <v>0</v>
      </c>
      <c r="B131" s="17">
        <f>IFERROR(INDEX(Ingredients!$B$5:$B$304,MATCH(A131,Ingredients!$AL$5:$AL$304,0)),"")</f>
        <v>0</v>
      </c>
      <c r="C131" s="17">
        <f>IF(B131="","",IFERROR(INDEX(Ingredients!$C$5:$C$304,MATCH(B131,Ingredients!$B$5:$B$304,0)),"Add to Ingredients"))</f>
        <v>0</v>
      </c>
      <c r="D131" s="17">
        <f>IF(B131="","",IFERROR(INDEX(Ingredients!$D$5:$D$304,MATCH(B131,Ingredients!$B$5:$B$304,0)),"Add to Ingredients"))</f>
        <v>0</v>
      </c>
      <c r="E131" s="17">
        <f>IF(B131="","",IFERROR(INDEX(Ingredients!$E$5:$E$304,MATCH(B131,Ingredients!$B$5:$B$304,0)),"Add to Ingredients"))</f>
        <v>0</v>
      </c>
      <c r="F131" s="45">
        <f>IF(B131="","",IFERROR(INDEX(Ingredients!$AG$5:$AG$304,MATCH(B131,Ingredients!$B$5:$B$304,0)),""))</f>
        <v>0</v>
      </c>
      <c r="G131" s="17">
        <f>IF(B131="","",IFERROR(INDEX(Ingredients!$G$5:$G$304,MATCH(B131,Ingredients!$B$5:$B$304,0)),"Add to Ingredients"))</f>
        <v>0</v>
      </c>
      <c r="H131" s="45">
        <f>IF(B131="","",IFERROR(INDEX(Ingredients!$AD$5:$AD$304,MATCH(B131,Ingredients!$B$5:$B$304,0)),0))</f>
        <v>0</v>
      </c>
      <c r="I131" s="45">
        <f>IF(F131="","",MAX(0,F131-IF(H131="",0,H131)))</f>
        <v>0</v>
      </c>
      <c r="J131" s="45">
        <f>IF(B131="","",IFERROR(INDEX(Ingredients!$H$5:$H$304,MATCH(B131,Ingredients!$B$5:$B$304,0)),"Add to Ingredients"))</f>
        <v>0</v>
      </c>
      <c r="K131" s="25">
        <f>IF(B131="","",IFERROR(INDEX(Ingredients!$I$5:$I$304,MATCH(B131,Ingredients!$B$5:$B$304,0)),"Add to Ingredients"))</f>
        <v>0</v>
      </c>
      <c r="L131" s="25">
        <f>IF(B131="","",IFERROR(INDEX(Ingredients!$J$5:$J$304,MATCH(B131,Ingredients!$B$5:$B$304,0)),"Add to Ingredients"))</f>
        <v>0</v>
      </c>
      <c r="M131" s="45">
        <f>IF(OR(I131="",I131=0),"",IF(OR(J131="",NOT(ISNUMBER(J131)),J131=0),"",ROUNDUP(I131/J131,0)))</f>
        <v>0</v>
      </c>
      <c r="N131" s="45">
        <f>IF(I131="","",IF(RoundingRule="Exact quantity",I131,IF(M131="",I131,M131*J131)))</f>
        <v>0</v>
      </c>
      <c r="O131" s="25">
        <f>IF(N131="","",IF(RoundingRule="Exact quantity",IF(L131="","",N131*L131),IF(OR(M131="",K131=""),"",M131*K131)))</f>
        <v>0</v>
      </c>
      <c r="P131" s="25">
        <f>IF(B131="","",SUM(O$5:O131))</f>
        <v>0</v>
      </c>
      <c r="Q131" s="45">
        <f>IF(V131="Yes",0,IF(N131="",0,N131))</f>
        <v>0</v>
      </c>
      <c r="R131" s="18">
        <f>IF(OR(B131="",I131=0,I131=""),"",COUNTIFS($I$5:I131,"&gt;0"))</f>
        <v>0</v>
      </c>
      <c r="S131" s="18">
        <f>IF(B131="","",COUNTIFS('Recipe Ingredients'!$D$5:$D$1204,B131,'Recipe Ingredients'!$Y$5:$Y$1204,"&gt;0"))</f>
        <v>0</v>
      </c>
      <c r="T131" s="46">
        <f>IF(B131="","",IF(COUNTIFS('Recipe Ingredients'!$D$5:$D$1204,B131,'Recipe Ingredients'!$Y$5:$Y$1204,"&gt;0",'Recipe Ingredients'!$I$5:$I$1204,"No")=0,"Yes","No"))</f>
        <v>0</v>
      </c>
      <c r="U131" s="17">
        <f>IF(B131="","",IFERROR(INDEX(Ingredients!$W$5:$W$304,MATCH(B131,Ingredients!$B$5:$B$304,0)),"Add to Ingredients"))</f>
        <v>0</v>
      </c>
      <c r="Z131" s="31">
        <f>IF(B131="","",IF(V131="Yes","Bought",IF(I131=0,"In stock",IF(O131="","Check - no price","On the list"))))</f>
        <v>0</v>
      </c>
    </row>
    <row r="132" spans="1:26">
      <c r="A132" s="18">
        <f>ROW()-4</f>
        <v>0</v>
      </c>
      <c r="B132" s="17">
        <f>IFERROR(INDEX(Ingredients!$B$5:$B$304,MATCH(A132,Ingredients!$AL$5:$AL$304,0)),"")</f>
        <v>0</v>
      </c>
      <c r="C132" s="17">
        <f>IF(B132="","",IFERROR(INDEX(Ingredients!$C$5:$C$304,MATCH(B132,Ingredients!$B$5:$B$304,0)),"Add to Ingredients"))</f>
        <v>0</v>
      </c>
      <c r="D132" s="17">
        <f>IF(B132="","",IFERROR(INDEX(Ingredients!$D$5:$D$304,MATCH(B132,Ingredients!$B$5:$B$304,0)),"Add to Ingredients"))</f>
        <v>0</v>
      </c>
      <c r="E132" s="17">
        <f>IF(B132="","",IFERROR(INDEX(Ingredients!$E$5:$E$304,MATCH(B132,Ingredients!$B$5:$B$304,0)),"Add to Ingredients"))</f>
        <v>0</v>
      </c>
      <c r="F132" s="45">
        <f>IF(B132="","",IFERROR(INDEX(Ingredients!$AG$5:$AG$304,MATCH(B132,Ingredients!$B$5:$B$304,0)),""))</f>
        <v>0</v>
      </c>
      <c r="G132" s="17">
        <f>IF(B132="","",IFERROR(INDEX(Ingredients!$G$5:$G$304,MATCH(B132,Ingredients!$B$5:$B$304,0)),"Add to Ingredients"))</f>
        <v>0</v>
      </c>
      <c r="H132" s="45">
        <f>IF(B132="","",IFERROR(INDEX(Ingredients!$AD$5:$AD$304,MATCH(B132,Ingredients!$B$5:$B$304,0)),0))</f>
        <v>0</v>
      </c>
      <c r="I132" s="45">
        <f>IF(F132="","",MAX(0,F132-IF(H132="",0,H132)))</f>
        <v>0</v>
      </c>
      <c r="J132" s="45">
        <f>IF(B132="","",IFERROR(INDEX(Ingredients!$H$5:$H$304,MATCH(B132,Ingredients!$B$5:$B$304,0)),"Add to Ingredients"))</f>
        <v>0</v>
      </c>
      <c r="K132" s="25">
        <f>IF(B132="","",IFERROR(INDEX(Ingredients!$I$5:$I$304,MATCH(B132,Ingredients!$B$5:$B$304,0)),"Add to Ingredients"))</f>
        <v>0</v>
      </c>
      <c r="L132" s="25">
        <f>IF(B132="","",IFERROR(INDEX(Ingredients!$J$5:$J$304,MATCH(B132,Ingredients!$B$5:$B$304,0)),"Add to Ingredients"))</f>
        <v>0</v>
      </c>
      <c r="M132" s="45">
        <f>IF(OR(I132="",I132=0),"",IF(OR(J132="",NOT(ISNUMBER(J132)),J132=0),"",ROUNDUP(I132/J132,0)))</f>
        <v>0</v>
      </c>
      <c r="N132" s="45">
        <f>IF(I132="","",IF(RoundingRule="Exact quantity",I132,IF(M132="",I132,M132*J132)))</f>
        <v>0</v>
      </c>
      <c r="O132" s="25">
        <f>IF(N132="","",IF(RoundingRule="Exact quantity",IF(L132="","",N132*L132),IF(OR(M132="",K132=""),"",M132*K132)))</f>
        <v>0</v>
      </c>
      <c r="P132" s="25">
        <f>IF(B132="","",SUM(O$5:O132))</f>
        <v>0</v>
      </c>
      <c r="Q132" s="45">
        <f>IF(V132="Yes",0,IF(N132="",0,N132))</f>
        <v>0</v>
      </c>
      <c r="R132" s="18">
        <f>IF(OR(B132="",I132=0,I132=""),"",COUNTIFS($I$5:I132,"&gt;0"))</f>
        <v>0</v>
      </c>
      <c r="S132" s="18">
        <f>IF(B132="","",COUNTIFS('Recipe Ingredients'!$D$5:$D$1204,B132,'Recipe Ingredients'!$Y$5:$Y$1204,"&gt;0"))</f>
        <v>0</v>
      </c>
      <c r="T132" s="46">
        <f>IF(B132="","",IF(COUNTIFS('Recipe Ingredients'!$D$5:$D$1204,B132,'Recipe Ingredients'!$Y$5:$Y$1204,"&gt;0",'Recipe Ingredients'!$I$5:$I$1204,"No")=0,"Yes","No"))</f>
        <v>0</v>
      </c>
      <c r="U132" s="17">
        <f>IF(B132="","",IFERROR(INDEX(Ingredients!$W$5:$W$304,MATCH(B132,Ingredients!$B$5:$B$304,0)),"Add to Ingredients"))</f>
        <v>0</v>
      </c>
      <c r="Z132" s="31">
        <f>IF(B132="","",IF(V132="Yes","Bought",IF(I132=0,"In stock",IF(O132="","Check - no price","On the list"))))</f>
        <v>0</v>
      </c>
    </row>
    <row r="133" spans="1:26">
      <c r="A133" s="18">
        <f>ROW()-4</f>
        <v>0</v>
      </c>
      <c r="B133" s="17">
        <f>IFERROR(INDEX(Ingredients!$B$5:$B$304,MATCH(A133,Ingredients!$AL$5:$AL$304,0)),"")</f>
        <v>0</v>
      </c>
      <c r="C133" s="17">
        <f>IF(B133="","",IFERROR(INDEX(Ingredients!$C$5:$C$304,MATCH(B133,Ingredients!$B$5:$B$304,0)),"Add to Ingredients"))</f>
        <v>0</v>
      </c>
      <c r="D133" s="17">
        <f>IF(B133="","",IFERROR(INDEX(Ingredients!$D$5:$D$304,MATCH(B133,Ingredients!$B$5:$B$304,0)),"Add to Ingredients"))</f>
        <v>0</v>
      </c>
      <c r="E133" s="17">
        <f>IF(B133="","",IFERROR(INDEX(Ingredients!$E$5:$E$304,MATCH(B133,Ingredients!$B$5:$B$304,0)),"Add to Ingredients"))</f>
        <v>0</v>
      </c>
      <c r="F133" s="45">
        <f>IF(B133="","",IFERROR(INDEX(Ingredients!$AG$5:$AG$304,MATCH(B133,Ingredients!$B$5:$B$304,0)),""))</f>
        <v>0</v>
      </c>
      <c r="G133" s="17">
        <f>IF(B133="","",IFERROR(INDEX(Ingredients!$G$5:$G$304,MATCH(B133,Ingredients!$B$5:$B$304,0)),"Add to Ingredients"))</f>
        <v>0</v>
      </c>
      <c r="H133" s="45">
        <f>IF(B133="","",IFERROR(INDEX(Ingredients!$AD$5:$AD$304,MATCH(B133,Ingredients!$B$5:$B$304,0)),0))</f>
        <v>0</v>
      </c>
      <c r="I133" s="45">
        <f>IF(F133="","",MAX(0,F133-IF(H133="",0,H133)))</f>
        <v>0</v>
      </c>
      <c r="J133" s="45">
        <f>IF(B133="","",IFERROR(INDEX(Ingredients!$H$5:$H$304,MATCH(B133,Ingredients!$B$5:$B$304,0)),"Add to Ingredients"))</f>
        <v>0</v>
      </c>
      <c r="K133" s="25">
        <f>IF(B133="","",IFERROR(INDEX(Ingredients!$I$5:$I$304,MATCH(B133,Ingredients!$B$5:$B$304,0)),"Add to Ingredients"))</f>
        <v>0</v>
      </c>
      <c r="L133" s="25">
        <f>IF(B133="","",IFERROR(INDEX(Ingredients!$J$5:$J$304,MATCH(B133,Ingredients!$B$5:$B$304,0)),"Add to Ingredients"))</f>
        <v>0</v>
      </c>
      <c r="M133" s="45">
        <f>IF(OR(I133="",I133=0),"",IF(OR(J133="",NOT(ISNUMBER(J133)),J133=0),"",ROUNDUP(I133/J133,0)))</f>
        <v>0</v>
      </c>
      <c r="N133" s="45">
        <f>IF(I133="","",IF(RoundingRule="Exact quantity",I133,IF(M133="",I133,M133*J133)))</f>
        <v>0</v>
      </c>
      <c r="O133" s="25">
        <f>IF(N133="","",IF(RoundingRule="Exact quantity",IF(L133="","",N133*L133),IF(OR(M133="",K133=""),"",M133*K133)))</f>
        <v>0</v>
      </c>
      <c r="P133" s="25">
        <f>IF(B133="","",SUM(O$5:O133))</f>
        <v>0</v>
      </c>
      <c r="Q133" s="45">
        <f>IF(V133="Yes",0,IF(N133="",0,N133))</f>
        <v>0</v>
      </c>
      <c r="R133" s="18">
        <f>IF(OR(B133="",I133=0,I133=""),"",COUNTIFS($I$5:I133,"&gt;0"))</f>
        <v>0</v>
      </c>
      <c r="S133" s="18">
        <f>IF(B133="","",COUNTIFS('Recipe Ingredients'!$D$5:$D$1204,B133,'Recipe Ingredients'!$Y$5:$Y$1204,"&gt;0"))</f>
        <v>0</v>
      </c>
      <c r="T133" s="46">
        <f>IF(B133="","",IF(COUNTIFS('Recipe Ingredients'!$D$5:$D$1204,B133,'Recipe Ingredients'!$Y$5:$Y$1204,"&gt;0",'Recipe Ingredients'!$I$5:$I$1204,"No")=0,"Yes","No"))</f>
        <v>0</v>
      </c>
      <c r="U133" s="17">
        <f>IF(B133="","",IFERROR(INDEX(Ingredients!$W$5:$W$304,MATCH(B133,Ingredients!$B$5:$B$304,0)),"Add to Ingredients"))</f>
        <v>0</v>
      </c>
      <c r="Z133" s="31">
        <f>IF(B133="","",IF(V133="Yes","Bought",IF(I133=0,"In stock",IF(O133="","Check - no price","On the list"))))</f>
        <v>0</v>
      </c>
    </row>
    <row r="134" spans="1:26">
      <c r="A134" s="18">
        <f>ROW()-4</f>
        <v>0</v>
      </c>
      <c r="B134" s="17">
        <f>IFERROR(INDEX(Ingredients!$B$5:$B$304,MATCH(A134,Ingredients!$AL$5:$AL$304,0)),"")</f>
        <v>0</v>
      </c>
      <c r="C134" s="17">
        <f>IF(B134="","",IFERROR(INDEX(Ingredients!$C$5:$C$304,MATCH(B134,Ingredients!$B$5:$B$304,0)),"Add to Ingredients"))</f>
        <v>0</v>
      </c>
      <c r="D134" s="17">
        <f>IF(B134="","",IFERROR(INDEX(Ingredients!$D$5:$D$304,MATCH(B134,Ingredients!$B$5:$B$304,0)),"Add to Ingredients"))</f>
        <v>0</v>
      </c>
      <c r="E134" s="17">
        <f>IF(B134="","",IFERROR(INDEX(Ingredients!$E$5:$E$304,MATCH(B134,Ingredients!$B$5:$B$304,0)),"Add to Ingredients"))</f>
        <v>0</v>
      </c>
      <c r="F134" s="45">
        <f>IF(B134="","",IFERROR(INDEX(Ingredients!$AG$5:$AG$304,MATCH(B134,Ingredients!$B$5:$B$304,0)),""))</f>
        <v>0</v>
      </c>
      <c r="G134" s="17">
        <f>IF(B134="","",IFERROR(INDEX(Ingredients!$G$5:$G$304,MATCH(B134,Ingredients!$B$5:$B$304,0)),"Add to Ingredients"))</f>
        <v>0</v>
      </c>
      <c r="H134" s="45">
        <f>IF(B134="","",IFERROR(INDEX(Ingredients!$AD$5:$AD$304,MATCH(B134,Ingredients!$B$5:$B$304,0)),0))</f>
        <v>0</v>
      </c>
      <c r="I134" s="45">
        <f>IF(F134="","",MAX(0,F134-IF(H134="",0,H134)))</f>
        <v>0</v>
      </c>
      <c r="J134" s="45">
        <f>IF(B134="","",IFERROR(INDEX(Ingredients!$H$5:$H$304,MATCH(B134,Ingredients!$B$5:$B$304,0)),"Add to Ingredients"))</f>
        <v>0</v>
      </c>
      <c r="K134" s="25">
        <f>IF(B134="","",IFERROR(INDEX(Ingredients!$I$5:$I$304,MATCH(B134,Ingredients!$B$5:$B$304,0)),"Add to Ingredients"))</f>
        <v>0</v>
      </c>
      <c r="L134" s="25">
        <f>IF(B134="","",IFERROR(INDEX(Ingredients!$J$5:$J$304,MATCH(B134,Ingredients!$B$5:$B$304,0)),"Add to Ingredients"))</f>
        <v>0</v>
      </c>
      <c r="M134" s="45">
        <f>IF(OR(I134="",I134=0),"",IF(OR(J134="",NOT(ISNUMBER(J134)),J134=0),"",ROUNDUP(I134/J134,0)))</f>
        <v>0</v>
      </c>
      <c r="N134" s="45">
        <f>IF(I134="","",IF(RoundingRule="Exact quantity",I134,IF(M134="",I134,M134*J134)))</f>
        <v>0</v>
      </c>
      <c r="O134" s="25">
        <f>IF(N134="","",IF(RoundingRule="Exact quantity",IF(L134="","",N134*L134),IF(OR(M134="",K134=""),"",M134*K134)))</f>
        <v>0</v>
      </c>
      <c r="P134" s="25">
        <f>IF(B134="","",SUM(O$5:O134))</f>
        <v>0</v>
      </c>
      <c r="Q134" s="45">
        <f>IF(V134="Yes",0,IF(N134="",0,N134))</f>
        <v>0</v>
      </c>
      <c r="R134" s="18">
        <f>IF(OR(B134="",I134=0,I134=""),"",COUNTIFS($I$5:I134,"&gt;0"))</f>
        <v>0</v>
      </c>
      <c r="S134" s="18">
        <f>IF(B134="","",COUNTIFS('Recipe Ingredients'!$D$5:$D$1204,B134,'Recipe Ingredients'!$Y$5:$Y$1204,"&gt;0"))</f>
        <v>0</v>
      </c>
      <c r="T134" s="46">
        <f>IF(B134="","",IF(COUNTIFS('Recipe Ingredients'!$D$5:$D$1204,B134,'Recipe Ingredients'!$Y$5:$Y$1204,"&gt;0",'Recipe Ingredients'!$I$5:$I$1204,"No")=0,"Yes","No"))</f>
        <v>0</v>
      </c>
      <c r="U134" s="17">
        <f>IF(B134="","",IFERROR(INDEX(Ingredients!$W$5:$W$304,MATCH(B134,Ingredients!$B$5:$B$304,0)),"Add to Ingredients"))</f>
        <v>0</v>
      </c>
      <c r="Z134" s="31">
        <f>IF(B134="","",IF(V134="Yes","Bought",IF(I134=0,"In stock",IF(O134="","Check - no price","On the list"))))</f>
        <v>0</v>
      </c>
    </row>
    <row r="135" spans="1:26">
      <c r="A135" s="18">
        <f>ROW()-4</f>
        <v>0</v>
      </c>
      <c r="B135" s="17">
        <f>IFERROR(INDEX(Ingredients!$B$5:$B$304,MATCH(A135,Ingredients!$AL$5:$AL$304,0)),"")</f>
        <v>0</v>
      </c>
      <c r="C135" s="17">
        <f>IF(B135="","",IFERROR(INDEX(Ingredients!$C$5:$C$304,MATCH(B135,Ingredients!$B$5:$B$304,0)),"Add to Ingredients"))</f>
        <v>0</v>
      </c>
      <c r="D135" s="17">
        <f>IF(B135="","",IFERROR(INDEX(Ingredients!$D$5:$D$304,MATCH(B135,Ingredients!$B$5:$B$304,0)),"Add to Ingredients"))</f>
        <v>0</v>
      </c>
      <c r="E135" s="17">
        <f>IF(B135="","",IFERROR(INDEX(Ingredients!$E$5:$E$304,MATCH(B135,Ingredients!$B$5:$B$304,0)),"Add to Ingredients"))</f>
        <v>0</v>
      </c>
      <c r="F135" s="45">
        <f>IF(B135="","",IFERROR(INDEX(Ingredients!$AG$5:$AG$304,MATCH(B135,Ingredients!$B$5:$B$304,0)),""))</f>
        <v>0</v>
      </c>
      <c r="G135" s="17">
        <f>IF(B135="","",IFERROR(INDEX(Ingredients!$G$5:$G$304,MATCH(B135,Ingredients!$B$5:$B$304,0)),"Add to Ingredients"))</f>
        <v>0</v>
      </c>
      <c r="H135" s="45">
        <f>IF(B135="","",IFERROR(INDEX(Ingredients!$AD$5:$AD$304,MATCH(B135,Ingredients!$B$5:$B$304,0)),0))</f>
        <v>0</v>
      </c>
      <c r="I135" s="45">
        <f>IF(F135="","",MAX(0,F135-IF(H135="",0,H135)))</f>
        <v>0</v>
      </c>
      <c r="J135" s="45">
        <f>IF(B135="","",IFERROR(INDEX(Ingredients!$H$5:$H$304,MATCH(B135,Ingredients!$B$5:$B$304,0)),"Add to Ingredients"))</f>
        <v>0</v>
      </c>
      <c r="K135" s="25">
        <f>IF(B135="","",IFERROR(INDEX(Ingredients!$I$5:$I$304,MATCH(B135,Ingredients!$B$5:$B$304,0)),"Add to Ingredients"))</f>
        <v>0</v>
      </c>
      <c r="L135" s="25">
        <f>IF(B135="","",IFERROR(INDEX(Ingredients!$J$5:$J$304,MATCH(B135,Ingredients!$B$5:$B$304,0)),"Add to Ingredients"))</f>
        <v>0</v>
      </c>
      <c r="M135" s="45">
        <f>IF(OR(I135="",I135=0),"",IF(OR(J135="",NOT(ISNUMBER(J135)),J135=0),"",ROUNDUP(I135/J135,0)))</f>
        <v>0</v>
      </c>
      <c r="N135" s="45">
        <f>IF(I135="","",IF(RoundingRule="Exact quantity",I135,IF(M135="",I135,M135*J135)))</f>
        <v>0</v>
      </c>
      <c r="O135" s="25">
        <f>IF(N135="","",IF(RoundingRule="Exact quantity",IF(L135="","",N135*L135),IF(OR(M135="",K135=""),"",M135*K135)))</f>
        <v>0</v>
      </c>
      <c r="P135" s="25">
        <f>IF(B135="","",SUM(O$5:O135))</f>
        <v>0</v>
      </c>
      <c r="Q135" s="45">
        <f>IF(V135="Yes",0,IF(N135="",0,N135))</f>
        <v>0</v>
      </c>
      <c r="R135" s="18">
        <f>IF(OR(B135="",I135=0,I135=""),"",COUNTIFS($I$5:I135,"&gt;0"))</f>
        <v>0</v>
      </c>
      <c r="S135" s="18">
        <f>IF(B135="","",COUNTIFS('Recipe Ingredients'!$D$5:$D$1204,B135,'Recipe Ingredients'!$Y$5:$Y$1204,"&gt;0"))</f>
        <v>0</v>
      </c>
      <c r="T135" s="46">
        <f>IF(B135="","",IF(COUNTIFS('Recipe Ingredients'!$D$5:$D$1204,B135,'Recipe Ingredients'!$Y$5:$Y$1204,"&gt;0",'Recipe Ingredients'!$I$5:$I$1204,"No")=0,"Yes","No"))</f>
        <v>0</v>
      </c>
      <c r="U135" s="17">
        <f>IF(B135="","",IFERROR(INDEX(Ingredients!$W$5:$W$304,MATCH(B135,Ingredients!$B$5:$B$304,0)),"Add to Ingredients"))</f>
        <v>0</v>
      </c>
      <c r="Z135" s="31">
        <f>IF(B135="","",IF(V135="Yes","Bought",IF(I135=0,"In stock",IF(O135="","Check - no price","On the list"))))</f>
        <v>0</v>
      </c>
    </row>
    <row r="136" spans="1:26">
      <c r="A136" s="18">
        <f>ROW()-4</f>
        <v>0</v>
      </c>
      <c r="B136" s="17">
        <f>IFERROR(INDEX(Ingredients!$B$5:$B$304,MATCH(A136,Ingredients!$AL$5:$AL$304,0)),"")</f>
        <v>0</v>
      </c>
      <c r="C136" s="17">
        <f>IF(B136="","",IFERROR(INDEX(Ingredients!$C$5:$C$304,MATCH(B136,Ingredients!$B$5:$B$304,0)),"Add to Ingredients"))</f>
        <v>0</v>
      </c>
      <c r="D136" s="17">
        <f>IF(B136="","",IFERROR(INDEX(Ingredients!$D$5:$D$304,MATCH(B136,Ingredients!$B$5:$B$304,0)),"Add to Ingredients"))</f>
        <v>0</v>
      </c>
      <c r="E136" s="17">
        <f>IF(B136="","",IFERROR(INDEX(Ingredients!$E$5:$E$304,MATCH(B136,Ingredients!$B$5:$B$304,0)),"Add to Ingredients"))</f>
        <v>0</v>
      </c>
      <c r="F136" s="45">
        <f>IF(B136="","",IFERROR(INDEX(Ingredients!$AG$5:$AG$304,MATCH(B136,Ingredients!$B$5:$B$304,0)),""))</f>
        <v>0</v>
      </c>
      <c r="G136" s="17">
        <f>IF(B136="","",IFERROR(INDEX(Ingredients!$G$5:$G$304,MATCH(B136,Ingredients!$B$5:$B$304,0)),"Add to Ingredients"))</f>
        <v>0</v>
      </c>
      <c r="H136" s="45">
        <f>IF(B136="","",IFERROR(INDEX(Ingredients!$AD$5:$AD$304,MATCH(B136,Ingredients!$B$5:$B$304,0)),0))</f>
        <v>0</v>
      </c>
      <c r="I136" s="45">
        <f>IF(F136="","",MAX(0,F136-IF(H136="",0,H136)))</f>
        <v>0</v>
      </c>
      <c r="J136" s="45">
        <f>IF(B136="","",IFERROR(INDEX(Ingredients!$H$5:$H$304,MATCH(B136,Ingredients!$B$5:$B$304,0)),"Add to Ingredients"))</f>
        <v>0</v>
      </c>
      <c r="K136" s="25">
        <f>IF(B136="","",IFERROR(INDEX(Ingredients!$I$5:$I$304,MATCH(B136,Ingredients!$B$5:$B$304,0)),"Add to Ingredients"))</f>
        <v>0</v>
      </c>
      <c r="L136" s="25">
        <f>IF(B136="","",IFERROR(INDEX(Ingredients!$J$5:$J$304,MATCH(B136,Ingredients!$B$5:$B$304,0)),"Add to Ingredients"))</f>
        <v>0</v>
      </c>
      <c r="M136" s="45">
        <f>IF(OR(I136="",I136=0),"",IF(OR(J136="",NOT(ISNUMBER(J136)),J136=0),"",ROUNDUP(I136/J136,0)))</f>
        <v>0</v>
      </c>
      <c r="N136" s="45">
        <f>IF(I136="","",IF(RoundingRule="Exact quantity",I136,IF(M136="",I136,M136*J136)))</f>
        <v>0</v>
      </c>
      <c r="O136" s="25">
        <f>IF(N136="","",IF(RoundingRule="Exact quantity",IF(L136="","",N136*L136),IF(OR(M136="",K136=""),"",M136*K136)))</f>
        <v>0</v>
      </c>
      <c r="P136" s="25">
        <f>IF(B136="","",SUM(O$5:O136))</f>
        <v>0</v>
      </c>
      <c r="Q136" s="45">
        <f>IF(V136="Yes",0,IF(N136="",0,N136))</f>
        <v>0</v>
      </c>
      <c r="R136" s="18">
        <f>IF(OR(B136="",I136=0,I136=""),"",COUNTIFS($I$5:I136,"&gt;0"))</f>
        <v>0</v>
      </c>
      <c r="S136" s="18">
        <f>IF(B136="","",COUNTIFS('Recipe Ingredients'!$D$5:$D$1204,B136,'Recipe Ingredients'!$Y$5:$Y$1204,"&gt;0"))</f>
        <v>0</v>
      </c>
      <c r="T136" s="46">
        <f>IF(B136="","",IF(COUNTIFS('Recipe Ingredients'!$D$5:$D$1204,B136,'Recipe Ingredients'!$Y$5:$Y$1204,"&gt;0",'Recipe Ingredients'!$I$5:$I$1204,"No")=0,"Yes","No"))</f>
        <v>0</v>
      </c>
      <c r="U136" s="17">
        <f>IF(B136="","",IFERROR(INDEX(Ingredients!$W$5:$W$304,MATCH(B136,Ingredients!$B$5:$B$304,0)),"Add to Ingredients"))</f>
        <v>0</v>
      </c>
      <c r="Z136" s="31">
        <f>IF(B136="","",IF(V136="Yes","Bought",IF(I136=0,"In stock",IF(O136="","Check - no price","On the list"))))</f>
        <v>0</v>
      </c>
    </row>
    <row r="137" spans="1:26">
      <c r="A137" s="18">
        <f>ROW()-4</f>
        <v>0</v>
      </c>
      <c r="B137" s="17">
        <f>IFERROR(INDEX(Ingredients!$B$5:$B$304,MATCH(A137,Ingredients!$AL$5:$AL$304,0)),"")</f>
        <v>0</v>
      </c>
      <c r="C137" s="17">
        <f>IF(B137="","",IFERROR(INDEX(Ingredients!$C$5:$C$304,MATCH(B137,Ingredients!$B$5:$B$304,0)),"Add to Ingredients"))</f>
        <v>0</v>
      </c>
      <c r="D137" s="17">
        <f>IF(B137="","",IFERROR(INDEX(Ingredients!$D$5:$D$304,MATCH(B137,Ingredients!$B$5:$B$304,0)),"Add to Ingredients"))</f>
        <v>0</v>
      </c>
      <c r="E137" s="17">
        <f>IF(B137="","",IFERROR(INDEX(Ingredients!$E$5:$E$304,MATCH(B137,Ingredients!$B$5:$B$304,0)),"Add to Ingredients"))</f>
        <v>0</v>
      </c>
      <c r="F137" s="45">
        <f>IF(B137="","",IFERROR(INDEX(Ingredients!$AG$5:$AG$304,MATCH(B137,Ingredients!$B$5:$B$304,0)),""))</f>
        <v>0</v>
      </c>
      <c r="G137" s="17">
        <f>IF(B137="","",IFERROR(INDEX(Ingredients!$G$5:$G$304,MATCH(B137,Ingredients!$B$5:$B$304,0)),"Add to Ingredients"))</f>
        <v>0</v>
      </c>
      <c r="H137" s="45">
        <f>IF(B137="","",IFERROR(INDEX(Ingredients!$AD$5:$AD$304,MATCH(B137,Ingredients!$B$5:$B$304,0)),0))</f>
        <v>0</v>
      </c>
      <c r="I137" s="45">
        <f>IF(F137="","",MAX(0,F137-IF(H137="",0,H137)))</f>
        <v>0</v>
      </c>
      <c r="J137" s="45">
        <f>IF(B137="","",IFERROR(INDEX(Ingredients!$H$5:$H$304,MATCH(B137,Ingredients!$B$5:$B$304,0)),"Add to Ingredients"))</f>
        <v>0</v>
      </c>
      <c r="K137" s="25">
        <f>IF(B137="","",IFERROR(INDEX(Ingredients!$I$5:$I$304,MATCH(B137,Ingredients!$B$5:$B$304,0)),"Add to Ingredients"))</f>
        <v>0</v>
      </c>
      <c r="L137" s="25">
        <f>IF(B137="","",IFERROR(INDEX(Ingredients!$J$5:$J$304,MATCH(B137,Ingredients!$B$5:$B$304,0)),"Add to Ingredients"))</f>
        <v>0</v>
      </c>
      <c r="M137" s="45">
        <f>IF(OR(I137="",I137=0),"",IF(OR(J137="",NOT(ISNUMBER(J137)),J137=0),"",ROUNDUP(I137/J137,0)))</f>
        <v>0</v>
      </c>
      <c r="N137" s="45">
        <f>IF(I137="","",IF(RoundingRule="Exact quantity",I137,IF(M137="",I137,M137*J137)))</f>
        <v>0</v>
      </c>
      <c r="O137" s="25">
        <f>IF(N137="","",IF(RoundingRule="Exact quantity",IF(L137="","",N137*L137),IF(OR(M137="",K137=""),"",M137*K137)))</f>
        <v>0</v>
      </c>
      <c r="P137" s="25">
        <f>IF(B137="","",SUM(O$5:O137))</f>
        <v>0</v>
      </c>
      <c r="Q137" s="45">
        <f>IF(V137="Yes",0,IF(N137="",0,N137))</f>
        <v>0</v>
      </c>
      <c r="R137" s="18">
        <f>IF(OR(B137="",I137=0,I137=""),"",COUNTIFS($I$5:I137,"&gt;0"))</f>
        <v>0</v>
      </c>
      <c r="S137" s="18">
        <f>IF(B137="","",COUNTIFS('Recipe Ingredients'!$D$5:$D$1204,B137,'Recipe Ingredients'!$Y$5:$Y$1204,"&gt;0"))</f>
        <v>0</v>
      </c>
      <c r="T137" s="46">
        <f>IF(B137="","",IF(COUNTIFS('Recipe Ingredients'!$D$5:$D$1204,B137,'Recipe Ingredients'!$Y$5:$Y$1204,"&gt;0",'Recipe Ingredients'!$I$5:$I$1204,"No")=0,"Yes","No"))</f>
        <v>0</v>
      </c>
      <c r="U137" s="17">
        <f>IF(B137="","",IFERROR(INDEX(Ingredients!$W$5:$W$304,MATCH(B137,Ingredients!$B$5:$B$304,0)),"Add to Ingredients"))</f>
        <v>0</v>
      </c>
      <c r="Z137" s="31">
        <f>IF(B137="","",IF(V137="Yes","Bought",IF(I137=0,"In stock",IF(O137="","Check - no price","On the list"))))</f>
        <v>0</v>
      </c>
    </row>
    <row r="138" spans="1:26">
      <c r="A138" s="18">
        <f>ROW()-4</f>
        <v>0</v>
      </c>
      <c r="B138" s="17">
        <f>IFERROR(INDEX(Ingredients!$B$5:$B$304,MATCH(A138,Ingredients!$AL$5:$AL$304,0)),"")</f>
        <v>0</v>
      </c>
      <c r="C138" s="17">
        <f>IF(B138="","",IFERROR(INDEX(Ingredients!$C$5:$C$304,MATCH(B138,Ingredients!$B$5:$B$304,0)),"Add to Ingredients"))</f>
        <v>0</v>
      </c>
      <c r="D138" s="17">
        <f>IF(B138="","",IFERROR(INDEX(Ingredients!$D$5:$D$304,MATCH(B138,Ingredients!$B$5:$B$304,0)),"Add to Ingredients"))</f>
        <v>0</v>
      </c>
      <c r="E138" s="17">
        <f>IF(B138="","",IFERROR(INDEX(Ingredients!$E$5:$E$304,MATCH(B138,Ingredients!$B$5:$B$304,0)),"Add to Ingredients"))</f>
        <v>0</v>
      </c>
      <c r="F138" s="45">
        <f>IF(B138="","",IFERROR(INDEX(Ingredients!$AG$5:$AG$304,MATCH(B138,Ingredients!$B$5:$B$304,0)),""))</f>
        <v>0</v>
      </c>
      <c r="G138" s="17">
        <f>IF(B138="","",IFERROR(INDEX(Ingredients!$G$5:$G$304,MATCH(B138,Ingredients!$B$5:$B$304,0)),"Add to Ingredients"))</f>
        <v>0</v>
      </c>
      <c r="H138" s="45">
        <f>IF(B138="","",IFERROR(INDEX(Ingredients!$AD$5:$AD$304,MATCH(B138,Ingredients!$B$5:$B$304,0)),0))</f>
        <v>0</v>
      </c>
      <c r="I138" s="45">
        <f>IF(F138="","",MAX(0,F138-IF(H138="",0,H138)))</f>
        <v>0</v>
      </c>
      <c r="J138" s="45">
        <f>IF(B138="","",IFERROR(INDEX(Ingredients!$H$5:$H$304,MATCH(B138,Ingredients!$B$5:$B$304,0)),"Add to Ingredients"))</f>
        <v>0</v>
      </c>
      <c r="K138" s="25">
        <f>IF(B138="","",IFERROR(INDEX(Ingredients!$I$5:$I$304,MATCH(B138,Ingredients!$B$5:$B$304,0)),"Add to Ingredients"))</f>
        <v>0</v>
      </c>
      <c r="L138" s="25">
        <f>IF(B138="","",IFERROR(INDEX(Ingredients!$J$5:$J$304,MATCH(B138,Ingredients!$B$5:$B$304,0)),"Add to Ingredients"))</f>
        <v>0</v>
      </c>
      <c r="M138" s="45">
        <f>IF(OR(I138="",I138=0),"",IF(OR(J138="",NOT(ISNUMBER(J138)),J138=0),"",ROUNDUP(I138/J138,0)))</f>
        <v>0</v>
      </c>
      <c r="N138" s="45">
        <f>IF(I138="","",IF(RoundingRule="Exact quantity",I138,IF(M138="",I138,M138*J138)))</f>
        <v>0</v>
      </c>
      <c r="O138" s="25">
        <f>IF(N138="","",IF(RoundingRule="Exact quantity",IF(L138="","",N138*L138),IF(OR(M138="",K138=""),"",M138*K138)))</f>
        <v>0</v>
      </c>
      <c r="P138" s="25">
        <f>IF(B138="","",SUM(O$5:O138))</f>
        <v>0</v>
      </c>
      <c r="Q138" s="45">
        <f>IF(V138="Yes",0,IF(N138="",0,N138))</f>
        <v>0</v>
      </c>
      <c r="R138" s="18">
        <f>IF(OR(B138="",I138=0,I138=""),"",COUNTIFS($I$5:I138,"&gt;0"))</f>
        <v>0</v>
      </c>
      <c r="S138" s="18">
        <f>IF(B138="","",COUNTIFS('Recipe Ingredients'!$D$5:$D$1204,B138,'Recipe Ingredients'!$Y$5:$Y$1204,"&gt;0"))</f>
        <v>0</v>
      </c>
      <c r="T138" s="46">
        <f>IF(B138="","",IF(COUNTIFS('Recipe Ingredients'!$D$5:$D$1204,B138,'Recipe Ingredients'!$Y$5:$Y$1204,"&gt;0",'Recipe Ingredients'!$I$5:$I$1204,"No")=0,"Yes","No"))</f>
        <v>0</v>
      </c>
      <c r="U138" s="17">
        <f>IF(B138="","",IFERROR(INDEX(Ingredients!$W$5:$W$304,MATCH(B138,Ingredients!$B$5:$B$304,0)),"Add to Ingredients"))</f>
        <v>0</v>
      </c>
      <c r="Z138" s="31">
        <f>IF(B138="","",IF(V138="Yes","Bought",IF(I138=0,"In stock",IF(O138="","Check - no price","On the list"))))</f>
        <v>0</v>
      </c>
    </row>
    <row r="139" spans="1:26">
      <c r="A139" s="18">
        <f>ROW()-4</f>
        <v>0</v>
      </c>
      <c r="B139" s="17">
        <f>IFERROR(INDEX(Ingredients!$B$5:$B$304,MATCH(A139,Ingredients!$AL$5:$AL$304,0)),"")</f>
        <v>0</v>
      </c>
      <c r="C139" s="17">
        <f>IF(B139="","",IFERROR(INDEX(Ingredients!$C$5:$C$304,MATCH(B139,Ingredients!$B$5:$B$304,0)),"Add to Ingredients"))</f>
        <v>0</v>
      </c>
      <c r="D139" s="17">
        <f>IF(B139="","",IFERROR(INDEX(Ingredients!$D$5:$D$304,MATCH(B139,Ingredients!$B$5:$B$304,0)),"Add to Ingredients"))</f>
        <v>0</v>
      </c>
      <c r="E139" s="17">
        <f>IF(B139="","",IFERROR(INDEX(Ingredients!$E$5:$E$304,MATCH(B139,Ingredients!$B$5:$B$304,0)),"Add to Ingredients"))</f>
        <v>0</v>
      </c>
      <c r="F139" s="45">
        <f>IF(B139="","",IFERROR(INDEX(Ingredients!$AG$5:$AG$304,MATCH(B139,Ingredients!$B$5:$B$304,0)),""))</f>
        <v>0</v>
      </c>
      <c r="G139" s="17">
        <f>IF(B139="","",IFERROR(INDEX(Ingredients!$G$5:$G$304,MATCH(B139,Ingredients!$B$5:$B$304,0)),"Add to Ingredients"))</f>
        <v>0</v>
      </c>
      <c r="H139" s="45">
        <f>IF(B139="","",IFERROR(INDEX(Ingredients!$AD$5:$AD$304,MATCH(B139,Ingredients!$B$5:$B$304,0)),0))</f>
        <v>0</v>
      </c>
      <c r="I139" s="45">
        <f>IF(F139="","",MAX(0,F139-IF(H139="",0,H139)))</f>
        <v>0</v>
      </c>
      <c r="J139" s="45">
        <f>IF(B139="","",IFERROR(INDEX(Ingredients!$H$5:$H$304,MATCH(B139,Ingredients!$B$5:$B$304,0)),"Add to Ingredients"))</f>
        <v>0</v>
      </c>
      <c r="K139" s="25">
        <f>IF(B139="","",IFERROR(INDEX(Ingredients!$I$5:$I$304,MATCH(B139,Ingredients!$B$5:$B$304,0)),"Add to Ingredients"))</f>
        <v>0</v>
      </c>
      <c r="L139" s="25">
        <f>IF(B139="","",IFERROR(INDEX(Ingredients!$J$5:$J$304,MATCH(B139,Ingredients!$B$5:$B$304,0)),"Add to Ingredients"))</f>
        <v>0</v>
      </c>
      <c r="M139" s="45">
        <f>IF(OR(I139="",I139=0),"",IF(OR(J139="",NOT(ISNUMBER(J139)),J139=0),"",ROUNDUP(I139/J139,0)))</f>
        <v>0</v>
      </c>
      <c r="N139" s="45">
        <f>IF(I139="","",IF(RoundingRule="Exact quantity",I139,IF(M139="",I139,M139*J139)))</f>
        <v>0</v>
      </c>
      <c r="O139" s="25">
        <f>IF(N139="","",IF(RoundingRule="Exact quantity",IF(L139="","",N139*L139),IF(OR(M139="",K139=""),"",M139*K139)))</f>
        <v>0</v>
      </c>
      <c r="P139" s="25">
        <f>IF(B139="","",SUM(O$5:O139))</f>
        <v>0</v>
      </c>
      <c r="Q139" s="45">
        <f>IF(V139="Yes",0,IF(N139="",0,N139))</f>
        <v>0</v>
      </c>
      <c r="R139" s="18">
        <f>IF(OR(B139="",I139=0,I139=""),"",COUNTIFS($I$5:I139,"&gt;0"))</f>
        <v>0</v>
      </c>
      <c r="S139" s="18">
        <f>IF(B139="","",COUNTIFS('Recipe Ingredients'!$D$5:$D$1204,B139,'Recipe Ingredients'!$Y$5:$Y$1204,"&gt;0"))</f>
        <v>0</v>
      </c>
      <c r="T139" s="46">
        <f>IF(B139="","",IF(COUNTIFS('Recipe Ingredients'!$D$5:$D$1204,B139,'Recipe Ingredients'!$Y$5:$Y$1204,"&gt;0",'Recipe Ingredients'!$I$5:$I$1204,"No")=0,"Yes","No"))</f>
        <v>0</v>
      </c>
      <c r="U139" s="17">
        <f>IF(B139="","",IFERROR(INDEX(Ingredients!$W$5:$W$304,MATCH(B139,Ingredients!$B$5:$B$304,0)),"Add to Ingredients"))</f>
        <v>0</v>
      </c>
      <c r="Z139" s="31">
        <f>IF(B139="","",IF(V139="Yes","Bought",IF(I139=0,"In stock",IF(O139="","Check - no price","On the list"))))</f>
        <v>0</v>
      </c>
    </row>
    <row r="140" spans="1:26">
      <c r="A140" s="18">
        <f>ROW()-4</f>
        <v>0</v>
      </c>
      <c r="B140" s="17">
        <f>IFERROR(INDEX(Ingredients!$B$5:$B$304,MATCH(A140,Ingredients!$AL$5:$AL$304,0)),"")</f>
        <v>0</v>
      </c>
      <c r="C140" s="17">
        <f>IF(B140="","",IFERROR(INDEX(Ingredients!$C$5:$C$304,MATCH(B140,Ingredients!$B$5:$B$304,0)),"Add to Ingredients"))</f>
        <v>0</v>
      </c>
      <c r="D140" s="17">
        <f>IF(B140="","",IFERROR(INDEX(Ingredients!$D$5:$D$304,MATCH(B140,Ingredients!$B$5:$B$304,0)),"Add to Ingredients"))</f>
        <v>0</v>
      </c>
      <c r="E140" s="17">
        <f>IF(B140="","",IFERROR(INDEX(Ingredients!$E$5:$E$304,MATCH(B140,Ingredients!$B$5:$B$304,0)),"Add to Ingredients"))</f>
        <v>0</v>
      </c>
      <c r="F140" s="45">
        <f>IF(B140="","",IFERROR(INDEX(Ingredients!$AG$5:$AG$304,MATCH(B140,Ingredients!$B$5:$B$304,0)),""))</f>
        <v>0</v>
      </c>
      <c r="G140" s="17">
        <f>IF(B140="","",IFERROR(INDEX(Ingredients!$G$5:$G$304,MATCH(B140,Ingredients!$B$5:$B$304,0)),"Add to Ingredients"))</f>
        <v>0</v>
      </c>
      <c r="H140" s="45">
        <f>IF(B140="","",IFERROR(INDEX(Ingredients!$AD$5:$AD$304,MATCH(B140,Ingredients!$B$5:$B$304,0)),0))</f>
        <v>0</v>
      </c>
      <c r="I140" s="45">
        <f>IF(F140="","",MAX(0,F140-IF(H140="",0,H140)))</f>
        <v>0</v>
      </c>
      <c r="J140" s="45">
        <f>IF(B140="","",IFERROR(INDEX(Ingredients!$H$5:$H$304,MATCH(B140,Ingredients!$B$5:$B$304,0)),"Add to Ingredients"))</f>
        <v>0</v>
      </c>
      <c r="K140" s="25">
        <f>IF(B140="","",IFERROR(INDEX(Ingredients!$I$5:$I$304,MATCH(B140,Ingredients!$B$5:$B$304,0)),"Add to Ingredients"))</f>
        <v>0</v>
      </c>
      <c r="L140" s="25">
        <f>IF(B140="","",IFERROR(INDEX(Ingredients!$J$5:$J$304,MATCH(B140,Ingredients!$B$5:$B$304,0)),"Add to Ingredients"))</f>
        <v>0</v>
      </c>
      <c r="M140" s="45">
        <f>IF(OR(I140="",I140=0),"",IF(OR(J140="",NOT(ISNUMBER(J140)),J140=0),"",ROUNDUP(I140/J140,0)))</f>
        <v>0</v>
      </c>
      <c r="N140" s="45">
        <f>IF(I140="","",IF(RoundingRule="Exact quantity",I140,IF(M140="",I140,M140*J140)))</f>
        <v>0</v>
      </c>
      <c r="O140" s="25">
        <f>IF(N140="","",IF(RoundingRule="Exact quantity",IF(L140="","",N140*L140),IF(OR(M140="",K140=""),"",M140*K140)))</f>
        <v>0</v>
      </c>
      <c r="P140" s="25">
        <f>IF(B140="","",SUM(O$5:O140))</f>
        <v>0</v>
      </c>
      <c r="Q140" s="45">
        <f>IF(V140="Yes",0,IF(N140="",0,N140))</f>
        <v>0</v>
      </c>
      <c r="R140" s="18">
        <f>IF(OR(B140="",I140=0,I140=""),"",COUNTIFS($I$5:I140,"&gt;0"))</f>
        <v>0</v>
      </c>
      <c r="S140" s="18">
        <f>IF(B140="","",COUNTIFS('Recipe Ingredients'!$D$5:$D$1204,B140,'Recipe Ingredients'!$Y$5:$Y$1204,"&gt;0"))</f>
        <v>0</v>
      </c>
      <c r="T140" s="46">
        <f>IF(B140="","",IF(COUNTIFS('Recipe Ingredients'!$D$5:$D$1204,B140,'Recipe Ingredients'!$Y$5:$Y$1204,"&gt;0",'Recipe Ingredients'!$I$5:$I$1204,"No")=0,"Yes","No"))</f>
        <v>0</v>
      </c>
      <c r="U140" s="17">
        <f>IF(B140="","",IFERROR(INDEX(Ingredients!$W$5:$W$304,MATCH(B140,Ingredients!$B$5:$B$304,0)),"Add to Ingredients"))</f>
        <v>0</v>
      </c>
      <c r="Z140" s="31">
        <f>IF(B140="","",IF(V140="Yes","Bought",IF(I140=0,"In stock",IF(O140="","Check - no price","On the list"))))</f>
        <v>0</v>
      </c>
    </row>
    <row r="141" spans="1:26">
      <c r="A141" s="18">
        <f>ROW()-4</f>
        <v>0</v>
      </c>
      <c r="B141" s="17">
        <f>IFERROR(INDEX(Ingredients!$B$5:$B$304,MATCH(A141,Ingredients!$AL$5:$AL$304,0)),"")</f>
        <v>0</v>
      </c>
      <c r="C141" s="17">
        <f>IF(B141="","",IFERROR(INDEX(Ingredients!$C$5:$C$304,MATCH(B141,Ingredients!$B$5:$B$304,0)),"Add to Ingredients"))</f>
        <v>0</v>
      </c>
      <c r="D141" s="17">
        <f>IF(B141="","",IFERROR(INDEX(Ingredients!$D$5:$D$304,MATCH(B141,Ingredients!$B$5:$B$304,0)),"Add to Ingredients"))</f>
        <v>0</v>
      </c>
      <c r="E141" s="17">
        <f>IF(B141="","",IFERROR(INDEX(Ingredients!$E$5:$E$304,MATCH(B141,Ingredients!$B$5:$B$304,0)),"Add to Ingredients"))</f>
        <v>0</v>
      </c>
      <c r="F141" s="45">
        <f>IF(B141="","",IFERROR(INDEX(Ingredients!$AG$5:$AG$304,MATCH(B141,Ingredients!$B$5:$B$304,0)),""))</f>
        <v>0</v>
      </c>
      <c r="G141" s="17">
        <f>IF(B141="","",IFERROR(INDEX(Ingredients!$G$5:$G$304,MATCH(B141,Ingredients!$B$5:$B$304,0)),"Add to Ingredients"))</f>
        <v>0</v>
      </c>
      <c r="H141" s="45">
        <f>IF(B141="","",IFERROR(INDEX(Ingredients!$AD$5:$AD$304,MATCH(B141,Ingredients!$B$5:$B$304,0)),0))</f>
        <v>0</v>
      </c>
      <c r="I141" s="45">
        <f>IF(F141="","",MAX(0,F141-IF(H141="",0,H141)))</f>
        <v>0</v>
      </c>
      <c r="J141" s="45">
        <f>IF(B141="","",IFERROR(INDEX(Ingredients!$H$5:$H$304,MATCH(B141,Ingredients!$B$5:$B$304,0)),"Add to Ingredients"))</f>
        <v>0</v>
      </c>
      <c r="K141" s="25">
        <f>IF(B141="","",IFERROR(INDEX(Ingredients!$I$5:$I$304,MATCH(B141,Ingredients!$B$5:$B$304,0)),"Add to Ingredients"))</f>
        <v>0</v>
      </c>
      <c r="L141" s="25">
        <f>IF(B141="","",IFERROR(INDEX(Ingredients!$J$5:$J$304,MATCH(B141,Ingredients!$B$5:$B$304,0)),"Add to Ingredients"))</f>
        <v>0</v>
      </c>
      <c r="M141" s="45">
        <f>IF(OR(I141="",I141=0),"",IF(OR(J141="",NOT(ISNUMBER(J141)),J141=0),"",ROUNDUP(I141/J141,0)))</f>
        <v>0</v>
      </c>
      <c r="N141" s="45">
        <f>IF(I141="","",IF(RoundingRule="Exact quantity",I141,IF(M141="",I141,M141*J141)))</f>
        <v>0</v>
      </c>
      <c r="O141" s="25">
        <f>IF(N141="","",IF(RoundingRule="Exact quantity",IF(L141="","",N141*L141),IF(OR(M141="",K141=""),"",M141*K141)))</f>
        <v>0</v>
      </c>
      <c r="P141" s="25">
        <f>IF(B141="","",SUM(O$5:O141))</f>
        <v>0</v>
      </c>
      <c r="Q141" s="45">
        <f>IF(V141="Yes",0,IF(N141="",0,N141))</f>
        <v>0</v>
      </c>
      <c r="R141" s="18">
        <f>IF(OR(B141="",I141=0,I141=""),"",COUNTIFS($I$5:I141,"&gt;0"))</f>
        <v>0</v>
      </c>
      <c r="S141" s="18">
        <f>IF(B141="","",COUNTIFS('Recipe Ingredients'!$D$5:$D$1204,B141,'Recipe Ingredients'!$Y$5:$Y$1204,"&gt;0"))</f>
        <v>0</v>
      </c>
      <c r="T141" s="46">
        <f>IF(B141="","",IF(COUNTIFS('Recipe Ingredients'!$D$5:$D$1204,B141,'Recipe Ingredients'!$Y$5:$Y$1204,"&gt;0",'Recipe Ingredients'!$I$5:$I$1204,"No")=0,"Yes","No"))</f>
        <v>0</v>
      </c>
      <c r="U141" s="17">
        <f>IF(B141="","",IFERROR(INDEX(Ingredients!$W$5:$W$304,MATCH(B141,Ingredients!$B$5:$B$304,0)),"Add to Ingredients"))</f>
        <v>0</v>
      </c>
      <c r="Z141" s="31">
        <f>IF(B141="","",IF(V141="Yes","Bought",IF(I141=0,"In stock",IF(O141="","Check - no price","On the list"))))</f>
        <v>0</v>
      </c>
    </row>
    <row r="142" spans="1:26">
      <c r="A142" s="18">
        <f>ROW()-4</f>
        <v>0</v>
      </c>
      <c r="B142" s="17">
        <f>IFERROR(INDEX(Ingredients!$B$5:$B$304,MATCH(A142,Ingredients!$AL$5:$AL$304,0)),"")</f>
        <v>0</v>
      </c>
      <c r="C142" s="17">
        <f>IF(B142="","",IFERROR(INDEX(Ingredients!$C$5:$C$304,MATCH(B142,Ingredients!$B$5:$B$304,0)),"Add to Ingredients"))</f>
        <v>0</v>
      </c>
      <c r="D142" s="17">
        <f>IF(B142="","",IFERROR(INDEX(Ingredients!$D$5:$D$304,MATCH(B142,Ingredients!$B$5:$B$304,0)),"Add to Ingredients"))</f>
        <v>0</v>
      </c>
      <c r="E142" s="17">
        <f>IF(B142="","",IFERROR(INDEX(Ingredients!$E$5:$E$304,MATCH(B142,Ingredients!$B$5:$B$304,0)),"Add to Ingredients"))</f>
        <v>0</v>
      </c>
      <c r="F142" s="45">
        <f>IF(B142="","",IFERROR(INDEX(Ingredients!$AG$5:$AG$304,MATCH(B142,Ingredients!$B$5:$B$304,0)),""))</f>
        <v>0</v>
      </c>
      <c r="G142" s="17">
        <f>IF(B142="","",IFERROR(INDEX(Ingredients!$G$5:$G$304,MATCH(B142,Ingredients!$B$5:$B$304,0)),"Add to Ingredients"))</f>
        <v>0</v>
      </c>
      <c r="H142" s="45">
        <f>IF(B142="","",IFERROR(INDEX(Ingredients!$AD$5:$AD$304,MATCH(B142,Ingredients!$B$5:$B$304,0)),0))</f>
        <v>0</v>
      </c>
      <c r="I142" s="45">
        <f>IF(F142="","",MAX(0,F142-IF(H142="",0,H142)))</f>
        <v>0</v>
      </c>
      <c r="J142" s="45">
        <f>IF(B142="","",IFERROR(INDEX(Ingredients!$H$5:$H$304,MATCH(B142,Ingredients!$B$5:$B$304,0)),"Add to Ingredients"))</f>
        <v>0</v>
      </c>
      <c r="K142" s="25">
        <f>IF(B142="","",IFERROR(INDEX(Ingredients!$I$5:$I$304,MATCH(B142,Ingredients!$B$5:$B$304,0)),"Add to Ingredients"))</f>
        <v>0</v>
      </c>
      <c r="L142" s="25">
        <f>IF(B142="","",IFERROR(INDEX(Ingredients!$J$5:$J$304,MATCH(B142,Ingredients!$B$5:$B$304,0)),"Add to Ingredients"))</f>
        <v>0</v>
      </c>
      <c r="M142" s="45">
        <f>IF(OR(I142="",I142=0),"",IF(OR(J142="",NOT(ISNUMBER(J142)),J142=0),"",ROUNDUP(I142/J142,0)))</f>
        <v>0</v>
      </c>
      <c r="N142" s="45">
        <f>IF(I142="","",IF(RoundingRule="Exact quantity",I142,IF(M142="",I142,M142*J142)))</f>
        <v>0</v>
      </c>
      <c r="O142" s="25">
        <f>IF(N142="","",IF(RoundingRule="Exact quantity",IF(L142="","",N142*L142),IF(OR(M142="",K142=""),"",M142*K142)))</f>
        <v>0</v>
      </c>
      <c r="P142" s="25">
        <f>IF(B142="","",SUM(O$5:O142))</f>
        <v>0</v>
      </c>
      <c r="Q142" s="45">
        <f>IF(V142="Yes",0,IF(N142="",0,N142))</f>
        <v>0</v>
      </c>
      <c r="R142" s="18">
        <f>IF(OR(B142="",I142=0,I142=""),"",COUNTIFS($I$5:I142,"&gt;0"))</f>
        <v>0</v>
      </c>
      <c r="S142" s="18">
        <f>IF(B142="","",COUNTIFS('Recipe Ingredients'!$D$5:$D$1204,B142,'Recipe Ingredients'!$Y$5:$Y$1204,"&gt;0"))</f>
        <v>0</v>
      </c>
      <c r="T142" s="46">
        <f>IF(B142="","",IF(COUNTIFS('Recipe Ingredients'!$D$5:$D$1204,B142,'Recipe Ingredients'!$Y$5:$Y$1204,"&gt;0",'Recipe Ingredients'!$I$5:$I$1204,"No")=0,"Yes","No"))</f>
        <v>0</v>
      </c>
      <c r="U142" s="17">
        <f>IF(B142="","",IFERROR(INDEX(Ingredients!$W$5:$W$304,MATCH(B142,Ingredients!$B$5:$B$304,0)),"Add to Ingredients"))</f>
        <v>0</v>
      </c>
      <c r="Z142" s="31">
        <f>IF(B142="","",IF(V142="Yes","Bought",IF(I142=0,"In stock",IF(O142="","Check - no price","On the list"))))</f>
        <v>0</v>
      </c>
    </row>
    <row r="143" spans="1:26">
      <c r="A143" s="18">
        <f>ROW()-4</f>
        <v>0</v>
      </c>
      <c r="B143" s="17">
        <f>IFERROR(INDEX(Ingredients!$B$5:$B$304,MATCH(A143,Ingredients!$AL$5:$AL$304,0)),"")</f>
        <v>0</v>
      </c>
      <c r="C143" s="17">
        <f>IF(B143="","",IFERROR(INDEX(Ingredients!$C$5:$C$304,MATCH(B143,Ingredients!$B$5:$B$304,0)),"Add to Ingredients"))</f>
        <v>0</v>
      </c>
      <c r="D143" s="17">
        <f>IF(B143="","",IFERROR(INDEX(Ingredients!$D$5:$D$304,MATCH(B143,Ingredients!$B$5:$B$304,0)),"Add to Ingredients"))</f>
        <v>0</v>
      </c>
      <c r="E143" s="17">
        <f>IF(B143="","",IFERROR(INDEX(Ingredients!$E$5:$E$304,MATCH(B143,Ingredients!$B$5:$B$304,0)),"Add to Ingredients"))</f>
        <v>0</v>
      </c>
      <c r="F143" s="45">
        <f>IF(B143="","",IFERROR(INDEX(Ingredients!$AG$5:$AG$304,MATCH(B143,Ingredients!$B$5:$B$304,0)),""))</f>
        <v>0</v>
      </c>
      <c r="G143" s="17">
        <f>IF(B143="","",IFERROR(INDEX(Ingredients!$G$5:$G$304,MATCH(B143,Ingredients!$B$5:$B$304,0)),"Add to Ingredients"))</f>
        <v>0</v>
      </c>
      <c r="H143" s="45">
        <f>IF(B143="","",IFERROR(INDEX(Ingredients!$AD$5:$AD$304,MATCH(B143,Ingredients!$B$5:$B$304,0)),0))</f>
        <v>0</v>
      </c>
      <c r="I143" s="45">
        <f>IF(F143="","",MAX(0,F143-IF(H143="",0,H143)))</f>
        <v>0</v>
      </c>
      <c r="J143" s="45">
        <f>IF(B143="","",IFERROR(INDEX(Ingredients!$H$5:$H$304,MATCH(B143,Ingredients!$B$5:$B$304,0)),"Add to Ingredients"))</f>
        <v>0</v>
      </c>
      <c r="K143" s="25">
        <f>IF(B143="","",IFERROR(INDEX(Ingredients!$I$5:$I$304,MATCH(B143,Ingredients!$B$5:$B$304,0)),"Add to Ingredients"))</f>
        <v>0</v>
      </c>
      <c r="L143" s="25">
        <f>IF(B143="","",IFERROR(INDEX(Ingredients!$J$5:$J$304,MATCH(B143,Ingredients!$B$5:$B$304,0)),"Add to Ingredients"))</f>
        <v>0</v>
      </c>
      <c r="M143" s="45">
        <f>IF(OR(I143="",I143=0),"",IF(OR(J143="",NOT(ISNUMBER(J143)),J143=0),"",ROUNDUP(I143/J143,0)))</f>
        <v>0</v>
      </c>
      <c r="N143" s="45">
        <f>IF(I143="","",IF(RoundingRule="Exact quantity",I143,IF(M143="",I143,M143*J143)))</f>
        <v>0</v>
      </c>
      <c r="O143" s="25">
        <f>IF(N143="","",IF(RoundingRule="Exact quantity",IF(L143="","",N143*L143),IF(OR(M143="",K143=""),"",M143*K143)))</f>
        <v>0</v>
      </c>
      <c r="P143" s="25">
        <f>IF(B143="","",SUM(O$5:O143))</f>
        <v>0</v>
      </c>
      <c r="Q143" s="45">
        <f>IF(V143="Yes",0,IF(N143="",0,N143))</f>
        <v>0</v>
      </c>
      <c r="R143" s="18">
        <f>IF(OR(B143="",I143=0,I143=""),"",COUNTIFS($I$5:I143,"&gt;0"))</f>
        <v>0</v>
      </c>
      <c r="S143" s="18">
        <f>IF(B143="","",COUNTIFS('Recipe Ingredients'!$D$5:$D$1204,B143,'Recipe Ingredients'!$Y$5:$Y$1204,"&gt;0"))</f>
        <v>0</v>
      </c>
      <c r="T143" s="46">
        <f>IF(B143="","",IF(COUNTIFS('Recipe Ingredients'!$D$5:$D$1204,B143,'Recipe Ingredients'!$Y$5:$Y$1204,"&gt;0",'Recipe Ingredients'!$I$5:$I$1204,"No")=0,"Yes","No"))</f>
        <v>0</v>
      </c>
      <c r="U143" s="17">
        <f>IF(B143="","",IFERROR(INDEX(Ingredients!$W$5:$W$304,MATCH(B143,Ingredients!$B$5:$B$304,0)),"Add to Ingredients"))</f>
        <v>0</v>
      </c>
      <c r="Z143" s="31">
        <f>IF(B143="","",IF(V143="Yes","Bought",IF(I143=0,"In stock",IF(O143="","Check - no price","On the list"))))</f>
        <v>0</v>
      </c>
    </row>
    <row r="144" spans="1:26">
      <c r="A144" s="18">
        <f>ROW()-4</f>
        <v>0</v>
      </c>
      <c r="B144" s="17">
        <f>IFERROR(INDEX(Ingredients!$B$5:$B$304,MATCH(A144,Ingredients!$AL$5:$AL$304,0)),"")</f>
        <v>0</v>
      </c>
      <c r="C144" s="17">
        <f>IF(B144="","",IFERROR(INDEX(Ingredients!$C$5:$C$304,MATCH(B144,Ingredients!$B$5:$B$304,0)),"Add to Ingredients"))</f>
        <v>0</v>
      </c>
      <c r="D144" s="17">
        <f>IF(B144="","",IFERROR(INDEX(Ingredients!$D$5:$D$304,MATCH(B144,Ingredients!$B$5:$B$304,0)),"Add to Ingredients"))</f>
        <v>0</v>
      </c>
      <c r="E144" s="17">
        <f>IF(B144="","",IFERROR(INDEX(Ingredients!$E$5:$E$304,MATCH(B144,Ingredients!$B$5:$B$304,0)),"Add to Ingredients"))</f>
        <v>0</v>
      </c>
      <c r="F144" s="45">
        <f>IF(B144="","",IFERROR(INDEX(Ingredients!$AG$5:$AG$304,MATCH(B144,Ingredients!$B$5:$B$304,0)),""))</f>
        <v>0</v>
      </c>
      <c r="G144" s="17">
        <f>IF(B144="","",IFERROR(INDEX(Ingredients!$G$5:$G$304,MATCH(B144,Ingredients!$B$5:$B$304,0)),"Add to Ingredients"))</f>
        <v>0</v>
      </c>
      <c r="H144" s="45">
        <f>IF(B144="","",IFERROR(INDEX(Ingredients!$AD$5:$AD$304,MATCH(B144,Ingredients!$B$5:$B$304,0)),0))</f>
        <v>0</v>
      </c>
      <c r="I144" s="45">
        <f>IF(F144="","",MAX(0,F144-IF(H144="",0,H144)))</f>
        <v>0</v>
      </c>
      <c r="J144" s="45">
        <f>IF(B144="","",IFERROR(INDEX(Ingredients!$H$5:$H$304,MATCH(B144,Ingredients!$B$5:$B$304,0)),"Add to Ingredients"))</f>
        <v>0</v>
      </c>
      <c r="K144" s="25">
        <f>IF(B144="","",IFERROR(INDEX(Ingredients!$I$5:$I$304,MATCH(B144,Ingredients!$B$5:$B$304,0)),"Add to Ingredients"))</f>
        <v>0</v>
      </c>
      <c r="L144" s="25">
        <f>IF(B144="","",IFERROR(INDEX(Ingredients!$J$5:$J$304,MATCH(B144,Ingredients!$B$5:$B$304,0)),"Add to Ingredients"))</f>
        <v>0</v>
      </c>
      <c r="M144" s="45">
        <f>IF(OR(I144="",I144=0),"",IF(OR(J144="",NOT(ISNUMBER(J144)),J144=0),"",ROUNDUP(I144/J144,0)))</f>
        <v>0</v>
      </c>
      <c r="N144" s="45">
        <f>IF(I144="","",IF(RoundingRule="Exact quantity",I144,IF(M144="",I144,M144*J144)))</f>
        <v>0</v>
      </c>
      <c r="O144" s="25">
        <f>IF(N144="","",IF(RoundingRule="Exact quantity",IF(L144="","",N144*L144),IF(OR(M144="",K144=""),"",M144*K144)))</f>
        <v>0</v>
      </c>
      <c r="P144" s="25">
        <f>IF(B144="","",SUM(O$5:O144))</f>
        <v>0</v>
      </c>
      <c r="Q144" s="45">
        <f>IF(V144="Yes",0,IF(N144="",0,N144))</f>
        <v>0</v>
      </c>
      <c r="R144" s="18">
        <f>IF(OR(B144="",I144=0,I144=""),"",COUNTIFS($I$5:I144,"&gt;0"))</f>
        <v>0</v>
      </c>
      <c r="S144" s="18">
        <f>IF(B144="","",COUNTIFS('Recipe Ingredients'!$D$5:$D$1204,B144,'Recipe Ingredients'!$Y$5:$Y$1204,"&gt;0"))</f>
        <v>0</v>
      </c>
      <c r="T144" s="46">
        <f>IF(B144="","",IF(COUNTIFS('Recipe Ingredients'!$D$5:$D$1204,B144,'Recipe Ingredients'!$Y$5:$Y$1204,"&gt;0",'Recipe Ingredients'!$I$5:$I$1204,"No")=0,"Yes","No"))</f>
        <v>0</v>
      </c>
      <c r="U144" s="17">
        <f>IF(B144="","",IFERROR(INDEX(Ingredients!$W$5:$W$304,MATCH(B144,Ingredients!$B$5:$B$304,0)),"Add to Ingredients"))</f>
        <v>0</v>
      </c>
      <c r="Z144" s="31">
        <f>IF(B144="","",IF(V144="Yes","Bought",IF(I144=0,"In stock",IF(O144="","Check - no price","On the list"))))</f>
        <v>0</v>
      </c>
    </row>
    <row r="145" spans="1:26">
      <c r="A145" s="18">
        <f>ROW()-4</f>
        <v>0</v>
      </c>
      <c r="B145" s="17">
        <f>IFERROR(INDEX(Ingredients!$B$5:$B$304,MATCH(A145,Ingredients!$AL$5:$AL$304,0)),"")</f>
        <v>0</v>
      </c>
      <c r="C145" s="17">
        <f>IF(B145="","",IFERROR(INDEX(Ingredients!$C$5:$C$304,MATCH(B145,Ingredients!$B$5:$B$304,0)),"Add to Ingredients"))</f>
        <v>0</v>
      </c>
      <c r="D145" s="17">
        <f>IF(B145="","",IFERROR(INDEX(Ingredients!$D$5:$D$304,MATCH(B145,Ingredients!$B$5:$B$304,0)),"Add to Ingredients"))</f>
        <v>0</v>
      </c>
      <c r="E145" s="17">
        <f>IF(B145="","",IFERROR(INDEX(Ingredients!$E$5:$E$304,MATCH(B145,Ingredients!$B$5:$B$304,0)),"Add to Ingredients"))</f>
        <v>0</v>
      </c>
      <c r="F145" s="45">
        <f>IF(B145="","",IFERROR(INDEX(Ingredients!$AG$5:$AG$304,MATCH(B145,Ingredients!$B$5:$B$304,0)),""))</f>
        <v>0</v>
      </c>
      <c r="G145" s="17">
        <f>IF(B145="","",IFERROR(INDEX(Ingredients!$G$5:$G$304,MATCH(B145,Ingredients!$B$5:$B$304,0)),"Add to Ingredients"))</f>
        <v>0</v>
      </c>
      <c r="H145" s="45">
        <f>IF(B145="","",IFERROR(INDEX(Ingredients!$AD$5:$AD$304,MATCH(B145,Ingredients!$B$5:$B$304,0)),0))</f>
        <v>0</v>
      </c>
      <c r="I145" s="45">
        <f>IF(F145="","",MAX(0,F145-IF(H145="",0,H145)))</f>
        <v>0</v>
      </c>
      <c r="J145" s="45">
        <f>IF(B145="","",IFERROR(INDEX(Ingredients!$H$5:$H$304,MATCH(B145,Ingredients!$B$5:$B$304,0)),"Add to Ingredients"))</f>
        <v>0</v>
      </c>
      <c r="K145" s="25">
        <f>IF(B145="","",IFERROR(INDEX(Ingredients!$I$5:$I$304,MATCH(B145,Ingredients!$B$5:$B$304,0)),"Add to Ingredients"))</f>
        <v>0</v>
      </c>
      <c r="L145" s="25">
        <f>IF(B145="","",IFERROR(INDEX(Ingredients!$J$5:$J$304,MATCH(B145,Ingredients!$B$5:$B$304,0)),"Add to Ingredients"))</f>
        <v>0</v>
      </c>
      <c r="M145" s="45">
        <f>IF(OR(I145="",I145=0),"",IF(OR(J145="",NOT(ISNUMBER(J145)),J145=0),"",ROUNDUP(I145/J145,0)))</f>
        <v>0</v>
      </c>
      <c r="N145" s="45">
        <f>IF(I145="","",IF(RoundingRule="Exact quantity",I145,IF(M145="",I145,M145*J145)))</f>
        <v>0</v>
      </c>
      <c r="O145" s="25">
        <f>IF(N145="","",IF(RoundingRule="Exact quantity",IF(L145="","",N145*L145),IF(OR(M145="",K145=""),"",M145*K145)))</f>
        <v>0</v>
      </c>
      <c r="P145" s="25">
        <f>IF(B145="","",SUM(O$5:O145))</f>
        <v>0</v>
      </c>
      <c r="Q145" s="45">
        <f>IF(V145="Yes",0,IF(N145="",0,N145))</f>
        <v>0</v>
      </c>
      <c r="R145" s="18">
        <f>IF(OR(B145="",I145=0,I145=""),"",COUNTIFS($I$5:I145,"&gt;0"))</f>
        <v>0</v>
      </c>
      <c r="S145" s="18">
        <f>IF(B145="","",COUNTIFS('Recipe Ingredients'!$D$5:$D$1204,B145,'Recipe Ingredients'!$Y$5:$Y$1204,"&gt;0"))</f>
        <v>0</v>
      </c>
      <c r="T145" s="46">
        <f>IF(B145="","",IF(COUNTIFS('Recipe Ingredients'!$D$5:$D$1204,B145,'Recipe Ingredients'!$Y$5:$Y$1204,"&gt;0",'Recipe Ingredients'!$I$5:$I$1204,"No")=0,"Yes","No"))</f>
        <v>0</v>
      </c>
      <c r="U145" s="17">
        <f>IF(B145="","",IFERROR(INDEX(Ingredients!$W$5:$W$304,MATCH(B145,Ingredients!$B$5:$B$304,0)),"Add to Ingredients"))</f>
        <v>0</v>
      </c>
      <c r="Z145" s="31">
        <f>IF(B145="","",IF(V145="Yes","Bought",IF(I145=0,"In stock",IF(O145="","Check - no price","On the list"))))</f>
        <v>0</v>
      </c>
    </row>
    <row r="146" spans="1:26">
      <c r="A146" s="18">
        <f>ROW()-4</f>
        <v>0</v>
      </c>
      <c r="B146" s="17">
        <f>IFERROR(INDEX(Ingredients!$B$5:$B$304,MATCH(A146,Ingredients!$AL$5:$AL$304,0)),"")</f>
        <v>0</v>
      </c>
      <c r="C146" s="17">
        <f>IF(B146="","",IFERROR(INDEX(Ingredients!$C$5:$C$304,MATCH(B146,Ingredients!$B$5:$B$304,0)),"Add to Ingredients"))</f>
        <v>0</v>
      </c>
      <c r="D146" s="17">
        <f>IF(B146="","",IFERROR(INDEX(Ingredients!$D$5:$D$304,MATCH(B146,Ingredients!$B$5:$B$304,0)),"Add to Ingredients"))</f>
        <v>0</v>
      </c>
      <c r="E146" s="17">
        <f>IF(B146="","",IFERROR(INDEX(Ingredients!$E$5:$E$304,MATCH(B146,Ingredients!$B$5:$B$304,0)),"Add to Ingredients"))</f>
        <v>0</v>
      </c>
      <c r="F146" s="45">
        <f>IF(B146="","",IFERROR(INDEX(Ingredients!$AG$5:$AG$304,MATCH(B146,Ingredients!$B$5:$B$304,0)),""))</f>
        <v>0</v>
      </c>
      <c r="G146" s="17">
        <f>IF(B146="","",IFERROR(INDEX(Ingredients!$G$5:$G$304,MATCH(B146,Ingredients!$B$5:$B$304,0)),"Add to Ingredients"))</f>
        <v>0</v>
      </c>
      <c r="H146" s="45">
        <f>IF(B146="","",IFERROR(INDEX(Ingredients!$AD$5:$AD$304,MATCH(B146,Ingredients!$B$5:$B$304,0)),0))</f>
        <v>0</v>
      </c>
      <c r="I146" s="45">
        <f>IF(F146="","",MAX(0,F146-IF(H146="",0,H146)))</f>
        <v>0</v>
      </c>
      <c r="J146" s="45">
        <f>IF(B146="","",IFERROR(INDEX(Ingredients!$H$5:$H$304,MATCH(B146,Ingredients!$B$5:$B$304,0)),"Add to Ingredients"))</f>
        <v>0</v>
      </c>
      <c r="K146" s="25">
        <f>IF(B146="","",IFERROR(INDEX(Ingredients!$I$5:$I$304,MATCH(B146,Ingredients!$B$5:$B$304,0)),"Add to Ingredients"))</f>
        <v>0</v>
      </c>
      <c r="L146" s="25">
        <f>IF(B146="","",IFERROR(INDEX(Ingredients!$J$5:$J$304,MATCH(B146,Ingredients!$B$5:$B$304,0)),"Add to Ingredients"))</f>
        <v>0</v>
      </c>
      <c r="M146" s="45">
        <f>IF(OR(I146="",I146=0),"",IF(OR(J146="",NOT(ISNUMBER(J146)),J146=0),"",ROUNDUP(I146/J146,0)))</f>
        <v>0</v>
      </c>
      <c r="N146" s="45">
        <f>IF(I146="","",IF(RoundingRule="Exact quantity",I146,IF(M146="",I146,M146*J146)))</f>
        <v>0</v>
      </c>
      <c r="O146" s="25">
        <f>IF(N146="","",IF(RoundingRule="Exact quantity",IF(L146="","",N146*L146),IF(OR(M146="",K146=""),"",M146*K146)))</f>
        <v>0</v>
      </c>
      <c r="P146" s="25">
        <f>IF(B146="","",SUM(O$5:O146))</f>
        <v>0</v>
      </c>
      <c r="Q146" s="45">
        <f>IF(V146="Yes",0,IF(N146="",0,N146))</f>
        <v>0</v>
      </c>
      <c r="R146" s="18">
        <f>IF(OR(B146="",I146=0,I146=""),"",COUNTIFS($I$5:I146,"&gt;0"))</f>
        <v>0</v>
      </c>
      <c r="S146" s="18">
        <f>IF(B146="","",COUNTIFS('Recipe Ingredients'!$D$5:$D$1204,B146,'Recipe Ingredients'!$Y$5:$Y$1204,"&gt;0"))</f>
        <v>0</v>
      </c>
      <c r="T146" s="46">
        <f>IF(B146="","",IF(COUNTIFS('Recipe Ingredients'!$D$5:$D$1204,B146,'Recipe Ingredients'!$Y$5:$Y$1204,"&gt;0",'Recipe Ingredients'!$I$5:$I$1204,"No")=0,"Yes","No"))</f>
        <v>0</v>
      </c>
      <c r="U146" s="17">
        <f>IF(B146="","",IFERROR(INDEX(Ingredients!$W$5:$W$304,MATCH(B146,Ingredients!$B$5:$B$304,0)),"Add to Ingredients"))</f>
        <v>0</v>
      </c>
      <c r="Z146" s="31">
        <f>IF(B146="","",IF(V146="Yes","Bought",IF(I146=0,"In stock",IF(O146="","Check - no price","On the list"))))</f>
        <v>0</v>
      </c>
    </row>
    <row r="147" spans="1:26">
      <c r="A147" s="18">
        <f>ROW()-4</f>
        <v>0</v>
      </c>
      <c r="B147" s="17">
        <f>IFERROR(INDEX(Ingredients!$B$5:$B$304,MATCH(A147,Ingredients!$AL$5:$AL$304,0)),"")</f>
        <v>0</v>
      </c>
      <c r="C147" s="17">
        <f>IF(B147="","",IFERROR(INDEX(Ingredients!$C$5:$C$304,MATCH(B147,Ingredients!$B$5:$B$304,0)),"Add to Ingredients"))</f>
        <v>0</v>
      </c>
      <c r="D147" s="17">
        <f>IF(B147="","",IFERROR(INDEX(Ingredients!$D$5:$D$304,MATCH(B147,Ingredients!$B$5:$B$304,0)),"Add to Ingredients"))</f>
        <v>0</v>
      </c>
      <c r="E147" s="17">
        <f>IF(B147="","",IFERROR(INDEX(Ingredients!$E$5:$E$304,MATCH(B147,Ingredients!$B$5:$B$304,0)),"Add to Ingredients"))</f>
        <v>0</v>
      </c>
      <c r="F147" s="45">
        <f>IF(B147="","",IFERROR(INDEX(Ingredients!$AG$5:$AG$304,MATCH(B147,Ingredients!$B$5:$B$304,0)),""))</f>
        <v>0</v>
      </c>
      <c r="G147" s="17">
        <f>IF(B147="","",IFERROR(INDEX(Ingredients!$G$5:$G$304,MATCH(B147,Ingredients!$B$5:$B$304,0)),"Add to Ingredients"))</f>
        <v>0</v>
      </c>
      <c r="H147" s="45">
        <f>IF(B147="","",IFERROR(INDEX(Ingredients!$AD$5:$AD$304,MATCH(B147,Ingredients!$B$5:$B$304,0)),0))</f>
        <v>0</v>
      </c>
      <c r="I147" s="45">
        <f>IF(F147="","",MAX(0,F147-IF(H147="",0,H147)))</f>
        <v>0</v>
      </c>
      <c r="J147" s="45">
        <f>IF(B147="","",IFERROR(INDEX(Ingredients!$H$5:$H$304,MATCH(B147,Ingredients!$B$5:$B$304,0)),"Add to Ingredients"))</f>
        <v>0</v>
      </c>
      <c r="K147" s="25">
        <f>IF(B147="","",IFERROR(INDEX(Ingredients!$I$5:$I$304,MATCH(B147,Ingredients!$B$5:$B$304,0)),"Add to Ingredients"))</f>
        <v>0</v>
      </c>
      <c r="L147" s="25">
        <f>IF(B147="","",IFERROR(INDEX(Ingredients!$J$5:$J$304,MATCH(B147,Ingredients!$B$5:$B$304,0)),"Add to Ingredients"))</f>
        <v>0</v>
      </c>
      <c r="M147" s="45">
        <f>IF(OR(I147="",I147=0),"",IF(OR(J147="",NOT(ISNUMBER(J147)),J147=0),"",ROUNDUP(I147/J147,0)))</f>
        <v>0</v>
      </c>
      <c r="N147" s="45">
        <f>IF(I147="","",IF(RoundingRule="Exact quantity",I147,IF(M147="",I147,M147*J147)))</f>
        <v>0</v>
      </c>
      <c r="O147" s="25">
        <f>IF(N147="","",IF(RoundingRule="Exact quantity",IF(L147="","",N147*L147),IF(OR(M147="",K147=""),"",M147*K147)))</f>
        <v>0</v>
      </c>
      <c r="P147" s="25">
        <f>IF(B147="","",SUM(O$5:O147))</f>
        <v>0</v>
      </c>
      <c r="Q147" s="45">
        <f>IF(V147="Yes",0,IF(N147="",0,N147))</f>
        <v>0</v>
      </c>
      <c r="R147" s="18">
        <f>IF(OR(B147="",I147=0,I147=""),"",COUNTIFS($I$5:I147,"&gt;0"))</f>
        <v>0</v>
      </c>
      <c r="S147" s="18">
        <f>IF(B147="","",COUNTIFS('Recipe Ingredients'!$D$5:$D$1204,B147,'Recipe Ingredients'!$Y$5:$Y$1204,"&gt;0"))</f>
        <v>0</v>
      </c>
      <c r="T147" s="46">
        <f>IF(B147="","",IF(COUNTIFS('Recipe Ingredients'!$D$5:$D$1204,B147,'Recipe Ingredients'!$Y$5:$Y$1204,"&gt;0",'Recipe Ingredients'!$I$5:$I$1204,"No")=0,"Yes","No"))</f>
        <v>0</v>
      </c>
      <c r="U147" s="17">
        <f>IF(B147="","",IFERROR(INDEX(Ingredients!$W$5:$W$304,MATCH(B147,Ingredients!$B$5:$B$304,0)),"Add to Ingredients"))</f>
        <v>0</v>
      </c>
      <c r="Z147" s="31">
        <f>IF(B147="","",IF(V147="Yes","Bought",IF(I147=0,"In stock",IF(O147="","Check - no price","On the list"))))</f>
        <v>0</v>
      </c>
    </row>
    <row r="148" spans="1:26">
      <c r="A148" s="18">
        <f>ROW()-4</f>
        <v>0</v>
      </c>
      <c r="B148" s="17">
        <f>IFERROR(INDEX(Ingredients!$B$5:$B$304,MATCH(A148,Ingredients!$AL$5:$AL$304,0)),"")</f>
        <v>0</v>
      </c>
      <c r="C148" s="17">
        <f>IF(B148="","",IFERROR(INDEX(Ingredients!$C$5:$C$304,MATCH(B148,Ingredients!$B$5:$B$304,0)),"Add to Ingredients"))</f>
        <v>0</v>
      </c>
      <c r="D148" s="17">
        <f>IF(B148="","",IFERROR(INDEX(Ingredients!$D$5:$D$304,MATCH(B148,Ingredients!$B$5:$B$304,0)),"Add to Ingredients"))</f>
        <v>0</v>
      </c>
      <c r="E148" s="17">
        <f>IF(B148="","",IFERROR(INDEX(Ingredients!$E$5:$E$304,MATCH(B148,Ingredients!$B$5:$B$304,0)),"Add to Ingredients"))</f>
        <v>0</v>
      </c>
      <c r="F148" s="45">
        <f>IF(B148="","",IFERROR(INDEX(Ingredients!$AG$5:$AG$304,MATCH(B148,Ingredients!$B$5:$B$304,0)),""))</f>
        <v>0</v>
      </c>
      <c r="G148" s="17">
        <f>IF(B148="","",IFERROR(INDEX(Ingredients!$G$5:$G$304,MATCH(B148,Ingredients!$B$5:$B$304,0)),"Add to Ingredients"))</f>
        <v>0</v>
      </c>
      <c r="H148" s="45">
        <f>IF(B148="","",IFERROR(INDEX(Ingredients!$AD$5:$AD$304,MATCH(B148,Ingredients!$B$5:$B$304,0)),0))</f>
        <v>0</v>
      </c>
      <c r="I148" s="45">
        <f>IF(F148="","",MAX(0,F148-IF(H148="",0,H148)))</f>
        <v>0</v>
      </c>
      <c r="J148" s="45">
        <f>IF(B148="","",IFERROR(INDEX(Ingredients!$H$5:$H$304,MATCH(B148,Ingredients!$B$5:$B$304,0)),"Add to Ingredients"))</f>
        <v>0</v>
      </c>
      <c r="K148" s="25">
        <f>IF(B148="","",IFERROR(INDEX(Ingredients!$I$5:$I$304,MATCH(B148,Ingredients!$B$5:$B$304,0)),"Add to Ingredients"))</f>
        <v>0</v>
      </c>
      <c r="L148" s="25">
        <f>IF(B148="","",IFERROR(INDEX(Ingredients!$J$5:$J$304,MATCH(B148,Ingredients!$B$5:$B$304,0)),"Add to Ingredients"))</f>
        <v>0</v>
      </c>
      <c r="M148" s="45">
        <f>IF(OR(I148="",I148=0),"",IF(OR(J148="",NOT(ISNUMBER(J148)),J148=0),"",ROUNDUP(I148/J148,0)))</f>
        <v>0</v>
      </c>
      <c r="N148" s="45">
        <f>IF(I148="","",IF(RoundingRule="Exact quantity",I148,IF(M148="",I148,M148*J148)))</f>
        <v>0</v>
      </c>
      <c r="O148" s="25">
        <f>IF(N148="","",IF(RoundingRule="Exact quantity",IF(L148="","",N148*L148),IF(OR(M148="",K148=""),"",M148*K148)))</f>
        <v>0</v>
      </c>
      <c r="P148" s="25">
        <f>IF(B148="","",SUM(O$5:O148))</f>
        <v>0</v>
      </c>
      <c r="Q148" s="45">
        <f>IF(V148="Yes",0,IF(N148="",0,N148))</f>
        <v>0</v>
      </c>
      <c r="R148" s="18">
        <f>IF(OR(B148="",I148=0,I148=""),"",COUNTIFS($I$5:I148,"&gt;0"))</f>
        <v>0</v>
      </c>
      <c r="S148" s="18">
        <f>IF(B148="","",COUNTIFS('Recipe Ingredients'!$D$5:$D$1204,B148,'Recipe Ingredients'!$Y$5:$Y$1204,"&gt;0"))</f>
        <v>0</v>
      </c>
      <c r="T148" s="46">
        <f>IF(B148="","",IF(COUNTIFS('Recipe Ingredients'!$D$5:$D$1204,B148,'Recipe Ingredients'!$Y$5:$Y$1204,"&gt;0",'Recipe Ingredients'!$I$5:$I$1204,"No")=0,"Yes","No"))</f>
        <v>0</v>
      </c>
      <c r="U148" s="17">
        <f>IF(B148="","",IFERROR(INDEX(Ingredients!$W$5:$W$304,MATCH(B148,Ingredients!$B$5:$B$304,0)),"Add to Ingredients"))</f>
        <v>0</v>
      </c>
      <c r="Z148" s="31">
        <f>IF(B148="","",IF(V148="Yes","Bought",IF(I148=0,"In stock",IF(O148="","Check - no price","On the list"))))</f>
        <v>0</v>
      </c>
    </row>
    <row r="149" spans="1:26">
      <c r="A149" s="18">
        <f>ROW()-4</f>
        <v>0</v>
      </c>
      <c r="B149" s="17">
        <f>IFERROR(INDEX(Ingredients!$B$5:$B$304,MATCH(A149,Ingredients!$AL$5:$AL$304,0)),"")</f>
        <v>0</v>
      </c>
      <c r="C149" s="17">
        <f>IF(B149="","",IFERROR(INDEX(Ingredients!$C$5:$C$304,MATCH(B149,Ingredients!$B$5:$B$304,0)),"Add to Ingredients"))</f>
        <v>0</v>
      </c>
      <c r="D149" s="17">
        <f>IF(B149="","",IFERROR(INDEX(Ingredients!$D$5:$D$304,MATCH(B149,Ingredients!$B$5:$B$304,0)),"Add to Ingredients"))</f>
        <v>0</v>
      </c>
      <c r="E149" s="17">
        <f>IF(B149="","",IFERROR(INDEX(Ingredients!$E$5:$E$304,MATCH(B149,Ingredients!$B$5:$B$304,0)),"Add to Ingredients"))</f>
        <v>0</v>
      </c>
      <c r="F149" s="45">
        <f>IF(B149="","",IFERROR(INDEX(Ingredients!$AG$5:$AG$304,MATCH(B149,Ingredients!$B$5:$B$304,0)),""))</f>
        <v>0</v>
      </c>
      <c r="G149" s="17">
        <f>IF(B149="","",IFERROR(INDEX(Ingredients!$G$5:$G$304,MATCH(B149,Ingredients!$B$5:$B$304,0)),"Add to Ingredients"))</f>
        <v>0</v>
      </c>
      <c r="H149" s="45">
        <f>IF(B149="","",IFERROR(INDEX(Ingredients!$AD$5:$AD$304,MATCH(B149,Ingredients!$B$5:$B$304,0)),0))</f>
        <v>0</v>
      </c>
      <c r="I149" s="45">
        <f>IF(F149="","",MAX(0,F149-IF(H149="",0,H149)))</f>
        <v>0</v>
      </c>
      <c r="J149" s="45">
        <f>IF(B149="","",IFERROR(INDEX(Ingredients!$H$5:$H$304,MATCH(B149,Ingredients!$B$5:$B$304,0)),"Add to Ingredients"))</f>
        <v>0</v>
      </c>
      <c r="K149" s="25">
        <f>IF(B149="","",IFERROR(INDEX(Ingredients!$I$5:$I$304,MATCH(B149,Ingredients!$B$5:$B$304,0)),"Add to Ingredients"))</f>
        <v>0</v>
      </c>
      <c r="L149" s="25">
        <f>IF(B149="","",IFERROR(INDEX(Ingredients!$J$5:$J$304,MATCH(B149,Ingredients!$B$5:$B$304,0)),"Add to Ingredients"))</f>
        <v>0</v>
      </c>
      <c r="M149" s="45">
        <f>IF(OR(I149="",I149=0),"",IF(OR(J149="",NOT(ISNUMBER(J149)),J149=0),"",ROUNDUP(I149/J149,0)))</f>
        <v>0</v>
      </c>
      <c r="N149" s="45">
        <f>IF(I149="","",IF(RoundingRule="Exact quantity",I149,IF(M149="",I149,M149*J149)))</f>
        <v>0</v>
      </c>
      <c r="O149" s="25">
        <f>IF(N149="","",IF(RoundingRule="Exact quantity",IF(L149="","",N149*L149),IF(OR(M149="",K149=""),"",M149*K149)))</f>
        <v>0</v>
      </c>
      <c r="P149" s="25">
        <f>IF(B149="","",SUM(O$5:O149))</f>
        <v>0</v>
      </c>
      <c r="Q149" s="45">
        <f>IF(V149="Yes",0,IF(N149="",0,N149))</f>
        <v>0</v>
      </c>
      <c r="R149" s="18">
        <f>IF(OR(B149="",I149=0,I149=""),"",COUNTIFS($I$5:I149,"&gt;0"))</f>
        <v>0</v>
      </c>
      <c r="S149" s="18">
        <f>IF(B149="","",COUNTIFS('Recipe Ingredients'!$D$5:$D$1204,B149,'Recipe Ingredients'!$Y$5:$Y$1204,"&gt;0"))</f>
        <v>0</v>
      </c>
      <c r="T149" s="46">
        <f>IF(B149="","",IF(COUNTIFS('Recipe Ingredients'!$D$5:$D$1204,B149,'Recipe Ingredients'!$Y$5:$Y$1204,"&gt;0",'Recipe Ingredients'!$I$5:$I$1204,"No")=0,"Yes","No"))</f>
        <v>0</v>
      </c>
      <c r="U149" s="17">
        <f>IF(B149="","",IFERROR(INDEX(Ingredients!$W$5:$W$304,MATCH(B149,Ingredients!$B$5:$B$304,0)),"Add to Ingredients"))</f>
        <v>0</v>
      </c>
      <c r="Z149" s="31">
        <f>IF(B149="","",IF(V149="Yes","Bought",IF(I149=0,"In stock",IF(O149="","Check - no price","On the list"))))</f>
        <v>0</v>
      </c>
    </row>
    <row r="150" spans="1:26">
      <c r="A150" s="18">
        <f>ROW()-4</f>
        <v>0</v>
      </c>
      <c r="B150" s="17">
        <f>IFERROR(INDEX(Ingredients!$B$5:$B$304,MATCH(A150,Ingredients!$AL$5:$AL$304,0)),"")</f>
        <v>0</v>
      </c>
      <c r="C150" s="17">
        <f>IF(B150="","",IFERROR(INDEX(Ingredients!$C$5:$C$304,MATCH(B150,Ingredients!$B$5:$B$304,0)),"Add to Ingredients"))</f>
        <v>0</v>
      </c>
      <c r="D150" s="17">
        <f>IF(B150="","",IFERROR(INDEX(Ingredients!$D$5:$D$304,MATCH(B150,Ingredients!$B$5:$B$304,0)),"Add to Ingredients"))</f>
        <v>0</v>
      </c>
      <c r="E150" s="17">
        <f>IF(B150="","",IFERROR(INDEX(Ingredients!$E$5:$E$304,MATCH(B150,Ingredients!$B$5:$B$304,0)),"Add to Ingredients"))</f>
        <v>0</v>
      </c>
      <c r="F150" s="45">
        <f>IF(B150="","",IFERROR(INDEX(Ingredients!$AG$5:$AG$304,MATCH(B150,Ingredients!$B$5:$B$304,0)),""))</f>
        <v>0</v>
      </c>
      <c r="G150" s="17">
        <f>IF(B150="","",IFERROR(INDEX(Ingredients!$G$5:$G$304,MATCH(B150,Ingredients!$B$5:$B$304,0)),"Add to Ingredients"))</f>
        <v>0</v>
      </c>
      <c r="H150" s="45">
        <f>IF(B150="","",IFERROR(INDEX(Ingredients!$AD$5:$AD$304,MATCH(B150,Ingredients!$B$5:$B$304,0)),0))</f>
        <v>0</v>
      </c>
      <c r="I150" s="45">
        <f>IF(F150="","",MAX(0,F150-IF(H150="",0,H150)))</f>
        <v>0</v>
      </c>
      <c r="J150" s="45">
        <f>IF(B150="","",IFERROR(INDEX(Ingredients!$H$5:$H$304,MATCH(B150,Ingredients!$B$5:$B$304,0)),"Add to Ingredients"))</f>
        <v>0</v>
      </c>
      <c r="K150" s="25">
        <f>IF(B150="","",IFERROR(INDEX(Ingredients!$I$5:$I$304,MATCH(B150,Ingredients!$B$5:$B$304,0)),"Add to Ingredients"))</f>
        <v>0</v>
      </c>
      <c r="L150" s="25">
        <f>IF(B150="","",IFERROR(INDEX(Ingredients!$J$5:$J$304,MATCH(B150,Ingredients!$B$5:$B$304,0)),"Add to Ingredients"))</f>
        <v>0</v>
      </c>
      <c r="M150" s="45">
        <f>IF(OR(I150="",I150=0),"",IF(OR(J150="",NOT(ISNUMBER(J150)),J150=0),"",ROUNDUP(I150/J150,0)))</f>
        <v>0</v>
      </c>
      <c r="N150" s="45">
        <f>IF(I150="","",IF(RoundingRule="Exact quantity",I150,IF(M150="",I150,M150*J150)))</f>
        <v>0</v>
      </c>
      <c r="O150" s="25">
        <f>IF(N150="","",IF(RoundingRule="Exact quantity",IF(L150="","",N150*L150),IF(OR(M150="",K150=""),"",M150*K150)))</f>
        <v>0</v>
      </c>
      <c r="P150" s="25">
        <f>IF(B150="","",SUM(O$5:O150))</f>
        <v>0</v>
      </c>
      <c r="Q150" s="45">
        <f>IF(V150="Yes",0,IF(N150="",0,N150))</f>
        <v>0</v>
      </c>
      <c r="R150" s="18">
        <f>IF(OR(B150="",I150=0,I150=""),"",COUNTIFS($I$5:I150,"&gt;0"))</f>
        <v>0</v>
      </c>
      <c r="S150" s="18">
        <f>IF(B150="","",COUNTIFS('Recipe Ingredients'!$D$5:$D$1204,B150,'Recipe Ingredients'!$Y$5:$Y$1204,"&gt;0"))</f>
        <v>0</v>
      </c>
      <c r="T150" s="46">
        <f>IF(B150="","",IF(COUNTIFS('Recipe Ingredients'!$D$5:$D$1204,B150,'Recipe Ingredients'!$Y$5:$Y$1204,"&gt;0",'Recipe Ingredients'!$I$5:$I$1204,"No")=0,"Yes","No"))</f>
        <v>0</v>
      </c>
      <c r="U150" s="17">
        <f>IF(B150="","",IFERROR(INDEX(Ingredients!$W$5:$W$304,MATCH(B150,Ingredients!$B$5:$B$304,0)),"Add to Ingredients"))</f>
        <v>0</v>
      </c>
      <c r="Z150" s="31">
        <f>IF(B150="","",IF(V150="Yes","Bought",IF(I150=0,"In stock",IF(O150="","Check - no price","On the list"))))</f>
        <v>0</v>
      </c>
    </row>
    <row r="151" spans="1:26">
      <c r="A151" s="18">
        <f>ROW()-4</f>
        <v>0</v>
      </c>
      <c r="B151" s="17">
        <f>IFERROR(INDEX(Ingredients!$B$5:$B$304,MATCH(A151,Ingredients!$AL$5:$AL$304,0)),"")</f>
        <v>0</v>
      </c>
      <c r="C151" s="17">
        <f>IF(B151="","",IFERROR(INDEX(Ingredients!$C$5:$C$304,MATCH(B151,Ingredients!$B$5:$B$304,0)),"Add to Ingredients"))</f>
        <v>0</v>
      </c>
      <c r="D151" s="17">
        <f>IF(B151="","",IFERROR(INDEX(Ingredients!$D$5:$D$304,MATCH(B151,Ingredients!$B$5:$B$304,0)),"Add to Ingredients"))</f>
        <v>0</v>
      </c>
      <c r="E151" s="17">
        <f>IF(B151="","",IFERROR(INDEX(Ingredients!$E$5:$E$304,MATCH(B151,Ingredients!$B$5:$B$304,0)),"Add to Ingredients"))</f>
        <v>0</v>
      </c>
      <c r="F151" s="45">
        <f>IF(B151="","",IFERROR(INDEX(Ingredients!$AG$5:$AG$304,MATCH(B151,Ingredients!$B$5:$B$304,0)),""))</f>
        <v>0</v>
      </c>
      <c r="G151" s="17">
        <f>IF(B151="","",IFERROR(INDEX(Ingredients!$G$5:$G$304,MATCH(B151,Ingredients!$B$5:$B$304,0)),"Add to Ingredients"))</f>
        <v>0</v>
      </c>
      <c r="H151" s="45">
        <f>IF(B151="","",IFERROR(INDEX(Ingredients!$AD$5:$AD$304,MATCH(B151,Ingredients!$B$5:$B$304,0)),0))</f>
        <v>0</v>
      </c>
      <c r="I151" s="45">
        <f>IF(F151="","",MAX(0,F151-IF(H151="",0,H151)))</f>
        <v>0</v>
      </c>
      <c r="J151" s="45">
        <f>IF(B151="","",IFERROR(INDEX(Ingredients!$H$5:$H$304,MATCH(B151,Ingredients!$B$5:$B$304,0)),"Add to Ingredients"))</f>
        <v>0</v>
      </c>
      <c r="K151" s="25">
        <f>IF(B151="","",IFERROR(INDEX(Ingredients!$I$5:$I$304,MATCH(B151,Ingredients!$B$5:$B$304,0)),"Add to Ingredients"))</f>
        <v>0</v>
      </c>
      <c r="L151" s="25">
        <f>IF(B151="","",IFERROR(INDEX(Ingredients!$J$5:$J$304,MATCH(B151,Ingredients!$B$5:$B$304,0)),"Add to Ingredients"))</f>
        <v>0</v>
      </c>
      <c r="M151" s="45">
        <f>IF(OR(I151="",I151=0),"",IF(OR(J151="",NOT(ISNUMBER(J151)),J151=0),"",ROUNDUP(I151/J151,0)))</f>
        <v>0</v>
      </c>
      <c r="N151" s="45">
        <f>IF(I151="","",IF(RoundingRule="Exact quantity",I151,IF(M151="",I151,M151*J151)))</f>
        <v>0</v>
      </c>
      <c r="O151" s="25">
        <f>IF(N151="","",IF(RoundingRule="Exact quantity",IF(L151="","",N151*L151),IF(OR(M151="",K151=""),"",M151*K151)))</f>
        <v>0</v>
      </c>
      <c r="P151" s="25">
        <f>IF(B151="","",SUM(O$5:O151))</f>
        <v>0</v>
      </c>
      <c r="Q151" s="45">
        <f>IF(V151="Yes",0,IF(N151="",0,N151))</f>
        <v>0</v>
      </c>
      <c r="R151" s="18">
        <f>IF(OR(B151="",I151=0,I151=""),"",COUNTIFS($I$5:I151,"&gt;0"))</f>
        <v>0</v>
      </c>
      <c r="S151" s="18">
        <f>IF(B151="","",COUNTIFS('Recipe Ingredients'!$D$5:$D$1204,B151,'Recipe Ingredients'!$Y$5:$Y$1204,"&gt;0"))</f>
        <v>0</v>
      </c>
      <c r="T151" s="46">
        <f>IF(B151="","",IF(COUNTIFS('Recipe Ingredients'!$D$5:$D$1204,B151,'Recipe Ingredients'!$Y$5:$Y$1204,"&gt;0",'Recipe Ingredients'!$I$5:$I$1204,"No")=0,"Yes","No"))</f>
        <v>0</v>
      </c>
      <c r="U151" s="17">
        <f>IF(B151="","",IFERROR(INDEX(Ingredients!$W$5:$W$304,MATCH(B151,Ingredients!$B$5:$B$304,0)),"Add to Ingredients"))</f>
        <v>0</v>
      </c>
      <c r="Z151" s="31">
        <f>IF(B151="","",IF(V151="Yes","Bought",IF(I151=0,"In stock",IF(O151="","Check - no price","On the list"))))</f>
        <v>0</v>
      </c>
    </row>
    <row r="152" spans="1:26">
      <c r="A152" s="18">
        <f>ROW()-4</f>
        <v>0</v>
      </c>
      <c r="B152" s="17">
        <f>IFERROR(INDEX(Ingredients!$B$5:$B$304,MATCH(A152,Ingredients!$AL$5:$AL$304,0)),"")</f>
        <v>0</v>
      </c>
      <c r="C152" s="17">
        <f>IF(B152="","",IFERROR(INDEX(Ingredients!$C$5:$C$304,MATCH(B152,Ingredients!$B$5:$B$304,0)),"Add to Ingredients"))</f>
        <v>0</v>
      </c>
      <c r="D152" s="17">
        <f>IF(B152="","",IFERROR(INDEX(Ingredients!$D$5:$D$304,MATCH(B152,Ingredients!$B$5:$B$304,0)),"Add to Ingredients"))</f>
        <v>0</v>
      </c>
      <c r="E152" s="17">
        <f>IF(B152="","",IFERROR(INDEX(Ingredients!$E$5:$E$304,MATCH(B152,Ingredients!$B$5:$B$304,0)),"Add to Ingredients"))</f>
        <v>0</v>
      </c>
      <c r="F152" s="45">
        <f>IF(B152="","",IFERROR(INDEX(Ingredients!$AG$5:$AG$304,MATCH(B152,Ingredients!$B$5:$B$304,0)),""))</f>
        <v>0</v>
      </c>
      <c r="G152" s="17">
        <f>IF(B152="","",IFERROR(INDEX(Ingredients!$G$5:$G$304,MATCH(B152,Ingredients!$B$5:$B$304,0)),"Add to Ingredients"))</f>
        <v>0</v>
      </c>
      <c r="H152" s="45">
        <f>IF(B152="","",IFERROR(INDEX(Ingredients!$AD$5:$AD$304,MATCH(B152,Ingredients!$B$5:$B$304,0)),0))</f>
        <v>0</v>
      </c>
      <c r="I152" s="45">
        <f>IF(F152="","",MAX(0,F152-IF(H152="",0,H152)))</f>
        <v>0</v>
      </c>
      <c r="J152" s="45">
        <f>IF(B152="","",IFERROR(INDEX(Ingredients!$H$5:$H$304,MATCH(B152,Ingredients!$B$5:$B$304,0)),"Add to Ingredients"))</f>
        <v>0</v>
      </c>
      <c r="K152" s="25">
        <f>IF(B152="","",IFERROR(INDEX(Ingredients!$I$5:$I$304,MATCH(B152,Ingredients!$B$5:$B$304,0)),"Add to Ingredients"))</f>
        <v>0</v>
      </c>
      <c r="L152" s="25">
        <f>IF(B152="","",IFERROR(INDEX(Ingredients!$J$5:$J$304,MATCH(B152,Ingredients!$B$5:$B$304,0)),"Add to Ingredients"))</f>
        <v>0</v>
      </c>
      <c r="M152" s="45">
        <f>IF(OR(I152="",I152=0),"",IF(OR(J152="",NOT(ISNUMBER(J152)),J152=0),"",ROUNDUP(I152/J152,0)))</f>
        <v>0</v>
      </c>
      <c r="N152" s="45">
        <f>IF(I152="","",IF(RoundingRule="Exact quantity",I152,IF(M152="",I152,M152*J152)))</f>
        <v>0</v>
      </c>
      <c r="O152" s="25">
        <f>IF(N152="","",IF(RoundingRule="Exact quantity",IF(L152="","",N152*L152),IF(OR(M152="",K152=""),"",M152*K152)))</f>
        <v>0</v>
      </c>
      <c r="P152" s="25">
        <f>IF(B152="","",SUM(O$5:O152))</f>
        <v>0</v>
      </c>
      <c r="Q152" s="45">
        <f>IF(V152="Yes",0,IF(N152="",0,N152))</f>
        <v>0</v>
      </c>
      <c r="R152" s="18">
        <f>IF(OR(B152="",I152=0,I152=""),"",COUNTIFS($I$5:I152,"&gt;0"))</f>
        <v>0</v>
      </c>
      <c r="S152" s="18">
        <f>IF(B152="","",COUNTIFS('Recipe Ingredients'!$D$5:$D$1204,B152,'Recipe Ingredients'!$Y$5:$Y$1204,"&gt;0"))</f>
        <v>0</v>
      </c>
      <c r="T152" s="46">
        <f>IF(B152="","",IF(COUNTIFS('Recipe Ingredients'!$D$5:$D$1204,B152,'Recipe Ingredients'!$Y$5:$Y$1204,"&gt;0",'Recipe Ingredients'!$I$5:$I$1204,"No")=0,"Yes","No"))</f>
        <v>0</v>
      </c>
      <c r="U152" s="17">
        <f>IF(B152="","",IFERROR(INDEX(Ingredients!$W$5:$W$304,MATCH(B152,Ingredients!$B$5:$B$304,0)),"Add to Ingredients"))</f>
        <v>0</v>
      </c>
      <c r="Z152" s="31">
        <f>IF(B152="","",IF(V152="Yes","Bought",IF(I152=0,"In stock",IF(O152="","Check - no price","On the list"))))</f>
        <v>0</v>
      </c>
    </row>
    <row r="153" spans="1:26">
      <c r="A153" s="18">
        <f>ROW()-4</f>
        <v>0</v>
      </c>
      <c r="B153" s="17">
        <f>IFERROR(INDEX(Ingredients!$B$5:$B$304,MATCH(A153,Ingredients!$AL$5:$AL$304,0)),"")</f>
        <v>0</v>
      </c>
      <c r="C153" s="17">
        <f>IF(B153="","",IFERROR(INDEX(Ingredients!$C$5:$C$304,MATCH(B153,Ingredients!$B$5:$B$304,0)),"Add to Ingredients"))</f>
        <v>0</v>
      </c>
      <c r="D153" s="17">
        <f>IF(B153="","",IFERROR(INDEX(Ingredients!$D$5:$D$304,MATCH(B153,Ingredients!$B$5:$B$304,0)),"Add to Ingredients"))</f>
        <v>0</v>
      </c>
      <c r="E153" s="17">
        <f>IF(B153="","",IFERROR(INDEX(Ingredients!$E$5:$E$304,MATCH(B153,Ingredients!$B$5:$B$304,0)),"Add to Ingredients"))</f>
        <v>0</v>
      </c>
      <c r="F153" s="45">
        <f>IF(B153="","",IFERROR(INDEX(Ingredients!$AG$5:$AG$304,MATCH(B153,Ingredients!$B$5:$B$304,0)),""))</f>
        <v>0</v>
      </c>
      <c r="G153" s="17">
        <f>IF(B153="","",IFERROR(INDEX(Ingredients!$G$5:$G$304,MATCH(B153,Ingredients!$B$5:$B$304,0)),"Add to Ingredients"))</f>
        <v>0</v>
      </c>
      <c r="H153" s="45">
        <f>IF(B153="","",IFERROR(INDEX(Ingredients!$AD$5:$AD$304,MATCH(B153,Ingredients!$B$5:$B$304,0)),0))</f>
        <v>0</v>
      </c>
      <c r="I153" s="45">
        <f>IF(F153="","",MAX(0,F153-IF(H153="",0,H153)))</f>
        <v>0</v>
      </c>
      <c r="J153" s="45">
        <f>IF(B153="","",IFERROR(INDEX(Ingredients!$H$5:$H$304,MATCH(B153,Ingredients!$B$5:$B$304,0)),"Add to Ingredients"))</f>
        <v>0</v>
      </c>
      <c r="K153" s="25">
        <f>IF(B153="","",IFERROR(INDEX(Ingredients!$I$5:$I$304,MATCH(B153,Ingredients!$B$5:$B$304,0)),"Add to Ingredients"))</f>
        <v>0</v>
      </c>
      <c r="L153" s="25">
        <f>IF(B153="","",IFERROR(INDEX(Ingredients!$J$5:$J$304,MATCH(B153,Ingredients!$B$5:$B$304,0)),"Add to Ingredients"))</f>
        <v>0</v>
      </c>
      <c r="M153" s="45">
        <f>IF(OR(I153="",I153=0),"",IF(OR(J153="",NOT(ISNUMBER(J153)),J153=0),"",ROUNDUP(I153/J153,0)))</f>
        <v>0</v>
      </c>
      <c r="N153" s="45">
        <f>IF(I153="","",IF(RoundingRule="Exact quantity",I153,IF(M153="",I153,M153*J153)))</f>
        <v>0</v>
      </c>
      <c r="O153" s="25">
        <f>IF(N153="","",IF(RoundingRule="Exact quantity",IF(L153="","",N153*L153),IF(OR(M153="",K153=""),"",M153*K153)))</f>
        <v>0</v>
      </c>
      <c r="P153" s="25">
        <f>IF(B153="","",SUM(O$5:O153))</f>
        <v>0</v>
      </c>
      <c r="Q153" s="45">
        <f>IF(V153="Yes",0,IF(N153="",0,N153))</f>
        <v>0</v>
      </c>
      <c r="R153" s="18">
        <f>IF(OR(B153="",I153=0,I153=""),"",COUNTIFS($I$5:I153,"&gt;0"))</f>
        <v>0</v>
      </c>
      <c r="S153" s="18">
        <f>IF(B153="","",COUNTIFS('Recipe Ingredients'!$D$5:$D$1204,B153,'Recipe Ingredients'!$Y$5:$Y$1204,"&gt;0"))</f>
        <v>0</v>
      </c>
      <c r="T153" s="46">
        <f>IF(B153="","",IF(COUNTIFS('Recipe Ingredients'!$D$5:$D$1204,B153,'Recipe Ingredients'!$Y$5:$Y$1204,"&gt;0",'Recipe Ingredients'!$I$5:$I$1204,"No")=0,"Yes","No"))</f>
        <v>0</v>
      </c>
      <c r="U153" s="17">
        <f>IF(B153="","",IFERROR(INDEX(Ingredients!$W$5:$W$304,MATCH(B153,Ingredients!$B$5:$B$304,0)),"Add to Ingredients"))</f>
        <v>0</v>
      </c>
      <c r="Z153" s="31">
        <f>IF(B153="","",IF(V153="Yes","Bought",IF(I153=0,"In stock",IF(O153="","Check - no price","On the list"))))</f>
        <v>0</v>
      </c>
    </row>
    <row r="154" spans="1:26">
      <c r="A154" s="18">
        <f>ROW()-4</f>
        <v>0</v>
      </c>
      <c r="B154" s="17">
        <f>IFERROR(INDEX(Ingredients!$B$5:$B$304,MATCH(A154,Ingredients!$AL$5:$AL$304,0)),"")</f>
        <v>0</v>
      </c>
      <c r="C154" s="17">
        <f>IF(B154="","",IFERROR(INDEX(Ingredients!$C$5:$C$304,MATCH(B154,Ingredients!$B$5:$B$304,0)),"Add to Ingredients"))</f>
        <v>0</v>
      </c>
      <c r="D154" s="17">
        <f>IF(B154="","",IFERROR(INDEX(Ingredients!$D$5:$D$304,MATCH(B154,Ingredients!$B$5:$B$304,0)),"Add to Ingredients"))</f>
        <v>0</v>
      </c>
      <c r="E154" s="17">
        <f>IF(B154="","",IFERROR(INDEX(Ingredients!$E$5:$E$304,MATCH(B154,Ingredients!$B$5:$B$304,0)),"Add to Ingredients"))</f>
        <v>0</v>
      </c>
      <c r="F154" s="45">
        <f>IF(B154="","",IFERROR(INDEX(Ingredients!$AG$5:$AG$304,MATCH(B154,Ingredients!$B$5:$B$304,0)),""))</f>
        <v>0</v>
      </c>
      <c r="G154" s="17">
        <f>IF(B154="","",IFERROR(INDEX(Ingredients!$G$5:$G$304,MATCH(B154,Ingredients!$B$5:$B$304,0)),"Add to Ingredients"))</f>
        <v>0</v>
      </c>
      <c r="H154" s="45">
        <f>IF(B154="","",IFERROR(INDEX(Ingredients!$AD$5:$AD$304,MATCH(B154,Ingredients!$B$5:$B$304,0)),0))</f>
        <v>0</v>
      </c>
      <c r="I154" s="45">
        <f>IF(F154="","",MAX(0,F154-IF(H154="",0,H154)))</f>
        <v>0</v>
      </c>
      <c r="J154" s="45">
        <f>IF(B154="","",IFERROR(INDEX(Ingredients!$H$5:$H$304,MATCH(B154,Ingredients!$B$5:$B$304,0)),"Add to Ingredients"))</f>
        <v>0</v>
      </c>
      <c r="K154" s="25">
        <f>IF(B154="","",IFERROR(INDEX(Ingredients!$I$5:$I$304,MATCH(B154,Ingredients!$B$5:$B$304,0)),"Add to Ingredients"))</f>
        <v>0</v>
      </c>
      <c r="L154" s="25">
        <f>IF(B154="","",IFERROR(INDEX(Ingredients!$J$5:$J$304,MATCH(B154,Ingredients!$B$5:$B$304,0)),"Add to Ingredients"))</f>
        <v>0</v>
      </c>
      <c r="M154" s="45">
        <f>IF(OR(I154="",I154=0),"",IF(OR(J154="",NOT(ISNUMBER(J154)),J154=0),"",ROUNDUP(I154/J154,0)))</f>
        <v>0</v>
      </c>
      <c r="N154" s="45">
        <f>IF(I154="","",IF(RoundingRule="Exact quantity",I154,IF(M154="",I154,M154*J154)))</f>
        <v>0</v>
      </c>
      <c r="O154" s="25">
        <f>IF(N154="","",IF(RoundingRule="Exact quantity",IF(L154="","",N154*L154),IF(OR(M154="",K154=""),"",M154*K154)))</f>
        <v>0</v>
      </c>
      <c r="P154" s="25">
        <f>IF(B154="","",SUM(O$5:O154))</f>
        <v>0</v>
      </c>
      <c r="Q154" s="45">
        <f>IF(V154="Yes",0,IF(N154="",0,N154))</f>
        <v>0</v>
      </c>
      <c r="R154" s="18">
        <f>IF(OR(B154="",I154=0,I154=""),"",COUNTIFS($I$5:I154,"&gt;0"))</f>
        <v>0</v>
      </c>
      <c r="S154" s="18">
        <f>IF(B154="","",COUNTIFS('Recipe Ingredients'!$D$5:$D$1204,B154,'Recipe Ingredients'!$Y$5:$Y$1204,"&gt;0"))</f>
        <v>0</v>
      </c>
      <c r="T154" s="46">
        <f>IF(B154="","",IF(COUNTIFS('Recipe Ingredients'!$D$5:$D$1204,B154,'Recipe Ingredients'!$Y$5:$Y$1204,"&gt;0",'Recipe Ingredients'!$I$5:$I$1204,"No")=0,"Yes","No"))</f>
        <v>0</v>
      </c>
      <c r="U154" s="17">
        <f>IF(B154="","",IFERROR(INDEX(Ingredients!$W$5:$W$304,MATCH(B154,Ingredients!$B$5:$B$304,0)),"Add to Ingredients"))</f>
        <v>0</v>
      </c>
      <c r="Z154" s="31">
        <f>IF(B154="","",IF(V154="Yes","Bought",IF(I154=0,"In stock",IF(O154="","Check - no price","On the list"))))</f>
        <v>0</v>
      </c>
    </row>
    <row r="155" spans="1:26">
      <c r="A155" s="18">
        <f>ROW()-4</f>
        <v>0</v>
      </c>
      <c r="B155" s="17">
        <f>IFERROR(INDEX(Ingredients!$B$5:$B$304,MATCH(A155,Ingredients!$AL$5:$AL$304,0)),"")</f>
        <v>0</v>
      </c>
      <c r="C155" s="17">
        <f>IF(B155="","",IFERROR(INDEX(Ingredients!$C$5:$C$304,MATCH(B155,Ingredients!$B$5:$B$304,0)),"Add to Ingredients"))</f>
        <v>0</v>
      </c>
      <c r="D155" s="17">
        <f>IF(B155="","",IFERROR(INDEX(Ingredients!$D$5:$D$304,MATCH(B155,Ingredients!$B$5:$B$304,0)),"Add to Ingredients"))</f>
        <v>0</v>
      </c>
      <c r="E155" s="17">
        <f>IF(B155="","",IFERROR(INDEX(Ingredients!$E$5:$E$304,MATCH(B155,Ingredients!$B$5:$B$304,0)),"Add to Ingredients"))</f>
        <v>0</v>
      </c>
      <c r="F155" s="45">
        <f>IF(B155="","",IFERROR(INDEX(Ingredients!$AG$5:$AG$304,MATCH(B155,Ingredients!$B$5:$B$304,0)),""))</f>
        <v>0</v>
      </c>
      <c r="G155" s="17">
        <f>IF(B155="","",IFERROR(INDEX(Ingredients!$G$5:$G$304,MATCH(B155,Ingredients!$B$5:$B$304,0)),"Add to Ingredients"))</f>
        <v>0</v>
      </c>
      <c r="H155" s="45">
        <f>IF(B155="","",IFERROR(INDEX(Ingredients!$AD$5:$AD$304,MATCH(B155,Ingredients!$B$5:$B$304,0)),0))</f>
        <v>0</v>
      </c>
      <c r="I155" s="45">
        <f>IF(F155="","",MAX(0,F155-IF(H155="",0,H155)))</f>
        <v>0</v>
      </c>
      <c r="J155" s="45">
        <f>IF(B155="","",IFERROR(INDEX(Ingredients!$H$5:$H$304,MATCH(B155,Ingredients!$B$5:$B$304,0)),"Add to Ingredients"))</f>
        <v>0</v>
      </c>
      <c r="K155" s="25">
        <f>IF(B155="","",IFERROR(INDEX(Ingredients!$I$5:$I$304,MATCH(B155,Ingredients!$B$5:$B$304,0)),"Add to Ingredients"))</f>
        <v>0</v>
      </c>
      <c r="L155" s="25">
        <f>IF(B155="","",IFERROR(INDEX(Ingredients!$J$5:$J$304,MATCH(B155,Ingredients!$B$5:$B$304,0)),"Add to Ingredients"))</f>
        <v>0</v>
      </c>
      <c r="M155" s="45">
        <f>IF(OR(I155="",I155=0),"",IF(OR(J155="",NOT(ISNUMBER(J155)),J155=0),"",ROUNDUP(I155/J155,0)))</f>
        <v>0</v>
      </c>
      <c r="N155" s="45">
        <f>IF(I155="","",IF(RoundingRule="Exact quantity",I155,IF(M155="",I155,M155*J155)))</f>
        <v>0</v>
      </c>
      <c r="O155" s="25">
        <f>IF(N155="","",IF(RoundingRule="Exact quantity",IF(L155="","",N155*L155),IF(OR(M155="",K155=""),"",M155*K155)))</f>
        <v>0</v>
      </c>
      <c r="P155" s="25">
        <f>IF(B155="","",SUM(O$5:O155))</f>
        <v>0</v>
      </c>
      <c r="Q155" s="45">
        <f>IF(V155="Yes",0,IF(N155="",0,N155))</f>
        <v>0</v>
      </c>
      <c r="R155" s="18">
        <f>IF(OR(B155="",I155=0,I155=""),"",COUNTIFS($I$5:I155,"&gt;0"))</f>
        <v>0</v>
      </c>
      <c r="S155" s="18">
        <f>IF(B155="","",COUNTIFS('Recipe Ingredients'!$D$5:$D$1204,B155,'Recipe Ingredients'!$Y$5:$Y$1204,"&gt;0"))</f>
        <v>0</v>
      </c>
      <c r="T155" s="46">
        <f>IF(B155="","",IF(COUNTIFS('Recipe Ingredients'!$D$5:$D$1204,B155,'Recipe Ingredients'!$Y$5:$Y$1204,"&gt;0",'Recipe Ingredients'!$I$5:$I$1204,"No")=0,"Yes","No"))</f>
        <v>0</v>
      </c>
      <c r="U155" s="17">
        <f>IF(B155="","",IFERROR(INDEX(Ingredients!$W$5:$W$304,MATCH(B155,Ingredients!$B$5:$B$304,0)),"Add to Ingredients"))</f>
        <v>0</v>
      </c>
      <c r="Z155" s="31">
        <f>IF(B155="","",IF(V155="Yes","Bought",IF(I155=0,"In stock",IF(O155="","Check - no price","On the list"))))</f>
        <v>0</v>
      </c>
    </row>
    <row r="156" spans="1:26">
      <c r="A156" s="18">
        <f>ROW()-4</f>
        <v>0</v>
      </c>
      <c r="B156" s="17">
        <f>IFERROR(INDEX(Ingredients!$B$5:$B$304,MATCH(A156,Ingredients!$AL$5:$AL$304,0)),"")</f>
        <v>0</v>
      </c>
      <c r="C156" s="17">
        <f>IF(B156="","",IFERROR(INDEX(Ingredients!$C$5:$C$304,MATCH(B156,Ingredients!$B$5:$B$304,0)),"Add to Ingredients"))</f>
        <v>0</v>
      </c>
      <c r="D156" s="17">
        <f>IF(B156="","",IFERROR(INDEX(Ingredients!$D$5:$D$304,MATCH(B156,Ingredients!$B$5:$B$304,0)),"Add to Ingredients"))</f>
        <v>0</v>
      </c>
      <c r="E156" s="17">
        <f>IF(B156="","",IFERROR(INDEX(Ingredients!$E$5:$E$304,MATCH(B156,Ingredients!$B$5:$B$304,0)),"Add to Ingredients"))</f>
        <v>0</v>
      </c>
      <c r="F156" s="45">
        <f>IF(B156="","",IFERROR(INDEX(Ingredients!$AG$5:$AG$304,MATCH(B156,Ingredients!$B$5:$B$304,0)),""))</f>
        <v>0</v>
      </c>
      <c r="G156" s="17">
        <f>IF(B156="","",IFERROR(INDEX(Ingredients!$G$5:$G$304,MATCH(B156,Ingredients!$B$5:$B$304,0)),"Add to Ingredients"))</f>
        <v>0</v>
      </c>
      <c r="H156" s="45">
        <f>IF(B156="","",IFERROR(INDEX(Ingredients!$AD$5:$AD$304,MATCH(B156,Ingredients!$B$5:$B$304,0)),0))</f>
        <v>0</v>
      </c>
      <c r="I156" s="45">
        <f>IF(F156="","",MAX(0,F156-IF(H156="",0,H156)))</f>
        <v>0</v>
      </c>
      <c r="J156" s="45">
        <f>IF(B156="","",IFERROR(INDEX(Ingredients!$H$5:$H$304,MATCH(B156,Ingredients!$B$5:$B$304,0)),"Add to Ingredients"))</f>
        <v>0</v>
      </c>
      <c r="K156" s="25">
        <f>IF(B156="","",IFERROR(INDEX(Ingredients!$I$5:$I$304,MATCH(B156,Ingredients!$B$5:$B$304,0)),"Add to Ingredients"))</f>
        <v>0</v>
      </c>
      <c r="L156" s="25">
        <f>IF(B156="","",IFERROR(INDEX(Ingredients!$J$5:$J$304,MATCH(B156,Ingredients!$B$5:$B$304,0)),"Add to Ingredients"))</f>
        <v>0</v>
      </c>
      <c r="M156" s="45">
        <f>IF(OR(I156="",I156=0),"",IF(OR(J156="",NOT(ISNUMBER(J156)),J156=0),"",ROUNDUP(I156/J156,0)))</f>
        <v>0</v>
      </c>
      <c r="N156" s="45">
        <f>IF(I156="","",IF(RoundingRule="Exact quantity",I156,IF(M156="",I156,M156*J156)))</f>
        <v>0</v>
      </c>
      <c r="O156" s="25">
        <f>IF(N156="","",IF(RoundingRule="Exact quantity",IF(L156="","",N156*L156),IF(OR(M156="",K156=""),"",M156*K156)))</f>
        <v>0</v>
      </c>
      <c r="P156" s="25">
        <f>IF(B156="","",SUM(O$5:O156))</f>
        <v>0</v>
      </c>
      <c r="Q156" s="45">
        <f>IF(V156="Yes",0,IF(N156="",0,N156))</f>
        <v>0</v>
      </c>
      <c r="R156" s="18">
        <f>IF(OR(B156="",I156=0,I156=""),"",COUNTIFS($I$5:I156,"&gt;0"))</f>
        <v>0</v>
      </c>
      <c r="S156" s="18">
        <f>IF(B156="","",COUNTIFS('Recipe Ingredients'!$D$5:$D$1204,B156,'Recipe Ingredients'!$Y$5:$Y$1204,"&gt;0"))</f>
        <v>0</v>
      </c>
      <c r="T156" s="46">
        <f>IF(B156="","",IF(COUNTIFS('Recipe Ingredients'!$D$5:$D$1204,B156,'Recipe Ingredients'!$Y$5:$Y$1204,"&gt;0",'Recipe Ingredients'!$I$5:$I$1204,"No")=0,"Yes","No"))</f>
        <v>0</v>
      </c>
      <c r="U156" s="17">
        <f>IF(B156="","",IFERROR(INDEX(Ingredients!$W$5:$W$304,MATCH(B156,Ingredients!$B$5:$B$304,0)),"Add to Ingredients"))</f>
        <v>0</v>
      </c>
      <c r="Z156" s="31">
        <f>IF(B156="","",IF(V156="Yes","Bought",IF(I156=0,"In stock",IF(O156="","Check - no price","On the list"))))</f>
        <v>0</v>
      </c>
    </row>
    <row r="157" spans="1:26">
      <c r="A157" s="18">
        <f>ROW()-4</f>
        <v>0</v>
      </c>
      <c r="B157" s="17">
        <f>IFERROR(INDEX(Ingredients!$B$5:$B$304,MATCH(A157,Ingredients!$AL$5:$AL$304,0)),"")</f>
        <v>0</v>
      </c>
      <c r="C157" s="17">
        <f>IF(B157="","",IFERROR(INDEX(Ingredients!$C$5:$C$304,MATCH(B157,Ingredients!$B$5:$B$304,0)),"Add to Ingredients"))</f>
        <v>0</v>
      </c>
      <c r="D157" s="17">
        <f>IF(B157="","",IFERROR(INDEX(Ingredients!$D$5:$D$304,MATCH(B157,Ingredients!$B$5:$B$304,0)),"Add to Ingredients"))</f>
        <v>0</v>
      </c>
      <c r="E157" s="17">
        <f>IF(B157="","",IFERROR(INDEX(Ingredients!$E$5:$E$304,MATCH(B157,Ingredients!$B$5:$B$304,0)),"Add to Ingredients"))</f>
        <v>0</v>
      </c>
      <c r="F157" s="45">
        <f>IF(B157="","",IFERROR(INDEX(Ingredients!$AG$5:$AG$304,MATCH(B157,Ingredients!$B$5:$B$304,0)),""))</f>
        <v>0</v>
      </c>
      <c r="G157" s="17">
        <f>IF(B157="","",IFERROR(INDEX(Ingredients!$G$5:$G$304,MATCH(B157,Ingredients!$B$5:$B$304,0)),"Add to Ingredients"))</f>
        <v>0</v>
      </c>
      <c r="H157" s="45">
        <f>IF(B157="","",IFERROR(INDEX(Ingredients!$AD$5:$AD$304,MATCH(B157,Ingredients!$B$5:$B$304,0)),0))</f>
        <v>0</v>
      </c>
      <c r="I157" s="45">
        <f>IF(F157="","",MAX(0,F157-IF(H157="",0,H157)))</f>
        <v>0</v>
      </c>
      <c r="J157" s="45">
        <f>IF(B157="","",IFERROR(INDEX(Ingredients!$H$5:$H$304,MATCH(B157,Ingredients!$B$5:$B$304,0)),"Add to Ingredients"))</f>
        <v>0</v>
      </c>
      <c r="K157" s="25">
        <f>IF(B157="","",IFERROR(INDEX(Ingredients!$I$5:$I$304,MATCH(B157,Ingredients!$B$5:$B$304,0)),"Add to Ingredients"))</f>
        <v>0</v>
      </c>
      <c r="L157" s="25">
        <f>IF(B157="","",IFERROR(INDEX(Ingredients!$J$5:$J$304,MATCH(B157,Ingredients!$B$5:$B$304,0)),"Add to Ingredients"))</f>
        <v>0</v>
      </c>
      <c r="M157" s="45">
        <f>IF(OR(I157="",I157=0),"",IF(OR(J157="",NOT(ISNUMBER(J157)),J157=0),"",ROUNDUP(I157/J157,0)))</f>
        <v>0</v>
      </c>
      <c r="N157" s="45">
        <f>IF(I157="","",IF(RoundingRule="Exact quantity",I157,IF(M157="",I157,M157*J157)))</f>
        <v>0</v>
      </c>
      <c r="O157" s="25">
        <f>IF(N157="","",IF(RoundingRule="Exact quantity",IF(L157="","",N157*L157),IF(OR(M157="",K157=""),"",M157*K157)))</f>
        <v>0</v>
      </c>
      <c r="P157" s="25">
        <f>IF(B157="","",SUM(O$5:O157))</f>
        <v>0</v>
      </c>
      <c r="Q157" s="45">
        <f>IF(V157="Yes",0,IF(N157="",0,N157))</f>
        <v>0</v>
      </c>
      <c r="R157" s="18">
        <f>IF(OR(B157="",I157=0,I157=""),"",COUNTIFS($I$5:I157,"&gt;0"))</f>
        <v>0</v>
      </c>
      <c r="S157" s="18">
        <f>IF(B157="","",COUNTIFS('Recipe Ingredients'!$D$5:$D$1204,B157,'Recipe Ingredients'!$Y$5:$Y$1204,"&gt;0"))</f>
        <v>0</v>
      </c>
      <c r="T157" s="46">
        <f>IF(B157="","",IF(COUNTIFS('Recipe Ingredients'!$D$5:$D$1204,B157,'Recipe Ingredients'!$Y$5:$Y$1204,"&gt;0",'Recipe Ingredients'!$I$5:$I$1204,"No")=0,"Yes","No"))</f>
        <v>0</v>
      </c>
      <c r="U157" s="17">
        <f>IF(B157="","",IFERROR(INDEX(Ingredients!$W$5:$W$304,MATCH(B157,Ingredients!$B$5:$B$304,0)),"Add to Ingredients"))</f>
        <v>0</v>
      </c>
      <c r="Z157" s="31">
        <f>IF(B157="","",IF(V157="Yes","Bought",IF(I157=0,"In stock",IF(O157="","Check - no price","On the list"))))</f>
        <v>0</v>
      </c>
    </row>
    <row r="158" spans="1:26">
      <c r="A158" s="18">
        <f>ROW()-4</f>
        <v>0</v>
      </c>
      <c r="B158" s="17">
        <f>IFERROR(INDEX(Ingredients!$B$5:$B$304,MATCH(A158,Ingredients!$AL$5:$AL$304,0)),"")</f>
        <v>0</v>
      </c>
      <c r="C158" s="17">
        <f>IF(B158="","",IFERROR(INDEX(Ingredients!$C$5:$C$304,MATCH(B158,Ingredients!$B$5:$B$304,0)),"Add to Ingredients"))</f>
        <v>0</v>
      </c>
      <c r="D158" s="17">
        <f>IF(B158="","",IFERROR(INDEX(Ingredients!$D$5:$D$304,MATCH(B158,Ingredients!$B$5:$B$304,0)),"Add to Ingredients"))</f>
        <v>0</v>
      </c>
      <c r="E158" s="17">
        <f>IF(B158="","",IFERROR(INDEX(Ingredients!$E$5:$E$304,MATCH(B158,Ingredients!$B$5:$B$304,0)),"Add to Ingredients"))</f>
        <v>0</v>
      </c>
      <c r="F158" s="45">
        <f>IF(B158="","",IFERROR(INDEX(Ingredients!$AG$5:$AG$304,MATCH(B158,Ingredients!$B$5:$B$304,0)),""))</f>
        <v>0</v>
      </c>
      <c r="G158" s="17">
        <f>IF(B158="","",IFERROR(INDEX(Ingredients!$G$5:$G$304,MATCH(B158,Ingredients!$B$5:$B$304,0)),"Add to Ingredients"))</f>
        <v>0</v>
      </c>
      <c r="H158" s="45">
        <f>IF(B158="","",IFERROR(INDEX(Ingredients!$AD$5:$AD$304,MATCH(B158,Ingredients!$B$5:$B$304,0)),0))</f>
        <v>0</v>
      </c>
      <c r="I158" s="45">
        <f>IF(F158="","",MAX(0,F158-IF(H158="",0,H158)))</f>
        <v>0</v>
      </c>
      <c r="J158" s="45">
        <f>IF(B158="","",IFERROR(INDEX(Ingredients!$H$5:$H$304,MATCH(B158,Ingredients!$B$5:$B$304,0)),"Add to Ingredients"))</f>
        <v>0</v>
      </c>
      <c r="K158" s="25">
        <f>IF(B158="","",IFERROR(INDEX(Ingredients!$I$5:$I$304,MATCH(B158,Ingredients!$B$5:$B$304,0)),"Add to Ingredients"))</f>
        <v>0</v>
      </c>
      <c r="L158" s="25">
        <f>IF(B158="","",IFERROR(INDEX(Ingredients!$J$5:$J$304,MATCH(B158,Ingredients!$B$5:$B$304,0)),"Add to Ingredients"))</f>
        <v>0</v>
      </c>
      <c r="M158" s="45">
        <f>IF(OR(I158="",I158=0),"",IF(OR(J158="",NOT(ISNUMBER(J158)),J158=0),"",ROUNDUP(I158/J158,0)))</f>
        <v>0</v>
      </c>
      <c r="N158" s="45">
        <f>IF(I158="","",IF(RoundingRule="Exact quantity",I158,IF(M158="",I158,M158*J158)))</f>
        <v>0</v>
      </c>
      <c r="O158" s="25">
        <f>IF(N158="","",IF(RoundingRule="Exact quantity",IF(L158="","",N158*L158),IF(OR(M158="",K158=""),"",M158*K158)))</f>
        <v>0</v>
      </c>
      <c r="P158" s="25">
        <f>IF(B158="","",SUM(O$5:O158))</f>
        <v>0</v>
      </c>
      <c r="Q158" s="45">
        <f>IF(V158="Yes",0,IF(N158="",0,N158))</f>
        <v>0</v>
      </c>
      <c r="R158" s="18">
        <f>IF(OR(B158="",I158=0,I158=""),"",COUNTIFS($I$5:I158,"&gt;0"))</f>
        <v>0</v>
      </c>
      <c r="S158" s="18">
        <f>IF(B158="","",COUNTIFS('Recipe Ingredients'!$D$5:$D$1204,B158,'Recipe Ingredients'!$Y$5:$Y$1204,"&gt;0"))</f>
        <v>0</v>
      </c>
      <c r="T158" s="46">
        <f>IF(B158="","",IF(COUNTIFS('Recipe Ingredients'!$D$5:$D$1204,B158,'Recipe Ingredients'!$Y$5:$Y$1204,"&gt;0",'Recipe Ingredients'!$I$5:$I$1204,"No")=0,"Yes","No"))</f>
        <v>0</v>
      </c>
      <c r="U158" s="17">
        <f>IF(B158="","",IFERROR(INDEX(Ingredients!$W$5:$W$304,MATCH(B158,Ingredients!$B$5:$B$304,0)),"Add to Ingredients"))</f>
        <v>0</v>
      </c>
      <c r="Z158" s="31">
        <f>IF(B158="","",IF(V158="Yes","Bought",IF(I158=0,"In stock",IF(O158="","Check - no price","On the list"))))</f>
        <v>0</v>
      </c>
    </row>
    <row r="159" spans="1:26">
      <c r="A159" s="18">
        <f>ROW()-4</f>
        <v>0</v>
      </c>
      <c r="B159" s="17">
        <f>IFERROR(INDEX(Ingredients!$B$5:$B$304,MATCH(A159,Ingredients!$AL$5:$AL$304,0)),"")</f>
        <v>0</v>
      </c>
      <c r="C159" s="17">
        <f>IF(B159="","",IFERROR(INDEX(Ingredients!$C$5:$C$304,MATCH(B159,Ingredients!$B$5:$B$304,0)),"Add to Ingredients"))</f>
        <v>0</v>
      </c>
      <c r="D159" s="17">
        <f>IF(B159="","",IFERROR(INDEX(Ingredients!$D$5:$D$304,MATCH(B159,Ingredients!$B$5:$B$304,0)),"Add to Ingredients"))</f>
        <v>0</v>
      </c>
      <c r="E159" s="17">
        <f>IF(B159="","",IFERROR(INDEX(Ingredients!$E$5:$E$304,MATCH(B159,Ingredients!$B$5:$B$304,0)),"Add to Ingredients"))</f>
        <v>0</v>
      </c>
      <c r="F159" s="45">
        <f>IF(B159="","",IFERROR(INDEX(Ingredients!$AG$5:$AG$304,MATCH(B159,Ingredients!$B$5:$B$304,0)),""))</f>
        <v>0</v>
      </c>
      <c r="G159" s="17">
        <f>IF(B159="","",IFERROR(INDEX(Ingredients!$G$5:$G$304,MATCH(B159,Ingredients!$B$5:$B$304,0)),"Add to Ingredients"))</f>
        <v>0</v>
      </c>
      <c r="H159" s="45">
        <f>IF(B159="","",IFERROR(INDEX(Ingredients!$AD$5:$AD$304,MATCH(B159,Ingredients!$B$5:$B$304,0)),0))</f>
        <v>0</v>
      </c>
      <c r="I159" s="45">
        <f>IF(F159="","",MAX(0,F159-IF(H159="",0,H159)))</f>
        <v>0</v>
      </c>
      <c r="J159" s="45">
        <f>IF(B159="","",IFERROR(INDEX(Ingredients!$H$5:$H$304,MATCH(B159,Ingredients!$B$5:$B$304,0)),"Add to Ingredients"))</f>
        <v>0</v>
      </c>
      <c r="K159" s="25">
        <f>IF(B159="","",IFERROR(INDEX(Ingredients!$I$5:$I$304,MATCH(B159,Ingredients!$B$5:$B$304,0)),"Add to Ingredients"))</f>
        <v>0</v>
      </c>
      <c r="L159" s="25">
        <f>IF(B159="","",IFERROR(INDEX(Ingredients!$J$5:$J$304,MATCH(B159,Ingredients!$B$5:$B$304,0)),"Add to Ingredients"))</f>
        <v>0</v>
      </c>
      <c r="M159" s="45">
        <f>IF(OR(I159="",I159=0),"",IF(OR(J159="",NOT(ISNUMBER(J159)),J159=0),"",ROUNDUP(I159/J159,0)))</f>
        <v>0</v>
      </c>
      <c r="N159" s="45">
        <f>IF(I159="","",IF(RoundingRule="Exact quantity",I159,IF(M159="",I159,M159*J159)))</f>
        <v>0</v>
      </c>
      <c r="O159" s="25">
        <f>IF(N159="","",IF(RoundingRule="Exact quantity",IF(L159="","",N159*L159),IF(OR(M159="",K159=""),"",M159*K159)))</f>
        <v>0</v>
      </c>
      <c r="P159" s="25">
        <f>IF(B159="","",SUM(O$5:O159))</f>
        <v>0</v>
      </c>
      <c r="Q159" s="45">
        <f>IF(V159="Yes",0,IF(N159="",0,N159))</f>
        <v>0</v>
      </c>
      <c r="R159" s="18">
        <f>IF(OR(B159="",I159=0,I159=""),"",COUNTIFS($I$5:I159,"&gt;0"))</f>
        <v>0</v>
      </c>
      <c r="S159" s="18">
        <f>IF(B159="","",COUNTIFS('Recipe Ingredients'!$D$5:$D$1204,B159,'Recipe Ingredients'!$Y$5:$Y$1204,"&gt;0"))</f>
        <v>0</v>
      </c>
      <c r="T159" s="46">
        <f>IF(B159="","",IF(COUNTIFS('Recipe Ingredients'!$D$5:$D$1204,B159,'Recipe Ingredients'!$Y$5:$Y$1204,"&gt;0",'Recipe Ingredients'!$I$5:$I$1204,"No")=0,"Yes","No"))</f>
        <v>0</v>
      </c>
      <c r="U159" s="17">
        <f>IF(B159="","",IFERROR(INDEX(Ingredients!$W$5:$W$304,MATCH(B159,Ingredients!$B$5:$B$304,0)),"Add to Ingredients"))</f>
        <v>0</v>
      </c>
      <c r="Z159" s="31">
        <f>IF(B159="","",IF(V159="Yes","Bought",IF(I159=0,"In stock",IF(O159="","Check - no price","On the list"))))</f>
        <v>0</v>
      </c>
    </row>
    <row r="160" spans="1:26">
      <c r="A160" s="18">
        <f>ROW()-4</f>
        <v>0</v>
      </c>
      <c r="B160" s="17">
        <f>IFERROR(INDEX(Ingredients!$B$5:$B$304,MATCH(A160,Ingredients!$AL$5:$AL$304,0)),"")</f>
        <v>0</v>
      </c>
      <c r="C160" s="17">
        <f>IF(B160="","",IFERROR(INDEX(Ingredients!$C$5:$C$304,MATCH(B160,Ingredients!$B$5:$B$304,0)),"Add to Ingredients"))</f>
        <v>0</v>
      </c>
      <c r="D160" s="17">
        <f>IF(B160="","",IFERROR(INDEX(Ingredients!$D$5:$D$304,MATCH(B160,Ingredients!$B$5:$B$304,0)),"Add to Ingredients"))</f>
        <v>0</v>
      </c>
      <c r="E160" s="17">
        <f>IF(B160="","",IFERROR(INDEX(Ingredients!$E$5:$E$304,MATCH(B160,Ingredients!$B$5:$B$304,0)),"Add to Ingredients"))</f>
        <v>0</v>
      </c>
      <c r="F160" s="45">
        <f>IF(B160="","",IFERROR(INDEX(Ingredients!$AG$5:$AG$304,MATCH(B160,Ingredients!$B$5:$B$304,0)),""))</f>
        <v>0</v>
      </c>
      <c r="G160" s="17">
        <f>IF(B160="","",IFERROR(INDEX(Ingredients!$G$5:$G$304,MATCH(B160,Ingredients!$B$5:$B$304,0)),"Add to Ingredients"))</f>
        <v>0</v>
      </c>
      <c r="H160" s="45">
        <f>IF(B160="","",IFERROR(INDEX(Ingredients!$AD$5:$AD$304,MATCH(B160,Ingredients!$B$5:$B$304,0)),0))</f>
        <v>0</v>
      </c>
      <c r="I160" s="45">
        <f>IF(F160="","",MAX(0,F160-IF(H160="",0,H160)))</f>
        <v>0</v>
      </c>
      <c r="J160" s="45">
        <f>IF(B160="","",IFERROR(INDEX(Ingredients!$H$5:$H$304,MATCH(B160,Ingredients!$B$5:$B$304,0)),"Add to Ingredients"))</f>
        <v>0</v>
      </c>
      <c r="K160" s="25">
        <f>IF(B160="","",IFERROR(INDEX(Ingredients!$I$5:$I$304,MATCH(B160,Ingredients!$B$5:$B$304,0)),"Add to Ingredients"))</f>
        <v>0</v>
      </c>
      <c r="L160" s="25">
        <f>IF(B160="","",IFERROR(INDEX(Ingredients!$J$5:$J$304,MATCH(B160,Ingredients!$B$5:$B$304,0)),"Add to Ingredients"))</f>
        <v>0</v>
      </c>
      <c r="M160" s="45">
        <f>IF(OR(I160="",I160=0),"",IF(OR(J160="",NOT(ISNUMBER(J160)),J160=0),"",ROUNDUP(I160/J160,0)))</f>
        <v>0</v>
      </c>
      <c r="N160" s="45">
        <f>IF(I160="","",IF(RoundingRule="Exact quantity",I160,IF(M160="",I160,M160*J160)))</f>
        <v>0</v>
      </c>
      <c r="O160" s="25">
        <f>IF(N160="","",IF(RoundingRule="Exact quantity",IF(L160="","",N160*L160),IF(OR(M160="",K160=""),"",M160*K160)))</f>
        <v>0</v>
      </c>
      <c r="P160" s="25">
        <f>IF(B160="","",SUM(O$5:O160))</f>
        <v>0</v>
      </c>
      <c r="Q160" s="45">
        <f>IF(V160="Yes",0,IF(N160="",0,N160))</f>
        <v>0</v>
      </c>
      <c r="R160" s="18">
        <f>IF(OR(B160="",I160=0,I160=""),"",COUNTIFS($I$5:I160,"&gt;0"))</f>
        <v>0</v>
      </c>
      <c r="S160" s="18">
        <f>IF(B160="","",COUNTIFS('Recipe Ingredients'!$D$5:$D$1204,B160,'Recipe Ingredients'!$Y$5:$Y$1204,"&gt;0"))</f>
        <v>0</v>
      </c>
      <c r="T160" s="46">
        <f>IF(B160="","",IF(COUNTIFS('Recipe Ingredients'!$D$5:$D$1204,B160,'Recipe Ingredients'!$Y$5:$Y$1204,"&gt;0",'Recipe Ingredients'!$I$5:$I$1204,"No")=0,"Yes","No"))</f>
        <v>0</v>
      </c>
      <c r="U160" s="17">
        <f>IF(B160="","",IFERROR(INDEX(Ingredients!$W$5:$W$304,MATCH(B160,Ingredients!$B$5:$B$304,0)),"Add to Ingredients"))</f>
        <v>0</v>
      </c>
      <c r="Z160" s="31">
        <f>IF(B160="","",IF(V160="Yes","Bought",IF(I160=0,"In stock",IF(O160="","Check - no price","On the list"))))</f>
        <v>0</v>
      </c>
    </row>
    <row r="161" spans="1:26">
      <c r="A161" s="18">
        <f>ROW()-4</f>
        <v>0</v>
      </c>
      <c r="B161" s="17">
        <f>IFERROR(INDEX(Ingredients!$B$5:$B$304,MATCH(A161,Ingredients!$AL$5:$AL$304,0)),"")</f>
        <v>0</v>
      </c>
      <c r="C161" s="17">
        <f>IF(B161="","",IFERROR(INDEX(Ingredients!$C$5:$C$304,MATCH(B161,Ingredients!$B$5:$B$304,0)),"Add to Ingredients"))</f>
        <v>0</v>
      </c>
      <c r="D161" s="17">
        <f>IF(B161="","",IFERROR(INDEX(Ingredients!$D$5:$D$304,MATCH(B161,Ingredients!$B$5:$B$304,0)),"Add to Ingredients"))</f>
        <v>0</v>
      </c>
      <c r="E161" s="17">
        <f>IF(B161="","",IFERROR(INDEX(Ingredients!$E$5:$E$304,MATCH(B161,Ingredients!$B$5:$B$304,0)),"Add to Ingredients"))</f>
        <v>0</v>
      </c>
      <c r="F161" s="45">
        <f>IF(B161="","",IFERROR(INDEX(Ingredients!$AG$5:$AG$304,MATCH(B161,Ingredients!$B$5:$B$304,0)),""))</f>
        <v>0</v>
      </c>
      <c r="G161" s="17">
        <f>IF(B161="","",IFERROR(INDEX(Ingredients!$G$5:$G$304,MATCH(B161,Ingredients!$B$5:$B$304,0)),"Add to Ingredients"))</f>
        <v>0</v>
      </c>
      <c r="H161" s="45">
        <f>IF(B161="","",IFERROR(INDEX(Ingredients!$AD$5:$AD$304,MATCH(B161,Ingredients!$B$5:$B$304,0)),0))</f>
        <v>0</v>
      </c>
      <c r="I161" s="45">
        <f>IF(F161="","",MAX(0,F161-IF(H161="",0,H161)))</f>
        <v>0</v>
      </c>
      <c r="J161" s="45">
        <f>IF(B161="","",IFERROR(INDEX(Ingredients!$H$5:$H$304,MATCH(B161,Ingredients!$B$5:$B$304,0)),"Add to Ingredients"))</f>
        <v>0</v>
      </c>
      <c r="K161" s="25">
        <f>IF(B161="","",IFERROR(INDEX(Ingredients!$I$5:$I$304,MATCH(B161,Ingredients!$B$5:$B$304,0)),"Add to Ingredients"))</f>
        <v>0</v>
      </c>
      <c r="L161" s="25">
        <f>IF(B161="","",IFERROR(INDEX(Ingredients!$J$5:$J$304,MATCH(B161,Ingredients!$B$5:$B$304,0)),"Add to Ingredients"))</f>
        <v>0</v>
      </c>
      <c r="M161" s="45">
        <f>IF(OR(I161="",I161=0),"",IF(OR(J161="",NOT(ISNUMBER(J161)),J161=0),"",ROUNDUP(I161/J161,0)))</f>
        <v>0</v>
      </c>
      <c r="N161" s="45">
        <f>IF(I161="","",IF(RoundingRule="Exact quantity",I161,IF(M161="",I161,M161*J161)))</f>
        <v>0</v>
      </c>
      <c r="O161" s="25">
        <f>IF(N161="","",IF(RoundingRule="Exact quantity",IF(L161="","",N161*L161),IF(OR(M161="",K161=""),"",M161*K161)))</f>
        <v>0</v>
      </c>
      <c r="P161" s="25">
        <f>IF(B161="","",SUM(O$5:O161))</f>
        <v>0</v>
      </c>
      <c r="Q161" s="45">
        <f>IF(V161="Yes",0,IF(N161="",0,N161))</f>
        <v>0</v>
      </c>
      <c r="R161" s="18">
        <f>IF(OR(B161="",I161=0,I161=""),"",COUNTIFS($I$5:I161,"&gt;0"))</f>
        <v>0</v>
      </c>
      <c r="S161" s="18">
        <f>IF(B161="","",COUNTIFS('Recipe Ingredients'!$D$5:$D$1204,B161,'Recipe Ingredients'!$Y$5:$Y$1204,"&gt;0"))</f>
        <v>0</v>
      </c>
      <c r="T161" s="46">
        <f>IF(B161="","",IF(COUNTIFS('Recipe Ingredients'!$D$5:$D$1204,B161,'Recipe Ingredients'!$Y$5:$Y$1204,"&gt;0",'Recipe Ingredients'!$I$5:$I$1204,"No")=0,"Yes","No"))</f>
        <v>0</v>
      </c>
      <c r="U161" s="17">
        <f>IF(B161="","",IFERROR(INDEX(Ingredients!$W$5:$W$304,MATCH(B161,Ingredients!$B$5:$B$304,0)),"Add to Ingredients"))</f>
        <v>0</v>
      </c>
      <c r="Z161" s="31">
        <f>IF(B161="","",IF(V161="Yes","Bought",IF(I161=0,"In stock",IF(O161="","Check - no price","On the list"))))</f>
        <v>0</v>
      </c>
    </row>
    <row r="162" spans="1:26">
      <c r="A162" s="18">
        <f>ROW()-4</f>
        <v>0</v>
      </c>
      <c r="B162" s="17">
        <f>IFERROR(INDEX(Ingredients!$B$5:$B$304,MATCH(A162,Ingredients!$AL$5:$AL$304,0)),"")</f>
        <v>0</v>
      </c>
      <c r="C162" s="17">
        <f>IF(B162="","",IFERROR(INDEX(Ingredients!$C$5:$C$304,MATCH(B162,Ingredients!$B$5:$B$304,0)),"Add to Ingredients"))</f>
        <v>0</v>
      </c>
      <c r="D162" s="17">
        <f>IF(B162="","",IFERROR(INDEX(Ingredients!$D$5:$D$304,MATCH(B162,Ingredients!$B$5:$B$304,0)),"Add to Ingredients"))</f>
        <v>0</v>
      </c>
      <c r="E162" s="17">
        <f>IF(B162="","",IFERROR(INDEX(Ingredients!$E$5:$E$304,MATCH(B162,Ingredients!$B$5:$B$304,0)),"Add to Ingredients"))</f>
        <v>0</v>
      </c>
      <c r="F162" s="45">
        <f>IF(B162="","",IFERROR(INDEX(Ingredients!$AG$5:$AG$304,MATCH(B162,Ingredients!$B$5:$B$304,0)),""))</f>
        <v>0</v>
      </c>
      <c r="G162" s="17">
        <f>IF(B162="","",IFERROR(INDEX(Ingredients!$G$5:$G$304,MATCH(B162,Ingredients!$B$5:$B$304,0)),"Add to Ingredients"))</f>
        <v>0</v>
      </c>
      <c r="H162" s="45">
        <f>IF(B162="","",IFERROR(INDEX(Ingredients!$AD$5:$AD$304,MATCH(B162,Ingredients!$B$5:$B$304,0)),0))</f>
        <v>0</v>
      </c>
      <c r="I162" s="45">
        <f>IF(F162="","",MAX(0,F162-IF(H162="",0,H162)))</f>
        <v>0</v>
      </c>
      <c r="J162" s="45">
        <f>IF(B162="","",IFERROR(INDEX(Ingredients!$H$5:$H$304,MATCH(B162,Ingredients!$B$5:$B$304,0)),"Add to Ingredients"))</f>
        <v>0</v>
      </c>
      <c r="K162" s="25">
        <f>IF(B162="","",IFERROR(INDEX(Ingredients!$I$5:$I$304,MATCH(B162,Ingredients!$B$5:$B$304,0)),"Add to Ingredients"))</f>
        <v>0</v>
      </c>
      <c r="L162" s="25">
        <f>IF(B162="","",IFERROR(INDEX(Ingredients!$J$5:$J$304,MATCH(B162,Ingredients!$B$5:$B$304,0)),"Add to Ingredients"))</f>
        <v>0</v>
      </c>
      <c r="M162" s="45">
        <f>IF(OR(I162="",I162=0),"",IF(OR(J162="",NOT(ISNUMBER(J162)),J162=0),"",ROUNDUP(I162/J162,0)))</f>
        <v>0</v>
      </c>
      <c r="N162" s="45">
        <f>IF(I162="","",IF(RoundingRule="Exact quantity",I162,IF(M162="",I162,M162*J162)))</f>
        <v>0</v>
      </c>
      <c r="O162" s="25">
        <f>IF(N162="","",IF(RoundingRule="Exact quantity",IF(L162="","",N162*L162),IF(OR(M162="",K162=""),"",M162*K162)))</f>
        <v>0</v>
      </c>
      <c r="P162" s="25">
        <f>IF(B162="","",SUM(O$5:O162))</f>
        <v>0</v>
      </c>
      <c r="Q162" s="45">
        <f>IF(V162="Yes",0,IF(N162="",0,N162))</f>
        <v>0</v>
      </c>
      <c r="R162" s="18">
        <f>IF(OR(B162="",I162=0,I162=""),"",COUNTIFS($I$5:I162,"&gt;0"))</f>
        <v>0</v>
      </c>
      <c r="S162" s="18">
        <f>IF(B162="","",COUNTIFS('Recipe Ingredients'!$D$5:$D$1204,B162,'Recipe Ingredients'!$Y$5:$Y$1204,"&gt;0"))</f>
        <v>0</v>
      </c>
      <c r="T162" s="46">
        <f>IF(B162="","",IF(COUNTIFS('Recipe Ingredients'!$D$5:$D$1204,B162,'Recipe Ingredients'!$Y$5:$Y$1204,"&gt;0",'Recipe Ingredients'!$I$5:$I$1204,"No")=0,"Yes","No"))</f>
        <v>0</v>
      </c>
      <c r="U162" s="17">
        <f>IF(B162="","",IFERROR(INDEX(Ingredients!$W$5:$W$304,MATCH(B162,Ingredients!$B$5:$B$304,0)),"Add to Ingredients"))</f>
        <v>0</v>
      </c>
      <c r="Z162" s="31">
        <f>IF(B162="","",IF(V162="Yes","Bought",IF(I162=0,"In stock",IF(O162="","Check - no price","On the list"))))</f>
        <v>0</v>
      </c>
    </row>
    <row r="163" spans="1:26">
      <c r="A163" s="18">
        <f>ROW()-4</f>
        <v>0</v>
      </c>
      <c r="B163" s="17">
        <f>IFERROR(INDEX(Ingredients!$B$5:$B$304,MATCH(A163,Ingredients!$AL$5:$AL$304,0)),"")</f>
        <v>0</v>
      </c>
      <c r="C163" s="17">
        <f>IF(B163="","",IFERROR(INDEX(Ingredients!$C$5:$C$304,MATCH(B163,Ingredients!$B$5:$B$304,0)),"Add to Ingredients"))</f>
        <v>0</v>
      </c>
      <c r="D163" s="17">
        <f>IF(B163="","",IFERROR(INDEX(Ingredients!$D$5:$D$304,MATCH(B163,Ingredients!$B$5:$B$304,0)),"Add to Ingredients"))</f>
        <v>0</v>
      </c>
      <c r="E163" s="17">
        <f>IF(B163="","",IFERROR(INDEX(Ingredients!$E$5:$E$304,MATCH(B163,Ingredients!$B$5:$B$304,0)),"Add to Ingredients"))</f>
        <v>0</v>
      </c>
      <c r="F163" s="45">
        <f>IF(B163="","",IFERROR(INDEX(Ingredients!$AG$5:$AG$304,MATCH(B163,Ingredients!$B$5:$B$304,0)),""))</f>
        <v>0</v>
      </c>
      <c r="G163" s="17">
        <f>IF(B163="","",IFERROR(INDEX(Ingredients!$G$5:$G$304,MATCH(B163,Ingredients!$B$5:$B$304,0)),"Add to Ingredients"))</f>
        <v>0</v>
      </c>
      <c r="H163" s="45">
        <f>IF(B163="","",IFERROR(INDEX(Ingredients!$AD$5:$AD$304,MATCH(B163,Ingredients!$B$5:$B$304,0)),0))</f>
        <v>0</v>
      </c>
      <c r="I163" s="45">
        <f>IF(F163="","",MAX(0,F163-IF(H163="",0,H163)))</f>
        <v>0</v>
      </c>
      <c r="J163" s="45">
        <f>IF(B163="","",IFERROR(INDEX(Ingredients!$H$5:$H$304,MATCH(B163,Ingredients!$B$5:$B$304,0)),"Add to Ingredients"))</f>
        <v>0</v>
      </c>
      <c r="K163" s="25">
        <f>IF(B163="","",IFERROR(INDEX(Ingredients!$I$5:$I$304,MATCH(B163,Ingredients!$B$5:$B$304,0)),"Add to Ingredients"))</f>
        <v>0</v>
      </c>
      <c r="L163" s="25">
        <f>IF(B163="","",IFERROR(INDEX(Ingredients!$J$5:$J$304,MATCH(B163,Ingredients!$B$5:$B$304,0)),"Add to Ingredients"))</f>
        <v>0</v>
      </c>
      <c r="M163" s="45">
        <f>IF(OR(I163="",I163=0),"",IF(OR(J163="",NOT(ISNUMBER(J163)),J163=0),"",ROUNDUP(I163/J163,0)))</f>
        <v>0</v>
      </c>
      <c r="N163" s="45">
        <f>IF(I163="","",IF(RoundingRule="Exact quantity",I163,IF(M163="",I163,M163*J163)))</f>
        <v>0</v>
      </c>
      <c r="O163" s="25">
        <f>IF(N163="","",IF(RoundingRule="Exact quantity",IF(L163="","",N163*L163),IF(OR(M163="",K163=""),"",M163*K163)))</f>
        <v>0</v>
      </c>
      <c r="P163" s="25">
        <f>IF(B163="","",SUM(O$5:O163))</f>
        <v>0</v>
      </c>
      <c r="Q163" s="45">
        <f>IF(V163="Yes",0,IF(N163="",0,N163))</f>
        <v>0</v>
      </c>
      <c r="R163" s="18">
        <f>IF(OR(B163="",I163=0,I163=""),"",COUNTIFS($I$5:I163,"&gt;0"))</f>
        <v>0</v>
      </c>
      <c r="S163" s="18">
        <f>IF(B163="","",COUNTIFS('Recipe Ingredients'!$D$5:$D$1204,B163,'Recipe Ingredients'!$Y$5:$Y$1204,"&gt;0"))</f>
        <v>0</v>
      </c>
      <c r="T163" s="46">
        <f>IF(B163="","",IF(COUNTIFS('Recipe Ingredients'!$D$5:$D$1204,B163,'Recipe Ingredients'!$Y$5:$Y$1204,"&gt;0",'Recipe Ingredients'!$I$5:$I$1204,"No")=0,"Yes","No"))</f>
        <v>0</v>
      </c>
      <c r="U163" s="17">
        <f>IF(B163="","",IFERROR(INDEX(Ingredients!$W$5:$W$304,MATCH(B163,Ingredients!$B$5:$B$304,0)),"Add to Ingredients"))</f>
        <v>0</v>
      </c>
      <c r="Z163" s="31">
        <f>IF(B163="","",IF(V163="Yes","Bought",IF(I163=0,"In stock",IF(O163="","Check - no price","On the list"))))</f>
        <v>0</v>
      </c>
    </row>
    <row r="164" spans="1:26">
      <c r="A164" s="18">
        <f>ROW()-4</f>
        <v>0</v>
      </c>
      <c r="B164" s="17">
        <f>IFERROR(INDEX(Ingredients!$B$5:$B$304,MATCH(A164,Ingredients!$AL$5:$AL$304,0)),"")</f>
        <v>0</v>
      </c>
      <c r="C164" s="17">
        <f>IF(B164="","",IFERROR(INDEX(Ingredients!$C$5:$C$304,MATCH(B164,Ingredients!$B$5:$B$304,0)),"Add to Ingredients"))</f>
        <v>0</v>
      </c>
      <c r="D164" s="17">
        <f>IF(B164="","",IFERROR(INDEX(Ingredients!$D$5:$D$304,MATCH(B164,Ingredients!$B$5:$B$304,0)),"Add to Ingredients"))</f>
        <v>0</v>
      </c>
      <c r="E164" s="17">
        <f>IF(B164="","",IFERROR(INDEX(Ingredients!$E$5:$E$304,MATCH(B164,Ingredients!$B$5:$B$304,0)),"Add to Ingredients"))</f>
        <v>0</v>
      </c>
      <c r="F164" s="45">
        <f>IF(B164="","",IFERROR(INDEX(Ingredients!$AG$5:$AG$304,MATCH(B164,Ingredients!$B$5:$B$304,0)),""))</f>
        <v>0</v>
      </c>
      <c r="G164" s="17">
        <f>IF(B164="","",IFERROR(INDEX(Ingredients!$G$5:$G$304,MATCH(B164,Ingredients!$B$5:$B$304,0)),"Add to Ingredients"))</f>
        <v>0</v>
      </c>
      <c r="H164" s="45">
        <f>IF(B164="","",IFERROR(INDEX(Ingredients!$AD$5:$AD$304,MATCH(B164,Ingredients!$B$5:$B$304,0)),0))</f>
        <v>0</v>
      </c>
      <c r="I164" s="45">
        <f>IF(F164="","",MAX(0,F164-IF(H164="",0,H164)))</f>
        <v>0</v>
      </c>
      <c r="J164" s="45">
        <f>IF(B164="","",IFERROR(INDEX(Ingredients!$H$5:$H$304,MATCH(B164,Ingredients!$B$5:$B$304,0)),"Add to Ingredients"))</f>
        <v>0</v>
      </c>
      <c r="K164" s="25">
        <f>IF(B164="","",IFERROR(INDEX(Ingredients!$I$5:$I$304,MATCH(B164,Ingredients!$B$5:$B$304,0)),"Add to Ingredients"))</f>
        <v>0</v>
      </c>
      <c r="L164" s="25">
        <f>IF(B164="","",IFERROR(INDEX(Ingredients!$J$5:$J$304,MATCH(B164,Ingredients!$B$5:$B$304,0)),"Add to Ingredients"))</f>
        <v>0</v>
      </c>
      <c r="M164" s="45">
        <f>IF(OR(I164="",I164=0),"",IF(OR(J164="",NOT(ISNUMBER(J164)),J164=0),"",ROUNDUP(I164/J164,0)))</f>
        <v>0</v>
      </c>
      <c r="N164" s="45">
        <f>IF(I164="","",IF(RoundingRule="Exact quantity",I164,IF(M164="",I164,M164*J164)))</f>
        <v>0</v>
      </c>
      <c r="O164" s="25">
        <f>IF(N164="","",IF(RoundingRule="Exact quantity",IF(L164="","",N164*L164),IF(OR(M164="",K164=""),"",M164*K164)))</f>
        <v>0</v>
      </c>
      <c r="P164" s="25">
        <f>IF(B164="","",SUM(O$5:O164))</f>
        <v>0</v>
      </c>
      <c r="Q164" s="45">
        <f>IF(V164="Yes",0,IF(N164="",0,N164))</f>
        <v>0</v>
      </c>
      <c r="R164" s="18">
        <f>IF(OR(B164="",I164=0,I164=""),"",COUNTIFS($I$5:I164,"&gt;0"))</f>
        <v>0</v>
      </c>
      <c r="S164" s="18">
        <f>IF(B164="","",COUNTIFS('Recipe Ingredients'!$D$5:$D$1204,B164,'Recipe Ingredients'!$Y$5:$Y$1204,"&gt;0"))</f>
        <v>0</v>
      </c>
      <c r="T164" s="46">
        <f>IF(B164="","",IF(COUNTIFS('Recipe Ingredients'!$D$5:$D$1204,B164,'Recipe Ingredients'!$Y$5:$Y$1204,"&gt;0",'Recipe Ingredients'!$I$5:$I$1204,"No")=0,"Yes","No"))</f>
        <v>0</v>
      </c>
      <c r="U164" s="17">
        <f>IF(B164="","",IFERROR(INDEX(Ingredients!$W$5:$W$304,MATCH(B164,Ingredients!$B$5:$B$304,0)),"Add to Ingredients"))</f>
        <v>0</v>
      </c>
      <c r="Z164" s="31">
        <f>IF(B164="","",IF(V164="Yes","Bought",IF(I164=0,"In stock",IF(O164="","Check - no price","On the list"))))</f>
        <v>0</v>
      </c>
    </row>
    <row r="165" spans="1:26">
      <c r="A165" s="18">
        <f>ROW()-4</f>
        <v>0</v>
      </c>
      <c r="B165" s="17">
        <f>IFERROR(INDEX(Ingredients!$B$5:$B$304,MATCH(A165,Ingredients!$AL$5:$AL$304,0)),"")</f>
        <v>0</v>
      </c>
      <c r="C165" s="17">
        <f>IF(B165="","",IFERROR(INDEX(Ingredients!$C$5:$C$304,MATCH(B165,Ingredients!$B$5:$B$304,0)),"Add to Ingredients"))</f>
        <v>0</v>
      </c>
      <c r="D165" s="17">
        <f>IF(B165="","",IFERROR(INDEX(Ingredients!$D$5:$D$304,MATCH(B165,Ingredients!$B$5:$B$304,0)),"Add to Ingredients"))</f>
        <v>0</v>
      </c>
      <c r="E165" s="17">
        <f>IF(B165="","",IFERROR(INDEX(Ingredients!$E$5:$E$304,MATCH(B165,Ingredients!$B$5:$B$304,0)),"Add to Ingredients"))</f>
        <v>0</v>
      </c>
      <c r="F165" s="45">
        <f>IF(B165="","",IFERROR(INDEX(Ingredients!$AG$5:$AG$304,MATCH(B165,Ingredients!$B$5:$B$304,0)),""))</f>
        <v>0</v>
      </c>
      <c r="G165" s="17">
        <f>IF(B165="","",IFERROR(INDEX(Ingredients!$G$5:$G$304,MATCH(B165,Ingredients!$B$5:$B$304,0)),"Add to Ingredients"))</f>
        <v>0</v>
      </c>
      <c r="H165" s="45">
        <f>IF(B165="","",IFERROR(INDEX(Ingredients!$AD$5:$AD$304,MATCH(B165,Ingredients!$B$5:$B$304,0)),0))</f>
        <v>0</v>
      </c>
      <c r="I165" s="45">
        <f>IF(F165="","",MAX(0,F165-IF(H165="",0,H165)))</f>
        <v>0</v>
      </c>
      <c r="J165" s="45">
        <f>IF(B165="","",IFERROR(INDEX(Ingredients!$H$5:$H$304,MATCH(B165,Ingredients!$B$5:$B$304,0)),"Add to Ingredients"))</f>
        <v>0</v>
      </c>
      <c r="K165" s="25">
        <f>IF(B165="","",IFERROR(INDEX(Ingredients!$I$5:$I$304,MATCH(B165,Ingredients!$B$5:$B$304,0)),"Add to Ingredients"))</f>
        <v>0</v>
      </c>
      <c r="L165" s="25">
        <f>IF(B165="","",IFERROR(INDEX(Ingredients!$J$5:$J$304,MATCH(B165,Ingredients!$B$5:$B$304,0)),"Add to Ingredients"))</f>
        <v>0</v>
      </c>
      <c r="M165" s="45">
        <f>IF(OR(I165="",I165=0),"",IF(OR(J165="",NOT(ISNUMBER(J165)),J165=0),"",ROUNDUP(I165/J165,0)))</f>
        <v>0</v>
      </c>
      <c r="N165" s="45">
        <f>IF(I165="","",IF(RoundingRule="Exact quantity",I165,IF(M165="",I165,M165*J165)))</f>
        <v>0</v>
      </c>
      <c r="O165" s="25">
        <f>IF(N165="","",IF(RoundingRule="Exact quantity",IF(L165="","",N165*L165),IF(OR(M165="",K165=""),"",M165*K165)))</f>
        <v>0</v>
      </c>
      <c r="P165" s="25">
        <f>IF(B165="","",SUM(O$5:O165))</f>
        <v>0</v>
      </c>
      <c r="Q165" s="45">
        <f>IF(V165="Yes",0,IF(N165="",0,N165))</f>
        <v>0</v>
      </c>
      <c r="R165" s="18">
        <f>IF(OR(B165="",I165=0,I165=""),"",COUNTIFS($I$5:I165,"&gt;0"))</f>
        <v>0</v>
      </c>
      <c r="S165" s="18">
        <f>IF(B165="","",COUNTIFS('Recipe Ingredients'!$D$5:$D$1204,B165,'Recipe Ingredients'!$Y$5:$Y$1204,"&gt;0"))</f>
        <v>0</v>
      </c>
      <c r="T165" s="46">
        <f>IF(B165="","",IF(COUNTIFS('Recipe Ingredients'!$D$5:$D$1204,B165,'Recipe Ingredients'!$Y$5:$Y$1204,"&gt;0",'Recipe Ingredients'!$I$5:$I$1204,"No")=0,"Yes","No"))</f>
        <v>0</v>
      </c>
      <c r="U165" s="17">
        <f>IF(B165="","",IFERROR(INDEX(Ingredients!$W$5:$W$304,MATCH(B165,Ingredients!$B$5:$B$304,0)),"Add to Ingredients"))</f>
        <v>0</v>
      </c>
      <c r="Z165" s="31">
        <f>IF(B165="","",IF(V165="Yes","Bought",IF(I165=0,"In stock",IF(O165="","Check - no price","On the list"))))</f>
        <v>0</v>
      </c>
    </row>
    <row r="166" spans="1:26">
      <c r="A166" s="18">
        <f>ROW()-4</f>
        <v>0</v>
      </c>
      <c r="B166" s="17">
        <f>IFERROR(INDEX(Ingredients!$B$5:$B$304,MATCH(A166,Ingredients!$AL$5:$AL$304,0)),"")</f>
        <v>0</v>
      </c>
      <c r="C166" s="17">
        <f>IF(B166="","",IFERROR(INDEX(Ingredients!$C$5:$C$304,MATCH(B166,Ingredients!$B$5:$B$304,0)),"Add to Ingredients"))</f>
        <v>0</v>
      </c>
      <c r="D166" s="17">
        <f>IF(B166="","",IFERROR(INDEX(Ingredients!$D$5:$D$304,MATCH(B166,Ingredients!$B$5:$B$304,0)),"Add to Ingredients"))</f>
        <v>0</v>
      </c>
      <c r="E166" s="17">
        <f>IF(B166="","",IFERROR(INDEX(Ingredients!$E$5:$E$304,MATCH(B166,Ingredients!$B$5:$B$304,0)),"Add to Ingredients"))</f>
        <v>0</v>
      </c>
      <c r="F166" s="45">
        <f>IF(B166="","",IFERROR(INDEX(Ingredients!$AG$5:$AG$304,MATCH(B166,Ingredients!$B$5:$B$304,0)),""))</f>
        <v>0</v>
      </c>
      <c r="G166" s="17">
        <f>IF(B166="","",IFERROR(INDEX(Ingredients!$G$5:$G$304,MATCH(B166,Ingredients!$B$5:$B$304,0)),"Add to Ingredients"))</f>
        <v>0</v>
      </c>
      <c r="H166" s="45">
        <f>IF(B166="","",IFERROR(INDEX(Ingredients!$AD$5:$AD$304,MATCH(B166,Ingredients!$B$5:$B$304,0)),0))</f>
        <v>0</v>
      </c>
      <c r="I166" s="45">
        <f>IF(F166="","",MAX(0,F166-IF(H166="",0,H166)))</f>
        <v>0</v>
      </c>
      <c r="J166" s="45">
        <f>IF(B166="","",IFERROR(INDEX(Ingredients!$H$5:$H$304,MATCH(B166,Ingredients!$B$5:$B$304,0)),"Add to Ingredients"))</f>
        <v>0</v>
      </c>
      <c r="K166" s="25">
        <f>IF(B166="","",IFERROR(INDEX(Ingredients!$I$5:$I$304,MATCH(B166,Ingredients!$B$5:$B$304,0)),"Add to Ingredients"))</f>
        <v>0</v>
      </c>
      <c r="L166" s="25">
        <f>IF(B166="","",IFERROR(INDEX(Ingredients!$J$5:$J$304,MATCH(B166,Ingredients!$B$5:$B$304,0)),"Add to Ingredients"))</f>
        <v>0</v>
      </c>
      <c r="M166" s="45">
        <f>IF(OR(I166="",I166=0),"",IF(OR(J166="",NOT(ISNUMBER(J166)),J166=0),"",ROUNDUP(I166/J166,0)))</f>
        <v>0</v>
      </c>
      <c r="N166" s="45">
        <f>IF(I166="","",IF(RoundingRule="Exact quantity",I166,IF(M166="",I166,M166*J166)))</f>
        <v>0</v>
      </c>
      <c r="O166" s="25">
        <f>IF(N166="","",IF(RoundingRule="Exact quantity",IF(L166="","",N166*L166),IF(OR(M166="",K166=""),"",M166*K166)))</f>
        <v>0</v>
      </c>
      <c r="P166" s="25">
        <f>IF(B166="","",SUM(O$5:O166))</f>
        <v>0</v>
      </c>
      <c r="Q166" s="45">
        <f>IF(V166="Yes",0,IF(N166="",0,N166))</f>
        <v>0</v>
      </c>
      <c r="R166" s="18">
        <f>IF(OR(B166="",I166=0,I166=""),"",COUNTIFS($I$5:I166,"&gt;0"))</f>
        <v>0</v>
      </c>
      <c r="S166" s="18">
        <f>IF(B166="","",COUNTIFS('Recipe Ingredients'!$D$5:$D$1204,B166,'Recipe Ingredients'!$Y$5:$Y$1204,"&gt;0"))</f>
        <v>0</v>
      </c>
      <c r="T166" s="46">
        <f>IF(B166="","",IF(COUNTIFS('Recipe Ingredients'!$D$5:$D$1204,B166,'Recipe Ingredients'!$Y$5:$Y$1204,"&gt;0",'Recipe Ingredients'!$I$5:$I$1204,"No")=0,"Yes","No"))</f>
        <v>0</v>
      </c>
      <c r="U166" s="17">
        <f>IF(B166="","",IFERROR(INDEX(Ingredients!$W$5:$W$304,MATCH(B166,Ingredients!$B$5:$B$304,0)),"Add to Ingredients"))</f>
        <v>0</v>
      </c>
      <c r="Z166" s="31">
        <f>IF(B166="","",IF(V166="Yes","Bought",IF(I166=0,"In stock",IF(O166="","Check - no price","On the list"))))</f>
        <v>0</v>
      </c>
    </row>
    <row r="167" spans="1:26">
      <c r="A167" s="18">
        <f>ROW()-4</f>
        <v>0</v>
      </c>
      <c r="B167" s="17">
        <f>IFERROR(INDEX(Ingredients!$B$5:$B$304,MATCH(A167,Ingredients!$AL$5:$AL$304,0)),"")</f>
        <v>0</v>
      </c>
      <c r="C167" s="17">
        <f>IF(B167="","",IFERROR(INDEX(Ingredients!$C$5:$C$304,MATCH(B167,Ingredients!$B$5:$B$304,0)),"Add to Ingredients"))</f>
        <v>0</v>
      </c>
      <c r="D167" s="17">
        <f>IF(B167="","",IFERROR(INDEX(Ingredients!$D$5:$D$304,MATCH(B167,Ingredients!$B$5:$B$304,0)),"Add to Ingredients"))</f>
        <v>0</v>
      </c>
      <c r="E167" s="17">
        <f>IF(B167="","",IFERROR(INDEX(Ingredients!$E$5:$E$304,MATCH(B167,Ingredients!$B$5:$B$304,0)),"Add to Ingredients"))</f>
        <v>0</v>
      </c>
      <c r="F167" s="45">
        <f>IF(B167="","",IFERROR(INDEX(Ingredients!$AG$5:$AG$304,MATCH(B167,Ingredients!$B$5:$B$304,0)),""))</f>
        <v>0</v>
      </c>
      <c r="G167" s="17">
        <f>IF(B167="","",IFERROR(INDEX(Ingredients!$G$5:$G$304,MATCH(B167,Ingredients!$B$5:$B$304,0)),"Add to Ingredients"))</f>
        <v>0</v>
      </c>
      <c r="H167" s="45">
        <f>IF(B167="","",IFERROR(INDEX(Ingredients!$AD$5:$AD$304,MATCH(B167,Ingredients!$B$5:$B$304,0)),0))</f>
        <v>0</v>
      </c>
      <c r="I167" s="45">
        <f>IF(F167="","",MAX(0,F167-IF(H167="",0,H167)))</f>
        <v>0</v>
      </c>
      <c r="J167" s="45">
        <f>IF(B167="","",IFERROR(INDEX(Ingredients!$H$5:$H$304,MATCH(B167,Ingredients!$B$5:$B$304,0)),"Add to Ingredients"))</f>
        <v>0</v>
      </c>
      <c r="K167" s="25">
        <f>IF(B167="","",IFERROR(INDEX(Ingredients!$I$5:$I$304,MATCH(B167,Ingredients!$B$5:$B$304,0)),"Add to Ingredients"))</f>
        <v>0</v>
      </c>
      <c r="L167" s="25">
        <f>IF(B167="","",IFERROR(INDEX(Ingredients!$J$5:$J$304,MATCH(B167,Ingredients!$B$5:$B$304,0)),"Add to Ingredients"))</f>
        <v>0</v>
      </c>
      <c r="M167" s="45">
        <f>IF(OR(I167="",I167=0),"",IF(OR(J167="",NOT(ISNUMBER(J167)),J167=0),"",ROUNDUP(I167/J167,0)))</f>
        <v>0</v>
      </c>
      <c r="N167" s="45">
        <f>IF(I167="","",IF(RoundingRule="Exact quantity",I167,IF(M167="",I167,M167*J167)))</f>
        <v>0</v>
      </c>
      <c r="O167" s="25">
        <f>IF(N167="","",IF(RoundingRule="Exact quantity",IF(L167="","",N167*L167),IF(OR(M167="",K167=""),"",M167*K167)))</f>
        <v>0</v>
      </c>
      <c r="P167" s="25">
        <f>IF(B167="","",SUM(O$5:O167))</f>
        <v>0</v>
      </c>
      <c r="Q167" s="45">
        <f>IF(V167="Yes",0,IF(N167="",0,N167))</f>
        <v>0</v>
      </c>
      <c r="R167" s="18">
        <f>IF(OR(B167="",I167=0,I167=""),"",COUNTIFS($I$5:I167,"&gt;0"))</f>
        <v>0</v>
      </c>
      <c r="S167" s="18">
        <f>IF(B167="","",COUNTIFS('Recipe Ingredients'!$D$5:$D$1204,B167,'Recipe Ingredients'!$Y$5:$Y$1204,"&gt;0"))</f>
        <v>0</v>
      </c>
      <c r="T167" s="46">
        <f>IF(B167="","",IF(COUNTIFS('Recipe Ingredients'!$D$5:$D$1204,B167,'Recipe Ingredients'!$Y$5:$Y$1204,"&gt;0",'Recipe Ingredients'!$I$5:$I$1204,"No")=0,"Yes","No"))</f>
        <v>0</v>
      </c>
      <c r="U167" s="17">
        <f>IF(B167="","",IFERROR(INDEX(Ingredients!$W$5:$W$304,MATCH(B167,Ingredients!$B$5:$B$304,0)),"Add to Ingredients"))</f>
        <v>0</v>
      </c>
      <c r="Z167" s="31">
        <f>IF(B167="","",IF(V167="Yes","Bought",IF(I167=0,"In stock",IF(O167="","Check - no price","On the list"))))</f>
        <v>0</v>
      </c>
    </row>
    <row r="168" spans="1:26">
      <c r="A168" s="18">
        <f>ROW()-4</f>
        <v>0</v>
      </c>
      <c r="B168" s="17">
        <f>IFERROR(INDEX(Ingredients!$B$5:$B$304,MATCH(A168,Ingredients!$AL$5:$AL$304,0)),"")</f>
        <v>0</v>
      </c>
      <c r="C168" s="17">
        <f>IF(B168="","",IFERROR(INDEX(Ingredients!$C$5:$C$304,MATCH(B168,Ingredients!$B$5:$B$304,0)),"Add to Ingredients"))</f>
        <v>0</v>
      </c>
      <c r="D168" s="17">
        <f>IF(B168="","",IFERROR(INDEX(Ingredients!$D$5:$D$304,MATCH(B168,Ingredients!$B$5:$B$304,0)),"Add to Ingredients"))</f>
        <v>0</v>
      </c>
      <c r="E168" s="17">
        <f>IF(B168="","",IFERROR(INDEX(Ingredients!$E$5:$E$304,MATCH(B168,Ingredients!$B$5:$B$304,0)),"Add to Ingredients"))</f>
        <v>0</v>
      </c>
      <c r="F168" s="45">
        <f>IF(B168="","",IFERROR(INDEX(Ingredients!$AG$5:$AG$304,MATCH(B168,Ingredients!$B$5:$B$304,0)),""))</f>
        <v>0</v>
      </c>
      <c r="G168" s="17">
        <f>IF(B168="","",IFERROR(INDEX(Ingredients!$G$5:$G$304,MATCH(B168,Ingredients!$B$5:$B$304,0)),"Add to Ingredients"))</f>
        <v>0</v>
      </c>
      <c r="H168" s="45">
        <f>IF(B168="","",IFERROR(INDEX(Ingredients!$AD$5:$AD$304,MATCH(B168,Ingredients!$B$5:$B$304,0)),0))</f>
        <v>0</v>
      </c>
      <c r="I168" s="45">
        <f>IF(F168="","",MAX(0,F168-IF(H168="",0,H168)))</f>
        <v>0</v>
      </c>
      <c r="J168" s="45">
        <f>IF(B168="","",IFERROR(INDEX(Ingredients!$H$5:$H$304,MATCH(B168,Ingredients!$B$5:$B$304,0)),"Add to Ingredients"))</f>
        <v>0</v>
      </c>
      <c r="K168" s="25">
        <f>IF(B168="","",IFERROR(INDEX(Ingredients!$I$5:$I$304,MATCH(B168,Ingredients!$B$5:$B$304,0)),"Add to Ingredients"))</f>
        <v>0</v>
      </c>
      <c r="L168" s="25">
        <f>IF(B168="","",IFERROR(INDEX(Ingredients!$J$5:$J$304,MATCH(B168,Ingredients!$B$5:$B$304,0)),"Add to Ingredients"))</f>
        <v>0</v>
      </c>
      <c r="M168" s="45">
        <f>IF(OR(I168="",I168=0),"",IF(OR(J168="",NOT(ISNUMBER(J168)),J168=0),"",ROUNDUP(I168/J168,0)))</f>
        <v>0</v>
      </c>
      <c r="N168" s="45">
        <f>IF(I168="","",IF(RoundingRule="Exact quantity",I168,IF(M168="",I168,M168*J168)))</f>
        <v>0</v>
      </c>
      <c r="O168" s="25">
        <f>IF(N168="","",IF(RoundingRule="Exact quantity",IF(L168="","",N168*L168),IF(OR(M168="",K168=""),"",M168*K168)))</f>
        <v>0</v>
      </c>
      <c r="P168" s="25">
        <f>IF(B168="","",SUM(O$5:O168))</f>
        <v>0</v>
      </c>
      <c r="Q168" s="45">
        <f>IF(V168="Yes",0,IF(N168="",0,N168))</f>
        <v>0</v>
      </c>
      <c r="R168" s="18">
        <f>IF(OR(B168="",I168=0,I168=""),"",COUNTIFS($I$5:I168,"&gt;0"))</f>
        <v>0</v>
      </c>
      <c r="S168" s="18">
        <f>IF(B168="","",COUNTIFS('Recipe Ingredients'!$D$5:$D$1204,B168,'Recipe Ingredients'!$Y$5:$Y$1204,"&gt;0"))</f>
        <v>0</v>
      </c>
      <c r="T168" s="46">
        <f>IF(B168="","",IF(COUNTIFS('Recipe Ingredients'!$D$5:$D$1204,B168,'Recipe Ingredients'!$Y$5:$Y$1204,"&gt;0",'Recipe Ingredients'!$I$5:$I$1204,"No")=0,"Yes","No"))</f>
        <v>0</v>
      </c>
      <c r="U168" s="17">
        <f>IF(B168="","",IFERROR(INDEX(Ingredients!$W$5:$W$304,MATCH(B168,Ingredients!$B$5:$B$304,0)),"Add to Ingredients"))</f>
        <v>0</v>
      </c>
      <c r="Z168" s="31">
        <f>IF(B168="","",IF(V168="Yes","Bought",IF(I168=0,"In stock",IF(O168="","Check - no price","On the list"))))</f>
        <v>0</v>
      </c>
    </row>
    <row r="169" spans="1:26">
      <c r="A169" s="18">
        <f>ROW()-4</f>
        <v>0</v>
      </c>
      <c r="B169" s="17">
        <f>IFERROR(INDEX(Ingredients!$B$5:$B$304,MATCH(A169,Ingredients!$AL$5:$AL$304,0)),"")</f>
        <v>0</v>
      </c>
      <c r="C169" s="17">
        <f>IF(B169="","",IFERROR(INDEX(Ingredients!$C$5:$C$304,MATCH(B169,Ingredients!$B$5:$B$304,0)),"Add to Ingredients"))</f>
        <v>0</v>
      </c>
      <c r="D169" s="17">
        <f>IF(B169="","",IFERROR(INDEX(Ingredients!$D$5:$D$304,MATCH(B169,Ingredients!$B$5:$B$304,0)),"Add to Ingredients"))</f>
        <v>0</v>
      </c>
      <c r="E169" s="17">
        <f>IF(B169="","",IFERROR(INDEX(Ingredients!$E$5:$E$304,MATCH(B169,Ingredients!$B$5:$B$304,0)),"Add to Ingredients"))</f>
        <v>0</v>
      </c>
      <c r="F169" s="45">
        <f>IF(B169="","",IFERROR(INDEX(Ingredients!$AG$5:$AG$304,MATCH(B169,Ingredients!$B$5:$B$304,0)),""))</f>
        <v>0</v>
      </c>
      <c r="G169" s="17">
        <f>IF(B169="","",IFERROR(INDEX(Ingredients!$G$5:$G$304,MATCH(B169,Ingredients!$B$5:$B$304,0)),"Add to Ingredients"))</f>
        <v>0</v>
      </c>
      <c r="H169" s="45">
        <f>IF(B169="","",IFERROR(INDEX(Ingredients!$AD$5:$AD$304,MATCH(B169,Ingredients!$B$5:$B$304,0)),0))</f>
        <v>0</v>
      </c>
      <c r="I169" s="45">
        <f>IF(F169="","",MAX(0,F169-IF(H169="",0,H169)))</f>
        <v>0</v>
      </c>
      <c r="J169" s="45">
        <f>IF(B169="","",IFERROR(INDEX(Ingredients!$H$5:$H$304,MATCH(B169,Ingredients!$B$5:$B$304,0)),"Add to Ingredients"))</f>
        <v>0</v>
      </c>
      <c r="K169" s="25">
        <f>IF(B169="","",IFERROR(INDEX(Ingredients!$I$5:$I$304,MATCH(B169,Ingredients!$B$5:$B$304,0)),"Add to Ingredients"))</f>
        <v>0</v>
      </c>
      <c r="L169" s="25">
        <f>IF(B169="","",IFERROR(INDEX(Ingredients!$J$5:$J$304,MATCH(B169,Ingredients!$B$5:$B$304,0)),"Add to Ingredients"))</f>
        <v>0</v>
      </c>
      <c r="M169" s="45">
        <f>IF(OR(I169="",I169=0),"",IF(OR(J169="",NOT(ISNUMBER(J169)),J169=0),"",ROUNDUP(I169/J169,0)))</f>
        <v>0</v>
      </c>
      <c r="N169" s="45">
        <f>IF(I169="","",IF(RoundingRule="Exact quantity",I169,IF(M169="",I169,M169*J169)))</f>
        <v>0</v>
      </c>
      <c r="O169" s="25">
        <f>IF(N169="","",IF(RoundingRule="Exact quantity",IF(L169="","",N169*L169),IF(OR(M169="",K169=""),"",M169*K169)))</f>
        <v>0</v>
      </c>
      <c r="P169" s="25">
        <f>IF(B169="","",SUM(O$5:O169))</f>
        <v>0</v>
      </c>
      <c r="Q169" s="45">
        <f>IF(V169="Yes",0,IF(N169="",0,N169))</f>
        <v>0</v>
      </c>
      <c r="R169" s="18">
        <f>IF(OR(B169="",I169=0,I169=""),"",COUNTIFS($I$5:I169,"&gt;0"))</f>
        <v>0</v>
      </c>
      <c r="S169" s="18">
        <f>IF(B169="","",COUNTIFS('Recipe Ingredients'!$D$5:$D$1204,B169,'Recipe Ingredients'!$Y$5:$Y$1204,"&gt;0"))</f>
        <v>0</v>
      </c>
      <c r="T169" s="46">
        <f>IF(B169="","",IF(COUNTIFS('Recipe Ingredients'!$D$5:$D$1204,B169,'Recipe Ingredients'!$Y$5:$Y$1204,"&gt;0",'Recipe Ingredients'!$I$5:$I$1204,"No")=0,"Yes","No"))</f>
        <v>0</v>
      </c>
      <c r="U169" s="17">
        <f>IF(B169="","",IFERROR(INDEX(Ingredients!$W$5:$W$304,MATCH(B169,Ingredients!$B$5:$B$304,0)),"Add to Ingredients"))</f>
        <v>0</v>
      </c>
      <c r="Z169" s="31">
        <f>IF(B169="","",IF(V169="Yes","Bought",IF(I169=0,"In stock",IF(O169="","Check - no price","On the list"))))</f>
        <v>0</v>
      </c>
    </row>
    <row r="170" spans="1:26">
      <c r="A170" s="18">
        <f>ROW()-4</f>
        <v>0</v>
      </c>
      <c r="B170" s="17">
        <f>IFERROR(INDEX(Ingredients!$B$5:$B$304,MATCH(A170,Ingredients!$AL$5:$AL$304,0)),"")</f>
        <v>0</v>
      </c>
      <c r="C170" s="17">
        <f>IF(B170="","",IFERROR(INDEX(Ingredients!$C$5:$C$304,MATCH(B170,Ingredients!$B$5:$B$304,0)),"Add to Ingredients"))</f>
        <v>0</v>
      </c>
      <c r="D170" s="17">
        <f>IF(B170="","",IFERROR(INDEX(Ingredients!$D$5:$D$304,MATCH(B170,Ingredients!$B$5:$B$304,0)),"Add to Ingredients"))</f>
        <v>0</v>
      </c>
      <c r="E170" s="17">
        <f>IF(B170="","",IFERROR(INDEX(Ingredients!$E$5:$E$304,MATCH(B170,Ingredients!$B$5:$B$304,0)),"Add to Ingredients"))</f>
        <v>0</v>
      </c>
      <c r="F170" s="45">
        <f>IF(B170="","",IFERROR(INDEX(Ingredients!$AG$5:$AG$304,MATCH(B170,Ingredients!$B$5:$B$304,0)),""))</f>
        <v>0</v>
      </c>
      <c r="G170" s="17">
        <f>IF(B170="","",IFERROR(INDEX(Ingredients!$G$5:$G$304,MATCH(B170,Ingredients!$B$5:$B$304,0)),"Add to Ingredients"))</f>
        <v>0</v>
      </c>
      <c r="H170" s="45">
        <f>IF(B170="","",IFERROR(INDEX(Ingredients!$AD$5:$AD$304,MATCH(B170,Ingredients!$B$5:$B$304,0)),0))</f>
        <v>0</v>
      </c>
      <c r="I170" s="45">
        <f>IF(F170="","",MAX(0,F170-IF(H170="",0,H170)))</f>
        <v>0</v>
      </c>
      <c r="J170" s="45">
        <f>IF(B170="","",IFERROR(INDEX(Ingredients!$H$5:$H$304,MATCH(B170,Ingredients!$B$5:$B$304,0)),"Add to Ingredients"))</f>
        <v>0</v>
      </c>
      <c r="K170" s="25">
        <f>IF(B170="","",IFERROR(INDEX(Ingredients!$I$5:$I$304,MATCH(B170,Ingredients!$B$5:$B$304,0)),"Add to Ingredients"))</f>
        <v>0</v>
      </c>
      <c r="L170" s="25">
        <f>IF(B170="","",IFERROR(INDEX(Ingredients!$J$5:$J$304,MATCH(B170,Ingredients!$B$5:$B$304,0)),"Add to Ingredients"))</f>
        <v>0</v>
      </c>
      <c r="M170" s="45">
        <f>IF(OR(I170="",I170=0),"",IF(OR(J170="",NOT(ISNUMBER(J170)),J170=0),"",ROUNDUP(I170/J170,0)))</f>
        <v>0</v>
      </c>
      <c r="N170" s="45">
        <f>IF(I170="","",IF(RoundingRule="Exact quantity",I170,IF(M170="",I170,M170*J170)))</f>
        <v>0</v>
      </c>
      <c r="O170" s="25">
        <f>IF(N170="","",IF(RoundingRule="Exact quantity",IF(L170="","",N170*L170),IF(OR(M170="",K170=""),"",M170*K170)))</f>
        <v>0</v>
      </c>
      <c r="P170" s="25">
        <f>IF(B170="","",SUM(O$5:O170))</f>
        <v>0</v>
      </c>
      <c r="Q170" s="45">
        <f>IF(V170="Yes",0,IF(N170="",0,N170))</f>
        <v>0</v>
      </c>
      <c r="R170" s="18">
        <f>IF(OR(B170="",I170=0,I170=""),"",COUNTIFS($I$5:I170,"&gt;0"))</f>
        <v>0</v>
      </c>
      <c r="S170" s="18">
        <f>IF(B170="","",COUNTIFS('Recipe Ingredients'!$D$5:$D$1204,B170,'Recipe Ingredients'!$Y$5:$Y$1204,"&gt;0"))</f>
        <v>0</v>
      </c>
      <c r="T170" s="46">
        <f>IF(B170="","",IF(COUNTIFS('Recipe Ingredients'!$D$5:$D$1204,B170,'Recipe Ingredients'!$Y$5:$Y$1204,"&gt;0",'Recipe Ingredients'!$I$5:$I$1204,"No")=0,"Yes","No"))</f>
        <v>0</v>
      </c>
      <c r="U170" s="17">
        <f>IF(B170="","",IFERROR(INDEX(Ingredients!$W$5:$W$304,MATCH(B170,Ingredients!$B$5:$B$304,0)),"Add to Ingredients"))</f>
        <v>0</v>
      </c>
      <c r="Z170" s="31">
        <f>IF(B170="","",IF(V170="Yes","Bought",IF(I170=0,"In stock",IF(O170="","Check - no price","On the list"))))</f>
        <v>0</v>
      </c>
    </row>
    <row r="171" spans="1:26">
      <c r="A171" s="18">
        <f>ROW()-4</f>
        <v>0</v>
      </c>
      <c r="B171" s="17">
        <f>IFERROR(INDEX(Ingredients!$B$5:$B$304,MATCH(A171,Ingredients!$AL$5:$AL$304,0)),"")</f>
        <v>0</v>
      </c>
      <c r="C171" s="17">
        <f>IF(B171="","",IFERROR(INDEX(Ingredients!$C$5:$C$304,MATCH(B171,Ingredients!$B$5:$B$304,0)),"Add to Ingredients"))</f>
        <v>0</v>
      </c>
      <c r="D171" s="17">
        <f>IF(B171="","",IFERROR(INDEX(Ingredients!$D$5:$D$304,MATCH(B171,Ingredients!$B$5:$B$304,0)),"Add to Ingredients"))</f>
        <v>0</v>
      </c>
      <c r="E171" s="17">
        <f>IF(B171="","",IFERROR(INDEX(Ingredients!$E$5:$E$304,MATCH(B171,Ingredients!$B$5:$B$304,0)),"Add to Ingredients"))</f>
        <v>0</v>
      </c>
      <c r="F171" s="45">
        <f>IF(B171="","",IFERROR(INDEX(Ingredients!$AG$5:$AG$304,MATCH(B171,Ingredients!$B$5:$B$304,0)),""))</f>
        <v>0</v>
      </c>
      <c r="G171" s="17">
        <f>IF(B171="","",IFERROR(INDEX(Ingredients!$G$5:$G$304,MATCH(B171,Ingredients!$B$5:$B$304,0)),"Add to Ingredients"))</f>
        <v>0</v>
      </c>
      <c r="H171" s="45">
        <f>IF(B171="","",IFERROR(INDEX(Ingredients!$AD$5:$AD$304,MATCH(B171,Ingredients!$B$5:$B$304,0)),0))</f>
        <v>0</v>
      </c>
      <c r="I171" s="45">
        <f>IF(F171="","",MAX(0,F171-IF(H171="",0,H171)))</f>
        <v>0</v>
      </c>
      <c r="J171" s="45">
        <f>IF(B171="","",IFERROR(INDEX(Ingredients!$H$5:$H$304,MATCH(B171,Ingredients!$B$5:$B$304,0)),"Add to Ingredients"))</f>
        <v>0</v>
      </c>
      <c r="K171" s="25">
        <f>IF(B171="","",IFERROR(INDEX(Ingredients!$I$5:$I$304,MATCH(B171,Ingredients!$B$5:$B$304,0)),"Add to Ingredients"))</f>
        <v>0</v>
      </c>
      <c r="L171" s="25">
        <f>IF(B171="","",IFERROR(INDEX(Ingredients!$J$5:$J$304,MATCH(B171,Ingredients!$B$5:$B$304,0)),"Add to Ingredients"))</f>
        <v>0</v>
      </c>
      <c r="M171" s="45">
        <f>IF(OR(I171="",I171=0),"",IF(OR(J171="",NOT(ISNUMBER(J171)),J171=0),"",ROUNDUP(I171/J171,0)))</f>
        <v>0</v>
      </c>
      <c r="N171" s="45">
        <f>IF(I171="","",IF(RoundingRule="Exact quantity",I171,IF(M171="",I171,M171*J171)))</f>
        <v>0</v>
      </c>
      <c r="O171" s="25">
        <f>IF(N171="","",IF(RoundingRule="Exact quantity",IF(L171="","",N171*L171),IF(OR(M171="",K171=""),"",M171*K171)))</f>
        <v>0</v>
      </c>
      <c r="P171" s="25">
        <f>IF(B171="","",SUM(O$5:O171))</f>
        <v>0</v>
      </c>
      <c r="Q171" s="45">
        <f>IF(V171="Yes",0,IF(N171="",0,N171))</f>
        <v>0</v>
      </c>
      <c r="R171" s="18">
        <f>IF(OR(B171="",I171=0,I171=""),"",COUNTIFS($I$5:I171,"&gt;0"))</f>
        <v>0</v>
      </c>
      <c r="S171" s="18">
        <f>IF(B171="","",COUNTIFS('Recipe Ingredients'!$D$5:$D$1204,B171,'Recipe Ingredients'!$Y$5:$Y$1204,"&gt;0"))</f>
        <v>0</v>
      </c>
      <c r="T171" s="46">
        <f>IF(B171="","",IF(COUNTIFS('Recipe Ingredients'!$D$5:$D$1204,B171,'Recipe Ingredients'!$Y$5:$Y$1204,"&gt;0",'Recipe Ingredients'!$I$5:$I$1204,"No")=0,"Yes","No"))</f>
        <v>0</v>
      </c>
      <c r="U171" s="17">
        <f>IF(B171="","",IFERROR(INDEX(Ingredients!$W$5:$W$304,MATCH(B171,Ingredients!$B$5:$B$304,0)),"Add to Ingredients"))</f>
        <v>0</v>
      </c>
      <c r="Z171" s="31">
        <f>IF(B171="","",IF(V171="Yes","Bought",IF(I171=0,"In stock",IF(O171="","Check - no price","On the list"))))</f>
        <v>0</v>
      </c>
    </row>
    <row r="172" spans="1:26">
      <c r="A172" s="18">
        <f>ROW()-4</f>
        <v>0</v>
      </c>
      <c r="B172" s="17">
        <f>IFERROR(INDEX(Ingredients!$B$5:$B$304,MATCH(A172,Ingredients!$AL$5:$AL$304,0)),"")</f>
        <v>0</v>
      </c>
      <c r="C172" s="17">
        <f>IF(B172="","",IFERROR(INDEX(Ingredients!$C$5:$C$304,MATCH(B172,Ingredients!$B$5:$B$304,0)),"Add to Ingredients"))</f>
        <v>0</v>
      </c>
      <c r="D172" s="17">
        <f>IF(B172="","",IFERROR(INDEX(Ingredients!$D$5:$D$304,MATCH(B172,Ingredients!$B$5:$B$304,0)),"Add to Ingredients"))</f>
        <v>0</v>
      </c>
      <c r="E172" s="17">
        <f>IF(B172="","",IFERROR(INDEX(Ingredients!$E$5:$E$304,MATCH(B172,Ingredients!$B$5:$B$304,0)),"Add to Ingredients"))</f>
        <v>0</v>
      </c>
      <c r="F172" s="45">
        <f>IF(B172="","",IFERROR(INDEX(Ingredients!$AG$5:$AG$304,MATCH(B172,Ingredients!$B$5:$B$304,0)),""))</f>
        <v>0</v>
      </c>
      <c r="G172" s="17">
        <f>IF(B172="","",IFERROR(INDEX(Ingredients!$G$5:$G$304,MATCH(B172,Ingredients!$B$5:$B$304,0)),"Add to Ingredients"))</f>
        <v>0</v>
      </c>
      <c r="H172" s="45">
        <f>IF(B172="","",IFERROR(INDEX(Ingredients!$AD$5:$AD$304,MATCH(B172,Ingredients!$B$5:$B$304,0)),0))</f>
        <v>0</v>
      </c>
      <c r="I172" s="45">
        <f>IF(F172="","",MAX(0,F172-IF(H172="",0,H172)))</f>
        <v>0</v>
      </c>
      <c r="J172" s="45">
        <f>IF(B172="","",IFERROR(INDEX(Ingredients!$H$5:$H$304,MATCH(B172,Ingredients!$B$5:$B$304,0)),"Add to Ingredients"))</f>
        <v>0</v>
      </c>
      <c r="K172" s="25">
        <f>IF(B172="","",IFERROR(INDEX(Ingredients!$I$5:$I$304,MATCH(B172,Ingredients!$B$5:$B$304,0)),"Add to Ingredients"))</f>
        <v>0</v>
      </c>
      <c r="L172" s="25">
        <f>IF(B172="","",IFERROR(INDEX(Ingredients!$J$5:$J$304,MATCH(B172,Ingredients!$B$5:$B$304,0)),"Add to Ingredients"))</f>
        <v>0</v>
      </c>
      <c r="M172" s="45">
        <f>IF(OR(I172="",I172=0),"",IF(OR(J172="",NOT(ISNUMBER(J172)),J172=0),"",ROUNDUP(I172/J172,0)))</f>
        <v>0</v>
      </c>
      <c r="N172" s="45">
        <f>IF(I172="","",IF(RoundingRule="Exact quantity",I172,IF(M172="",I172,M172*J172)))</f>
        <v>0</v>
      </c>
      <c r="O172" s="25">
        <f>IF(N172="","",IF(RoundingRule="Exact quantity",IF(L172="","",N172*L172),IF(OR(M172="",K172=""),"",M172*K172)))</f>
        <v>0</v>
      </c>
      <c r="P172" s="25">
        <f>IF(B172="","",SUM(O$5:O172))</f>
        <v>0</v>
      </c>
      <c r="Q172" s="45">
        <f>IF(V172="Yes",0,IF(N172="",0,N172))</f>
        <v>0</v>
      </c>
      <c r="R172" s="18">
        <f>IF(OR(B172="",I172=0,I172=""),"",COUNTIFS($I$5:I172,"&gt;0"))</f>
        <v>0</v>
      </c>
      <c r="S172" s="18">
        <f>IF(B172="","",COUNTIFS('Recipe Ingredients'!$D$5:$D$1204,B172,'Recipe Ingredients'!$Y$5:$Y$1204,"&gt;0"))</f>
        <v>0</v>
      </c>
      <c r="T172" s="46">
        <f>IF(B172="","",IF(COUNTIFS('Recipe Ingredients'!$D$5:$D$1204,B172,'Recipe Ingredients'!$Y$5:$Y$1204,"&gt;0",'Recipe Ingredients'!$I$5:$I$1204,"No")=0,"Yes","No"))</f>
        <v>0</v>
      </c>
      <c r="U172" s="17">
        <f>IF(B172="","",IFERROR(INDEX(Ingredients!$W$5:$W$304,MATCH(B172,Ingredients!$B$5:$B$304,0)),"Add to Ingredients"))</f>
        <v>0</v>
      </c>
      <c r="Z172" s="31">
        <f>IF(B172="","",IF(V172="Yes","Bought",IF(I172=0,"In stock",IF(O172="","Check - no price","On the list"))))</f>
        <v>0</v>
      </c>
    </row>
    <row r="173" spans="1:26">
      <c r="A173" s="18">
        <f>ROW()-4</f>
        <v>0</v>
      </c>
      <c r="B173" s="17">
        <f>IFERROR(INDEX(Ingredients!$B$5:$B$304,MATCH(A173,Ingredients!$AL$5:$AL$304,0)),"")</f>
        <v>0</v>
      </c>
      <c r="C173" s="17">
        <f>IF(B173="","",IFERROR(INDEX(Ingredients!$C$5:$C$304,MATCH(B173,Ingredients!$B$5:$B$304,0)),"Add to Ingredients"))</f>
        <v>0</v>
      </c>
      <c r="D173" s="17">
        <f>IF(B173="","",IFERROR(INDEX(Ingredients!$D$5:$D$304,MATCH(B173,Ingredients!$B$5:$B$304,0)),"Add to Ingredients"))</f>
        <v>0</v>
      </c>
      <c r="E173" s="17">
        <f>IF(B173="","",IFERROR(INDEX(Ingredients!$E$5:$E$304,MATCH(B173,Ingredients!$B$5:$B$304,0)),"Add to Ingredients"))</f>
        <v>0</v>
      </c>
      <c r="F173" s="45">
        <f>IF(B173="","",IFERROR(INDEX(Ingredients!$AG$5:$AG$304,MATCH(B173,Ingredients!$B$5:$B$304,0)),""))</f>
        <v>0</v>
      </c>
      <c r="G173" s="17">
        <f>IF(B173="","",IFERROR(INDEX(Ingredients!$G$5:$G$304,MATCH(B173,Ingredients!$B$5:$B$304,0)),"Add to Ingredients"))</f>
        <v>0</v>
      </c>
      <c r="H173" s="45">
        <f>IF(B173="","",IFERROR(INDEX(Ingredients!$AD$5:$AD$304,MATCH(B173,Ingredients!$B$5:$B$304,0)),0))</f>
        <v>0</v>
      </c>
      <c r="I173" s="45">
        <f>IF(F173="","",MAX(0,F173-IF(H173="",0,H173)))</f>
        <v>0</v>
      </c>
      <c r="J173" s="45">
        <f>IF(B173="","",IFERROR(INDEX(Ingredients!$H$5:$H$304,MATCH(B173,Ingredients!$B$5:$B$304,0)),"Add to Ingredients"))</f>
        <v>0</v>
      </c>
      <c r="K173" s="25">
        <f>IF(B173="","",IFERROR(INDEX(Ingredients!$I$5:$I$304,MATCH(B173,Ingredients!$B$5:$B$304,0)),"Add to Ingredients"))</f>
        <v>0</v>
      </c>
      <c r="L173" s="25">
        <f>IF(B173="","",IFERROR(INDEX(Ingredients!$J$5:$J$304,MATCH(B173,Ingredients!$B$5:$B$304,0)),"Add to Ingredients"))</f>
        <v>0</v>
      </c>
      <c r="M173" s="45">
        <f>IF(OR(I173="",I173=0),"",IF(OR(J173="",NOT(ISNUMBER(J173)),J173=0),"",ROUNDUP(I173/J173,0)))</f>
        <v>0</v>
      </c>
      <c r="N173" s="45">
        <f>IF(I173="","",IF(RoundingRule="Exact quantity",I173,IF(M173="",I173,M173*J173)))</f>
        <v>0</v>
      </c>
      <c r="O173" s="25">
        <f>IF(N173="","",IF(RoundingRule="Exact quantity",IF(L173="","",N173*L173),IF(OR(M173="",K173=""),"",M173*K173)))</f>
        <v>0</v>
      </c>
      <c r="P173" s="25">
        <f>IF(B173="","",SUM(O$5:O173))</f>
        <v>0</v>
      </c>
      <c r="Q173" s="45">
        <f>IF(V173="Yes",0,IF(N173="",0,N173))</f>
        <v>0</v>
      </c>
      <c r="R173" s="18">
        <f>IF(OR(B173="",I173=0,I173=""),"",COUNTIFS($I$5:I173,"&gt;0"))</f>
        <v>0</v>
      </c>
      <c r="S173" s="18">
        <f>IF(B173="","",COUNTIFS('Recipe Ingredients'!$D$5:$D$1204,B173,'Recipe Ingredients'!$Y$5:$Y$1204,"&gt;0"))</f>
        <v>0</v>
      </c>
      <c r="T173" s="46">
        <f>IF(B173="","",IF(COUNTIFS('Recipe Ingredients'!$D$5:$D$1204,B173,'Recipe Ingredients'!$Y$5:$Y$1204,"&gt;0",'Recipe Ingredients'!$I$5:$I$1204,"No")=0,"Yes","No"))</f>
        <v>0</v>
      </c>
      <c r="U173" s="17">
        <f>IF(B173="","",IFERROR(INDEX(Ingredients!$W$5:$W$304,MATCH(B173,Ingredients!$B$5:$B$304,0)),"Add to Ingredients"))</f>
        <v>0</v>
      </c>
      <c r="Z173" s="31">
        <f>IF(B173="","",IF(V173="Yes","Bought",IF(I173=0,"In stock",IF(O173="","Check - no price","On the list"))))</f>
        <v>0</v>
      </c>
    </row>
    <row r="174" spans="1:26">
      <c r="A174" s="18">
        <f>ROW()-4</f>
        <v>0</v>
      </c>
      <c r="B174" s="17">
        <f>IFERROR(INDEX(Ingredients!$B$5:$B$304,MATCH(A174,Ingredients!$AL$5:$AL$304,0)),"")</f>
        <v>0</v>
      </c>
      <c r="C174" s="17">
        <f>IF(B174="","",IFERROR(INDEX(Ingredients!$C$5:$C$304,MATCH(B174,Ingredients!$B$5:$B$304,0)),"Add to Ingredients"))</f>
        <v>0</v>
      </c>
      <c r="D174" s="17">
        <f>IF(B174="","",IFERROR(INDEX(Ingredients!$D$5:$D$304,MATCH(B174,Ingredients!$B$5:$B$304,0)),"Add to Ingredients"))</f>
        <v>0</v>
      </c>
      <c r="E174" s="17">
        <f>IF(B174="","",IFERROR(INDEX(Ingredients!$E$5:$E$304,MATCH(B174,Ingredients!$B$5:$B$304,0)),"Add to Ingredients"))</f>
        <v>0</v>
      </c>
      <c r="F174" s="45">
        <f>IF(B174="","",IFERROR(INDEX(Ingredients!$AG$5:$AG$304,MATCH(B174,Ingredients!$B$5:$B$304,0)),""))</f>
        <v>0</v>
      </c>
      <c r="G174" s="17">
        <f>IF(B174="","",IFERROR(INDEX(Ingredients!$G$5:$G$304,MATCH(B174,Ingredients!$B$5:$B$304,0)),"Add to Ingredients"))</f>
        <v>0</v>
      </c>
      <c r="H174" s="45">
        <f>IF(B174="","",IFERROR(INDEX(Ingredients!$AD$5:$AD$304,MATCH(B174,Ingredients!$B$5:$B$304,0)),0))</f>
        <v>0</v>
      </c>
      <c r="I174" s="45">
        <f>IF(F174="","",MAX(0,F174-IF(H174="",0,H174)))</f>
        <v>0</v>
      </c>
      <c r="J174" s="45">
        <f>IF(B174="","",IFERROR(INDEX(Ingredients!$H$5:$H$304,MATCH(B174,Ingredients!$B$5:$B$304,0)),"Add to Ingredients"))</f>
        <v>0</v>
      </c>
      <c r="K174" s="25">
        <f>IF(B174="","",IFERROR(INDEX(Ingredients!$I$5:$I$304,MATCH(B174,Ingredients!$B$5:$B$304,0)),"Add to Ingredients"))</f>
        <v>0</v>
      </c>
      <c r="L174" s="25">
        <f>IF(B174="","",IFERROR(INDEX(Ingredients!$J$5:$J$304,MATCH(B174,Ingredients!$B$5:$B$304,0)),"Add to Ingredients"))</f>
        <v>0</v>
      </c>
      <c r="M174" s="45">
        <f>IF(OR(I174="",I174=0),"",IF(OR(J174="",NOT(ISNUMBER(J174)),J174=0),"",ROUNDUP(I174/J174,0)))</f>
        <v>0</v>
      </c>
      <c r="N174" s="45">
        <f>IF(I174="","",IF(RoundingRule="Exact quantity",I174,IF(M174="",I174,M174*J174)))</f>
        <v>0</v>
      </c>
      <c r="O174" s="25">
        <f>IF(N174="","",IF(RoundingRule="Exact quantity",IF(L174="","",N174*L174),IF(OR(M174="",K174=""),"",M174*K174)))</f>
        <v>0</v>
      </c>
      <c r="P174" s="25">
        <f>IF(B174="","",SUM(O$5:O174))</f>
        <v>0</v>
      </c>
      <c r="Q174" s="45">
        <f>IF(V174="Yes",0,IF(N174="",0,N174))</f>
        <v>0</v>
      </c>
      <c r="R174" s="18">
        <f>IF(OR(B174="",I174=0,I174=""),"",COUNTIFS($I$5:I174,"&gt;0"))</f>
        <v>0</v>
      </c>
      <c r="S174" s="18">
        <f>IF(B174="","",COUNTIFS('Recipe Ingredients'!$D$5:$D$1204,B174,'Recipe Ingredients'!$Y$5:$Y$1204,"&gt;0"))</f>
        <v>0</v>
      </c>
      <c r="T174" s="46">
        <f>IF(B174="","",IF(COUNTIFS('Recipe Ingredients'!$D$5:$D$1204,B174,'Recipe Ingredients'!$Y$5:$Y$1204,"&gt;0",'Recipe Ingredients'!$I$5:$I$1204,"No")=0,"Yes","No"))</f>
        <v>0</v>
      </c>
      <c r="U174" s="17">
        <f>IF(B174="","",IFERROR(INDEX(Ingredients!$W$5:$W$304,MATCH(B174,Ingredients!$B$5:$B$304,0)),"Add to Ingredients"))</f>
        <v>0</v>
      </c>
      <c r="Z174" s="31">
        <f>IF(B174="","",IF(V174="Yes","Bought",IF(I174=0,"In stock",IF(O174="","Check - no price","On the list"))))</f>
        <v>0</v>
      </c>
    </row>
    <row r="175" spans="1:26">
      <c r="A175" s="18">
        <f>ROW()-4</f>
        <v>0</v>
      </c>
      <c r="B175" s="17">
        <f>IFERROR(INDEX(Ingredients!$B$5:$B$304,MATCH(A175,Ingredients!$AL$5:$AL$304,0)),"")</f>
        <v>0</v>
      </c>
      <c r="C175" s="17">
        <f>IF(B175="","",IFERROR(INDEX(Ingredients!$C$5:$C$304,MATCH(B175,Ingredients!$B$5:$B$304,0)),"Add to Ingredients"))</f>
        <v>0</v>
      </c>
      <c r="D175" s="17">
        <f>IF(B175="","",IFERROR(INDEX(Ingredients!$D$5:$D$304,MATCH(B175,Ingredients!$B$5:$B$304,0)),"Add to Ingredients"))</f>
        <v>0</v>
      </c>
      <c r="E175" s="17">
        <f>IF(B175="","",IFERROR(INDEX(Ingredients!$E$5:$E$304,MATCH(B175,Ingredients!$B$5:$B$304,0)),"Add to Ingredients"))</f>
        <v>0</v>
      </c>
      <c r="F175" s="45">
        <f>IF(B175="","",IFERROR(INDEX(Ingredients!$AG$5:$AG$304,MATCH(B175,Ingredients!$B$5:$B$304,0)),""))</f>
        <v>0</v>
      </c>
      <c r="G175" s="17">
        <f>IF(B175="","",IFERROR(INDEX(Ingredients!$G$5:$G$304,MATCH(B175,Ingredients!$B$5:$B$304,0)),"Add to Ingredients"))</f>
        <v>0</v>
      </c>
      <c r="H175" s="45">
        <f>IF(B175="","",IFERROR(INDEX(Ingredients!$AD$5:$AD$304,MATCH(B175,Ingredients!$B$5:$B$304,0)),0))</f>
        <v>0</v>
      </c>
      <c r="I175" s="45">
        <f>IF(F175="","",MAX(0,F175-IF(H175="",0,H175)))</f>
        <v>0</v>
      </c>
      <c r="J175" s="45">
        <f>IF(B175="","",IFERROR(INDEX(Ingredients!$H$5:$H$304,MATCH(B175,Ingredients!$B$5:$B$304,0)),"Add to Ingredients"))</f>
        <v>0</v>
      </c>
      <c r="K175" s="25">
        <f>IF(B175="","",IFERROR(INDEX(Ingredients!$I$5:$I$304,MATCH(B175,Ingredients!$B$5:$B$304,0)),"Add to Ingredients"))</f>
        <v>0</v>
      </c>
      <c r="L175" s="25">
        <f>IF(B175="","",IFERROR(INDEX(Ingredients!$J$5:$J$304,MATCH(B175,Ingredients!$B$5:$B$304,0)),"Add to Ingredients"))</f>
        <v>0</v>
      </c>
      <c r="M175" s="45">
        <f>IF(OR(I175="",I175=0),"",IF(OR(J175="",NOT(ISNUMBER(J175)),J175=0),"",ROUNDUP(I175/J175,0)))</f>
        <v>0</v>
      </c>
      <c r="N175" s="45">
        <f>IF(I175="","",IF(RoundingRule="Exact quantity",I175,IF(M175="",I175,M175*J175)))</f>
        <v>0</v>
      </c>
      <c r="O175" s="25">
        <f>IF(N175="","",IF(RoundingRule="Exact quantity",IF(L175="","",N175*L175),IF(OR(M175="",K175=""),"",M175*K175)))</f>
        <v>0</v>
      </c>
      <c r="P175" s="25">
        <f>IF(B175="","",SUM(O$5:O175))</f>
        <v>0</v>
      </c>
      <c r="Q175" s="45">
        <f>IF(V175="Yes",0,IF(N175="",0,N175))</f>
        <v>0</v>
      </c>
      <c r="R175" s="18">
        <f>IF(OR(B175="",I175=0,I175=""),"",COUNTIFS($I$5:I175,"&gt;0"))</f>
        <v>0</v>
      </c>
      <c r="S175" s="18">
        <f>IF(B175="","",COUNTIFS('Recipe Ingredients'!$D$5:$D$1204,B175,'Recipe Ingredients'!$Y$5:$Y$1204,"&gt;0"))</f>
        <v>0</v>
      </c>
      <c r="T175" s="46">
        <f>IF(B175="","",IF(COUNTIFS('Recipe Ingredients'!$D$5:$D$1204,B175,'Recipe Ingredients'!$Y$5:$Y$1204,"&gt;0",'Recipe Ingredients'!$I$5:$I$1204,"No")=0,"Yes","No"))</f>
        <v>0</v>
      </c>
      <c r="U175" s="17">
        <f>IF(B175="","",IFERROR(INDEX(Ingredients!$W$5:$W$304,MATCH(B175,Ingredients!$B$5:$B$304,0)),"Add to Ingredients"))</f>
        <v>0</v>
      </c>
      <c r="Z175" s="31">
        <f>IF(B175="","",IF(V175="Yes","Bought",IF(I175=0,"In stock",IF(O175="","Check - no price","On the list"))))</f>
        <v>0</v>
      </c>
    </row>
    <row r="176" spans="1:26">
      <c r="A176" s="18">
        <f>ROW()-4</f>
        <v>0</v>
      </c>
      <c r="B176" s="17">
        <f>IFERROR(INDEX(Ingredients!$B$5:$B$304,MATCH(A176,Ingredients!$AL$5:$AL$304,0)),"")</f>
        <v>0</v>
      </c>
      <c r="C176" s="17">
        <f>IF(B176="","",IFERROR(INDEX(Ingredients!$C$5:$C$304,MATCH(B176,Ingredients!$B$5:$B$304,0)),"Add to Ingredients"))</f>
        <v>0</v>
      </c>
      <c r="D176" s="17">
        <f>IF(B176="","",IFERROR(INDEX(Ingredients!$D$5:$D$304,MATCH(B176,Ingredients!$B$5:$B$304,0)),"Add to Ingredients"))</f>
        <v>0</v>
      </c>
      <c r="E176" s="17">
        <f>IF(B176="","",IFERROR(INDEX(Ingredients!$E$5:$E$304,MATCH(B176,Ingredients!$B$5:$B$304,0)),"Add to Ingredients"))</f>
        <v>0</v>
      </c>
      <c r="F176" s="45">
        <f>IF(B176="","",IFERROR(INDEX(Ingredients!$AG$5:$AG$304,MATCH(B176,Ingredients!$B$5:$B$304,0)),""))</f>
        <v>0</v>
      </c>
      <c r="G176" s="17">
        <f>IF(B176="","",IFERROR(INDEX(Ingredients!$G$5:$G$304,MATCH(B176,Ingredients!$B$5:$B$304,0)),"Add to Ingredients"))</f>
        <v>0</v>
      </c>
      <c r="H176" s="45">
        <f>IF(B176="","",IFERROR(INDEX(Ingredients!$AD$5:$AD$304,MATCH(B176,Ingredients!$B$5:$B$304,0)),0))</f>
        <v>0</v>
      </c>
      <c r="I176" s="45">
        <f>IF(F176="","",MAX(0,F176-IF(H176="",0,H176)))</f>
        <v>0</v>
      </c>
      <c r="J176" s="45">
        <f>IF(B176="","",IFERROR(INDEX(Ingredients!$H$5:$H$304,MATCH(B176,Ingredients!$B$5:$B$304,0)),"Add to Ingredients"))</f>
        <v>0</v>
      </c>
      <c r="K176" s="25">
        <f>IF(B176="","",IFERROR(INDEX(Ingredients!$I$5:$I$304,MATCH(B176,Ingredients!$B$5:$B$304,0)),"Add to Ingredients"))</f>
        <v>0</v>
      </c>
      <c r="L176" s="25">
        <f>IF(B176="","",IFERROR(INDEX(Ingredients!$J$5:$J$304,MATCH(B176,Ingredients!$B$5:$B$304,0)),"Add to Ingredients"))</f>
        <v>0</v>
      </c>
      <c r="M176" s="45">
        <f>IF(OR(I176="",I176=0),"",IF(OR(J176="",NOT(ISNUMBER(J176)),J176=0),"",ROUNDUP(I176/J176,0)))</f>
        <v>0</v>
      </c>
      <c r="N176" s="45">
        <f>IF(I176="","",IF(RoundingRule="Exact quantity",I176,IF(M176="",I176,M176*J176)))</f>
        <v>0</v>
      </c>
      <c r="O176" s="25">
        <f>IF(N176="","",IF(RoundingRule="Exact quantity",IF(L176="","",N176*L176),IF(OR(M176="",K176=""),"",M176*K176)))</f>
        <v>0</v>
      </c>
      <c r="P176" s="25">
        <f>IF(B176="","",SUM(O$5:O176))</f>
        <v>0</v>
      </c>
      <c r="Q176" s="45">
        <f>IF(V176="Yes",0,IF(N176="",0,N176))</f>
        <v>0</v>
      </c>
      <c r="R176" s="18">
        <f>IF(OR(B176="",I176=0,I176=""),"",COUNTIFS($I$5:I176,"&gt;0"))</f>
        <v>0</v>
      </c>
      <c r="S176" s="18">
        <f>IF(B176="","",COUNTIFS('Recipe Ingredients'!$D$5:$D$1204,B176,'Recipe Ingredients'!$Y$5:$Y$1204,"&gt;0"))</f>
        <v>0</v>
      </c>
      <c r="T176" s="46">
        <f>IF(B176="","",IF(COUNTIFS('Recipe Ingredients'!$D$5:$D$1204,B176,'Recipe Ingredients'!$Y$5:$Y$1204,"&gt;0",'Recipe Ingredients'!$I$5:$I$1204,"No")=0,"Yes","No"))</f>
        <v>0</v>
      </c>
      <c r="U176" s="17">
        <f>IF(B176="","",IFERROR(INDEX(Ingredients!$W$5:$W$304,MATCH(B176,Ingredients!$B$5:$B$304,0)),"Add to Ingredients"))</f>
        <v>0</v>
      </c>
      <c r="Z176" s="31">
        <f>IF(B176="","",IF(V176="Yes","Bought",IF(I176=0,"In stock",IF(O176="","Check - no price","On the list"))))</f>
        <v>0</v>
      </c>
    </row>
    <row r="177" spans="1:26">
      <c r="A177" s="18">
        <f>ROW()-4</f>
        <v>0</v>
      </c>
      <c r="B177" s="17">
        <f>IFERROR(INDEX(Ingredients!$B$5:$B$304,MATCH(A177,Ingredients!$AL$5:$AL$304,0)),"")</f>
        <v>0</v>
      </c>
      <c r="C177" s="17">
        <f>IF(B177="","",IFERROR(INDEX(Ingredients!$C$5:$C$304,MATCH(B177,Ingredients!$B$5:$B$304,0)),"Add to Ingredients"))</f>
        <v>0</v>
      </c>
      <c r="D177" s="17">
        <f>IF(B177="","",IFERROR(INDEX(Ingredients!$D$5:$D$304,MATCH(B177,Ingredients!$B$5:$B$304,0)),"Add to Ingredients"))</f>
        <v>0</v>
      </c>
      <c r="E177" s="17">
        <f>IF(B177="","",IFERROR(INDEX(Ingredients!$E$5:$E$304,MATCH(B177,Ingredients!$B$5:$B$304,0)),"Add to Ingredients"))</f>
        <v>0</v>
      </c>
      <c r="F177" s="45">
        <f>IF(B177="","",IFERROR(INDEX(Ingredients!$AG$5:$AG$304,MATCH(B177,Ingredients!$B$5:$B$304,0)),""))</f>
        <v>0</v>
      </c>
      <c r="G177" s="17">
        <f>IF(B177="","",IFERROR(INDEX(Ingredients!$G$5:$G$304,MATCH(B177,Ingredients!$B$5:$B$304,0)),"Add to Ingredients"))</f>
        <v>0</v>
      </c>
      <c r="H177" s="45">
        <f>IF(B177="","",IFERROR(INDEX(Ingredients!$AD$5:$AD$304,MATCH(B177,Ingredients!$B$5:$B$304,0)),0))</f>
        <v>0</v>
      </c>
      <c r="I177" s="45">
        <f>IF(F177="","",MAX(0,F177-IF(H177="",0,H177)))</f>
        <v>0</v>
      </c>
      <c r="J177" s="45">
        <f>IF(B177="","",IFERROR(INDEX(Ingredients!$H$5:$H$304,MATCH(B177,Ingredients!$B$5:$B$304,0)),"Add to Ingredients"))</f>
        <v>0</v>
      </c>
      <c r="K177" s="25">
        <f>IF(B177="","",IFERROR(INDEX(Ingredients!$I$5:$I$304,MATCH(B177,Ingredients!$B$5:$B$304,0)),"Add to Ingredients"))</f>
        <v>0</v>
      </c>
      <c r="L177" s="25">
        <f>IF(B177="","",IFERROR(INDEX(Ingredients!$J$5:$J$304,MATCH(B177,Ingredients!$B$5:$B$304,0)),"Add to Ingredients"))</f>
        <v>0</v>
      </c>
      <c r="M177" s="45">
        <f>IF(OR(I177="",I177=0),"",IF(OR(J177="",NOT(ISNUMBER(J177)),J177=0),"",ROUNDUP(I177/J177,0)))</f>
        <v>0</v>
      </c>
      <c r="N177" s="45">
        <f>IF(I177="","",IF(RoundingRule="Exact quantity",I177,IF(M177="",I177,M177*J177)))</f>
        <v>0</v>
      </c>
      <c r="O177" s="25">
        <f>IF(N177="","",IF(RoundingRule="Exact quantity",IF(L177="","",N177*L177),IF(OR(M177="",K177=""),"",M177*K177)))</f>
        <v>0</v>
      </c>
      <c r="P177" s="25">
        <f>IF(B177="","",SUM(O$5:O177))</f>
        <v>0</v>
      </c>
      <c r="Q177" s="45">
        <f>IF(V177="Yes",0,IF(N177="",0,N177))</f>
        <v>0</v>
      </c>
      <c r="R177" s="18">
        <f>IF(OR(B177="",I177=0,I177=""),"",COUNTIFS($I$5:I177,"&gt;0"))</f>
        <v>0</v>
      </c>
      <c r="S177" s="18">
        <f>IF(B177="","",COUNTIFS('Recipe Ingredients'!$D$5:$D$1204,B177,'Recipe Ingredients'!$Y$5:$Y$1204,"&gt;0"))</f>
        <v>0</v>
      </c>
      <c r="T177" s="46">
        <f>IF(B177="","",IF(COUNTIFS('Recipe Ingredients'!$D$5:$D$1204,B177,'Recipe Ingredients'!$Y$5:$Y$1204,"&gt;0",'Recipe Ingredients'!$I$5:$I$1204,"No")=0,"Yes","No"))</f>
        <v>0</v>
      </c>
      <c r="U177" s="17">
        <f>IF(B177="","",IFERROR(INDEX(Ingredients!$W$5:$W$304,MATCH(B177,Ingredients!$B$5:$B$304,0)),"Add to Ingredients"))</f>
        <v>0</v>
      </c>
      <c r="Z177" s="31">
        <f>IF(B177="","",IF(V177="Yes","Bought",IF(I177=0,"In stock",IF(O177="","Check - no price","On the list"))))</f>
        <v>0</v>
      </c>
    </row>
    <row r="178" spans="1:26">
      <c r="A178" s="18">
        <f>ROW()-4</f>
        <v>0</v>
      </c>
      <c r="B178" s="17">
        <f>IFERROR(INDEX(Ingredients!$B$5:$B$304,MATCH(A178,Ingredients!$AL$5:$AL$304,0)),"")</f>
        <v>0</v>
      </c>
      <c r="C178" s="17">
        <f>IF(B178="","",IFERROR(INDEX(Ingredients!$C$5:$C$304,MATCH(B178,Ingredients!$B$5:$B$304,0)),"Add to Ingredients"))</f>
        <v>0</v>
      </c>
      <c r="D178" s="17">
        <f>IF(B178="","",IFERROR(INDEX(Ingredients!$D$5:$D$304,MATCH(B178,Ingredients!$B$5:$B$304,0)),"Add to Ingredients"))</f>
        <v>0</v>
      </c>
      <c r="E178" s="17">
        <f>IF(B178="","",IFERROR(INDEX(Ingredients!$E$5:$E$304,MATCH(B178,Ingredients!$B$5:$B$304,0)),"Add to Ingredients"))</f>
        <v>0</v>
      </c>
      <c r="F178" s="45">
        <f>IF(B178="","",IFERROR(INDEX(Ingredients!$AG$5:$AG$304,MATCH(B178,Ingredients!$B$5:$B$304,0)),""))</f>
        <v>0</v>
      </c>
      <c r="G178" s="17">
        <f>IF(B178="","",IFERROR(INDEX(Ingredients!$G$5:$G$304,MATCH(B178,Ingredients!$B$5:$B$304,0)),"Add to Ingredients"))</f>
        <v>0</v>
      </c>
      <c r="H178" s="45">
        <f>IF(B178="","",IFERROR(INDEX(Ingredients!$AD$5:$AD$304,MATCH(B178,Ingredients!$B$5:$B$304,0)),0))</f>
        <v>0</v>
      </c>
      <c r="I178" s="45">
        <f>IF(F178="","",MAX(0,F178-IF(H178="",0,H178)))</f>
        <v>0</v>
      </c>
      <c r="J178" s="45">
        <f>IF(B178="","",IFERROR(INDEX(Ingredients!$H$5:$H$304,MATCH(B178,Ingredients!$B$5:$B$304,0)),"Add to Ingredients"))</f>
        <v>0</v>
      </c>
      <c r="K178" s="25">
        <f>IF(B178="","",IFERROR(INDEX(Ingredients!$I$5:$I$304,MATCH(B178,Ingredients!$B$5:$B$304,0)),"Add to Ingredients"))</f>
        <v>0</v>
      </c>
      <c r="L178" s="25">
        <f>IF(B178="","",IFERROR(INDEX(Ingredients!$J$5:$J$304,MATCH(B178,Ingredients!$B$5:$B$304,0)),"Add to Ingredients"))</f>
        <v>0</v>
      </c>
      <c r="M178" s="45">
        <f>IF(OR(I178="",I178=0),"",IF(OR(J178="",NOT(ISNUMBER(J178)),J178=0),"",ROUNDUP(I178/J178,0)))</f>
        <v>0</v>
      </c>
      <c r="N178" s="45">
        <f>IF(I178="","",IF(RoundingRule="Exact quantity",I178,IF(M178="",I178,M178*J178)))</f>
        <v>0</v>
      </c>
      <c r="O178" s="25">
        <f>IF(N178="","",IF(RoundingRule="Exact quantity",IF(L178="","",N178*L178),IF(OR(M178="",K178=""),"",M178*K178)))</f>
        <v>0</v>
      </c>
      <c r="P178" s="25">
        <f>IF(B178="","",SUM(O$5:O178))</f>
        <v>0</v>
      </c>
      <c r="Q178" s="45">
        <f>IF(V178="Yes",0,IF(N178="",0,N178))</f>
        <v>0</v>
      </c>
      <c r="R178" s="18">
        <f>IF(OR(B178="",I178=0,I178=""),"",COUNTIFS($I$5:I178,"&gt;0"))</f>
        <v>0</v>
      </c>
      <c r="S178" s="18">
        <f>IF(B178="","",COUNTIFS('Recipe Ingredients'!$D$5:$D$1204,B178,'Recipe Ingredients'!$Y$5:$Y$1204,"&gt;0"))</f>
        <v>0</v>
      </c>
      <c r="T178" s="46">
        <f>IF(B178="","",IF(COUNTIFS('Recipe Ingredients'!$D$5:$D$1204,B178,'Recipe Ingredients'!$Y$5:$Y$1204,"&gt;0",'Recipe Ingredients'!$I$5:$I$1204,"No")=0,"Yes","No"))</f>
        <v>0</v>
      </c>
      <c r="U178" s="17">
        <f>IF(B178="","",IFERROR(INDEX(Ingredients!$W$5:$W$304,MATCH(B178,Ingredients!$B$5:$B$304,0)),"Add to Ingredients"))</f>
        <v>0</v>
      </c>
      <c r="Z178" s="31">
        <f>IF(B178="","",IF(V178="Yes","Bought",IF(I178=0,"In stock",IF(O178="","Check - no price","On the list"))))</f>
        <v>0</v>
      </c>
    </row>
    <row r="179" spans="1:26">
      <c r="A179" s="18">
        <f>ROW()-4</f>
        <v>0</v>
      </c>
      <c r="B179" s="17">
        <f>IFERROR(INDEX(Ingredients!$B$5:$B$304,MATCH(A179,Ingredients!$AL$5:$AL$304,0)),"")</f>
        <v>0</v>
      </c>
      <c r="C179" s="17">
        <f>IF(B179="","",IFERROR(INDEX(Ingredients!$C$5:$C$304,MATCH(B179,Ingredients!$B$5:$B$304,0)),"Add to Ingredients"))</f>
        <v>0</v>
      </c>
      <c r="D179" s="17">
        <f>IF(B179="","",IFERROR(INDEX(Ingredients!$D$5:$D$304,MATCH(B179,Ingredients!$B$5:$B$304,0)),"Add to Ingredients"))</f>
        <v>0</v>
      </c>
      <c r="E179" s="17">
        <f>IF(B179="","",IFERROR(INDEX(Ingredients!$E$5:$E$304,MATCH(B179,Ingredients!$B$5:$B$304,0)),"Add to Ingredients"))</f>
        <v>0</v>
      </c>
      <c r="F179" s="45">
        <f>IF(B179="","",IFERROR(INDEX(Ingredients!$AG$5:$AG$304,MATCH(B179,Ingredients!$B$5:$B$304,0)),""))</f>
        <v>0</v>
      </c>
      <c r="G179" s="17">
        <f>IF(B179="","",IFERROR(INDEX(Ingredients!$G$5:$G$304,MATCH(B179,Ingredients!$B$5:$B$304,0)),"Add to Ingredients"))</f>
        <v>0</v>
      </c>
      <c r="H179" s="45">
        <f>IF(B179="","",IFERROR(INDEX(Ingredients!$AD$5:$AD$304,MATCH(B179,Ingredients!$B$5:$B$304,0)),0))</f>
        <v>0</v>
      </c>
      <c r="I179" s="45">
        <f>IF(F179="","",MAX(0,F179-IF(H179="",0,H179)))</f>
        <v>0</v>
      </c>
      <c r="J179" s="45">
        <f>IF(B179="","",IFERROR(INDEX(Ingredients!$H$5:$H$304,MATCH(B179,Ingredients!$B$5:$B$304,0)),"Add to Ingredients"))</f>
        <v>0</v>
      </c>
      <c r="K179" s="25">
        <f>IF(B179="","",IFERROR(INDEX(Ingredients!$I$5:$I$304,MATCH(B179,Ingredients!$B$5:$B$304,0)),"Add to Ingredients"))</f>
        <v>0</v>
      </c>
      <c r="L179" s="25">
        <f>IF(B179="","",IFERROR(INDEX(Ingredients!$J$5:$J$304,MATCH(B179,Ingredients!$B$5:$B$304,0)),"Add to Ingredients"))</f>
        <v>0</v>
      </c>
      <c r="M179" s="45">
        <f>IF(OR(I179="",I179=0),"",IF(OR(J179="",NOT(ISNUMBER(J179)),J179=0),"",ROUNDUP(I179/J179,0)))</f>
        <v>0</v>
      </c>
      <c r="N179" s="45">
        <f>IF(I179="","",IF(RoundingRule="Exact quantity",I179,IF(M179="",I179,M179*J179)))</f>
        <v>0</v>
      </c>
      <c r="O179" s="25">
        <f>IF(N179="","",IF(RoundingRule="Exact quantity",IF(L179="","",N179*L179),IF(OR(M179="",K179=""),"",M179*K179)))</f>
        <v>0</v>
      </c>
      <c r="P179" s="25">
        <f>IF(B179="","",SUM(O$5:O179))</f>
        <v>0</v>
      </c>
      <c r="Q179" s="45">
        <f>IF(V179="Yes",0,IF(N179="",0,N179))</f>
        <v>0</v>
      </c>
      <c r="R179" s="18">
        <f>IF(OR(B179="",I179=0,I179=""),"",COUNTIFS($I$5:I179,"&gt;0"))</f>
        <v>0</v>
      </c>
      <c r="S179" s="18">
        <f>IF(B179="","",COUNTIFS('Recipe Ingredients'!$D$5:$D$1204,B179,'Recipe Ingredients'!$Y$5:$Y$1204,"&gt;0"))</f>
        <v>0</v>
      </c>
      <c r="T179" s="46">
        <f>IF(B179="","",IF(COUNTIFS('Recipe Ingredients'!$D$5:$D$1204,B179,'Recipe Ingredients'!$Y$5:$Y$1204,"&gt;0",'Recipe Ingredients'!$I$5:$I$1204,"No")=0,"Yes","No"))</f>
        <v>0</v>
      </c>
      <c r="U179" s="17">
        <f>IF(B179="","",IFERROR(INDEX(Ingredients!$W$5:$W$304,MATCH(B179,Ingredients!$B$5:$B$304,0)),"Add to Ingredients"))</f>
        <v>0</v>
      </c>
      <c r="Z179" s="31">
        <f>IF(B179="","",IF(V179="Yes","Bought",IF(I179=0,"In stock",IF(O179="","Check - no price","On the list"))))</f>
        <v>0</v>
      </c>
    </row>
    <row r="180" spans="1:26">
      <c r="A180" s="18">
        <f>ROW()-4</f>
        <v>0</v>
      </c>
      <c r="B180" s="17">
        <f>IFERROR(INDEX(Ingredients!$B$5:$B$304,MATCH(A180,Ingredients!$AL$5:$AL$304,0)),"")</f>
        <v>0</v>
      </c>
      <c r="C180" s="17">
        <f>IF(B180="","",IFERROR(INDEX(Ingredients!$C$5:$C$304,MATCH(B180,Ingredients!$B$5:$B$304,0)),"Add to Ingredients"))</f>
        <v>0</v>
      </c>
      <c r="D180" s="17">
        <f>IF(B180="","",IFERROR(INDEX(Ingredients!$D$5:$D$304,MATCH(B180,Ingredients!$B$5:$B$304,0)),"Add to Ingredients"))</f>
        <v>0</v>
      </c>
      <c r="E180" s="17">
        <f>IF(B180="","",IFERROR(INDEX(Ingredients!$E$5:$E$304,MATCH(B180,Ingredients!$B$5:$B$304,0)),"Add to Ingredients"))</f>
        <v>0</v>
      </c>
      <c r="F180" s="45">
        <f>IF(B180="","",IFERROR(INDEX(Ingredients!$AG$5:$AG$304,MATCH(B180,Ingredients!$B$5:$B$304,0)),""))</f>
        <v>0</v>
      </c>
      <c r="G180" s="17">
        <f>IF(B180="","",IFERROR(INDEX(Ingredients!$G$5:$G$304,MATCH(B180,Ingredients!$B$5:$B$304,0)),"Add to Ingredients"))</f>
        <v>0</v>
      </c>
      <c r="H180" s="45">
        <f>IF(B180="","",IFERROR(INDEX(Ingredients!$AD$5:$AD$304,MATCH(B180,Ingredients!$B$5:$B$304,0)),0))</f>
        <v>0</v>
      </c>
      <c r="I180" s="45">
        <f>IF(F180="","",MAX(0,F180-IF(H180="",0,H180)))</f>
        <v>0</v>
      </c>
      <c r="J180" s="45">
        <f>IF(B180="","",IFERROR(INDEX(Ingredients!$H$5:$H$304,MATCH(B180,Ingredients!$B$5:$B$304,0)),"Add to Ingredients"))</f>
        <v>0</v>
      </c>
      <c r="K180" s="25">
        <f>IF(B180="","",IFERROR(INDEX(Ingredients!$I$5:$I$304,MATCH(B180,Ingredients!$B$5:$B$304,0)),"Add to Ingredients"))</f>
        <v>0</v>
      </c>
      <c r="L180" s="25">
        <f>IF(B180="","",IFERROR(INDEX(Ingredients!$J$5:$J$304,MATCH(B180,Ingredients!$B$5:$B$304,0)),"Add to Ingredients"))</f>
        <v>0</v>
      </c>
      <c r="M180" s="45">
        <f>IF(OR(I180="",I180=0),"",IF(OR(J180="",NOT(ISNUMBER(J180)),J180=0),"",ROUNDUP(I180/J180,0)))</f>
        <v>0</v>
      </c>
      <c r="N180" s="45">
        <f>IF(I180="","",IF(RoundingRule="Exact quantity",I180,IF(M180="",I180,M180*J180)))</f>
        <v>0</v>
      </c>
      <c r="O180" s="25">
        <f>IF(N180="","",IF(RoundingRule="Exact quantity",IF(L180="","",N180*L180),IF(OR(M180="",K180=""),"",M180*K180)))</f>
        <v>0</v>
      </c>
      <c r="P180" s="25">
        <f>IF(B180="","",SUM(O$5:O180))</f>
        <v>0</v>
      </c>
      <c r="Q180" s="45">
        <f>IF(V180="Yes",0,IF(N180="",0,N180))</f>
        <v>0</v>
      </c>
      <c r="R180" s="18">
        <f>IF(OR(B180="",I180=0,I180=""),"",COUNTIFS($I$5:I180,"&gt;0"))</f>
        <v>0</v>
      </c>
      <c r="S180" s="18">
        <f>IF(B180="","",COUNTIFS('Recipe Ingredients'!$D$5:$D$1204,B180,'Recipe Ingredients'!$Y$5:$Y$1204,"&gt;0"))</f>
        <v>0</v>
      </c>
      <c r="T180" s="46">
        <f>IF(B180="","",IF(COUNTIFS('Recipe Ingredients'!$D$5:$D$1204,B180,'Recipe Ingredients'!$Y$5:$Y$1204,"&gt;0",'Recipe Ingredients'!$I$5:$I$1204,"No")=0,"Yes","No"))</f>
        <v>0</v>
      </c>
      <c r="U180" s="17">
        <f>IF(B180="","",IFERROR(INDEX(Ingredients!$W$5:$W$304,MATCH(B180,Ingredients!$B$5:$B$304,0)),"Add to Ingredients"))</f>
        <v>0</v>
      </c>
      <c r="Z180" s="31">
        <f>IF(B180="","",IF(V180="Yes","Bought",IF(I180=0,"In stock",IF(O180="","Check - no price","On the list"))))</f>
        <v>0</v>
      </c>
    </row>
    <row r="181" spans="1:26">
      <c r="A181" s="18">
        <f>ROW()-4</f>
        <v>0</v>
      </c>
      <c r="B181" s="17">
        <f>IFERROR(INDEX(Ingredients!$B$5:$B$304,MATCH(A181,Ingredients!$AL$5:$AL$304,0)),"")</f>
        <v>0</v>
      </c>
      <c r="C181" s="17">
        <f>IF(B181="","",IFERROR(INDEX(Ingredients!$C$5:$C$304,MATCH(B181,Ingredients!$B$5:$B$304,0)),"Add to Ingredients"))</f>
        <v>0</v>
      </c>
      <c r="D181" s="17">
        <f>IF(B181="","",IFERROR(INDEX(Ingredients!$D$5:$D$304,MATCH(B181,Ingredients!$B$5:$B$304,0)),"Add to Ingredients"))</f>
        <v>0</v>
      </c>
      <c r="E181" s="17">
        <f>IF(B181="","",IFERROR(INDEX(Ingredients!$E$5:$E$304,MATCH(B181,Ingredients!$B$5:$B$304,0)),"Add to Ingredients"))</f>
        <v>0</v>
      </c>
      <c r="F181" s="45">
        <f>IF(B181="","",IFERROR(INDEX(Ingredients!$AG$5:$AG$304,MATCH(B181,Ingredients!$B$5:$B$304,0)),""))</f>
        <v>0</v>
      </c>
      <c r="G181" s="17">
        <f>IF(B181="","",IFERROR(INDEX(Ingredients!$G$5:$G$304,MATCH(B181,Ingredients!$B$5:$B$304,0)),"Add to Ingredients"))</f>
        <v>0</v>
      </c>
      <c r="H181" s="45">
        <f>IF(B181="","",IFERROR(INDEX(Ingredients!$AD$5:$AD$304,MATCH(B181,Ingredients!$B$5:$B$304,0)),0))</f>
        <v>0</v>
      </c>
      <c r="I181" s="45">
        <f>IF(F181="","",MAX(0,F181-IF(H181="",0,H181)))</f>
        <v>0</v>
      </c>
      <c r="J181" s="45">
        <f>IF(B181="","",IFERROR(INDEX(Ingredients!$H$5:$H$304,MATCH(B181,Ingredients!$B$5:$B$304,0)),"Add to Ingredients"))</f>
        <v>0</v>
      </c>
      <c r="K181" s="25">
        <f>IF(B181="","",IFERROR(INDEX(Ingredients!$I$5:$I$304,MATCH(B181,Ingredients!$B$5:$B$304,0)),"Add to Ingredients"))</f>
        <v>0</v>
      </c>
      <c r="L181" s="25">
        <f>IF(B181="","",IFERROR(INDEX(Ingredients!$J$5:$J$304,MATCH(B181,Ingredients!$B$5:$B$304,0)),"Add to Ingredients"))</f>
        <v>0</v>
      </c>
      <c r="M181" s="45">
        <f>IF(OR(I181="",I181=0),"",IF(OR(J181="",NOT(ISNUMBER(J181)),J181=0),"",ROUNDUP(I181/J181,0)))</f>
        <v>0</v>
      </c>
      <c r="N181" s="45">
        <f>IF(I181="","",IF(RoundingRule="Exact quantity",I181,IF(M181="",I181,M181*J181)))</f>
        <v>0</v>
      </c>
      <c r="O181" s="25">
        <f>IF(N181="","",IF(RoundingRule="Exact quantity",IF(L181="","",N181*L181),IF(OR(M181="",K181=""),"",M181*K181)))</f>
        <v>0</v>
      </c>
      <c r="P181" s="25">
        <f>IF(B181="","",SUM(O$5:O181))</f>
        <v>0</v>
      </c>
      <c r="Q181" s="45">
        <f>IF(V181="Yes",0,IF(N181="",0,N181))</f>
        <v>0</v>
      </c>
      <c r="R181" s="18">
        <f>IF(OR(B181="",I181=0,I181=""),"",COUNTIFS($I$5:I181,"&gt;0"))</f>
        <v>0</v>
      </c>
      <c r="S181" s="18">
        <f>IF(B181="","",COUNTIFS('Recipe Ingredients'!$D$5:$D$1204,B181,'Recipe Ingredients'!$Y$5:$Y$1204,"&gt;0"))</f>
        <v>0</v>
      </c>
      <c r="T181" s="46">
        <f>IF(B181="","",IF(COUNTIFS('Recipe Ingredients'!$D$5:$D$1204,B181,'Recipe Ingredients'!$Y$5:$Y$1204,"&gt;0",'Recipe Ingredients'!$I$5:$I$1204,"No")=0,"Yes","No"))</f>
        <v>0</v>
      </c>
      <c r="U181" s="17">
        <f>IF(B181="","",IFERROR(INDEX(Ingredients!$W$5:$W$304,MATCH(B181,Ingredients!$B$5:$B$304,0)),"Add to Ingredients"))</f>
        <v>0</v>
      </c>
      <c r="Z181" s="31">
        <f>IF(B181="","",IF(V181="Yes","Bought",IF(I181=0,"In stock",IF(O181="","Check - no price","On the list"))))</f>
        <v>0</v>
      </c>
    </row>
    <row r="182" spans="1:26">
      <c r="A182" s="18">
        <f>ROW()-4</f>
        <v>0</v>
      </c>
      <c r="B182" s="17">
        <f>IFERROR(INDEX(Ingredients!$B$5:$B$304,MATCH(A182,Ingredients!$AL$5:$AL$304,0)),"")</f>
        <v>0</v>
      </c>
      <c r="C182" s="17">
        <f>IF(B182="","",IFERROR(INDEX(Ingredients!$C$5:$C$304,MATCH(B182,Ingredients!$B$5:$B$304,0)),"Add to Ingredients"))</f>
        <v>0</v>
      </c>
      <c r="D182" s="17">
        <f>IF(B182="","",IFERROR(INDEX(Ingredients!$D$5:$D$304,MATCH(B182,Ingredients!$B$5:$B$304,0)),"Add to Ingredients"))</f>
        <v>0</v>
      </c>
      <c r="E182" s="17">
        <f>IF(B182="","",IFERROR(INDEX(Ingredients!$E$5:$E$304,MATCH(B182,Ingredients!$B$5:$B$304,0)),"Add to Ingredients"))</f>
        <v>0</v>
      </c>
      <c r="F182" s="45">
        <f>IF(B182="","",IFERROR(INDEX(Ingredients!$AG$5:$AG$304,MATCH(B182,Ingredients!$B$5:$B$304,0)),""))</f>
        <v>0</v>
      </c>
      <c r="G182" s="17">
        <f>IF(B182="","",IFERROR(INDEX(Ingredients!$G$5:$G$304,MATCH(B182,Ingredients!$B$5:$B$304,0)),"Add to Ingredients"))</f>
        <v>0</v>
      </c>
      <c r="H182" s="45">
        <f>IF(B182="","",IFERROR(INDEX(Ingredients!$AD$5:$AD$304,MATCH(B182,Ingredients!$B$5:$B$304,0)),0))</f>
        <v>0</v>
      </c>
      <c r="I182" s="45">
        <f>IF(F182="","",MAX(0,F182-IF(H182="",0,H182)))</f>
        <v>0</v>
      </c>
      <c r="J182" s="45">
        <f>IF(B182="","",IFERROR(INDEX(Ingredients!$H$5:$H$304,MATCH(B182,Ingredients!$B$5:$B$304,0)),"Add to Ingredients"))</f>
        <v>0</v>
      </c>
      <c r="K182" s="25">
        <f>IF(B182="","",IFERROR(INDEX(Ingredients!$I$5:$I$304,MATCH(B182,Ingredients!$B$5:$B$304,0)),"Add to Ingredients"))</f>
        <v>0</v>
      </c>
      <c r="L182" s="25">
        <f>IF(B182="","",IFERROR(INDEX(Ingredients!$J$5:$J$304,MATCH(B182,Ingredients!$B$5:$B$304,0)),"Add to Ingredients"))</f>
        <v>0</v>
      </c>
      <c r="M182" s="45">
        <f>IF(OR(I182="",I182=0),"",IF(OR(J182="",NOT(ISNUMBER(J182)),J182=0),"",ROUNDUP(I182/J182,0)))</f>
        <v>0</v>
      </c>
      <c r="N182" s="45">
        <f>IF(I182="","",IF(RoundingRule="Exact quantity",I182,IF(M182="",I182,M182*J182)))</f>
        <v>0</v>
      </c>
      <c r="O182" s="25">
        <f>IF(N182="","",IF(RoundingRule="Exact quantity",IF(L182="","",N182*L182),IF(OR(M182="",K182=""),"",M182*K182)))</f>
        <v>0</v>
      </c>
      <c r="P182" s="25">
        <f>IF(B182="","",SUM(O$5:O182))</f>
        <v>0</v>
      </c>
      <c r="Q182" s="45">
        <f>IF(V182="Yes",0,IF(N182="",0,N182))</f>
        <v>0</v>
      </c>
      <c r="R182" s="18">
        <f>IF(OR(B182="",I182=0,I182=""),"",COUNTIFS($I$5:I182,"&gt;0"))</f>
        <v>0</v>
      </c>
      <c r="S182" s="18">
        <f>IF(B182="","",COUNTIFS('Recipe Ingredients'!$D$5:$D$1204,B182,'Recipe Ingredients'!$Y$5:$Y$1204,"&gt;0"))</f>
        <v>0</v>
      </c>
      <c r="T182" s="46">
        <f>IF(B182="","",IF(COUNTIFS('Recipe Ingredients'!$D$5:$D$1204,B182,'Recipe Ingredients'!$Y$5:$Y$1204,"&gt;0",'Recipe Ingredients'!$I$5:$I$1204,"No")=0,"Yes","No"))</f>
        <v>0</v>
      </c>
      <c r="U182" s="17">
        <f>IF(B182="","",IFERROR(INDEX(Ingredients!$W$5:$W$304,MATCH(B182,Ingredients!$B$5:$B$304,0)),"Add to Ingredients"))</f>
        <v>0</v>
      </c>
      <c r="Z182" s="31">
        <f>IF(B182="","",IF(V182="Yes","Bought",IF(I182=0,"In stock",IF(O182="","Check - no price","On the list"))))</f>
        <v>0</v>
      </c>
    </row>
    <row r="183" spans="1:26">
      <c r="A183" s="18">
        <f>ROW()-4</f>
        <v>0</v>
      </c>
      <c r="B183" s="17">
        <f>IFERROR(INDEX(Ingredients!$B$5:$B$304,MATCH(A183,Ingredients!$AL$5:$AL$304,0)),"")</f>
        <v>0</v>
      </c>
      <c r="C183" s="17">
        <f>IF(B183="","",IFERROR(INDEX(Ingredients!$C$5:$C$304,MATCH(B183,Ingredients!$B$5:$B$304,0)),"Add to Ingredients"))</f>
        <v>0</v>
      </c>
      <c r="D183" s="17">
        <f>IF(B183="","",IFERROR(INDEX(Ingredients!$D$5:$D$304,MATCH(B183,Ingredients!$B$5:$B$304,0)),"Add to Ingredients"))</f>
        <v>0</v>
      </c>
      <c r="E183" s="17">
        <f>IF(B183="","",IFERROR(INDEX(Ingredients!$E$5:$E$304,MATCH(B183,Ingredients!$B$5:$B$304,0)),"Add to Ingredients"))</f>
        <v>0</v>
      </c>
      <c r="F183" s="45">
        <f>IF(B183="","",IFERROR(INDEX(Ingredients!$AG$5:$AG$304,MATCH(B183,Ingredients!$B$5:$B$304,0)),""))</f>
        <v>0</v>
      </c>
      <c r="G183" s="17">
        <f>IF(B183="","",IFERROR(INDEX(Ingredients!$G$5:$G$304,MATCH(B183,Ingredients!$B$5:$B$304,0)),"Add to Ingredients"))</f>
        <v>0</v>
      </c>
      <c r="H183" s="45">
        <f>IF(B183="","",IFERROR(INDEX(Ingredients!$AD$5:$AD$304,MATCH(B183,Ingredients!$B$5:$B$304,0)),0))</f>
        <v>0</v>
      </c>
      <c r="I183" s="45">
        <f>IF(F183="","",MAX(0,F183-IF(H183="",0,H183)))</f>
        <v>0</v>
      </c>
      <c r="J183" s="45">
        <f>IF(B183="","",IFERROR(INDEX(Ingredients!$H$5:$H$304,MATCH(B183,Ingredients!$B$5:$B$304,0)),"Add to Ingredients"))</f>
        <v>0</v>
      </c>
      <c r="K183" s="25">
        <f>IF(B183="","",IFERROR(INDEX(Ingredients!$I$5:$I$304,MATCH(B183,Ingredients!$B$5:$B$304,0)),"Add to Ingredients"))</f>
        <v>0</v>
      </c>
      <c r="L183" s="25">
        <f>IF(B183="","",IFERROR(INDEX(Ingredients!$J$5:$J$304,MATCH(B183,Ingredients!$B$5:$B$304,0)),"Add to Ingredients"))</f>
        <v>0</v>
      </c>
      <c r="M183" s="45">
        <f>IF(OR(I183="",I183=0),"",IF(OR(J183="",NOT(ISNUMBER(J183)),J183=0),"",ROUNDUP(I183/J183,0)))</f>
        <v>0</v>
      </c>
      <c r="N183" s="45">
        <f>IF(I183="","",IF(RoundingRule="Exact quantity",I183,IF(M183="",I183,M183*J183)))</f>
        <v>0</v>
      </c>
      <c r="O183" s="25">
        <f>IF(N183="","",IF(RoundingRule="Exact quantity",IF(L183="","",N183*L183),IF(OR(M183="",K183=""),"",M183*K183)))</f>
        <v>0</v>
      </c>
      <c r="P183" s="25">
        <f>IF(B183="","",SUM(O$5:O183))</f>
        <v>0</v>
      </c>
      <c r="Q183" s="45">
        <f>IF(V183="Yes",0,IF(N183="",0,N183))</f>
        <v>0</v>
      </c>
      <c r="R183" s="18">
        <f>IF(OR(B183="",I183=0,I183=""),"",COUNTIFS($I$5:I183,"&gt;0"))</f>
        <v>0</v>
      </c>
      <c r="S183" s="18">
        <f>IF(B183="","",COUNTIFS('Recipe Ingredients'!$D$5:$D$1204,B183,'Recipe Ingredients'!$Y$5:$Y$1204,"&gt;0"))</f>
        <v>0</v>
      </c>
      <c r="T183" s="46">
        <f>IF(B183="","",IF(COUNTIFS('Recipe Ingredients'!$D$5:$D$1204,B183,'Recipe Ingredients'!$Y$5:$Y$1204,"&gt;0",'Recipe Ingredients'!$I$5:$I$1204,"No")=0,"Yes","No"))</f>
        <v>0</v>
      </c>
      <c r="U183" s="17">
        <f>IF(B183="","",IFERROR(INDEX(Ingredients!$W$5:$W$304,MATCH(B183,Ingredients!$B$5:$B$304,0)),"Add to Ingredients"))</f>
        <v>0</v>
      </c>
      <c r="Z183" s="31">
        <f>IF(B183="","",IF(V183="Yes","Bought",IF(I183=0,"In stock",IF(O183="","Check - no price","On the list"))))</f>
        <v>0</v>
      </c>
    </row>
    <row r="184" spans="1:26">
      <c r="A184" s="18">
        <f>ROW()-4</f>
        <v>0</v>
      </c>
      <c r="B184" s="17">
        <f>IFERROR(INDEX(Ingredients!$B$5:$B$304,MATCH(A184,Ingredients!$AL$5:$AL$304,0)),"")</f>
        <v>0</v>
      </c>
      <c r="C184" s="17">
        <f>IF(B184="","",IFERROR(INDEX(Ingredients!$C$5:$C$304,MATCH(B184,Ingredients!$B$5:$B$304,0)),"Add to Ingredients"))</f>
        <v>0</v>
      </c>
      <c r="D184" s="17">
        <f>IF(B184="","",IFERROR(INDEX(Ingredients!$D$5:$D$304,MATCH(B184,Ingredients!$B$5:$B$304,0)),"Add to Ingredients"))</f>
        <v>0</v>
      </c>
      <c r="E184" s="17">
        <f>IF(B184="","",IFERROR(INDEX(Ingredients!$E$5:$E$304,MATCH(B184,Ingredients!$B$5:$B$304,0)),"Add to Ingredients"))</f>
        <v>0</v>
      </c>
      <c r="F184" s="45">
        <f>IF(B184="","",IFERROR(INDEX(Ingredients!$AG$5:$AG$304,MATCH(B184,Ingredients!$B$5:$B$304,0)),""))</f>
        <v>0</v>
      </c>
      <c r="G184" s="17">
        <f>IF(B184="","",IFERROR(INDEX(Ingredients!$G$5:$G$304,MATCH(B184,Ingredients!$B$5:$B$304,0)),"Add to Ingredients"))</f>
        <v>0</v>
      </c>
      <c r="H184" s="45">
        <f>IF(B184="","",IFERROR(INDEX(Ingredients!$AD$5:$AD$304,MATCH(B184,Ingredients!$B$5:$B$304,0)),0))</f>
        <v>0</v>
      </c>
      <c r="I184" s="45">
        <f>IF(F184="","",MAX(0,F184-IF(H184="",0,H184)))</f>
        <v>0</v>
      </c>
      <c r="J184" s="45">
        <f>IF(B184="","",IFERROR(INDEX(Ingredients!$H$5:$H$304,MATCH(B184,Ingredients!$B$5:$B$304,0)),"Add to Ingredients"))</f>
        <v>0</v>
      </c>
      <c r="K184" s="25">
        <f>IF(B184="","",IFERROR(INDEX(Ingredients!$I$5:$I$304,MATCH(B184,Ingredients!$B$5:$B$304,0)),"Add to Ingredients"))</f>
        <v>0</v>
      </c>
      <c r="L184" s="25">
        <f>IF(B184="","",IFERROR(INDEX(Ingredients!$J$5:$J$304,MATCH(B184,Ingredients!$B$5:$B$304,0)),"Add to Ingredients"))</f>
        <v>0</v>
      </c>
      <c r="M184" s="45">
        <f>IF(OR(I184="",I184=0),"",IF(OR(J184="",NOT(ISNUMBER(J184)),J184=0),"",ROUNDUP(I184/J184,0)))</f>
        <v>0</v>
      </c>
      <c r="N184" s="45">
        <f>IF(I184="","",IF(RoundingRule="Exact quantity",I184,IF(M184="",I184,M184*J184)))</f>
        <v>0</v>
      </c>
      <c r="O184" s="25">
        <f>IF(N184="","",IF(RoundingRule="Exact quantity",IF(L184="","",N184*L184),IF(OR(M184="",K184=""),"",M184*K184)))</f>
        <v>0</v>
      </c>
      <c r="P184" s="25">
        <f>IF(B184="","",SUM(O$5:O184))</f>
        <v>0</v>
      </c>
      <c r="Q184" s="45">
        <f>IF(V184="Yes",0,IF(N184="",0,N184))</f>
        <v>0</v>
      </c>
      <c r="R184" s="18">
        <f>IF(OR(B184="",I184=0,I184=""),"",COUNTIFS($I$5:I184,"&gt;0"))</f>
        <v>0</v>
      </c>
      <c r="S184" s="18">
        <f>IF(B184="","",COUNTIFS('Recipe Ingredients'!$D$5:$D$1204,B184,'Recipe Ingredients'!$Y$5:$Y$1204,"&gt;0"))</f>
        <v>0</v>
      </c>
      <c r="T184" s="46">
        <f>IF(B184="","",IF(COUNTIFS('Recipe Ingredients'!$D$5:$D$1204,B184,'Recipe Ingredients'!$Y$5:$Y$1204,"&gt;0",'Recipe Ingredients'!$I$5:$I$1204,"No")=0,"Yes","No"))</f>
        <v>0</v>
      </c>
      <c r="U184" s="17">
        <f>IF(B184="","",IFERROR(INDEX(Ingredients!$W$5:$W$304,MATCH(B184,Ingredients!$B$5:$B$304,0)),"Add to Ingredients"))</f>
        <v>0</v>
      </c>
      <c r="Z184" s="31">
        <f>IF(B184="","",IF(V184="Yes","Bought",IF(I184=0,"In stock",IF(O184="","Check - no price","On the list"))))</f>
        <v>0</v>
      </c>
    </row>
    <row r="185" spans="1:26">
      <c r="A185" s="18">
        <f>ROW()-4</f>
        <v>0</v>
      </c>
      <c r="B185" s="17">
        <f>IFERROR(INDEX(Ingredients!$B$5:$B$304,MATCH(A185,Ingredients!$AL$5:$AL$304,0)),"")</f>
        <v>0</v>
      </c>
      <c r="C185" s="17">
        <f>IF(B185="","",IFERROR(INDEX(Ingredients!$C$5:$C$304,MATCH(B185,Ingredients!$B$5:$B$304,0)),"Add to Ingredients"))</f>
        <v>0</v>
      </c>
      <c r="D185" s="17">
        <f>IF(B185="","",IFERROR(INDEX(Ingredients!$D$5:$D$304,MATCH(B185,Ingredients!$B$5:$B$304,0)),"Add to Ingredients"))</f>
        <v>0</v>
      </c>
      <c r="E185" s="17">
        <f>IF(B185="","",IFERROR(INDEX(Ingredients!$E$5:$E$304,MATCH(B185,Ingredients!$B$5:$B$304,0)),"Add to Ingredients"))</f>
        <v>0</v>
      </c>
      <c r="F185" s="45">
        <f>IF(B185="","",IFERROR(INDEX(Ingredients!$AG$5:$AG$304,MATCH(B185,Ingredients!$B$5:$B$304,0)),""))</f>
        <v>0</v>
      </c>
      <c r="G185" s="17">
        <f>IF(B185="","",IFERROR(INDEX(Ingredients!$G$5:$G$304,MATCH(B185,Ingredients!$B$5:$B$304,0)),"Add to Ingredients"))</f>
        <v>0</v>
      </c>
      <c r="H185" s="45">
        <f>IF(B185="","",IFERROR(INDEX(Ingredients!$AD$5:$AD$304,MATCH(B185,Ingredients!$B$5:$B$304,0)),0))</f>
        <v>0</v>
      </c>
      <c r="I185" s="45">
        <f>IF(F185="","",MAX(0,F185-IF(H185="",0,H185)))</f>
        <v>0</v>
      </c>
      <c r="J185" s="45">
        <f>IF(B185="","",IFERROR(INDEX(Ingredients!$H$5:$H$304,MATCH(B185,Ingredients!$B$5:$B$304,0)),"Add to Ingredients"))</f>
        <v>0</v>
      </c>
      <c r="K185" s="25">
        <f>IF(B185="","",IFERROR(INDEX(Ingredients!$I$5:$I$304,MATCH(B185,Ingredients!$B$5:$B$304,0)),"Add to Ingredients"))</f>
        <v>0</v>
      </c>
      <c r="L185" s="25">
        <f>IF(B185="","",IFERROR(INDEX(Ingredients!$J$5:$J$304,MATCH(B185,Ingredients!$B$5:$B$304,0)),"Add to Ingredients"))</f>
        <v>0</v>
      </c>
      <c r="M185" s="45">
        <f>IF(OR(I185="",I185=0),"",IF(OR(J185="",NOT(ISNUMBER(J185)),J185=0),"",ROUNDUP(I185/J185,0)))</f>
        <v>0</v>
      </c>
      <c r="N185" s="45">
        <f>IF(I185="","",IF(RoundingRule="Exact quantity",I185,IF(M185="",I185,M185*J185)))</f>
        <v>0</v>
      </c>
      <c r="O185" s="25">
        <f>IF(N185="","",IF(RoundingRule="Exact quantity",IF(L185="","",N185*L185),IF(OR(M185="",K185=""),"",M185*K185)))</f>
        <v>0</v>
      </c>
      <c r="P185" s="25">
        <f>IF(B185="","",SUM(O$5:O185))</f>
        <v>0</v>
      </c>
      <c r="Q185" s="45">
        <f>IF(V185="Yes",0,IF(N185="",0,N185))</f>
        <v>0</v>
      </c>
      <c r="R185" s="18">
        <f>IF(OR(B185="",I185=0,I185=""),"",COUNTIFS($I$5:I185,"&gt;0"))</f>
        <v>0</v>
      </c>
      <c r="S185" s="18">
        <f>IF(B185="","",COUNTIFS('Recipe Ingredients'!$D$5:$D$1204,B185,'Recipe Ingredients'!$Y$5:$Y$1204,"&gt;0"))</f>
        <v>0</v>
      </c>
      <c r="T185" s="46">
        <f>IF(B185="","",IF(COUNTIFS('Recipe Ingredients'!$D$5:$D$1204,B185,'Recipe Ingredients'!$Y$5:$Y$1204,"&gt;0",'Recipe Ingredients'!$I$5:$I$1204,"No")=0,"Yes","No"))</f>
        <v>0</v>
      </c>
      <c r="U185" s="17">
        <f>IF(B185="","",IFERROR(INDEX(Ingredients!$W$5:$W$304,MATCH(B185,Ingredients!$B$5:$B$304,0)),"Add to Ingredients"))</f>
        <v>0</v>
      </c>
      <c r="Z185" s="31">
        <f>IF(B185="","",IF(V185="Yes","Bought",IF(I185=0,"In stock",IF(O185="","Check - no price","On the list"))))</f>
        <v>0</v>
      </c>
    </row>
    <row r="186" spans="1:26">
      <c r="A186" s="18">
        <f>ROW()-4</f>
        <v>0</v>
      </c>
      <c r="B186" s="17">
        <f>IFERROR(INDEX(Ingredients!$B$5:$B$304,MATCH(A186,Ingredients!$AL$5:$AL$304,0)),"")</f>
        <v>0</v>
      </c>
      <c r="C186" s="17">
        <f>IF(B186="","",IFERROR(INDEX(Ingredients!$C$5:$C$304,MATCH(B186,Ingredients!$B$5:$B$304,0)),"Add to Ingredients"))</f>
        <v>0</v>
      </c>
      <c r="D186" s="17">
        <f>IF(B186="","",IFERROR(INDEX(Ingredients!$D$5:$D$304,MATCH(B186,Ingredients!$B$5:$B$304,0)),"Add to Ingredients"))</f>
        <v>0</v>
      </c>
      <c r="E186" s="17">
        <f>IF(B186="","",IFERROR(INDEX(Ingredients!$E$5:$E$304,MATCH(B186,Ingredients!$B$5:$B$304,0)),"Add to Ingredients"))</f>
        <v>0</v>
      </c>
      <c r="F186" s="45">
        <f>IF(B186="","",IFERROR(INDEX(Ingredients!$AG$5:$AG$304,MATCH(B186,Ingredients!$B$5:$B$304,0)),""))</f>
        <v>0</v>
      </c>
      <c r="G186" s="17">
        <f>IF(B186="","",IFERROR(INDEX(Ingredients!$G$5:$G$304,MATCH(B186,Ingredients!$B$5:$B$304,0)),"Add to Ingredients"))</f>
        <v>0</v>
      </c>
      <c r="H186" s="45">
        <f>IF(B186="","",IFERROR(INDEX(Ingredients!$AD$5:$AD$304,MATCH(B186,Ingredients!$B$5:$B$304,0)),0))</f>
        <v>0</v>
      </c>
      <c r="I186" s="45">
        <f>IF(F186="","",MAX(0,F186-IF(H186="",0,H186)))</f>
        <v>0</v>
      </c>
      <c r="J186" s="45">
        <f>IF(B186="","",IFERROR(INDEX(Ingredients!$H$5:$H$304,MATCH(B186,Ingredients!$B$5:$B$304,0)),"Add to Ingredients"))</f>
        <v>0</v>
      </c>
      <c r="K186" s="25">
        <f>IF(B186="","",IFERROR(INDEX(Ingredients!$I$5:$I$304,MATCH(B186,Ingredients!$B$5:$B$304,0)),"Add to Ingredients"))</f>
        <v>0</v>
      </c>
      <c r="L186" s="25">
        <f>IF(B186="","",IFERROR(INDEX(Ingredients!$J$5:$J$304,MATCH(B186,Ingredients!$B$5:$B$304,0)),"Add to Ingredients"))</f>
        <v>0</v>
      </c>
      <c r="M186" s="45">
        <f>IF(OR(I186="",I186=0),"",IF(OR(J186="",NOT(ISNUMBER(J186)),J186=0),"",ROUNDUP(I186/J186,0)))</f>
        <v>0</v>
      </c>
      <c r="N186" s="45">
        <f>IF(I186="","",IF(RoundingRule="Exact quantity",I186,IF(M186="",I186,M186*J186)))</f>
        <v>0</v>
      </c>
      <c r="O186" s="25">
        <f>IF(N186="","",IF(RoundingRule="Exact quantity",IF(L186="","",N186*L186),IF(OR(M186="",K186=""),"",M186*K186)))</f>
        <v>0</v>
      </c>
      <c r="P186" s="25">
        <f>IF(B186="","",SUM(O$5:O186))</f>
        <v>0</v>
      </c>
      <c r="Q186" s="45">
        <f>IF(V186="Yes",0,IF(N186="",0,N186))</f>
        <v>0</v>
      </c>
      <c r="R186" s="18">
        <f>IF(OR(B186="",I186=0,I186=""),"",COUNTIFS($I$5:I186,"&gt;0"))</f>
        <v>0</v>
      </c>
      <c r="S186" s="18">
        <f>IF(B186="","",COUNTIFS('Recipe Ingredients'!$D$5:$D$1204,B186,'Recipe Ingredients'!$Y$5:$Y$1204,"&gt;0"))</f>
        <v>0</v>
      </c>
      <c r="T186" s="46">
        <f>IF(B186="","",IF(COUNTIFS('Recipe Ingredients'!$D$5:$D$1204,B186,'Recipe Ingredients'!$Y$5:$Y$1204,"&gt;0",'Recipe Ingredients'!$I$5:$I$1204,"No")=0,"Yes","No"))</f>
        <v>0</v>
      </c>
      <c r="U186" s="17">
        <f>IF(B186="","",IFERROR(INDEX(Ingredients!$W$5:$W$304,MATCH(B186,Ingredients!$B$5:$B$304,0)),"Add to Ingredients"))</f>
        <v>0</v>
      </c>
      <c r="Z186" s="31">
        <f>IF(B186="","",IF(V186="Yes","Bought",IF(I186=0,"In stock",IF(O186="","Check - no price","On the list"))))</f>
        <v>0</v>
      </c>
    </row>
    <row r="187" spans="1:26">
      <c r="A187" s="18">
        <f>ROW()-4</f>
        <v>0</v>
      </c>
      <c r="B187" s="17">
        <f>IFERROR(INDEX(Ingredients!$B$5:$B$304,MATCH(A187,Ingredients!$AL$5:$AL$304,0)),"")</f>
        <v>0</v>
      </c>
      <c r="C187" s="17">
        <f>IF(B187="","",IFERROR(INDEX(Ingredients!$C$5:$C$304,MATCH(B187,Ingredients!$B$5:$B$304,0)),"Add to Ingredients"))</f>
        <v>0</v>
      </c>
      <c r="D187" s="17">
        <f>IF(B187="","",IFERROR(INDEX(Ingredients!$D$5:$D$304,MATCH(B187,Ingredients!$B$5:$B$304,0)),"Add to Ingredients"))</f>
        <v>0</v>
      </c>
      <c r="E187" s="17">
        <f>IF(B187="","",IFERROR(INDEX(Ingredients!$E$5:$E$304,MATCH(B187,Ingredients!$B$5:$B$304,0)),"Add to Ingredients"))</f>
        <v>0</v>
      </c>
      <c r="F187" s="45">
        <f>IF(B187="","",IFERROR(INDEX(Ingredients!$AG$5:$AG$304,MATCH(B187,Ingredients!$B$5:$B$304,0)),""))</f>
        <v>0</v>
      </c>
      <c r="G187" s="17">
        <f>IF(B187="","",IFERROR(INDEX(Ingredients!$G$5:$G$304,MATCH(B187,Ingredients!$B$5:$B$304,0)),"Add to Ingredients"))</f>
        <v>0</v>
      </c>
      <c r="H187" s="45">
        <f>IF(B187="","",IFERROR(INDEX(Ingredients!$AD$5:$AD$304,MATCH(B187,Ingredients!$B$5:$B$304,0)),0))</f>
        <v>0</v>
      </c>
      <c r="I187" s="45">
        <f>IF(F187="","",MAX(0,F187-IF(H187="",0,H187)))</f>
        <v>0</v>
      </c>
      <c r="J187" s="45">
        <f>IF(B187="","",IFERROR(INDEX(Ingredients!$H$5:$H$304,MATCH(B187,Ingredients!$B$5:$B$304,0)),"Add to Ingredients"))</f>
        <v>0</v>
      </c>
      <c r="K187" s="25">
        <f>IF(B187="","",IFERROR(INDEX(Ingredients!$I$5:$I$304,MATCH(B187,Ingredients!$B$5:$B$304,0)),"Add to Ingredients"))</f>
        <v>0</v>
      </c>
      <c r="L187" s="25">
        <f>IF(B187="","",IFERROR(INDEX(Ingredients!$J$5:$J$304,MATCH(B187,Ingredients!$B$5:$B$304,0)),"Add to Ingredients"))</f>
        <v>0</v>
      </c>
      <c r="M187" s="45">
        <f>IF(OR(I187="",I187=0),"",IF(OR(J187="",NOT(ISNUMBER(J187)),J187=0),"",ROUNDUP(I187/J187,0)))</f>
        <v>0</v>
      </c>
      <c r="N187" s="45">
        <f>IF(I187="","",IF(RoundingRule="Exact quantity",I187,IF(M187="",I187,M187*J187)))</f>
        <v>0</v>
      </c>
      <c r="O187" s="25">
        <f>IF(N187="","",IF(RoundingRule="Exact quantity",IF(L187="","",N187*L187),IF(OR(M187="",K187=""),"",M187*K187)))</f>
        <v>0</v>
      </c>
      <c r="P187" s="25">
        <f>IF(B187="","",SUM(O$5:O187))</f>
        <v>0</v>
      </c>
      <c r="Q187" s="45">
        <f>IF(V187="Yes",0,IF(N187="",0,N187))</f>
        <v>0</v>
      </c>
      <c r="R187" s="18">
        <f>IF(OR(B187="",I187=0,I187=""),"",COUNTIFS($I$5:I187,"&gt;0"))</f>
        <v>0</v>
      </c>
      <c r="S187" s="18">
        <f>IF(B187="","",COUNTIFS('Recipe Ingredients'!$D$5:$D$1204,B187,'Recipe Ingredients'!$Y$5:$Y$1204,"&gt;0"))</f>
        <v>0</v>
      </c>
      <c r="T187" s="46">
        <f>IF(B187="","",IF(COUNTIFS('Recipe Ingredients'!$D$5:$D$1204,B187,'Recipe Ingredients'!$Y$5:$Y$1204,"&gt;0",'Recipe Ingredients'!$I$5:$I$1204,"No")=0,"Yes","No"))</f>
        <v>0</v>
      </c>
      <c r="U187" s="17">
        <f>IF(B187="","",IFERROR(INDEX(Ingredients!$W$5:$W$304,MATCH(B187,Ingredients!$B$5:$B$304,0)),"Add to Ingredients"))</f>
        <v>0</v>
      </c>
      <c r="Z187" s="31">
        <f>IF(B187="","",IF(V187="Yes","Bought",IF(I187=0,"In stock",IF(O187="","Check - no price","On the list"))))</f>
        <v>0</v>
      </c>
    </row>
    <row r="188" spans="1:26">
      <c r="A188" s="18">
        <f>ROW()-4</f>
        <v>0</v>
      </c>
      <c r="B188" s="17">
        <f>IFERROR(INDEX(Ingredients!$B$5:$B$304,MATCH(A188,Ingredients!$AL$5:$AL$304,0)),"")</f>
        <v>0</v>
      </c>
      <c r="C188" s="17">
        <f>IF(B188="","",IFERROR(INDEX(Ingredients!$C$5:$C$304,MATCH(B188,Ingredients!$B$5:$B$304,0)),"Add to Ingredients"))</f>
        <v>0</v>
      </c>
      <c r="D188" s="17">
        <f>IF(B188="","",IFERROR(INDEX(Ingredients!$D$5:$D$304,MATCH(B188,Ingredients!$B$5:$B$304,0)),"Add to Ingredients"))</f>
        <v>0</v>
      </c>
      <c r="E188" s="17">
        <f>IF(B188="","",IFERROR(INDEX(Ingredients!$E$5:$E$304,MATCH(B188,Ingredients!$B$5:$B$304,0)),"Add to Ingredients"))</f>
        <v>0</v>
      </c>
      <c r="F188" s="45">
        <f>IF(B188="","",IFERROR(INDEX(Ingredients!$AG$5:$AG$304,MATCH(B188,Ingredients!$B$5:$B$304,0)),""))</f>
        <v>0</v>
      </c>
      <c r="G188" s="17">
        <f>IF(B188="","",IFERROR(INDEX(Ingredients!$G$5:$G$304,MATCH(B188,Ingredients!$B$5:$B$304,0)),"Add to Ingredients"))</f>
        <v>0</v>
      </c>
      <c r="H188" s="45">
        <f>IF(B188="","",IFERROR(INDEX(Ingredients!$AD$5:$AD$304,MATCH(B188,Ingredients!$B$5:$B$304,0)),0))</f>
        <v>0</v>
      </c>
      <c r="I188" s="45">
        <f>IF(F188="","",MAX(0,F188-IF(H188="",0,H188)))</f>
        <v>0</v>
      </c>
      <c r="J188" s="45">
        <f>IF(B188="","",IFERROR(INDEX(Ingredients!$H$5:$H$304,MATCH(B188,Ingredients!$B$5:$B$304,0)),"Add to Ingredients"))</f>
        <v>0</v>
      </c>
      <c r="K188" s="25">
        <f>IF(B188="","",IFERROR(INDEX(Ingredients!$I$5:$I$304,MATCH(B188,Ingredients!$B$5:$B$304,0)),"Add to Ingredients"))</f>
        <v>0</v>
      </c>
      <c r="L188" s="25">
        <f>IF(B188="","",IFERROR(INDEX(Ingredients!$J$5:$J$304,MATCH(B188,Ingredients!$B$5:$B$304,0)),"Add to Ingredients"))</f>
        <v>0</v>
      </c>
      <c r="M188" s="45">
        <f>IF(OR(I188="",I188=0),"",IF(OR(J188="",NOT(ISNUMBER(J188)),J188=0),"",ROUNDUP(I188/J188,0)))</f>
        <v>0</v>
      </c>
      <c r="N188" s="45">
        <f>IF(I188="","",IF(RoundingRule="Exact quantity",I188,IF(M188="",I188,M188*J188)))</f>
        <v>0</v>
      </c>
      <c r="O188" s="25">
        <f>IF(N188="","",IF(RoundingRule="Exact quantity",IF(L188="","",N188*L188),IF(OR(M188="",K188=""),"",M188*K188)))</f>
        <v>0</v>
      </c>
      <c r="P188" s="25">
        <f>IF(B188="","",SUM(O$5:O188))</f>
        <v>0</v>
      </c>
      <c r="Q188" s="45">
        <f>IF(V188="Yes",0,IF(N188="",0,N188))</f>
        <v>0</v>
      </c>
      <c r="R188" s="18">
        <f>IF(OR(B188="",I188=0,I188=""),"",COUNTIFS($I$5:I188,"&gt;0"))</f>
        <v>0</v>
      </c>
      <c r="S188" s="18">
        <f>IF(B188="","",COUNTIFS('Recipe Ingredients'!$D$5:$D$1204,B188,'Recipe Ingredients'!$Y$5:$Y$1204,"&gt;0"))</f>
        <v>0</v>
      </c>
      <c r="T188" s="46">
        <f>IF(B188="","",IF(COUNTIFS('Recipe Ingredients'!$D$5:$D$1204,B188,'Recipe Ingredients'!$Y$5:$Y$1204,"&gt;0",'Recipe Ingredients'!$I$5:$I$1204,"No")=0,"Yes","No"))</f>
        <v>0</v>
      </c>
      <c r="U188" s="17">
        <f>IF(B188="","",IFERROR(INDEX(Ingredients!$W$5:$W$304,MATCH(B188,Ingredients!$B$5:$B$304,0)),"Add to Ingredients"))</f>
        <v>0</v>
      </c>
      <c r="Z188" s="31">
        <f>IF(B188="","",IF(V188="Yes","Bought",IF(I188=0,"In stock",IF(O188="","Check - no price","On the list"))))</f>
        <v>0</v>
      </c>
    </row>
    <row r="189" spans="1:26">
      <c r="A189" s="18">
        <f>ROW()-4</f>
        <v>0</v>
      </c>
      <c r="B189" s="17">
        <f>IFERROR(INDEX(Ingredients!$B$5:$B$304,MATCH(A189,Ingredients!$AL$5:$AL$304,0)),"")</f>
        <v>0</v>
      </c>
      <c r="C189" s="17">
        <f>IF(B189="","",IFERROR(INDEX(Ingredients!$C$5:$C$304,MATCH(B189,Ingredients!$B$5:$B$304,0)),"Add to Ingredients"))</f>
        <v>0</v>
      </c>
      <c r="D189" s="17">
        <f>IF(B189="","",IFERROR(INDEX(Ingredients!$D$5:$D$304,MATCH(B189,Ingredients!$B$5:$B$304,0)),"Add to Ingredients"))</f>
        <v>0</v>
      </c>
      <c r="E189" s="17">
        <f>IF(B189="","",IFERROR(INDEX(Ingredients!$E$5:$E$304,MATCH(B189,Ingredients!$B$5:$B$304,0)),"Add to Ingredients"))</f>
        <v>0</v>
      </c>
      <c r="F189" s="45">
        <f>IF(B189="","",IFERROR(INDEX(Ingredients!$AG$5:$AG$304,MATCH(B189,Ingredients!$B$5:$B$304,0)),""))</f>
        <v>0</v>
      </c>
      <c r="G189" s="17">
        <f>IF(B189="","",IFERROR(INDEX(Ingredients!$G$5:$G$304,MATCH(B189,Ingredients!$B$5:$B$304,0)),"Add to Ingredients"))</f>
        <v>0</v>
      </c>
      <c r="H189" s="45">
        <f>IF(B189="","",IFERROR(INDEX(Ingredients!$AD$5:$AD$304,MATCH(B189,Ingredients!$B$5:$B$304,0)),0))</f>
        <v>0</v>
      </c>
      <c r="I189" s="45">
        <f>IF(F189="","",MAX(0,F189-IF(H189="",0,H189)))</f>
        <v>0</v>
      </c>
      <c r="J189" s="45">
        <f>IF(B189="","",IFERROR(INDEX(Ingredients!$H$5:$H$304,MATCH(B189,Ingredients!$B$5:$B$304,0)),"Add to Ingredients"))</f>
        <v>0</v>
      </c>
      <c r="K189" s="25">
        <f>IF(B189="","",IFERROR(INDEX(Ingredients!$I$5:$I$304,MATCH(B189,Ingredients!$B$5:$B$304,0)),"Add to Ingredients"))</f>
        <v>0</v>
      </c>
      <c r="L189" s="25">
        <f>IF(B189="","",IFERROR(INDEX(Ingredients!$J$5:$J$304,MATCH(B189,Ingredients!$B$5:$B$304,0)),"Add to Ingredients"))</f>
        <v>0</v>
      </c>
      <c r="M189" s="45">
        <f>IF(OR(I189="",I189=0),"",IF(OR(J189="",NOT(ISNUMBER(J189)),J189=0),"",ROUNDUP(I189/J189,0)))</f>
        <v>0</v>
      </c>
      <c r="N189" s="45">
        <f>IF(I189="","",IF(RoundingRule="Exact quantity",I189,IF(M189="",I189,M189*J189)))</f>
        <v>0</v>
      </c>
      <c r="O189" s="25">
        <f>IF(N189="","",IF(RoundingRule="Exact quantity",IF(L189="","",N189*L189),IF(OR(M189="",K189=""),"",M189*K189)))</f>
        <v>0</v>
      </c>
      <c r="P189" s="25">
        <f>IF(B189="","",SUM(O$5:O189))</f>
        <v>0</v>
      </c>
      <c r="Q189" s="45">
        <f>IF(V189="Yes",0,IF(N189="",0,N189))</f>
        <v>0</v>
      </c>
      <c r="R189" s="18">
        <f>IF(OR(B189="",I189=0,I189=""),"",COUNTIFS($I$5:I189,"&gt;0"))</f>
        <v>0</v>
      </c>
      <c r="S189" s="18">
        <f>IF(B189="","",COUNTIFS('Recipe Ingredients'!$D$5:$D$1204,B189,'Recipe Ingredients'!$Y$5:$Y$1204,"&gt;0"))</f>
        <v>0</v>
      </c>
      <c r="T189" s="46">
        <f>IF(B189="","",IF(COUNTIFS('Recipe Ingredients'!$D$5:$D$1204,B189,'Recipe Ingredients'!$Y$5:$Y$1204,"&gt;0",'Recipe Ingredients'!$I$5:$I$1204,"No")=0,"Yes","No"))</f>
        <v>0</v>
      </c>
      <c r="U189" s="17">
        <f>IF(B189="","",IFERROR(INDEX(Ingredients!$W$5:$W$304,MATCH(B189,Ingredients!$B$5:$B$304,0)),"Add to Ingredients"))</f>
        <v>0</v>
      </c>
      <c r="Z189" s="31">
        <f>IF(B189="","",IF(V189="Yes","Bought",IF(I189=0,"In stock",IF(O189="","Check - no price","On the list"))))</f>
        <v>0</v>
      </c>
    </row>
    <row r="190" spans="1:26">
      <c r="A190" s="18">
        <f>ROW()-4</f>
        <v>0</v>
      </c>
      <c r="B190" s="17">
        <f>IFERROR(INDEX(Ingredients!$B$5:$B$304,MATCH(A190,Ingredients!$AL$5:$AL$304,0)),"")</f>
        <v>0</v>
      </c>
      <c r="C190" s="17">
        <f>IF(B190="","",IFERROR(INDEX(Ingredients!$C$5:$C$304,MATCH(B190,Ingredients!$B$5:$B$304,0)),"Add to Ingredients"))</f>
        <v>0</v>
      </c>
      <c r="D190" s="17">
        <f>IF(B190="","",IFERROR(INDEX(Ingredients!$D$5:$D$304,MATCH(B190,Ingredients!$B$5:$B$304,0)),"Add to Ingredients"))</f>
        <v>0</v>
      </c>
      <c r="E190" s="17">
        <f>IF(B190="","",IFERROR(INDEX(Ingredients!$E$5:$E$304,MATCH(B190,Ingredients!$B$5:$B$304,0)),"Add to Ingredients"))</f>
        <v>0</v>
      </c>
      <c r="F190" s="45">
        <f>IF(B190="","",IFERROR(INDEX(Ingredients!$AG$5:$AG$304,MATCH(B190,Ingredients!$B$5:$B$304,0)),""))</f>
        <v>0</v>
      </c>
      <c r="G190" s="17">
        <f>IF(B190="","",IFERROR(INDEX(Ingredients!$G$5:$G$304,MATCH(B190,Ingredients!$B$5:$B$304,0)),"Add to Ingredients"))</f>
        <v>0</v>
      </c>
      <c r="H190" s="45">
        <f>IF(B190="","",IFERROR(INDEX(Ingredients!$AD$5:$AD$304,MATCH(B190,Ingredients!$B$5:$B$304,0)),0))</f>
        <v>0</v>
      </c>
      <c r="I190" s="45">
        <f>IF(F190="","",MAX(0,F190-IF(H190="",0,H190)))</f>
        <v>0</v>
      </c>
      <c r="J190" s="45">
        <f>IF(B190="","",IFERROR(INDEX(Ingredients!$H$5:$H$304,MATCH(B190,Ingredients!$B$5:$B$304,0)),"Add to Ingredients"))</f>
        <v>0</v>
      </c>
      <c r="K190" s="25">
        <f>IF(B190="","",IFERROR(INDEX(Ingredients!$I$5:$I$304,MATCH(B190,Ingredients!$B$5:$B$304,0)),"Add to Ingredients"))</f>
        <v>0</v>
      </c>
      <c r="L190" s="25">
        <f>IF(B190="","",IFERROR(INDEX(Ingredients!$J$5:$J$304,MATCH(B190,Ingredients!$B$5:$B$304,0)),"Add to Ingredients"))</f>
        <v>0</v>
      </c>
      <c r="M190" s="45">
        <f>IF(OR(I190="",I190=0),"",IF(OR(J190="",NOT(ISNUMBER(J190)),J190=0),"",ROUNDUP(I190/J190,0)))</f>
        <v>0</v>
      </c>
      <c r="N190" s="45">
        <f>IF(I190="","",IF(RoundingRule="Exact quantity",I190,IF(M190="",I190,M190*J190)))</f>
        <v>0</v>
      </c>
      <c r="O190" s="25">
        <f>IF(N190="","",IF(RoundingRule="Exact quantity",IF(L190="","",N190*L190),IF(OR(M190="",K190=""),"",M190*K190)))</f>
        <v>0</v>
      </c>
      <c r="P190" s="25">
        <f>IF(B190="","",SUM(O$5:O190))</f>
        <v>0</v>
      </c>
      <c r="Q190" s="45">
        <f>IF(V190="Yes",0,IF(N190="",0,N190))</f>
        <v>0</v>
      </c>
      <c r="R190" s="18">
        <f>IF(OR(B190="",I190=0,I190=""),"",COUNTIFS($I$5:I190,"&gt;0"))</f>
        <v>0</v>
      </c>
      <c r="S190" s="18">
        <f>IF(B190="","",COUNTIFS('Recipe Ingredients'!$D$5:$D$1204,B190,'Recipe Ingredients'!$Y$5:$Y$1204,"&gt;0"))</f>
        <v>0</v>
      </c>
      <c r="T190" s="46">
        <f>IF(B190="","",IF(COUNTIFS('Recipe Ingredients'!$D$5:$D$1204,B190,'Recipe Ingredients'!$Y$5:$Y$1204,"&gt;0",'Recipe Ingredients'!$I$5:$I$1204,"No")=0,"Yes","No"))</f>
        <v>0</v>
      </c>
      <c r="U190" s="17">
        <f>IF(B190="","",IFERROR(INDEX(Ingredients!$W$5:$W$304,MATCH(B190,Ingredients!$B$5:$B$304,0)),"Add to Ingredients"))</f>
        <v>0</v>
      </c>
      <c r="Z190" s="31">
        <f>IF(B190="","",IF(V190="Yes","Bought",IF(I190=0,"In stock",IF(O190="","Check - no price","On the list"))))</f>
        <v>0</v>
      </c>
    </row>
    <row r="191" spans="1:26">
      <c r="A191" s="18">
        <f>ROW()-4</f>
        <v>0</v>
      </c>
      <c r="B191" s="17">
        <f>IFERROR(INDEX(Ingredients!$B$5:$B$304,MATCH(A191,Ingredients!$AL$5:$AL$304,0)),"")</f>
        <v>0</v>
      </c>
      <c r="C191" s="17">
        <f>IF(B191="","",IFERROR(INDEX(Ingredients!$C$5:$C$304,MATCH(B191,Ingredients!$B$5:$B$304,0)),"Add to Ingredients"))</f>
        <v>0</v>
      </c>
      <c r="D191" s="17">
        <f>IF(B191="","",IFERROR(INDEX(Ingredients!$D$5:$D$304,MATCH(B191,Ingredients!$B$5:$B$304,0)),"Add to Ingredients"))</f>
        <v>0</v>
      </c>
      <c r="E191" s="17">
        <f>IF(B191="","",IFERROR(INDEX(Ingredients!$E$5:$E$304,MATCH(B191,Ingredients!$B$5:$B$304,0)),"Add to Ingredients"))</f>
        <v>0</v>
      </c>
      <c r="F191" s="45">
        <f>IF(B191="","",IFERROR(INDEX(Ingredients!$AG$5:$AG$304,MATCH(B191,Ingredients!$B$5:$B$304,0)),""))</f>
        <v>0</v>
      </c>
      <c r="G191" s="17">
        <f>IF(B191="","",IFERROR(INDEX(Ingredients!$G$5:$G$304,MATCH(B191,Ingredients!$B$5:$B$304,0)),"Add to Ingredients"))</f>
        <v>0</v>
      </c>
      <c r="H191" s="45">
        <f>IF(B191="","",IFERROR(INDEX(Ingredients!$AD$5:$AD$304,MATCH(B191,Ingredients!$B$5:$B$304,0)),0))</f>
        <v>0</v>
      </c>
      <c r="I191" s="45">
        <f>IF(F191="","",MAX(0,F191-IF(H191="",0,H191)))</f>
        <v>0</v>
      </c>
      <c r="J191" s="45">
        <f>IF(B191="","",IFERROR(INDEX(Ingredients!$H$5:$H$304,MATCH(B191,Ingredients!$B$5:$B$304,0)),"Add to Ingredients"))</f>
        <v>0</v>
      </c>
      <c r="K191" s="25">
        <f>IF(B191="","",IFERROR(INDEX(Ingredients!$I$5:$I$304,MATCH(B191,Ingredients!$B$5:$B$304,0)),"Add to Ingredients"))</f>
        <v>0</v>
      </c>
      <c r="L191" s="25">
        <f>IF(B191="","",IFERROR(INDEX(Ingredients!$J$5:$J$304,MATCH(B191,Ingredients!$B$5:$B$304,0)),"Add to Ingredients"))</f>
        <v>0</v>
      </c>
      <c r="M191" s="45">
        <f>IF(OR(I191="",I191=0),"",IF(OR(J191="",NOT(ISNUMBER(J191)),J191=0),"",ROUNDUP(I191/J191,0)))</f>
        <v>0</v>
      </c>
      <c r="N191" s="45">
        <f>IF(I191="","",IF(RoundingRule="Exact quantity",I191,IF(M191="",I191,M191*J191)))</f>
        <v>0</v>
      </c>
      <c r="O191" s="25">
        <f>IF(N191="","",IF(RoundingRule="Exact quantity",IF(L191="","",N191*L191),IF(OR(M191="",K191=""),"",M191*K191)))</f>
        <v>0</v>
      </c>
      <c r="P191" s="25">
        <f>IF(B191="","",SUM(O$5:O191))</f>
        <v>0</v>
      </c>
      <c r="Q191" s="45">
        <f>IF(V191="Yes",0,IF(N191="",0,N191))</f>
        <v>0</v>
      </c>
      <c r="R191" s="18">
        <f>IF(OR(B191="",I191=0,I191=""),"",COUNTIFS($I$5:I191,"&gt;0"))</f>
        <v>0</v>
      </c>
      <c r="S191" s="18">
        <f>IF(B191="","",COUNTIFS('Recipe Ingredients'!$D$5:$D$1204,B191,'Recipe Ingredients'!$Y$5:$Y$1204,"&gt;0"))</f>
        <v>0</v>
      </c>
      <c r="T191" s="46">
        <f>IF(B191="","",IF(COUNTIFS('Recipe Ingredients'!$D$5:$D$1204,B191,'Recipe Ingredients'!$Y$5:$Y$1204,"&gt;0",'Recipe Ingredients'!$I$5:$I$1204,"No")=0,"Yes","No"))</f>
        <v>0</v>
      </c>
      <c r="U191" s="17">
        <f>IF(B191="","",IFERROR(INDEX(Ingredients!$W$5:$W$304,MATCH(B191,Ingredients!$B$5:$B$304,0)),"Add to Ingredients"))</f>
        <v>0</v>
      </c>
      <c r="Z191" s="31">
        <f>IF(B191="","",IF(V191="Yes","Bought",IF(I191=0,"In stock",IF(O191="","Check - no price","On the list"))))</f>
        <v>0</v>
      </c>
    </row>
    <row r="192" spans="1:26">
      <c r="A192" s="18">
        <f>ROW()-4</f>
        <v>0</v>
      </c>
      <c r="B192" s="17">
        <f>IFERROR(INDEX(Ingredients!$B$5:$B$304,MATCH(A192,Ingredients!$AL$5:$AL$304,0)),"")</f>
        <v>0</v>
      </c>
      <c r="C192" s="17">
        <f>IF(B192="","",IFERROR(INDEX(Ingredients!$C$5:$C$304,MATCH(B192,Ingredients!$B$5:$B$304,0)),"Add to Ingredients"))</f>
        <v>0</v>
      </c>
      <c r="D192" s="17">
        <f>IF(B192="","",IFERROR(INDEX(Ingredients!$D$5:$D$304,MATCH(B192,Ingredients!$B$5:$B$304,0)),"Add to Ingredients"))</f>
        <v>0</v>
      </c>
      <c r="E192" s="17">
        <f>IF(B192="","",IFERROR(INDEX(Ingredients!$E$5:$E$304,MATCH(B192,Ingredients!$B$5:$B$304,0)),"Add to Ingredients"))</f>
        <v>0</v>
      </c>
      <c r="F192" s="45">
        <f>IF(B192="","",IFERROR(INDEX(Ingredients!$AG$5:$AG$304,MATCH(B192,Ingredients!$B$5:$B$304,0)),""))</f>
        <v>0</v>
      </c>
      <c r="G192" s="17">
        <f>IF(B192="","",IFERROR(INDEX(Ingredients!$G$5:$G$304,MATCH(B192,Ingredients!$B$5:$B$304,0)),"Add to Ingredients"))</f>
        <v>0</v>
      </c>
      <c r="H192" s="45">
        <f>IF(B192="","",IFERROR(INDEX(Ingredients!$AD$5:$AD$304,MATCH(B192,Ingredients!$B$5:$B$304,0)),0))</f>
        <v>0</v>
      </c>
      <c r="I192" s="45">
        <f>IF(F192="","",MAX(0,F192-IF(H192="",0,H192)))</f>
        <v>0</v>
      </c>
      <c r="J192" s="45">
        <f>IF(B192="","",IFERROR(INDEX(Ingredients!$H$5:$H$304,MATCH(B192,Ingredients!$B$5:$B$304,0)),"Add to Ingredients"))</f>
        <v>0</v>
      </c>
      <c r="K192" s="25">
        <f>IF(B192="","",IFERROR(INDEX(Ingredients!$I$5:$I$304,MATCH(B192,Ingredients!$B$5:$B$304,0)),"Add to Ingredients"))</f>
        <v>0</v>
      </c>
      <c r="L192" s="25">
        <f>IF(B192="","",IFERROR(INDEX(Ingredients!$J$5:$J$304,MATCH(B192,Ingredients!$B$5:$B$304,0)),"Add to Ingredients"))</f>
        <v>0</v>
      </c>
      <c r="M192" s="45">
        <f>IF(OR(I192="",I192=0),"",IF(OR(J192="",NOT(ISNUMBER(J192)),J192=0),"",ROUNDUP(I192/J192,0)))</f>
        <v>0</v>
      </c>
      <c r="N192" s="45">
        <f>IF(I192="","",IF(RoundingRule="Exact quantity",I192,IF(M192="",I192,M192*J192)))</f>
        <v>0</v>
      </c>
      <c r="O192" s="25">
        <f>IF(N192="","",IF(RoundingRule="Exact quantity",IF(L192="","",N192*L192),IF(OR(M192="",K192=""),"",M192*K192)))</f>
        <v>0</v>
      </c>
      <c r="P192" s="25">
        <f>IF(B192="","",SUM(O$5:O192))</f>
        <v>0</v>
      </c>
      <c r="Q192" s="45">
        <f>IF(V192="Yes",0,IF(N192="",0,N192))</f>
        <v>0</v>
      </c>
      <c r="R192" s="18">
        <f>IF(OR(B192="",I192=0,I192=""),"",COUNTIFS($I$5:I192,"&gt;0"))</f>
        <v>0</v>
      </c>
      <c r="S192" s="18">
        <f>IF(B192="","",COUNTIFS('Recipe Ingredients'!$D$5:$D$1204,B192,'Recipe Ingredients'!$Y$5:$Y$1204,"&gt;0"))</f>
        <v>0</v>
      </c>
      <c r="T192" s="46">
        <f>IF(B192="","",IF(COUNTIFS('Recipe Ingredients'!$D$5:$D$1204,B192,'Recipe Ingredients'!$Y$5:$Y$1204,"&gt;0",'Recipe Ingredients'!$I$5:$I$1204,"No")=0,"Yes","No"))</f>
        <v>0</v>
      </c>
      <c r="U192" s="17">
        <f>IF(B192="","",IFERROR(INDEX(Ingredients!$W$5:$W$304,MATCH(B192,Ingredients!$B$5:$B$304,0)),"Add to Ingredients"))</f>
        <v>0</v>
      </c>
      <c r="Z192" s="31">
        <f>IF(B192="","",IF(V192="Yes","Bought",IF(I192=0,"In stock",IF(O192="","Check - no price","On the list"))))</f>
        <v>0</v>
      </c>
    </row>
    <row r="193" spans="1:26">
      <c r="A193" s="18">
        <f>ROW()-4</f>
        <v>0</v>
      </c>
      <c r="B193" s="17">
        <f>IFERROR(INDEX(Ingredients!$B$5:$B$304,MATCH(A193,Ingredients!$AL$5:$AL$304,0)),"")</f>
        <v>0</v>
      </c>
      <c r="C193" s="17">
        <f>IF(B193="","",IFERROR(INDEX(Ingredients!$C$5:$C$304,MATCH(B193,Ingredients!$B$5:$B$304,0)),"Add to Ingredients"))</f>
        <v>0</v>
      </c>
      <c r="D193" s="17">
        <f>IF(B193="","",IFERROR(INDEX(Ingredients!$D$5:$D$304,MATCH(B193,Ingredients!$B$5:$B$304,0)),"Add to Ingredients"))</f>
        <v>0</v>
      </c>
      <c r="E193" s="17">
        <f>IF(B193="","",IFERROR(INDEX(Ingredients!$E$5:$E$304,MATCH(B193,Ingredients!$B$5:$B$304,0)),"Add to Ingredients"))</f>
        <v>0</v>
      </c>
      <c r="F193" s="45">
        <f>IF(B193="","",IFERROR(INDEX(Ingredients!$AG$5:$AG$304,MATCH(B193,Ingredients!$B$5:$B$304,0)),""))</f>
        <v>0</v>
      </c>
      <c r="G193" s="17">
        <f>IF(B193="","",IFERROR(INDEX(Ingredients!$G$5:$G$304,MATCH(B193,Ingredients!$B$5:$B$304,0)),"Add to Ingredients"))</f>
        <v>0</v>
      </c>
      <c r="H193" s="45">
        <f>IF(B193="","",IFERROR(INDEX(Ingredients!$AD$5:$AD$304,MATCH(B193,Ingredients!$B$5:$B$304,0)),0))</f>
        <v>0</v>
      </c>
      <c r="I193" s="45">
        <f>IF(F193="","",MAX(0,F193-IF(H193="",0,H193)))</f>
        <v>0</v>
      </c>
      <c r="J193" s="45">
        <f>IF(B193="","",IFERROR(INDEX(Ingredients!$H$5:$H$304,MATCH(B193,Ingredients!$B$5:$B$304,0)),"Add to Ingredients"))</f>
        <v>0</v>
      </c>
      <c r="K193" s="25">
        <f>IF(B193="","",IFERROR(INDEX(Ingredients!$I$5:$I$304,MATCH(B193,Ingredients!$B$5:$B$304,0)),"Add to Ingredients"))</f>
        <v>0</v>
      </c>
      <c r="L193" s="25">
        <f>IF(B193="","",IFERROR(INDEX(Ingredients!$J$5:$J$304,MATCH(B193,Ingredients!$B$5:$B$304,0)),"Add to Ingredients"))</f>
        <v>0</v>
      </c>
      <c r="M193" s="45">
        <f>IF(OR(I193="",I193=0),"",IF(OR(J193="",NOT(ISNUMBER(J193)),J193=0),"",ROUNDUP(I193/J193,0)))</f>
        <v>0</v>
      </c>
      <c r="N193" s="45">
        <f>IF(I193="","",IF(RoundingRule="Exact quantity",I193,IF(M193="",I193,M193*J193)))</f>
        <v>0</v>
      </c>
      <c r="O193" s="25">
        <f>IF(N193="","",IF(RoundingRule="Exact quantity",IF(L193="","",N193*L193),IF(OR(M193="",K193=""),"",M193*K193)))</f>
        <v>0</v>
      </c>
      <c r="P193" s="25">
        <f>IF(B193="","",SUM(O$5:O193))</f>
        <v>0</v>
      </c>
      <c r="Q193" s="45">
        <f>IF(V193="Yes",0,IF(N193="",0,N193))</f>
        <v>0</v>
      </c>
      <c r="R193" s="18">
        <f>IF(OR(B193="",I193=0,I193=""),"",COUNTIFS($I$5:I193,"&gt;0"))</f>
        <v>0</v>
      </c>
      <c r="S193" s="18">
        <f>IF(B193="","",COUNTIFS('Recipe Ingredients'!$D$5:$D$1204,B193,'Recipe Ingredients'!$Y$5:$Y$1204,"&gt;0"))</f>
        <v>0</v>
      </c>
      <c r="T193" s="46">
        <f>IF(B193="","",IF(COUNTIFS('Recipe Ingredients'!$D$5:$D$1204,B193,'Recipe Ingredients'!$Y$5:$Y$1204,"&gt;0",'Recipe Ingredients'!$I$5:$I$1204,"No")=0,"Yes","No"))</f>
        <v>0</v>
      </c>
      <c r="U193" s="17">
        <f>IF(B193="","",IFERROR(INDEX(Ingredients!$W$5:$W$304,MATCH(B193,Ingredients!$B$5:$B$304,0)),"Add to Ingredients"))</f>
        <v>0</v>
      </c>
      <c r="Z193" s="31">
        <f>IF(B193="","",IF(V193="Yes","Bought",IF(I193=0,"In stock",IF(O193="","Check - no price","On the list"))))</f>
        <v>0</v>
      </c>
    </row>
    <row r="194" spans="1:26">
      <c r="A194" s="18">
        <f>ROW()-4</f>
        <v>0</v>
      </c>
      <c r="B194" s="17">
        <f>IFERROR(INDEX(Ingredients!$B$5:$B$304,MATCH(A194,Ingredients!$AL$5:$AL$304,0)),"")</f>
        <v>0</v>
      </c>
      <c r="C194" s="17">
        <f>IF(B194="","",IFERROR(INDEX(Ingredients!$C$5:$C$304,MATCH(B194,Ingredients!$B$5:$B$304,0)),"Add to Ingredients"))</f>
        <v>0</v>
      </c>
      <c r="D194" s="17">
        <f>IF(B194="","",IFERROR(INDEX(Ingredients!$D$5:$D$304,MATCH(B194,Ingredients!$B$5:$B$304,0)),"Add to Ingredients"))</f>
        <v>0</v>
      </c>
      <c r="E194" s="17">
        <f>IF(B194="","",IFERROR(INDEX(Ingredients!$E$5:$E$304,MATCH(B194,Ingredients!$B$5:$B$304,0)),"Add to Ingredients"))</f>
        <v>0</v>
      </c>
      <c r="F194" s="45">
        <f>IF(B194="","",IFERROR(INDEX(Ingredients!$AG$5:$AG$304,MATCH(B194,Ingredients!$B$5:$B$304,0)),""))</f>
        <v>0</v>
      </c>
      <c r="G194" s="17">
        <f>IF(B194="","",IFERROR(INDEX(Ingredients!$G$5:$G$304,MATCH(B194,Ingredients!$B$5:$B$304,0)),"Add to Ingredients"))</f>
        <v>0</v>
      </c>
      <c r="H194" s="45">
        <f>IF(B194="","",IFERROR(INDEX(Ingredients!$AD$5:$AD$304,MATCH(B194,Ingredients!$B$5:$B$304,0)),0))</f>
        <v>0</v>
      </c>
      <c r="I194" s="45">
        <f>IF(F194="","",MAX(0,F194-IF(H194="",0,H194)))</f>
        <v>0</v>
      </c>
      <c r="J194" s="45">
        <f>IF(B194="","",IFERROR(INDEX(Ingredients!$H$5:$H$304,MATCH(B194,Ingredients!$B$5:$B$304,0)),"Add to Ingredients"))</f>
        <v>0</v>
      </c>
      <c r="K194" s="25">
        <f>IF(B194="","",IFERROR(INDEX(Ingredients!$I$5:$I$304,MATCH(B194,Ingredients!$B$5:$B$304,0)),"Add to Ingredients"))</f>
        <v>0</v>
      </c>
      <c r="L194" s="25">
        <f>IF(B194="","",IFERROR(INDEX(Ingredients!$J$5:$J$304,MATCH(B194,Ingredients!$B$5:$B$304,0)),"Add to Ingredients"))</f>
        <v>0</v>
      </c>
      <c r="M194" s="45">
        <f>IF(OR(I194="",I194=0),"",IF(OR(J194="",NOT(ISNUMBER(J194)),J194=0),"",ROUNDUP(I194/J194,0)))</f>
        <v>0</v>
      </c>
      <c r="N194" s="45">
        <f>IF(I194="","",IF(RoundingRule="Exact quantity",I194,IF(M194="",I194,M194*J194)))</f>
        <v>0</v>
      </c>
      <c r="O194" s="25">
        <f>IF(N194="","",IF(RoundingRule="Exact quantity",IF(L194="","",N194*L194),IF(OR(M194="",K194=""),"",M194*K194)))</f>
        <v>0</v>
      </c>
      <c r="P194" s="25">
        <f>IF(B194="","",SUM(O$5:O194))</f>
        <v>0</v>
      </c>
      <c r="Q194" s="45">
        <f>IF(V194="Yes",0,IF(N194="",0,N194))</f>
        <v>0</v>
      </c>
      <c r="R194" s="18">
        <f>IF(OR(B194="",I194=0,I194=""),"",COUNTIFS($I$5:I194,"&gt;0"))</f>
        <v>0</v>
      </c>
      <c r="S194" s="18">
        <f>IF(B194="","",COUNTIFS('Recipe Ingredients'!$D$5:$D$1204,B194,'Recipe Ingredients'!$Y$5:$Y$1204,"&gt;0"))</f>
        <v>0</v>
      </c>
      <c r="T194" s="46">
        <f>IF(B194="","",IF(COUNTIFS('Recipe Ingredients'!$D$5:$D$1204,B194,'Recipe Ingredients'!$Y$5:$Y$1204,"&gt;0",'Recipe Ingredients'!$I$5:$I$1204,"No")=0,"Yes","No"))</f>
        <v>0</v>
      </c>
      <c r="U194" s="17">
        <f>IF(B194="","",IFERROR(INDEX(Ingredients!$W$5:$W$304,MATCH(B194,Ingredients!$B$5:$B$304,0)),"Add to Ingredients"))</f>
        <v>0</v>
      </c>
      <c r="Z194" s="31">
        <f>IF(B194="","",IF(V194="Yes","Bought",IF(I194=0,"In stock",IF(O194="","Check - no price","On the list"))))</f>
        <v>0</v>
      </c>
    </row>
    <row r="195" spans="1:26">
      <c r="A195" s="18">
        <f>ROW()-4</f>
        <v>0</v>
      </c>
      <c r="B195" s="17">
        <f>IFERROR(INDEX(Ingredients!$B$5:$B$304,MATCH(A195,Ingredients!$AL$5:$AL$304,0)),"")</f>
        <v>0</v>
      </c>
      <c r="C195" s="17">
        <f>IF(B195="","",IFERROR(INDEX(Ingredients!$C$5:$C$304,MATCH(B195,Ingredients!$B$5:$B$304,0)),"Add to Ingredients"))</f>
        <v>0</v>
      </c>
      <c r="D195" s="17">
        <f>IF(B195="","",IFERROR(INDEX(Ingredients!$D$5:$D$304,MATCH(B195,Ingredients!$B$5:$B$304,0)),"Add to Ingredients"))</f>
        <v>0</v>
      </c>
      <c r="E195" s="17">
        <f>IF(B195="","",IFERROR(INDEX(Ingredients!$E$5:$E$304,MATCH(B195,Ingredients!$B$5:$B$304,0)),"Add to Ingredients"))</f>
        <v>0</v>
      </c>
      <c r="F195" s="45">
        <f>IF(B195="","",IFERROR(INDEX(Ingredients!$AG$5:$AG$304,MATCH(B195,Ingredients!$B$5:$B$304,0)),""))</f>
        <v>0</v>
      </c>
      <c r="G195" s="17">
        <f>IF(B195="","",IFERROR(INDEX(Ingredients!$G$5:$G$304,MATCH(B195,Ingredients!$B$5:$B$304,0)),"Add to Ingredients"))</f>
        <v>0</v>
      </c>
      <c r="H195" s="45">
        <f>IF(B195="","",IFERROR(INDEX(Ingredients!$AD$5:$AD$304,MATCH(B195,Ingredients!$B$5:$B$304,0)),0))</f>
        <v>0</v>
      </c>
      <c r="I195" s="45">
        <f>IF(F195="","",MAX(0,F195-IF(H195="",0,H195)))</f>
        <v>0</v>
      </c>
      <c r="J195" s="45">
        <f>IF(B195="","",IFERROR(INDEX(Ingredients!$H$5:$H$304,MATCH(B195,Ingredients!$B$5:$B$304,0)),"Add to Ingredients"))</f>
        <v>0</v>
      </c>
      <c r="K195" s="25">
        <f>IF(B195="","",IFERROR(INDEX(Ingredients!$I$5:$I$304,MATCH(B195,Ingredients!$B$5:$B$304,0)),"Add to Ingredients"))</f>
        <v>0</v>
      </c>
      <c r="L195" s="25">
        <f>IF(B195="","",IFERROR(INDEX(Ingredients!$J$5:$J$304,MATCH(B195,Ingredients!$B$5:$B$304,0)),"Add to Ingredients"))</f>
        <v>0</v>
      </c>
      <c r="M195" s="45">
        <f>IF(OR(I195="",I195=0),"",IF(OR(J195="",NOT(ISNUMBER(J195)),J195=0),"",ROUNDUP(I195/J195,0)))</f>
        <v>0</v>
      </c>
      <c r="N195" s="45">
        <f>IF(I195="","",IF(RoundingRule="Exact quantity",I195,IF(M195="",I195,M195*J195)))</f>
        <v>0</v>
      </c>
      <c r="O195" s="25">
        <f>IF(N195="","",IF(RoundingRule="Exact quantity",IF(L195="","",N195*L195),IF(OR(M195="",K195=""),"",M195*K195)))</f>
        <v>0</v>
      </c>
      <c r="P195" s="25">
        <f>IF(B195="","",SUM(O$5:O195))</f>
        <v>0</v>
      </c>
      <c r="Q195" s="45">
        <f>IF(V195="Yes",0,IF(N195="",0,N195))</f>
        <v>0</v>
      </c>
      <c r="R195" s="18">
        <f>IF(OR(B195="",I195=0,I195=""),"",COUNTIFS($I$5:I195,"&gt;0"))</f>
        <v>0</v>
      </c>
      <c r="S195" s="18">
        <f>IF(B195="","",COUNTIFS('Recipe Ingredients'!$D$5:$D$1204,B195,'Recipe Ingredients'!$Y$5:$Y$1204,"&gt;0"))</f>
        <v>0</v>
      </c>
      <c r="T195" s="46">
        <f>IF(B195="","",IF(COUNTIFS('Recipe Ingredients'!$D$5:$D$1204,B195,'Recipe Ingredients'!$Y$5:$Y$1204,"&gt;0",'Recipe Ingredients'!$I$5:$I$1204,"No")=0,"Yes","No"))</f>
        <v>0</v>
      </c>
      <c r="U195" s="17">
        <f>IF(B195="","",IFERROR(INDEX(Ingredients!$W$5:$W$304,MATCH(B195,Ingredients!$B$5:$B$304,0)),"Add to Ingredients"))</f>
        <v>0</v>
      </c>
      <c r="Z195" s="31">
        <f>IF(B195="","",IF(V195="Yes","Bought",IF(I195=0,"In stock",IF(O195="","Check - no price","On the list"))))</f>
        <v>0</v>
      </c>
    </row>
    <row r="196" spans="1:26">
      <c r="A196" s="18">
        <f>ROW()-4</f>
        <v>0</v>
      </c>
      <c r="B196" s="17">
        <f>IFERROR(INDEX(Ingredients!$B$5:$B$304,MATCH(A196,Ingredients!$AL$5:$AL$304,0)),"")</f>
        <v>0</v>
      </c>
      <c r="C196" s="17">
        <f>IF(B196="","",IFERROR(INDEX(Ingredients!$C$5:$C$304,MATCH(B196,Ingredients!$B$5:$B$304,0)),"Add to Ingredients"))</f>
        <v>0</v>
      </c>
      <c r="D196" s="17">
        <f>IF(B196="","",IFERROR(INDEX(Ingredients!$D$5:$D$304,MATCH(B196,Ingredients!$B$5:$B$304,0)),"Add to Ingredients"))</f>
        <v>0</v>
      </c>
      <c r="E196" s="17">
        <f>IF(B196="","",IFERROR(INDEX(Ingredients!$E$5:$E$304,MATCH(B196,Ingredients!$B$5:$B$304,0)),"Add to Ingredients"))</f>
        <v>0</v>
      </c>
      <c r="F196" s="45">
        <f>IF(B196="","",IFERROR(INDEX(Ingredients!$AG$5:$AG$304,MATCH(B196,Ingredients!$B$5:$B$304,0)),""))</f>
        <v>0</v>
      </c>
      <c r="G196" s="17">
        <f>IF(B196="","",IFERROR(INDEX(Ingredients!$G$5:$G$304,MATCH(B196,Ingredients!$B$5:$B$304,0)),"Add to Ingredients"))</f>
        <v>0</v>
      </c>
      <c r="H196" s="45">
        <f>IF(B196="","",IFERROR(INDEX(Ingredients!$AD$5:$AD$304,MATCH(B196,Ingredients!$B$5:$B$304,0)),0))</f>
        <v>0</v>
      </c>
      <c r="I196" s="45">
        <f>IF(F196="","",MAX(0,F196-IF(H196="",0,H196)))</f>
        <v>0</v>
      </c>
      <c r="J196" s="45">
        <f>IF(B196="","",IFERROR(INDEX(Ingredients!$H$5:$H$304,MATCH(B196,Ingredients!$B$5:$B$304,0)),"Add to Ingredients"))</f>
        <v>0</v>
      </c>
      <c r="K196" s="25">
        <f>IF(B196="","",IFERROR(INDEX(Ingredients!$I$5:$I$304,MATCH(B196,Ingredients!$B$5:$B$304,0)),"Add to Ingredients"))</f>
        <v>0</v>
      </c>
      <c r="L196" s="25">
        <f>IF(B196="","",IFERROR(INDEX(Ingredients!$J$5:$J$304,MATCH(B196,Ingredients!$B$5:$B$304,0)),"Add to Ingredients"))</f>
        <v>0</v>
      </c>
      <c r="M196" s="45">
        <f>IF(OR(I196="",I196=0),"",IF(OR(J196="",NOT(ISNUMBER(J196)),J196=0),"",ROUNDUP(I196/J196,0)))</f>
        <v>0</v>
      </c>
      <c r="N196" s="45">
        <f>IF(I196="","",IF(RoundingRule="Exact quantity",I196,IF(M196="",I196,M196*J196)))</f>
        <v>0</v>
      </c>
      <c r="O196" s="25">
        <f>IF(N196="","",IF(RoundingRule="Exact quantity",IF(L196="","",N196*L196),IF(OR(M196="",K196=""),"",M196*K196)))</f>
        <v>0</v>
      </c>
      <c r="P196" s="25">
        <f>IF(B196="","",SUM(O$5:O196))</f>
        <v>0</v>
      </c>
      <c r="Q196" s="45">
        <f>IF(V196="Yes",0,IF(N196="",0,N196))</f>
        <v>0</v>
      </c>
      <c r="R196" s="18">
        <f>IF(OR(B196="",I196=0,I196=""),"",COUNTIFS($I$5:I196,"&gt;0"))</f>
        <v>0</v>
      </c>
      <c r="S196" s="18">
        <f>IF(B196="","",COUNTIFS('Recipe Ingredients'!$D$5:$D$1204,B196,'Recipe Ingredients'!$Y$5:$Y$1204,"&gt;0"))</f>
        <v>0</v>
      </c>
      <c r="T196" s="46">
        <f>IF(B196="","",IF(COUNTIFS('Recipe Ingredients'!$D$5:$D$1204,B196,'Recipe Ingredients'!$Y$5:$Y$1204,"&gt;0",'Recipe Ingredients'!$I$5:$I$1204,"No")=0,"Yes","No"))</f>
        <v>0</v>
      </c>
      <c r="U196" s="17">
        <f>IF(B196="","",IFERROR(INDEX(Ingredients!$W$5:$W$304,MATCH(B196,Ingredients!$B$5:$B$304,0)),"Add to Ingredients"))</f>
        <v>0</v>
      </c>
      <c r="Z196" s="31">
        <f>IF(B196="","",IF(V196="Yes","Bought",IF(I196=0,"In stock",IF(O196="","Check - no price","On the list"))))</f>
        <v>0</v>
      </c>
    </row>
    <row r="197" spans="1:26">
      <c r="A197" s="18">
        <f>ROW()-4</f>
        <v>0</v>
      </c>
      <c r="B197" s="17">
        <f>IFERROR(INDEX(Ingredients!$B$5:$B$304,MATCH(A197,Ingredients!$AL$5:$AL$304,0)),"")</f>
        <v>0</v>
      </c>
      <c r="C197" s="17">
        <f>IF(B197="","",IFERROR(INDEX(Ingredients!$C$5:$C$304,MATCH(B197,Ingredients!$B$5:$B$304,0)),"Add to Ingredients"))</f>
        <v>0</v>
      </c>
      <c r="D197" s="17">
        <f>IF(B197="","",IFERROR(INDEX(Ingredients!$D$5:$D$304,MATCH(B197,Ingredients!$B$5:$B$304,0)),"Add to Ingredients"))</f>
        <v>0</v>
      </c>
      <c r="E197" s="17">
        <f>IF(B197="","",IFERROR(INDEX(Ingredients!$E$5:$E$304,MATCH(B197,Ingredients!$B$5:$B$304,0)),"Add to Ingredients"))</f>
        <v>0</v>
      </c>
      <c r="F197" s="45">
        <f>IF(B197="","",IFERROR(INDEX(Ingredients!$AG$5:$AG$304,MATCH(B197,Ingredients!$B$5:$B$304,0)),""))</f>
        <v>0</v>
      </c>
      <c r="G197" s="17">
        <f>IF(B197="","",IFERROR(INDEX(Ingredients!$G$5:$G$304,MATCH(B197,Ingredients!$B$5:$B$304,0)),"Add to Ingredients"))</f>
        <v>0</v>
      </c>
      <c r="H197" s="45">
        <f>IF(B197="","",IFERROR(INDEX(Ingredients!$AD$5:$AD$304,MATCH(B197,Ingredients!$B$5:$B$304,0)),0))</f>
        <v>0</v>
      </c>
      <c r="I197" s="45">
        <f>IF(F197="","",MAX(0,F197-IF(H197="",0,H197)))</f>
        <v>0</v>
      </c>
      <c r="J197" s="45">
        <f>IF(B197="","",IFERROR(INDEX(Ingredients!$H$5:$H$304,MATCH(B197,Ingredients!$B$5:$B$304,0)),"Add to Ingredients"))</f>
        <v>0</v>
      </c>
      <c r="K197" s="25">
        <f>IF(B197="","",IFERROR(INDEX(Ingredients!$I$5:$I$304,MATCH(B197,Ingredients!$B$5:$B$304,0)),"Add to Ingredients"))</f>
        <v>0</v>
      </c>
      <c r="L197" s="25">
        <f>IF(B197="","",IFERROR(INDEX(Ingredients!$J$5:$J$304,MATCH(B197,Ingredients!$B$5:$B$304,0)),"Add to Ingredients"))</f>
        <v>0</v>
      </c>
      <c r="M197" s="45">
        <f>IF(OR(I197="",I197=0),"",IF(OR(J197="",NOT(ISNUMBER(J197)),J197=0),"",ROUNDUP(I197/J197,0)))</f>
        <v>0</v>
      </c>
      <c r="N197" s="45">
        <f>IF(I197="","",IF(RoundingRule="Exact quantity",I197,IF(M197="",I197,M197*J197)))</f>
        <v>0</v>
      </c>
      <c r="O197" s="25">
        <f>IF(N197="","",IF(RoundingRule="Exact quantity",IF(L197="","",N197*L197),IF(OR(M197="",K197=""),"",M197*K197)))</f>
        <v>0</v>
      </c>
      <c r="P197" s="25">
        <f>IF(B197="","",SUM(O$5:O197))</f>
        <v>0</v>
      </c>
      <c r="Q197" s="45">
        <f>IF(V197="Yes",0,IF(N197="",0,N197))</f>
        <v>0</v>
      </c>
      <c r="R197" s="18">
        <f>IF(OR(B197="",I197=0,I197=""),"",COUNTIFS($I$5:I197,"&gt;0"))</f>
        <v>0</v>
      </c>
      <c r="S197" s="18">
        <f>IF(B197="","",COUNTIFS('Recipe Ingredients'!$D$5:$D$1204,B197,'Recipe Ingredients'!$Y$5:$Y$1204,"&gt;0"))</f>
        <v>0</v>
      </c>
      <c r="T197" s="46">
        <f>IF(B197="","",IF(COUNTIFS('Recipe Ingredients'!$D$5:$D$1204,B197,'Recipe Ingredients'!$Y$5:$Y$1204,"&gt;0",'Recipe Ingredients'!$I$5:$I$1204,"No")=0,"Yes","No"))</f>
        <v>0</v>
      </c>
      <c r="U197" s="17">
        <f>IF(B197="","",IFERROR(INDEX(Ingredients!$W$5:$W$304,MATCH(B197,Ingredients!$B$5:$B$304,0)),"Add to Ingredients"))</f>
        <v>0</v>
      </c>
      <c r="Z197" s="31">
        <f>IF(B197="","",IF(V197="Yes","Bought",IF(I197=0,"In stock",IF(O197="","Check - no price","On the list"))))</f>
        <v>0</v>
      </c>
    </row>
    <row r="198" spans="1:26">
      <c r="A198" s="18">
        <f>ROW()-4</f>
        <v>0</v>
      </c>
      <c r="B198" s="17">
        <f>IFERROR(INDEX(Ingredients!$B$5:$B$304,MATCH(A198,Ingredients!$AL$5:$AL$304,0)),"")</f>
        <v>0</v>
      </c>
      <c r="C198" s="17">
        <f>IF(B198="","",IFERROR(INDEX(Ingredients!$C$5:$C$304,MATCH(B198,Ingredients!$B$5:$B$304,0)),"Add to Ingredients"))</f>
        <v>0</v>
      </c>
      <c r="D198" s="17">
        <f>IF(B198="","",IFERROR(INDEX(Ingredients!$D$5:$D$304,MATCH(B198,Ingredients!$B$5:$B$304,0)),"Add to Ingredients"))</f>
        <v>0</v>
      </c>
      <c r="E198" s="17">
        <f>IF(B198="","",IFERROR(INDEX(Ingredients!$E$5:$E$304,MATCH(B198,Ingredients!$B$5:$B$304,0)),"Add to Ingredients"))</f>
        <v>0</v>
      </c>
      <c r="F198" s="45">
        <f>IF(B198="","",IFERROR(INDEX(Ingredients!$AG$5:$AG$304,MATCH(B198,Ingredients!$B$5:$B$304,0)),""))</f>
        <v>0</v>
      </c>
      <c r="G198" s="17">
        <f>IF(B198="","",IFERROR(INDEX(Ingredients!$G$5:$G$304,MATCH(B198,Ingredients!$B$5:$B$304,0)),"Add to Ingredients"))</f>
        <v>0</v>
      </c>
      <c r="H198" s="45">
        <f>IF(B198="","",IFERROR(INDEX(Ingredients!$AD$5:$AD$304,MATCH(B198,Ingredients!$B$5:$B$304,0)),0))</f>
        <v>0</v>
      </c>
      <c r="I198" s="45">
        <f>IF(F198="","",MAX(0,F198-IF(H198="",0,H198)))</f>
        <v>0</v>
      </c>
      <c r="J198" s="45">
        <f>IF(B198="","",IFERROR(INDEX(Ingredients!$H$5:$H$304,MATCH(B198,Ingredients!$B$5:$B$304,0)),"Add to Ingredients"))</f>
        <v>0</v>
      </c>
      <c r="K198" s="25">
        <f>IF(B198="","",IFERROR(INDEX(Ingredients!$I$5:$I$304,MATCH(B198,Ingredients!$B$5:$B$304,0)),"Add to Ingredients"))</f>
        <v>0</v>
      </c>
      <c r="L198" s="25">
        <f>IF(B198="","",IFERROR(INDEX(Ingredients!$J$5:$J$304,MATCH(B198,Ingredients!$B$5:$B$304,0)),"Add to Ingredients"))</f>
        <v>0</v>
      </c>
      <c r="M198" s="45">
        <f>IF(OR(I198="",I198=0),"",IF(OR(J198="",NOT(ISNUMBER(J198)),J198=0),"",ROUNDUP(I198/J198,0)))</f>
        <v>0</v>
      </c>
      <c r="N198" s="45">
        <f>IF(I198="","",IF(RoundingRule="Exact quantity",I198,IF(M198="",I198,M198*J198)))</f>
        <v>0</v>
      </c>
      <c r="O198" s="25">
        <f>IF(N198="","",IF(RoundingRule="Exact quantity",IF(L198="","",N198*L198),IF(OR(M198="",K198=""),"",M198*K198)))</f>
        <v>0</v>
      </c>
      <c r="P198" s="25">
        <f>IF(B198="","",SUM(O$5:O198))</f>
        <v>0</v>
      </c>
      <c r="Q198" s="45">
        <f>IF(V198="Yes",0,IF(N198="",0,N198))</f>
        <v>0</v>
      </c>
      <c r="R198" s="18">
        <f>IF(OR(B198="",I198=0,I198=""),"",COUNTIFS($I$5:I198,"&gt;0"))</f>
        <v>0</v>
      </c>
      <c r="S198" s="18">
        <f>IF(B198="","",COUNTIFS('Recipe Ingredients'!$D$5:$D$1204,B198,'Recipe Ingredients'!$Y$5:$Y$1204,"&gt;0"))</f>
        <v>0</v>
      </c>
      <c r="T198" s="46">
        <f>IF(B198="","",IF(COUNTIFS('Recipe Ingredients'!$D$5:$D$1204,B198,'Recipe Ingredients'!$Y$5:$Y$1204,"&gt;0",'Recipe Ingredients'!$I$5:$I$1204,"No")=0,"Yes","No"))</f>
        <v>0</v>
      </c>
      <c r="U198" s="17">
        <f>IF(B198="","",IFERROR(INDEX(Ingredients!$W$5:$W$304,MATCH(B198,Ingredients!$B$5:$B$304,0)),"Add to Ingredients"))</f>
        <v>0</v>
      </c>
      <c r="Z198" s="31">
        <f>IF(B198="","",IF(V198="Yes","Bought",IF(I198=0,"In stock",IF(O198="","Check - no price","On the list"))))</f>
        <v>0</v>
      </c>
    </row>
    <row r="199" spans="1:26">
      <c r="A199" s="18">
        <f>ROW()-4</f>
        <v>0</v>
      </c>
      <c r="B199" s="17">
        <f>IFERROR(INDEX(Ingredients!$B$5:$B$304,MATCH(A199,Ingredients!$AL$5:$AL$304,0)),"")</f>
        <v>0</v>
      </c>
      <c r="C199" s="17">
        <f>IF(B199="","",IFERROR(INDEX(Ingredients!$C$5:$C$304,MATCH(B199,Ingredients!$B$5:$B$304,0)),"Add to Ingredients"))</f>
        <v>0</v>
      </c>
      <c r="D199" s="17">
        <f>IF(B199="","",IFERROR(INDEX(Ingredients!$D$5:$D$304,MATCH(B199,Ingredients!$B$5:$B$304,0)),"Add to Ingredients"))</f>
        <v>0</v>
      </c>
      <c r="E199" s="17">
        <f>IF(B199="","",IFERROR(INDEX(Ingredients!$E$5:$E$304,MATCH(B199,Ingredients!$B$5:$B$304,0)),"Add to Ingredients"))</f>
        <v>0</v>
      </c>
      <c r="F199" s="45">
        <f>IF(B199="","",IFERROR(INDEX(Ingredients!$AG$5:$AG$304,MATCH(B199,Ingredients!$B$5:$B$304,0)),""))</f>
        <v>0</v>
      </c>
      <c r="G199" s="17">
        <f>IF(B199="","",IFERROR(INDEX(Ingredients!$G$5:$G$304,MATCH(B199,Ingredients!$B$5:$B$304,0)),"Add to Ingredients"))</f>
        <v>0</v>
      </c>
      <c r="H199" s="45">
        <f>IF(B199="","",IFERROR(INDEX(Ingredients!$AD$5:$AD$304,MATCH(B199,Ingredients!$B$5:$B$304,0)),0))</f>
        <v>0</v>
      </c>
      <c r="I199" s="45">
        <f>IF(F199="","",MAX(0,F199-IF(H199="",0,H199)))</f>
        <v>0</v>
      </c>
      <c r="J199" s="45">
        <f>IF(B199="","",IFERROR(INDEX(Ingredients!$H$5:$H$304,MATCH(B199,Ingredients!$B$5:$B$304,0)),"Add to Ingredients"))</f>
        <v>0</v>
      </c>
      <c r="K199" s="25">
        <f>IF(B199="","",IFERROR(INDEX(Ingredients!$I$5:$I$304,MATCH(B199,Ingredients!$B$5:$B$304,0)),"Add to Ingredients"))</f>
        <v>0</v>
      </c>
      <c r="L199" s="25">
        <f>IF(B199="","",IFERROR(INDEX(Ingredients!$J$5:$J$304,MATCH(B199,Ingredients!$B$5:$B$304,0)),"Add to Ingredients"))</f>
        <v>0</v>
      </c>
      <c r="M199" s="45">
        <f>IF(OR(I199="",I199=0),"",IF(OR(J199="",NOT(ISNUMBER(J199)),J199=0),"",ROUNDUP(I199/J199,0)))</f>
        <v>0</v>
      </c>
      <c r="N199" s="45">
        <f>IF(I199="","",IF(RoundingRule="Exact quantity",I199,IF(M199="",I199,M199*J199)))</f>
        <v>0</v>
      </c>
      <c r="O199" s="25">
        <f>IF(N199="","",IF(RoundingRule="Exact quantity",IF(L199="","",N199*L199),IF(OR(M199="",K199=""),"",M199*K199)))</f>
        <v>0</v>
      </c>
      <c r="P199" s="25">
        <f>IF(B199="","",SUM(O$5:O199))</f>
        <v>0</v>
      </c>
      <c r="Q199" s="45">
        <f>IF(V199="Yes",0,IF(N199="",0,N199))</f>
        <v>0</v>
      </c>
      <c r="R199" s="18">
        <f>IF(OR(B199="",I199=0,I199=""),"",COUNTIFS($I$5:I199,"&gt;0"))</f>
        <v>0</v>
      </c>
      <c r="S199" s="18">
        <f>IF(B199="","",COUNTIFS('Recipe Ingredients'!$D$5:$D$1204,B199,'Recipe Ingredients'!$Y$5:$Y$1204,"&gt;0"))</f>
        <v>0</v>
      </c>
      <c r="T199" s="46">
        <f>IF(B199="","",IF(COUNTIFS('Recipe Ingredients'!$D$5:$D$1204,B199,'Recipe Ingredients'!$Y$5:$Y$1204,"&gt;0",'Recipe Ingredients'!$I$5:$I$1204,"No")=0,"Yes","No"))</f>
        <v>0</v>
      </c>
      <c r="U199" s="17">
        <f>IF(B199="","",IFERROR(INDEX(Ingredients!$W$5:$W$304,MATCH(B199,Ingredients!$B$5:$B$304,0)),"Add to Ingredients"))</f>
        <v>0</v>
      </c>
      <c r="Z199" s="31">
        <f>IF(B199="","",IF(V199="Yes","Bought",IF(I199=0,"In stock",IF(O199="","Check - no price","On the list"))))</f>
        <v>0</v>
      </c>
    </row>
    <row r="200" spans="1:26">
      <c r="A200" s="18">
        <f>ROW()-4</f>
        <v>0</v>
      </c>
      <c r="B200" s="17">
        <f>IFERROR(INDEX(Ingredients!$B$5:$B$304,MATCH(A200,Ingredients!$AL$5:$AL$304,0)),"")</f>
        <v>0</v>
      </c>
      <c r="C200" s="17">
        <f>IF(B200="","",IFERROR(INDEX(Ingredients!$C$5:$C$304,MATCH(B200,Ingredients!$B$5:$B$304,0)),"Add to Ingredients"))</f>
        <v>0</v>
      </c>
      <c r="D200" s="17">
        <f>IF(B200="","",IFERROR(INDEX(Ingredients!$D$5:$D$304,MATCH(B200,Ingredients!$B$5:$B$304,0)),"Add to Ingredients"))</f>
        <v>0</v>
      </c>
      <c r="E200" s="17">
        <f>IF(B200="","",IFERROR(INDEX(Ingredients!$E$5:$E$304,MATCH(B200,Ingredients!$B$5:$B$304,0)),"Add to Ingredients"))</f>
        <v>0</v>
      </c>
      <c r="F200" s="45">
        <f>IF(B200="","",IFERROR(INDEX(Ingredients!$AG$5:$AG$304,MATCH(B200,Ingredients!$B$5:$B$304,0)),""))</f>
        <v>0</v>
      </c>
      <c r="G200" s="17">
        <f>IF(B200="","",IFERROR(INDEX(Ingredients!$G$5:$G$304,MATCH(B200,Ingredients!$B$5:$B$304,0)),"Add to Ingredients"))</f>
        <v>0</v>
      </c>
      <c r="H200" s="45">
        <f>IF(B200="","",IFERROR(INDEX(Ingredients!$AD$5:$AD$304,MATCH(B200,Ingredients!$B$5:$B$304,0)),0))</f>
        <v>0</v>
      </c>
      <c r="I200" s="45">
        <f>IF(F200="","",MAX(0,F200-IF(H200="",0,H200)))</f>
        <v>0</v>
      </c>
      <c r="J200" s="45">
        <f>IF(B200="","",IFERROR(INDEX(Ingredients!$H$5:$H$304,MATCH(B200,Ingredients!$B$5:$B$304,0)),"Add to Ingredients"))</f>
        <v>0</v>
      </c>
      <c r="K200" s="25">
        <f>IF(B200="","",IFERROR(INDEX(Ingredients!$I$5:$I$304,MATCH(B200,Ingredients!$B$5:$B$304,0)),"Add to Ingredients"))</f>
        <v>0</v>
      </c>
      <c r="L200" s="25">
        <f>IF(B200="","",IFERROR(INDEX(Ingredients!$J$5:$J$304,MATCH(B200,Ingredients!$B$5:$B$304,0)),"Add to Ingredients"))</f>
        <v>0</v>
      </c>
      <c r="M200" s="45">
        <f>IF(OR(I200="",I200=0),"",IF(OR(J200="",NOT(ISNUMBER(J200)),J200=0),"",ROUNDUP(I200/J200,0)))</f>
        <v>0</v>
      </c>
      <c r="N200" s="45">
        <f>IF(I200="","",IF(RoundingRule="Exact quantity",I200,IF(M200="",I200,M200*J200)))</f>
        <v>0</v>
      </c>
      <c r="O200" s="25">
        <f>IF(N200="","",IF(RoundingRule="Exact quantity",IF(L200="","",N200*L200),IF(OR(M200="",K200=""),"",M200*K200)))</f>
        <v>0</v>
      </c>
      <c r="P200" s="25">
        <f>IF(B200="","",SUM(O$5:O200))</f>
        <v>0</v>
      </c>
      <c r="Q200" s="45">
        <f>IF(V200="Yes",0,IF(N200="",0,N200))</f>
        <v>0</v>
      </c>
      <c r="R200" s="18">
        <f>IF(OR(B200="",I200=0,I200=""),"",COUNTIFS($I$5:I200,"&gt;0"))</f>
        <v>0</v>
      </c>
      <c r="S200" s="18">
        <f>IF(B200="","",COUNTIFS('Recipe Ingredients'!$D$5:$D$1204,B200,'Recipe Ingredients'!$Y$5:$Y$1204,"&gt;0"))</f>
        <v>0</v>
      </c>
      <c r="T200" s="46">
        <f>IF(B200="","",IF(COUNTIFS('Recipe Ingredients'!$D$5:$D$1204,B200,'Recipe Ingredients'!$Y$5:$Y$1204,"&gt;0",'Recipe Ingredients'!$I$5:$I$1204,"No")=0,"Yes","No"))</f>
        <v>0</v>
      </c>
      <c r="U200" s="17">
        <f>IF(B200="","",IFERROR(INDEX(Ingredients!$W$5:$W$304,MATCH(B200,Ingredients!$B$5:$B$304,0)),"Add to Ingredients"))</f>
        <v>0</v>
      </c>
      <c r="Z200" s="31">
        <f>IF(B200="","",IF(V200="Yes","Bought",IF(I200=0,"In stock",IF(O200="","Check - no price","On the list"))))</f>
        <v>0</v>
      </c>
    </row>
    <row r="201" spans="1:26">
      <c r="A201" s="18">
        <f>ROW()-4</f>
        <v>0</v>
      </c>
      <c r="B201" s="17">
        <f>IFERROR(INDEX(Ingredients!$B$5:$B$304,MATCH(A201,Ingredients!$AL$5:$AL$304,0)),"")</f>
        <v>0</v>
      </c>
      <c r="C201" s="17">
        <f>IF(B201="","",IFERROR(INDEX(Ingredients!$C$5:$C$304,MATCH(B201,Ingredients!$B$5:$B$304,0)),"Add to Ingredients"))</f>
        <v>0</v>
      </c>
      <c r="D201" s="17">
        <f>IF(B201="","",IFERROR(INDEX(Ingredients!$D$5:$D$304,MATCH(B201,Ingredients!$B$5:$B$304,0)),"Add to Ingredients"))</f>
        <v>0</v>
      </c>
      <c r="E201" s="17">
        <f>IF(B201="","",IFERROR(INDEX(Ingredients!$E$5:$E$304,MATCH(B201,Ingredients!$B$5:$B$304,0)),"Add to Ingredients"))</f>
        <v>0</v>
      </c>
      <c r="F201" s="45">
        <f>IF(B201="","",IFERROR(INDEX(Ingredients!$AG$5:$AG$304,MATCH(B201,Ingredients!$B$5:$B$304,0)),""))</f>
        <v>0</v>
      </c>
      <c r="G201" s="17">
        <f>IF(B201="","",IFERROR(INDEX(Ingredients!$G$5:$G$304,MATCH(B201,Ingredients!$B$5:$B$304,0)),"Add to Ingredients"))</f>
        <v>0</v>
      </c>
      <c r="H201" s="45">
        <f>IF(B201="","",IFERROR(INDEX(Ingredients!$AD$5:$AD$304,MATCH(B201,Ingredients!$B$5:$B$304,0)),0))</f>
        <v>0</v>
      </c>
      <c r="I201" s="45">
        <f>IF(F201="","",MAX(0,F201-IF(H201="",0,H201)))</f>
        <v>0</v>
      </c>
      <c r="J201" s="45">
        <f>IF(B201="","",IFERROR(INDEX(Ingredients!$H$5:$H$304,MATCH(B201,Ingredients!$B$5:$B$304,0)),"Add to Ingredients"))</f>
        <v>0</v>
      </c>
      <c r="K201" s="25">
        <f>IF(B201="","",IFERROR(INDEX(Ingredients!$I$5:$I$304,MATCH(B201,Ingredients!$B$5:$B$304,0)),"Add to Ingredients"))</f>
        <v>0</v>
      </c>
      <c r="L201" s="25">
        <f>IF(B201="","",IFERROR(INDEX(Ingredients!$J$5:$J$304,MATCH(B201,Ingredients!$B$5:$B$304,0)),"Add to Ingredients"))</f>
        <v>0</v>
      </c>
      <c r="M201" s="45">
        <f>IF(OR(I201="",I201=0),"",IF(OR(J201="",NOT(ISNUMBER(J201)),J201=0),"",ROUNDUP(I201/J201,0)))</f>
        <v>0</v>
      </c>
      <c r="N201" s="45">
        <f>IF(I201="","",IF(RoundingRule="Exact quantity",I201,IF(M201="",I201,M201*J201)))</f>
        <v>0</v>
      </c>
      <c r="O201" s="25">
        <f>IF(N201="","",IF(RoundingRule="Exact quantity",IF(L201="","",N201*L201),IF(OR(M201="",K201=""),"",M201*K201)))</f>
        <v>0</v>
      </c>
      <c r="P201" s="25">
        <f>IF(B201="","",SUM(O$5:O201))</f>
        <v>0</v>
      </c>
      <c r="Q201" s="45">
        <f>IF(V201="Yes",0,IF(N201="",0,N201))</f>
        <v>0</v>
      </c>
      <c r="R201" s="18">
        <f>IF(OR(B201="",I201=0,I201=""),"",COUNTIFS($I$5:I201,"&gt;0"))</f>
        <v>0</v>
      </c>
      <c r="S201" s="18">
        <f>IF(B201="","",COUNTIFS('Recipe Ingredients'!$D$5:$D$1204,B201,'Recipe Ingredients'!$Y$5:$Y$1204,"&gt;0"))</f>
        <v>0</v>
      </c>
      <c r="T201" s="46">
        <f>IF(B201="","",IF(COUNTIFS('Recipe Ingredients'!$D$5:$D$1204,B201,'Recipe Ingredients'!$Y$5:$Y$1204,"&gt;0",'Recipe Ingredients'!$I$5:$I$1204,"No")=0,"Yes","No"))</f>
        <v>0</v>
      </c>
      <c r="U201" s="17">
        <f>IF(B201="","",IFERROR(INDEX(Ingredients!$W$5:$W$304,MATCH(B201,Ingredients!$B$5:$B$304,0)),"Add to Ingredients"))</f>
        <v>0</v>
      </c>
      <c r="Z201" s="31">
        <f>IF(B201="","",IF(V201="Yes","Bought",IF(I201=0,"In stock",IF(O201="","Check - no price","On the list"))))</f>
        <v>0</v>
      </c>
    </row>
    <row r="202" spans="1:26">
      <c r="A202" s="18">
        <f>ROW()-4</f>
        <v>0</v>
      </c>
      <c r="B202" s="17">
        <f>IFERROR(INDEX(Ingredients!$B$5:$B$304,MATCH(A202,Ingredients!$AL$5:$AL$304,0)),"")</f>
        <v>0</v>
      </c>
      <c r="C202" s="17">
        <f>IF(B202="","",IFERROR(INDEX(Ingredients!$C$5:$C$304,MATCH(B202,Ingredients!$B$5:$B$304,0)),"Add to Ingredients"))</f>
        <v>0</v>
      </c>
      <c r="D202" s="17">
        <f>IF(B202="","",IFERROR(INDEX(Ingredients!$D$5:$D$304,MATCH(B202,Ingredients!$B$5:$B$304,0)),"Add to Ingredients"))</f>
        <v>0</v>
      </c>
      <c r="E202" s="17">
        <f>IF(B202="","",IFERROR(INDEX(Ingredients!$E$5:$E$304,MATCH(B202,Ingredients!$B$5:$B$304,0)),"Add to Ingredients"))</f>
        <v>0</v>
      </c>
      <c r="F202" s="45">
        <f>IF(B202="","",IFERROR(INDEX(Ingredients!$AG$5:$AG$304,MATCH(B202,Ingredients!$B$5:$B$304,0)),""))</f>
        <v>0</v>
      </c>
      <c r="G202" s="17">
        <f>IF(B202="","",IFERROR(INDEX(Ingredients!$G$5:$G$304,MATCH(B202,Ingredients!$B$5:$B$304,0)),"Add to Ingredients"))</f>
        <v>0</v>
      </c>
      <c r="H202" s="45">
        <f>IF(B202="","",IFERROR(INDEX(Ingredients!$AD$5:$AD$304,MATCH(B202,Ingredients!$B$5:$B$304,0)),0))</f>
        <v>0</v>
      </c>
      <c r="I202" s="45">
        <f>IF(F202="","",MAX(0,F202-IF(H202="",0,H202)))</f>
        <v>0</v>
      </c>
      <c r="J202" s="45">
        <f>IF(B202="","",IFERROR(INDEX(Ingredients!$H$5:$H$304,MATCH(B202,Ingredients!$B$5:$B$304,0)),"Add to Ingredients"))</f>
        <v>0</v>
      </c>
      <c r="K202" s="25">
        <f>IF(B202="","",IFERROR(INDEX(Ingredients!$I$5:$I$304,MATCH(B202,Ingredients!$B$5:$B$304,0)),"Add to Ingredients"))</f>
        <v>0</v>
      </c>
      <c r="L202" s="25">
        <f>IF(B202="","",IFERROR(INDEX(Ingredients!$J$5:$J$304,MATCH(B202,Ingredients!$B$5:$B$304,0)),"Add to Ingredients"))</f>
        <v>0</v>
      </c>
      <c r="M202" s="45">
        <f>IF(OR(I202="",I202=0),"",IF(OR(J202="",NOT(ISNUMBER(J202)),J202=0),"",ROUNDUP(I202/J202,0)))</f>
        <v>0</v>
      </c>
      <c r="N202" s="45">
        <f>IF(I202="","",IF(RoundingRule="Exact quantity",I202,IF(M202="",I202,M202*J202)))</f>
        <v>0</v>
      </c>
      <c r="O202" s="25">
        <f>IF(N202="","",IF(RoundingRule="Exact quantity",IF(L202="","",N202*L202),IF(OR(M202="",K202=""),"",M202*K202)))</f>
        <v>0</v>
      </c>
      <c r="P202" s="25">
        <f>IF(B202="","",SUM(O$5:O202))</f>
        <v>0</v>
      </c>
      <c r="Q202" s="45">
        <f>IF(V202="Yes",0,IF(N202="",0,N202))</f>
        <v>0</v>
      </c>
      <c r="R202" s="18">
        <f>IF(OR(B202="",I202=0,I202=""),"",COUNTIFS($I$5:I202,"&gt;0"))</f>
        <v>0</v>
      </c>
      <c r="S202" s="18">
        <f>IF(B202="","",COUNTIFS('Recipe Ingredients'!$D$5:$D$1204,B202,'Recipe Ingredients'!$Y$5:$Y$1204,"&gt;0"))</f>
        <v>0</v>
      </c>
      <c r="T202" s="46">
        <f>IF(B202="","",IF(COUNTIFS('Recipe Ingredients'!$D$5:$D$1204,B202,'Recipe Ingredients'!$Y$5:$Y$1204,"&gt;0",'Recipe Ingredients'!$I$5:$I$1204,"No")=0,"Yes","No"))</f>
        <v>0</v>
      </c>
      <c r="U202" s="17">
        <f>IF(B202="","",IFERROR(INDEX(Ingredients!$W$5:$W$304,MATCH(B202,Ingredients!$B$5:$B$304,0)),"Add to Ingredients"))</f>
        <v>0</v>
      </c>
      <c r="Z202" s="31">
        <f>IF(B202="","",IF(V202="Yes","Bought",IF(I202=0,"In stock",IF(O202="","Check - no price","On the list"))))</f>
        <v>0</v>
      </c>
    </row>
    <row r="203" spans="1:26">
      <c r="A203" s="18">
        <f>ROW()-4</f>
        <v>0</v>
      </c>
      <c r="B203" s="17">
        <f>IFERROR(INDEX(Ingredients!$B$5:$B$304,MATCH(A203,Ingredients!$AL$5:$AL$304,0)),"")</f>
        <v>0</v>
      </c>
      <c r="C203" s="17">
        <f>IF(B203="","",IFERROR(INDEX(Ingredients!$C$5:$C$304,MATCH(B203,Ingredients!$B$5:$B$304,0)),"Add to Ingredients"))</f>
        <v>0</v>
      </c>
      <c r="D203" s="17">
        <f>IF(B203="","",IFERROR(INDEX(Ingredients!$D$5:$D$304,MATCH(B203,Ingredients!$B$5:$B$304,0)),"Add to Ingredients"))</f>
        <v>0</v>
      </c>
      <c r="E203" s="17">
        <f>IF(B203="","",IFERROR(INDEX(Ingredients!$E$5:$E$304,MATCH(B203,Ingredients!$B$5:$B$304,0)),"Add to Ingredients"))</f>
        <v>0</v>
      </c>
      <c r="F203" s="45">
        <f>IF(B203="","",IFERROR(INDEX(Ingredients!$AG$5:$AG$304,MATCH(B203,Ingredients!$B$5:$B$304,0)),""))</f>
        <v>0</v>
      </c>
      <c r="G203" s="17">
        <f>IF(B203="","",IFERROR(INDEX(Ingredients!$G$5:$G$304,MATCH(B203,Ingredients!$B$5:$B$304,0)),"Add to Ingredients"))</f>
        <v>0</v>
      </c>
      <c r="H203" s="45">
        <f>IF(B203="","",IFERROR(INDEX(Ingredients!$AD$5:$AD$304,MATCH(B203,Ingredients!$B$5:$B$304,0)),0))</f>
        <v>0</v>
      </c>
      <c r="I203" s="45">
        <f>IF(F203="","",MAX(0,F203-IF(H203="",0,H203)))</f>
        <v>0</v>
      </c>
      <c r="J203" s="45">
        <f>IF(B203="","",IFERROR(INDEX(Ingredients!$H$5:$H$304,MATCH(B203,Ingredients!$B$5:$B$304,0)),"Add to Ingredients"))</f>
        <v>0</v>
      </c>
      <c r="K203" s="25">
        <f>IF(B203="","",IFERROR(INDEX(Ingredients!$I$5:$I$304,MATCH(B203,Ingredients!$B$5:$B$304,0)),"Add to Ingredients"))</f>
        <v>0</v>
      </c>
      <c r="L203" s="25">
        <f>IF(B203="","",IFERROR(INDEX(Ingredients!$J$5:$J$304,MATCH(B203,Ingredients!$B$5:$B$304,0)),"Add to Ingredients"))</f>
        <v>0</v>
      </c>
      <c r="M203" s="45">
        <f>IF(OR(I203="",I203=0),"",IF(OR(J203="",NOT(ISNUMBER(J203)),J203=0),"",ROUNDUP(I203/J203,0)))</f>
        <v>0</v>
      </c>
      <c r="N203" s="45">
        <f>IF(I203="","",IF(RoundingRule="Exact quantity",I203,IF(M203="",I203,M203*J203)))</f>
        <v>0</v>
      </c>
      <c r="O203" s="25">
        <f>IF(N203="","",IF(RoundingRule="Exact quantity",IF(L203="","",N203*L203),IF(OR(M203="",K203=""),"",M203*K203)))</f>
        <v>0</v>
      </c>
      <c r="P203" s="25">
        <f>IF(B203="","",SUM(O$5:O203))</f>
        <v>0</v>
      </c>
      <c r="Q203" s="45">
        <f>IF(V203="Yes",0,IF(N203="",0,N203))</f>
        <v>0</v>
      </c>
      <c r="R203" s="18">
        <f>IF(OR(B203="",I203=0,I203=""),"",COUNTIFS($I$5:I203,"&gt;0"))</f>
        <v>0</v>
      </c>
      <c r="S203" s="18">
        <f>IF(B203="","",COUNTIFS('Recipe Ingredients'!$D$5:$D$1204,B203,'Recipe Ingredients'!$Y$5:$Y$1204,"&gt;0"))</f>
        <v>0</v>
      </c>
      <c r="T203" s="46">
        <f>IF(B203="","",IF(COUNTIFS('Recipe Ingredients'!$D$5:$D$1204,B203,'Recipe Ingredients'!$Y$5:$Y$1204,"&gt;0",'Recipe Ingredients'!$I$5:$I$1204,"No")=0,"Yes","No"))</f>
        <v>0</v>
      </c>
      <c r="U203" s="17">
        <f>IF(B203="","",IFERROR(INDEX(Ingredients!$W$5:$W$304,MATCH(B203,Ingredients!$B$5:$B$304,0)),"Add to Ingredients"))</f>
        <v>0</v>
      </c>
      <c r="Z203" s="31">
        <f>IF(B203="","",IF(V203="Yes","Bought",IF(I203=0,"In stock",IF(O203="","Check - no price","On the list"))))</f>
        <v>0</v>
      </c>
    </row>
    <row r="204" spans="1:26">
      <c r="A204" s="18">
        <f>ROW()-4</f>
        <v>0</v>
      </c>
      <c r="B204" s="17">
        <f>IFERROR(INDEX(Ingredients!$B$5:$B$304,MATCH(A204,Ingredients!$AL$5:$AL$304,0)),"")</f>
        <v>0</v>
      </c>
      <c r="C204" s="17">
        <f>IF(B204="","",IFERROR(INDEX(Ingredients!$C$5:$C$304,MATCH(B204,Ingredients!$B$5:$B$304,0)),"Add to Ingredients"))</f>
        <v>0</v>
      </c>
      <c r="D204" s="17">
        <f>IF(B204="","",IFERROR(INDEX(Ingredients!$D$5:$D$304,MATCH(B204,Ingredients!$B$5:$B$304,0)),"Add to Ingredients"))</f>
        <v>0</v>
      </c>
      <c r="E204" s="17">
        <f>IF(B204="","",IFERROR(INDEX(Ingredients!$E$5:$E$304,MATCH(B204,Ingredients!$B$5:$B$304,0)),"Add to Ingredients"))</f>
        <v>0</v>
      </c>
      <c r="F204" s="45">
        <f>IF(B204="","",IFERROR(INDEX(Ingredients!$AG$5:$AG$304,MATCH(B204,Ingredients!$B$5:$B$304,0)),""))</f>
        <v>0</v>
      </c>
      <c r="G204" s="17">
        <f>IF(B204="","",IFERROR(INDEX(Ingredients!$G$5:$G$304,MATCH(B204,Ingredients!$B$5:$B$304,0)),"Add to Ingredients"))</f>
        <v>0</v>
      </c>
      <c r="H204" s="45">
        <f>IF(B204="","",IFERROR(INDEX(Ingredients!$AD$5:$AD$304,MATCH(B204,Ingredients!$B$5:$B$304,0)),0))</f>
        <v>0</v>
      </c>
      <c r="I204" s="45">
        <f>IF(F204="","",MAX(0,F204-IF(H204="",0,H204)))</f>
        <v>0</v>
      </c>
      <c r="J204" s="45">
        <f>IF(B204="","",IFERROR(INDEX(Ingredients!$H$5:$H$304,MATCH(B204,Ingredients!$B$5:$B$304,0)),"Add to Ingredients"))</f>
        <v>0</v>
      </c>
      <c r="K204" s="25">
        <f>IF(B204="","",IFERROR(INDEX(Ingredients!$I$5:$I$304,MATCH(B204,Ingredients!$B$5:$B$304,0)),"Add to Ingredients"))</f>
        <v>0</v>
      </c>
      <c r="L204" s="25">
        <f>IF(B204="","",IFERROR(INDEX(Ingredients!$J$5:$J$304,MATCH(B204,Ingredients!$B$5:$B$304,0)),"Add to Ingredients"))</f>
        <v>0</v>
      </c>
      <c r="M204" s="45">
        <f>IF(OR(I204="",I204=0),"",IF(OR(J204="",NOT(ISNUMBER(J204)),J204=0),"",ROUNDUP(I204/J204,0)))</f>
        <v>0</v>
      </c>
      <c r="N204" s="45">
        <f>IF(I204="","",IF(RoundingRule="Exact quantity",I204,IF(M204="",I204,M204*J204)))</f>
        <v>0</v>
      </c>
      <c r="O204" s="25">
        <f>IF(N204="","",IF(RoundingRule="Exact quantity",IF(L204="","",N204*L204),IF(OR(M204="",K204=""),"",M204*K204)))</f>
        <v>0</v>
      </c>
      <c r="P204" s="25">
        <f>IF(B204="","",SUM(O$5:O204))</f>
        <v>0</v>
      </c>
      <c r="Q204" s="45">
        <f>IF(V204="Yes",0,IF(N204="",0,N204))</f>
        <v>0</v>
      </c>
      <c r="R204" s="18">
        <f>IF(OR(B204="",I204=0,I204=""),"",COUNTIFS($I$5:I204,"&gt;0"))</f>
        <v>0</v>
      </c>
      <c r="S204" s="18">
        <f>IF(B204="","",COUNTIFS('Recipe Ingredients'!$D$5:$D$1204,B204,'Recipe Ingredients'!$Y$5:$Y$1204,"&gt;0"))</f>
        <v>0</v>
      </c>
      <c r="T204" s="46">
        <f>IF(B204="","",IF(COUNTIFS('Recipe Ingredients'!$D$5:$D$1204,B204,'Recipe Ingredients'!$Y$5:$Y$1204,"&gt;0",'Recipe Ingredients'!$I$5:$I$1204,"No")=0,"Yes","No"))</f>
        <v>0</v>
      </c>
      <c r="U204" s="17">
        <f>IF(B204="","",IFERROR(INDEX(Ingredients!$W$5:$W$304,MATCH(B204,Ingredients!$B$5:$B$304,0)),"Add to Ingredients"))</f>
        <v>0</v>
      </c>
      <c r="Z204" s="31">
        <f>IF(B204="","",IF(V204="Yes","Bought",IF(I204=0,"In stock",IF(O204="","Check - no price","On the list"))))</f>
        <v>0</v>
      </c>
    </row>
    <row r="205" spans="1:26">
      <c r="A205" s="18">
        <f>ROW()-4</f>
        <v>0</v>
      </c>
      <c r="B205" s="17">
        <f>IFERROR(INDEX(Ingredients!$B$5:$B$304,MATCH(A205,Ingredients!$AL$5:$AL$304,0)),"")</f>
        <v>0</v>
      </c>
      <c r="C205" s="17">
        <f>IF(B205="","",IFERROR(INDEX(Ingredients!$C$5:$C$304,MATCH(B205,Ingredients!$B$5:$B$304,0)),"Add to Ingredients"))</f>
        <v>0</v>
      </c>
      <c r="D205" s="17">
        <f>IF(B205="","",IFERROR(INDEX(Ingredients!$D$5:$D$304,MATCH(B205,Ingredients!$B$5:$B$304,0)),"Add to Ingredients"))</f>
        <v>0</v>
      </c>
      <c r="E205" s="17">
        <f>IF(B205="","",IFERROR(INDEX(Ingredients!$E$5:$E$304,MATCH(B205,Ingredients!$B$5:$B$304,0)),"Add to Ingredients"))</f>
        <v>0</v>
      </c>
      <c r="F205" s="45">
        <f>IF(B205="","",IFERROR(INDEX(Ingredients!$AG$5:$AG$304,MATCH(B205,Ingredients!$B$5:$B$304,0)),""))</f>
        <v>0</v>
      </c>
      <c r="G205" s="17">
        <f>IF(B205="","",IFERROR(INDEX(Ingredients!$G$5:$G$304,MATCH(B205,Ingredients!$B$5:$B$304,0)),"Add to Ingredients"))</f>
        <v>0</v>
      </c>
      <c r="H205" s="45">
        <f>IF(B205="","",IFERROR(INDEX(Ingredients!$AD$5:$AD$304,MATCH(B205,Ingredients!$B$5:$B$304,0)),0))</f>
        <v>0</v>
      </c>
      <c r="I205" s="45">
        <f>IF(F205="","",MAX(0,F205-IF(H205="",0,H205)))</f>
        <v>0</v>
      </c>
      <c r="J205" s="45">
        <f>IF(B205="","",IFERROR(INDEX(Ingredients!$H$5:$H$304,MATCH(B205,Ingredients!$B$5:$B$304,0)),"Add to Ingredients"))</f>
        <v>0</v>
      </c>
      <c r="K205" s="25">
        <f>IF(B205="","",IFERROR(INDEX(Ingredients!$I$5:$I$304,MATCH(B205,Ingredients!$B$5:$B$304,0)),"Add to Ingredients"))</f>
        <v>0</v>
      </c>
      <c r="L205" s="25">
        <f>IF(B205="","",IFERROR(INDEX(Ingredients!$J$5:$J$304,MATCH(B205,Ingredients!$B$5:$B$304,0)),"Add to Ingredients"))</f>
        <v>0</v>
      </c>
      <c r="M205" s="45">
        <f>IF(OR(I205="",I205=0),"",IF(OR(J205="",NOT(ISNUMBER(J205)),J205=0),"",ROUNDUP(I205/J205,0)))</f>
        <v>0</v>
      </c>
      <c r="N205" s="45">
        <f>IF(I205="","",IF(RoundingRule="Exact quantity",I205,IF(M205="",I205,M205*J205)))</f>
        <v>0</v>
      </c>
      <c r="O205" s="25">
        <f>IF(N205="","",IF(RoundingRule="Exact quantity",IF(L205="","",N205*L205),IF(OR(M205="",K205=""),"",M205*K205)))</f>
        <v>0</v>
      </c>
      <c r="P205" s="25">
        <f>IF(B205="","",SUM(O$5:O205))</f>
        <v>0</v>
      </c>
      <c r="Q205" s="45">
        <f>IF(V205="Yes",0,IF(N205="",0,N205))</f>
        <v>0</v>
      </c>
      <c r="R205" s="18">
        <f>IF(OR(B205="",I205=0,I205=""),"",COUNTIFS($I$5:I205,"&gt;0"))</f>
        <v>0</v>
      </c>
      <c r="S205" s="18">
        <f>IF(B205="","",COUNTIFS('Recipe Ingredients'!$D$5:$D$1204,B205,'Recipe Ingredients'!$Y$5:$Y$1204,"&gt;0"))</f>
        <v>0</v>
      </c>
      <c r="T205" s="46">
        <f>IF(B205="","",IF(COUNTIFS('Recipe Ingredients'!$D$5:$D$1204,B205,'Recipe Ingredients'!$Y$5:$Y$1204,"&gt;0",'Recipe Ingredients'!$I$5:$I$1204,"No")=0,"Yes","No"))</f>
        <v>0</v>
      </c>
      <c r="U205" s="17">
        <f>IF(B205="","",IFERROR(INDEX(Ingredients!$W$5:$W$304,MATCH(B205,Ingredients!$B$5:$B$304,0)),"Add to Ingredients"))</f>
        <v>0</v>
      </c>
      <c r="Z205" s="31">
        <f>IF(B205="","",IF(V205="Yes","Bought",IF(I205=0,"In stock",IF(O205="","Check - no price","On the list"))))</f>
        <v>0</v>
      </c>
    </row>
    <row r="206" spans="1:26">
      <c r="A206" s="18">
        <f>ROW()-4</f>
        <v>0</v>
      </c>
      <c r="B206" s="17">
        <f>IFERROR(INDEX(Ingredients!$B$5:$B$304,MATCH(A206,Ingredients!$AL$5:$AL$304,0)),"")</f>
        <v>0</v>
      </c>
      <c r="C206" s="17">
        <f>IF(B206="","",IFERROR(INDEX(Ingredients!$C$5:$C$304,MATCH(B206,Ingredients!$B$5:$B$304,0)),"Add to Ingredients"))</f>
        <v>0</v>
      </c>
      <c r="D206" s="17">
        <f>IF(B206="","",IFERROR(INDEX(Ingredients!$D$5:$D$304,MATCH(B206,Ingredients!$B$5:$B$304,0)),"Add to Ingredients"))</f>
        <v>0</v>
      </c>
      <c r="E206" s="17">
        <f>IF(B206="","",IFERROR(INDEX(Ingredients!$E$5:$E$304,MATCH(B206,Ingredients!$B$5:$B$304,0)),"Add to Ingredients"))</f>
        <v>0</v>
      </c>
      <c r="F206" s="45">
        <f>IF(B206="","",IFERROR(INDEX(Ingredients!$AG$5:$AG$304,MATCH(B206,Ingredients!$B$5:$B$304,0)),""))</f>
        <v>0</v>
      </c>
      <c r="G206" s="17">
        <f>IF(B206="","",IFERROR(INDEX(Ingredients!$G$5:$G$304,MATCH(B206,Ingredients!$B$5:$B$304,0)),"Add to Ingredients"))</f>
        <v>0</v>
      </c>
      <c r="H206" s="45">
        <f>IF(B206="","",IFERROR(INDEX(Ingredients!$AD$5:$AD$304,MATCH(B206,Ingredients!$B$5:$B$304,0)),0))</f>
        <v>0</v>
      </c>
      <c r="I206" s="45">
        <f>IF(F206="","",MAX(0,F206-IF(H206="",0,H206)))</f>
        <v>0</v>
      </c>
      <c r="J206" s="45">
        <f>IF(B206="","",IFERROR(INDEX(Ingredients!$H$5:$H$304,MATCH(B206,Ingredients!$B$5:$B$304,0)),"Add to Ingredients"))</f>
        <v>0</v>
      </c>
      <c r="K206" s="25">
        <f>IF(B206="","",IFERROR(INDEX(Ingredients!$I$5:$I$304,MATCH(B206,Ingredients!$B$5:$B$304,0)),"Add to Ingredients"))</f>
        <v>0</v>
      </c>
      <c r="L206" s="25">
        <f>IF(B206="","",IFERROR(INDEX(Ingredients!$J$5:$J$304,MATCH(B206,Ingredients!$B$5:$B$304,0)),"Add to Ingredients"))</f>
        <v>0</v>
      </c>
      <c r="M206" s="45">
        <f>IF(OR(I206="",I206=0),"",IF(OR(J206="",NOT(ISNUMBER(J206)),J206=0),"",ROUNDUP(I206/J206,0)))</f>
        <v>0</v>
      </c>
      <c r="N206" s="45">
        <f>IF(I206="","",IF(RoundingRule="Exact quantity",I206,IF(M206="",I206,M206*J206)))</f>
        <v>0</v>
      </c>
      <c r="O206" s="25">
        <f>IF(N206="","",IF(RoundingRule="Exact quantity",IF(L206="","",N206*L206),IF(OR(M206="",K206=""),"",M206*K206)))</f>
        <v>0</v>
      </c>
      <c r="P206" s="25">
        <f>IF(B206="","",SUM(O$5:O206))</f>
        <v>0</v>
      </c>
      <c r="Q206" s="45">
        <f>IF(V206="Yes",0,IF(N206="",0,N206))</f>
        <v>0</v>
      </c>
      <c r="R206" s="18">
        <f>IF(OR(B206="",I206=0,I206=""),"",COUNTIFS($I$5:I206,"&gt;0"))</f>
        <v>0</v>
      </c>
      <c r="S206" s="18">
        <f>IF(B206="","",COUNTIFS('Recipe Ingredients'!$D$5:$D$1204,B206,'Recipe Ingredients'!$Y$5:$Y$1204,"&gt;0"))</f>
        <v>0</v>
      </c>
      <c r="T206" s="46">
        <f>IF(B206="","",IF(COUNTIFS('Recipe Ingredients'!$D$5:$D$1204,B206,'Recipe Ingredients'!$Y$5:$Y$1204,"&gt;0",'Recipe Ingredients'!$I$5:$I$1204,"No")=0,"Yes","No"))</f>
        <v>0</v>
      </c>
      <c r="U206" s="17">
        <f>IF(B206="","",IFERROR(INDEX(Ingredients!$W$5:$W$304,MATCH(B206,Ingredients!$B$5:$B$304,0)),"Add to Ingredients"))</f>
        <v>0</v>
      </c>
      <c r="Z206" s="31">
        <f>IF(B206="","",IF(V206="Yes","Bought",IF(I206=0,"In stock",IF(O206="","Check - no price","On the list"))))</f>
        <v>0</v>
      </c>
    </row>
    <row r="207" spans="1:26">
      <c r="A207" s="18">
        <f>ROW()-4</f>
        <v>0</v>
      </c>
      <c r="B207" s="17">
        <f>IFERROR(INDEX(Ingredients!$B$5:$B$304,MATCH(A207,Ingredients!$AL$5:$AL$304,0)),"")</f>
        <v>0</v>
      </c>
      <c r="C207" s="17">
        <f>IF(B207="","",IFERROR(INDEX(Ingredients!$C$5:$C$304,MATCH(B207,Ingredients!$B$5:$B$304,0)),"Add to Ingredients"))</f>
        <v>0</v>
      </c>
      <c r="D207" s="17">
        <f>IF(B207="","",IFERROR(INDEX(Ingredients!$D$5:$D$304,MATCH(B207,Ingredients!$B$5:$B$304,0)),"Add to Ingredients"))</f>
        <v>0</v>
      </c>
      <c r="E207" s="17">
        <f>IF(B207="","",IFERROR(INDEX(Ingredients!$E$5:$E$304,MATCH(B207,Ingredients!$B$5:$B$304,0)),"Add to Ingredients"))</f>
        <v>0</v>
      </c>
      <c r="F207" s="45">
        <f>IF(B207="","",IFERROR(INDEX(Ingredients!$AG$5:$AG$304,MATCH(B207,Ingredients!$B$5:$B$304,0)),""))</f>
        <v>0</v>
      </c>
      <c r="G207" s="17">
        <f>IF(B207="","",IFERROR(INDEX(Ingredients!$G$5:$G$304,MATCH(B207,Ingredients!$B$5:$B$304,0)),"Add to Ingredients"))</f>
        <v>0</v>
      </c>
      <c r="H207" s="45">
        <f>IF(B207="","",IFERROR(INDEX(Ingredients!$AD$5:$AD$304,MATCH(B207,Ingredients!$B$5:$B$304,0)),0))</f>
        <v>0</v>
      </c>
      <c r="I207" s="45">
        <f>IF(F207="","",MAX(0,F207-IF(H207="",0,H207)))</f>
        <v>0</v>
      </c>
      <c r="J207" s="45">
        <f>IF(B207="","",IFERROR(INDEX(Ingredients!$H$5:$H$304,MATCH(B207,Ingredients!$B$5:$B$304,0)),"Add to Ingredients"))</f>
        <v>0</v>
      </c>
      <c r="K207" s="25">
        <f>IF(B207="","",IFERROR(INDEX(Ingredients!$I$5:$I$304,MATCH(B207,Ingredients!$B$5:$B$304,0)),"Add to Ingredients"))</f>
        <v>0</v>
      </c>
      <c r="L207" s="25">
        <f>IF(B207="","",IFERROR(INDEX(Ingredients!$J$5:$J$304,MATCH(B207,Ingredients!$B$5:$B$304,0)),"Add to Ingredients"))</f>
        <v>0</v>
      </c>
      <c r="M207" s="45">
        <f>IF(OR(I207="",I207=0),"",IF(OR(J207="",NOT(ISNUMBER(J207)),J207=0),"",ROUNDUP(I207/J207,0)))</f>
        <v>0</v>
      </c>
      <c r="N207" s="45">
        <f>IF(I207="","",IF(RoundingRule="Exact quantity",I207,IF(M207="",I207,M207*J207)))</f>
        <v>0</v>
      </c>
      <c r="O207" s="25">
        <f>IF(N207="","",IF(RoundingRule="Exact quantity",IF(L207="","",N207*L207),IF(OR(M207="",K207=""),"",M207*K207)))</f>
        <v>0</v>
      </c>
      <c r="P207" s="25">
        <f>IF(B207="","",SUM(O$5:O207))</f>
        <v>0</v>
      </c>
      <c r="Q207" s="45">
        <f>IF(V207="Yes",0,IF(N207="",0,N207))</f>
        <v>0</v>
      </c>
      <c r="R207" s="18">
        <f>IF(OR(B207="",I207=0,I207=""),"",COUNTIFS($I$5:I207,"&gt;0"))</f>
        <v>0</v>
      </c>
      <c r="S207" s="18">
        <f>IF(B207="","",COUNTIFS('Recipe Ingredients'!$D$5:$D$1204,B207,'Recipe Ingredients'!$Y$5:$Y$1204,"&gt;0"))</f>
        <v>0</v>
      </c>
      <c r="T207" s="46">
        <f>IF(B207="","",IF(COUNTIFS('Recipe Ingredients'!$D$5:$D$1204,B207,'Recipe Ingredients'!$Y$5:$Y$1204,"&gt;0",'Recipe Ingredients'!$I$5:$I$1204,"No")=0,"Yes","No"))</f>
        <v>0</v>
      </c>
      <c r="U207" s="17">
        <f>IF(B207="","",IFERROR(INDEX(Ingredients!$W$5:$W$304,MATCH(B207,Ingredients!$B$5:$B$304,0)),"Add to Ingredients"))</f>
        <v>0</v>
      </c>
      <c r="Z207" s="31">
        <f>IF(B207="","",IF(V207="Yes","Bought",IF(I207=0,"In stock",IF(O207="","Check - no price","On the list"))))</f>
        <v>0</v>
      </c>
    </row>
    <row r="208" spans="1:26">
      <c r="A208" s="18">
        <f>ROW()-4</f>
        <v>0</v>
      </c>
      <c r="B208" s="17">
        <f>IFERROR(INDEX(Ingredients!$B$5:$B$304,MATCH(A208,Ingredients!$AL$5:$AL$304,0)),"")</f>
        <v>0</v>
      </c>
      <c r="C208" s="17">
        <f>IF(B208="","",IFERROR(INDEX(Ingredients!$C$5:$C$304,MATCH(B208,Ingredients!$B$5:$B$304,0)),"Add to Ingredients"))</f>
        <v>0</v>
      </c>
      <c r="D208" s="17">
        <f>IF(B208="","",IFERROR(INDEX(Ingredients!$D$5:$D$304,MATCH(B208,Ingredients!$B$5:$B$304,0)),"Add to Ingredients"))</f>
        <v>0</v>
      </c>
      <c r="E208" s="17">
        <f>IF(B208="","",IFERROR(INDEX(Ingredients!$E$5:$E$304,MATCH(B208,Ingredients!$B$5:$B$304,0)),"Add to Ingredients"))</f>
        <v>0</v>
      </c>
      <c r="F208" s="45">
        <f>IF(B208="","",IFERROR(INDEX(Ingredients!$AG$5:$AG$304,MATCH(B208,Ingredients!$B$5:$B$304,0)),""))</f>
        <v>0</v>
      </c>
      <c r="G208" s="17">
        <f>IF(B208="","",IFERROR(INDEX(Ingredients!$G$5:$G$304,MATCH(B208,Ingredients!$B$5:$B$304,0)),"Add to Ingredients"))</f>
        <v>0</v>
      </c>
      <c r="H208" s="45">
        <f>IF(B208="","",IFERROR(INDEX(Ingredients!$AD$5:$AD$304,MATCH(B208,Ingredients!$B$5:$B$304,0)),0))</f>
        <v>0</v>
      </c>
      <c r="I208" s="45">
        <f>IF(F208="","",MAX(0,F208-IF(H208="",0,H208)))</f>
        <v>0</v>
      </c>
      <c r="J208" s="45">
        <f>IF(B208="","",IFERROR(INDEX(Ingredients!$H$5:$H$304,MATCH(B208,Ingredients!$B$5:$B$304,0)),"Add to Ingredients"))</f>
        <v>0</v>
      </c>
      <c r="K208" s="25">
        <f>IF(B208="","",IFERROR(INDEX(Ingredients!$I$5:$I$304,MATCH(B208,Ingredients!$B$5:$B$304,0)),"Add to Ingredients"))</f>
        <v>0</v>
      </c>
      <c r="L208" s="25">
        <f>IF(B208="","",IFERROR(INDEX(Ingredients!$J$5:$J$304,MATCH(B208,Ingredients!$B$5:$B$304,0)),"Add to Ingredients"))</f>
        <v>0</v>
      </c>
      <c r="M208" s="45">
        <f>IF(OR(I208="",I208=0),"",IF(OR(J208="",NOT(ISNUMBER(J208)),J208=0),"",ROUNDUP(I208/J208,0)))</f>
        <v>0</v>
      </c>
      <c r="N208" s="45">
        <f>IF(I208="","",IF(RoundingRule="Exact quantity",I208,IF(M208="",I208,M208*J208)))</f>
        <v>0</v>
      </c>
      <c r="O208" s="25">
        <f>IF(N208="","",IF(RoundingRule="Exact quantity",IF(L208="","",N208*L208),IF(OR(M208="",K208=""),"",M208*K208)))</f>
        <v>0</v>
      </c>
      <c r="P208" s="25">
        <f>IF(B208="","",SUM(O$5:O208))</f>
        <v>0</v>
      </c>
      <c r="Q208" s="45">
        <f>IF(V208="Yes",0,IF(N208="",0,N208))</f>
        <v>0</v>
      </c>
      <c r="R208" s="18">
        <f>IF(OR(B208="",I208=0,I208=""),"",COUNTIFS($I$5:I208,"&gt;0"))</f>
        <v>0</v>
      </c>
      <c r="S208" s="18">
        <f>IF(B208="","",COUNTIFS('Recipe Ingredients'!$D$5:$D$1204,B208,'Recipe Ingredients'!$Y$5:$Y$1204,"&gt;0"))</f>
        <v>0</v>
      </c>
      <c r="T208" s="46">
        <f>IF(B208="","",IF(COUNTIFS('Recipe Ingredients'!$D$5:$D$1204,B208,'Recipe Ingredients'!$Y$5:$Y$1204,"&gt;0",'Recipe Ingredients'!$I$5:$I$1204,"No")=0,"Yes","No"))</f>
        <v>0</v>
      </c>
      <c r="U208" s="17">
        <f>IF(B208="","",IFERROR(INDEX(Ingredients!$W$5:$W$304,MATCH(B208,Ingredients!$B$5:$B$304,0)),"Add to Ingredients"))</f>
        <v>0</v>
      </c>
      <c r="Z208" s="31">
        <f>IF(B208="","",IF(V208="Yes","Bought",IF(I208=0,"In stock",IF(O208="","Check - no price","On the list"))))</f>
        <v>0</v>
      </c>
    </row>
    <row r="209" spans="1:26">
      <c r="A209" s="18">
        <f>ROW()-4</f>
        <v>0</v>
      </c>
      <c r="B209" s="17">
        <f>IFERROR(INDEX(Ingredients!$B$5:$B$304,MATCH(A209,Ingredients!$AL$5:$AL$304,0)),"")</f>
        <v>0</v>
      </c>
      <c r="C209" s="17">
        <f>IF(B209="","",IFERROR(INDEX(Ingredients!$C$5:$C$304,MATCH(B209,Ingredients!$B$5:$B$304,0)),"Add to Ingredients"))</f>
        <v>0</v>
      </c>
      <c r="D209" s="17">
        <f>IF(B209="","",IFERROR(INDEX(Ingredients!$D$5:$D$304,MATCH(B209,Ingredients!$B$5:$B$304,0)),"Add to Ingredients"))</f>
        <v>0</v>
      </c>
      <c r="E209" s="17">
        <f>IF(B209="","",IFERROR(INDEX(Ingredients!$E$5:$E$304,MATCH(B209,Ingredients!$B$5:$B$304,0)),"Add to Ingredients"))</f>
        <v>0</v>
      </c>
      <c r="F209" s="45">
        <f>IF(B209="","",IFERROR(INDEX(Ingredients!$AG$5:$AG$304,MATCH(B209,Ingredients!$B$5:$B$304,0)),""))</f>
        <v>0</v>
      </c>
      <c r="G209" s="17">
        <f>IF(B209="","",IFERROR(INDEX(Ingredients!$G$5:$G$304,MATCH(B209,Ingredients!$B$5:$B$304,0)),"Add to Ingredients"))</f>
        <v>0</v>
      </c>
      <c r="H209" s="45">
        <f>IF(B209="","",IFERROR(INDEX(Ingredients!$AD$5:$AD$304,MATCH(B209,Ingredients!$B$5:$B$304,0)),0))</f>
        <v>0</v>
      </c>
      <c r="I209" s="45">
        <f>IF(F209="","",MAX(0,F209-IF(H209="",0,H209)))</f>
        <v>0</v>
      </c>
      <c r="J209" s="45">
        <f>IF(B209="","",IFERROR(INDEX(Ingredients!$H$5:$H$304,MATCH(B209,Ingredients!$B$5:$B$304,0)),"Add to Ingredients"))</f>
        <v>0</v>
      </c>
      <c r="K209" s="25">
        <f>IF(B209="","",IFERROR(INDEX(Ingredients!$I$5:$I$304,MATCH(B209,Ingredients!$B$5:$B$304,0)),"Add to Ingredients"))</f>
        <v>0</v>
      </c>
      <c r="L209" s="25">
        <f>IF(B209="","",IFERROR(INDEX(Ingredients!$J$5:$J$304,MATCH(B209,Ingredients!$B$5:$B$304,0)),"Add to Ingredients"))</f>
        <v>0</v>
      </c>
      <c r="M209" s="45">
        <f>IF(OR(I209="",I209=0),"",IF(OR(J209="",NOT(ISNUMBER(J209)),J209=0),"",ROUNDUP(I209/J209,0)))</f>
        <v>0</v>
      </c>
      <c r="N209" s="45">
        <f>IF(I209="","",IF(RoundingRule="Exact quantity",I209,IF(M209="",I209,M209*J209)))</f>
        <v>0</v>
      </c>
      <c r="O209" s="25">
        <f>IF(N209="","",IF(RoundingRule="Exact quantity",IF(L209="","",N209*L209),IF(OR(M209="",K209=""),"",M209*K209)))</f>
        <v>0</v>
      </c>
      <c r="P209" s="25">
        <f>IF(B209="","",SUM(O$5:O209))</f>
        <v>0</v>
      </c>
      <c r="Q209" s="45">
        <f>IF(V209="Yes",0,IF(N209="",0,N209))</f>
        <v>0</v>
      </c>
      <c r="R209" s="18">
        <f>IF(OR(B209="",I209=0,I209=""),"",COUNTIFS($I$5:I209,"&gt;0"))</f>
        <v>0</v>
      </c>
      <c r="S209" s="18">
        <f>IF(B209="","",COUNTIFS('Recipe Ingredients'!$D$5:$D$1204,B209,'Recipe Ingredients'!$Y$5:$Y$1204,"&gt;0"))</f>
        <v>0</v>
      </c>
      <c r="T209" s="46">
        <f>IF(B209="","",IF(COUNTIFS('Recipe Ingredients'!$D$5:$D$1204,B209,'Recipe Ingredients'!$Y$5:$Y$1204,"&gt;0",'Recipe Ingredients'!$I$5:$I$1204,"No")=0,"Yes","No"))</f>
        <v>0</v>
      </c>
      <c r="U209" s="17">
        <f>IF(B209="","",IFERROR(INDEX(Ingredients!$W$5:$W$304,MATCH(B209,Ingredients!$B$5:$B$304,0)),"Add to Ingredients"))</f>
        <v>0</v>
      </c>
      <c r="Z209" s="31">
        <f>IF(B209="","",IF(V209="Yes","Bought",IF(I209=0,"In stock",IF(O209="","Check - no price","On the list"))))</f>
        <v>0</v>
      </c>
    </row>
    <row r="210" spans="1:26">
      <c r="A210" s="18">
        <f>ROW()-4</f>
        <v>0</v>
      </c>
      <c r="B210" s="17">
        <f>IFERROR(INDEX(Ingredients!$B$5:$B$304,MATCH(A210,Ingredients!$AL$5:$AL$304,0)),"")</f>
        <v>0</v>
      </c>
      <c r="C210" s="17">
        <f>IF(B210="","",IFERROR(INDEX(Ingredients!$C$5:$C$304,MATCH(B210,Ingredients!$B$5:$B$304,0)),"Add to Ingredients"))</f>
        <v>0</v>
      </c>
      <c r="D210" s="17">
        <f>IF(B210="","",IFERROR(INDEX(Ingredients!$D$5:$D$304,MATCH(B210,Ingredients!$B$5:$B$304,0)),"Add to Ingredients"))</f>
        <v>0</v>
      </c>
      <c r="E210" s="17">
        <f>IF(B210="","",IFERROR(INDEX(Ingredients!$E$5:$E$304,MATCH(B210,Ingredients!$B$5:$B$304,0)),"Add to Ingredients"))</f>
        <v>0</v>
      </c>
      <c r="F210" s="45">
        <f>IF(B210="","",IFERROR(INDEX(Ingredients!$AG$5:$AG$304,MATCH(B210,Ingredients!$B$5:$B$304,0)),""))</f>
        <v>0</v>
      </c>
      <c r="G210" s="17">
        <f>IF(B210="","",IFERROR(INDEX(Ingredients!$G$5:$G$304,MATCH(B210,Ingredients!$B$5:$B$304,0)),"Add to Ingredients"))</f>
        <v>0</v>
      </c>
      <c r="H210" s="45">
        <f>IF(B210="","",IFERROR(INDEX(Ingredients!$AD$5:$AD$304,MATCH(B210,Ingredients!$B$5:$B$304,0)),0))</f>
        <v>0</v>
      </c>
      <c r="I210" s="45">
        <f>IF(F210="","",MAX(0,F210-IF(H210="",0,H210)))</f>
        <v>0</v>
      </c>
      <c r="J210" s="45">
        <f>IF(B210="","",IFERROR(INDEX(Ingredients!$H$5:$H$304,MATCH(B210,Ingredients!$B$5:$B$304,0)),"Add to Ingredients"))</f>
        <v>0</v>
      </c>
      <c r="K210" s="25">
        <f>IF(B210="","",IFERROR(INDEX(Ingredients!$I$5:$I$304,MATCH(B210,Ingredients!$B$5:$B$304,0)),"Add to Ingredients"))</f>
        <v>0</v>
      </c>
      <c r="L210" s="25">
        <f>IF(B210="","",IFERROR(INDEX(Ingredients!$J$5:$J$304,MATCH(B210,Ingredients!$B$5:$B$304,0)),"Add to Ingredients"))</f>
        <v>0</v>
      </c>
      <c r="M210" s="45">
        <f>IF(OR(I210="",I210=0),"",IF(OR(J210="",NOT(ISNUMBER(J210)),J210=0),"",ROUNDUP(I210/J210,0)))</f>
        <v>0</v>
      </c>
      <c r="N210" s="45">
        <f>IF(I210="","",IF(RoundingRule="Exact quantity",I210,IF(M210="",I210,M210*J210)))</f>
        <v>0</v>
      </c>
      <c r="O210" s="25">
        <f>IF(N210="","",IF(RoundingRule="Exact quantity",IF(L210="","",N210*L210),IF(OR(M210="",K210=""),"",M210*K210)))</f>
        <v>0</v>
      </c>
      <c r="P210" s="25">
        <f>IF(B210="","",SUM(O$5:O210))</f>
        <v>0</v>
      </c>
      <c r="Q210" s="45">
        <f>IF(V210="Yes",0,IF(N210="",0,N210))</f>
        <v>0</v>
      </c>
      <c r="R210" s="18">
        <f>IF(OR(B210="",I210=0,I210=""),"",COUNTIFS($I$5:I210,"&gt;0"))</f>
        <v>0</v>
      </c>
      <c r="S210" s="18">
        <f>IF(B210="","",COUNTIFS('Recipe Ingredients'!$D$5:$D$1204,B210,'Recipe Ingredients'!$Y$5:$Y$1204,"&gt;0"))</f>
        <v>0</v>
      </c>
      <c r="T210" s="46">
        <f>IF(B210="","",IF(COUNTIFS('Recipe Ingredients'!$D$5:$D$1204,B210,'Recipe Ingredients'!$Y$5:$Y$1204,"&gt;0",'Recipe Ingredients'!$I$5:$I$1204,"No")=0,"Yes","No"))</f>
        <v>0</v>
      </c>
      <c r="U210" s="17">
        <f>IF(B210="","",IFERROR(INDEX(Ingredients!$W$5:$W$304,MATCH(B210,Ingredients!$B$5:$B$304,0)),"Add to Ingredients"))</f>
        <v>0</v>
      </c>
      <c r="Z210" s="31">
        <f>IF(B210="","",IF(V210="Yes","Bought",IF(I210=0,"In stock",IF(O210="","Check - no price","On the list"))))</f>
        <v>0</v>
      </c>
    </row>
    <row r="211" spans="1:26">
      <c r="A211" s="18">
        <f>ROW()-4</f>
        <v>0</v>
      </c>
      <c r="B211" s="17">
        <f>IFERROR(INDEX(Ingredients!$B$5:$B$304,MATCH(A211,Ingredients!$AL$5:$AL$304,0)),"")</f>
        <v>0</v>
      </c>
      <c r="C211" s="17">
        <f>IF(B211="","",IFERROR(INDEX(Ingredients!$C$5:$C$304,MATCH(B211,Ingredients!$B$5:$B$304,0)),"Add to Ingredients"))</f>
        <v>0</v>
      </c>
      <c r="D211" s="17">
        <f>IF(B211="","",IFERROR(INDEX(Ingredients!$D$5:$D$304,MATCH(B211,Ingredients!$B$5:$B$304,0)),"Add to Ingredients"))</f>
        <v>0</v>
      </c>
      <c r="E211" s="17">
        <f>IF(B211="","",IFERROR(INDEX(Ingredients!$E$5:$E$304,MATCH(B211,Ingredients!$B$5:$B$304,0)),"Add to Ingredients"))</f>
        <v>0</v>
      </c>
      <c r="F211" s="45">
        <f>IF(B211="","",IFERROR(INDEX(Ingredients!$AG$5:$AG$304,MATCH(B211,Ingredients!$B$5:$B$304,0)),""))</f>
        <v>0</v>
      </c>
      <c r="G211" s="17">
        <f>IF(B211="","",IFERROR(INDEX(Ingredients!$G$5:$G$304,MATCH(B211,Ingredients!$B$5:$B$304,0)),"Add to Ingredients"))</f>
        <v>0</v>
      </c>
      <c r="H211" s="45">
        <f>IF(B211="","",IFERROR(INDEX(Ingredients!$AD$5:$AD$304,MATCH(B211,Ingredients!$B$5:$B$304,0)),0))</f>
        <v>0</v>
      </c>
      <c r="I211" s="45">
        <f>IF(F211="","",MAX(0,F211-IF(H211="",0,H211)))</f>
        <v>0</v>
      </c>
      <c r="J211" s="45">
        <f>IF(B211="","",IFERROR(INDEX(Ingredients!$H$5:$H$304,MATCH(B211,Ingredients!$B$5:$B$304,0)),"Add to Ingredients"))</f>
        <v>0</v>
      </c>
      <c r="K211" s="25">
        <f>IF(B211="","",IFERROR(INDEX(Ingredients!$I$5:$I$304,MATCH(B211,Ingredients!$B$5:$B$304,0)),"Add to Ingredients"))</f>
        <v>0</v>
      </c>
      <c r="L211" s="25">
        <f>IF(B211="","",IFERROR(INDEX(Ingredients!$J$5:$J$304,MATCH(B211,Ingredients!$B$5:$B$304,0)),"Add to Ingredients"))</f>
        <v>0</v>
      </c>
      <c r="M211" s="45">
        <f>IF(OR(I211="",I211=0),"",IF(OR(J211="",NOT(ISNUMBER(J211)),J211=0),"",ROUNDUP(I211/J211,0)))</f>
        <v>0</v>
      </c>
      <c r="N211" s="45">
        <f>IF(I211="","",IF(RoundingRule="Exact quantity",I211,IF(M211="",I211,M211*J211)))</f>
        <v>0</v>
      </c>
      <c r="O211" s="25">
        <f>IF(N211="","",IF(RoundingRule="Exact quantity",IF(L211="","",N211*L211),IF(OR(M211="",K211=""),"",M211*K211)))</f>
        <v>0</v>
      </c>
      <c r="P211" s="25">
        <f>IF(B211="","",SUM(O$5:O211))</f>
        <v>0</v>
      </c>
      <c r="Q211" s="45">
        <f>IF(V211="Yes",0,IF(N211="",0,N211))</f>
        <v>0</v>
      </c>
      <c r="R211" s="18">
        <f>IF(OR(B211="",I211=0,I211=""),"",COUNTIFS($I$5:I211,"&gt;0"))</f>
        <v>0</v>
      </c>
      <c r="S211" s="18">
        <f>IF(B211="","",COUNTIFS('Recipe Ingredients'!$D$5:$D$1204,B211,'Recipe Ingredients'!$Y$5:$Y$1204,"&gt;0"))</f>
        <v>0</v>
      </c>
      <c r="T211" s="46">
        <f>IF(B211="","",IF(COUNTIFS('Recipe Ingredients'!$D$5:$D$1204,B211,'Recipe Ingredients'!$Y$5:$Y$1204,"&gt;0",'Recipe Ingredients'!$I$5:$I$1204,"No")=0,"Yes","No"))</f>
        <v>0</v>
      </c>
      <c r="U211" s="17">
        <f>IF(B211="","",IFERROR(INDEX(Ingredients!$W$5:$W$304,MATCH(B211,Ingredients!$B$5:$B$304,0)),"Add to Ingredients"))</f>
        <v>0</v>
      </c>
      <c r="Z211" s="31">
        <f>IF(B211="","",IF(V211="Yes","Bought",IF(I211=0,"In stock",IF(O211="","Check - no price","On the list"))))</f>
        <v>0</v>
      </c>
    </row>
    <row r="212" spans="1:26">
      <c r="A212" s="18">
        <f>ROW()-4</f>
        <v>0</v>
      </c>
      <c r="B212" s="17">
        <f>IFERROR(INDEX(Ingredients!$B$5:$B$304,MATCH(A212,Ingredients!$AL$5:$AL$304,0)),"")</f>
        <v>0</v>
      </c>
      <c r="C212" s="17">
        <f>IF(B212="","",IFERROR(INDEX(Ingredients!$C$5:$C$304,MATCH(B212,Ingredients!$B$5:$B$304,0)),"Add to Ingredients"))</f>
        <v>0</v>
      </c>
      <c r="D212" s="17">
        <f>IF(B212="","",IFERROR(INDEX(Ingredients!$D$5:$D$304,MATCH(B212,Ingredients!$B$5:$B$304,0)),"Add to Ingredients"))</f>
        <v>0</v>
      </c>
      <c r="E212" s="17">
        <f>IF(B212="","",IFERROR(INDEX(Ingredients!$E$5:$E$304,MATCH(B212,Ingredients!$B$5:$B$304,0)),"Add to Ingredients"))</f>
        <v>0</v>
      </c>
      <c r="F212" s="45">
        <f>IF(B212="","",IFERROR(INDEX(Ingredients!$AG$5:$AG$304,MATCH(B212,Ingredients!$B$5:$B$304,0)),""))</f>
        <v>0</v>
      </c>
      <c r="G212" s="17">
        <f>IF(B212="","",IFERROR(INDEX(Ingredients!$G$5:$G$304,MATCH(B212,Ingredients!$B$5:$B$304,0)),"Add to Ingredients"))</f>
        <v>0</v>
      </c>
      <c r="H212" s="45">
        <f>IF(B212="","",IFERROR(INDEX(Ingredients!$AD$5:$AD$304,MATCH(B212,Ingredients!$B$5:$B$304,0)),0))</f>
        <v>0</v>
      </c>
      <c r="I212" s="45">
        <f>IF(F212="","",MAX(0,F212-IF(H212="",0,H212)))</f>
        <v>0</v>
      </c>
      <c r="J212" s="45">
        <f>IF(B212="","",IFERROR(INDEX(Ingredients!$H$5:$H$304,MATCH(B212,Ingredients!$B$5:$B$304,0)),"Add to Ingredients"))</f>
        <v>0</v>
      </c>
      <c r="K212" s="25">
        <f>IF(B212="","",IFERROR(INDEX(Ingredients!$I$5:$I$304,MATCH(B212,Ingredients!$B$5:$B$304,0)),"Add to Ingredients"))</f>
        <v>0</v>
      </c>
      <c r="L212" s="25">
        <f>IF(B212="","",IFERROR(INDEX(Ingredients!$J$5:$J$304,MATCH(B212,Ingredients!$B$5:$B$304,0)),"Add to Ingredients"))</f>
        <v>0</v>
      </c>
      <c r="M212" s="45">
        <f>IF(OR(I212="",I212=0),"",IF(OR(J212="",NOT(ISNUMBER(J212)),J212=0),"",ROUNDUP(I212/J212,0)))</f>
        <v>0</v>
      </c>
      <c r="N212" s="45">
        <f>IF(I212="","",IF(RoundingRule="Exact quantity",I212,IF(M212="",I212,M212*J212)))</f>
        <v>0</v>
      </c>
      <c r="O212" s="25">
        <f>IF(N212="","",IF(RoundingRule="Exact quantity",IF(L212="","",N212*L212),IF(OR(M212="",K212=""),"",M212*K212)))</f>
        <v>0</v>
      </c>
      <c r="P212" s="25">
        <f>IF(B212="","",SUM(O$5:O212))</f>
        <v>0</v>
      </c>
      <c r="Q212" s="45">
        <f>IF(V212="Yes",0,IF(N212="",0,N212))</f>
        <v>0</v>
      </c>
      <c r="R212" s="18">
        <f>IF(OR(B212="",I212=0,I212=""),"",COUNTIFS($I$5:I212,"&gt;0"))</f>
        <v>0</v>
      </c>
      <c r="S212" s="18">
        <f>IF(B212="","",COUNTIFS('Recipe Ingredients'!$D$5:$D$1204,B212,'Recipe Ingredients'!$Y$5:$Y$1204,"&gt;0"))</f>
        <v>0</v>
      </c>
      <c r="T212" s="46">
        <f>IF(B212="","",IF(COUNTIFS('Recipe Ingredients'!$D$5:$D$1204,B212,'Recipe Ingredients'!$Y$5:$Y$1204,"&gt;0",'Recipe Ingredients'!$I$5:$I$1204,"No")=0,"Yes","No"))</f>
        <v>0</v>
      </c>
      <c r="U212" s="17">
        <f>IF(B212="","",IFERROR(INDEX(Ingredients!$W$5:$W$304,MATCH(B212,Ingredients!$B$5:$B$304,0)),"Add to Ingredients"))</f>
        <v>0</v>
      </c>
      <c r="Z212" s="31">
        <f>IF(B212="","",IF(V212="Yes","Bought",IF(I212=0,"In stock",IF(O212="","Check - no price","On the list"))))</f>
        <v>0</v>
      </c>
    </row>
    <row r="213" spans="1:26">
      <c r="A213" s="18">
        <f>ROW()-4</f>
        <v>0</v>
      </c>
      <c r="B213" s="17">
        <f>IFERROR(INDEX(Ingredients!$B$5:$B$304,MATCH(A213,Ingredients!$AL$5:$AL$304,0)),"")</f>
        <v>0</v>
      </c>
      <c r="C213" s="17">
        <f>IF(B213="","",IFERROR(INDEX(Ingredients!$C$5:$C$304,MATCH(B213,Ingredients!$B$5:$B$304,0)),"Add to Ingredients"))</f>
        <v>0</v>
      </c>
      <c r="D213" s="17">
        <f>IF(B213="","",IFERROR(INDEX(Ingredients!$D$5:$D$304,MATCH(B213,Ingredients!$B$5:$B$304,0)),"Add to Ingredients"))</f>
        <v>0</v>
      </c>
      <c r="E213" s="17">
        <f>IF(B213="","",IFERROR(INDEX(Ingredients!$E$5:$E$304,MATCH(B213,Ingredients!$B$5:$B$304,0)),"Add to Ingredients"))</f>
        <v>0</v>
      </c>
      <c r="F213" s="45">
        <f>IF(B213="","",IFERROR(INDEX(Ingredients!$AG$5:$AG$304,MATCH(B213,Ingredients!$B$5:$B$304,0)),""))</f>
        <v>0</v>
      </c>
      <c r="G213" s="17">
        <f>IF(B213="","",IFERROR(INDEX(Ingredients!$G$5:$G$304,MATCH(B213,Ingredients!$B$5:$B$304,0)),"Add to Ingredients"))</f>
        <v>0</v>
      </c>
      <c r="H213" s="45">
        <f>IF(B213="","",IFERROR(INDEX(Ingredients!$AD$5:$AD$304,MATCH(B213,Ingredients!$B$5:$B$304,0)),0))</f>
        <v>0</v>
      </c>
      <c r="I213" s="45">
        <f>IF(F213="","",MAX(0,F213-IF(H213="",0,H213)))</f>
        <v>0</v>
      </c>
      <c r="J213" s="45">
        <f>IF(B213="","",IFERROR(INDEX(Ingredients!$H$5:$H$304,MATCH(B213,Ingredients!$B$5:$B$304,0)),"Add to Ingredients"))</f>
        <v>0</v>
      </c>
      <c r="K213" s="25">
        <f>IF(B213="","",IFERROR(INDEX(Ingredients!$I$5:$I$304,MATCH(B213,Ingredients!$B$5:$B$304,0)),"Add to Ingredients"))</f>
        <v>0</v>
      </c>
      <c r="L213" s="25">
        <f>IF(B213="","",IFERROR(INDEX(Ingredients!$J$5:$J$304,MATCH(B213,Ingredients!$B$5:$B$304,0)),"Add to Ingredients"))</f>
        <v>0</v>
      </c>
      <c r="M213" s="45">
        <f>IF(OR(I213="",I213=0),"",IF(OR(J213="",NOT(ISNUMBER(J213)),J213=0),"",ROUNDUP(I213/J213,0)))</f>
        <v>0</v>
      </c>
      <c r="N213" s="45">
        <f>IF(I213="","",IF(RoundingRule="Exact quantity",I213,IF(M213="",I213,M213*J213)))</f>
        <v>0</v>
      </c>
      <c r="O213" s="25">
        <f>IF(N213="","",IF(RoundingRule="Exact quantity",IF(L213="","",N213*L213),IF(OR(M213="",K213=""),"",M213*K213)))</f>
        <v>0</v>
      </c>
      <c r="P213" s="25">
        <f>IF(B213="","",SUM(O$5:O213))</f>
        <v>0</v>
      </c>
      <c r="Q213" s="45">
        <f>IF(V213="Yes",0,IF(N213="",0,N213))</f>
        <v>0</v>
      </c>
      <c r="R213" s="18">
        <f>IF(OR(B213="",I213=0,I213=""),"",COUNTIFS($I$5:I213,"&gt;0"))</f>
        <v>0</v>
      </c>
      <c r="S213" s="18">
        <f>IF(B213="","",COUNTIFS('Recipe Ingredients'!$D$5:$D$1204,B213,'Recipe Ingredients'!$Y$5:$Y$1204,"&gt;0"))</f>
        <v>0</v>
      </c>
      <c r="T213" s="46">
        <f>IF(B213="","",IF(COUNTIFS('Recipe Ingredients'!$D$5:$D$1204,B213,'Recipe Ingredients'!$Y$5:$Y$1204,"&gt;0",'Recipe Ingredients'!$I$5:$I$1204,"No")=0,"Yes","No"))</f>
        <v>0</v>
      </c>
      <c r="U213" s="17">
        <f>IF(B213="","",IFERROR(INDEX(Ingredients!$W$5:$W$304,MATCH(B213,Ingredients!$B$5:$B$304,0)),"Add to Ingredients"))</f>
        <v>0</v>
      </c>
      <c r="Z213" s="31">
        <f>IF(B213="","",IF(V213="Yes","Bought",IF(I213=0,"In stock",IF(O213="","Check - no price","On the list"))))</f>
        <v>0</v>
      </c>
    </row>
    <row r="214" spans="1:26">
      <c r="A214" s="18">
        <f>ROW()-4</f>
        <v>0</v>
      </c>
      <c r="B214" s="17">
        <f>IFERROR(INDEX(Ingredients!$B$5:$B$304,MATCH(A214,Ingredients!$AL$5:$AL$304,0)),"")</f>
        <v>0</v>
      </c>
      <c r="C214" s="17">
        <f>IF(B214="","",IFERROR(INDEX(Ingredients!$C$5:$C$304,MATCH(B214,Ingredients!$B$5:$B$304,0)),"Add to Ingredients"))</f>
        <v>0</v>
      </c>
      <c r="D214" s="17">
        <f>IF(B214="","",IFERROR(INDEX(Ingredients!$D$5:$D$304,MATCH(B214,Ingredients!$B$5:$B$304,0)),"Add to Ingredients"))</f>
        <v>0</v>
      </c>
      <c r="E214" s="17">
        <f>IF(B214="","",IFERROR(INDEX(Ingredients!$E$5:$E$304,MATCH(B214,Ingredients!$B$5:$B$304,0)),"Add to Ingredients"))</f>
        <v>0</v>
      </c>
      <c r="F214" s="45">
        <f>IF(B214="","",IFERROR(INDEX(Ingredients!$AG$5:$AG$304,MATCH(B214,Ingredients!$B$5:$B$304,0)),""))</f>
        <v>0</v>
      </c>
      <c r="G214" s="17">
        <f>IF(B214="","",IFERROR(INDEX(Ingredients!$G$5:$G$304,MATCH(B214,Ingredients!$B$5:$B$304,0)),"Add to Ingredients"))</f>
        <v>0</v>
      </c>
      <c r="H214" s="45">
        <f>IF(B214="","",IFERROR(INDEX(Ingredients!$AD$5:$AD$304,MATCH(B214,Ingredients!$B$5:$B$304,0)),0))</f>
        <v>0</v>
      </c>
      <c r="I214" s="45">
        <f>IF(F214="","",MAX(0,F214-IF(H214="",0,H214)))</f>
        <v>0</v>
      </c>
      <c r="J214" s="45">
        <f>IF(B214="","",IFERROR(INDEX(Ingredients!$H$5:$H$304,MATCH(B214,Ingredients!$B$5:$B$304,0)),"Add to Ingredients"))</f>
        <v>0</v>
      </c>
      <c r="K214" s="25">
        <f>IF(B214="","",IFERROR(INDEX(Ingredients!$I$5:$I$304,MATCH(B214,Ingredients!$B$5:$B$304,0)),"Add to Ingredients"))</f>
        <v>0</v>
      </c>
      <c r="L214" s="25">
        <f>IF(B214="","",IFERROR(INDEX(Ingredients!$J$5:$J$304,MATCH(B214,Ingredients!$B$5:$B$304,0)),"Add to Ingredients"))</f>
        <v>0</v>
      </c>
      <c r="M214" s="45">
        <f>IF(OR(I214="",I214=0),"",IF(OR(J214="",NOT(ISNUMBER(J214)),J214=0),"",ROUNDUP(I214/J214,0)))</f>
        <v>0</v>
      </c>
      <c r="N214" s="45">
        <f>IF(I214="","",IF(RoundingRule="Exact quantity",I214,IF(M214="",I214,M214*J214)))</f>
        <v>0</v>
      </c>
      <c r="O214" s="25">
        <f>IF(N214="","",IF(RoundingRule="Exact quantity",IF(L214="","",N214*L214),IF(OR(M214="",K214=""),"",M214*K214)))</f>
        <v>0</v>
      </c>
      <c r="P214" s="25">
        <f>IF(B214="","",SUM(O$5:O214))</f>
        <v>0</v>
      </c>
      <c r="Q214" s="45">
        <f>IF(V214="Yes",0,IF(N214="",0,N214))</f>
        <v>0</v>
      </c>
      <c r="R214" s="18">
        <f>IF(OR(B214="",I214=0,I214=""),"",COUNTIFS($I$5:I214,"&gt;0"))</f>
        <v>0</v>
      </c>
      <c r="S214" s="18">
        <f>IF(B214="","",COUNTIFS('Recipe Ingredients'!$D$5:$D$1204,B214,'Recipe Ingredients'!$Y$5:$Y$1204,"&gt;0"))</f>
        <v>0</v>
      </c>
      <c r="T214" s="46">
        <f>IF(B214="","",IF(COUNTIFS('Recipe Ingredients'!$D$5:$D$1204,B214,'Recipe Ingredients'!$Y$5:$Y$1204,"&gt;0",'Recipe Ingredients'!$I$5:$I$1204,"No")=0,"Yes","No"))</f>
        <v>0</v>
      </c>
      <c r="U214" s="17">
        <f>IF(B214="","",IFERROR(INDEX(Ingredients!$W$5:$W$304,MATCH(B214,Ingredients!$B$5:$B$304,0)),"Add to Ingredients"))</f>
        <v>0</v>
      </c>
      <c r="Z214" s="31">
        <f>IF(B214="","",IF(V214="Yes","Bought",IF(I214=0,"In stock",IF(O214="","Check - no price","On the list"))))</f>
        <v>0</v>
      </c>
    </row>
    <row r="215" spans="1:26">
      <c r="A215" s="18">
        <f>ROW()-4</f>
        <v>0</v>
      </c>
      <c r="B215" s="17">
        <f>IFERROR(INDEX(Ingredients!$B$5:$B$304,MATCH(A215,Ingredients!$AL$5:$AL$304,0)),"")</f>
        <v>0</v>
      </c>
      <c r="C215" s="17">
        <f>IF(B215="","",IFERROR(INDEX(Ingredients!$C$5:$C$304,MATCH(B215,Ingredients!$B$5:$B$304,0)),"Add to Ingredients"))</f>
        <v>0</v>
      </c>
      <c r="D215" s="17">
        <f>IF(B215="","",IFERROR(INDEX(Ingredients!$D$5:$D$304,MATCH(B215,Ingredients!$B$5:$B$304,0)),"Add to Ingredients"))</f>
        <v>0</v>
      </c>
      <c r="E215" s="17">
        <f>IF(B215="","",IFERROR(INDEX(Ingredients!$E$5:$E$304,MATCH(B215,Ingredients!$B$5:$B$304,0)),"Add to Ingredients"))</f>
        <v>0</v>
      </c>
      <c r="F215" s="45">
        <f>IF(B215="","",IFERROR(INDEX(Ingredients!$AG$5:$AG$304,MATCH(B215,Ingredients!$B$5:$B$304,0)),""))</f>
        <v>0</v>
      </c>
      <c r="G215" s="17">
        <f>IF(B215="","",IFERROR(INDEX(Ingredients!$G$5:$G$304,MATCH(B215,Ingredients!$B$5:$B$304,0)),"Add to Ingredients"))</f>
        <v>0</v>
      </c>
      <c r="H215" s="45">
        <f>IF(B215="","",IFERROR(INDEX(Ingredients!$AD$5:$AD$304,MATCH(B215,Ingredients!$B$5:$B$304,0)),0))</f>
        <v>0</v>
      </c>
      <c r="I215" s="45">
        <f>IF(F215="","",MAX(0,F215-IF(H215="",0,H215)))</f>
        <v>0</v>
      </c>
      <c r="J215" s="45">
        <f>IF(B215="","",IFERROR(INDEX(Ingredients!$H$5:$H$304,MATCH(B215,Ingredients!$B$5:$B$304,0)),"Add to Ingredients"))</f>
        <v>0</v>
      </c>
      <c r="K215" s="25">
        <f>IF(B215="","",IFERROR(INDEX(Ingredients!$I$5:$I$304,MATCH(B215,Ingredients!$B$5:$B$304,0)),"Add to Ingredients"))</f>
        <v>0</v>
      </c>
      <c r="L215" s="25">
        <f>IF(B215="","",IFERROR(INDEX(Ingredients!$J$5:$J$304,MATCH(B215,Ingredients!$B$5:$B$304,0)),"Add to Ingredients"))</f>
        <v>0</v>
      </c>
      <c r="M215" s="45">
        <f>IF(OR(I215="",I215=0),"",IF(OR(J215="",NOT(ISNUMBER(J215)),J215=0),"",ROUNDUP(I215/J215,0)))</f>
        <v>0</v>
      </c>
      <c r="N215" s="45">
        <f>IF(I215="","",IF(RoundingRule="Exact quantity",I215,IF(M215="",I215,M215*J215)))</f>
        <v>0</v>
      </c>
      <c r="O215" s="25">
        <f>IF(N215="","",IF(RoundingRule="Exact quantity",IF(L215="","",N215*L215),IF(OR(M215="",K215=""),"",M215*K215)))</f>
        <v>0</v>
      </c>
      <c r="P215" s="25">
        <f>IF(B215="","",SUM(O$5:O215))</f>
        <v>0</v>
      </c>
      <c r="Q215" s="45">
        <f>IF(V215="Yes",0,IF(N215="",0,N215))</f>
        <v>0</v>
      </c>
      <c r="R215" s="18">
        <f>IF(OR(B215="",I215=0,I215=""),"",COUNTIFS($I$5:I215,"&gt;0"))</f>
        <v>0</v>
      </c>
      <c r="S215" s="18">
        <f>IF(B215="","",COUNTIFS('Recipe Ingredients'!$D$5:$D$1204,B215,'Recipe Ingredients'!$Y$5:$Y$1204,"&gt;0"))</f>
        <v>0</v>
      </c>
      <c r="T215" s="46">
        <f>IF(B215="","",IF(COUNTIFS('Recipe Ingredients'!$D$5:$D$1204,B215,'Recipe Ingredients'!$Y$5:$Y$1204,"&gt;0",'Recipe Ingredients'!$I$5:$I$1204,"No")=0,"Yes","No"))</f>
        <v>0</v>
      </c>
      <c r="U215" s="17">
        <f>IF(B215="","",IFERROR(INDEX(Ingredients!$W$5:$W$304,MATCH(B215,Ingredients!$B$5:$B$304,0)),"Add to Ingredients"))</f>
        <v>0</v>
      </c>
      <c r="Z215" s="31">
        <f>IF(B215="","",IF(V215="Yes","Bought",IF(I215=0,"In stock",IF(O215="","Check - no price","On the list"))))</f>
        <v>0</v>
      </c>
    </row>
    <row r="216" spans="1:26">
      <c r="A216" s="18">
        <f>ROW()-4</f>
        <v>0</v>
      </c>
      <c r="B216" s="17">
        <f>IFERROR(INDEX(Ingredients!$B$5:$B$304,MATCH(A216,Ingredients!$AL$5:$AL$304,0)),"")</f>
        <v>0</v>
      </c>
      <c r="C216" s="17">
        <f>IF(B216="","",IFERROR(INDEX(Ingredients!$C$5:$C$304,MATCH(B216,Ingredients!$B$5:$B$304,0)),"Add to Ingredients"))</f>
        <v>0</v>
      </c>
      <c r="D216" s="17">
        <f>IF(B216="","",IFERROR(INDEX(Ingredients!$D$5:$D$304,MATCH(B216,Ingredients!$B$5:$B$304,0)),"Add to Ingredients"))</f>
        <v>0</v>
      </c>
      <c r="E216" s="17">
        <f>IF(B216="","",IFERROR(INDEX(Ingredients!$E$5:$E$304,MATCH(B216,Ingredients!$B$5:$B$304,0)),"Add to Ingredients"))</f>
        <v>0</v>
      </c>
      <c r="F216" s="45">
        <f>IF(B216="","",IFERROR(INDEX(Ingredients!$AG$5:$AG$304,MATCH(B216,Ingredients!$B$5:$B$304,0)),""))</f>
        <v>0</v>
      </c>
      <c r="G216" s="17">
        <f>IF(B216="","",IFERROR(INDEX(Ingredients!$G$5:$G$304,MATCH(B216,Ingredients!$B$5:$B$304,0)),"Add to Ingredients"))</f>
        <v>0</v>
      </c>
      <c r="H216" s="45">
        <f>IF(B216="","",IFERROR(INDEX(Ingredients!$AD$5:$AD$304,MATCH(B216,Ingredients!$B$5:$B$304,0)),0))</f>
        <v>0</v>
      </c>
      <c r="I216" s="45">
        <f>IF(F216="","",MAX(0,F216-IF(H216="",0,H216)))</f>
        <v>0</v>
      </c>
      <c r="J216" s="45">
        <f>IF(B216="","",IFERROR(INDEX(Ingredients!$H$5:$H$304,MATCH(B216,Ingredients!$B$5:$B$304,0)),"Add to Ingredients"))</f>
        <v>0</v>
      </c>
      <c r="K216" s="25">
        <f>IF(B216="","",IFERROR(INDEX(Ingredients!$I$5:$I$304,MATCH(B216,Ingredients!$B$5:$B$304,0)),"Add to Ingredients"))</f>
        <v>0</v>
      </c>
      <c r="L216" s="25">
        <f>IF(B216="","",IFERROR(INDEX(Ingredients!$J$5:$J$304,MATCH(B216,Ingredients!$B$5:$B$304,0)),"Add to Ingredients"))</f>
        <v>0</v>
      </c>
      <c r="M216" s="45">
        <f>IF(OR(I216="",I216=0),"",IF(OR(J216="",NOT(ISNUMBER(J216)),J216=0),"",ROUNDUP(I216/J216,0)))</f>
        <v>0</v>
      </c>
      <c r="N216" s="45">
        <f>IF(I216="","",IF(RoundingRule="Exact quantity",I216,IF(M216="",I216,M216*J216)))</f>
        <v>0</v>
      </c>
      <c r="O216" s="25">
        <f>IF(N216="","",IF(RoundingRule="Exact quantity",IF(L216="","",N216*L216),IF(OR(M216="",K216=""),"",M216*K216)))</f>
        <v>0</v>
      </c>
      <c r="P216" s="25">
        <f>IF(B216="","",SUM(O$5:O216))</f>
        <v>0</v>
      </c>
      <c r="Q216" s="45">
        <f>IF(V216="Yes",0,IF(N216="",0,N216))</f>
        <v>0</v>
      </c>
      <c r="R216" s="18">
        <f>IF(OR(B216="",I216=0,I216=""),"",COUNTIFS($I$5:I216,"&gt;0"))</f>
        <v>0</v>
      </c>
      <c r="S216" s="18">
        <f>IF(B216="","",COUNTIFS('Recipe Ingredients'!$D$5:$D$1204,B216,'Recipe Ingredients'!$Y$5:$Y$1204,"&gt;0"))</f>
        <v>0</v>
      </c>
      <c r="T216" s="46">
        <f>IF(B216="","",IF(COUNTIFS('Recipe Ingredients'!$D$5:$D$1204,B216,'Recipe Ingredients'!$Y$5:$Y$1204,"&gt;0",'Recipe Ingredients'!$I$5:$I$1204,"No")=0,"Yes","No"))</f>
        <v>0</v>
      </c>
      <c r="U216" s="17">
        <f>IF(B216="","",IFERROR(INDEX(Ingredients!$W$5:$W$304,MATCH(B216,Ingredients!$B$5:$B$304,0)),"Add to Ingredients"))</f>
        <v>0</v>
      </c>
      <c r="Z216" s="31">
        <f>IF(B216="","",IF(V216="Yes","Bought",IF(I216=0,"In stock",IF(O216="","Check - no price","On the list"))))</f>
        <v>0</v>
      </c>
    </row>
    <row r="217" spans="1:26">
      <c r="A217" s="18">
        <f>ROW()-4</f>
        <v>0</v>
      </c>
      <c r="B217" s="17">
        <f>IFERROR(INDEX(Ingredients!$B$5:$B$304,MATCH(A217,Ingredients!$AL$5:$AL$304,0)),"")</f>
        <v>0</v>
      </c>
      <c r="C217" s="17">
        <f>IF(B217="","",IFERROR(INDEX(Ingredients!$C$5:$C$304,MATCH(B217,Ingredients!$B$5:$B$304,0)),"Add to Ingredients"))</f>
        <v>0</v>
      </c>
      <c r="D217" s="17">
        <f>IF(B217="","",IFERROR(INDEX(Ingredients!$D$5:$D$304,MATCH(B217,Ingredients!$B$5:$B$304,0)),"Add to Ingredients"))</f>
        <v>0</v>
      </c>
      <c r="E217" s="17">
        <f>IF(B217="","",IFERROR(INDEX(Ingredients!$E$5:$E$304,MATCH(B217,Ingredients!$B$5:$B$304,0)),"Add to Ingredients"))</f>
        <v>0</v>
      </c>
      <c r="F217" s="45">
        <f>IF(B217="","",IFERROR(INDEX(Ingredients!$AG$5:$AG$304,MATCH(B217,Ingredients!$B$5:$B$304,0)),""))</f>
        <v>0</v>
      </c>
      <c r="G217" s="17">
        <f>IF(B217="","",IFERROR(INDEX(Ingredients!$G$5:$G$304,MATCH(B217,Ingredients!$B$5:$B$304,0)),"Add to Ingredients"))</f>
        <v>0</v>
      </c>
      <c r="H217" s="45">
        <f>IF(B217="","",IFERROR(INDEX(Ingredients!$AD$5:$AD$304,MATCH(B217,Ingredients!$B$5:$B$304,0)),0))</f>
        <v>0</v>
      </c>
      <c r="I217" s="45">
        <f>IF(F217="","",MAX(0,F217-IF(H217="",0,H217)))</f>
        <v>0</v>
      </c>
      <c r="J217" s="45">
        <f>IF(B217="","",IFERROR(INDEX(Ingredients!$H$5:$H$304,MATCH(B217,Ingredients!$B$5:$B$304,0)),"Add to Ingredients"))</f>
        <v>0</v>
      </c>
      <c r="K217" s="25">
        <f>IF(B217="","",IFERROR(INDEX(Ingredients!$I$5:$I$304,MATCH(B217,Ingredients!$B$5:$B$304,0)),"Add to Ingredients"))</f>
        <v>0</v>
      </c>
      <c r="L217" s="25">
        <f>IF(B217="","",IFERROR(INDEX(Ingredients!$J$5:$J$304,MATCH(B217,Ingredients!$B$5:$B$304,0)),"Add to Ingredients"))</f>
        <v>0</v>
      </c>
      <c r="M217" s="45">
        <f>IF(OR(I217="",I217=0),"",IF(OR(J217="",NOT(ISNUMBER(J217)),J217=0),"",ROUNDUP(I217/J217,0)))</f>
        <v>0</v>
      </c>
      <c r="N217" s="45">
        <f>IF(I217="","",IF(RoundingRule="Exact quantity",I217,IF(M217="",I217,M217*J217)))</f>
        <v>0</v>
      </c>
      <c r="O217" s="25">
        <f>IF(N217="","",IF(RoundingRule="Exact quantity",IF(L217="","",N217*L217),IF(OR(M217="",K217=""),"",M217*K217)))</f>
        <v>0</v>
      </c>
      <c r="P217" s="25">
        <f>IF(B217="","",SUM(O$5:O217))</f>
        <v>0</v>
      </c>
      <c r="Q217" s="45">
        <f>IF(V217="Yes",0,IF(N217="",0,N217))</f>
        <v>0</v>
      </c>
      <c r="R217" s="18">
        <f>IF(OR(B217="",I217=0,I217=""),"",COUNTIFS($I$5:I217,"&gt;0"))</f>
        <v>0</v>
      </c>
      <c r="S217" s="18">
        <f>IF(B217="","",COUNTIFS('Recipe Ingredients'!$D$5:$D$1204,B217,'Recipe Ingredients'!$Y$5:$Y$1204,"&gt;0"))</f>
        <v>0</v>
      </c>
      <c r="T217" s="46">
        <f>IF(B217="","",IF(COUNTIFS('Recipe Ingredients'!$D$5:$D$1204,B217,'Recipe Ingredients'!$Y$5:$Y$1204,"&gt;0",'Recipe Ingredients'!$I$5:$I$1204,"No")=0,"Yes","No"))</f>
        <v>0</v>
      </c>
      <c r="U217" s="17">
        <f>IF(B217="","",IFERROR(INDEX(Ingredients!$W$5:$W$304,MATCH(B217,Ingredients!$B$5:$B$304,0)),"Add to Ingredients"))</f>
        <v>0</v>
      </c>
      <c r="Z217" s="31">
        <f>IF(B217="","",IF(V217="Yes","Bought",IF(I217=0,"In stock",IF(O217="","Check - no price","On the list"))))</f>
        <v>0</v>
      </c>
    </row>
    <row r="218" spans="1:26">
      <c r="A218" s="18">
        <f>ROW()-4</f>
        <v>0</v>
      </c>
      <c r="B218" s="17">
        <f>IFERROR(INDEX(Ingredients!$B$5:$B$304,MATCH(A218,Ingredients!$AL$5:$AL$304,0)),"")</f>
        <v>0</v>
      </c>
      <c r="C218" s="17">
        <f>IF(B218="","",IFERROR(INDEX(Ingredients!$C$5:$C$304,MATCH(B218,Ingredients!$B$5:$B$304,0)),"Add to Ingredients"))</f>
        <v>0</v>
      </c>
      <c r="D218" s="17">
        <f>IF(B218="","",IFERROR(INDEX(Ingredients!$D$5:$D$304,MATCH(B218,Ingredients!$B$5:$B$304,0)),"Add to Ingredients"))</f>
        <v>0</v>
      </c>
      <c r="E218" s="17">
        <f>IF(B218="","",IFERROR(INDEX(Ingredients!$E$5:$E$304,MATCH(B218,Ingredients!$B$5:$B$304,0)),"Add to Ingredients"))</f>
        <v>0</v>
      </c>
      <c r="F218" s="45">
        <f>IF(B218="","",IFERROR(INDEX(Ingredients!$AG$5:$AG$304,MATCH(B218,Ingredients!$B$5:$B$304,0)),""))</f>
        <v>0</v>
      </c>
      <c r="G218" s="17">
        <f>IF(B218="","",IFERROR(INDEX(Ingredients!$G$5:$G$304,MATCH(B218,Ingredients!$B$5:$B$304,0)),"Add to Ingredients"))</f>
        <v>0</v>
      </c>
      <c r="H218" s="45">
        <f>IF(B218="","",IFERROR(INDEX(Ingredients!$AD$5:$AD$304,MATCH(B218,Ingredients!$B$5:$B$304,0)),0))</f>
        <v>0</v>
      </c>
      <c r="I218" s="45">
        <f>IF(F218="","",MAX(0,F218-IF(H218="",0,H218)))</f>
        <v>0</v>
      </c>
      <c r="J218" s="45">
        <f>IF(B218="","",IFERROR(INDEX(Ingredients!$H$5:$H$304,MATCH(B218,Ingredients!$B$5:$B$304,0)),"Add to Ingredients"))</f>
        <v>0</v>
      </c>
      <c r="K218" s="25">
        <f>IF(B218="","",IFERROR(INDEX(Ingredients!$I$5:$I$304,MATCH(B218,Ingredients!$B$5:$B$304,0)),"Add to Ingredients"))</f>
        <v>0</v>
      </c>
      <c r="L218" s="25">
        <f>IF(B218="","",IFERROR(INDEX(Ingredients!$J$5:$J$304,MATCH(B218,Ingredients!$B$5:$B$304,0)),"Add to Ingredients"))</f>
        <v>0</v>
      </c>
      <c r="M218" s="45">
        <f>IF(OR(I218="",I218=0),"",IF(OR(J218="",NOT(ISNUMBER(J218)),J218=0),"",ROUNDUP(I218/J218,0)))</f>
        <v>0</v>
      </c>
      <c r="N218" s="45">
        <f>IF(I218="","",IF(RoundingRule="Exact quantity",I218,IF(M218="",I218,M218*J218)))</f>
        <v>0</v>
      </c>
      <c r="O218" s="25">
        <f>IF(N218="","",IF(RoundingRule="Exact quantity",IF(L218="","",N218*L218),IF(OR(M218="",K218=""),"",M218*K218)))</f>
        <v>0</v>
      </c>
      <c r="P218" s="25">
        <f>IF(B218="","",SUM(O$5:O218))</f>
        <v>0</v>
      </c>
      <c r="Q218" s="45">
        <f>IF(V218="Yes",0,IF(N218="",0,N218))</f>
        <v>0</v>
      </c>
      <c r="R218" s="18">
        <f>IF(OR(B218="",I218=0,I218=""),"",COUNTIFS($I$5:I218,"&gt;0"))</f>
        <v>0</v>
      </c>
      <c r="S218" s="18">
        <f>IF(B218="","",COUNTIFS('Recipe Ingredients'!$D$5:$D$1204,B218,'Recipe Ingredients'!$Y$5:$Y$1204,"&gt;0"))</f>
        <v>0</v>
      </c>
      <c r="T218" s="46">
        <f>IF(B218="","",IF(COUNTIFS('Recipe Ingredients'!$D$5:$D$1204,B218,'Recipe Ingredients'!$Y$5:$Y$1204,"&gt;0",'Recipe Ingredients'!$I$5:$I$1204,"No")=0,"Yes","No"))</f>
        <v>0</v>
      </c>
      <c r="U218" s="17">
        <f>IF(B218="","",IFERROR(INDEX(Ingredients!$W$5:$W$304,MATCH(B218,Ingredients!$B$5:$B$304,0)),"Add to Ingredients"))</f>
        <v>0</v>
      </c>
      <c r="Z218" s="31">
        <f>IF(B218="","",IF(V218="Yes","Bought",IF(I218=0,"In stock",IF(O218="","Check - no price","On the list"))))</f>
        <v>0</v>
      </c>
    </row>
    <row r="219" spans="1:26">
      <c r="A219" s="18">
        <f>ROW()-4</f>
        <v>0</v>
      </c>
      <c r="B219" s="17">
        <f>IFERROR(INDEX(Ingredients!$B$5:$B$304,MATCH(A219,Ingredients!$AL$5:$AL$304,0)),"")</f>
        <v>0</v>
      </c>
      <c r="C219" s="17">
        <f>IF(B219="","",IFERROR(INDEX(Ingredients!$C$5:$C$304,MATCH(B219,Ingredients!$B$5:$B$304,0)),"Add to Ingredients"))</f>
        <v>0</v>
      </c>
      <c r="D219" s="17">
        <f>IF(B219="","",IFERROR(INDEX(Ingredients!$D$5:$D$304,MATCH(B219,Ingredients!$B$5:$B$304,0)),"Add to Ingredients"))</f>
        <v>0</v>
      </c>
      <c r="E219" s="17">
        <f>IF(B219="","",IFERROR(INDEX(Ingredients!$E$5:$E$304,MATCH(B219,Ingredients!$B$5:$B$304,0)),"Add to Ingredients"))</f>
        <v>0</v>
      </c>
      <c r="F219" s="45">
        <f>IF(B219="","",IFERROR(INDEX(Ingredients!$AG$5:$AG$304,MATCH(B219,Ingredients!$B$5:$B$304,0)),""))</f>
        <v>0</v>
      </c>
      <c r="G219" s="17">
        <f>IF(B219="","",IFERROR(INDEX(Ingredients!$G$5:$G$304,MATCH(B219,Ingredients!$B$5:$B$304,0)),"Add to Ingredients"))</f>
        <v>0</v>
      </c>
      <c r="H219" s="45">
        <f>IF(B219="","",IFERROR(INDEX(Ingredients!$AD$5:$AD$304,MATCH(B219,Ingredients!$B$5:$B$304,0)),0))</f>
        <v>0</v>
      </c>
      <c r="I219" s="45">
        <f>IF(F219="","",MAX(0,F219-IF(H219="",0,H219)))</f>
        <v>0</v>
      </c>
      <c r="J219" s="45">
        <f>IF(B219="","",IFERROR(INDEX(Ingredients!$H$5:$H$304,MATCH(B219,Ingredients!$B$5:$B$304,0)),"Add to Ingredients"))</f>
        <v>0</v>
      </c>
      <c r="K219" s="25">
        <f>IF(B219="","",IFERROR(INDEX(Ingredients!$I$5:$I$304,MATCH(B219,Ingredients!$B$5:$B$304,0)),"Add to Ingredients"))</f>
        <v>0</v>
      </c>
      <c r="L219" s="25">
        <f>IF(B219="","",IFERROR(INDEX(Ingredients!$J$5:$J$304,MATCH(B219,Ingredients!$B$5:$B$304,0)),"Add to Ingredients"))</f>
        <v>0</v>
      </c>
      <c r="M219" s="45">
        <f>IF(OR(I219="",I219=0),"",IF(OR(J219="",NOT(ISNUMBER(J219)),J219=0),"",ROUNDUP(I219/J219,0)))</f>
        <v>0</v>
      </c>
      <c r="N219" s="45">
        <f>IF(I219="","",IF(RoundingRule="Exact quantity",I219,IF(M219="",I219,M219*J219)))</f>
        <v>0</v>
      </c>
      <c r="O219" s="25">
        <f>IF(N219="","",IF(RoundingRule="Exact quantity",IF(L219="","",N219*L219),IF(OR(M219="",K219=""),"",M219*K219)))</f>
        <v>0</v>
      </c>
      <c r="P219" s="25">
        <f>IF(B219="","",SUM(O$5:O219))</f>
        <v>0</v>
      </c>
      <c r="Q219" s="45">
        <f>IF(V219="Yes",0,IF(N219="",0,N219))</f>
        <v>0</v>
      </c>
      <c r="R219" s="18">
        <f>IF(OR(B219="",I219=0,I219=""),"",COUNTIFS($I$5:I219,"&gt;0"))</f>
        <v>0</v>
      </c>
      <c r="S219" s="18">
        <f>IF(B219="","",COUNTIFS('Recipe Ingredients'!$D$5:$D$1204,B219,'Recipe Ingredients'!$Y$5:$Y$1204,"&gt;0"))</f>
        <v>0</v>
      </c>
      <c r="T219" s="46">
        <f>IF(B219="","",IF(COUNTIFS('Recipe Ingredients'!$D$5:$D$1204,B219,'Recipe Ingredients'!$Y$5:$Y$1204,"&gt;0",'Recipe Ingredients'!$I$5:$I$1204,"No")=0,"Yes","No"))</f>
        <v>0</v>
      </c>
      <c r="U219" s="17">
        <f>IF(B219="","",IFERROR(INDEX(Ingredients!$W$5:$W$304,MATCH(B219,Ingredients!$B$5:$B$304,0)),"Add to Ingredients"))</f>
        <v>0</v>
      </c>
      <c r="Z219" s="31">
        <f>IF(B219="","",IF(V219="Yes","Bought",IF(I219=0,"In stock",IF(O219="","Check - no price","On the list"))))</f>
        <v>0</v>
      </c>
    </row>
    <row r="220" spans="1:26">
      <c r="A220" s="18">
        <f>ROW()-4</f>
        <v>0</v>
      </c>
      <c r="B220" s="17">
        <f>IFERROR(INDEX(Ingredients!$B$5:$B$304,MATCH(A220,Ingredients!$AL$5:$AL$304,0)),"")</f>
        <v>0</v>
      </c>
      <c r="C220" s="17">
        <f>IF(B220="","",IFERROR(INDEX(Ingredients!$C$5:$C$304,MATCH(B220,Ingredients!$B$5:$B$304,0)),"Add to Ingredients"))</f>
        <v>0</v>
      </c>
      <c r="D220" s="17">
        <f>IF(B220="","",IFERROR(INDEX(Ingredients!$D$5:$D$304,MATCH(B220,Ingredients!$B$5:$B$304,0)),"Add to Ingredients"))</f>
        <v>0</v>
      </c>
      <c r="E220" s="17">
        <f>IF(B220="","",IFERROR(INDEX(Ingredients!$E$5:$E$304,MATCH(B220,Ingredients!$B$5:$B$304,0)),"Add to Ingredients"))</f>
        <v>0</v>
      </c>
      <c r="F220" s="45">
        <f>IF(B220="","",IFERROR(INDEX(Ingredients!$AG$5:$AG$304,MATCH(B220,Ingredients!$B$5:$B$304,0)),""))</f>
        <v>0</v>
      </c>
      <c r="G220" s="17">
        <f>IF(B220="","",IFERROR(INDEX(Ingredients!$G$5:$G$304,MATCH(B220,Ingredients!$B$5:$B$304,0)),"Add to Ingredients"))</f>
        <v>0</v>
      </c>
      <c r="H220" s="45">
        <f>IF(B220="","",IFERROR(INDEX(Ingredients!$AD$5:$AD$304,MATCH(B220,Ingredients!$B$5:$B$304,0)),0))</f>
        <v>0</v>
      </c>
      <c r="I220" s="45">
        <f>IF(F220="","",MAX(0,F220-IF(H220="",0,H220)))</f>
        <v>0</v>
      </c>
      <c r="J220" s="45">
        <f>IF(B220="","",IFERROR(INDEX(Ingredients!$H$5:$H$304,MATCH(B220,Ingredients!$B$5:$B$304,0)),"Add to Ingredients"))</f>
        <v>0</v>
      </c>
      <c r="K220" s="25">
        <f>IF(B220="","",IFERROR(INDEX(Ingredients!$I$5:$I$304,MATCH(B220,Ingredients!$B$5:$B$304,0)),"Add to Ingredients"))</f>
        <v>0</v>
      </c>
      <c r="L220" s="25">
        <f>IF(B220="","",IFERROR(INDEX(Ingredients!$J$5:$J$304,MATCH(B220,Ingredients!$B$5:$B$304,0)),"Add to Ingredients"))</f>
        <v>0</v>
      </c>
      <c r="M220" s="45">
        <f>IF(OR(I220="",I220=0),"",IF(OR(J220="",NOT(ISNUMBER(J220)),J220=0),"",ROUNDUP(I220/J220,0)))</f>
        <v>0</v>
      </c>
      <c r="N220" s="45">
        <f>IF(I220="","",IF(RoundingRule="Exact quantity",I220,IF(M220="",I220,M220*J220)))</f>
        <v>0</v>
      </c>
      <c r="O220" s="25">
        <f>IF(N220="","",IF(RoundingRule="Exact quantity",IF(L220="","",N220*L220),IF(OR(M220="",K220=""),"",M220*K220)))</f>
        <v>0</v>
      </c>
      <c r="P220" s="25">
        <f>IF(B220="","",SUM(O$5:O220))</f>
        <v>0</v>
      </c>
      <c r="Q220" s="45">
        <f>IF(V220="Yes",0,IF(N220="",0,N220))</f>
        <v>0</v>
      </c>
      <c r="R220" s="18">
        <f>IF(OR(B220="",I220=0,I220=""),"",COUNTIFS($I$5:I220,"&gt;0"))</f>
        <v>0</v>
      </c>
      <c r="S220" s="18">
        <f>IF(B220="","",COUNTIFS('Recipe Ingredients'!$D$5:$D$1204,B220,'Recipe Ingredients'!$Y$5:$Y$1204,"&gt;0"))</f>
        <v>0</v>
      </c>
      <c r="T220" s="46">
        <f>IF(B220="","",IF(COUNTIFS('Recipe Ingredients'!$D$5:$D$1204,B220,'Recipe Ingredients'!$Y$5:$Y$1204,"&gt;0",'Recipe Ingredients'!$I$5:$I$1204,"No")=0,"Yes","No"))</f>
        <v>0</v>
      </c>
      <c r="U220" s="17">
        <f>IF(B220="","",IFERROR(INDEX(Ingredients!$W$5:$W$304,MATCH(B220,Ingredients!$B$5:$B$304,0)),"Add to Ingredients"))</f>
        <v>0</v>
      </c>
      <c r="Z220" s="31">
        <f>IF(B220="","",IF(V220="Yes","Bought",IF(I220=0,"In stock",IF(O220="","Check - no price","On the list"))))</f>
        <v>0</v>
      </c>
    </row>
    <row r="221" spans="1:26">
      <c r="A221" s="18">
        <f>ROW()-4</f>
        <v>0</v>
      </c>
      <c r="B221" s="17">
        <f>IFERROR(INDEX(Ingredients!$B$5:$B$304,MATCH(A221,Ingredients!$AL$5:$AL$304,0)),"")</f>
        <v>0</v>
      </c>
      <c r="C221" s="17">
        <f>IF(B221="","",IFERROR(INDEX(Ingredients!$C$5:$C$304,MATCH(B221,Ingredients!$B$5:$B$304,0)),"Add to Ingredients"))</f>
        <v>0</v>
      </c>
      <c r="D221" s="17">
        <f>IF(B221="","",IFERROR(INDEX(Ingredients!$D$5:$D$304,MATCH(B221,Ingredients!$B$5:$B$304,0)),"Add to Ingredients"))</f>
        <v>0</v>
      </c>
      <c r="E221" s="17">
        <f>IF(B221="","",IFERROR(INDEX(Ingredients!$E$5:$E$304,MATCH(B221,Ingredients!$B$5:$B$304,0)),"Add to Ingredients"))</f>
        <v>0</v>
      </c>
      <c r="F221" s="45">
        <f>IF(B221="","",IFERROR(INDEX(Ingredients!$AG$5:$AG$304,MATCH(B221,Ingredients!$B$5:$B$304,0)),""))</f>
        <v>0</v>
      </c>
      <c r="G221" s="17">
        <f>IF(B221="","",IFERROR(INDEX(Ingredients!$G$5:$G$304,MATCH(B221,Ingredients!$B$5:$B$304,0)),"Add to Ingredients"))</f>
        <v>0</v>
      </c>
      <c r="H221" s="45">
        <f>IF(B221="","",IFERROR(INDEX(Ingredients!$AD$5:$AD$304,MATCH(B221,Ingredients!$B$5:$B$304,0)),0))</f>
        <v>0</v>
      </c>
      <c r="I221" s="45">
        <f>IF(F221="","",MAX(0,F221-IF(H221="",0,H221)))</f>
        <v>0</v>
      </c>
      <c r="J221" s="45">
        <f>IF(B221="","",IFERROR(INDEX(Ingredients!$H$5:$H$304,MATCH(B221,Ingredients!$B$5:$B$304,0)),"Add to Ingredients"))</f>
        <v>0</v>
      </c>
      <c r="K221" s="25">
        <f>IF(B221="","",IFERROR(INDEX(Ingredients!$I$5:$I$304,MATCH(B221,Ingredients!$B$5:$B$304,0)),"Add to Ingredients"))</f>
        <v>0</v>
      </c>
      <c r="L221" s="25">
        <f>IF(B221="","",IFERROR(INDEX(Ingredients!$J$5:$J$304,MATCH(B221,Ingredients!$B$5:$B$304,0)),"Add to Ingredients"))</f>
        <v>0</v>
      </c>
      <c r="M221" s="45">
        <f>IF(OR(I221="",I221=0),"",IF(OR(J221="",NOT(ISNUMBER(J221)),J221=0),"",ROUNDUP(I221/J221,0)))</f>
        <v>0</v>
      </c>
      <c r="N221" s="45">
        <f>IF(I221="","",IF(RoundingRule="Exact quantity",I221,IF(M221="",I221,M221*J221)))</f>
        <v>0</v>
      </c>
      <c r="O221" s="25">
        <f>IF(N221="","",IF(RoundingRule="Exact quantity",IF(L221="","",N221*L221),IF(OR(M221="",K221=""),"",M221*K221)))</f>
        <v>0</v>
      </c>
      <c r="P221" s="25">
        <f>IF(B221="","",SUM(O$5:O221))</f>
        <v>0</v>
      </c>
      <c r="Q221" s="45">
        <f>IF(V221="Yes",0,IF(N221="",0,N221))</f>
        <v>0</v>
      </c>
      <c r="R221" s="18">
        <f>IF(OR(B221="",I221=0,I221=""),"",COUNTIFS($I$5:I221,"&gt;0"))</f>
        <v>0</v>
      </c>
      <c r="S221" s="18">
        <f>IF(B221="","",COUNTIFS('Recipe Ingredients'!$D$5:$D$1204,B221,'Recipe Ingredients'!$Y$5:$Y$1204,"&gt;0"))</f>
        <v>0</v>
      </c>
      <c r="T221" s="46">
        <f>IF(B221="","",IF(COUNTIFS('Recipe Ingredients'!$D$5:$D$1204,B221,'Recipe Ingredients'!$Y$5:$Y$1204,"&gt;0",'Recipe Ingredients'!$I$5:$I$1204,"No")=0,"Yes","No"))</f>
        <v>0</v>
      </c>
      <c r="U221" s="17">
        <f>IF(B221="","",IFERROR(INDEX(Ingredients!$W$5:$W$304,MATCH(B221,Ingredients!$B$5:$B$304,0)),"Add to Ingredients"))</f>
        <v>0</v>
      </c>
      <c r="Z221" s="31">
        <f>IF(B221="","",IF(V221="Yes","Bought",IF(I221=0,"In stock",IF(O221="","Check - no price","On the list"))))</f>
        <v>0</v>
      </c>
    </row>
    <row r="222" spans="1:26">
      <c r="A222" s="18">
        <f>ROW()-4</f>
        <v>0</v>
      </c>
      <c r="B222" s="17">
        <f>IFERROR(INDEX(Ingredients!$B$5:$B$304,MATCH(A222,Ingredients!$AL$5:$AL$304,0)),"")</f>
        <v>0</v>
      </c>
      <c r="C222" s="17">
        <f>IF(B222="","",IFERROR(INDEX(Ingredients!$C$5:$C$304,MATCH(B222,Ingredients!$B$5:$B$304,0)),"Add to Ingredients"))</f>
        <v>0</v>
      </c>
      <c r="D222" s="17">
        <f>IF(B222="","",IFERROR(INDEX(Ingredients!$D$5:$D$304,MATCH(B222,Ingredients!$B$5:$B$304,0)),"Add to Ingredients"))</f>
        <v>0</v>
      </c>
      <c r="E222" s="17">
        <f>IF(B222="","",IFERROR(INDEX(Ingredients!$E$5:$E$304,MATCH(B222,Ingredients!$B$5:$B$304,0)),"Add to Ingredients"))</f>
        <v>0</v>
      </c>
      <c r="F222" s="45">
        <f>IF(B222="","",IFERROR(INDEX(Ingredients!$AG$5:$AG$304,MATCH(B222,Ingredients!$B$5:$B$304,0)),""))</f>
        <v>0</v>
      </c>
      <c r="G222" s="17">
        <f>IF(B222="","",IFERROR(INDEX(Ingredients!$G$5:$G$304,MATCH(B222,Ingredients!$B$5:$B$304,0)),"Add to Ingredients"))</f>
        <v>0</v>
      </c>
      <c r="H222" s="45">
        <f>IF(B222="","",IFERROR(INDEX(Ingredients!$AD$5:$AD$304,MATCH(B222,Ingredients!$B$5:$B$304,0)),0))</f>
        <v>0</v>
      </c>
      <c r="I222" s="45">
        <f>IF(F222="","",MAX(0,F222-IF(H222="",0,H222)))</f>
        <v>0</v>
      </c>
      <c r="J222" s="45">
        <f>IF(B222="","",IFERROR(INDEX(Ingredients!$H$5:$H$304,MATCH(B222,Ingredients!$B$5:$B$304,0)),"Add to Ingredients"))</f>
        <v>0</v>
      </c>
      <c r="K222" s="25">
        <f>IF(B222="","",IFERROR(INDEX(Ingredients!$I$5:$I$304,MATCH(B222,Ingredients!$B$5:$B$304,0)),"Add to Ingredients"))</f>
        <v>0</v>
      </c>
      <c r="L222" s="25">
        <f>IF(B222="","",IFERROR(INDEX(Ingredients!$J$5:$J$304,MATCH(B222,Ingredients!$B$5:$B$304,0)),"Add to Ingredients"))</f>
        <v>0</v>
      </c>
      <c r="M222" s="45">
        <f>IF(OR(I222="",I222=0),"",IF(OR(J222="",NOT(ISNUMBER(J222)),J222=0),"",ROUNDUP(I222/J222,0)))</f>
        <v>0</v>
      </c>
      <c r="N222" s="45">
        <f>IF(I222="","",IF(RoundingRule="Exact quantity",I222,IF(M222="",I222,M222*J222)))</f>
        <v>0</v>
      </c>
      <c r="O222" s="25">
        <f>IF(N222="","",IF(RoundingRule="Exact quantity",IF(L222="","",N222*L222),IF(OR(M222="",K222=""),"",M222*K222)))</f>
        <v>0</v>
      </c>
      <c r="P222" s="25">
        <f>IF(B222="","",SUM(O$5:O222))</f>
        <v>0</v>
      </c>
      <c r="Q222" s="45">
        <f>IF(V222="Yes",0,IF(N222="",0,N222))</f>
        <v>0</v>
      </c>
      <c r="R222" s="18">
        <f>IF(OR(B222="",I222=0,I222=""),"",COUNTIFS($I$5:I222,"&gt;0"))</f>
        <v>0</v>
      </c>
      <c r="S222" s="18">
        <f>IF(B222="","",COUNTIFS('Recipe Ingredients'!$D$5:$D$1204,B222,'Recipe Ingredients'!$Y$5:$Y$1204,"&gt;0"))</f>
        <v>0</v>
      </c>
      <c r="T222" s="46">
        <f>IF(B222="","",IF(COUNTIFS('Recipe Ingredients'!$D$5:$D$1204,B222,'Recipe Ingredients'!$Y$5:$Y$1204,"&gt;0",'Recipe Ingredients'!$I$5:$I$1204,"No")=0,"Yes","No"))</f>
        <v>0</v>
      </c>
      <c r="U222" s="17">
        <f>IF(B222="","",IFERROR(INDEX(Ingredients!$W$5:$W$304,MATCH(B222,Ingredients!$B$5:$B$304,0)),"Add to Ingredients"))</f>
        <v>0</v>
      </c>
      <c r="Z222" s="31">
        <f>IF(B222="","",IF(V222="Yes","Bought",IF(I222=0,"In stock",IF(O222="","Check - no price","On the list"))))</f>
        <v>0</v>
      </c>
    </row>
    <row r="223" spans="1:26">
      <c r="A223" s="18">
        <f>ROW()-4</f>
        <v>0</v>
      </c>
      <c r="B223" s="17">
        <f>IFERROR(INDEX(Ingredients!$B$5:$B$304,MATCH(A223,Ingredients!$AL$5:$AL$304,0)),"")</f>
        <v>0</v>
      </c>
      <c r="C223" s="17">
        <f>IF(B223="","",IFERROR(INDEX(Ingredients!$C$5:$C$304,MATCH(B223,Ingredients!$B$5:$B$304,0)),"Add to Ingredients"))</f>
        <v>0</v>
      </c>
      <c r="D223" s="17">
        <f>IF(B223="","",IFERROR(INDEX(Ingredients!$D$5:$D$304,MATCH(B223,Ingredients!$B$5:$B$304,0)),"Add to Ingredients"))</f>
        <v>0</v>
      </c>
      <c r="E223" s="17">
        <f>IF(B223="","",IFERROR(INDEX(Ingredients!$E$5:$E$304,MATCH(B223,Ingredients!$B$5:$B$304,0)),"Add to Ingredients"))</f>
        <v>0</v>
      </c>
      <c r="F223" s="45">
        <f>IF(B223="","",IFERROR(INDEX(Ingredients!$AG$5:$AG$304,MATCH(B223,Ingredients!$B$5:$B$304,0)),""))</f>
        <v>0</v>
      </c>
      <c r="G223" s="17">
        <f>IF(B223="","",IFERROR(INDEX(Ingredients!$G$5:$G$304,MATCH(B223,Ingredients!$B$5:$B$304,0)),"Add to Ingredients"))</f>
        <v>0</v>
      </c>
      <c r="H223" s="45">
        <f>IF(B223="","",IFERROR(INDEX(Ingredients!$AD$5:$AD$304,MATCH(B223,Ingredients!$B$5:$B$304,0)),0))</f>
        <v>0</v>
      </c>
      <c r="I223" s="45">
        <f>IF(F223="","",MAX(0,F223-IF(H223="",0,H223)))</f>
        <v>0</v>
      </c>
      <c r="J223" s="45">
        <f>IF(B223="","",IFERROR(INDEX(Ingredients!$H$5:$H$304,MATCH(B223,Ingredients!$B$5:$B$304,0)),"Add to Ingredients"))</f>
        <v>0</v>
      </c>
      <c r="K223" s="25">
        <f>IF(B223="","",IFERROR(INDEX(Ingredients!$I$5:$I$304,MATCH(B223,Ingredients!$B$5:$B$304,0)),"Add to Ingredients"))</f>
        <v>0</v>
      </c>
      <c r="L223" s="25">
        <f>IF(B223="","",IFERROR(INDEX(Ingredients!$J$5:$J$304,MATCH(B223,Ingredients!$B$5:$B$304,0)),"Add to Ingredients"))</f>
        <v>0</v>
      </c>
      <c r="M223" s="45">
        <f>IF(OR(I223="",I223=0),"",IF(OR(J223="",NOT(ISNUMBER(J223)),J223=0),"",ROUNDUP(I223/J223,0)))</f>
        <v>0</v>
      </c>
      <c r="N223" s="45">
        <f>IF(I223="","",IF(RoundingRule="Exact quantity",I223,IF(M223="",I223,M223*J223)))</f>
        <v>0</v>
      </c>
      <c r="O223" s="25">
        <f>IF(N223="","",IF(RoundingRule="Exact quantity",IF(L223="","",N223*L223),IF(OR(M223="",K223=""),"",M223*K223)))</f>
        <v>0</v>
      </c>
      <c r="P223" s="25">
        <f>IF(B223="","",SUM(O$5:O223))</f>
        <v>0</v>
      </c>
      <c r="Q223" s="45">
        <f>IF(V223="Yes",0,IF(N223="",0,N223))</f>
        <v>0</v>
      </c>
      <c r="R223" s="18">
        <f>IF(OR(B223="",I223=0,I223=""),"",COUNTIFS($I$5:I223,"&gt;0"))</f>
        <v>0</v>
      </c>
      <c r="S223" s="18">
        <f>IF(B223="","",COUNTIFS('Recipe Ingredients'!$D$5:$D$1204,B223,'Recipe Ingredients'!$Y$5:$Y$1204,"&gt;0"))</f>
        <v>0</v>
      </c>
      <c r="T223" s="46">
        <f>IF(B223="","",IF(COUNTIFS('Recipe Ingredients'!$D$5:$D$1204,B223,'Recipe Ingredients'!$Y$5:$Y$1204,"&gt;0",'Recipe Ingredients'!$I$5:$I$1204,"No")=0,"Yes","No"))</f>
        <v>0</v>
      </c>
      <c r="U223" s="17">
        <f>IF(B223="","",IFERROR(INDEX(Ingredients!$W$5:$W$304,MATCH(B223,Ingredients!$B$5:$B$304,0)),"Add to Ingredients"))</f>
        <v>0</v>
      </c>
      <c r="Z223" s="31">
        <f>IF(B223="","",IF(V223="Yes","Bought",IF(I223=0,"In stock",IF(O223="","Check - no price","On the list"))))</f>
        <v>0</v>
      </c>
    </row>
    <row r="224" spans="1:26">
      <c r="A224" s="18">
        <f>ROW()-4</f>
        <v>0</v>
      </c>
      <c r="B224" s="17">
        <f>IFERROR(INDEX(Ingredients!$B$5:$B$304,MATCH(A224,Ingredients!$AL$5:$AL$304,0)),"")</f>
        <v>0</v>
      </c>
      <c r="C224" s="17">
        <f>IF(B224="","",IFERROR(INDEX(Ingredients!$C$5:$C$304,MATCH(B224,Ingredients!$B$5:$B$304,0)),"Add to Ingredients"))</f>
        <v>0</v>
      </c>
      <c r="D224" s="17">
        <f>IF(B224="","",IFERROR(INDEX(Ingredients!$D$5:$D$304,MATCH(B224,Ingredients!$B$5:$B$304,0)),"Add to Ingredients"))</f>
        <v>0</v>
      </c>
      <c r="E224" s="17">
        <f>IF(B224="","",IFERROR(INDEX(Ingredients!$E$5:$E$304,MATCH(B224,Ingredients!$B$5:$B$304,0)),"Add to Ingredients"))</f>
        <v>0</v>
      </c>
      <c r="F224" s="45">
        <f>IF(B224="","",IFERROR(INDEX(Ingredients!$AG$5:$AG$304,MATCH(B224,Ingredients!$B$5:$B$304,0)),""))</f>
        <v>0</v>
      </c>
      <c r="G224" s="17">
        <f>IF(B224="","",IFERROR(INDEX(Ingredients!$G$5:$G$304,MATCH(B224,Ingredients!$B$5:$B$304,0)),"Add to Ingredients"))</f>
        <v>0</v>
      </c>
      <c r="H224" s="45">
        <f>IF(B224="","",IFERROR(INDEX(Ingredients!$AD$5:$AD$304,MATCH(B224,Ingredients!$B$5:$B$304,0)),0))</f>
        <v>0</v>
      </c>
      <c r="I224" s="45">
        <f>IF(F224="","",MAX(0,F224-IF(H224="",0,H224)))</f>
        <v>0</v>
      </c>
      <c r="J224" s="45">
        <f>IF(B224="","",IFERROR(INDEX(Ingredients!$H$5:$H$304,MATCH(B224,Ingredients!$B$5:$B$304,0)),"Add to Ingredients"))</f>
        <v>0</v>
      </c>
      <c r="K224" s="25">
        <f>IF(B224="","",IFERROR(INDEX(Ingredients!$I$5:$I$304,MATCH(B224,Ingredients!$B$5:$B$304,0)),"Add to Ingredients"))</f>
        <v>0</v>
      </c>
      <c r="L224" s="25">
        <f>IF(B224="","",IFERROR(INDEX(Ingredients!$J$5:$J$304,MATCH(B224,Ingredients!$B$5:$B$304,0)),"Add to Ingredients"))</f>
        <v>0</v>
      </c>
      <c r="M224" s="45">
        <f>IF(OR(I224="",I224=0),"",IF(OR(J224="",NOT(ISNUMBER(J224)),J224=0),"",ROUNDUP(I224/J224,0)))</f>
        <v>0</v>
      </c>
      <c r="N224" s="45">
        <f>IF(I224="","",IF(RoundingRule="Exact quantity",I224,IF(M224="",I224,M224*J224)))</f>
        <v>0</v>
      </c>
      <c r="O224" s="25">
        <f>IF(N224="","",IF(RoundingRule="Exact quantity",IF(L224="","",N224*L224),IF(OR(M224="",K224=""),"",M224*K224)))</f>
        <v>0</v>
      </c>
      <c r="P224" s="25">
        <f>IF(B224="","",SUM(O$5:O224))</f>
        <v>0</v>
      </c>
      <c r="Q224" s="45">
        <f>IF(V224="Yes",0,IF(N224="",0,N224))</f>
        <v>0</v>
      </c>
      <c r="R224" s="18">
        <f>IF(OR(B224="",I224=0,I224=""),"",COUNTIFS($I$5:I224,"&gt;0"))</f>
        <v>0</v>
      </c>
      <c r="S224" s="18">
        <f>IF(B224="","",COUNTIFS('Recipe Ingredients'!$D$5:$D$1204,B224,'Recipe Ingredients'!$Y$5:$Y$1204,"&gt;0"))</f>
        <v>0</v>
      </c>
      <c r="T224" s="46">
        <f>IF(B224="","",IF(COUNTIFS('Recipe Ingredients'!$D$5:$D$1204,B224,'Recipe Ingredients'!$Y$5:$Y$1204,"&gt;0",'Recipe Ingredients'!$I$5:$I$1204,"No")=0,"Yes","No"))</f>
        <v>0</v>
      </c>
      <c r="U224" s="17">
        <f>IF(B224="","",IFERROR(INDEX(Ingredients!$W$5:$W$304,MATCH(B224,Ingredients!$B$5:$B$304,0)),"Add to Ingredients"))</f>
        <v>0</v>
      </c>
      <c r="Z224" s="31">
        <f>IF(B224="","",IF(V224="Yes","Bought",IF(I224=0,"In stock",IF(O224="","Check - no price","On the list"))))</f>
        <v>0</v>
      </c>
    </row>
    <row r="225" spans="1:26">
      <c r="A225" s="18">
        <f>ROW()-4</f>
        <v>0</v>
      </c>
      <c r="B225" s="17">
        <f>IFERROR(INDEX(Ingredients!$B$5:$B$304,MATCH(A225,Ingredients!$AL$5:$AL$304,0)),"")</f>
        <v>0</v>
      </c>
      <c r="C225" s="17">
        <f>IF(B225="","",IFERROR(INDEX(Ingredients!$C$5:$C$304,MATCH(B225,Ingredients!$B$5:$B$304,0)),"Add to Ingredients"))</f>
        <v>0</v>
      </c>
      <c r="D225" s="17">
        <f>IF(B225="","",IFERROR(INDEX(Ingredients!$D$5:$D$304,MATCH(B225,Ingredients!$B$5:$B$304,0)),"Add to Ingredients"))</f>
        <v>0</v>
      </c>
      <c r="E225" s="17">
        <f>IF(B225="","",IFERROR(INDEX(Ingredients!$E$5:$E$304,MATCH(B225,Ingredients!$B$5:$B$304,0)),"Add to Ingredients"))</f>
        <v>0</v>
      </c>
      <c r="F225" s="45">
        <f>IF(B225="","",IFERROR(INDEX(Ingredients!$AG$5:$AG$304,MATCH(B225,Ingredients!$B$5:$B$304,0)),""))</f>
        <v>0</v>
      </c>
      <c r="G225" s="17">
        <f>IF(B225="","",IFERROR(INDEX(Ingredients!$G$5:$G$304,MATCH(B225,Ingredients!$B$5:$B$304,0)),"Add to Ingredients"))</f>
        <v>0</v>
      </c>
      <c r="H225" s="45">
        <f>IF(B225="","",IFERROR(INDEX(Ingredients!$AD$5:$AD$304,MATCH(B225,Ingredients!$B$5:$B$304,0)),0))</f>
        <v>0</v>
      </c>
      <c r="I225" s="45">
        <f>IF(F225="","",MAX(0,F225-IF(H225="",0,H225)))</f>
        <v>0</v>
      </c>
      <c r="J225" s="45">
        <f>IF(B225="","",IFERROR(INDEX(Ingredients!$H$5:$H$304,MATCH(B225,Ingredients!$B$5:$B$304,0)),"Add to Ingredients"))</f>
        <v>0</v>
      </c>
      <c r="K225" s="25">
        <f>IF(B225="","",IFERROR(INDEX(Ingredients!$I$5:$I$304,MATCH(B225,Ingredients!$B$5:$B$304,0)),"Add to Ingredients"))</f>
        <v>0</v>
      </c>
      <c r="L225" s="25">
        <f>IF(B225="","",IFERROR(INDEX(Ingredients!$J$5:$J$304,MATCH(B225,Ingredients!$B$5:$B$304,0)),"Add to Ingredients"))</f>
        <v>0</v>
      </c>
      <c r="M225" s="45">
        <f>IF(OR(I225="",I225=0),"",IF(OR(J225="",NOT(ISNUMBER(J225)),J225=0),"",ROUNDUP(I225/J225,0)))</f>
        <v>0</v>
      </c>
      <c r="N225" s="45">
        <f>IF(I225="","",IF(RoundingRule="Exact quantity",I225,IF(M225="",I225,M225*J225)))</f>
        <v>0</v>
      </c>
      <c r="O225" s="25">
        <f>IF(N225="","",IF(RoundingRule="Exact quantity",IF(L225="","",N225*L225),IF(OR(M225="",K225=""),"",M225*K225)))</f>
        <v>0</v>
      </c>
      <c r="P225" s="25">
        <f>IF(B225="","",SUM(O$5:O225))</f>
        <v>0</v>
      </c>
      <c r="Q225" s="45">
        <f>IF(V225="Yes",0,IF(N225="",0,N225))</f>
        <v>0</v>
      </c>
      <c r="R225" s="18">
        <f>IF(OR(B225="",I225=0,I225=""),"",COUNTIFS($I$5:I225,"&gt;0"))</f>
        <v>0</v>
      </c>
      <c r="S225" s="18">
        <f>IF(B225="","",COUNTIFS('Recipe Ingredients'!$D$5:$D$1204,B225,'Recipe Ingredients'!$Y$5:$Y$1204,"&gt;0"))</f>
        <v>0</v>
      </c>
      <c r="T225" s="46">
        <f>IF(B225="","",IF(COUNTIFS('Recipe Ingredients'!$D$5:$D$1204,B225,'Recipe Ingredients'!$Y$5:$Y$1204,"&gt;0",'Recipe Ingredients'!$I$5:$I$1204,"No")=0,"Yes","No"))</f>
        <v>0</v>
      </c>
      <c r="U225" s="17">
        <f>IF(B225="","",IFERROR(INDEX(Ingredients!$W$5:$W$304,MATCH(B225,Ingredients!$B$5:$B$304,0)),"Add to Ingredients"))</f>
        <v>0</v>
      </c>
      <c r="Z225" s="31">
        <f>IF(B225="","",IF(V225="Yes","Bought",IF(I225=0,"In stock",IF(O225="","Check - no price","On the list"))))</f>
        <v>0</v>
      </c>
    </row>
    <row r="226" spans="1:26">
      <c r="A226" s="18">
        <f>ROW()-4</f>
        <v>0</v>
      </c>
      <c r="B226" s="17">
        <f>IFERROR(INDEX(Ingredients!$B$5:$B$304,MATCH(A226,Ingredients!$AL$5:$AL$304,0)),"")</f>
        <v>0</v>
      </c>
      <c r="C226" s="17">
        <f>IF(B226="","",IFERROR(INDEX(Ingredients!$C$5:$C$304,MATCH(B226,Ingredients!$B$5:$B$304,0)),"Add to Ingredients"))</f>
        <v>0</v>
      </c>
      <c r="D226" s="17">
        <f>IF(B226="","",IFERROR(INDEX(Ingredients!$D$5:$D$304,MATCH(B226,Ingredients!$B$5:$B$304,0)),"Add to Ingredients"))</f>
        <v>0</v>
      </c>
      <c r="E226" s="17">
        <f>IF(B226="","",IFERROR(INDEX(Ingredients!$E$5:$E$304,MATCH(B226,Ingredients!$B$5:$B$304,0)),"Add to Ingredients"))</f>
        <v>0</v>
      </c>
      <c r="F226" s="45">
        <f>IF(B226="","",IFERROR(INDEX(Ingredients!$AG$5:$AG$304,MATCH(B226,Ingredients!$B$5:$B$304,0)),""))</f>
        <v>0</v>
      </c>
      <c r="G226" s="17">
        <f>IF(B226="","",IFERROR(INDEX(Ingredients!$G$5:$G$304,MATCH(B226,Ingredients!$B$5:$B$304,0)),"Add to Ingredients"))</f>
        <v>0</v>
      </c>
      <c r="H226" s="45">
        <f>IF(B226="","",IFERROR(INDEX(Ingredients!$AD$5:$AD$304,MATCH(B226,Ingredients!$B$5:$B$304,0)),0))</f>
        <v>0</v>
      </c>
      <c r="I226" s="45">
        <f>IF(F226="","",MAX(0,F226-IF(H226="",0,H226)))</f>
        <v>0</v>
      </c>
      <c r="J226" s="45">
        <f>IF(B226="","",IFERROR(INDEX(Ingredients!$H$5:$H$304,MATCH(B226,Ingredients!$B$5:$B$304,0)),"Add to Ingredients"))</f>
        <v>0</v>
      </c>
      <c r="K226" s="25">
        <f>IF(B226="","",IFERROR(INDEX(Ingredients!$I$5:$I$304,MATCH(B226,Ingredients!$B$5:$B$304,0)),"Add to Ingredients"))</f>
        <v>0</v>
      </c>
      <c r="L226" s="25">
        <f>IF(B226="","",IFERROR(INDEX(Ingredients!$J$5:$J$304,MATCH(B226,Ingredients!$B$5:$B$304,0)),"Add to Ingredients"))</f>
        <v>0</v>
      </c>
      <c r="M226" s="45">
        <f>IF(OR(I226="",I226=0),"",IF(OR(J226="",NOT(ISNUMBER(J226)),J226=0),"",ROUNDUP(I226/J226,0)))</f>
        <v>0</v>
      </c>
      <c r="N226" s="45">
        <f>IF(I226="","",IF(RoundingRule="Exact quantity",I226,IF(M226="",I226,M226*J226)))</f>
        <v>0</v>
      </c>
      <c r="O226" s="25">
        <f>IF(N226="","",IF(RoundingRule="Exact quantity",IF(L226="","",N226*L226),IF(OR(M226="",K226=""),"",M226*K226)))</f>
        <v>0</v>
      </c>
      <c r="P226" s="25">
        <f>IF(B226="","",SUM(O$5:O226))</f>
        <v>0</v>
      </c>
      <c r="Q226" s="45">
        <f>IF(V226="Yes",0,IF(N226="",0,N226))</f>
        <v>0</v>
      </c>
      <c r="R226" s="18">
        <f>IF(OR(B226="",I226=0,I226=""),"",COUNTIFS($I$5:I226,"&gt;0"))</f>
        <v>0</v>
      </c>
      <c r="S226" s="18">
        <f>IF(B226="","",COUNTIFS('Recipe Ingredients'!$D$5:$D$1204,B226,'Recipe Ingredients'!$Y$5:$Y$1204,"&gt;0"))</f>
        <v>0</v>
      </c>
      <c r="T226" s="46">
        <f>IF(B226="","",IF(COUNTIFS('Recipe Ingredients'!$D$5:$D$1204,B226,'Recipe Ingredients'!$Y$5:$Y$1204,"&gt;0",'Recipe Ingredients'!$I$5:$I$1204,"No")=0,"Yes","No"))</f>
        <v>0</v>
      </c>
      <c r="U226" s="17">
        <f>IF(B226="","",IFERROR(INDEX(Ingredients!$W$5:$W$304,MATCH(B226,Ingredients!$B$5:$B$304,0)),"Add to Ingredients"))</f>
        <v>0</v>
      </c>
      <c r="Z226" s="31">
        <f>IF(B226="","",IF(V226="Yes","Bought",IF(I226=0,"In stock",IF(O226="","Check - no price","On the list"))))</f>
        <v>0</v>
      </c>
    </row>
    <row r="227" spans="1:26">
      <c r="A227" s="18">
        <f>ROW()-4</f>
        <v>0</v>
      </c>
      <c r="B227" s="17">
        <f>IFERROR(INDEX(Ingredients!$B$5:$B$304,MATCH(A227,Ingredients!$AL$5:$AL$304,0)),"")</f>
        <v>0</v>
      </c>
      <c r="C227" s="17">
        <f>IF(B227="","",IFERROR(INDEX(Ingredients!$C$5:$C$304,MATCH(B227,Ingredients!$B$5:$B$304,0)),"Add to Ingredients"))</f>
        <v>0</v>
      </c>
      <c r="D227" s="17">
        <f>IF(B227="","",IFERROR(INDEX(Ingredients!$D$5:$D$304,MATCH(B227,Ingredients!$B$5:$B$304,0)),"Add to Ingredients"))</f>
        <v>0</v>
      </c>
      <c r="E227" s="17">
        <f>IF(B227="","",IFERROR(INDEX(Ingredients!$E$5:$E$304,MATCH(B227,Ingredients!$B$5:$B$304,0)),"Add to Ingredients"))</f>
        <v>0</v>
      </c>
      <c r="F227" s="45">
        <f>IF(B227="","",IFERROR(INDEX(Ingredients!$AG$5:$AG$304,MATCH(B227,Ingredients!$B$5:$B$304,0)),""))</f>
        <v>0</v>
      </c>
      <c r="G227" s="17">
        <f>IF(B227="","",IFERROR(INDEX(Ingredients!$G$5:$G$304,MATCH(B227,Ingredients!$B$5:$B$304,0)),"Add to Ingredients"))</f>
        <v>0</v>
      </c>
      <c r="H227" s="45">
        <f>IF(B227="","",IFERROR(INDEX(Ingredients!$AD$5:$AD$304,MATCH(B227,Ingredients!$B$5:$B$304,0)),0))</f>
        <v>0</v>
      </c>
      <c r="I227" s="45">
        <f>IF(F227="","",MAX(0,F227-IF(H227="",0,H227)))</f>
        <v>0</v>
      </c>
      <c r="J227" s="45">
        <f>IF(B227="","",IFERROR(INDEX(Ingredients!$H$5:$H$304,MATCH(B227,Ingredients!$B$5:$B$304,0)),"Add to Ingredients"))</f>
        <v>0</v>
      </c>
      <c r="K227" s="25">
        <f>IF(B227="","",IFERROR(INDEX(Ingredients!$I$5:$I$304,MATCH(B227,Ingredients!$B$5:$B$304,0)),"Add to Ingredients"))</f>
        <v>0</v>
      </c>
      <c r="L227" s="25">
        <f>IF(B227="","",IFERROR(INDEX(Ingredients!$J$5:$J$304,MATCH(B227,Ingredients!$B$5:$B$304,0)),"Add to Ingredients"))</f>
        <v>0</v>
      </c>
      <c r="M227" s="45">
        <f>IF(OR(I227="",I227=0),"",IF(OR(J227="",NOT(ISNUMBER(J227)),J227=0),"",ROUNDUP(I227/J227,0)))</f>
        <v>0</v>
      </c>
      <c r="N227" s="45">
        <f>IF(I227="","",IF(RoundingRule="Exact quantity",I227,IF(M227="",I227,M227*J227)))</f>
        <v>0</v>
      </c>
      <c r="O227" s="25">
        <f>IF(N227="","",IF(RoundingRule="Exact quantity",IF(L227="","",N227*L227),IF(OR(M227="",K227=""),"",M227*K227)))</f>
        <v>0</v>
      </c>
      <c r="P227" s="25">
        <f>IF(B227="","",SUM(O$5:O227))</f>
        <v>0</v>
      </c>
      <c r="Q227" s="45">
        <f>IF(V227="Yes",0,IF(N227="",0,N227))</f>
        <v>0</v>
      </c>
      <c r="R227" s="18">
        <f>IF(OR(B227="",I227=0,I227=""),"",COUNTIFS($I$5:I227,"&gt;0"))</f>
        <v>0</v>
      </c>
      <c r="S227" s="18">
        <f>IF(B227="","",COUNTIFS('Recipe Ingredients'!$D$5:$D$1204,B227,'Recipe Ingredients'!$Y$5:$Y$1204,"&gt;0"))</f>
        <v>0</v>
      </c>
      <c r="T227" s="46">
        <f>IF(B227="","",IF(COUNTIFS('Recipe Ingredients'!$D$5:$D$1204,B227,'Recipe Ingredients'!$Y$5:$Y$1204,"&gt;0",'Recipe Ingredients'!$I$5:$I$1204,"No")=0,"Yes","No"))</f>
        <v>0</v>
      </c>
      <c r="U227" s="17">
        <f>IF(B227="","",IFERROR(INDEX(Ingredients!$W$5:$W$304,MATCH(B227,Ingredients!$B$5:$B$304,0)),"Add to Ingredients"))</f>
        <v>0</v>
      </c>
      <c r="Z227" s="31">
        <f>IF(B227="","",IF(V227="Yes","Bought",IF(I227=0,"In stock",IF(O227="","Check - no price","On the list"))))</f>
        <v>0</v>
      </c>
    </row>
    <row r="228" spans="1:26">
      <c r="A228" s="18">
        <f>ROW()-4</f>
        <v>0</v>
      </c>
      <c r="B228" s="17">
        <f>IFERROR(INDEX(Ingredients!$B$5:$B$304,MATCH(A228,Ingredients!$AL$5:$AL$304,0)),"")</f>
        <v>0</v>
      </c>
      <c r="C228" s="17">
        <f>IF(B228="","",IFERROR(INDEX(Ingredients!$C$5:$C$304,MATCH(B228,Ingredients!$B$5:$B$304,0)),"Add to Ingredients"))</f>
        <v>0</v>
      </c>
      <c r="D228" s="17">
        <f>IF(B228="","",IFERROR(INDEX(Ingredients!$D$5:$D$304,MATCH(B228,Ingredients!$B$5:$B$304,0)),"Add to Ingredients"))</f>
        <v>0</v>
      </c>
      <c r="E228" s="17">
        <f>IF(B228="","",IFERROR(INDEX(Ingredients!$E$5:$E$304,MATCH(B228,Ingredients!$B$5:$B$304,0)),"Add to Ingredients"))</f>
        <v>0</v>
      </c>
      <c r="F228" s="45">
        <f>IF(B228="","",IFERROR(INDEX(Ingredients!$AG$5:$AG$304,MATCH(B228,Ingredients!$B$5:$B$304,0)),""))</f>
        <v>0</v>
      </c>
      <c r="G228" s="17">
        <f>IF(B228="","",IFERROR(INDEX(Ingredients!$G$5:$G$304,MATCH(B228,Ingredients!$B$5:$B$304,0)),"Add to Ingredients"))</f>
        <v>0</v>
      </c>
      <c r="H228" s="45">
        <f>IF(B228="","",IFERROR(INDEX(Ingredients!$AD$5:$AD$304,MATCH(B228,Ingredients!$B$5:$B$304,0)),0))</f>
        <v>0</v>
      </c>
      <c r="I228" s="45">
        <f>IF(F228="","",MAX(0,F228-IF(H228="",0,H228)))</f>
        <v>0</v>
      </c>
      <c r="J228" s="45">
        <f>IF(B228="","",IFERROR(INDEX(Ingredients!$H$5:$H$304,MATCH(B228,Ingredients!$B$5:$B$304,0)),"Add to Ingredients"))</f>
        <v>0</v>
      </c>
      <c r="K228" s="25">
        <f>IF(B228="","",IFERROR(INDEX(Ingredients!$I$5:$I$304,MATCH(B228,Ingredients!$B$5:$B$304,0)),"Add to Ingredients"))</f>
        <v>0</v>
      </c>
      <c r="L228" s="25">
        <f>IF(B228="","",IFERROR(INDEX(Ingredients!$J$5:$J$304,MATCH(B228,Ingredients!$B$5:$B$304,0)),"Add to Ingredients"))</f>
        <v>0</v>
      </c>
      <c r="M228" s="45">
        <f>IF(OR(I228="",I228=0),"",IF(OR(J228="",NOT(ISNUMBER(J228)),J228=0),"",ROUNDUP(I228/J228,0)))</f>
        <v>0</v>
      </c>
      <c r="N228" s="45">
        <f>IF(I228="","",IF(RoundingRule="Exact quantity",I228,IF(M228="",I228,M228*J228)))</f>
        <v>0</v>
      </c>
      <c r="O228" s="25">
        <f>IF(N228="","",IF(RoundingRule="Exact quantity",IF(L228="","",N228*L228),IF(OR(M228="",K228=""),"",M228*K228)))</f>
        <v>0</v>
      </c>
      <c r="P228" s="25">
        <f>IF(B228="","",SUM(O$5:O228))</f>
        <v>0</v>
      </c>
      <c r="Q228" s="45">
        <f>IF(V228="Yes",0,IF(N228="",0,N228))</f>
        <v>0</v>
      </c>
      <c r="R228" s="18">
        <f>IF(OR(B228="",I228=0,I228=""),"",COUNTIFS($I$5:I228,"&gt;0"))</f>
        <v>0</v>
      </c>
      <c r="S228" s="18">
        <f>IF(B228="","",COUNTIFS('Recipe Ingredients'!$D$5:$D$1204,B228,'Recipe Ingredients'!$Y$5:$Y$1204,"&gt;0"))</f>
        <v>0</v>
      </c>
      <c r="T228" s="46">
        <f>IF(B228="","",IF(COUNTIFS('Recipe Ingredients'!$D$5:$D$1204,B228,'Recipe Ingredients'!$Y$5:$Y$1204,"&gt;0",'Recipe Ingredients'!$I$5:$I$1204,"No")=0,"Yes","No"))</f>
        <v>0</v>
      </c>
      <c r="U228" s="17">
        <f>IF(B228="","",IFERROR(INDEX(Ingredients!$W$5:$W$304,MATCH(B228,Ingredients!$B$5:$B$304,0)),"Add to Ingredients"))</f>
        <v>0</v>
      </c>
      <c r="Z228" s="31">
        <f>IF(B228="","",IF(V228="Yes","Bought",IF(I228=0,"In stock",IF(O228="","Check - no price","On the list"))))</f>
        <v>0</v>
      </c>
    </row>
    <row r="229" spans="1:26">
      <c r="A229" s="18">
        <f>ROW()-4</f>
        <v>0</v>
      </c>
      <c r="B229" s="17">
        <f>IFERROR(INDEX(Ingredients!$B$5:$B$304,MATCH(A229,Ingredients!$AL$5:$AL$304,0)),"")</f>
        <v>0</v>
      </c>
      <c r="C229" s="17">
        <f>IF(B229="","",IFERROR(INDEX(Ingredients!$C$5:$C$304,MATCH(B229,Ingredients!$B$5:$B$304,0)),"Add to Ingredients"))</f>
        <v>0</v>
      </c>
      <c r="D229" s="17">
        <f>IF(B229="","",IFERROR(INDEX(Ingredients!$D$5:$D$304,MATCH(B229,Ingredients!$B$5:$B$304,0)),"Add to Ingredients"))</f>
        <v>0</v>
      </c>
      <c r="E229" s="17">
        <f>IF(B229="","",IFERROR(INDEX(Ingredients!$E$5:$E$304,MATCH(B229,Ingredients!$B$5:$B$304,0)),"Add to Ingredients"))</f>
        <v>0</v>
      </c>
      <c r="F229" s="45">
        <f>IF(B229="","",IFERROR(INDEX(Ingredients!$AG$5:$AG$304,MATCH(B229,Ingredients!$B$5:$B$304,0)),""))</f>
        <v>0</v>
      </c>
      <c r="G229" s="17">
        <f>IF(B229="","",IFERROR(INDEX(Ingredients!$G$5:$G$304,MATCH(B229,Ingredients!$B$5:$B$304,0)),"Add to Ingredients"))</f>
        <v>0</v>
      </c>
      <c r="H229" s="45">
        <f>IF(B229="","",IFERROR(INDEX(Ingredients!$AD$5:$AD$304,MATCH(B229,Ingredients!$B$5:$B$304,0)),0))</f>
        <v>0</v>
      </c>
      <c r="I229" s="45">
        <f>IF(F229="","",MAX(0,F229-IF(H229="",0,H229)))</f>
        <v>0</v>
      </c>
      <c r="J229" s="45">
        <f>IF(B229="","",IFERROR(INDEX(Ingredients!$H$5:$H$304,MATCH(B229,Ingredients!$B$5:$B$304,0)),"Add to Ingredients"))</f>
        <v>0</v>
      </c>
      <c r="K229" s="25">
        <f>IF(B229="","",IFERROR(INDEX(Ingredients!$I$5:$I$304,MATCH(B229,Ingredients!$B$5:$B$304,0)),"Add to Ingredients"))</f>
        <v>0</v>
      </c>
      <c r="L229" s="25">
        <f>IF(B229="","",IFERROR(INDEX(Ingredients!$J$5:$J$304,MATCH(B229,Ingredients!$B$5:$B$304,0)),"Add to Ingredients"))</f>
        <v>0</v>
      </c>
      <c r="M229" s="45">
        <f>IF(OR(I229="",I229=0),"",IF(OR(J229="",NOT(ISNUMBER(J229)),J229=0),"",ROUNDUP(I229/J229,0)))</f>
        <v>0</v>
      </c>
      <c r="N229" s="45">
        <f>IF(I229="","",IF(RoundingRule="Exact quantity",I229,IF(M229="",I229,M229*J229)))</f>
        <v>0</v>
      </c>
      <c r="O229" s="25">
        <f>IF(N229="","",IF(RoundingRule="Exact quantity",IF(L229="","",N229*L229),IF(OR(M229="",K229=""),"",M229*K229)))</f>
        <v>0</v>
      </c>
      <c r="P229" s="25">
        <f>IF(B229="","",SUM(O$5:O229))</f>
        <v>0</v>
      </c>
      <c r="Q229" s="45">
        <f>IF(V229="Yes",0,IF(N229="",0,N229))</f>
        <v>0</v>
      </c>
      <c r="R229" s="18">
        <f>IF(OR(B229="",I229=0,I229=""),"",COUNTIFS($I$5:I229,"&gt;0"))</f>
        <v>0</v>
      </c>
      <c r="S229" s="18">
        <f>IF(B229="","",COUNTIFS('Recipe Ingredients'!$D$5:$D$1204,B229,'Recipe Ingredients'!$Y$5:$Y$1204,"&gt;0"))</f>
        <v>0</v>
      </c>
      <c r="T229" s="46">
        <f>IF(B229="","",IF(COUNTIFS('Recipe Ingredients'!$D$5:$D$1204,B229,'Recipe Ingredients'!$Y$5:$Y$1204,"&gt;0",'Recipe Ingredients'!$I$5:$I$1204,"No")=0,"Yes","No"))</f>
        <v>0</v>
      </c>
      <c r="U229" s="17">
        <f>IF(B229="","",IFERROR(INDEX(Ingredients!$W$5:$W$304,MATCH(B229,Ingredients!$B$5:$B$304,0)),"Add to Ingredients"))</f>
        <v>0</v>
      </c>
      <c r="Z229" s="31">
        <f>IF(B229="","",IF(V229="Yes","Bought",IF(I229=0,"In stock",IF(O229="","Check - no price","On the list"))))</f>
        <v>0</v>
      </c>
    </row>
    <row r="230" spans="1:26">
      <c r="A230" s="18">
        <f>ROW()-4</f>
        <v>0</v>
      </c>
      <c r="B230" s="17">
        <f>IFERROR(INDEX(Ingredients!$B$5:$B$304,MATCH(A230,Ingredients!$AL$5:$AL$304,0)),"")</f>
        <v>0</v>
      </c>
      <c r="C230" s="17">
        <f>IF(B230="","",IFERROR(INDEX(Ingredients!$C$5:$C$304,MATCH(B230,Ingredients!$B$5:$B$304,0)),"Add to Ingredients"))</f>
        <v>0</v>
      </c>
      <c r="D230" s="17">
        <f>IF(B230="","",IFERROR(INDEX(Ingredients!$D$5:$D$304,MATCH(B230,Ingredients!$B$5:$B$304,0)),"Add to Ingredients"))</f>
        <v>0</v>
      </c>
      <c r="E230" s="17">
        <f>IF(B230="","",IFERROR(INDEX(Ingredients!$E$5:$E$304,MATCH(B230,Ingredients!$B$5:$B$304,0)),"Add to Ingredients"))</f>
        <v>0</v>
      </c>
      <c r="F230" s="45">
        <f>IF(B230="","",IFERROR(INDEX(Ingredients!$AG$5:$AG$304,MATCH(B230,Ingredients!$B$5:$B$304,0)),""))</f>
        <v>0</v>
      </c>
      <c r="G230" s="17">
        <f>IF(B230="","",IFERROR(INDEX(Ingredients!$G$5:$G$304,MATCH(B230,Ingredients!$B$5:$B$304,0)),"Add to Ingredients"))</f>
        <v>0</v>
      </c>
      <c r="H230" s="45">
        <f>IF(B230="","",IFERROR(INDEX(Ingredients!$AD$5:$AD$304,MATCH(B230,Ingredients!$B$5:$B$304,0)),0))</f>
        <v>0</v>
      </c>
      <c r="I230" s="45">
        <f>IF(F230="","",MAX(0,F230-IF(H230="",0,H230)))</f>
        <v>0</v>
      </c>
      <c r="J230" s="45">
        <f>IF(B230="","",IFERROR(INDEX(Ingredients!$H$5:$H$304,MATCH(B230,Ingredients!$B$5:$B$304,0)),"Add to Ingredients"))</f>
        <v>0</v>
      </c>
      <c r="K230" s="25">
        <f>IF(B230="","",IFERROR(INDEX(Ingredients!$I$5:$I$304,MATCH(B230,Ingredients!$B$5:$B$304,0)),"Add to Ingredients"))</f>
        <v>0</v>
      </c>
      <c r="L230" s="25">
        <f>IF(B230="","",IFERROR(INDEX(Ingredients!$J$5:$J$304,MATCH(B230,Ingredients!$B$5:$B$304,0)),"Add to Ingredients"))</f>
        <v>0</v>
      </c>
      <c r="M230" s="45">
        <f>IF(OR(I230="",I230=0),"",IF(OR(J230="",NOT(ISNUMBER(J230)),J230=0),"",ROUNDUP(I230/J230,0)))</f>
        <v>0</v>
      </c>
      <c r="N230" s="45">
        <f>IF(I230="","",IF(RoundingRule="Exact quantity",I230,IF(M230="",I230,M230*J230)))</f>
        <v>0</v>
      </c>
      <c r="O230" s="25">
        <f>IF(N230="","",IF(RoundingRule="Exact quantity",IF(L230="","",N230*L230),IF(OR(M230="",K230=""),"",M230*K230)))</f>
        <v>0</v>
      </c>
      <c r="P230" s="25">
        <f>IF(B230="","",SUM(O$5:O230))</f>
        <v>0</v>
      </c>
      <c r="Q230" s="45">
        <f>IF(V230="Yes",0,IF(N230="",0,N230))</f>
        <v>0</v>
      </c>
      <c r="R230" s="18">
        <f>IF(OR(B230="",I230=0,I230=""),"",COUNTIFS($I$5:I230,"&gt;0"))</f>
        <v>0</v>
      </c>
      <c r="S230" s="18">
        <f>IF(B230="","",COUNTIFS('Recipe Ingredients'!$D$5:$D$1204,B230,'Recipe Ingredients'!$Y$5:$Y$1204,"&gt;0"))</f>
        <v>0</v>
      </c>
      <c r="T230" s="46">
        <f>IF(B230="","",IF(COUNTIFS('Recipe Ingredients'!$D$5:$D$1204,B230,'Recipe Ingredients'!$Y$5:$Y$1204,"&gt;0",'Recipe Ingredients'!$I$5:$I$1204,"No")=0,"Yes","No"))</f>
        <v>0</v>
      </c>
      <c r="U230" s="17">
        <f>IF(B230="","",IFERROR(INDEX(Ingredients!$W$5:$W$304,MATCH(B230,Ingredients!$B$5:$B$304,0)),"Add to Ingredients"))</f>
        <v>0</v>
      </c>
      <c r="Z230" s="31">
        <f>IF(B230="","",IF(V230="Yes","Bought",IF(I230=0,"In stock",IF(O230="","Check - no price","On the list"))))</f>
        <v>0</v>
      </c>
    </row>
    <row r="231" spans="1:26">
      <c r="A231" s="18">
        <f>ROW()-4</f>
        <v>0</v>
      </c>
      <c r="B231" s="17">
        <f>IFERROR(INDEX(Ingredients!$B$5:$B$304,MATCH(A231,Ingredients!$AL$5:$AL$304,0)),"")</f>
        <v>0</v>
      </c>
      <c r="C231" s="17">
        <f>IF(B231="","",IFERROR(INDEX(Ingredients!$C$5:$C$304,MATCH(B231,Ingredients!$B$5:$B$304,0)),"Add to Ingredients"))</f>
        <v>0</v>
      </c>
      <c r="D231" s="17">
        <f>IF(B231="","",IFERROR(INDEX(Ingredients!$D$5:$D$304,MATCH(B231,Ingredients!$B$5:$B$304,0)),"Add to Ingredients"))</f>
        <v>0</v>
      </c>
      <c r="E231" s="17">
        <f>IF(B231="","",IFERROR(INDEX(Ingredients!$E$5:$E$304,MATCH(B231,Ingredients!$B$5:$B$304,0)),"Add to Ingredients"))</f>
        <v>0</v>
      </c>
      <c r="F231" s="45">
        <f>IF(B231="","",IFERROR(INDEX(Ingredients!$AG$5:$AG$304,MATCH(B231,Ingredients!$B$5:$B$304,0)),""))</f>
        <v>0</v>
      </c>
      <c r="G231" s="17">
        <f>IF(B231="","",IFERROR(INDEX(Ingredients!$G$5:$G$304,MATCH(B231,Ingredients!$B$5:$B$304,0)),"Add to Ingredients"))</f>
        <v>0</v>
      </c>
      <c r="H231" s="45">
        <f>IF(B231="","",IFERROR(INDEX(Ingredients!$AD$5:$AD$304,MATCH(B231,Ingredients!$B$5:$B$304,0)),0))</f>
        <v>0</v>
      </c>
      <c r="I231" s="45">
        <f>IF(F231="","",MAX(0,F231-IF(H231="",0,H231)))</f>
        <v>0</v>
      </c>
      <c r="J231" s="45">
        <f>IF(B231="","",IFERROR(INDEX(Ingredients!$H$5:$H$304,MATCH(B231,Ingredients!$B$5:$B$304,0)),"Add to Ingredients"))</f>
        <v>0</v>
      </c>
      <c r="K231" s="25">
        <f>IF(B231="","",IFERROR(INDEX(Ingredients!$I$5:$I$304,MATCH(B231,Ingredients!$B$5:$B$304,0)),"Add to Ingredients"))</f>
        <v>0</v>
      </c>
      <c r="L231" s="25">
        <f>IF(B231="","",IFERROR(INDEX(Ingredients!$J$5:$J$304,MATCH(B231,Ingredients!$B$5:$B$304,0)),"Add to Ingredients"))</f>
        <v>0</v>
      </c>
      <c r="M231" s="45">
        <f>IF(OR(I231="",I231=0),"",IF(OR(J231="",NOT(ISNUMBER(J231)),J231=0),"",ROUNDUP(I231/J231,0)))</f>
        <v>0</v>
      </c>
      <c r="N231" s="45">
        <f>IF(I231="","",IF(RoundingRule="Exact quantity",I231,IF(M231="",I231,M231*J231)))</f>
        <v>0</v>
      </c>
      <c r="O231" s="25">
        <f>IF(N231="","",IF(RoundingRule="Exact quantity",IF(L231="","",N231*L231),IF(OR(M231="",K231=""),"",M231*K231)))</f>
        <v>0</v>
      </c>
      <c r="P231" s="25">
        <f>IF(B231="","",SUM(O$5:O231))</f>
        <v>0</v>
      </c>
      <c r="Q231" s="45">
        <f>IF(V231="Yes",0,IF(N231="",0,N231))</f>
        <v>0</v>
      </c>
      <c r="R231" s="18">
        <f>IF(OR(B231="",I231=0,I231=""),"",COUNTIFS($I$5:I231,"&gt;0"))</f>
        <v>0</v>
      </c>
      <c r="S231" s="18">
        <f>IF(B231="","",COUNTIFS('Recipe Ingredients'!$D$5:$D$1204,B231,'Recipe Ingredients'!$Y$5:$Y$1204,"&gt;0"))</f>
        <v>0</v>
      </c>
      <c r="T231" s="46">
        <f>IF(B231="","",IF(COUNTIFS('Recipe Ingredients'!$D$5:$D$1204,B231,'Recipe Ingredients'!$Y$5:$Y$1204,"&gt;0",'Recipe Ingredients'!$I$5:$I$1204,"No")=0,"Yes","No"))</f>
        <v>0</v>
      </c>
      <c r="U231" s="17">
        <f>IF(B231="","",IFERROR(INDEX(Ingredients!$W$5:$W$304,MATCH(B231,Ingredients!$B$5:$B$304,0)),"Add to Ingredients"))</f>
        <v>0</v>
      </c>
      <c r="Z231" s="31">
        <f>IF(B231="","",IF(V231="Yes","Bought",IF(I231=0,"In stock",IF(O231="","Check - no price","On the list"))))</f>
        <v>0</v>
      </c>
    </row>
    <row r="232" spans="1:26">
      <c r="A232" s="18">
        <f>ROW()-4</f>
        <v>0</v>
      </c>
      <c r="B232" s="17">
        <f>IFERROR(INDEX(Ingredients!$B$5:$B$304,MATCH(A232,Ingredients!$AL$5:$AL$304,0)),"")</f>
        <v>0</v>
      </c>
      <c r="C232" s="17">
        <f>IF(B232="","",IFERROR(INDEX(Ingredients!$C$5:$C$304,MATCH(B232,Ingredients!$B$5:$B$304,0)),"Add to Ingredients"))</f>
        <v>0</v>
      </c>
      <c r="D232" s="17">
        <f>IF(B232="","",IFERROR(INDEX(Ingredients!$D$5:$D$304,MATCH(B232,Ingredients!$B$5:$B$304,0)),"Add to Ingredients"))</f>
        <v>0</v>
      </c>
      <c r="E232" s="17">
        <f>IF(B232="","",IFERROR(INDEX(Ingredients!$E$5:$E$304,MATCH(B232,Ingredients!$B$5:$B$304,0)),"Add to Ingredients"))</f>
        <v>0</v>
      </c>
      <c r="F232" s="45">
        <f>IF(B232="","",IFERROR(INDEX(Ingredients!$AG$5:$AG$304,MATCH(B232,Ingredients!$B$5:$B$304,0)),""))</f>
        <v>0</v>
      </c>
      <c r="G232" s="17">
        <f>IF(B232="","",IFERROR(INDEX(Ingredients!$G$5:$G$304,MATCH(B232,Ingredients!$B$5:$B$304,0)),"Add to Ingredients"))</f>
        <v>0</v>
      </c>
      <c r="H232" s="45">
        <f>IF(B232="","",IFERROR(INDEX(Ingredients!$AD$5:$AD$304,MATCH(B232,Ingredients!$B$5:$B$304,0)),0))</f>
        <v>0</v>
      </c>
      <c r="I232" s="45">
        <f>IF(F232="","",MAX(0,F232-IF(H232="",0,H232)))</f>
        <v>0</v>
      </c>
      <c r="J232" s="45">
        <f>IF(B232="","",IFERROR(INDEX(Ingredients!$H$5:$H$304,MATCH(B232,Ingredients!$B$5:$B$304,0)),"Add to Ingredients"))</f>
        <v>0</v>
      </c>
      <c r="K232" s="25">
        <f>IF(B232="","",IFERROR(INDEX(Ingredients!$I$5:$I$304,MATCH(B232,Ingredients!$B$5:$B$304,0)),"Add to Ingredients"))</f>
        <v>0</v>
      </c>
      <c r="L232" s="25">
        <f>IF(B232="","",IFERROR(INDEX(Ingredients!$J$5:$J$304,MATCH(B232,Ingredients!$B$5:$B$304,0)),"Add to Ingredients"))</f>
        <v>0</v>
      </c>
      <c r="M232" s="45">
        <f>IF(OR(I232="",I232=0),"",IF(OR(J232="",NOT(ISNUMBER(J232)),J232=0),"",ROUNDUP(I232/J232,0)))</f>
        <v>0</v>
      </c>
      <c r="N232" s="45">
        <f>IF(I232="","",IF(RoundingRule="Exact quantity",I232,IF(M232="",I232,M232*J232)))</f>
        <v>0</v>
      </c>
      <c r="O232" s="25">
        <f>IF(N232="","",IF(RoundingRule="Exact quantity",IF(L232="","",N232*L232),IF(OR(M232="",K232=""),"",M232*K232)))</f>
        <v>0</v>
      </c>
      <c r="P232" s="25">
        <f>IF(B232="","",SUM(O$5:O232))</f>
        <v>0</v>
      </c>
      <c r="Q232" s="45">
        <f>IF(V232="Yes",0,IF(N232="",0,N232))</f>
        <v>0</v>
      </c>
      <c r="R232" s="18">
        <f>IF(OR(B232="",I232=0,I232=""),"",COUNTIFS($I$5:I232,"&gt;0"))</f>
        <v>0</v>
      </c>
      <c r="S232" s="18">
        <f>IF(B232="","",COUNTIFS('Recipe Ingredients'!$D$5:$D$1204,B232,'Recipe Ingredients'!$Y$5:$Y$1204,"&gt;0"))</f>
        <v>0</v>
      </c>
      <c r="T232" s="46">
        <f>IF(B232="","",IF(COUNTIFS('Recipe Ingredients'!$D$5:$D$1204,B232,'Recipe Ingredients'!$Y$5:$Y$1204,"&gt;0",'Recipe Ingredients'!$I$5:$I$1204,"No")=0,"Yes","No"))</f>
        <v>0</v>
      </c>
      <c r="U232" s="17">
        <f>IF(B232="","",IFERROR(INDEX(Ingredients!$W$5:$W$304,MATCH(B232,Ingredients!$B$5:$B$304,0)),"Add to Ingredients"))</f>
        <v>0</v>
      </c>
      <c r="Z232" s="31">
        <f>IF(B232="","",IF(V232="Yes","Bought",IF(I232=0,"In stock",IF(O232="","Check - no price","On the list"))))</f>
        <v>0</v>
      </c>
    </row>
    <row r="233" spans="1:26">
      <c r="A233" s="18">
        <f>ROW()-4</f>
        <v>0</v>
      </c>
      <c r="B233" s="17">
        <f>IFERROR(INDEX(Ingredients!$B$5:$B$304,MATCH(A233,Ingredients!$AL$5:$AL$304,0)),"")</f>
        <v>0</v>
      </c>
      <c r="C233" s="17">
        <f>IF(B233="","",IFERROR(INDEX(Ingredients!$C$5:$C$304,MATCH(B233,Ingredients!$B$5:$B$304,0)),"Add to Ingredients"))</f>
        <v>0</v>
      </c>
      <c r="D233" s="17">
        <f>IF(B233="","",IFERROR(INDEX(Ingredients!$D$5:$D$304,MATCH(B233,Ingredients!$B$5:$B$304,0)),"Add to Ingredients"))</f>
        <v>0</v>
      </c>
      <c r="E233" s="17">
        <f>IF(B233="","",IFERROR(INDEX(Ingredients!$E$5:$E$304,MATCH(B233,Ingredients!$B$5:$B$304,0)),"Add to Ingredients"))</f>
        <v>0</v>
      </c>
      <c r="F233" s="45">
        <f>IF(B233="","",IFERROR(INDEX(Ingredients!$AG$5:$AG$304,MATCH(B233,Ingredients!$B$5:$B$304,0)),""))</f>
        <v>0</v>
      </c>
      <c r="G233" s="17">
        <f>IF(B233="","",IFERROR(INDEX(Ingredients!$G$5:$G$304,MATCH(B233,Ingredients!$B$5:$B$304,0)),"Add to Ingredients"))</f>
        <v>0</v>
      </c>
      <c r="H233" s="45">
        <f>IF(B233="","",IFERROR(INDEX(Ingredients!$AD$5:$AD$304,MATCH(B233,Ingredients!$B$5:$B$304,0)),0))</f>
        <v>0</v>
      </c>
      <c r="I233" s="45">
        <f>IF(F233="","",MAX(0,F233-IF(H233="",0,H233)))</f>
        <v>0</v>
      </c>
      <c r="J233" s="45">
        <f>IF(B233="","",IFERROR(INDEX(Ingredients!$H$5:$H$304,MATCH(B233,Ingredients!$B$5:$B$304,0)),"Add to Ingredients"))</f>
        <v>0</v>
      </c>
      <c r="K233" s="25">
        <f>IF(B233="","",IFERROR(INDEX(Ingredients!$I$5:$I$304,MATCH(B233,Ingredients!$B$5:$B$304,0)),"Add to Ingredients"))</f>
        <v>0</v>
      </c>
      <c r="L233" s="25">
        <f>IF(B233="","",IFERROR(INDEX(Ingredients!$J$5:$J$304,MATCH(B233,Ingredients!$B$5:$B$304,0)),"Add to Ingredients"))</f>
        <v>0</v>
      </c>
      <c r="M233" s="45">
        <f>IF(OR(I233="",I233=0),"",IF(OR(J233="",NOT(ISNUMBER(J233)),J233=0),"",ROUNDUP(I233/J233,0)))</f>
        <v>0</v>
      </c>
      <c r="N233" s="45">
        <f>IF(I233="","",IF(RoundingRule="Exact quantity",I233,IF(M233="",I233,M233*J233)))</f>
        <v>0</v>
      </c>
      <c r="O233" s="25">
        <f>IF(N233="","",IF(RoundingRule="Exact quantity",IF(L233="","",N233*L233),IF(OR(M233="",K233=""),"",M233*K233)))</f>
        <v>0</v>
      </c>
      <c r="P233" s="25">
        <f>IF(B233="","",SUM(O$5:O233))</f>
        <v>0</v>
      </c>
      <c r="Q233" s="45">
        <f>IF(V233="Yes",0,IF(N233="",0,N233))</f>
        <v>0</v>
      </c>
      <c r="R233" s="18">
        <f>IF(OR(B233="",I233=0,I233=""),"",COUNTIFS($I$5:I233,"&gt;0"))</f>
        <v>0</v>
      </c>
      <c r="S233" s="18">
        <f>IF(B233="","",COUNTIFS('Recipe Ingredients'!$D$5:$D$1204,B233,'Recipe Ingredients'!$Y$5:$Y$1204,"&gt;0"))</f>
        <v>0</v>
      </c>
      <c r="T233" s="46">
        <f>IF(B233="","",IF(COUNTIFS('Recipe Ingredients'!$D$5:$D$1204,B233,'Recipe Ingredients'!$Y$5:$Y$1204,"&gt;0",'Recipe Ingredients'!$I$5:$I$1204,"No")=0,"Yes","No"))</f>
        <v>0</v>
      </c>
      <c r="U233" s="17">
        <f>IF(B233="","",IFERROR(INDEX(Ingredients!$W$5:$W$304,MATCH(B233,Ingredients!$B$5:$B$304,0)),"Add to Ingredients"))</f>
        <v>0</v>
      </c>
      <c r="Z233" s="31">
        <f>IF(B233="","",IF(V233="Yes","Bought",IF(I233=0,"In stock",IF(O233="","Check - no price","On the list"))))</f>
        <v>0</v>
      </c>
    </row>
    <row r="234" spans="1:26">
      <c r="A234" s="18">
        <f>ROW()-4</f>
        <v>0</v>
      </c>
      <c r="B234" s="17">
        <f>IFERROR(INDEX(Ingredients!$B$5:$B$304,MATCH(A234,Ingredients!$AL$5:$AL$304,0)),"")</f>
        <v>0</v>
      </c>
      <c r="C234" s="17">
        <f>IF(B234="","",IFERROR(INDEX(Ingredients!$C$5:$C$304,MATCH(B234,Ingredients!$B$5:$B$304,0)),"Add to Ingredients"))</f>
        <v>0</v>
      </c>
      <c r="D234" s="17">
        <f>IF(B234="","",IFERROR(INDEX(Ingredients!$D$5:$D$304,MATCH(B234,Ingredients!$B$5:$B$304,0)),"Add to Ingredients"))</f>
        <v>0</v>
      </c>
      <c r="E234" s="17">
        <f>IF(B234="","",IFERROR(INDEX(Ingredients!$E$5:$E$304,MATCH(B234,Ingredients!$B$5:$B$304,0)),"Add to Ingredients"))</f>
        <v>0</v>
      </c>
      <c r="F234" s="45">
        <f>IF(B234="","",IFERROR(INDEX(Ingredients!$AG$5:$AG$304,MATCH(B234,Ingredients!$B$5:$B$304,0)),""))</f>
        <v>0</v>
      </c>
      <c r="G234" s="17">
        <f>IF(B234="","",IFERROR(INDEX(Ingredients!$G$5:$G$304,MATCH(B234,Ingredients!$B$5:$B$304,0)),"Add to Ingredients"))</f>
        <v>0</v>
      </c>
      <c r="H234" s="45">
        <f>IF(B234="","",IFERROR(INDEX(Ingredients!$AD$5:$AD$304,MATCH(B234,Ingredients!$B$5:$B$304,0)),0))</f>
        <v>0</v>
      </c>
      <c r="I234" s="45">
        <f>IF(F234="","",MAX(0,F234-IF(H234="",0,H234)))</f>
        <v>0</v>
      </c>
      <c r="J234" s="45">
        <f>IF(B234="","",IFERROR(INDEX(Ingredients!$H$5:$H$304,MATCH(B234,Ingredients!$B$5:$B$304,0)),"Add to Ingredients"))</f>
        <v>0</v>
      </c>
      <c r="K234" s="25">
        <f>IF(B234="","",IFERROR(INDEX(Ingredients!$I$5:$I$304,MATCH(B234,Ingredients!$B$5:$B$304,0)),"Add to Ingredients"))</f>
        <v>0</v>
      </c>
      <c r="L234" s="25">
        <f>IF(B234="","",IFERROR(INDEX(Ingredients!$J$5:$J$304,MATCH(B234,Ingredients!$B$5:$B$304,0)),"Add to Ingredients"))</f>
        <v>0</v>
      </c>
      <c r="M234" s="45">
        <f>IF(OR(I234="",I234=0),"",IF(OR(J234="",NOT(ISNUMBER(J234)),J234=0),"",ROUNDUP(I234/J234,0)))</f>
        <v>0</v>
      </c>
      <c r="N234" s="45">
        <f>IF(I234="","",IF(RoundingRule="Exact quantity",I234,IF(M234="",I234,M234*J234)))</f>
        <v>0</v>
      </c>
      <c r="O234" s="25">
        <f>IF(N234="","",IF(RoundingRule="Exact quantity",IF(L234="","",N234*L234),IF(OR(M234="",K234=""),"",M234*K234)))</f>
        <v>0</v>
      </c>
      <c r="P234" s="25">
        <f>IF(B234="","",SUM(O$5:O234))</f>
        <v>0</v>
      </c>
      <c r="Q234" s="45">
        <f>IF(V234="Yes",0,IF(N234="",0,N234))</f>
        <v>0</v>
      </c>
      <c r="R234" s="18">
        <f>IF(OR(B234="",I234=0,I234=""),"",COUNTIFS($I$5:I234,"&gt;0"))</f>
        <v>0</v>
      </c>
      <c r="S234" s="18">
        <f>IF(B234="","",COUNTIFS('Recipe Ingredients'!$D$5:$D$1204,B234,'Recipe Ingredients'!$Y$5:$Y$1204,"&gt;0"))</f>
        <v>0</v>
      </c>
      <c r="T234" s="46">
        <f>IF(B234="","",IF(COUNTIFS('Recipe Ingredients'!$D$5:$D$1204,B234,'Recipe Ingredients'!$Y$5:$Y$1204,"&gt;0",'Recipe Ingredients'!$I$5:$I$1204,"No")=0,"Yes","No"))</f>
        <v>0</v>
      </c>
      <c r="U234" s="17">
        <f>IF(B234="","",IFERROR(INDEX(Ingredients!$W$5:$W$304,MATCH(B234,Ingredients!$B$5:$B$304,0)),"Add to Ingredients"))</f>
        <v>0</v>
      </c>
      <c r="Z234" s="31">
        <f>IF(B234="","",IF(V234="Yes","Bought",IF(I234=0,"In stock",IF(O234="","Check - no price","On the list"))))</f>
        <v>0</v>
      </c>
    </row>
    <row r="235" spans="1:26">
      <c r="A235" s="18">
        <f>ROW()-4</f>
        <v>0</v>
      </c>
      <c r="B235" s="17">
        <f>IFERROR(INDEX(Ingredients!$B$5:$B$304,MATCH(A235,Ingredients!$AL$5:$AL$304,0)),"")</f>
        <v>0</v>
      </c>
      <c r="C235" s="17">
        <f>IF(B235="","",IFERROR(INDEX(Ingredients!$C$5:$C$304,MATCH(B235,Ingredients!$B$5:$B$304,0)),"Add to Ingredients"))</f>
        <v>0</v>
      </c>
      <c r="D235" s="17">
        <f>IF(B235="","",IFERROR(INDEX(Ingredients!$D$5:$D$304,MATCH(B235,Ingredients!$B$5:$B$304,0)),"Add to Ingredients"))</f>
        <v>0</v>
      </c>
      <c r="E235" s="17">
        <f>IF(B235="","",IFERROR(INDEX(Ingredients!$E$5:$E$304,MATCH(B235,Ingredients!$B$5:$B$304,0)),"Add to Ingredients"))</f>
        <v>0</v>
      </c>
      <c r="F235" s="45">
        <f>IF(B235="","",IFERROR(INDEX(Ingredients!$AG$5:$AG$304,MATCH(B235,Ingredients!$B$5:$B$304,0)),""))</f>
        <v>0</v>
      </c>
      <c r="G235" s="17">
        <f>IF(B235="","",IFERROR(INDEX(Ingredients!$G$5:$G$304,MATCH(B235,Ingredients!$B$5:$B$304,0)),"Add to Ingredients"))</f>
        <v>0</v>
      </c>
      <c r="H235" s="45">
        <f>IF(B235="","",IFERROR(INDEX(Ingredients!$AD$5:$AD$304,MATCH(B235,Ingredients!$B$5:$B$304,0)),0))</f>
        <v>0</v>
      </c>
      <c r="I235" s="45">
        <f>IF(F235="","",MAX(0,F235-IF(H235="",0,H235)))</f>
        <v>0</v>
      </c>
      <c r="J235" s="45">
        <f>IF(B235="","",IFERROR(INDEX(Ingredients!$H$5:$H$304,MATCH(B235,Ingredients!$B$5:$B$304,0)),"Add to Ingredients"))</f>
        <v>0</v>
      </c>
      <c r="K235" s="25">
        <f>IF(B235="","",IFERROR(INDEX(Ingredients!$I$5:$I$304,MATCH(B235,Ingredients!$B$5:$B$304,0)),"Add to Ingredients"))</f>
        <v>0</v>
      </c>
      <c r="L235" s="25">
        <f>IF(B235="","",IFERROR(INDEX(Ingredients!$J$5:$J$304,MATCH(B235,Ingredients!$B$5:$B$304,0)),"Add to Ingredients"))</f>
        <v>0</v>
      </c>
      <c r="M235" s="45">
        <f>IF(OR(I235="",I235=0),"",IF(OR(J235="",NOT(ISNUMBER(J235)),J235=0),"",ROUNDUP(I235/J235,0)))</f>
        <v>0</v>
      </c>
      <c r="N235" s="45">
        <f>IF(I235="","",IF(RoundingRule="Exact quantity",I235,IF(M235="",I235,M235*J235)))</f>
        <v>0</v>
      </c>
      <c r="O235" s="25">
        <f>IF(N235="","",IF(RoundingRule="Exact quantity",IF(L235="","",N235*L235),IF(OR(M235="",K235=""),"",M235*K235)))</f>
        <v>0</v>
      </c>
      <c r="P235" s="25">
        <f>IF(B235="","",SUM(O$5:O235))</f>
        <v>0</v>
      </c>
      <c r="Q235" s="45">
        <f>IF(V235="Yes",0,IF(N235="",0,N235))</f>
        <v>0</v>
      </c>
      <c r="R235" s="18">
        <f>IF(OR(B235="",I235=0,I235=""),"",COUNTIFS($I$5:I235,"&gt;0"))</f>
        <v>0</v>
      </c>
      <c r="S235" s="18">
        <f>IF(B235="","",COUNTIFS('Recipe Ingredients'!$D$5:$D$1204,B235,'Recipe Ingredients'!$Y$5:$Y$1204,"&gt;0"))</f>
        <v>0</v>
      </c>
      <c r="T235" s="46">
        <f>IF(B235="","",IF(COUNTIFS('Recipe Ingredients'!$D$5:$D$1204,B235,'Recipe Ingredients'!$Y$5:$Y$1204,"&gt;0",'Recipe Ingredients'!$I$5:$I$1204,"No")=0,"Yes","No"))</f>
        <v>0</v>
      </c>
      <c r="U235" s="17">
        <f>IF(B235="","",IFERROR(INDEX(Ingredients!$W$5:$W$304,MATCH(B235,Ingredients!$B$5:$B$304,0)),"Add to Ingredients"))</f>
        <v>0</v>
      </c>
      <c r="Z235" s="31">
        <f>IF(B235="","",IF(V235="Yes","Bought",IF(I235=0,"In stock",IF(O235="","Check - no price","On the list"))))</f>
        <v>0</v>
      </c>
    </row>
    <row r="236" spans="1:26">
      <c r="A236" s="18">
        <f>ROW()-4</f>
        <v>0</v>
      </c>
      <c r="B236" s="17">
        <f>IFERROR(INDEX(Ingredients!$B$5:$B$304,MATCH(A236,Ingredients!$AL$5:$AL$304,0)),"")</f>
        <v>0</v>
      </c>
      <c r="C236" s="17">
        <f>IF(B236="","",IFERROR(INDEX(Ingredients!$C$5:$C$304,MATCH(B236,Ingredients!$B$5:$B$304,0)),"Add to Ingredients"))</f>
        <v>0</v>
      </c>
      <c r="D236" s="17">
        <f>IF(B236="","",IFERROR(INDEX(Ingredients!$D$5:$D$304,MATCH(B236,Ingredients!$B$5:$B$304,0)),"Add to Ingredients"))</f>
        <v>0</v>
      </c>
      <c r="E236" s="17">
        <f>IF(B236="","",IFERROR(INDEX(Ingredients!$E$5:$E$304,MATCH(B236,Ingredients!$B$5:$B$304,0)),"Add to Ingredients"))</f>
        <v>0</v>
      </c>
      <c r="F236" s="45">
        <f>IF(B236="","",IFERROR(INDEX(Ingredients!$AG$5:$AG$304,MATCH(B236,Ingredients!$B$5:$B$304,0)),""))</f>
        <v>0</v>
      </c>
      <c r="G236" s="17">
        <f>IF(B236="","",IFERROR(INDEX(Ingredients!$G$5:$G$304,MATCH(B236,Ingredients!$B$5:$B$304,0)),"Add to Ingredients"))</f>
        <v>0</v>
      </c>
      <c r="H236" s="45">
        <f>IF(B236="","",IFERROR(INDEX(Ingredients!$AD$5:$AD$304,MATCH(B236,Ingredients!$B$5:$B$304,0)),0))</f>
        <v>0</v>
      </c>
      <c r="I236" s="45">
        <f>IF(F236="","",MAX(0,F236-IF(H236="",0,H236)))</f>
        <v>0</v>
      </c>
      <c r="J236" s="45">
        <f>IF(B236="","",IFERROR(INDEX(Ingredients!$H$5:$H$304,MATCH(B236,Ingredients!$B$5:$B$304,0)),"Add to Ingredients"))</f>
        <v>0</v>
      </c>
      <c r="K236" s="25">
        <f>IF(B236="","",IFERROR(INDEX(Ingredients!$I$5:$I$304,MATCH(B236,Ingredients!$B$5:$B$304,0)),"Add to Ingredients"))</f>
        <v>0</v>
      </c>
      <c r="L236" s="25">
        <f>IF(B236="","",IFERROR(INDEX(Ingredients!$J$5:$J$304,MATCH(B236,Ingredients!$B$5:$B$304,0)),"Add to Ingredients"))</f>
        <v>0</v>
      </c>
      <c r="M236" s="45">
        <f>IF(OR(I236="",I236=0),"",IF(OR(J236="",NOT(ISNUMBER(J236)),J236=0),"",ROUNDUP(I236/J236,0)))</f>
        <v>0</v>
      </c>
      <c r="N236" s="45">
        <f>IF(I236="","",IF(RoundingRule="Exact quantity",I236,IF(M236="",I236,M236*J236)))</f>
        <v>0</v>
      </c>
      <c r="O236" s="25">
        <f>IF(N236="","",IF(RoundingRule="Exact quantity",IF(L236="","",N236*L236),IF(OR(M236="",K236=""),"",M236*K236)))</f>
        <v>0</v>
      </c>
      <c r="P236" s="25">
        <f>IF(B236="","",SUM(O$5:O236))</f>
        <v>0</v>
      </c>
      <c r="Q236" s="45">
        <f>IF(V236="Yes",0,IF(N236="",0,N236))</f>
        <v>0</v>
      </c>
      <c r="R236" s="18">
        <f>IF(OR(B236="",I236=0,I236=""),"",COUNTIFS($I$5:I236,"&gt;0"))</f>
        <v>0</v>
      </c>
      <c r="S236" s="18">
        <f>IF(B236="","",COUNTIFS('Recipe Ingredients'!$D$5:$D$1204,B236,'Recipe Ingredients'!$Y$5:$Y$1204,"&gt;0"))</f>
        <v>0</v>
      </c>
      <c r="T236" s="46">
        <f>IF(B236="","",IF(COUNTIFS('Recipe Ingredients'!$D$5:$D$1204,B236,'Recipe Ingredients'!$Y$5:$Y$1204,"&gt;0",'Recipe Ingredients'!$I$5:$I$1204,"No")=0,"Yes","No"))</f>
        <v>0</v>
      </c>
      <c r="U236" s="17">
        <f>IF(B236="","",IFERROR(INDEX(Ingredients!$W$5:$W$304,MATCH(B236,Ingredients!$B$5:$B$304,0)),"Add to Ingredients"))</f>
        <v>0</v>
      </c>
      <c r="Z236" s="31">
        <f>IF(B236="","",IF(V236="Yes","Bought",IF(I236=0,"In stock",IF(O236="","Check - no price","On the list"))))</f>
        <v>0</v>
      </c>
    </row>
    <row r="237" spans="1:26">
      <c r="A237" s="18">
        <f>ROW()-4</f>
        <v>0</v>
      </c>
      <c r="B237" s="17">
        <f>IFERROR(INDEX(Ingredients!$B$5:$B$304,MATCH(A237,Ingredients!$AL$5:$AL$304,0)),"")</f>
        <v>0</v>
      </c>
      <c r="C237" s="17">
        <f>IF(B237="","",IFERROR(INDEX(Ingredients!$C$5:$C$304,MATCH(B237,Ingredients!$B$5:$B$304,0)),"Add to Ingredients"))</f>
        <v>0</v>
      </c>
      <c r="D237" s="17">
        <f>IF(B237="","",IFERROR(INDEX(Ingredients!$D$5:$D$304,MATCH(B237,Ingredients!$B$5:$B$304,0)),"Add to Ingredients"))</f>
        <v>0</v>
      </c>
      <c r="E237" s="17">
        <f>IF(B237="","",IFERROR(INDEX(Ingredients!$E$5:$E$304,MATCH(B237,Ingredients!$B$5:$B$304,0)),"Add to Ingredients"))</f>
        <v>0</v>
      </c>
      <c r="F237" s="45">
        <f>IF(B237="","",IFERROR(INDEX(Ingredients!$AG$5:$AG$304,MATCH(B237,Ingredients!$B$5:$B$304,0)),""))</f>
        <v>0</v>
      </c>
      <c r="G237" s="17">
        <f>IF(B237="","",IFERROR(INDEX(Ingredients!$G$5:$G$304,MATCH(B237,Ingredients!$B$5:$B$304,0)),"Add to Ingredients"))</f>
        <v>0</v>
      </c>
      <c r="H237" s="45">
        <f>IF(B237="","",IFERROR(INDEX(Ingredients!$AD$5:$AD$304,MATCH(B237,Ingredients!$B$5:$B$304,0)),0))</f>
        <v>0</v>
      </c>
      <c r="I237" s="45">
        <f>IF(F237="","",MAX(0,F237-IF(H237="",0,H237)))</f>
        <v>0</v>
      </c>
      <c r="J237" s="45">
        <f>IF(B237="","",IFERROR(INDEX(Ingredients!$H$5:$H$304,MATCH(B237,Ingredients!$B$5:$B$304,0)),"Add to Ingredients"))</f>
        <v>0</v>
      </c>
      <c r="K237" s="25">
        <f>IF(B237="","",IFERROR(INDEX(Ingredients!$I$5:$I$304,MATCH(B237,Ingredients!$B$5:$B$304,0)),"Add to Ingredients"))</f>
        <v>0</v>
      </c>
      <c r="L237" s="25">
        <f>IF(B237="","",IFERROR(INDEX(Ingredients!$J$5:$J$304,MATCH(B237,Ingredients!$B$5:$B$304,0)),"Add to Ingredients"))</f>
        <v>0</v>
      </c>
      <c r="M237" s="45">
        <f>IF(OR(I237="",I237=0),"",IF(OR(J237="",NOT(ISNUMBER(J237)),J237=0),"",ROUNDUP(I237/J237,0)))</f>
        <v>0</v>
      </c>
      <c r="N237" s="45">
        <f>IF(I237="","",IF(RoundingRule="Exact quantity",I237,IF(M237="",I237,M237*J237)))</f>
        <v>0</v>
      </c>
      <c r="O237" s="25">
        <f>IF(N237="","",IF(RoundingRule="Exact quantity",IF(L237="","",N237*L237),IF(OR(M237="",K237=""),"",M237*K237)))</f>
        <v>0</v>
      </c>
      <c r="P237" s="25">
        <f>IF(B237="","",SUM(O$5:O237))</f>
        <v>0</v>
      </c>
      <c r="Q237" s="45">
        <f>IF(V237="Yes",0,IF(N237="",0,N237))</f>
        <v>0</v>
      </c>
      <c r="R237" s="18">
        <f>IF(OR(B237="",I237=0,I237=""),"",COUNTIFS($I$5:I237,"&gt;0"))</f>
        <v>0</v>
      </c>
      <c r="S237" s="18">
        <f>IF(B237="","",COUNTIFS('Recipe Ingredients'!$D$5:$D$1204,B237,'Recipe Ingredients'!$Y$5:$Y$1204,"&gt;0"))</f>
        <v>0</v>
      </c>
      <c r="T237" s="46">
        <f>IF(B237="","",IF(COUNTIFS('Recipe Ingredients'!$D$5:$D$1204,B237,'Recipe Ingredients'!$Y$5:$Y$1204,"&gt;0",'Recipe Ingredients'!$I$5:$I$1204,"No")=0,"Yes","No"))</f>
        <v>0</v>
      </c>
      <c r="U237" s="17">
        <f>IF(B237="","",IFERROR(INDEX(Ingredients!$W$5:$W$304,MATCH(B237,Ingredients!$B$5:$B$304,0)),"Add to Ingredients"))</f>
        <v>0</v>
      </c>
      <c r="Z237" s="31">
        <f>IF(B237="","",IF(V237="Yes","Bought",IF(I237=0,"In stock",IF(O237="","Check - no price","On the list"))))</f>
        <v>0</v>
      </c>
    </row>
    <row r="238" spans="1:26">
      <c r="A238" s="18">
        <f>ROW()-4</f>
        <v>0</v>
      </c>
      <c r="B238" s="17">
        <f>IFERROR(INDEX(Ingredients!$B$5:$B$304,MATCH(A238,Ingredients!$AL$5:$AL$304,0)),"")</f>
        <v>0</v>
      </c>
      <c r="C238" s="17">
        <f>IF(B238="","",IFERROR(INDEX(Ingredients!$C$5:$C$304,MATCH(B238,Ingredients!$B$5:$B$304,0)),"Add to Ingredients"))</f>
        <v>0</v>
      </c>
      <c r="D238" s="17">
        <f>IF(B238="","",IFERROR(INDEX(Ingredients!$D$5:$D$304,MATCH(B238,Ingredients!$B$5:$B$304,0)),"Add to Ingredients"))</f>
        <v>0</v>
      </c>
      <c r="E238" s="17">
        <f>IF(B238="","",IFERROR(INDEX(Ingredients!$E$5:$E$304,MATCH(B238,Ingredients!$B$5:$B$304,0)),"Add to Ingredients"))</f>
        <v>0</v>
      </c>
      <c r="F238" s="45">
        <f>IF(B238="","",IFERROR(INDEX(Ingredients!$AG$5:$AG$304,MATCH(B238,Ingredients!$B$5:$B$304,0)),""))</f>
        <v>0</v>
      </c>
      <c r="G238" s="17">
        <f>IF(B238="","",IFERROR(INDEX(Ingredients!$G$5:$G$304,MATCH(B238,Ingredients!$B$5:$B$304,0)),"Add to Ingredients"))</f>
        <v>0</v>
      </c>
      <c r="H238" s="45">
        <f>IF(B238="","",IFERROR(INDEX(Ingredients!$AD$5:$AD$304,MATCH(B238,Ingredients!$B$5:$B$304,0)),0))</f>
        <v>0</v>
      </c>
      <c r="I238" s="45">
        <f>IF(F238="","",MAX(0,F238-IF(H238="",0,H238)))</f>
        <v>0</v>
      </c>
      <c r="J238" s="45">
        <f>IF(B238="","",IFERROR(INDEX(Ingredients!$H$5:$H$304,MATCH(B238,Ingredients!$B$5:$B$304,0)),"Add to Ingredients"))</f>
        <v>0</v>
      </c>
      <c r="K238" s="25">
        <f>IF(B238="","",IFERROR(INDEX(Ingredients!$I$5:$I$304,MATCH(B238,Ingredients!$B$5:$B$304,0)),"Add to Ingredients"))</f>
        <v>0</v>
      </c>
      <c r="L238" s="25">
        <f>IF(B238="","",IFERROR(INDEX(Ingredients!$J$5:$J$304,MATCH(B238,Ingredients!$B$5:$B$304,0)),"Add to Ingredients"))</f>
        <v>0</v>
      </c>
      <c r="M238" s="45">
        <f>IF(OR(I238="",I238=0),"",IF(OR(J238="",NOT(ISNUMBER(J238)),J238=0),"",ROUNDUP(I238/J238,0)))</f>
        <v>0</v>
      </c>
      <c r="N238" s="45">
        <f>IF(I238="","",IF(RoundingRule="Exact quantity",I238,IF(M238="",I238,M238*J238)))</f>
        <v>0</v>
      </c>
      <c r="O238" s="25">
        <f>IF(N238="","",IF(RoundingRule="Exact quantity",IF(L238="","",N238*L238),IF(OR(M238="",K238=""),"",M238*K238)))</f>
        <v>0</v>
      </c>
      <c r="P238" s="25">
        <f>IF(B238="","",SUM(O$5:O238))</f>
        <v>0</v>
      </c>
      <c r="Q238" s="45">
        <f>IF(V238="Yes",0,IF(N238="",0,N238))</f>
        <v>0</v>
      </c>
      <c r="R238" s="18">
        <f>IF(OR(B238="",I238=0,I238=""),"",COUNTIFS($I$5:I238,"&gt;0"))</f>
        <v>0</v>
      </c>
      <c r="S238" s="18">
        <f>IF(B238="","",COUNTIFS('Recipe Ingredients'!$D$5:$D$1204,B238,'Recipe Ingredients'!$Y$5:$Y$1204,"&gt;0"))</f>
        <v>0</v>
      </c>
      <c r="T238" s="46">
        <f>IF(B238="","",IF(COUNTIFS('Recipe Ingredients'!$D$5:$D$1204,B238,'Recipe Ingredients'!$Y$5:$Y$1204,"&gt;0",'Recipe Ingredients'!$I$5:$I$1204,"No")=0,"Yes","No"))</f>
        <v>0</v>
      </c>
      <c r="U238" s="17">
        <f>IF(B238="","",IFERROR(INDEX(Ingredients!$W$5:$W$304,MATCH(B238,Ingredients!$B$5:$B$304,0)),"Add to Ingredients"))</f>
        <v>0</v>
      </c>
      <c r="Z238" s="31">
        <f>IF(B238="","",IF(V238="Yes","Bought",IF(I238=0,"In stock",IF(O238="","Check - no price","On the list"))))</f>
        <v>0</v>
      </c>
    </row>
    <row r="239" spans="1:26">
      <c r="A239" s="18">
        <f>ROW()-4</f>
        <v>0</v>
      </c>
      <c r="B239" s="17">
        <f>IFERROR(INDEX(Ingredients!$B$5:$B$304,MATCH(A239,Ingredients!$AL$5:$AL$304,0)),"")</f>
        <v>0</v>
      </c>
      <c r="C239" s="17">
        <f>IF(B239="","",IFERROR(INDEX(Ingredients!$C$5:$C$304,MATCH(B239,Ingredients!$B$5:$B$304,0)),"Add to Ingredients"))</f>
        <v>0</v>
      </c>
      <c r="D239" s="17">
        <f>IF(B239="","",IFERROR(INDEX(Ingredients!$D$5:$D$304,MATCH(B239,Ingredients!$B$5:$B$304,0)),"Add to Ingredients"))</f>
        <v>0</v>
      </c>
      <c r="E239" s="17">
        <f>IF(B239="","",IFERROR(INDEX(Ingredients!$E$5:$E$304,MATCH(B239,Ingredients!$B$5:$B$304,0)),"Add to Ingredients"))</f>
        <v>0</v>
      </c>
      <c r="F239" s="45">
        <f>IF(B239="","",IFERROR(INDEX(Ingredients!$AG$5:$AG$304,MATCH(B239,Ingredients!$B$5:$B$304,0)),""))</f>
        <v>0</v>
      </c>
      <c r="G239" s="17">
        <f>IF(B239="","",IFERROR(INDEX(Ingredients!$G$5:$G$304,MATCH(B239,Ingredients!$B$5:$B$304,0)),"Add to Ingredients"))</f>
        <v>0</v>
      </c>
      <c r="H239" s="45">
        <f>IF(B239="","",IFERROR(INDEX(Ingredients!$AD$5:$AD$304,MATCH(B239,Ingredients!$B$5:$B$304,0)),0))</f>
        <v>0</v>
      </c>
      <c r="I239" s="45">
        <f>IF(F239="","",MAX(0,F239-IF(H239="",0,H239)))</f>
        <v>0</v>
      </c>
      <c r="J239" s="45">
        <f>IF(B239="","",IFERROR(INDEX(Ingredients!$H$5:$H$304,MATCH(B239,Ingredients!$B$5:$B$304,0)),"Add to Ingredients"))</f>
        <v>0</v>
      </c>
      <c r="K239" s="25">
        <f>IF(B239="","",IFERROR(INDEX(Ingredients!$I$5:$I$304,MATCH(B239,Ingredients!$B$5:$B$304,0)),"Add to Ingredients"))</f>
        <v>0</v>
      </c>
      <c r="L239" s="25">
        <f>IF(B239="","",IFERROR(INDEX(Ingredients!$J$5:$J$304,MATCH(B239,Ingredients!$B$5:$B$304,0)),"Add to Ingredients"))</f>
        <v>0</v>
      </c>
      <c r="M239" s="45">
        <f>IF(OR(I239="",I239=0),"",IF(OR(J239="",NOT(ISNUMBER(J239)),J239=0),"",ROUNDUP(I239/J239,0)))</f>
        <v>0</v>
      </c>
      <c r="N239" s="45">
        <f>IF(I239="","",IF(RoundingRule="Exact quantity",I239,IF(M239="",I239,M239*J239)))</f>
        <v>0</v>
      </c>
      <c r="O239" s="25">
        <f>IF(N239="","",IF(RoundingRule="Exact quantity",IF(L239="","",N239*L239),IF(OR(M239="",K239=""),"",M239*K239)))</f>
        <v>0</v>
      </c>
      <c r="P239" s="25">
        <f>IF(B239="","",SUM(O$5:O239))</f>
        <v>0</v>
      </c>
      <c r="Q239" s="45">
        <f>IF(V239="Yes",0,IF(N239="",0,N239))</f>
        <v>0</v>
      </c>
      <c r="R239" s="18">
        <f>IF(OR(B239="",I239=0,I239=""),"",COUNTIFS($I$5:I239,"&gt;0"))</f>
        <v>0</v>
      </c>
      <c r="S239" s="18">
        <f>IF(B239="","",COUNTIFS('Recipe Ingredients'!$D$5:$D$1204,B239,'Recipe Ingredients'!$Y$5:$Y$1204,"&gt;0"))</f>
        <v>0</v>
      </c>
      <c r="T239" s="46">
        <f>IF(B239="","",IF(COUNTIFS('Recipe Ingredients'!$D$5:$D$1204,B239,'Recipe Ingredients'!$Y$5:$Y$1204,"&gt;0",'Recipe Ingredients'!$I$5:$I$1204,"No")=0,"Yes","No"))</f>
        <v>0</v>
      </c>
      <c r="U239" s="17">
        <f>IF(B239="","",IFERROR(INDEX(Ingredients!$W$5:$W$304,MATCH(B239,Ingredients!$B$5:$B$304,0)),"Add to Ingredients"))</f>
        <v>0</v>
      </c>
      <c r="Z239" s="31">
        <f>IF(B239="","",IF(V239="Yes","Bought",IF(I239=0,"In stock",IF(O239="","Check - no price","On the list"))))</f>
        <v>0</v>
      </c>
    </row>
    <row r="240" spans="1:26">
      <c r="A240" s="18">
        <f>ROW()-4</f>
        <v>0</v>
      </c>
      <c r="B240" s="17">
        <f>IFERROR(INDEX(Ingredients!$B$5:$B$304,MATCH(A240,Ingredients!$AL$5:$AL$304,0)),"")</f>
        <v>0</v>
      </c>
      <c r="C240" s="17">
        <f>IF(B240="","",IFERROR(INDEX(Ingredients!$C$5:$C$304,MATCH(B240,Ingredients!$B$5:$B$304,0)),"Add to Ingredients"))</f>
        <v>0</v>
      </c>
      <c r="D240" s="17">
        <f>IF(B240="","",IFERROR(INDEX(Ingredients!$D$5:$D$304,MATCH(B240,Ingredients!$B$5:$B$304,0)),"Add to Ingredients"))</f>
        <v>0</v>
      </c>
      <c r="E240" s="17">
        <f>IF(B240="","",IFERROR(INDEX(Ingredients!$E$5:$E$304,MATCH(B240,Ingredients!$B$5:$B$304,0)),"Add to Ingredients"))</f>
        <v>0</v>
      </c>
      <c r="F240" s="45">
        <f>IF(B240="","",IFERROR(INDEX(Ingredients!$AG$5:$AG$304,MATCH(B240,Ingredients!$B$5:$B$304,0)),""))</f>
        <v>0</v>
      </c>
      <c r="G240" s="17">
        <f>IF(B240="","",IFERROR(INDEX(Ingredients!$G$5:$G$304,MATCH(B240,Ingredients!$B$5:$B$304,0)),"Add to Ingredients"))</f>
        <v>0</v>
      </c>
      <c r="H240" s="45">
        <f>IF(B240="","",IFERROR(INDEX(Ingredients!$AD$5:$AD$304,MATCH(B240,Ingredients!$B$5:$B$304,0)),0))</f>
        <v>0</v>
      </c>
      <c r="I240" s="45">
        <f>IF(F240="","",MAX(0,F240-IF(H240="",0,H240)))</f>
        <v>0</v>
      </c>
      <c r="J240" s="45">
        <f>IF(B240="","",IFERROR(INDEX(Ingredients!$H$5:$H$304,MATCH(B240,Ingredients!$B$5:$B$304,0)),"Add to Ingredients"))</f>
        <v>0</v>
      </c>
      <c r="K240" s="25">
        <f>IF(B240="","",IFERROR(INDEX(Ingredients!$I$5:$I$304,MATCH(B240,Ingredients!$B$5:$B$304,0)),"Add to Ingredients"))</f>
        <v>0</v>
      </c>
      <c r="L240" s="25">
        <f>IF(B240="","",IFERROR(INDEX(Ingredients!$J$5:$J$304,MATCH(B240,Ingredients!$B$5:$B$304,0)),"Add to Ingredients"))</f>
        <v>0</v>
      </c>
      <c r="M240" s="45">
        <f>IF(OR(I240="",I240=0),"",IF(OR(J240="",NOT(ISNUMBER(J240)),J240=0),"",ROUNDUP(I240/J240,0)))</f>
        <v>0</v>
      </c>
      <c r="N240" s="45">
        <f>IF(I240="","",IF(RoundingRule="Exact quantity",I240,IF(M240="",I240,M240*J240)))</f>
        <v>0</v>
      </c>
      <c r="O240" s="25">
        <f>IF(N240="","",IF(RoundingRule="Exact quantity",IF(L240="","",N240*L240),IF(OR(M240="",K240=""),"",M240*K240)))</f>
        <v>0</v>
      </c>
      <c r="P240" s="25">
        <f>IF(B240="","",SUM(O$5:O240))</f>
        <v>0</v>
      </c>
      <c r="Q240" s="45">
        <f>IF(V240="Yes",0,IF(N240="",0,N240))</f>
        <v>0</v>
      </c>
      <c r="R240" s="18">
        <f>IF(OR(B240="",I240=0,I240=""),"",COUNTIFS($I$5:I240,"&gt;0"))</f>
        <v>0</v>
      </c>
      <c r="S240" s="18">
        <f>IF(B240="","",COUNTIFS('Recipe Ingredients'!$D$5:$D$1204,B240,'Recipe Ingredients'!$Y$5:$Y$1204,"&gt;0"))</f>
        <v>0</v>
      </c>
      <c r="T240" s="46">
        <f>IF(B240="","",IF(COUNTIFS('Recipe Ingredients'!$D$5:$D$1204,B240,'Recipe Ingredients'!$Y$5:$Y$1204,"&gt;0",'Recipe Ingredients'!$I$5:$I$1204,"No")=0,"Yes","No"))</f>
        <v>0</v>
      </c>
      <c r="U240" s="17">
        <f>IF(B240="","",IFERROR(INDEX(Ingredients!$W$5:$W$304,MATCH(B240,Ingredients!$B$5:$B$304,0)),"Add to Ingredients"))</f>
        <v>0</v>
      </c>
      <c r="Z240" s="31">
        <f>IF(B240="","",IF(V240="Yes","Bought",IF(I240=0,"In stock",IF(O240="","Check - no price","On the list"))))</f>
        <v>0</v>
      </c>
    </row>
    <row r="241" spans="1:26">
      <c r="A241" s="18">
        <f>ROW()-4</f>
        <v>0</v>
      </c>
      <c r="B241" s="17">
        <f>IFERROR(INDEX(Ingredients!$B$5:$B$304,MATCH(A241,Ingredients!$AL$5:$AL$304,0)),"")</f>
        <v>0</v>
      </c>
      <c r="C241" s="17">
        <f>IF(B241="","",IFERROR(INDEX(Ingredients!$C$5:$C$304,MATCH(B241,Ingredients!$B$5:$B$304,0)),"Add to Ingredients"))</f>
        <v>0</v>
      </c>
      <c r="D241" s="17">
        <f>IF(B241="","",IFERROR(INDEX(Ingredients!$D$5:$D$304,MATCH(B241,Ingredients!$B$5:$B$304,0)),"Add to Ingredients"))</f>
        <v>0</v>
      </c>
      <c r="E241" s="17">
        <f>IF(B241="","",IFERROR(INDEX(Ingredients!$E$5:$E$304,MATCH(B241,Ingredients!$B$5:$B$304,0)),"Add to Ingredients"))</f>
        <v>0</v>
      </c>
      <c r="F241" s="45">
        <f>IF(B241="","",IFERROR(INDEX(Ingredients!$AG$5:$AG$304,MATCH(B241,Ingredients!$B$5:$B$304,0)),""))</f>
        <v>0</v>
      </c>
      <c r="G241" s="17">
        <f>IF(B241="","",IFERROR(INDEX(Ingredients!$G$5:$G$304,MATCH(B241,Ingredients!$B$5:$B$304,0)),"Add to Ingredients"))</f>
        <v>0</v>
      </c>
      <c r="H241" s="45">
        <f>IF(B241="","",IFERROR(INDEX(Ingredients!$AD$5:$AD$304,MATCH(B241,Ingredients!$B$5:$B$304,0)),0))</f>
        <v>0</v>
      </c>
      <c r="I241" s="45">
        <f>IF(F241="","",MAX(0,F241-IF(H241="",0,H241)))</f>
        <v>0</v>
      </c>
      <c r="J241" s="45">
        <f>IF(B241="","",IFERROR(INDEX(Ingredients!$H$5:$H$304,MATCH(B241,Ingredients!$B$5:$B$304,0)),"Add to Ingredients"))</f>
        <v>0</v>
      </c>
      <c r="K241" s="25">
        <f>IF(B241="","",IFERROR(INDEX(Ingredients!$I$5:$I$304,MATCH(B241,Ingredients!$B$5:$B$304,0)),"Add to Ingredients"))</f>
        <v>0</v>
      </c>
      <c r="L241" s="25">
        <f>IF(B241="","",IFERROR(INDEX(Ingredients!$J$5:$J$304,MATCH(B241,Ingredients!$B$5:$B$304,0)),"Add to Ingredients"))</f>
        <v>0</v>
      </c>
      <c r="M241" s="45">
        <f>IF(OR(I241="",I241=0),"",IF(OR(J241="",NOT(ISNUMBER(J241)),J241=0),"",ROUNDUP(I241/J241,0)))</f>
        <v>0</v>
      </c>
      <c r="N241" s="45">
        <f>IF(I241="","",IF(RoundingRule="Exact quantity",I241,IF(M241="",I241,M241*J241)))</f>
        <v>0</v>
      </c>
      <c r="O241" s="25">
        <f>IF(N241="","",IF(RoundingRule="Exact quantity",IF(L241="","",N241*L241),IF(OR(M241="",K241=""),"",M241*K241)))</f>
        <v>0</v>
      </c>
      <c r="P241" s="25">
        <f>IF(B241="","",SUM(O$5:O241))</f>
        <v>0</v>
      </c>
      <c r="Q241" s="45">
        <f>IF(V241="Yes",0,IF(N241="",0,N241))</f>
        <v>0</v>
      </c>
      <c r="R241" s="18">
        <f>IF(OR(B241="",I241=0,I241=""),"",COUNTIFS($I$5:I241,"&gt;0"))</f>
        <v>0</v>
      </c>
      <c r="S241" s="18">
        <f>IF(B241="","",COUNTIFS('Recipe Ingredients'!$D$5:$D$1204,B241,'Recipe Ingredients'!$Y$5:$Y$1204,"&gt;0"))</f>
        <v>0</v>
      </c>
      <c r="T241" s="46">
        <f>IF(B241="","",IF(COUNTIFS('Recipe Ingredients'!$D$5:$D$1204,B241,'Recipe Ingredients'!$Y$5:$Y$1204,"&gt;0",'Recipe Ingredients'!$I$5:$I$1204,"No")=0,"Yes","No"))</f>
        <v>0</v>
      </c>
      <c r="U241" s="17">
        <f>IF(B241="","",IFERROR(INDEX(Ingredients!$W$5:$W$304,MATCH(B241,Ingredients!$B$5:$B$304,0)),"Add to Ingredients"))</f>
        <v>0</v>
      </c>
      <c r="Z241" s="31">
        <f>IF(B241="","",IF(V241="Yes","Bought",IF(I241=0,"In stock",IF(O241="","Check - no price","On the list"))))</f>
        <v>0</v>
      </c>
    </row>
    <row r="242" spans="1:26">
      <c r="A242" s="18">
        <f>ROW()-4</f>
        <v>0</v>
      </c>
      <c r="B242" s="17">
        <f>IFERROR(INDEX(Ingredients!$B$5:$B$304,MATCH(A242,Ingredients!$AL$5:$AL$304,0)),"")</f>
        <v>0</v>
      </c>
      <c r="C242" s="17">
        <f>IF(B242="","",IFERROR(INDEX(Ingredients!$C$5:$C$304,MATCH(B242,Ingredients!$B$5:$B$304,0)),"Add to Ingredients"))</f>
        <v>0</v>
      </c>
      <c r="D242" s="17">
        <f>IF(B242="","",IFERROR(INDEX(Ingredients!$D$5:$D$304,MATCH(B242,Ingredients!$B$5:$B$304,0)),"Add to Ingredients"))</f>
        <v>0</v>
      </c>
      <c r="E242" s="17">
        <f>IF(B242="","",IFERROR(INDEX(Ingredients!$E$5:$E$304,MATCH(B242,Ingredients!$B$5:$B$304,0)),"Add to Ingredients"))</f>
        <v>0</v>
      </c>
      <c r="F242" s="45">
        <f>IF(B242="","",IFERROR(INDEX(Ingredients!$AG$5:$AG$304,MATCH(B242,Ingredients!$B$5:$B$304,0)),""))</f>
        <v>0</v>
      </c>
      <c r="G242" s="17">
        <f>IF(B242="","",IFERROR(INDEX(Ingredients!$G$5:$G$304,MATCH(B242,Ingredients!$B$5:$B$304,0)),"Add to Ingredients"))</f>
        <v>0</v>
      </c>
      <c r="H242" s="45">
        <f>IF(B242="","",IFERROR(INDEX(Ingredients!$AD$5:$AD$304,MATCH(B242,Ingredients!$B$5:$B$304,0)),0))</f>
        <v>0</v>
      </c>
      <c r="I242" s="45">
        <f>IF(F242="","",MAX(0,F242-IF(H242="",0,H242)))</f>
        <v>0</v>
      </c>
      <c r="J242" s="45">
        <f>IF(B242="","",IFERROR(INDEX(Ingredients!$H$5:$H$304,MATCH(B242,Ingredients!$B$5:$B$304,0)),"Add to Ingredients"))</f>
        <v>0</v>
      </c>
      <c r="K242" s="25">
        <f>IF(B242="","",IFERROR(INDEX(Ingredients!$I$5:$I$304,MATCH(B242,Ingredients!$B$5:$B$304,0)),"Add to Ingredients"))</f>
        <v>0</v>
      </c>
      <c r="L242" s="25">
        <f>IF(B242="","",IFERROR(INDEX(Ingredients!$J$5:$J$304,MATCH(B242,Ingredients!$B$5:$B$304,0)),"Add to Ingredients"))</f>
        <v>0</v>
      </c>
      <c r="M242" s="45">
        <f>IF(OR(I242="",I242=0),"",IF(OR(J242="",NOT(ISNUMBER(J242)),J242=0),"",ROUNDUP(I242/J242,0)))</f>
        <v>0</v>
      </c>
      <c r="N242" s="45">
        <f>IF(I242="","",IF(RoundingRule="Exact quantity",I242,IF(M242="",I242,M242*J242)))</f>
        <v>0</v>
      </c>
      <c r="O242" s="25">
        <f>IF(N242="","",IF(RoundingRule="Exact quantity",IF(L242="","",N242*L242),IF(OR(M242="",K242=""),"",M242*K242)))</f>
        <v>0</v>
      </c>
      <c r="P242" s="25">
        <f>IF(B242="","",SUM(O$5:O242))</f>
        <v>0</v>
      </c>
      <c r="Q242" s="45">
        <f>IF(V242="Yes",0,IF(N242="",0,N242))</f>
        <v>0</v>
      </c>
      <c r="R242" s="18">
        <f>IF(OR(B242="",I242=0,I242=""),"",COUNTIFS($I$5:I242,"&gt;0"))</f>
        <v>0</v>
      </c>
      <c r="S242" s="18">
        <f>IF(B242="","",COUNTIFS('Recipe Ingredients'!$D$5:$D$1204,B242,'Recipe Ingredients'!$Y$5:$Y$1204,"&gt;0"))</f>
        <v>0</v>
      </c>
      <c r="T242" s="46">
        <f>IF(B242="","",IF(COUNTIFS('Recipe Ingredients'!$D$5:$D$1204,B242,'Recipe Ingredients'!$Y$5:$Y$1204,"&gt;0",'Recipe Ingredients'!$I$5:$I$1204,"No")=0,"Yes","No"))</f>
        <v>0</v>
      </c>
      <c r="U242" s="17">
        <f>IF(B242="","",IFERROR(INDEX(Ingredients!$W$5:$W$304,MATCH(B242,Ingredients!$B$5:$B$304,0)),"Add to Ingredients"))</f>
        <v>0</v>
      </c>
      <c r="Z242" s="31">
        <f>IF(B242="","",IF(V242="Yes","Bought",IF(I242=0,"In stock",IF(O242="","Check - no price","On the list"))))</f>
        <v>0</v>
      </c>
    </row>
    <row r="243" spans="1:26">
      <c r="A243" s="18">
        <f>ROW()-4</f>
        <v>0</v>
      </c>
      <c r="B243" s="17">
        <f>IFERROR(INDEX(Ingredients!$B$5:$B$304,MATCH(A243,Ingredients!$AL$5:$AL$304,0)),"")</f>
        <v>0</v>
      </c>
      <c r="C243" s="17">
        <f>IF(B243="","",IFERROR(INDEX(Ingredients!$C$5:$C$304,MATCH(B243,Ingredients!$B$5:$B$304,0)),"Add to Ingredients"))</f>
        <v>0</v>
      </c>
      <c r="D243" s="17">
        <f>IF(B243="","",IFERROR(INDEX(Ingredients!$D$5:$D$304,MATCH(B243,Ingredients!$B$5:$B$304,0)),"Add to Ingredients"))</f>
        <v>0</v>
      </c>
      <c r="E243" s="17">
        <f>IF(B243="","",IFERROR(INDEX(Ingredients!$E$5:$E$304,MATCH(B243,Ingredients!$B$5:$B$304,0)),"Add to Ingredients"))</f>
        <v>0</v>
      </c>
      <c r="F243" s="45">
        <f>IF(B243="","",IFERROR(INDEX(Ingredients!$AG$5:$AG$304,MATCH(B243,Ingredients!$B$5:$B$304,0)),""))</f>
        <v>0</v>
      </c>
      <c r="G243" s="17">
        <f>IF(B243="","",IFERROR(INDEX(Ingredients!$G$5:$G$304,MATCH(B243,Ingredients!$B$5:$B$304,0)),"Add to Ingredients"))</f>
        <v>0</v>
      </c>
      <c r="H243" s="45">
        <f>IF(B243="","",IFERROR(INDEX(Ingredients!$AD$5:$AD$304,MATCH(B243,Ingredients!$B$5:$B$304,0)),0))</f>
        <v>0</v>
      </c>
      <c r="I243" s="45">
        <f>IF(F243="","",MAX(0,F243-IF(H243="",0,H243)))</f>
        <v>0</v>
      </c>
      <c r="J243" s="45">
        <f>IF(B243="","",IFERROR(INDEX(Ingredients!$H$5:$H$304,MATCH(B243,Ingredients!$B$5:$B$304,0)),"Add to Ingredients"))</f>
        <v>0</v>
      </c>
      <c r="K243" s="25">
        <f>IF(B243="","",IFERROR(INDEX(Ingredients!$I$5:$I$304,MATCH(B243,Ingredients!$B$5:$B$304,0)),"Add to Ingredients"))</f>
        <v>0</v>
      </c>
      <c r="L243" s="25">
        <f>IF(B243="","",IFERROR(INDEX(Ingredients!$J$5:$J$304,MATCH(B243,Ingredients!$B$5:$B$304,0)),"Add to Ingredients"))</f>
        <v>0</v>
      </c>
      <c r="M243" s="45">
        <f>IF(OR(I243="",I243=0),"",IF(OR(J243="",NOT(ISNUMBER(J243)),J243=0),"",ROUNDUP(I243/J243,0)))</f>
        <v>0</v>
      </c>
      <c r="N243" s="45">
        <f>IF(I243="","",IF(RoundingRule="Exact quantity",I243,IF(M243="",I243,M243*J243)))</f>
        <v>0</v>
      </c>
      <c r="O243" s="25">
        <f>IF(N243="","",IF(RoundingRule="Exact quantity",IF(L243="","",N243*L243),IF(OR(M243="",K243=""),"",M243*K243)))</f>
        <v>0</v>
      </c>
      <c r="P243" s="25">
        <f>IF(B243="","",SUM(O$5:O243))</f>
        <v>0</v>
      </c>
      <c r="Q243" s="45">
        <f>IF(V243="Yes",0,IF(N243="",0,N243))</f>
        <v>0</v>
      </c>
      <c r="R243" s="18">
        <f>IF(OR(B243="",I243=0,I243=""),"",COUNTIFS($I$5:I243,"&gt;0"))</f>
        <v>0</v>
      </c>
      <c r="S243" s="18">
        <f>IF(B243="","",COUNTIFS('Recipe Ingredients'!$D$5:$D$1204,B243,'Recipe Ingredients'!$Y$5:$Y$1204,"&gt;0"))</f>
        <v>0</v>
      </c>
      <c r="T243" s="46">
        <f>IF(B243="","",IF(COUNTIFS('Recipe Ingredients'!$D$5:$D$1204,B243,'Recipe Ingredients'!$Y$5:$Y$1204,"&gt;0",'Recipe Ingredients'!$I$5:$I$1204,"No")=0,"Yes","No"))</f>
        <v>0</v>
      </c>
      <c r="U243" s="17">
        <f>IF(B243="","",IFERROR(INDEX(Ingredients!$W$5:$W$304,MATCH(B243,Ingredients!$B$5:$B$304,0)),"Add to Ingredients"))</f>
        <v>0</v>
      </c>
      <c r="Z243" s="31">
        <f>IF(B243="","",IF(V243="Yes","Bought",IF(I243=0,"In stock",IF(O243="","Check - no price","On the list"))))</f>
        <v>0</v>
      </c>
    </row>
    <row r="244" spans="1:26">
      <c r="A244" s="18">
        <f>ROW()-4</f>
        <v>0</v>
      </c>
      <c r="B244" s="17">
        <f>IFERROR(INDEX(Ingredients!$B$5:$B$304,MATCH(A244,Ingredients!$AL$5:$AL$304,0)),"")</f>
        <v>0</v>
      </c>
      <c r="C244" s="17">
        <f>IF(B244="","",IFERROR(INDEX(Ingredients!$C$5:$C$304,MATCH(B244,Ingredients!$B$5:$B$304,0)),"Add to Ingredients"))</f>
        <v>0</v>
      </c>
      <c r="D244" s="17">
        <f>IF(B244="","",IFERROR(INDEX(Ingredients!$D$5:$D$304,MATCH(B244,Ingredients!$B$5:$B$304,0)),"Add to Ingredients"))</f>
        <v>0</v>
      </c>
      <c r="E244" s="17">
        <f>IF(B244="","",IFERROR(INDEX(Ingredients!$E$5:$E$304,MATCH(B244,Ingredients!$B$5:$B$304,0)),"Add to Ingredients"))</f>
        <v>0</v>
      </c>
      <c r="F244" s="45">
        <f>IF(B244="","",IFERROR(INDEX(Ingredients!$AG$5:$AG$304,MATCH(B244,Ingredients!$B$5:$B$304,0)),""))</f>
        <v>0</v>
      </c>
      <c r="G244" s="17">
        <f>IF(B244="","",IFERROR(INDEX(Ingredients!$G$5:$G$304,MATCH(B244,Ingredients!$B$5:$B$304,0)),"Add to Ingredients"))</f>
        <v>0</v>
      </c>
      <c r="H244" s="45">
        <f>IF(B244="","",IFERROR(INDEX(Ingredients!$AD$5:$AD$304,MATCH(B244,Ingredients!$B$5:$B$304,0)),0))</f>
        <v>0</v>
      </c>
      <c r="I244" s="45">
        <f>IF(F244="","",MAX(0,F244-IF(H244="",0,H244)))</f>
        <v>0</v>
      </c>
      <c r="J244" s="45">
        <f>IF(B244="","",IFERROR(INDEX(Ingredients!$H$5:$H$304,MATCH(B244,Ingredients!$B$5:$B$304,0)),"Add to Ingredients"))</f>
        <v>0</v>
      </c>
      <c r="K244" s="25">
        <f>IF(B244="","",IFERROR(INDEX(Ingredients!$I$5:$I$304,MATCH(B244,Ingredients!$B$5:$B$304,0)),"Add to Ingredients"))</f>
        <v>0</v>
      </c>
      <c r="L244" s="25">
        <f>IF(B244="","",IFERROR(INDEX(Ingredients!$J$5:$J$304,MATCH(B244,Ingredients!$B$5:$B$304,0)),"Add to Ingredients"))</f>
        <v>0</v>
      </c>
      <c r="M244" s="45">
        <f>IF(OR(I244="",I244=0),"",IF(OR(J244="",NOT(ISNUMBER(J244)),J244=0),"",ROUNDUP(I244/J244,0)))</f>
        <v>0</v>
      </c>
      <c r="N244" s="45">
        <f>IF(I244="","",IF(RoundingRule="Exact quantity",I244,IF(M244="",I244,M244*J244)))</f>
        <v>0</v>
      </c>
      <c r="O244" s="25">
        <f>IF(N244="","",IF(RoundingRule="Exact quantity",IF(L244="","",N244*L244),IF(OR(M244="",K244=""),"",M244*K244)))</f>
        <v>0</v>
      </c>
      <c r="P244" s="25">
        <f>IF(B244="","",SUM(O$5:O244))</f>
        <v>0</v>
      </c>
      <c r="Q244" s="45">
        <f>IF(V244="Yes",0,IF(N244="",0,N244))</f>
        <v>0</v>
      </c>
      <c r="R244" s="18">
        <f>IF(OR(B244="",I244=0,I244=""),"",COUNTIFS($I$5:I244,"&gt;0"))</f>
        <v>0</v>
      </c>
      <c r="S244" s="18">
        <f>IF(B244="","",COUNTIFS('Recipe Ingredients'!$D$5:$D$1204,B244,'Recipe Ingredients'!$Y$5:$Y$1204,"&gt;0"))</f>
        <v>0</v>
      </c>
      <c r="T244" s="46">
        <f>IF(B244="","",IF(COUNTIFS('Recipe Ingredients'!$D$5:$D$1204,B244,'Recipe Ingredients'!$Y$5:$Y$1204,"&gt;0",'Recipe Ingredients'!$I$5:$I$1204,"No")=0,"Yes","No"))</f>
        <v>0</v>
      </c>
      <c r="U244" s="17">
        <f>IF(B244="","",IFERROR(INDEX(Ingredients!$W$5:$W$304,MATCH(B244,Ingredients!$B$5:$B$304,0)),"Add to Ingredients"))</f>
        <v>0</v>
      </c>
      <c r="Z244" s="31">
        <f>IF(B244="","",IF(V244="Yes","Bought",IF(I244=0,"In stock",IF(O244="","Check - no price","On the list"))))</f>
        <v>0</v>
      </c>
    </row>
    <row r="245" spans="1:26">
      <c r="A245" s="18">
        <f>ROW()-4</f>
        <v>0</v>
      </c>
      <c r="B245" s="17">
        <f>IFERROR(INDEX(Ingredients!$B$5:$B$304,MATCH(A245,Ingredients!$AL$5:$AL$304,0)),"")</f>
        <v>0</v>
      </c>
      <c r="C245" s="17">
        <f>IF(B245="","",IFERROR(INDEX(Ingredients!$C$5:$C$304,MATCH(B245,Ingredients!$B$5:$B$304,0)),"Add to Ingredients"))</f>
        <v>0</v>
      </c>
      <c r="D245" s="17">
        <f>IF(B245="","",IFERROR(INDEX(Ingredients!$D$5:$D$304,MATCH(B245,Ingredients!$B$5:$B$304,0)),"Add to Ingredients"))</f>
        <v>0</v>
      </c>
      <c r="E245" s="17">
        <f>IF(B245="","",IFERROR(INDEX(Ingredients!$E$5:$E$304,MATCH(B245,Ingredients!$B$5:$B$304,0)),"Add to Ingredients"))</f>
        <v>0</v>
      </c>
      <c r="F245" s="45">
        <f>IF(B245="","",IFERROR(INDEX(Ingredients!$AG$5:$AG$304,MATCH(B245,Ingredients!$B$5:$B$304,0)),""))</f>
        <v>0</v>
      </c>
      <c r="G245" s="17">
        <f>IF(B245="","",IFERROR(INDEX(Ingredients!$G$5:$G$304,MATCH(B245,Ingredients!$B$5:$B$304,0)),"Add to Ingredients"))</f>
        <v>0</v>
      </c>
      <c r="H245" s="45">
        <f>IF(B245="","",IFERROR(INDEX(Ingredients!$AD$5:$AD$304,MATCH(B245,Ingredients!$B$5:$B$304,0)),0))</f>
        <v>0</v>
      </c>
      <c r="I245" s="45">
        <f>IF(F245="","",MAX(0,F245-IF(H245="",0,H245)))</f>
        <v>0</v>
      </c>
      <c r="J245" s="45">
        <f>IF(B245="","",IFERROR(INDEX(Ingredients!$H$5:$H$304,MATCH(B245,Ingredients!$B$5:$B$304,0)),"Add to Ingredients"))</f>
        <v>0</v>
      </c>
      <c r="K245" s="25">
        <f>IF(B245="","",IFERROR(INDEX(Ingredients!$I$5:$I$304,MATCH(B245,Ingredients!$B$5:$B$304,0)),"Add to Ingredients"))</f>
        <v>0</v>
      </c>
      <c r="L245" s="25">
        <f>IF(B245="","",IFERROR(INDEX(Ingredients!$J$5:$J$304,MATCH(B245,Ingredients!$B$5:$B$304,0)),"Add to Ingredients"))</f>
        <v>0</v>
      </c>
      <c r="M245" s="45">
        <f>IF(OR(I245="",I245=0),"",IF(OR(J245="",NOT(ISNUMBER(J245)),J245=0),"",ROUNDUP(I245/J245,0)))</f>
        <v>0</v>
      </c>
      <c r="N245" s="45">
        <f>IF(I245="","",IF(RoundingRule="Exact quantity",I245,IF(M245="",I245,M245*J245)))</f>
        <v>0</v>
      </c>
      <c r="O245" s="25">
        <f>IF(N245="","",IF(RoundingRule="Exact quantity",IF(L245="","",N245*L245),IF(OR(M245="",K245=""),"",M245*K245)))</f>
        <v>0</v>
      </c>
      <c r="P245" s="25">
        <f>IF(B245="","",SUM(O$5:O245))</f>
        <v>0</v>
      </c>
      <c r="Q245" s="45">
        <f>IF(V245="Yes",0,IF(N245="",0,N245))</f>
        <v>0</v>
      </c>
      <c r="R245" s="18">
        <f>IF(OR(B245="",I245=0,I245=""),"",COUNTIFS($I$5:I245,"&gt;0"))</f>
        <v>0</v>
      </c>
      <c r="S245" s="18">
        <f>IF(B245="","",COUNTIFS('Recipe Ingredients'!$D$5:$D$1204,B245,'Recipe Ingredients'!$Y$5:$Y$1204,"&gt;0"))</f>
        <v>0</v>
      </c>
      <c r="T245" s="46">
        <f>IF(B245="","",IF(COUNTIFS('Recipe Ingredients'!$D$5:$D$1204,B245,'Recipe Ingredients'!$Y$5:$Y$1204,"&gt;0",'Recipe Ingredients'!$I$5:$I$1204,"No")=0,"Yes","No"))</f>
        <v>0</v>
      </c>
      <c r="U245" s="17">
        <f>IF(B245="","",IFERROR(INDEX(Ingredients!$W$5:$W$304,MATCH(B245,Ingredients!$B$5:$B$304,0)),"Add to Ingredients"))</f>
        <v>0</v>
      </c>
      <c r="Z245" s="31">
        <f>IF(B245="","",IF(V245="Yes","Bought",IF(I245=0,"In stock",IF(O245="","Check - no price","On the list"))))</f>
        <v>0</v>
      </c>
    </row>
    <row r="246" spans="1:26">
      <c r="A246" s="18">
        <f>ROW()-4</f>
        <v>0</v>
      </c>
      <c r="B246" s="17">
        <f>IFERROR(INDEX(Ingredients!$B$5:$B$304,MATCH(A246,Ingredients!$AL$5:$AL$304,0)),"")</f>
        <v>0</v>
      </c>
      <c r="C246" s="17">
        <f>IF(B246="","",IFERROR(INDEX(Ingredients!$C$5:$C$304,MATCH(B246,Ingredients!$B$5:$B$304,0)),"Add to Ingredients"))</f>
        <v>0</v>
      </c>
      <c r="D246" s="17">
        <f>IF(B246="","",IFERROR(INDEX(Ingredients!$D$5:$D$304,MATCH(B246,Ingredients!$B$5:$B$304,0)),"Add to Ingredients"))</f>
        <v>0</v>
      </c>
      <c r="E246" s="17">
        <f>IF(B246="","",IFERROR(INDEX(Ingredients!$E$5:$E$304,MATCH(B246,Ingredients!$B$5:$B$304,0)),"Add to Ingredients"))</f>
        <v>0</v>
      </c>
      <c r="F246" s="45">
        <f>IF(B246="","",IFERROR(INDEX(Ingredients!$AG$5:$AG$304,MATCH(B246,Ingredients!$B$5:$B$304,0)),""))</f>
        <v>0</v>
      </c>
      <c r="G246" s="17">
        <f>IF(B246="","",IFERROR(INDEX(Ingredients!$G$5:$G$304,MATCH(B246,Ingredients!$B$5:$B$304,0)),"Add to Ingredients"))</f>
        <v>0</v>
      </c>
      <c r="H246" s="45">
        <f>IF(B246="","",IFERROR(INDEX(Ingredients!$AD$5:$AD$304,MATCH(B246,Ingredients!$B$5:$B$304,0)),0))</f>
        <v>0</v>
      </c>
      <c r="I246" s="45">
        <f>IF(F246="","",MAX(0,F246-IF(H246="",0,H246)))</f>
        <v>0</v>
      </c>
      <c r="J246" s="45">
        <f>IF(B246="","",IFERROR(INDEX(Ingredients!$H$5:$H$304,MATCH(B246,Ingredients!$B$5:$B$304,0)),"Add to Ingredients"))</f>
        <v>0</v>
      </c>
      <c r="K246" s="25">
        <f>IF(B246="","",IFERROR(INDEX(Ingredients!$I$5:$I$304,MATCH(B246,Ingredients!$B$5:$B$304,0)),"Add to Ingredients"))</f>
        <v>0</v>
      </c>
      <c r="L246" s="25">
        <f>IF(B246="","",IFERROR(INDEX(Ingredients!$J$5:$J$304,MATCH(B246,Ingredients!$B$5:$B$304,0)),"Add to Ingredients"))</f>
        <v>0</v>
      </c>
      <c r="M246" s="45">
        <f>IF(OR(I246="",I246=0),"",IF(OR(J246="",NOT(ISNUMBER(J246)),J246=0),"",ROUNDUP(I246/J246,0)))</f>
        <v>0</v>
      </c>
      <c r="N246" s="45">
        <f>IF(I246="","",IF(RoundingRule="Exact quantity",I246,IF(M246="",I246,M246*J246)))</f>
        <v>0</v>
      </c>
      <c r="O246" s="25">
        <f>IF(N246="","",IF(RoundingRule="Exact quantity",IF(L246="","",N246*L246),IF(OR(M246="",K246=""),"",M246*K246)))</f>
        <v>0</v>
      </c>
      <c r="P246" s="25">
        <f>IF(B246="","",SUM(O$5:O246))</f>
        <v>0</v>
      </c>
      <c r="Q246" s="45">
        <f>IF(V246="Yes",0,IF(N246="",0,N246))</f>
        <v>0</v>
      </c>
      <c r="R246" s="18">
        <f>IF(OR(B246="",I246=0,I246=""),"",COUNTIFS($I$5:I246,"&gt;0"))</f>
        <v>0</v>
      </c>
      <c r="S246" s="18">
        <f>IF(B246="","",COUNTIFS('Recipe Ingredients'!$D$5:$D$1204,B246,'Recipe Ingredients'!$Y$5:$Y$1204,"&gt;0"))</f>
        <v>0</v>
      </c>
      <c r="T246" s="46">
        <f>IF(B246="","",IF(COUNTIFS('Recipe Ingredients'!$D$5:$D$1204,B246,'Recipe Ingredients'!$Y$5:$Y$1204,"&gt;0",'Recipe Ingredients'!$I$5:$I$1204,"No")=0,"Yes","No"))</f>
        <v>0</v>
      </c>
      <c r="U246" s="17">
        <f>IF(B246="","",IFERROR(INDEX(Ingredients!$W$5:$W$304,MATCH(B246,Ingredients!$B$5:$B$304,0)),"Add to Ingredients"))</f>
        <v>0</v>
      </c>
      <c r="Z246" s="31">
        <f>IF(B246="","",IF(V246="Yes","Bought",IF(I246=0,"In stock",IF(O246="","Check - no price","On the list"))))</f>
        <v>0</v>
      </c>
    </row>
    <row r="247" spans="1:26">
      <c r="A247" s="18">
        <f>ROW()-4</f>
        <v>0</v>
      </c>
      <c r="B247" s="17">
        <f>IFERROR(INDEX(Ingredients!$B$5:$B$304,MATCH(A247,Ingredients!$AL$5:$AL$304,0)),"")</f>
        <v>0</v>
      </c>
      <c r="C247" s="17">
        <f>IF(B247="","",IFERROR(INDEX(Ingredients!$C$5:$C$304,MATCH(B247,Ingredients!$B$5:$B$304,0)),"Add to Ingredients"))</f>
        <v>0</v>
      </c>
      <c r="D247" s="17">
        <f>IF(B247="","",IFERROR(INDEX(Ingredients!$D$5:$D$304,MATCH(B247,Ingredients!$B$5:$B$304,0)),"Add to Ingredients"))</f>
        <v>0</v>
      </c>
      <c r="E247" s="17">
        <f>IF(B247="","",IFERROR(INDEX(Ingredients!$E$5:$E$304,MATCH(B247,Ingredients!$B$5:$B$304,0)),"Add to Ingredients"))</f>
        <v>0</v>
      </c>
      <c r="F247" s="45">
        <f>IF(B247="","",IFERROR(INDEX(Ingredients!$AG$5:$AG$304,MATCH(B247,Ingredients!$B$5:$B$304,0)),""))</f>
        <v>0</v>
      </c>
      <c r="G247" s="17">
        <f>IF(B247="","",IFERROR(INDEX(Ingredients!$G$5:$G$304,MATCH(B247,Ingredients!$B$5:$B$304,0)),"Add to Ingredients"))</f>
        <v>0</v>
      </c>
      <c r="H247" s="45">
        <f>IF(B247="","",IFERROR(INDEX(Ingredients!$AD$5:$AD$304,MATCH(B247,Ingredients!$B$5:$B$304,0)),0))</f>
        <v>0</v>
      </c>
      <c r="I247" s="45">
        <f>IF(F247="","",MAX(0,F247-IF(H247="",0,H247)))</f>
        <v>0</v>
      </c>
      <c r="J247" s="45">
        <f>IF(B247="","",IFERROR(INDEX(Ingredients!$H$5:$H$304,MATCH(B247,Ingredients!$B$5:$B$304,0)),"Add to Ingredients"))</f>
        <v>0</v>
      </c>
      <c r="K247" s="25">
        <f>IF(B247="","",IFERROR(INDEX(Ingredients!$I$5:$I$304,MATCH(B247,Ingredients!$B$5:$B$304,0)),"Add to Ingredients"))</f>
        <v>0</v>
      </c>
      <c r="L247" s="25">
        <f>IF(B247="","",IFERROR(INDEX(Ingredients!$J$5:$J$304,MATCH(B247,Ingredients!$B$5:$B$304,0)),"Add to Ingredients"))</f>
        <v>0</v>
      </c>
      <c r="M247" s="45">
        <f>IF(OR(I247="",I247=0),"",IF(OR(J247="",NOT(ISNUMBER(J247)),J247=0),"",ROUNDUP(I247/J247,0)))</f>
        <v>0</v>
      </c>
      <c r="N247" s="45">
        <f>IF(I247="","",IF(RoundingRule="Exact quantity",I247,IF(M247="",I247,M247*J247)))</f>
        <v>0</v>
      </c>
      <c r="O247" s="25">
        <f>IF(N247="","",IF(RoundingRule="Exact quantity",IF(L247="","",N247*L247),IF(OR(M247="",K247=""),"",M247*K247)))</f>
        <v>0</v>
      </c>
      <c r="P247" s="25">
        <f>IF(B247="","",SUM(O$5:O247))</f>
        <v>0</v>
      </c>
      <c r="Q247" s="45">
        <f>IF(V247="Yes",0,IF(N247="",0,N247))</f>
        <v>0</v>
      </c>
      <c r="R247" s="18">
        <f>IF(OR(B247="",I247=0,I247=""),"",COUNTIFS($I$5:I247,"&gt;0"))</f>
        <v>0</v>
      </c>
      <c r="S247" s="18">
        <f>IF(B247="","",COUNTIFS('Recipe Ingredients'!$D$5:$D$1204,B247,'Recipe Ingredients'!$Y$5:$Y$1204,"&gt;0"))</f>
        <v>0</v>
      </c>
      <c r="T247" s="46">
        <f>IF(B247="","",IF(COUNTIFS('Recipe Ingredients'!$D$5:$D$1204,B247,'Recipe Ingredients'!$Y$5:$Y$1204,"&gt;0",'Recipe Ingredients'!$I$5:$I$1204,"No")=0,"Yes","No"))</f>
        <v>0</v>
      </c>
      <c r="U247" s="17">
        <f>IF(B247="","",IFERROR(INDEX(Ingredients!$W$5:$W$304,MATCH(B247,Ingredients!$B$5:$B$304,0)),"Add to Ingredients"))</f>
        <v>0</v>
      </c>
      <c r="Z247" s="31">
        <f>IF(B247="","",IF(V247="Yes","Bought",IF(I247=0,"In stock",IF(O247="","Check - no price","On the list"))))</f>
        <v>0</v>
      </c>
    </row>
    <row r="248" spans="1:26">
      <c r="A248" s="18">
        <f>ROW()-4</f>
        <v>0</v>
      </c>
      <c r="B248" s="17">
        <f>IFERROR(INDEX(Ingredients!$B$5:$B$304,MATCH(A248,Ingredients!$AL$5:$AL$304,0)),"")</f>
        <v>0</v>
      </c>
      <c r="C248" s="17">
        <f>IF(B248="","",IFERROR(INDEX(Ingredients!$C$5:$C$304,MATCH(B248,Ingredients!$B$5:$B$304,0)),"Add to Ingredients"))</f>
        <v>0</v>
      </c>
      <c r="D248" s="17">
        <f>IF(B248="","",IFERROR(INDEX(Ingredients!$D$5:$D$304,MATCH(B248,Ingredients!$B$5:$B$304,0)),"Add to Ingredients"))</f>
        <v>0</v>
      </c>
      <c r="E248" s="17">
        <f>IF(B248="","",IFERROR(INDEX(Ingredients!$E$5:$E$304,MATCH(B248,Ingredients!$B$5:$B$304,0)),"Add to Ingredients"))</f>
        <v>0</v>
      </c>
      <c r="F248" s="45">
        <f>IF(B248="","",IFERROR(INDEX(Ingredients!$AG$5:$AG$304,MATCH(B248,Ingredients!$B$5:$B$304,0)),""))</f>
        <v>0</v>
      </c>
      <c r="G248" s="17">
        <f>IF(B248="","",IFERROR(INDEX(Ingredients!$G$5:$G$304,MATCH(B248,Ingredients!$B$5:$B$304,0)),"Add to Ingredients"))</f>
        <v>0</v>
      </c>
      <c r="H248" s="45">
        <f>IF(B248="","",IFERROR(INDEX(Ingredients!$AD$5:$AD$304,MATCH(B248,Ingredients!$B$5:$B$304,0)),0))</f>
        <v>0</v>
      </c>
      <c r="I248" s="45">
        <f>IF(F248="","",MAX(0,F248-IF(H248="",0,H248)))</f>
        <v>0</v>
      </c>
      <c r="J248" s="45">
        <f>IF(B248="","",IFERROR(INDEX(Ingredients!$H$5:$H$304,MATCH(B248,Ingredients!$B$5:$B$304,0)),"Add to Ingredients"))</f>
        <v>0</v>
      </c>
      <c r="K248" s="25">
        <f>IF(B248="","",IFERROR(INDEX(Ingredients!$I$5:$I$304,MATCH(B248,Ingredients!$B$5:$B$304,0)),"Add to Ingredients"))</f>
        <v>0</v>
      </c>
      <c r="L248" s="25">
        <f>IF(B248="","",IFERROR(INDEX(Ingredients!$J$5:$J$304,MATCH(B248,Ingredients!$B$5:$B$304,0)),"Add to Ingredients"))</f>
        <v>0</v>
      </c>
      <c r="M248" s="45">
        <f>IF(OR(I248="",I248=0),"",IF(OR(J248="",NOT(ISNUMBER(J248)),J248=0),"",ROUNDUP(I248/J248,0)))</f>
        <v>0</v>
      </c>
      <c r="N248" s="45">
        <f>IF(I248="","",IF(RoundingRule="Exact quantity",I248,IF(M248="",I248,M248*J248)))</f>
        <v>0</v>
      </c>
      <c r="O248" s="25">
        <f>IF(N248="","",IF(RoundingRule="Exact quantity",IF(L248="","",N248*L248),IF(OR(M248="",K248=""),"",M248*K248)))</f>
        <v>0</v>
      </c>
      <c r="P248" s="25">
        <f>IF(B248="","",SUM(O$5:O248))</f>
        <v>0</v>
      </c>
      <c r="Q248" s="45">
        <f>IF(V248="Yes",0,IF(N248="",0,N248))</f>
        <v>0</v>
      </c>
      <c r="R248" s="18">
        <f>IF(OR(B248="",I248=0,I248=""),"",COUNTIFS($I$5:I248,"&gt;0"))</f>
        <v>0</v>
      </c>
      <c r="S248" s="18">
        <f>IF(B248="","",COUNTIFS('Recipe Ingredients'!$D$5:$D$1204,B248,'Recipe Ingredients'!$Y$5:$Y$1204,"&gt;0"))</f>
        <v>0</v>
      </c>
      <c r="T248" s="46">
        <f>IF(B248="","",IF(COUNTIFS('Recipe Ingredients'!$D$5:$D$1204,B248,'Recipe Ingredients'!$Y$5:$Y$1204,"&gt;0",'Recipe Ingredients'!$I$5:$I$1204,"No")=0,"Yes","No"))</f>
        <v>0</v>
      </c>
      <c r="U248" s="17">
        <f>IF(B248="","",IFERROR(INDEX(Ingredients!$W$5:$W$304,MATCH(B248,Ingredients!$B$5:$B$304,0)),"Add to Ingredients"))</f>
        <v>0</v>
      </c>
      <c r="Z248" s="31">
        <f>IF(B248="","",IF(V248="Yes","Bought",IF(I248=0,"In stock",IF(O248="","Check - no price","On the list"))))</f>
        <v>0</v>
      </c>
    </row>
    <row r="249" spans="1:26">
      <c r="A249" s="18">
        <f>ROW()-4</f>
        <v>0</v>
      </c>
      <c r="B249" s="17">
        <f>IFERROR(INDEX(Ingredients!$B$5:$B$304,MATCH(A249,Ingredients!$AL$5:$AL$304,0)),"")</f>
        <v>0</v>
      </c>
      <c r="C249" s="17">
        <f>IF(B249="","",IFERROR(INDEX(Ingredients!$C$5:$C$304,MATCH(B249,Ingredients!$B$5:$B$304,0)),"Add to Ingredients"))</f>
        <v>0</v>
      </c>
      <c r="D249" s="17">
        <f>IF(B249="","",IFERROR(INDEX(Ingredients!$D$5:$D$304,MATCH(B249,Ingredients!$B$5:$B$304,0)),"Add to Ingredients"))</f>
        <v>0</v>
      </c>
      <c r="E249" s="17">
        <f>IF(B249="","",IFERROR(INDEX(Ingredients!$E$5:$E$304,MATCH(B249,Ingredients!$B$5:$B$304,0)),"Add to Ingredients"))</f>
        <v>0</v>
      </c>
      <c r="F249" s="45">
        <f>IF(B249="","",IFERROR(INDEX(Ingredients!$AG$5:$AG$304,MATCH(B249,Ingredients!$B$5:$B$304,0)),""))</f>
        <v>0</v>
      </c>
      <c r="G249" s="17">
        <f>IF(B249="","",IFERROR(INDEX(Ingredients!$G$5:$G$304,MATCH(B249,Ingredients!$B$5:$B$304,0)),"Add to Ingredients"))</f>
        <v>0</v>
      </c>
      <c r="H249" s="45">
        <f>IF(B249="","",IFERROR(INDEX(Ingredients!$AD$5:$AD$304,MATCH(B249,Ingredients!$B$5:$B$304,0)),0))</f>
        <v>0</v>
      </c>
      <c r="I249" s="45">
        <f>IF(F249="","",MAX(0,F249-IF(H249="",0,H249)))</f>
        <v>0</v>
      </c>
      <c r="J249" s="45">
        <f>IF(B249="","",IFERROR(INDEX(Ingredients!$H$5:$H$304,MATCH(B249,Ingredients!$B$5:$B$304,0)),"Add to Ingredients"))</f>
        <v>0</v>
      </c>
      <c r="K249" s="25">
        <f>IF(B249="","",IFERROR(INDEX(Ingredients!$I$5:$I$304,MATCH(B249,Ingredients!$B$5:$B$304,0)),"Add to Ingredients"))</f>
        <v>0</v>
      </c>
      <c r="L249" s="25">
        <f>IF(B249="","",IFERROR(INDEX(Ingredients!$J$5:$J$304,MATCH(B249,Ingredients!$B$5:$B$304,0)),"Add to Ingredients"))</f>
        <v>0</v>
      </c>
      <c r="M249" s="45">
        <f>IF(OR(I249="",I249=0),"",IF(OR(J249="",NOT(ISNUMBER(J249)),J249=0),"",ROUNDUP(I249/J249,0)))</f>
        <v>0</v>
      </c>
      <c r="N249" s="45">
        <f>IF(I249="","",IF(RoundingRule="Exact quantity",I249,IF(M249="",I249,M249*J249)))</f>
        <v>0</v>
      </c>
      <c r="O249" s="25">
        <f>IF(N249="","",IF(RoundingRule="Exact quantity",IF(L249="","",N249*L249),IF(OR(M249="",K249=""),"",M249*K249)))</f>
        <v>0</v>
      </c>
      <c r="P249" s="25">
        <f>IF(B249="","",SUM(O$5:O249))</f>
        <v>0</v>
      </c>
      <c r="Q249" s="45">
        <f>IF(V249="Yes",0,IF(N249="",0,N249))</f>
        <v>0</v>
      </c>
      <c r="R249" s="18">
        <f>IF(OR(B249="",I249=0,I249=""),"",COUNTIFS($I$5:I249,"&gt;0"))</f>
        <v>0</v>
      </c>
      <c r="S249" s="18">
        <f>IF(B249="","",COUNTIFS('Recipe Ingredients'!$D$5:$D$1204,B249,'Recipe Ingredients'!$Y$5:$Y$1204,"&gt;0"))</f>
        <v>0</v>
      </c>
      <c r="T249" s="46">
        <f>IF(B249="","",IF(COUNTIFS('Recipe Ingredients'!$D$5:$D$1204,B249,'Recipe Ingredients'!$Y$5:$Y$1204,"&gt;0",'Recipe Ingredients'!$I$5:$I$1204,"No")=0,"Yes","No"))</f>
        <v>0</v>
      </c>
      <c r="U249" s="17">
        <f>IF(B249="","",IFERROR(INDEX(Ingredients!$W$5:$W$304,MATCH(B249,Ingredients!$B$5:$B$304,0)),"Add to Ingredients"))</f>
        <v>0</v>
      </c>
      <c r="Z249" s="31">
        <f>IF(B249="","",IF(V249="Yes","Bought",IF(I249=0,"In stock",IF(O249="","Check - no price","On the list"))))</f>
        <v>0</v>
      </c>
    </row>
    <row r="250" spans="1:26">
      <c r="A250" s="18">
        <f>ROW()-4</f>
        <v>0</v>
      </c>
      <c r="B250" s="17">
        <f>IFERROR(INDEX(Ingredients!$B$5:$B$304,MATCH(A250,Ingredients!$AL$5:$AL$304,0)),"")</f>
        <v>0</v>
      </c>
      <c r="C250" s="17">
        <f>IF(B250="","",IFERROR(INDEX(Ingredients!$C$5:$C$304,MATCH(B250,Ingredients!$B$5:$B$304,0)),"Add to Ingredients"))</f>
        <v>0</v>
      </c>
      <c r="D250" s="17">
        <f>IF(B250="","",IFERROR(INDEX(Ingredients!$D$5:$D$304,MATCH(B250,Ingredients!$B$5:$B$304,0)),"Add to Ingredients"))</f>
        <v>0</v>
      </c>
      <c r="E250" s="17">
        <f>IF(B250="","",IFERROR(INDEX(Ingredients!$E$5:$E$304,MATCH(B250,Ingredients!$B$5:$B$304,0)),"Add to Ingredients"))</f>
        <v>0</v>
      </c>
      <c r="F250" s="45">
        <f>IF(B250="","",IFERROR(INDEX(Ingredients!$AG$5:$AG$304,MATCH(B250,Ingredients!$B$5:$B$304,0)),""))</f>
        <v>0</v>
      </c>
      <c r="G250" s="17">
        <f>IF(B250="","",IFERROR(INDEX(Ingredients!$G$5:$G$304,MATCH(B250,Ingredients!$B$5:$B$304,0)),"Add to Ingredients"))</f>
        <v>0</v>
      </c>
      <c r="H250" s="45">
        <f>IF(B250="","",IFERROR(INDEX(Ingredients!$AD$5:$AD$304,MATCH(B250,Ingredients!$B$5:$B$304,0)),0))</f>
        <v>0</v>
      </c>
      <c r="I250" s="45">
        <f>IF(F250="","",MAX(0,F250-IF(H250="",0,H250)))</f>
        <v>0</v>
      </c>
      <c r="J250" s="45">
        <f>IF(B250="","",IFERROR(INDEX(Ingredients!$H$5:$H$304,MATCH(B250,Ingredients!$B$5:$B$304,0)),"Add to Ingredients"))</f>
        <v>0</v>
      </c>
      <c r="K250" s="25">
        <f>IF(B250="","",IFERROR(INDEX(Ingredients!$I$5:$I$304,MATCH(B250,Ingredients!$B$5:$B$304,0)),"Add to Ingredients"))</f>
        <v>0</v>
      </c>
      <c r="L250" s="25">
        <f>IF(B250="","",IFERROR(INDEX(Ingredients!$J$5:$J$304,MATCH(B250,Ingredients!$B$5:$B$304,0)),"Add to Ingredients"))</f>
        <v>0</v>
      </c>
      <c r="M250" s="45">
        <f>IF(OR(I250="",I250=0),"",IF(OR(J250="",NOT(ISNUMBER(J250)),J250=0),"",ROUNDUP(I250/J250,0)))</f>
        <v>0</v>
      </c>
      <c r="N250" s="45">
        <f>IF(I250="","",IF(RoundingRule="Exact quantity",I250,IF(M250="",I250,M250*J250)))</f>
        <v>0</v>
      </c>
      <c r="O250" s="25">
        <f>IF(N250="","",IF(RoundingRule="Exact quantity",IF(L250="","",N250*L250),IF(OR(M250="",K250=""),"",M250*K250)))</f>
        <v>0</v>
      </c>
      <c r="P250" s="25">
        <f>IF(B250="","",SUM(O$5:O250))</f>
        <v>0</v>
      </c>
      <c r="Q250" s="45">
        <f>IF(V250="Yes",0,IF(N250="",0,N250))</f>
        <v>0</v>
      </c>
      <c r="R250" s="18">
        <f>IF(OR(B250="",I250=0,I250=""),"",COUNTIFS($I$5:I250,"&gt;0"))</f>
        <v>0</v>
      </c>
      <c r="S250" s="18">
        <f>IF(B250="","",COUNTIFS('Recipe Ingredients'!$D$5:$D$1204,B250,'Recipe Ingredients'!$Y$5:$Y$1204,"&gt;0"))</f>
        <v>0</v>
      </c>
      <c r="T250" s="46">
        <f>IF(B250="","",IF(COUNTIFS('Recipe Ingredients'!$D$5:$D$1204,B250,'Recipe Ingredients'!$Y$5:$Y$1204,"&gt;0",'Recipe Ingredients'!$I$5:$I$1204,"No")=0,"Yes","No"))</f>
        <v>0</v>
      </c>
      <c r="U250" s="17">
        <f>IF(B250="","",IFERROR(INDEX(Ingredients!$W$5:$W$304,MATCH(B250,Ingredients!$B$5:$B$304,0)),"Add to Ingredients"))</f>
        <v>0</v>
      </c>
      <c r="Z250" s="31">
        <f>IF(B250="","",IF(V250="Yes","Bought",IF(I250=0,"In stock",IF(O250="","Check - no price","On the list"))))</f>
        <v>0</v>
      </c>
    </row>
    <row r="251" spans="1:26">
      <c r="A251" s="18">
        <f>ROW()-4</f>
        <v>0</v>
      </c>
      <c r="B251" s="17">
        <f>IFERROR(INDEX(Ingredients!$B$5:$B$304,MATCH(A251,Ingredients!$AL$5:$AL$304,0)),"")</f>
        <v>0</v>
      </c>
      <c r="C251" s="17">
        <f>IF(B251="","",IFERROR(INDEX(Ingredients!$C$5:$C$304,MATCH(B251,Ingredients!$B$5:$B$304,0)),"Add to Ingredients"))</f>
        <v>0</v>
      </c>
      <c r="D251" s="17">
        <f>IF(B251="","",IFERROR(INDEX(Ingredients!$D$5:$D$304,MATCH(B251,Ingredients!$B$5:$B$304,0)),"Add to Ingredients"))</f>
        <v>0</v>
      </c>
      <c r="E251" s="17">
        <f>IF(B251="","",IFERROR(INDEX(Ingredients!$E$5:$E$304,MATCH(B251,Ingredients!$B$5:$B$304,0)),"Add to Ingredients"))</f>
        <v>0</v>
      </c>
      <c r="F251" s="45">
        <f>IF(B251="","",IFERROR(INDEX(Ingredients!$AG$5:$AG$304,MATCH(B251,Ingredients!$B$5:$B$304,0)),""))</f>
        <v>0</v>
      </c>
      <c r="G251" s="17">
        <f>IF(B251="","",IFERROR(INDEX(Ingredients!$G$5:$G$304,MATCH(B251,Ingredients!$B$5:$B$304,0)),"Add to Ingredients"))</f>
        <v>0</v>
      </c>
      <c r="H251" s="45">
        <f>IF(B251="","",IFERROR(INDEX(Ingredients!$AD$5:$AD$304,MATCH(B251,Ingredients!$B$5:$B$304,0)),0))</f>
        <v>0</v>
      </c>
      <c r="I251" s="45">
        <f>IF(F251="","",MAX(0,F251-IF(H251="",0,H251)))</f>
        <v>0</v>
      </c>
      <c r="J251" s="45">
        <f>IF(B251="","",IFERROR(INDEX(Ingredients!$H$5:$H$304,MATCH(B251,Ingredients!$B$5:$B$304,0)),"Add to Ingredients"))</f>
        <v>0</v>
      </c>
      <c r="K251" s="25">
        <f>IF(B251="","",IFERROR(INDEX(Ingredients!$I$5:$I$304,MATCH(B251,Ingredients!$B$5:$B$304,0)),"Add to Ingredients"))</f>
        <v>0</v>
      </c>
      <c r="L251" s="25">
        <f>IF(B251="","",IFERROR(INDEX(Ingredients!$J$5:$J$304,MATCH(B251,Ingredients!$B$5:$B$304,0)),"Add to Ingredients"))</f>
        <v>0</v>
      </c>
      <c r="M251" s="45">
        <f>IF(OR(I251="",I251=0),"",IF(OR(J251="",NOT(ISNUMBER(J251)),J251=0),"",ROUNDUP(I251/J251,0)))</f>
        <v>0</v>
      </c>
      <c r="N251" s="45">
        <f>IF(I251="","",IF(RoundingRule="Exact quantity",I251,IF(M251="",I251,M251*J251)))</f>
        <v>0</v>
      </c>
      <c r="O251" s="25">
        <f>IF(N251="","",IF(RoundingRule="Exact quantity",IF(L251="","",N251*L251),IF(OR(M251="",K251=""),"",M251*K251)))</f>
        <v>0</v>
      </c>
      <c r="P251" s="25">
        <f>IF(B251="","",SUM(O$5:O251))</f>
        <v>0</v>
      </c>
      <c r="Q251" s="45">
        <f>IF(V251="Yes",0,IF(N251="",0,N251))</f>
        <v>0</v>
      </c>
      <c r="R251" s="18">
        <f>IF(OR(B251="",I251=0,I251=""),"",COUNTIFS($I$5:I251,"&gt;0"))</f>
        <v>0</v>
      </c>
      <c r="S251" s="18">
        <f>IF(B251="","",COUNTIFS('Recipe Ingredients'!$D$5:$D$1204,B251,'Recipe Ingredients'!$Y$5:$Y$1204,"&gt;0"))</f>
        <v>0</v>
      </c>
      <c r="T251" s="46">
        <f>IF(B251="","",IF(COUNTIFS('Recipe Ingredients'!$D$5:$D$1204,B251,'Recipe Ingredients'!$Y$5:$Y$1204,"&gt;0",'Recipe Ingredients'!$I$5:$I$1204,"No")=0,"Yes","No"))</f>
        <v>0</v>
      </c>
      <c r="U251" s="17">
        <f>IF(B251="","",IFERROR(INDEX(Ingredients!$W$5:$W$304,MATCH(B251,Ingredients!$B$5:$B$304,0)),"Add to Ingredients"))</f>
        <v>0</v>
      </c>
      <c r="Z251" s="31">
        <f>IF(B251="","",IF(V251="Yes","Bought",IF(I251=0,"In stock",IF(O251="","Check - no price","On the list"))))</f>
        <v>0</v>
      </c>
    </row>
    <row r="252" spans="1:26">
      <c r="A252" s="18">
        <f>ROW()-4</f>
        <v>0</v>
      </c>
      <c r="B252" s="17">
        <f>IFERROR(INDEX(Ingredients!$B$5:$B$304,MATCH(A252,Ingredients!$AL$5:$AL$304,0)),"")</f>
        <v>0</v>
      </c>
      <c r="C252" s="17">
        <f>IF(B252="","",IFERROR(INDEX(Ingredients!$C$5:$C$304,MATCH(B252,Ingredients!$B$5:$B$304,0)),"Add to Ingredients"))</f>
        <v>0</v>
      </c>
      <c r="D252" s="17">
        <f>IF(B252="","",IFERROR(INDEX(Ingredients!$D$5:$D$304,MATCH(B252,Ingredients!$B$5:$B$304,0)),"Add to Ingredients"))</f>
        <v>0</v>
      </c>
      <c r="E252" s="17">
        <f>IF(B252="","",IFERROR(INDEX(Ingredients!$E$5:$E$304,MATCH(B252,Ingredients!$B$5:$B$304,0)),"Add to Ingredients"))</f>
        <v>0</v>
      </c>
      <c r="F252" s="45">
        <f>IF(B252="","",IFERROR(INDEX(Ingredients!$AG$5:$AG$304,MATCH(B252,Ingredients!$B$5:$B$304,0)),""))</f>
        <v>0</v>
      </c>
      <c r="G252" s="17">
        <f>IF(B252="","",IFERROR(INDEX(Ingredients!$G$5:$G$304,MATCH(B252,Ingredients!$B$5:$B$304,0)),"Add to Ingredients"))</f>
        <v>0</v>
      </c>
      <c r="H252" s="45">
        <f>IF(B252="","",IFERROR(INDEX(Ingredients!$AD$5:$AD$304,MATCH(B252,Ingredients!$B$5:$B$304,0)),0))</f>
        <v>0</v>
      </c>
      <c r="I252" s="45">
        <f>IF(F252="","",MAX(0,F252-IF(H252="",0,H252)))</f>
        <v>0</v>
      </c>
      <c r="J252" s="45">
        <f>IF(B252="","",IFERROR(INDEX(Ingredients!$H$5:$H$304,MATCH(B252,Ingredients!$B$5:$B$304,0)),"Add to Ingredients"))</f>
        <v>0</v>
      </c>
      <c r="K252" s="25">
        <f>IF(B252="","",IFERROR(INDEX(Ingredients!$I$5:$I$304,MATCH(B252,Ingredients!$B$5:$B$304,0)),"Add to Ingredients"))</f>
        <v>0</v>
      </c>
      <c r="L252" s="25">
        <f>IF(B252="","",IFERROR(INDEX(Ingredients!$J$5:$J$304,MATCH(B252,Ingredients!$B$5:$B$304,0)),"Add to Ingredients"))</f>
        <v>0</v>
      </c>
      <c r="M252" s="45">
        <f>IF(OR(I252="",I252=0),"",IF(OR(J252="",NOT(ISNUMBER(J252)),J252=0),"",ROUNDUP(I252/J252,0)))</f>
        <v>0</v>
      </c>
      <c r="N252" s="45">
        <f>IF(I252="","",IF(RoundingRule="Exact quantity",I252,IF(M252="",I252,M252*J252)))</f>
        <v>0</v>
      </c>
      <c r="O252" s="25">
        <f>IF(N252="","",IF(RoundingRule="Exact quantity",IF(L252="","",N252*L252),IF(OR(M252="",K252=""),"",M252*K252)))</f>
        <v>0</v>
      </c>
      <c r="P252" s="25">
        <f>IF(B252="","",SUM(O$5:O252))</f>
        <v>0</v>
      </c>
      <c r="Q252" s="45">
        <f>IF(V252="Yes",0,IF(N252="",0,N252))</f>
        <v>0</v>
      </c>
      <c r="R252" s="18">
        <f>IF(OR(B252="",I252=0,I252=""),"",COUNTIFS($I$5:I252,"&gt;0"))</f>
        <v>0</v>
      </c>
      <c r="S252" s="18">
        <f>IF(B252="","",COUNTIFS('Recipe Ingredients'!$D$5:$D$1204,B252,'Recipe Ingredients'!$Y$5:$Y$1204,"&gt;0"))</f>
        <v>0</v>
      </c>
      <c r="T252" s="46">
        <f>IF(B252="","",IF(COUNTIFS('Recipe Ingredients'!$D$5:$D$1204,B252,'Recipe Ingredients'!$Y$5:$Y$1204,"&gt;0",'Recipe Ingredients'!$I$5:$I$1204,"No")=0,"Yes","No"))</f>
        <v>0</v>
      </c>
      <c r="U252" s="17">
        <f>IF(B252="","",IFERROR(INDEX(Ingredients!$W$5:$W$304,MATCH(B252,Ingredients!$B$5:$B$304,0)),"Add to Ingredients"))</f>
        <v>0</v>
      </c>
      <c r="Z252" s="31">
        <f>IF(B252="","",IF(V252="Yes","Bought",IF(I252=0,"In stock",IF(O252="","Check - no price","On the list"))))</f>
        <v>0</v>
      </c>
    </row>
    <row r="253" spans="1:26">
      <c r="A253" s="18">
        <f>ROW()-4</f>
        <v>0</v>
      </c>
      <c r="B253" s="17">
        <f>IFERROR(INDEX(Ingredients!$B$5:$B$304,MATCH(A253,Ingredients!$AL$5:$AL$304,0)),"")</f>
        <v>0</v>
      </c>
      <c r="C253" s="17">
        <f>IF(B253="","",IFERROR(INDEX(Ingredients!$C$5:$C$304,MATCH(B253,Ingredients!$B$5:$B$304,0)),"Add to Ingredients"))</f>
        <v>0</v>
      </c>
      <c r="D253" s="17">
        <f>IF(B253="","",IFERROR(INDEX(Ingredients!$D$5:$D$304,MATCH(B253,Ingredients!$B$5:$B$304,0)),"Add to Ingredients"))</f>
        <v>0</v>
      </c>
      <c r="E253" s="17">
        <f>IF(B253="","",IFERROR(INDEX(Ingredients!$E$5:$E$304,MATCH(B253,Ingredients!$B$5:$B$304,0)),"Add to Ingredients"))</f>
        <v>0</v>
      </c>
      <c r="F253" s="45">
        <f>IF(B253="","",IFERROR(INDEX(Ingredients!$AG$5:$AG$304,MATCH(B253,Ingredients!$B$5:$B$304,0)),""))</f>
        <v>0</v>
      </c>
      <c r="G253" s="17">
        <f>IF(B253="","",IFERROR(INDEX(Ingredients!$G$5:$G$304,MATCH(B253,Ingredients!$B$5:$B$304,0)),"Add to Ingredients"))</f>
        <v>0</v>
      </c>
      <c r="H253" s="45">
        <f>IF(B253="","",IFERROR(INDEX(Ingredients!$AD$5:$AD$304,MATCH(B253,Ingredients!$B$5:$B$304,0)),0))</f>
        <v>0</v>
      </c>
      <c r="I253" s="45">
        <f>IF(F253="","",MAX(0,F253-IF(H253="",0,H253)))</f>
        <v>0</v>
      </c>
      <c r="J253" s="45">
        <f>IF(B253="","",IFERROR(INDEX(Ingredients!$H$5:$H$304,MATCH(B253,Ingredients!$B$5:$B$304,0)),"Add to Ingredients"))</f>
        <v>0</v>
      </c>
      <c r="K253" s="25">
        <f>IF(B253="","",IFERROR(INDEX(Ingredients!$I$5:$I$304,MATCH(B253,Ingredients!$B$5:$B$304,0)),"Add to Ingredients"))</f>
        <v>0</v>
      </c>
      <c r="L253" s="25">
        <f>IF(B253="","",IFERROR(INDEX(Ingredients!$J$5:$J$304,MATCH(B253,Ingredients!$B$5:$B$304,0)),"Add to Ingredients"))</f>
        <v>0</v>
      </c>
      <c r="M253" s="45">
        <f>IF(OR(I253="",I253=0),"",IF(OR(J253="",NOT(ISNUMBER(J253)),J253=0),"",ROUNDUP(I253/J253,0)))</f>
        <v>0</v>
      </c>
      <c r="N253" s="45">
        <f>IF(I253="","",IF(RoundingRule="Exact quantity",I253,IF(M253="",I253,M253*J253)))</f>
        <v>0</v>
      </c>
      <c r="O253" s="25">
        <f>IF(N253="","",IF(RoundingRule="Exact quantity",IF(L253="","",N253*L253),IF(OR(M253="",K253=""),"",M253*K253)))</f>
        <v>0</v>
      </c>
      <c r="P253" s="25">
        <f>IF(B253="","",SUM(O$5:O253))</f>
        <v>0</v>
      </c>
      <c r="Q253" s="45">
        <f>IF(V253="Yes",0,IF(N253="",0,N253))</f>
        <v>0</v>
      </c>
      <c r="R253" s="18">
        <f>IF(OR(B253="",I253=0,I253=""),"",COUNTIFS($I$5:I253,"&gt;0"))</f>
        <v>0</v>
      </c>
      <c r="S253" s="18">
        <f>IF(B253="","",COUNTIFS('Recipe Ingredients'!$D$5:$D$1204,B253,'Recipe Ingredients'!$Y$5:$Y$1204,"&gt;0"))</f>
        <v>0</v>
      </c>
      <c r="T253" s="46">
        <f>IF(B253="","",IF(COUNTIFS('Recipe Ingredients'!$D$5:$D$1204,B253,'Recipe Ingredients'!$Y$5:$Y$1204,"&gt;0",'Recipe Ingredients'!$I$5:$I$1204,"No")=0,"Yes","No"))</f>
        <v>0</v>
      </c>
      <c r="U253" s="17">
        <f>IF(B253="","",IFERROR(INDEX(Ingredients!$W$5:$W$304,MATCH(B253,Ingredients!$B$5:$B$304,0)),"Add to Ingredients"))</f>
        <v>0</v>
      </c>
      <c r="Z253" s="31">
        <f>IF(B253="","",IF(V253="Yes","Bought",IF(I253=0,"In stock",IF(O253="","Check - no price","On the list"))))</f>
        <v>0</v>
      </c>
    </row>
    <row r="254" spans="1:26">
      <c r="A254" s="18">
        <f>ROW()-4</f>
        <v>0</v>
      </c>
      <c r="B254" s="17">
        <f>IFERROR(INDEX(Ingredients!$B$5:$B$304,MATCH(A254,Ingredients!$AL$5:$AL$304,0)),"")</f>
        <v>0</v>
      </c>
      <c r="C254" s="17">
        <f>IF(B254="","",IFERROR(INDEX(Ingredients!$C$5:$C$304,MATCH(B254,Ingredients!$B$5:$B$304,0)),"Add to Ingredients"))</f>
        <v>0</v>
      </c>
      <c r="D254" s="17">
        <f>IF(B254="","",IFERROR(INDEX(Ingredients!$D$5:$D$304,MATCH(B254,Ingredients!$B$5:$B$304,0)),"Add to Ingredients"))</f>
        <v>0</v>
      </c>
      <c r="E254" s="17">
        <f>IF(B254="","",IFERROR(INDEX(Ingredients!$E$5:$E$304,MATCH(B254,Ingredients!$B$5:$B$304,0)),"Add to Ingredients"))</f>
        <v>0</v>
      </c>
      <c r="F254" s="45">
        <f>IF(B254="","",IFERROR(INDEX(Ingredients!$AG$5:$AG$304,MATCH(B254,Ingredients!$B$5:$B$304,0)),""))</f>
        <v>0</v>
      </c>
      <c r="G254" s="17">
        <f>IF(B254="","",IFERROR(INDEX(Ingredients!$G$5:$G$304,MATCH(B254,Ingredients!$B$5:$B$304,0)),"Add to Ingredients"))</f>
        <v>0</v>
      </c>
      <c r="H254" s="45">
        <f>IF(B254="","",IFERROR(INDEX(Ingredients!$AD$5:$AD$304,MATCH(B254,Ingredients!$B$5:$B$304,0)),0))</f>
        <v>0</v>
      </c>
      <c r="I254" s="45">
        <f>IF(F254="","",MAX(0,F254-IF(H254="",0,H254)))</f>
        <v>0</v>
      </c>
      <c r="J254" s="45">
        <f>IF(B254="","",IFERROR(INDEX(Ingredients!$H$5:$H$304,MATCH(B254,Ingredients!$B$5:$B$304,0)),"Add to Ingredients"))</f>
        <v>0</v>
      </c>
      <c r="K254" s="25">
        <f>IF(B254="","",IFERROR(INDEX(Ingredients!$I$5:$I$304,MATCH(B254,Ingredients!$B$5:$B$304,0)),"Add to Ingredients"))</f>
        <v>0</v>
      </c>
      <c r="L254" s="25">
        <f>IF(B254="","",IFERROR(INDEX(Ingredients!$J$5:$J$304,MATCH(B254,Ingredients!$B$5:$B$304,0)),"Add to Ingredients"))</f>
        <v>0</v>
      </c>
      <c r="M254" s="45">
        <f>IF(OR(I254="",I254=0),"",IF(OR(J254="",NOT(ISNUMBER(J254)),J254=0),"",ROUNDUP(I254/J254,0)))</f>
        <v>0</v>
      </c>
      <c r="N254" s="45">
        <f>IF(I254="","",IF(RoundingRule="Exact quantity",I254,IF(M254="",I254,M254*J254)))</f>
        <v>0</v>
      </c>
      <c r="O254" s="25">
        <f>IF(N254="","",IF(RoundingRule="Exact quantity",IF(L254="","",N254*L254),IF(OR(M254="",K254=""),"",M254*K254)))</f>
        <v>0</v>
      </c>
      <c r="P254" s="25">
        <f>IF(B254="","",SUM(O$5:O254))</f>
        <v>0</v>
      </c>
      <c r="Q254" s="45">
        <f>IF(V254="Yes",0,IF(N254="",0,N254))</f>
        <v>0</v>
      </c>
      <c r="R254" s="18">
        <f>IF(OR(B254="",I254=0,I254=""),"",COUNTIFS($I$5:I254,"&gt;0"))</f>
        <v>0</v>
      </c>
      <c r="S254" s="18">
        <f>IF(B254="","",COUNTIFS('Recipe Ingredients'!$D$5:$D$1204,B254,'Recipe Ingredients'!$Y$5:$Y$1204,"&gt;0"))</f>
        <v>0</v>
      </c>
      <c r="T254" s="46">
        <f>IF(B254="","",IF(COUNTIFS('Recipe Ingredients'!$D$5:$D$1204,B254,'Recipe Ingredients'!$Y$5:$Y$1204,"&gt;0",'Recipe Ingredients'!$I$5:$I$1204,"No")=0,"Yes","No"))</f>
        <v>0</v>
      </c>
      <c r="U254" s="17">
        <f>IF(B254="","",IFERROR(INDEX(Ingredients!$W$5:$W$304,MATCH(B254,Ingredients!$B$5:$B$304,0)),"Add to Ingredients"))</f>
        <v>0</v>
      </c>
      <c r="Z254" s="31">
        <f>IF(B254="","",IF(V254="Yes","Bought",IF(I254=0,"In stock",IF(O254="","Check - no price","On the list"))))</f>
        <v>0</v>
      </c>
    </row>
    <row r="255" spans="1:26">
      <c r="A255" s="18">
        <f>ROW()-4</f>
        <v>0</v>
      </c>
      <c r="B255" s="17">
        <f>IFERROR(INDEX(Ingredients!$B$5:$B$304,MATCH(A255,Ingredients!$AL$5:$AL$304,0)),"")</f>
        <v>0</v>
      </c>
      <c r="C255" s="17">
        <f>IF(B255="","",IFERROR(INDEX(Ingredients!$C$5:$C$304,MATCH(B255,Ingredients!$B$5:$B$304,0)),"Add to Ingredients"))</f>
        <v>0</v>
      </c>
      <c r="D255" s="17">
        <f>IF(B255="","",IFERROR(INDEX(Ingredients!$D$5:$D$304,MATCH(B255,Ingredients!$B$5:$B$304,0)),"Add to Ingredients"))</f>
        <v>0</v>
      </c>
      <c r="E255" s="17">
        <f>IF(B255="","",IFERROR(INDEX(Ingredients!$E$5:$E$304,MATCH(B255,Ingredients!$B$5:$B$304,0)),"Add to Ingredients"))</f>
        <v>0</v>
      </c>
      <c r="F255" s="45">
        <f>IF(B255="","",IFERROR(INDEX(Ingredients!$AG$5:$AG$304,MATCH(B255,Ingredients!$B$5:$B$304,0)),""))</f>
        <v>0</v>
      </c>
      <c r="G255" s="17">
        <f>IF(B255="","",IFERROR(INDEX(Ingredients!$G$5:$G$304,MATCH(B255,Ingredients!$B$5:$B$304,0)),"Add to Ingredients"))</f>
        <v>0</v>
      </c>
      <c r="H255" s="45">
        <f>IF(B255="","",IFERROR(INDEX(Ingredients!$AD$5:$AD$304,MATCH(B255,Ingredients!$B$5:$B$304,0)),0))</f>
        <v>0</v>
      </c>
      <c r="I255" s="45">
        <f>IF(F255="","",MAX(0,F255-IF(H255="",0,H255)))</f>
        <v>0</v>
      </c>
      <c r="J255" s="45">
        <f>IF(B255="","",IFERROR(INDEX(Ingredients!$H$5:$H$304,MATCH(B255,Ingredients!$B$5:$B$304,0)),"Add to Ingredients"))</f>
        <v>0</v>
      </c>
      <c r="K255" s="25">
        <f>IF(B255="","",IFERROR(INDEX(Ingredients!$I$5:$I$304,MATCH(B255,Ingredients!$B$5:$B$304,0)),"Add to Ingredients"))</f>
        <v>0</v>
      </c>
      <c r="L255" s="25">
        <f>IF(B255="","",IFERROR(INDEX(Ingredients!$J$5:$J$304,MATCH(B255,Ingredients!$B$5:$B$304,0)),"Add to Ingredients"))</f>
        <v>0</v>
      </c>
      <c r="M255" s="45">
        <f>IF(OR(I255="",I255=0),"",IF(OR(J255="",NOT(ISNUMBER(J255)),J255=0),"",ROUNDUP(I255/J255,0)))</f>
        <v>0</v>
      </c>
      <c r="N255" s="45">
        <f>IF(I255="","",IF(RoundingRule="Exact quantity",I255,IF(M255="",I255,M255*J255)))</f>
        <v>0</v>
      </c>
      <c r="O255" s="25">
        <f>IF(N255="","",IF(RoundingRule="Exact quantity",IF(L255="","",N255*L255),IF(OR(M255="",K255=""),"",M255*K255)))</f>
        <v>0</v>
      </c>
      <c r="P255" s="25">
        <f>IF(B255="","",SUM(O$5:O255))</f>
        <v>0</v>
      </c>
      <c r="Q255" s="45">
        <f>IF(V255="Yes",0,IF(N255="",0,N255))</f>
        <v>0</v>
      </c>
      <c r="R255" s="18">
        <f>IF(OR(B255="",I255=0,I255=""),"",COUNTIFS($I$5:I255,"&gt;0"))</f>
        <v>0</v>
      </c>
      <c r="S255" s="18">
        <f>IF(B255="","",COUNTIFS('Recipe Ingredients'!$D$5:$D$1204,B255,'Recipe Ingredients'!$Y$5:$Y$1204,"&gt;0"))</f>
        <v>0</v>
      </c>
      <c r="T255" s="46">
        <f>IF(B255="","",IF(COUNTIFS('Recipe Ingredients'!$D$5:$D$1204,B255,'Recipe Ingredients'!$Y$5:$Y$1204,"&gt;0",'Recipe Ingredients'!$I$5:$I$1204,"No")=0,"Yes","No"))</f>
        <v>0</v>
      </c>
      <c r="U255" s="17">
        <f>IF(B255="","",IFERROR(INDEX(Ingredients!$W$5:$W$304,MATCH(B255,Ingredients!$B$5:$B$304,0)),"Add to Ingredients"))</f>
        <v>0</v>
      </c>
      <c r="Z255" s="31">
        <f>IF(B255="","",IF(V255="Yes","Bought",IF(I255=0,"In stock",IF(O255="","Check - no price","On the list"))))</f>
        <v>0</v>
      </c>
    </row>
    <row r="256" spans="1:26">
      <c r="A256" s="18">
        <f>ROW()-4</f>
        <v>0</v>
      </c>
      <c r="B256" s="17">
        <f>IFERROR(INDEX(Ingredients!$B$5:$B$304,MATCH(A256,Ingredients!$AL$5:$AL$304,0)),"")</f>
        <v>0</v>
      </c>
      <c r="C256" s="17">
        <f>IF(B256="","",IFERROR(INDEX(Ingredients!$C$5:$C$304,MATCH(B256,Ingredients!$B$5:$B$304,0)),"Add to Ingredients"))</f>
        <v>0</v>
      </c>
      <c r="D256" s="17">
        <f>IF(B256="","",IFERROR(INDEX(Ingredients!$D$5:$D$304,MATCH(B256,Ingredients!$B$5:$B$304,0)),"Add to Ingredients"))</f>
        <v>0</v>
      </c>
      <c r="E256" s="17">
        <f>IF(B256="","",IFERROR(INDEX(Ingredients!$E$5:$E$304,MATCH(B256,Ingredients!$B$5:$B$304,0)),"Add to Ingredients"))</f>
        <v>0</v>
      </c>
      <c r="F256" s="45">
        <f>IF(B256="","",IFERROR(INDEX(Ingredients!$AG$5:$AG$304,MATCH(B256,Ingredients!$B$5:$B$304,0)),""))</f>
        <v>0</v>
      </c>
      <c r="G256" s="17">
        <f>IF(B256="","",IFERROR(INDEX(Ingredients!$G$5:$G$304,MATCH(B256,Ingredients!$B$5:$B$304,0)),"Add to Ingredients"))</f>
        <v>0</v>
      </c>
      <c r="H256" s="45">
        <f>IF(B256="","",IFERROR(INDEX(Ingredients!$AD$5:$AD$304,MATCH(B256,Ingredients!$B$5:$B$304,0)),0))</f>
        <v>0</v>
      </c>
      <c r="I256" s="45">
        <f>IF(F256="","",MAX(0,F256-IF(H256="",0,H256)))</f>
        <v>0</v>
      </c>
      <c r="J256" s="45">
        <f>IF(B256="","",IFERROR(INDEX(Ingredients!$H$5:$H$304,MATCH(B256,Ingredients!$B$5:$B$304,0)),"Add to Ingredients"))</f>
        <v>0</v>
      </c>
      <c r="K256" s="25">
        <f>IF(B256="","",IFERROR(INDEX(Ingredients!$I$5:$I$304,MATCH(B256,Ingredients!$B$5:$B$304,0)),"Add to Ingredients"))</f>
        <v>0</v>
      </c>
      <c r="L256" s="25">
        <f>IF(B256="","",IFERROR(INDEX(Ingredients!$J$5:$J$304,MATCH(B256,Ingredients!$B$5:$B$304,0)),"Add to Ingredients"))</f>
        <v>0</v>
      </c>
      <c r="M256" s="45">
        <f>IF(OR(I256="",I256=0),"",IF(OR(J256="",NOT(ISNUMBER(J256)),J256=0),"",ROUNDUP(I256/J256,0)))</f>
        <v>0</v>
      </c>
      <c r="N256" s="45">
        <f>IF(I256="","",IF(RoundingRule="Exact quantity",I256,IF(M256="",I256,M256*J256)))</f>
        <v>0</v>
      </c>
      <c r="O256" s="25">
        <f>IF(N256="","",IF(RoundingRule="Exact quantity",IF(L256="","",N256*L256),IF(OR(M256="",K256=""),"",M256*K256)))</f>
        <v>0</v>
      </c>
      <c r="P256" s="25">
        <f>IF(B256="","",SUM(O$5:O256))</f>
        <v>0</v>
      </c>
      <c r="Q256" s="45">
        <f>IF(V256="Yes",0,IF(N256="",0,N256))</f>
        <v>0</v>
      </c>
      <c r="R256" s="18">
        <f>IF(OR(B256="",I256=0,I256=""),"",COUNTIFS($I$5:I256,"&gt;0"))</f>
        <v>0</v>
      </c>
      <c r="S256" s="18">
        <f>IF(B256="","",COUNTIFS('Recipe Ingredients'!$D$5:$D$1204,B256,'Recipe Ingredients'!$Y$5:$Y$1204,"&gt;0"))</f>
        <v>0</v>
      </c>
      <c r="T256" s="46">
        <f>IF(B256="","",IF(COUNTIFS('Recipe Ingredients'!$D$5:$D$1204,B256,'Recipe Ingredients'!$Y$5:$Y$1204,"&gt;0",'Recipe Ingredients'!$I$5:$I$1204,"No")=0,"Yes","No"))</f>
        <v>0</v>
      </c>
      <c r="U256" s="17">
        <f>IF(B256="","",IFERROR(INDEX(Ingredients!$W$5:$W$304,MATCH(B256,Ingredients!$B$5:$B$304,0)),"Add to Ingredients"))</f>
        <v>0</v>
      </c>
      <c r="Z256" s="31">
        <f>IF(B256="","",IF(V256="Yes","Bought",IF(I256=0,"In stock",IF(O256="","Check - no price","On the list"))))</f>
        <v>0</v>
      </c>
    </row>
    <row r="257" spans="1:26">
      <c r="A257" s="18">
        <f>ROW()-4</f>
        <v>0</v>
      </c>
      <c r="B257" s="17">
        <f>IFERROR(INDEX(Ingredients!$B$5:$B$304,MATCH(A257,Ingredients!$AL$5:$AL$304,0)),"")</f>
        <v>0</v>
      </c>
      <c r="C257" s="17">
        <f>IF(B257="","",IFERROR(INDEX(Ingredients!$C$5:$C$304,MATCH(B257,Ingredients!$B$5:$B$304,0)),"Add to Ingredients"))</f>
        <v>0</v>
      </c>
      <c r="D257" s="17">
        <f>IF(B257="","",IFERROR(INDEX(Ingredients!$D$5:$D$304,MATCH(B257,Ingredients!$B$5:$B$304,0)),"Add to Ingredients"))</f>
        <v>0</v>
      </c>
      <c r="E257" s="17">
        <f>IF(B257="","",IFERROR(INDEX(Ingredients!$E$5:$E$304,MATCH(B257,Ingredients!$B$5:$B$304,0)),"Add to Ingredients"))</f>
        <v>0</v>
      </c>
      <c r="F257" s="45">
        <f>IF(B257="","",IFERROR(INDEX(Ingredients!$AG$5:$AG$304,MATCH(B257,Ingredients!$B$5:$B$304,0)),""))</f>
        <v>0</v>
      </c>
      <c r="G257" s="17">
        <f>IF(B257="","",IFERROR(INDEX(Ingredients!$G$5:$G$304,MATCH(B257,Ingredients!$B$5:$B$304,0)),"Add to Ingredients"))</f>
        <v>0</v>
      </c>
      <c r="H257" s="45">
        <f>IF(B257="","",IFERROR(INDEX(Ingredients!$AD$5:$AD$304,MATCH(B257,Ingredients!$B$5:$B$304,0)),0))</f>
        <v>0</v>
      </c>
      <c r="I257" s="45">
        <f>IF(F257="","",MAX(0,F257-IF(H257="",0,H257)))</f>
        <v>0</v>
      </c>
      <c r="J257" s="45">
        <f>IF(B257="","",IFERROR(INDEX(Ingredients!$H$5:$H$304,MATCH(B257,Ingredients!$B$5:$B$304,0)),"Add to Ingredients"))</f>
        <v>0</v>
      </c>
      <c r="K257" s="25">
        <f>IF(B257="","",IFERROR(INDEX(Ingredients!$I$5:$I$304,MATCH(B257,Ingredients!$B$5:$B$304,0)),"Add to Ingredients"))</f>
        <v>0</v>
      </c>
      <c r="L257" s="25">
        <f>IF(B257="","",IFERROR(INDEX(Ingredients!$J$5:$J$304,MATCH(B257,Ingredients!$B$5:$B$304,0)),"Add to Ingredients"))</f>
        <v>0</v>
      </c>
      <c r="M257" s="45">
        <f>IF(OR(I257="",I257=0),"",IF(OR(J257="",NOT(ISNUMBER(J257)),J257=0),"",ROUNDUP(I257/J257,0)))</f>
        <v>0</v>
      </c>
      <c r="N257" s="45">
        <f>IF(I257="","",IF(RoundingRule="Exact quantity",I257,IF(M257="",I257,M257*J257)))</f>
        <v>0</v>
      </c>
      <c r="O257" s="25">
        <f>IF(N257="","",IF(RoundingRule="Exact quantity",IF(L257="","",N257*L257),IF(OR(M257="",K257=""),"",M257*K257)))</f>
        <v>0</v>
      </c>
      <c r="P257" s="25">
        <f>IF(B257="","",SUM(O$5:O257))</f>
        <v>0</v>
      </c>
      <c r="Q257" s="45">
        <f>IF(V257="Yes",0,IF(N257="",0,N257))</f>
        <v>0</v>
      </c>
      <c r="R257" s="18">
        <f>IF(OR(B257="",I257=0,I257=""),"",COUNTIFS($I$5:I257,"&gt;0"))</f>
        <v>0</v>
      </c>
      <c r="S257" s="18">
        <f>IF(B257="","",COUNTIFS('Recipe Ingredients'!$D$5:$D$1204,B257,'Recipe Ingredients'!$Y$5:$Y$1204,"&gt;0"))</f>
        <v>0</v>
      </c>
      <c r="T257" s="46">
        <f>IF(B257="","",IF(COUNTIFS('Recipe Ingredients'!$D$5:$D$1204,B257,'Recipe Ingredients'!$Y$5:$Y$1204,"&gt;0",'Recipe Ingredients'!$I$5:$I$1204,"No")=0,"Yes","No"))</f>
        <v>0</v>
      </c>
      <c r="U257" s="17">
        <f>IF(B257="","",IFERROR(INDEX(Ingredients!$W$5:$W$304,MATCH(B257,Ingredients!$B$5:$B$304,0)),"Add to Ingredients"))</f>
        <v>0</v>
      </c>
      <c r="Z257" s="31">
        <f>IF(B257="","",IF(V257="Yes","Bought",IF(I257=0,"In stock",IF(O257="","Check - no price","On the list"))))</f>
        <v>0</v>
      </c>
    </row>
    <row r="258" spans="1:26">
      <c r="A258" s="18">
        <f>ROW()-4</f>
        <v>0</v>
      </c>
      <c r="B258" s="17">
        <f>IFERROR(INDEX(Ingredients!$B$5:$B$304,MATCH(A258,Ingredients!$AL$5:$AL$304,0)),"")</f>
        <v>0</v>
      </c>
      <c r="C258" s="17">
        <f>IF(B258="","",IFERROR(INDEX(Ingredients!$C$5:$C$304,MATCH(B258,Ingredients!$B$5:$B$304,0)),"Add to Ingredients"))</f>
        <v>0</v>
      </c>
      <c r="D258" s="17">
        <f>IF(B258="","",IFERROR(INDEX(Ingredients!$D$5:$D$304,MATCH(B258,Ingredients!$B$5:$B$304,0)),"Add to Ingredients"))</f>
        <v>0</v>
      </c>
      <c r="E258" s="17">
        <f>IF(B258="","",IFERROR(INDEX(Ingredients!$E$5:$E$304,MATCH(B258,Ingredients!$B$5:$B$304,0)),"Add to Ingredients"))</f>
        <v>0</v>
      </c>
      <c r="F258" s="45">
        <f>IF(B258="","",IFERROR(INDEX(Ingredients!$AG$5:$AG$304,MATCH(B258,Ingredients!$B$5:$B$304,0)),""))</f>
        <v>0</v>
      </c>
      <c r="G258" s="17">
        <f>IF(B258="","",IFERROR(INDEX(Ingredients!$G$5:$G$304,MATCH(B258,Ingredients!$B$5:$B$304,0)),"Add to Ingredients"))</f>
        <v>0</v>
      </c>
      <c r="H258" s="45">
        <f>IF(B258="","",IFERROR(INDEX(Ingredients!$AD$5:$AD$304,MATCH(B258,Ingredients!$B$5:$B$304,0)),0))</f>
        <v>0</v>
      </c>
      <c r="I258" s="45">
        <f>IF(F258="","",MAX(0,F258-IF(H258="",0,H258)))</f>
        <v>0</v>
      </c>
      <c r="J258" s="45">
        <f>IF(B258="","",IFERROR(INDEX(Ingredients!$H$5:$H$304,MATCH(B258,Ingredients!$B$5:$B$304,0)),"Add to Ingredients"))</f>
        <v>0</v>
      </c>
      <c r="K258" s="25">
        <f>IF(B258="","",IFERROR(INDEX(Ingredients!$I$5:$I$304,MATCH(B258,Ingredients!$B$5:$B$304,0)),"Add to Ingredients"))</f>
        <v>0</v>
      </c>
      <c r="L258" s="25">
        <f>IF(B258="","",IFERROR(INDEX(Ingredients!$J$5:$J$304,MATCH(B258,Ingredients!$B$5:$B$304,0)),"Add to Ingredients"))</f>
        <v>0</v>
      </c>
      <c r="M258" s="45">
        <f>IF(OR(I258="",I258=0),"",IF(OR(J258="",NOT(ISNUMBER(J258)),J258=0),"",ROUNDUP(I258/J258,0)))</f>
        <v>0</v>
      </c>
      <c r="N258" s="45">
        <f>IF(I258="","",IF(RoundingRule="Exact quantity",I258,IF(M258="",I258,M258*J258)))</f>
        <v>0</v>
      </c>
      <c r="O258" s="25">
        <f>IF(N258="","",IF(RoundingRule="Exact quantity",IF(L258="","",N258*L258),IF(OR(M258="",K258=""),"",M258*K258)))</f>
        <v>0</v>
      </c>
      <c r="P258" s="25">
        <f>IF(B258="","",SUM(O$5:O258))</f>
        <v>0</v>
      </c>
      <c r="Q258" s="45">
        <f>IF(V258="Yes",0,IF(N258="",0,N258))</f>
        <v>0</v>
      </c>
      <c r="R258" s="18">
        <f>IF(OR(B258="",I258=0,I258=""),"",COUNTIFS($I$5:I258,"&gt;0"))</f>
        <v>0</v>
      </c>
      <c r="S258" s="18">
        <f>IF(B258="","",COUNTIFS('Recipe Ingredients'!$D$5:$D$1204,B258,'Recipe Ingredients'!$Y$5:$Y$1204,"&gt;0"))</f>
        <v>0</v>
      </c>
      <c r="T258" s="46">
        <f>IF(B258="","",IF(COUNTIFS('Recipe Ingredients'!$D$5:$D$1204,B258,'Recipe Ingredients'!$Y$5:$Y$1204,"&gt;0",'Recipe Ingredients'!$I$5:$I$1204,"No")=0,"Yes","No"))</f>
        <v>0</v>
      </c>
      <c r="U258" s="17">
        <f>IF(B258="","",IFERROR(INDEX(Ingredients!$W$5:$W$304,MATCH(B258,Ingredients!$B$5:$B$304,0)),"Add to Ingredients"))</f>
        <v>0</v>
      </c>
      <c r="Z258" s="31">
        <f>IF(B258="","",IF(V258="Yes","Bought",IF(I258=0,"In stock",IF(O258="","Check - no price","On the list"))))</f>
        <v>0</v>
      </c>
    </row>
    <row r="259" spans="1:26">
      <c r="A259" s="18">
        <f>ROW()-4</f>
        <v>0</v>
      </c>
      <c r="B259" s="17">
        <f>IFERROR(INDEX(Ingredients!$B$5:$B$304,MATCH(A259,Ingredients!$AL$5:$AL$304,0)),"")</f>
        <v>0</v>
      </c>
      <c r="C259" s="17">
        <f>IF(B259="","",IFERROR(INDEX(Ingredients!$C$5:$C$304,MATCH(B259,Ingredients!$B$5:$B$304,0)),"Add to Ingredients"))</f>
        <v>0</v>
      </c>
      <c r="D259" s="17">
        <f>IF(B259="","",IFERROR(INDEX(Ingredients!$D$5:$D$304,MATCH(B259,Ingredients!$B$5:$B$304,0)),"Add to Ingredients"))</f>
        <v>0</v>
      </c>
      <c r="E259" s="17">
        <f>IF(B259="","",IFERROR(INDEX(Ingredients!$E$5:$E$304,MATCH(B259,Ingredients!$B$5:$B$304,0)),"Add to Ingredients"))</f>
        <v>0</v>
      </c>
      <c r="F259" s="45">
        <f>IF(B259="","",IFERROR(INDEX(Ingredients!$AG$5:$AG$304,MATCH(B259,Ingredients!$B$5:$B$304,0)),""))</f>
        <v>0</v>
      </c>
      <c r="G259" s="17">
        <f>IF(B259="","",IFERROR(INDEX(Ingredients!$G$5:$G$304,MATCH(B259,Ingredients!$B$5:$B$304,0)),"Add to Ingredients"))</f>
        <v>0</v>
      </c>
      <c r="H259" s="45">
        <f>IF(B259="","",IFERROR(INDEX(Ingredients!$AD$5:$AD$304,MATCH(B259,Ingredients!$B$5:$B$304,0)),0))</f>
        <v>0</v>
      </c>
      <c r="I259" s="45">
        <f>IF(F259="","",MAX(0,F259-IF(H259="",0,H259)))</f>
        <v>0</v>
      </c>
      <c r="J259" s="45">
        <f>IF(B259="","",IFERROR(INDEX(Ingredients!$H$5:$H$304,MATCH(B259,Ingredients!$B$5:$B$304,0)),"Add to Ingredients"))</f>
        <v>0</v>
      </c>
      <c r="K259" s="25">
        <f>IF(B259="","",IFERROR(INDEX(Ingredients!$I$5:$I$304,MATCH(B259,Ingredients!$B$5:$B$304,0)),"Add to Ingredients"))</f>
        <v>0</v>
      </c>
      <c r="L259" s="25">
        <f>IF(B259="","",IFERROR(INDEX(Ingredients!$J$5:$J$304,MATCH(B259,Ingredients!$B$5:$B$304,0)),"Add to Ingredients"))</f>
        <v>0</v>
      </c>
      <c r="M259" s="45">
        <f>IF(OR(I259="",I259=0),"",IF(OR(J259="",NOT(ISNUMBER(J259)),J259=0),"",ROUNDUP(I259/J259,0)))</f>
        <v>0</v>
      </c>
      <c r="N259" s="45">
        <f>IF(I259="","",IF(RoundingRule="Exact quantity",I259,IF(M259="",I259,M259*J259)))</f>
        <v>0</v>
      </c>
      <c r="O259" s="25">
        <f>IF(N259="","",IF(RoundingRule="Exact quantity",IF(L259="","",N259*L259),IF(OR(M259="",K259=""),"",M259*K259)))</f>
        <v>0</v>
      </c>
      <c r="P259" s="25">
        <f>IF(B259="","",SUM(O$5:O259))</f>
        <v>0</v>
      </c>
      <c r="Q259" s="45">
        <f>IF(V259="Yes",0,IF(N259="",0,N259))</f>
        <v>0</v>
      </c>
      <c r="R259" s="18">
        <f>IF(OR(B259="",I259=0,I259=""),"",COUNTIFS($I$5:I259,"&gt;0"))</f>
        <v>0</v>
      </c>
      <c r="S259" s="18">
        <f>IF(B259="","",COUNTIFS('Recipe Ingredients'!$D$5:$D$1204,B259,'Recipe Ingredients'!$Y$5:$Y$1204,"&gt;0"))</f>
        <v>0</v>
      </c>
      <c r="T259" s="46">
        <f>IF(B259="","",IF(COUNTIFS('Recipe Ingredients'!$D$5:$D$1204,B259,'Recipe Ingredients'!$Y$5:$Y$1204,"&gt;0",'Recipe Ingredients'!$I$5:$I$1204,"No")=0,"Yes","No"))</f>
        <v>0</v>
      </c>
      <c r="U259" s="17">
        <f>IF(B259="","",IFERROR(INDEX(Ingredients!$W$5:$W$304,MATCH(B259,Ingredients!$B$5:$B$304,0)),"Add to Ingredients"))</f>
        <v>0</v>
      </c>
      <c r="Z259" s="31">
        <f>IF(B259="","",IF(V259="Yes","Bought",IF(I259=0,"In stock",IF(O259="","Check - no price","On the list"))))</f>
        <v>0</v>
      </c>
    </row>
    <row r="260" spans="1:26">
      <c r="A260" s="18">
        <f>ROW()-4</f>
        <v>0</v>
      </c>
      <c r="B260" s="17">
        <f>IFERROR(INDEX(Ingredients!$B$5:$B$304,MATCH(A260,Ingredients!$AL$5:$AL$304,0)),"")</f>
        <v>0</v>
      </c>
      <c r="C260" s="17">
        <f>IF(B260="","",IFERROR(INDEX(Ingredients!$C$5:$C$304,MATCH(B260,Ingredients!$B$5:$B$304,0)),"Add to Ingredients"))</f>
        <v>0</v>
      </c>
      <c r="D260" s="17">
        <f>IF(B260="","",IFERROR(INDEX(Ingredients!$D$5:$D$304,MATCH(B260,Ingredients!$B$5:$B$304,0)),"Add to Ingredients"))</f>
        <v>0</v>
      </c>
      <c r="E260" s="17">
        <f>IF(B260="","",IFERROR(INDEX(Ingredients!$E$5:$E$304,MATCH(B260,Ingredients!$B$5:$B$304,0)),"Add to Ingredients"))</f>
        <v>0</v>
      </c>
      <c r="F260" s="45">
        <f>IF(B260="","",IFERROR(INDEX(Ingredients!$AG$5:$AG$304,MATCH(B260,Ingredients!$B$5:$B$304,0)),""))</f>
        <v>0</v>
      </c>
      <c r="G260" s="17">
        <f>IF(B260="","",IFERROR(INDEX(Ingredients!$G$5:$G$304,MATCH(B260,Ingredients!$B$5:$B$304,0)),"Add to Ingredients"))</f>
        <v>0</v>
      </c>
      <c r="H260" s="45">
        <f>IF(B260="","",IFERROR(INDEX(Ingredients!$AD$5:$AD$304,MATCH(B260,Ingredients!$B$5:$B$304,0)),0))</f>
        <v>0</v>
      </c>
      <c r="I260" s="45">
        <f>IF(F260="","",MAX(0,F260-IF(H260="",0,H260)))</f>
        <v>0</v>
      </c>
      <c r="J260" s="45">
        <f>IF(B260="","",IFERROR(INDEX(Ingredients!$H$5:$H$304,MATCH(B260,Ingredients!$B$5:$B$304,0)),"Add to Ingredients"))</f>
        <v>0</v>
      </c>
      <c r="K260" s="25">
        <f>IF(B260="","",IFERROR(INDEX(Ingredients!$I$5:$I$304,MATCH(B260,Ingredients!$B$5:$B$304,0)),"Add to Ingredients"))</f>
        <v>0</v>
      </c>
      <c r="L260" s="25">
        <f>IF(B260="","",IFERROR(INDEX(Ingredients!$J$5:$J$304,MATCH(B260,Ingredients!$B$5:$B$304,0)),"Add to Ingredients"))</f>
        <v>0</v>
      </c>
      <c r="M260" s="45">
        <f>IF(OR(I260="",I260=0),"",IF(OR(J260="",NOT(ISNUMBER(J260)),J260=0),"",ROUNDUP(I260/J260,0)))</f>
        <v>0</v>
      </c>
      <c r="N260" s="45">
        <f>IF(I260="","",IF(RoundingRule="Exact quantity",I260,IF(M260="",I260,M260*J260)))</f>
        <v>0</v>
      </c>
      <c r="O260" s="25">
        <f>IF(N260="","",IF(RoundingRule="Exact quantity",IF(L260="","",N260*L260),IF(OR(M260="",K260=""),"",M260*K260)))</f>
        <v>0</v>
      </c>
      <c r="P260" s="25">
        <f>IF(B260="","",SUM(O$5:O260))</f>
        <v>0</v>
      </c>
      <c r="Q260" s="45">
        <f>IF(V260="Yes",0,IF(N260="",0,N260))</f>
        <v>0</v>
      </c>
      <c r="R260" s="18">
        <f>IF(OR(B260="",I260=0,I260=""),"",COUNTIFS($I$5:I260,"&gt;0"))</f>
        <v>0</v>
      </c>
      <c r="S260" s="18">
        <f>IF(B260="","",COUNTIFS('Recipe Ingredients'!$D$5:$D$1204,B260,'Recipe Ingredients'!$Y$5:$Y$1204,"&gt;0"))</f>
        <v>0</v>
      </c>
      <c r="T260" s="46">
        <f>IF(B260="","",IF(COUNTIFS('Recipe Ingredients'!$D$5:$D$1204,B260,'Recipe Ingredients'!$Y$5:$Y$1204,"&gt;0",'Recipe Ingredients'!$I$5:$I$1204,"No")=0,"Yes","No"))</f>
        <v>0</v>
      </c>
      <c r="U260" s="17">
        <f>IF(B260="","",IFERROR(INDEX(Ingredients!$W$5:$W$304,MATCH(B260,Ingredients!$B$5:$B$304,0)),"Add to Ingredients"))</f>
        <v>0</v>
      </c>
      <c r="Z260" s="31">
        <f>IF(B260="","",IF(V260="Yes","Bought",IF(I260=0,"In stock",IF(O260="","Check - no price","On the list"))))</f>
        <v>0</v>
      </c>
    </row>
    <row r="261" spans="1:26">
      <c r="A261" s="18">
        <f>ROW()-4</f>
        <v>0</v>
      </c>
      <c r="B261" s="17">
        <f>IFERROR(INDEX(Ingredients!$B$5:$B$304,MATCH(A261,Ingredients!$AL$5:$AL$304,0)),"")</f>
        <v>0</v>
      </c>
      <c r="C261" s="17">
        <f>IF(B261="","",IFERROR(INDEX(Ingredients!$C$5:$C$304,MATCH(B261,Ingredients!$B$5:$B$304,0)),"Add to Ingredients"))</f>
        <v>0</v>
      </c>
      <c r="D261" s="17">
        <f>IF(B261="","",IFERROR(INDEX(Ingredients!$D$5:$D$304,MATCH(B261,Ingredients!$B$5:$B$304,0)),"Add to Ingredients"))</f>
        <v>0</v>
      </c>
      <c r="E261" s="17">
        <f>IF(B261="","",IFERROR(INDEX(Ingredients!$E$5:$E$304,MATCH(B261,Ingredients!$B$5:$B$304,0)),"Add to Ingredients"))</f>
        <v>0</v>
      </c>
      <c r="F261" s="45">
        <f>IF(B261="","",IFERROR(INDEX(Ingredients!$AG$5:$AG$304,MATCH(B261,Ingredients!$B$5:$B$304,0)),""))</f>
        <v>0</v>
      </c>
      <c r="G261" s="17">
        <f>IF(B261="","",IFERROR(INDEX(Ingredients!$G$5:$G$304,MATCH(B261,Ingredients!$B$5:$B$304,0)),"Add to Ingredients"))</f>
        <v>0</v>
      </c>
      <c r="H261" s="45">
        <f>IF(B261="","",IFERROR(INDEX(Ingredients!$AD$5:$AD$304,MATCH(B261,Ingredients!$B$5:$B$304,0)),0))</f>
        <v>0</v>
      </c>
      <c r="I261" s="45">
        <f>IF(F261="","",MAX(0,F261-IF(H261="",0,H261)))</f>
        <v>0</v>
      </c>
      <c r="J261" s="45">
        <f>IF(B261="","",IFERROR(INDEX(Ingredients!$H$5:$H$304,MATCH(B261,Ingredients!$B$5:$B$304,0)),"Add to Ingredients"))</f>
        <v>0</v>
      </c>
      <c r="K261" s="25">
        <f>IF(B261="","",IFERROR(INDEX(Ingredients!$I$5:$I$304,MATCH(B261,Ingredients!$B$5:$B$304,0)),"Add to Ingredients"))</f>
        <v>0</v>
      </c>
      <c r="L261" s="25">
        <f>IF(B261="","",IFERROR(INDEX(Ingredients!$J$5:$J$304,MATCH(B261,Ingredients!$B$5:$B$304,0)),"Add to Ingredients"))</f>
        <v>0</v>
      </c>
      <c r="M261" s="45">
        <f>IF(OR(I261="",I261=0),"",IF(OR(J261="",NOT(ISNUMBER(J261)),J261=0),"",ROUNDUP(I261/J261,0)))</f>
        <v>0</v>
      </c>
      <c r="N261" s="45">
        <f>IF(I261="","",IF(RoundingRule="Exact quantity",I261,IF(M261="",I261,M261*J261)))</f>
        <v>0</v>
      </c>
      <c r="O261" s="25">
        <f>IF(N261="","",IF(RoundingRule="Exact quantity",IF(L261="","",N261*L261),IF(OR(M261="",K261=""),"",M261*K261)))</f>
        <v>0</v>
      </c>
      <c r="P261" s="25">
        <f>IF(B261="","",SUM(O$5:O261))</f>
        <v>0</v>
      </c>
      <c r="Q261" s="45">
        <f>IF(V261="Yes",0,IF(N261="",0,N261))</f>
        <v>0</v>
      </c>
      <c r="R261" s="18">
        <f>IF(OR(B261="",I261=0,I261=""),"",COUNTIFS($I$5:I261,"&gt;0"))</f>
        <v>0</v>
      </c>
      <c r="S261" s="18">
        <f>IF(B261="","",COUNTIFS('Recipe Ingredients'!$D$5:$D$1204,B261,'Recipe Ingredients'!$Y$5:$Y$1204,"&gt;0"))</f>
        <v>0</v>
      </c>
      <c r="T261" s="46">
        <f>IF(B261="","",IF(COUNTIFS('Recipe Ingredients'!$D$5:$D$1204,B261,'Recipe Ingredients'!$Y$5:$Y$1204,"&gt;0",'Recipe Ingredients'!$I$5:$I$1204,"No")=0,"Yes","No"))</f>
        <v>0</v>
      </c>
      <c r="U261" s="17">
        <f>IF(B261="","",IFERROR(INDEX(Ingredients!$W$5:$W$304,MATCH(B261,Ingredients!$B$5:$B$304,0)),"Add to Ingredients"))</f>
        <v>0</v>
      </c>
      <c r="Z261" s="31">
        <f>IF(B261="","",IF(V261="Yes","Bought",IF(I261=0,"In stock",IF(O261="","Check - no price","On the list"))))</f>
        <v>0</v>
      </c>
    </row>
    <row r="262" spans="1:26">
      <c r="A262" s="18">
        <f>ROW()-4</f>
        <v>0</v>
      </c>
      <c r="B262" s="17">
        <f>IFERROR(INDEX(Ingredients!$B$5:$B$304,MATCH(A262,Ingredients!$AL$5:$AL$304,0)),"")</f>
        <v>0</v>
      </c>
      <c r="C262" s="17">
        <f>IF(B262="","",IFERROR(INDEX(Ingredients!$C$5:$C$304,MATCH(B262,Ingredients!$B$5:$B$304,0)),"Add to Ingredients"))</f>
        <v>0</v>
      </c>
      <c r="D262" s="17">
        <f>IF(B262="","",IFERROR(INDEX(Ingredients!$D$5:$D$304,MATCH(B262,Ingredients!$B$5:$B$304,0)),"Add to Ingredients"))</f>
        <v>0</v>
      </c>
      <c r="E262" s="17">
        <f>IF(B262="","",IFERROR(INDEX(Ingredients!$E$5:$E$304,MATCH(B262,Ingredients!$B$5:$B$304,0)),"Add to Ingredients"))</f>
        <v>0</v>
      </c>
      <c r="F262" s="45">
        <f>IF(B262="","",IFERROR(INDEX(Ingredients!$AG$5:$AG$304,MATCH(B262,Ingredients!$B$5:$B$304,0)),""))</f>
        <v>0</v>
      </c>
      <c r="G262" s="17">
        <f>IF(B262="","",IFERROR(INDEX(Ingredients!$G$5:$G$304,MATCH(B262,Ingredients!$B$5:$B$304,0)),"Add to Ingredients"))</f>
        <v>0</v>
      </c>
      <c r="H262" s="45">
        <f>IF(B262="","",IFERROR(INDEX(Ingredients!$AD$5:$AD$304,MATCH(B262,Ingredients!$B$5:$B$304,0)),0))</f>
        <v>0</v>
      </c>
      <c r="I262" s="45">
        <f>IF(F262="","",MAX(0,F262-IF(H262="",0,H262)))</f>
        <v>0</v>
      </c>
      <c r="J262" s="45">
        <f>IF(B262="","",IFERROR(INDEX(Ingredients!$H$5:$H$304,MATCH(B262,Ingredients!$B$5:$B$304,0)),"Add to Ingredients"))</f>
        <v>0</v>
      </c>
      <c r="K262" s="25">
        <f>IF(B262="","",IFERROR(INDEX(Ingredients!$I$5:$I$304,MATCH(B262,Ingredients!$B$5:$B$304,0)),"Add to Ingredients"))</f>
        <v>0</v>
      </c>
      <c r="L262" s="25">
        <f>IF(B262="","",IFERROR(INDEX(Ingredients!$J$5:$J$304,MATCH(B262,Ingredients!$B$5:$B$304,0)),"Add to Ingredients"))</f>
        <v>0</v>
      </c>
      <c r="M262" s="45">
        <f>IF(OR(I262="",I262=0),"",IF(OR(J262="",NOT(ISNUMBER(J262)),J262=0),"",ROUNDUP(I262/J262,0)))</f>
        <v>0</v>
      </c>
      <c r="N262" s="45">
        <f>IF(I262="","",IF(RoundingRule="Exact quantity",I262,IF(M262="",I262,M262*J262)))</f>
        <v>0</v>
      </c>
      <c r="O262" s="25">
        <f>IF(N262="","",IF(RoundingRule="Exact quantity",IF(L262="","",N262*L262),IF(OR(M262="",K262=""),"",M262*K262)))</f>
        <v>0</v>
      </c>
      <c r="P262" s="25">
        <f>IF(B262="","",SUM(O$5:O262))</f>
        <v>0</v>
      </c>
      <c r="Q262" s="45">
        <f>IF(V262="Yes",0,IF(N262="",0,N262))</f>
        <v>0</v>
      </c>
      <c r="R262" s="18">
        <f>IF(OR(B262="",I262=0,I262=""),"",COUNTIFS($I$5:I262,"&gt;0"))</f>
        <v>0</v>
      </c>
      <c r="S262" s="18">
        <f>IF(B262="","",COUNTIFS('Recipe Ingredients'!$D$5:$D$1204,B262,'Recipe Ingredients'!$Y$5:$Y$1204,"&gt;0"))</f>
        <v>0</v>
      </c>
      <c r="T262" s="46">
        <f>IF(B262="","",IF(COUNTIFS('Recipe Ingredients'!$D$5:$D$1204,B262,'Recipe Ingredients'!$Y$5:$Y$1204,"&gt;0",'Recipe Ingredients'!$I$5:$I$1204,"No")=0,"Yes","No"))</f>
        <v>0</v>
      </c>
      <c r="U262" s="17">
        <f>IF(B262="","",IFERROR(INDEX(Ingredients!$W$5:$W$304,MATCH(B262,Ingredients!$B$5:$B$304,0)),"Add to Ingredients"))</f>
        <v>0</v>
      </c>
      <c r="Z262" s="31">
        <f>IF(B262="","",IF(V262="Yes","Bought",IF(I262=0,"In stock",IF(O262="","Check - no price","On the list"))))</f>
        <v>0</v>
      </c>
    </row>
    <row r="263" spans="1:26">
      <c r="A263" s="18">
        <f>ROW()-4</f>
        <v>0</v>
      </c>
      <c r="B263" s="17">
        <f>IFERROR(INDEX(Ingredients!$B$5:$B$304,MATCH(A263,Ingredients!$AL$5:$AL$304,0)),"")</f>
        <v>0</v>
      </c>
      <c r="C263" s="17">
        <f>IF(B263="","",IFERROR(INDEX(Ingredients!$C$5:$C$304,MATCH(B263,Ingredients!$B$5:$B$304,0)),"Add to Ingredients"))</f>
        <v>0</v>
      </c>
      <c r="D263" s="17">
        <f>IF(B263="","",IFERROR(INDEX(Ingredients!$D$5:$D$304,MATCH(B263,Ingredients!$B$5:$B$304,0)),"Add to Ingredients"))</f>
        <v>0</v>
      </c>
      <c r="E263" s="17">
        <f>IF(B263="","",IFERROR(INDEX(Ingredients!$E$5:$E$304,MATCH(B263,Ingredients!$B$5:$B$304,0)),"Add to Ingredients"))</f>
        <v>0</v>
      </c>
      <c r="F263" s="45">
        <f>IF(B263="","",IFERROR(INDEX(Ingredients!$AG$5:$AG$304,MATCH(B263,Ingredients!$B$5:$B$304,0)),""))</f>
        <v>0</v>
      </c>
      <c r="G263" s="17">
        <f>IF(B263="","",IFERROR(INDEX(Ingredients!$G$5:$G$304,MATCH(B263,Ingredients!$B$5:$B$304,0)),"Add to Ingredients"))</f>
        <v>0</v>
      </c>
      <c r="H263" s="45">
        <f>IF(B263="","",IFERROR(INDEX(Ingredients!$AD$5:$AD$304,MATCH(B263,Ingredients!$B$5:$B$304,0)),0))</f>
        <v>0</v>
      </c>
      <c r="I263" s="45">
        <f>IF(F263="","",MAX(0,F263-IF(H263="",0,H263)))</f>
        <v>0</v>
      </c>
      <c r="J263" s="45">
        <f>IF(B263="","",IFERROR(INDEX(Ingredients!$H$5:$H$304,MATCH(B263,Ingredients!$B$5:$B$304,0)),"Add to Ingredients"))</f>
        <v>0</v>
      </c>
      <c r="K263" s="25">
        <f>IF(B263="","",IFERROR(INDEX(Ingredients!$I$5:$I$304,MATCH(B263,Ingredients!$B$5:$B$304,0)),"Add to Ingredients"))</f>
        <v>0</v>
      </c>
      <c r="L263" s="25">
        <f>IF(B263="","",IFERROR(INDEX(Ingredients!$J$5:$J$304,MATCH(B263,Ingredients!$B$5:$B$304,0)),"Add to Ingredients"))</f>
        <v>0</v>
      </c>
      <c r="M263" s="45">
        <f>IF(OR(I263="",I263=0),"",IF(OR(J263="",NOT(ISNUMBER(J263)),J263=0),"",ROUNDUP(I263/J263,0)))</f>
        <v>0</v>
      </c>
      <c r="N263" s="45">
        <f>IF(I263="","",IF(RoundingRule="Exact quantity",I263,IF(M263="",I263,M263*J263)))</f>
        <v>0</v>
      </c>
      <c r="O263" s="25">
        <f>IF(N263="","",IF(RoundingRule="Exact quantity",IF(L263="","",N263*L263),IF(OR(M263="",K263=""),"",M263*K263)))</f>
        <v>0</v>
      </c>
      <c r="P263" s="25">
        <f>IF(B263="","",SUM(O$5:O263))</f>
        <v>0</v>
      </c>
      <c r="Q263" s="45">
        <f>IF(V263="Yes",0,IF(N263="",0,N263))</f>
        <v>0</v>
      </c>
      <c r="R263" s="18">
        <f>IF(OR(B263="",I263=0,I263=""),"",COUNTIFS($I$5:I263,"&gt;0"))</f>
        <v>0</v>
      </c>
      <c r="S263" s="18">
        <f>IF(B263="","",COUNTIFS('Recipe Ingredients'!$D$5:$D$1204,B263,'Recipe Ingredients'!$Y$5:$Y$1204,"&gt;0"))</f>
        <v>0</v>
      </c>
      <c r="T263" s="46">
        <f>IF(B263="","",IF(COUNTIFS('Recipe Ingredients'!$D$5:$D$1204,B263,'Recipe Ingredients'!$Y$5:$Y$1204,"&gt;0",'Recipe Ingredients'!$I$5:$I$1204,"No")=0,"Yes","No"))</f>
        <v>0</v>
      </c>
      <c r="U263" s="17">
        <f>IF(B263="","",IFERROR(INDEX(Ingredients!$W$5:$W$304,MATCH(B263,Ingredients!$B$5:$B$304,0)),"Add to Ingredients"))</f>
        <v>0</v>
      </c>
      <c r="Z263" s="31">
        <f>IF(B263="","",IF(V263="Yes","Bought",IF(I263=0,"In stock",IF(O263="","Check - no price","On the list"))))</f>
        <v>0</v>
      </c>
    </row>
    <row r="264" spans="1:26">
      <c r="A264" s="18">
        <f>ROW()-4</f>
        <v>0</v>
      </c>
      <c r="B264" s="17">
        <f>IFERROR(INDEX(Ingredients!$B$5:$B$304,MATCH(A264,Ingredients!$AL$5:$AL$304,0)),"")</f>
        <v>0</v>
      </c>
      <c r="C264" s="17">
        <f>IF(B264="","",IFERROR(INDEX(Ingredients!$C$5:$C$304,MATCH(B264,Ingredients!$B$5:$B$304,0)),"Add to Ingredients"))</f>
        <v>0</v>
      </c>
      <c r="D264" s="17">
        <f>IF(B264="","",IFERROR(INDEX(Ingredients!$D$5:$D$304,MATCH(B264,Ingredients!$B$5:$B$304,0)),"Add to Ingredients"))</f>
        <v>0</v>
      </c>
      <c r="E264" s="17">
        <f>IF(B264="","",IFERROR(INDEX(Ingredients!$E$5:$E$304,MATCH(B264,Ingredients!$B$5:$B$304,0)),"Add to Ingredients"))</f>
        <v>0</v>
      </c>
      <c r="F264" s="45">
        <f>IF(B264="","",IFERROR(INDEX(Ingredients!$AG$5:$AG$304,MATCH(B264,Ingredients!$B$5:$B$304,0)),""))</f>
        <v>0</v>
      </c>
      <c r="G264" s="17">
        <f>IF(B264="","",IFERROR(INDEX(Ingredients!$G$5:$G$304,MATCH(B264,Ingredients!$B$5:$B$304,0)),"Add to Ingredients"))</f>
        <v>0</v>
      </c>
      <c r="H264" s="45">
        <f>IF(B264="","",IFERROR(INDEX(Ingredients!$AD$5:$AD$304,MATCH(B264,Ingredients!$B$5:$B$304,0)),0))</f>
        <v>0</v>
      </c>
      <c r="I264" s="45">
        <f>IF(F264="","",MAX(0,F264-IF(H264="",0,H264)))</f>
        <v>0</v>
      </c>
      <c r="J264" s="45">
        <f>IF(B264="","",IFERROR(INDEX(Ingredients!$H$5:$H$304,MATCH(B264,Ingredients!$B$5:$B$304,0)),"Add to Ingredients"))</f>
        <v>0</v>
      </c>
      <c r="K264" s="25">
        <f>IF(B264="","",IFERROR(INDEX(Ingredients!$I$5:$I$304,MATCH(B264,Ingredients!$B$5:$B$304,0)),"Add to Ingredients"))</f>
        <v>0</v>
      </c>
      <c r="L264" s="25">
        <f>IF(B264="","",IFERROR(INDEX(Ingredients!$J$5:$J$304,MATCH(B264,Ingredients!$B$5:$B$304,0)),"Add to Ingredients"))</f>
        <v>0</v>
      </c>
      <c r="M264" s="45">
        <f>IF(OR(I264="",I264=0),"",IF(OR(J264="",NOT(ISNUMBER(J264)),J264=0),"",ROUNDUP(I264/J264,0)))</f>
        <v>0</v>
      </c>
      <c r="N264" s="45">
        <f>IF(I264="","",IF(RoundingRule="Exact quantity",I264,IF(M264="",I264,M264*J264)))</f>
        <v>0</v>
      </c>
      <c r="O264" s="25">
        <f>IF(N264="","",IF(RoundingRule="Exact quantity",IF(L264="","",N264*L264),IF(OR(M264="",K264=""),"",M264*K264)))</f>
        <v>0</v>
      </c>
      <c r="P264" s="25">
        <f>IF(B264="","",SUM(O$5:O264))</f>
        <v>0</v>
      </c>
      <c r="Q264" s="45">
        <f>IF(V264="Yes",0,IF(N264="",0,N264))</f>
        <v>0</v>
      </c>
      <c r="R264" s="18">
        <f>IF(OR(B264="",I264=0,I264=""),"",COUNTIFS($I$5:I264,"&gt;0"))</f>
        <v>0</v>
      </c>
      <c r="S264" s="18">
        <f>IF(B264="","",COUNTIFS('Recipe Ingredients'!$D$5:$D$1204,B264,'Recipe Ingredients'!$Y$5:$Y$1204,"&gt;0"))</f>
        <v>0</v>
      </c>
      <c r="T264" s="46">
        <f>IF(B264="","",IF(COUNTIFS('Recipe Ingredients'!$D$5:$D$1204,B264,'Recipe Ingredients'!$Y$5:$Y$1204,"&gt;0",'Recipe Ingredients'!$I$5:$I$1204,"No")=0,"Yes","No"))</f>
        <v>0</v>
      </c>
      <c r="U264" s="17">
        <f>IF(B264="","",IFERROR(INDEX(Ingredients!$W$5:$W$304,MATCH(B264,Ingredients!$B$5:$B$304,0)),"Add to Ingredients"))</f>
        <v>0</v>
      </c>
      <c r="Z264" s="31">
        <f>IF(B264="","",IF(V264="Yes","Bought",IF(I264=0,"In stock",IF(O264="","Check - no price","On the list"))))</f>
        <v>0</v>
      </c>
    </row>
    <row r="265" spans="1:26">
      <c r="A265" s="18">
        <f>ROW()-4</f>
        <v>0</v>
      </c>
      <c r="B265" s="17">
        <f>IFERROR(INDEX(Ingredients!$B$5:$B$304,MATCH(A265,Ingredients!$AL$5:$AL$304,0)),"")</f>
        <v>0</v>
      </c>
      <c r="C265" s="17">
        <f>IF(B265="","",IFERROR(INDEX(Ingredients!$C$5:$C$304,MATCH(B265,Ingredients!$B$5:$B$304,0)),"Add to Ingredients"))</f>
        <v>0</v>
      </c>
      <c r="D265" s="17">
        <f>IF(B265="","",IFERROR(INDEX(Ingredients!$D$5:$D$304,MATCH(B265,Ingredients!$B$5:$B$304,0)),"Add to Ingredients"))</f>
        <v>0</v>
      </c>
      <c r="E265" s="17">
        <f>IF(B265="","",IFERROR(INDEX(Ingredients!$E$5:$E$304,MATCH(B265,Ingredients!$B$5:$B$304,0)),"Add to Ingredients"))</f>
        <v>0</v>
      </c>
      <c r="F265" s="45">
        <f>IF(B265="","",IFERROR(INDEX(Ingredients!$AG$5:$AG$304,MATCH(B265,Ingredients!$B$5:$B$304,0)),""))</f>
        <v>0</v>
      </c>
      <c r="G265" s="17">
        <f>IF(B265="","",IFERROR(INDEX(Ingredients!$G$5:$G$304,MATCH(B265,Ingredients!$B$5:$B$304,0)),"Add to Ingredients"))</f>
        <v>0</v>
      </c>
      <c r="H265" s="45">
        <f>IF(B265="","",IFERROR(INDEX(Ingredients!$AD$5:$AD$304,MATCH(B265,Ingredients!$B$5:$B$304,0)),0))</f>
        <v>0</v>
      </c>
      <c r="I265" s="45">
        <f>IF(F265="","",MAX(0,F265-IF(H265="",0,H265)))</f>
        <v>0</v>
      </c>
      <c r="J265" s="45">
        <f>IF(B265="","",IFERROR(INDEX(Ingredients!$H$5:$H$304,MATCH(B265,Ingredients!$B$5:$B$304,0)),"Add to Ingredients"))</f>
        <v>0</v>
      </c>
      <c r="K265" s="25">
        <f>IF(B265="","",IFERROR(INDEX(Ingredients!$I$5:$I$304,MATCH(B265,Ingredients!$B$5:$B$304,0)),"Add to Ingredients"))</f>
        <v>0</v>
      </c>
      <c r="L265" s="25">
        <f>IF(B265="","",IFERROR(INDEX(Ingredients!$J$5:$J$304,MATCH(B265,Ingredients!$B$5:$B$304,0)),"Add to Ingredients"))</f>
        <v>0</v>
      </c>
      <c r="M265" s="45">
        <f>IF(OR(I265="",I265=0),"",IF(OR(J265="",NOT(ISNUMBER(J265)),J265=0),"",ROUNDUP(I265/J265,0)))</f>
        <v>0</v>
      </c>
      <c r="N265" s="45">
        <f>IF(I265="","",IF(RoundingRule="Exact quantity",I265,IF(M265="",I265,M265*J265)))</f>
        <v>0</v>
      </c>
      <c r="O265" s="25">
        <f>IF(N265="","",IF(RoundingRule="Exact quantity",IF(L265="","",N265*L265),IF(OR(M265="",K265=""),"",M265*K265)))</f>
        <v>0</v>
      </c>
      <c r="P265" s="25">
        <f>IF(B265="","",SUM(O$5:O265))</f>
        <v>0</v>
      </c>
      <c r="Q265" s="45">
        <f>IF(V265="Yes",0,IF(N265="",0,N265))</f>
        <v>0</v>
      </c>
      <c r="R265" s="18">
        <f>IF(OR(B265="",I265=0,I265=""),"",COUNTIFS($I$5:I265,"&gt;0"))</f>
        <v>0</v>
      </c>
      <c r="S265" s="18">
        <f>IF(B265="","",COUNTIFS('Recipe Ingredients'!$D$5:$D$1204,B265,'Recipe Ingredients'!$Y$5:$Y$1204,"&gt;0"))</f>
        <v>0</v>
      </c>
      <c r="T265" s="46">
        <f>IF(B265="","",IF(COUNTIFS('Recipe Ingredients'!$D$5:$D$1204,B265,'Recipe Ingredients'!$Y$5:$Y$1204,"&gt;0",'Recipe Ingredients'!$I$5:$I$1204,"No")=0,"Yes","No"))</f>
        <v>0</v>
      </c>
      <c r="U265" s="17">
        <f>IF(B265="","",IFERROR(INDEX(Ingredients!$W$5:$W$304,MATCH(B265,Ingredients!$B$5:$B$304,0)),"Add to Ingredients"))</f>
        <v>0</v>
      </c>
      <c r="Z265" s="31">
        <f>IF(B265="","",IF(V265="Yes","Bought",IF(I265=0,"In stock",IF(O265="","Check - no price","On the list"))))</f>
        <v>0</v>
      </c>
    </row>
    <row r="266" spans="1:26">
      <c r="A266" s="18">
        <f>ROW()-4</f>
        <v>0</v>
      </c>
      <c r="B266" s="17">
        <f>IFERROR(INDEX(Ingredients!$B$5:$B$304,MATCH(A266,Ingredients!$AL$5:$AL$304,0)),"")</f>
        <v>0</v>
      </c>
      <c r="C266" s="17">
        <f>IF(B266="","",IFERROR(INDEX(Ingredients!$C$5:$C$304,MATCH(B266,Ingredients!$B$5:$B$304,0)),"Add to Ingredients"))</f>
        <v>0</v>
      </c>
      <c r="D266" s="17">
        <f>IF(B266="","",IFERROR(INDEX(Ingredients!$D$5:$D$304,MATCH(B266,Ingredients!$B$5:$B$304,0)),"Add to Ingredients"))</f>
        <v>0</v>
      </c>
      <c r="E266" s="17">
        <f>IF(B266="","",IFERROR(INDEX(Ingredients!$E$5:$E$304,MATCH(B266,Ingredients!$B$5:$B$304,0)),"Add to Ingredients"))</f>
        <v>0</v>
      </c>
      <c r="F266" s="45">
        <f>IF(B266="","",IFERROR(INDEX(Ingredients!$AG$5:$AG$304,MATCH(B266,Ingredients!$B$5:$B$304,0)),""))</f>
        <v>0</v>
      </c>
      <c r="G266" s="17">
        <f>IF(B266="","",IFERROR(INDEX(Ingredients!$G$5:$G$304,MATCH(B266,Ingredients!$B$5:$B$304,0)),"Add to Ingredients"))</f>
        <v>0</v>
      </c>
      <c r="H266" s="45">
        <f>IF(B266="","",IFERROR(INDEX(Ingredients!$AD$5:$AD$304,MATCH(B266,Ingredients!$B$5:$B$304,0)),0))</f>
        <v>0</v>
      </c>
      <c r="I266" s="45">
        <f>IF(F266="","",MAX(0,F266-IF(H266="",0,H266)))</f>
        <v>0</v>
      </c>
      <c r="J266" s="45">
        <f>IF(B266="","",IFERROR(INDEX(Ingredients!$H$5:$H$304,MATCH(B266,Ingredients!$B$5:$B$304,0)),"Add to Ingredients"))</f>
        <v>0</v>
      </c>
      <c r="K266" s="25">
        <f>IF(B266="","",IFERROR(INDEX(Ingredients!$I$5:$I$304,MATCH(B266,Ingredients!$B$5:$B$304,0)),"Add to Ingredients"))</f>
        <v>0</v>
      </c>
      <c r="L266" s="25">
        <f>IF(B266="","",IFERROR(INDEX(Ingredients!$J$5:$J$304,MATCH(B266,Ingredients!$B$5:$B$304,0)),"Add to Ingredients"))</f>
        <v>0</v>
      </c>
      <c r="M266" s="45">
        <f>IF(OR(I266="",I266=0),"",IF(OR(J266="",NOT(ISNUMBER(J266)),J266=0),"",ROUNDUP(I266/J266,0)))</f>
        <v>0</v>
      </c>
      <c r="N266" s="45">
        <f>IF(I266="","",IF(RoundingRule="Exact quantity",I266,IF(M266="",I266,M266*J266)))</f>
        <v>0</v>
      </c>
      <c r="O266" s="25">
        <f>IF(N266="","",IF(RoundingRule="Exact quantity",IF(L266="","",N266*L266),IF(OR(M266="",K266=""),"",M266*K266)))</f>
        <v>0</v>
      </c>
      <c r="P266" s="25">
        <f>IF(B266="","",SUM(O$5:O266))</f>
        <v>0</v>
      </c>
      <c r="Q266" s="45">
        <f>IF(V266="Yes",0,IF(N266="",0,N266))</f>
        <v>0</v>
      </c>
      <c r="R266" s="18">
        <f>IF(OR(B266="",I266=0,I266=""),"",COUNTIFS($I$5:I266,"&gt;0"))</f>
        <v>0</v>
      </c>
      <c r="S266" s="18">
        <f>IF(B266="","",COUNTIFS('Recipe Ingredients'!$D$5:$D$1204,B266,'Recipe Ingredients'!$Y$5:$Y$1204,"&gt;0"))</f>
        <v>0</v>
      </c>
      <c r="T266" s="46">
        <f>IF(B266="","",IF(COUNTIFS('Recipe Ingredients'!$D$5:$D$1204,B266,'Recipe Ingredients'!$Y$5:$Y$1204,"&gt;0",'Recipe Ingredients'!$I$5:$I$1204,"No")=0,"Yes","No"))</f>
        <v>0</v>
      </c>
      <c r="U266" s="17">
        <f>IF(B266="","",IFERROR(INDEX(Ingredients!$W$5:$W$304,MATCH(B266,Ingredients!$B$5:$B$304,0)),"Add to Ingredients"))</f>
        <v>0</v>
      </c>
      <c r="Z266" s="31">
        <f>IF(B266="","",IF(V266="Yes","Bought",IF(I266=0,"In stock",IF(O266="","Check - no price","On the list"))))</f>
        <v>0</v>
      </c>
    </row>
    <row r="267" spans="1:26">
      <c r="A267" s="18">
        <f>ROW()-4</f>
        <v>0</v>
      </c>
      <c r="B267" s="17">
        <f>IFERROR(INDEX(Ingredients!$B$5:$B$304,MATCH(A267,Ingredients!$AL$5:$AL$304,0)),"")</f>
        <v>0</v>
      </c>
      <c r="C267" s="17">
        <f>IF(B267="","",IFERROR(INDEX(Ingredients!$C$5:$C$304,MATCH(B267,Ingredients!$B$5:$B$304,0)),"Add to Ingredients"))</f>
        <v>0</v>
      </c>
      <c r="D267" s="17">
        <f>IF(B267="","",IFERROR(INDEX(Ingredients!$D$5:$D$304,MATCH(B267,Ingredients!$B$5:$B$304,0)),"Add to Ingredients"))</f>
        <v>0</v>
      </c>
      <c r="E267" s="17">
        <f>IF(B267="","",IFERROR(INDEX(Ingredients!$E$5:$E$304,MATCH(B267,Ingredients!$B$5:$B$304,0)),"Add to Ingredients"))</f>
        <v>0</v>
      </c>
      <c r="F267" s="45">
        <f>IF(B267="","",IFERROR(INDEX(Ingredients!$AG$5:$AG$304,MATCH(B267,Ingredients!$B$5:$B$304,0)),""))</f>
        <v>0</v>
      </c>
      <c r="G267" s="17">
        <f>IF(B267="","",IFERROR(INDEX(Ingredients!$G$5:$G$304,MATCH(B267,Ingredients!$B$5:$B$304,0)),"Add to Ingredients"))</f>
        <v>0</v>
      </c>
      <c r="H267" s="45">
        <f>IF(B267="","",IFERROR(INDEX(Ingredients!$AD$5:$AD$304,MATCH(B267,Ingredients!$B$5:$B$304,0)),0))</f>
        <v>0</v>
      </c>
      <c r="I267" s="45">
        <f>IF(F267="","",MAX(0,F267-IF(H267="",0,H267)))</f>
        <v>0</v>
      </c>
      <c r="J267" s="45">
        <f>IF(B267="","",IFERROR(INDEX(Ingredients!$H$5:$H$304,MATCH(B267,Ingredients!$B$5:$B$304,0)),"Add to Ingredients"))</f>
        <v>0</v>
      </c>
      <c r="K267" s="25">
        <f>IF(B267="","",IFERROR(INDEX(Ingredients!$I$5:$I$304,MATCH(B267,Ingredients!$B$5:$B$304,0)),"Add to Ingredients"))</f>
        <v>0</v>
      </c>
      <c r="L267" s="25">
        <f>IF(B267="","",IFERROR(INDEX(Ingredients!$J$5:$J$304,MATCH(B267,Ingredients!$B$5:$B$304,0)),"Add to Ingredients"))</f>
        <v>0</v>
      </c>
      <c r="M267" s="45">
        <f>IF(OR(I267="",I267=0),"",IF(OR(J267="",NOT(ISNUMBER(J267)),J267=0),"",ROUNDUP(I267/J267,0)))</f>
        <v>0</v>
      </c>
      <c r="N267" s="45">
        <f>IF(I267="","",IF(RoundingRule="Exact quantity",I267,IF(M267="",I267,M267*J267)))</f>
        <v>0</v>
      </c>
      <c r="O267" s="25">
        <f>IF(N267="","",IF(RoundingRule="Exact quantity",IF(L267="","",N267*L267),IF(OR(M267="",K267=""),"",M267*K267)))</f>
        <v>0</v>
      </c>
      <c r="P267" s="25">
        <f>IF(B267="","",SUM(O$5:O267))</f>
        <v>0</v>
      </c>
      <c r="Q267" s="45">
        <f>IF(V267="Yes",0,IF(N267="",0,N267))</f>
        <v>0</v>
      </c>
      <c r="R267" s="18">
        <f>IF(OR(B267="",I267=0,I267=""),"",COUNTIFS($I$5:I267,"&gt;0"))</f>
        <v>0</v>
      </c>
      <c r="S267" s="18">
        <f>IF(B267="","",COUNTIFS('Recipe Ingredients'!$D$5:$D$1204,B267,'Recipe Ingredients'!$Y$5:$Y$1204,"&gt;0"))</f>
        <v>0</v>
      </c>
      <c r="T267" s="46">
        <f>IF(B267="","",IF(COUNTIFS('Recipe Ingredients'!$D$5:$D$1204,B267,'Recipe Ingredients'!$Y$5:$Y$1204,"&gt;0",'Recipe Ingredients'!$I$5:$I$1204,"No")=0,"Yes","No"))</f>
        <v>0</v>
      </c>
      <c r="U267" s="17">
        <f>IF(B267="","",IFERROR(INDEX(Ingredients!$W$5:$W$304,MATCH(B267,Ingredients!$B$5:$B$304,0)),"Add to Ingredients"))</f>
        <v>0</v>
      </c>
      <c r="Z267" s="31">
        <f>IF(B267="","",IF(V267="Yes","Bought",IF(I267=0,"In stock",IF(O267="","Check - no price","On the list"))))</f>
        <v>0</v>
      </c>
    </row>
    <row r="268" spans="1:26">
      <c r="A268" s="18">
        <f>ROW()-4</f>
        <v>0</v>
      </c>
      <c r="B268" s="17">
        <f>IFERROR(INDEX(Ingredients!$B$5:$B$304,MATCH(A268,Ingredients!$AL$5:$AL$304,0)),"")</f>
        <v>0</v>
      </c>
      <c r="C268" s="17">
        <f>IF(B268="","",IFERROR(INDEX(Ingredients!$C$5:$C$304,MATCH(B268,Ingredients!$B$5:$B$304,0)),"Add to Ingredients"))</f>
        <v>0</v>
      </c>
      <c r="D268" s="17">
        <f>IF(B268="","",IFERROR(INDEX(Ingredients!$D$5:$D$304,MATCH(B268,Ingredients!$B$5:$B$304,0)),"Add to Ingredients"))</f>
        <v>0</v>
      </c>
      <c r="E268" s="17">
        <f>IF(B268="","",IFERROR(INDEX(Ingredients!$E$5:$E$304,MATCH(B268,Ingredients!$B$5:$B$304,0)),"Add to Ingredients"))</f>
        <v>0</v>
      </c>
      <c r="F268" s="45">
        <f>IF(B268="","",IFERROR(INDEX(Ingredients!$AG$5:$AG$304,MATCH(B268,Ingredients!$B$5:$B$304,0)),""))</f>
        <v>0</v>
      </c>
      <c r="G268" s="17">
        <f>IF(B268="","",IFERROR(INDEX(Ingredients!$G$5:$G$304,MATCH(B268,Ingredients!$B$5:$B$304,0)),"Add to Ingredients"))</f>
        <v>0</v>
      </c>
      <c r="H268" s="45">
        <f>IF(B268="","",IFERROR(INDEX(Ingredients!$AD$5:$AD$304,MATCH(B268,Ingredients!$B$5:$B$304,0)),0))</f>
        <v>0</v>
      </c>
      <c r="I268" s="45">
        <f>IF(F268="","",MAX(0,F268-IF(H268="",0,H268)))</f>
        <v>0</v>
      </c>
      <c r="J268" s="45">
        <f>IF(B268="","",IFERROR(INDEX(Ingredients!$H$5:$H$304,MATCH(B268,Ingredients!$B$5:$B$304,0)),"Add to Ingredients"))</f>
        <v>0</v>
      </c>
      <c r="K268" s="25">
        <f>IF(B268="","",IFERROR(INDEX(Ingredients!$I$5:$I$304,MATCH(B268,Ingredients!$B$5:$B$304,0)),"Add to Ingredients"))</f>
        <v>0</v>
      </c>
      <c r="L268" s="25">
        <f>IF(B268="","",IFERROR(INDEX(Ingredients!$J$5:$J$304,MATCH(B268,Ingredients!$B$5:$B$304,0)),"Add to Ingredients"))</f>
        <v>0</v>
      </c>
      <c r="M268" s="45">
        <f>IF(OR(I268="",I268=0),"",IF(OR(J268="",NOT(ISNUMBER(J268)),J268=0),"",ROUNDUP(I268/J268,0)))</f>
        <v>0</v>
      </c>
      <c r="N268" s="45">
        <f>IF(I268="","",IF(RoundingRule="Exact quantity",I268,IF(M268="",I268,M268*J268)))</f>
        <v>0</v>
      </c>
      <c r="O268" s="25">
        <f>IF(N268="","",IF(RoundingRule="Exact quantity",IF(L268="","",N268*L268),IF(OR(M268="",K268=""),"",M268*K268)))</f>
        <v>0</v>
      </c>
      <c r="P268" s="25">
        <f>IF(B268="","",SUM(O$5:O268))</f>
        <v>0</v>
      </c>
      <c r="Q268" s="45">
        <f>IF(V268="Yes",0,IF(N268="",0,N268))</f>
        <v>0</v>
      </c>
      <c r="R268" s="18">
        <f>IF(OR(B268="",I268=0,I268=""),"",COUNTIFS($I$5:I268,"&gt;0"))</f>
        <v>0</v>
      </c>
      <c r="S268" s="18">
        <f>IF(B268="","",COUNTIFS('Recipe Ingredients'!$D$5:$D$1204,B268,'Recipe Ingredients'!$Y$5:$Y$1204,"&gt;0"))</f>
        <v>0</v>
      </c>
      <c r="T268" s="46">
        <f>IF(B268="","",IF(COUNTIFS('Recipe Ingredients'!$D$5:$D$1204,B268,'Recipe Ingredients'!$Y$5:$Y$1204,"&gt;0",'Recipe Ingredients'!$I$5:$I$1204,"No")=0,"Yes","No"))</f>
        <v>0</v>
      </c>
      <c r="U268" s="17">
        <f>IF(B268="","",IFERROR(INDEX(Ingredients!$W$5:$W$304,MATCH(B268,Ingredients!$B$5:$B$304,0)),"Add to Ingredients"))</f>
        <v>0</v>
      </c>
      <c r="Z268" s="31">
        <f>IF(B268="","",IF(V268="Yes","Bought",IF(I268=0,"In stock",IF(O268="","Check - no price","On the list"))))</f>
        <v>0</v>
      </c>
    </row>
    <row r="269" spans="1:26">
      <c r="A269" s="18">
        <f>ROW()-4</f>
        <v>0</v>
      </c>
      <c r="B269" s="17">
        <f>IFERROR(INDEX(Ingredients!$B$5:$B$304,MATCH(A269,Ingredients!$AL$5:$AL$304,0)),"")</f>
        <v>0</v>
      </c>
      <c r="C269" s="17">
        <f>IF(B269="","",IFERROR(INDEX(Ingredients!$C$5:$C$304,MATCH(B269,Ingredients!$B$5:$B$304,0)),"Add to Ingredients"))</f>
        <v>0</v>
      </c>
      <c r="D269" s="17">
        <f>IF(B269="","",IFERROR(INDEX(Ingredients!$D$5:$D$304,MATCH(B269,Ingredients!$B$5:$B$304,0)),"Add to Ingredients"))</f>
        <v>0</v>
      </c>
      <c r="E269" s="17">
        <f>IF(B269="","",IFERROR(INDEX(Ingredients!$E$5:$E$304,MATCH(B269,Ingredients!$B$5:$B$304,0)),"Add to Ingredients"))</f>
        <v>0</v>
      </c>
      <c r="F269" s="45">
        <f>IF(B269="","",IFERROR(INDEX(Ingredients!$AG$5:$AG$304,MATCH(B269,Ingredients!$B$5:$B$304,0)),""))</f>
        <v>0</v>
      </c>
      <c r="G269" s="17">
        <f>IF(B269="","",IFERROR(INDEX(Ingredients!$G$5:$G$304,MATCH(B269,Ingredients!$B$5:$B$304,0)),"Add to Ingredients"))</f>
        <v>0</v>
      </c>
      <c r="H269" s="45">
        <f>IF(B269="","",IFERROR(INDEX(Ingredients!$AD$5:$AD$304,MATCH(B269,Ingredients!$B$5:$B$304,0)),0))</f>
        <v>0</v>
      </c>
      <c r="I269" s="45">
        <f>IF(F269="","",MAX(0,F269-IF(H269="",0,H269)))</f>
        <v>0</v>
      </c>
      <c r="J269" s="45">
        <f>IF(B269="","",IFERROR(INDEX(Ingredients!$H$5:$H$304,MATCH(B269,Ingredients!$B$5:$B$304,0)),"Add to Ingredients"))</f>
        <v>0</v>
      </c>
      <c r="K269" s="25">
        <f>IF(B269="","",IFERROR(INDEX(Ingredients!$I$5:$I$304,MATCH(B269,Ingredients!$B$5:$B$304,0)),"Add to Ingredients"))</f>
        <v>0</v>
      </c>
      <c r="L269" s="25">
        <f>IF(B269="","",IFERROR(INDEX(Ingredients!$J$5:$J$304,MATCH(B269,Ingredients!$B$5:$B$304,0)),"Add to Ingredients"))</f>
        <v>0</v>
      </c>
      <c r="M269" s="45">
        <f>IF(OR(I269="",I269=0),"",IF(OR(J269="",NOT(ISNUMBER(J269)),J269=0),"",ROUNDUP(I269/J269,0)))</f>
        <v>0</v>
      </c>
      <c r="N269" s="45">
        <f>IF(I269="","",IF(RoundingRule="Exact quantity",I269,IF(M269="",I269,M269*J269)))</f>
        <v>0</v>
      </c>
      <c r="O269" s="25">
        <f>IF(N269="","",IF(RoundingRule="Exact quantity",IF(L269="","",N269*L269),IF(OR(M269="",K269=""),"",M269*K269)))</f>
        <v>0</v>
      </c>
      <c r="P269" s="25">
        <f>IF(B269="","",SUM(O$5:O269))</f>
        <v>0</v>
      </c>
      <c r="Q269" s="45">
        <f>IF(V269="Yes",0,IF(N269="",0,N269))</f>
        <v>0</v>
      </c>
      <c r="R269" s="18">
        <f>IF(OR(B269="",I269=0,I269=""),"",COUNTIFS($I$5:I269,"&gt;0"))</f>
        <v>0</v>
      </c>
      <c r="S269" s="18">
        <f>IF(B269="","",COUNTIFS('Recipe Ingredients'!$D$5:$D$1204,B269,'Recipe Ingredients'!$Y$5:$Y$1204,"&gt;0"))</f>
        <v>0</v>
      </c>
      <c r="T269" s="46">
        <f>IF(B269="","",IF(COUNTIFS('Recipe Ingredients'!$D$5:$D$1204,B269,'Recipe Ingredients'!$Y$5:$Y$1204,"&gt;0",'Recipe Ingredients'!$I$5:$I$1204,"No")=0,"Yes","No"))</f>
        <v>0</v>
      </c>
      <c r="U269" s="17">
        <f>IF(B269="","",IFERROR(INDEX(Ingredients!$W$5:$W$304,MATCH(B269,Ingredients!$B$5:$B$304,0)),"Add to Ingredients"))</f>
        <v>0</v>
      </c>
      <c r="Z269" s="31">
        <f>IF(B269="","",IF(V269="Yes","Bought",IF(I269=0,"In stock",IF(O269="","Check - no price","On the list"))))</f>
        <v>0</v>
      </c>
    </row>
    <row r="270" spans="1:26">
      <c r="A270" s="18">
        <f>ROW()-4</f>
        <v>0</v>
      </c>
      <c r="B270" s="17">
        <f>IFERROR(INDEX(Ingredients!$B$5:$B$304,MATCH(A270,Ingredients!$AL$5:$AL$304,0)),"")</f>
        <v>0</v>
      </c>
      <c r="C270" s="17">
        <f>IF(B270="","",IFERROR(INDEX(Ingredients!$C$5:$C$304,MATCH(B270,Ingredients!$B$5:$B$304,0)),"Add to Ingredients"))</f>
        <v>0</v>
      </c>
      <c r="D270" s="17">
        <f>IF(B270="","",IFERROR(INDEX(Ingredients!$D$5:$D$304,MATCH(B270,Ingredients!$B$5:$B$304,0)),"Add to Ingredients"))</f>
        <v>0</v>
      </c>
      <c r="E270" s="17">
        <f>IF(B270="","",IFERROR(INDEX(Ingredients!$E$5:$E$304,MATCH(B270,Ingredients!$B$5:$B$304,0)),"Add to Ingredients"))</f>
        <v>0</v>
      </c>
      <c r="F270" s="45">
        <f>IF(B270="","",IFERROR(INDEX(Ingredients!$AG$5:$AG$304,MATCH(B270,Ingredients!$B$5:$B$304,0)),""))</f>
        <v>0</v>
      </c>
      <c r="G270" s="17">
        <f>IF(B270="","",IFERROR(INDEX(Ingredients!$G$5:$G$304,MATCH(B270,Ingredients!$B$5:$B$304,0)),"Add to Ingredients"))</f>
        <v>0</v>
      </c>
      <c r="H270" s="45">
        <f>IF(B270="","",IFERROR(INDEX(Ingredients!$AD$5:$AD$304,MATCH(B270,Ingredients!$B$5:$B$304,0)),0))</f>
        <v>0</v>
      </c>
      <c r="I270" s="45">
        <f>IF(F270="","",MAX(0,F270-IF(H270="",0,H270)))</f>
        <v>0</v>
      </c>
      <c r="J270" s="45">
        <f>IF(B270="","",IFERROR(INDEX(Ingredients!$H$5:$H$304,MATCH(B270,Ingredients!$B$5:$B$304,0)),"Add to Ingredients"))</f>
        <v>0</v>
      </c>
      <c r="K270" s="25">
        <f>IF(B270="","",IFERROR(INDEX(Ingredients!$I$5:$I$304,MATCH(B270,Ingredients!$B$5:$B$304,0)),"Add to Ingredients"))</f>
        <v>0</v>
      </c>
      <c r="L270" s="25">
        <f>IF(B270="","",IFERROR(INDEX(Ingredients!$J$5:$J$304,MATCH(B270,Ingredients!$B$5:$B$304,0)),"Add to Ingredients"))</f>
        <v>0</v>
      </c>
      <c r="M270" s="45">
        <f>IF(OR(I270="",I270=0),"",IF(OR(J270="",NOT(ISNUMBER(J270)),J270=0),"",ROUNDUP(I270/J270,0)))</f>
        <v>0</v>
      </c>
      <c r="N270" s="45">
        <f>IF(I270="","",IF(RoundingRule="Exact quantity",I270,IF(M270="",I270,M270*J270)))</f>
        <v>0</v>
      </c>
      <c r="O270" s="25">
        <f>IF(N270="","",IF(RoundingRule="Exact quantity",IF(L270="","",N270*L270),IF(OR(M270="",K270=""),"",M270*K270)))</f>
        <v>0</v>
      </c>
      <c r="P270" s="25">
        <f>IF(B270="","",SUM(O$5:O270))</f>
        <v>0</v>
      </c>
      <c r="Q270" s="45">
        <f>IF(V270="Yes",0,IF(N270="",0,N270))</f>
        <v>0</v>
      </c>
      <c r="R270" s="18">
        <f>IF(OR(B270="",I270=0,I270=""),"",COUNTIFS($I$5:I270,"&gt;0"))</f>
        <v>0</v>
      </c>
      <c r="S270" s="18">
        <f>IF(B270="","",COUNTIFS('Recipe Ingredients'!$D$5:$D$1204,B270,'Recipe Ingredients'!$Y$5:$Y$1204,"&gt;0"))</f>
        <v>0</v>
      </c>
      <c r="T270" s="46">
        <f>IF(B270="","",IF(COUNTIFS('Recipe Ingredients'!$D$5:$D$1204,B270,'Recipe Ingredients'!$Y$5:$Y$1204,"&gt;0",'Recipe Ingredients'!$I$5:$I$1204,"No")=0,"Yes","No"))</f>
        <v>0</v>
      </c>
      <c r="U270" s="17">
        <f>IF(B270="","",IFERROR(INDEX(Ingredients!$W$5:$W$304,MATCH(B270,Ingredients!$B$5:$B$304,0)),"Add to Ingredients"))</f>
        <v>0</v>
      </c>
      <c r="Z270" s="31">
        <f>IF(B270="","",IF(V270="Yes","Bought",IF(I270=0,"In stock",IF(O270="","Check - no price","On the list"))))</f>
        <v>0</v>
      </c>
    </row>
    <row r="271" spans="1:26">
      <c r="A271" s="18">
        <f>ROW()-4</f>
        <v>0</v>
      </c>
      <c r="B271" s="17">
        <f>IFERROR(INDEX(Ingredients!$B$5:$B$304,MATCH(A271,Ingredients!$AL$5:$AL$304,0)),"")</f>
        <v>0</v>
      </c>
      <c r="C271" s="17">
        <f>IF(B271="","",IFERROR(INDEX(Ingredients!$C$5:$C$304,MATCH(B271,Ingredients!$B$5:$B$304,0)),"Add to Ingredients"))</f>
        <v>0</v>
      </c>
      <c r="D271" s="17">
        <f>IF(B271="","",IFERROR(INDEX(Ingredients!$D$5:$D$304,MATCH(B271,Ingredients!$B$5:$B$304,0)),"Add to Ingredients"))</f>
        <v>0</v>
      </c>
      <c r="E271" s="17">
        <f>IF(B271="","",IFERROR(INDEX(Ingredients!$E$5:$E$304,MATCH(B271,Ingredients!$B$5:$B$304,0)),"Add to Ingredients"))</f>
        <v>0</v>
      </c>
      <c r="F271" s="45">
        <f>IF(B271="","",IFERROR(INDEX(Ingredients!$AG$5:$AG$304,MATCH(B271,Ingredients!$B$5:$B$304,0)),""))</f>
        <v>0</v>
      </c>
      <c r="G271" s="17">
        <f>IF(B271="","",IFERROR(INDEX(Ingredients!$G$5:$G$304,MATCH(B271,Ingredients!$B$5:$B$304,0)),"Add to Ingredients"))</f>
        <v>0</v>
      </c>
      <c r="H271" s="45">
        <f>IF(B271="","",IFERROR(INDEX(Ingredients!$AD$5:$AD$304,MATCH(B271,Ingredients!$B$5:$B$304,0)),0))</f>
        <v>0</v>
      </c>
      <c r="I271" s="45">
        <f>IF(F271="","",MAX(0,F271-IF(H271="",0,H271)))</f>
        <v>0</v>
      </c>
      <c r="J271" s="45">
        <f>IF(B271="","",IFERROR(INDEX(Ingredients!$H$5:$H$304,MATCH(B271,Ingredients!$B$5:$B$304,0)),"Add to Ingredients"))</f>
        <v>0</v>
      </c>
      <c r="K271" s="25">
        <f>IF(B271="","",IFERROR(INDEX(Ingredients!$I$5:$I$304,MATCH(B271,Ingredients!$B$5:$B$304,0)),"Add to Ingredients"))</f>
        <v>0</v>
      </c>
      <c r="L271" s="25">
        <f>IF(B271="","",IFERROR(INDEX(Ingredients!$J$5:$J$304,MATCH(B271,Ingredients!$B$5:$B$304,0)),"Add to Ingredients"))</f>
        <v>0</v>
      </c>
      <c r="M271" s="45">
        <f>IF(OR(I271="",I271=0),"",IF(OR(J271="",NOT(ISNUMBER(J271)),J271=0),"",ROUNDUP(I271/J271,0)))</f>
        <v>0</v>
      </c>
      <c r="N271" s="45">
        <f>IF(I271="","",IF(RoundingRule="Exact quantity",I271,IF(M271="",I271,M271*J271)))</f>
        <v>0</v>
      </c>
      <c r="O271" s="25">
        <f>IF(N271="","",IF(RoundingRule="Exact quantity",IF(L271="","",N271*L271),IF(OR(M271="",K271=""),"",M271*K271)))</f>
        <v>0</v>
      </c>
      <c r="P271" s="25">
        <f>IF(B271="","",SUM(O$5:O271))</f>
        <v>0</v>
      </c>
      <c r="Q271" s="45">
        <f>IF(V271="Yes",0,IF(N271="",0,N271))</f>
        <v>0</v>
      </c>
      <c r="R271" s="18">
        <f>IF(OR(B271="",I271=0,I271=""),"",COUNTIFS($I$5:I271,"&gt;0"))</f>
        <v>0</v>
      </c>
      <c r="S271" s="18">
        <f>IF(B271="","",COUNTIFS('Recipe Ingredients'!$D$5:$D$1204,B271,'Recipe Ingredients'!$Y$5:$Y$1204,"&gt;0"))</f>
        <v>0</v>
      </c>
      <c r="T271" s="46">
        <f>IF(B271="","",IF(COUNTIFS('Recipe Ingredients'!$D$5:$D$1204,B271,'Recipe Ingredients'!$Y$5:$Y$1204,"&gt;0",'Recipe Ingredients'!$I$5:$I$1204,"No")=0,"Yes","No"))</f>
        <v>0</v>
      </c>
      <c r="U271" s="17">
        <f>IF(B271="","",IFERROR(INDEX(Ingredients!$W$5:$W$304,MATCH(B271,Ingredients!$B$5:$B$304,0)),"Add to Ingredients"))</f>
        <v>0</v>
      </c>
      <c r="Z271" s="31">
        <f>IF(B271="","",IF(V271="Yes","Bought",IF(I271=0,"In stock",IF(O271="","Check - no price","On the list"))))</f>
        <v>0</v>
      </c>
    </row>
    <row r="272" spans="1:26">
      <c r="A272" s="18">
        <f>ROW()-4</f>
        <v>0</v>
      </c>
      <c r="B272" s="17">
        <f>IFERROR(INDEX(Ingredients!$B$5:$B$304,MATCH(A272,Ingredients!$AL$5:$AL$304,0)),"")</f>
        <v>0</v>
      </c>
      <c r="C272" s="17">
        <f>IF(B272="","",IFERROR(INDEX(Ingredients!$C$5:$C$304,MATCH(B272,Ingredients!$B$5:$B$304,0)),"Add to Ingredients"))</f>
        <v>0</v>
      </c>
      <c r="D272" s="17">
        <f>IF(B272="","",IFERROR(INDEX(Ingredients!$D$5:$D$304,MATCH(B272,Ingredients!$B$5:$B$304,0)),"Add to Ingredients"))</f>
        <v>0</v>
      </c>
      <c r="E272" s="17">
        <f>IF(B272="","",IFERROR(INDEX(Ingredients!$E$5:$E$304,MATCH(B272,Ingredients!$B$5:$B$304,0)),"Add to Ingredients"))</f>
        <v>0</v>
      </c>
      <c r="F272" s="45">
        <f>IF(B272="","",IFERROR(INDEX(Ingredients!$AG$5:$AG$304,MATCH(B272,Ingredients!$B$5:$B$304,0)),""))</f>
        <v>0</v>
      </c>
      <c r="G272" s="17">
        <f>IF(B272="","",IFERROR(INDEX(Ingredients!$G$5:$G$304,MATCH(B272,Ingredients!$B$5:$B$304,0)),"Add to Ingredients"))</f>
        <v>0</v>
      </c>
      <c r="H272" s="45">
        <f>IF(B272="","",IFERROR(INDEX(Ingredients!$AD$5:$AD$304,MATCH(B272,Ingredients!$B$5:$B$304,0)),0))</f>
        <v>0</v>
      </c>
      <c r="I272" s="45">
        <f>IF(F272="","",MAX(0,F272-IF(H272="",0,H272)))</f>
        <v>0</v>
      </c>
      <c r="J272" s="45">
        <f>IF(B272="","",IFERROR(INDEX(Ingredients!$H$5:$H$304,MATCH(B272,Ingredients!$B$5:$B$304,0)),"Add to Ingredients"))</f>
        <v>0</v>
      </c>
      <c r="K272" s="25">
        <f>IF(B272="","",IFERROR(INDEX(Ingredients!$I$5:$I$304,MATCH(B272,Ingredients!$B$5:$B$304,0)),"Add to Ingredients"))</f>
        <v>0</v>
      </c>
      <c r="L272" s="25">
        <f>IF(B272="","",IFERROR(INDEX(Ingredients!$J$5:$J$304,MATCH(B272,Ingredients!$B$5:$B$304,0)),"Add to Ingredients"))</f>
        <v>0</v>
      </c>
      <c r="M272" s="45">
        <f>IF(OR(I272="",I272=0),"",IF(OR(J272="",NOT(ISNUMBER(J272)),J272=0),"",ROUNDUP(I272/J272,0)))</f>
        <v>0</v>
      </c>
      <c r="N272" s="45">
        <f>IF(I272="","",IF(RoundingRule="Exact quantity",I272,IF(M272="",I272,M272*J272)))</f>
        <v>0</v>
      </c>
      <c r="O272" s="25">
        <f>IF(N272="","",IF(RoundingRule="Exact quantity",IF(L272="","",N272*L272),IF(OR(M272="",K272=""),"",M272*K272)))</f>
        <v>0</v>
      </c>
      <c r="P272" s="25">
        <f>IF(B272="","",SUM(O$5:O272))</f>
        <v>0</v>
      </c>
      <c r="Q272" s="45">
        <f>IF(V272="Yes",0,IF(N272="",0,N272))</f>
        <v>0</v>
      </c>
      <c r="R272" s="18">
        <f>IF(OR(B272="",I272=0,I272=""),"",COUNTIFS($I$5:I272,"&gt;0"))</f>
        <v>0</v>
      </c>
      <c r="S272" s="18">
        <f>IF(B272="","",COUNTIFS('Recipe Ingredients'!$D$5:$D$1204,B272,'Recipe Ingredients'!$Y$5:$Y$1204,"&gt;0"))</f>
        <v>0</v>
      </c>
      <c r="T272" s="46">
        <f>IF(B272="","",IF(COUNTIFS('Recipe Ingredients'!$D$5:$D$1204,B272,'Recipe Ingredients'!$Y$5:$Y$1204,"&gt;0",'Recipe Ingredients'!$I$5:$I$1204,"No")=0,"Yes","No"))</f>
        <v>0</v>
      </c>
      <c r="U272" s="17">
        <f>IF(B272="","",IFERROR(INDEX(Ingredients!$W$5:$W$304,MATCH(B272,Ingredients!$B$5:$B$304,0)),"Add to Ingredients"))</f>
        <v>0</v>
      </c>
      <c r="Z272" s="31">
        <f>IF(B272="","",IF(V272="Yes","Bought",IF(I272=0,"In stock",IF(O272="","Check - no price","On the list"))))</f>
        <v>0</v>
      </c>
    </row>
    <row r="273" spans="1:26">
      <c r="A273" s="18">
        <f>ROW()-4</f>
        <v>0</v>
      </c>
      <c r="B273" s="17">
        <f>IFERROR(INDEX(Ingredients!$B$5:$B$304,MATCH(A273,Ingredients!$AL$5:$AL$304,0)),"")</f>
        <v>0</v>
      </c>
      <c r="C273" s="17">
        <f>IF(B273="","",IFERROR(INDEX(Ingredients!$C$5:$C$304,MATCH(B273,Ingredients!$B$5:$B$304,0)),"Add to Ingredients"))</f>
        <v>0</v>
      </c>
      <c r="D273" s="17">
        <f>IF(B273="","",IFERROR(INDEX(Ingredients!$D$5:$D$304,MATCH(B273,Ingredients!$B$5:$B$304,0)),"Add to Ingredients"))</f>
        <v>0</v>
      </c>
      <c r="E273" s="17">
        <f>IF(B273="","",IFERROR(INDEX(Ingredients!$E$5:$E$304,MATCH(B273,Ingredients!$B$5:$B$304,0)),"Add to Ingredients"))</f>
        <v>0</v>
      </c>
      <c r="F273" s="45">
        <f>IF(B273="","",IFERROR(INDEX(Ingredients!$AG$5:$AG$304,MATCH(B273,Ingredients!$B$5:$B$304,0)),""))</f>
        <v>0</v>
      </c>
      <c r="G273" s="17">
        <f>IF(B273="","",IFERROR(INDEX(Ingredients!$G$5:$G$304,MATCH(B273,Ingredients!$B$5:$B$304,0)),"Add to Ingredients"))</f>
        <v>0</v>
      </c>
      <c r="H273" s="45">
        <f>IF(B273="","",IFERROR(INDEX(Ingredients!$AD$5:$AD$304,MATCH(B273,Ingredients!$B$5:$B$304,0)),0))</f>
        <v>0</v>
      </c>
      <c r="I273" s="45">
        <f>IF(F273="","",MAX(0,F273-IF(H273="",0,H273)))</f>
        <v>0</v>
      </c>
      <c r="J273" s="45">
        <f>IF(B273="","",IFERROR(INDEX(Ingredients!$H$5:$H$304,MATCH(B273,Ingredients!$B$5:$B$304,0)),"Add to Ingredients"))</f>
        <v>0</v>
      </c>
      <c r="K273" s="25">
        <f>IF(B273="","",IFERROR(INDEX(Ingredients!$I$5:$I$304,MATCH(B273,Ingredients!$B$5:$B$304,0)),"Add to Ingredients"))</f>
        <v>0</v>
      </c>
      <c r="L273" s="25">
        <f>IF(B273="","",IFERROR(INDEX(Ingredients!$J$5:$J$304,MATCH(B273,Ingredients!$B$5:$B$304,0)),"Add to Ingredients"))</f>
        <v>0</v>
      </c>
      <c r="M273" s="45">
        <f>IF(OR(I273="",I273=0),"",IF(OR(J273="",NOT(ISNUMBER(J273)),J273=0),"",ROUNDUP(I273/J273,0)))</f>
        <v>0</v>
      </c>
      <c r="N273" s="45">
        <f>IF(I273="","",IF(RoundingRule="Exact quantity",I273,IF(M273="",I273,M273*J273)))</f>
        <v>0</v>
      </c>
      <c r="O273" s="25">
        <f>IF(N273="","",IF(RoundingRule="Exact quantity",IF(L273="","",N273*L273),IF(OR(M273="",K273=""),"",M273*K273)))</f>
        <v>0</v>
      </c>
      <c r="P273" s="25">
        <f>IF(B273="","",SUM(O$5:O273))</f>
        <v>0</v>
      </c>
      <c r="Q273" s="45">
        <f>IF(V273="Yes",0,IF(N273="",0,N273))</f>
        <v>0</v>
      </c>
      <c r="R273" s="18">
        <f>IF(OR(B273="",I273=0,I273=""),"",COUNTIFS($I$5:I273,"&gt;0"))</f>
        <v>0</v>
      </c>
      <c r="S273" s="18">
        <f>IF(B273="","",COUNTIFS('Recipe Ingredients'!$D$5:$D$1204,B273,'Recipe Ingredients'!$Y$5:$Y$1204,"&gt;0"))</f>
        <v>0</v>
      </c>
      <c r="T273" s="46">
        <f>IF(B273="","",IF(COUNTIFS('Recipe Ingredients'!$D$5:$D$1204,B273,'Recipe Ingredients'!$Y$5:$Y$1204,"&gt;0",'Recipe Ingredients'!$I$5:$I$1204,"No")=0,"Yes","No"))</f>
        <v>0</v>
      </c>
      <c r="U273" s="17">
        <f>IF(B273="","",IFERROR(INDEX(Ingredients!$W$5:$W$304,MATCH(B273,Ingredients!$B$5:$B$304,0)),"Add to Ingredients"))</f>
        <v>0</v>
      </c>
      <c r="Z273" s="31">
        <f>IF(B273="","",IF(V273="Yes","Bought",IF(I273=0,"In stock",IF(O273="","Check - no price","On the list"))))</f>
        <v>0</v>
      </c>
    </row>
    <row r="274" spans="1:26">
      <c r="A274" s="18">
        <f>ROW()-4</f>
        <v>0</v>
      </c>
      <c r="B274" s="17">
        <f>IFERROR(INDEX(Ingredients!$B$5:$B$304,MATCH(A274,Ingredients!$AL$5:$AL$304,0)),"")</f>
        <v>0</v>
      </c>
      <c r="C274" s="17">
        <f>IF(B274="","",IFERROR(INDEX(Ingredients!$C$5:$C$304,MATCH(B274,Ingredients!$B$5:$B$304,0)),"Add to Ingredients"))</f>
        <v>0</v>
      </c>
      <c r="D274" s="17">
        <f>IF(B274="","",IFERROR(INDEX(Ingredients!$D$5:$D$304,MATCH(B274,Ingredients!$B$5:$B$304,0)),"Add to Ingredients"))</f>
        <v>0</v>
      </c>
      <c r="E274" s="17">
        <f>IF(B274="","",IFERROR(INDEX(Ingredients!$E$5:$E$304,MATCH(B274,Ingredients!$B$5:$B$304,0)),"Add to Ingredients"))</f>
        <v>0</v>
      </c>
      <c r="F274" s="45">
        <f>IF(B274="","",IFERROR(INDEX(Ingredients!$AG$5:$AG$304,MATCH(B274,Ingredients!$B$5:$B$304,0)),""))</f>
        <v>0</v>
      </c>
      <c r="G274" s="17">
        <f>IF(B274="","",IFERROR(INDEX(Ingredients!$G$5:$G$304,MATCH(B274,Ingredients!$B$5:$B$304,0)),"Add to Ingredients"))</f>
        <v>0</v>
      </c>
      <c r="H274" s="45">
        <f>IF(B274="","",IFERROR(INDEX(Ingredients!$AD$5:$AD$304,MATCH(B274,Ingredients!$B$5:$B$304,0)),0))</f>
        <v>0</v>
      </c>
      <c r="I274" s="45">
        <f>IF(F274="","",MAX(0,F274-IF(H274="",0,H274)))</f>
        <v>0</v>
      </c>
      <c r="J274" s="45">
        <f>IF(B274="","",IFERROR(INDEX(Ingredients!$H$5:$H$304,MATCH(B274,Ingredients!$B$5:$B$304,0)),"Add to Ingredients"))</f>
        <v>0</v>
      </c>
      <c r="K274" s="25">
        <f>IF(B274="","",IFERROR(INDEX(Ingredients!$I$5:$I$304,MATCH(B274,Ingredients!$B$5:$B$304,0)),"Add to Ingredients"))</f>
        <v>0</v>
      </c>
      <c r="L274" s="25">
        <f>IF(B274="","",IFERROR(INDEX(Ingredients!$J$5:$J$304,MATCH(B274,Ingredients!$B$5:$B$304,0)),"Add to Ingredients"))</f>
        <v>0</v>
      </c>
      <c r="M274" s="45">
        <f>IF(OR(I274="",I274=0),"",IF(OR(J274="",NOT(ISNUMBER(J274)),J274=0),"",ROUNDUP(I274/J274,0)))</f>
        <v>0</v>
      </c>
      <c r="N274" s="45">
        <f>IF(I274="","",IF(RoundingRule="Exact quantity",I274,IF(M274="",I274,M274*J274)))</f>
        <v>0</v>
      </c>
      <c r="O274" s="25">
        <f>IF(N274="","",IF(RoundingRule="Exact quantity",IF(L274="","",N274*L274),IF(OR(M274="",K274=""),"",M274*K274)))</f>
        <v>0</v>
      </c>
      <c r="P274" s="25">
        <f>IF(B274="","",SUM(O$5:O274))</f>
        <v>0</v>
      </c>
      <c r="Q274" s="45">
        <f>IF(V274="Yes",0,IF(N274="",0,N274))</f>
        <v>0</v>
      </c>
      <c r="R274" s="18">
        <f>IF(OR(B274="",I274=0,I274=""),"",COUNTIFS($I$5:I274,"&gt;0"))</f>
        <v>0</v>
      </c>
      <c r="S274" s="18">
        <f>IF(B274="","",COUNTIFS('Recipe Ingredients'!$D$5:$D$1204,B274,'Recipe Ingredients'!$Y$5:$Y$1204,"&gt;0"))</f>
        <v>0</v>
      </c>
      <c r="T274" s="46">
        <f>IF(B274="","",IF(COUNTIFS('Recipe Ingredients'!$D$5:$D$1204,B274,'Recipe Ingredients'!$Y$5:$Y$1204,"&gt;0",'Recipe Ingredients'!$I$5:$I$1204,"No")=0,"Yes","No"))</f>
        <v>0</v>
      </c>
      <c r="U274" s="17">
        <f>IF(B274="","",IFERROR(INDEX(Ingredients!$W$5:$W$304,MATCH(B274,Ingredients!$B$5:$B$304,0)),"Add to Ingredients"))</f>
        <v>0</v>
      </c>
      <c r="Z274" s="31">
        <f>IF(B274="","",IF(V274="Yes","Bought",IF(I274=0,"In stock",IF(O274="","Check - no price","On the list"))))</f>
        <v>0</v>
      </c>
    </row>
    <row r="275" spans="1:26">
      <c r="A275" s="18">
        <f>ROW()-4</f>
        <v>0</v>
      </c>
      <c r="B275" s="17">
        <f>IFERROR(INDEX(Ingredients!$B$5:$B$304,MATCH(A275,Ingredients!$AL$5:$AL$304,0)),"")</f>
        <v>0</v>
      </c>
      <c r="C275" s="17">
        <f>IF(B275="","",IFERROR(INDEX(Ingredients!$C$5:$C$304,MATCH(B275,Ingredients!$B$5:$B$304,0)),"Add to Ingredients"))</f>
        <v>0</v>
      </c>
      <c r="D275" s="17">
        <f>IF(B275="","",IFERROR(INDEX(Ingredients!$D$5:$D$304,MATCH(B275,Ingredients!$B$5:$B$304,0)),"Add to Ingredients"))</f>
        <v>0</v>
      </c>
      <c r="E275" s="17">
        <f>IF(B275="","",IFERROR(INDEX(Ingredients!$E$5:$E$304,MATCH(B275,Ingredients!$B$5:$B$304,0)),"Add to Ingredients"))</f>
        <v>0</v>
      </c>
      <c r="F275" s="45">
        <f>IF(B275="","",IFERROR(INDEX(Ingredients!$AG$5:$AG$304,MATCH(B275,Ingredients!$B$5:$B$304,0)),""))</f>
        <v>0</v>
      </c>
      <c r="G275" s="17">
        <f>IF(B275="","",IFERROR(INDEX(Ingredients!$G$5:$G$304,MATCH(B275,Ingredients!$B$5:$B$304,0)),"Add to Ingredients"))</f>
        <v>0</v>
      </c>
      <c r="H275" s="45">
        <f>IF(B275="","",IFERROR(INDEX(Ingredients!$AD$5:$AD$304,MATCH(B275,Ingredients!$B$5:$B$304,0)),0))</f>
        <v>0</v>
      </c>
      <c r="I275" s="45">
        <f>IF(F275="","",MAX(0,F275-IF(H275="",0,H275)))</f>
        <v>0</v>
      </c>
      <c r="J275" s="45">
        <f>IF(B275="","",IFERROR(INDEX(Ingredients!$H$5:$H$304,MATCH(B275,Ingredients!$B$5:$B$304,0)),"Add to Ingredients"))</f>
        <v>0</v>
      </c>
      <c r="K275" s="25">
        <f>IF(B275="","",IFERROR(INDEX(Ingredients!$I$5:$I$304,MATCH(B275,Ingredients!$B$5:$B$304,0)),"Add to Ingredients"))</f>
        <v>0</v>
      </c>
      <c r="L275" s="25">
        <f>IF(B275="","",IFERROR(INDEX(Ingredients!$J$5:$J$304,MATCH(B275,Ingredients!$B$5:$B$304,0)),"Add to Ingredients"))</f>
        <v>0</v>
      </c>
      <c r="M275" s="45">
        <f>IF(OR(I275="",I275=0),"",IF(OR(J275="",NOT(ISNUMBER(J275)),J275=0),"",ROUNDUP(I275/J275,0)))</f>
        <v>0</v>
      </c>
      <c r="N275" s="45">
        <f>IF(I275="","",IF(RoundingRule="Exact quantity",I275,IF(M275="",I275,M275*J275)))</f>
        <v>0</v>
      </c>
      <c r="O275" s="25">
        <f>IF(N275="","",IF(RoundingRule="Exact quantity",IF(L275="","",N275*L275),IF(OR(M275="",K275=""),"",M275*K275)))</f>
        <v>0</v>
      </c>
      <c r="P275" s="25">
        <f>IF(B275="","",SUM(O$5:O275))</f>
        <v>0</v>
      </c>
      <c r="Q275" s="45">
        <f>IF(V275="Yes",0,IF(N275="",0,N275))</f>
        <v>0</v>
      </c>
      <c r="R275" s="18">
        <f>IF(OR(B275="",I275=0,I275=""),"",COUNTIFS($I$5:I275,"&gt;0"))</f>
        <v>0</v>
      </c>
      <c r="S275" s="18">
        <f>IF(B275="","",COUNTIFS('Recipe Ingredients'!$D$5:$D$1204,B275,'Recipe Ingredients'!$Y$5:$Y$1204,"&gt;0"))</f>
        <v>0</v>
      </c>
      <c r="T275" s="46">
        <f>IF(B275="","",IF(COUNTIFS('Recipe Ingredients'!$D$5:$D$1204,B275,'Recipe Ingredients'!$Y$5:$Y$1204,"&gt;0",'Recipe Ingredients'!$I$5:$I$1204,"No")=0,"Yes","No"))</f>
        <v>0</v>
      </c>
      <c r="U275" s="17">
        <f>IF(B275="","",IFERROR(INDEX(Ingredients!$W$5:$W$304,MATCH(B275,Ingredients!$B$5:$B$304,0)),"Add to Ingredients"))</f>
        <v>0</v>
      </c>
      <c r="Z275" s="31">
        <f>IF(B275="","",IF(V275="Yes","Bought",IF(I275=0,"In stock",IF(O275="","Check - no price","On the list"))))</f>
        <v>0</v>
      </c>
    </row>
    <row r="276" spans="1:26">
      <c r="A276" s="18">
        <f>ROW()-4</f>
        <v>0</v>
      </c>
      <c r="B276" s="17">
        <f>IFERROR(INDEX(Ingredients!$B$5:$B$304,MATCH(A276,Ingredients!$AL$5:$AL$304,0)),"")</f>
        <v>0</v>
      </c>
      <c r="C276" s="17">
        <f>IF(B276="","",IFERROR(INDEX(Ingredients!$C$5:$C$304,MATCH(B276,Ingredients!$B$5:$B$304,0)),"Add to Ingredients"))</f>
        <v>0</v>
      </c>
      <c r="D276" s="17">
        <f>IF(B276="","",IFERROR(INDEX(Ingredients!$D$5:$D$304,MATCH(B276,Ingredients!$B$5:$B$304,0)),"Add to Ingredients"))</f>
        <v>0</v>
      </c>
      <c r="E276" s="17">
        <f>IF(B276="","",IFERROR(INDEX(Ingredients!$E$5:$E$304,MATCH(B276,Ingredients!$B$5:$B$304,0)),"Add to Ingredients"))</f>
        <v>0</v>
      </c>
      <c r="F276" s="45">
        <f>IF(B276="","",IFERROR(INDEX(Ingredients!$AG$5:$AG$304,MATCH(B276,Ingredients!$B$5:$B$304,0)),""))</f>
        <v>0</v>
      </c>
      <c r="G276" s="17">
        <f>IF(B276="","",IFERROR(INDEX(Ingredients!$G$5:$G$304,MATCH(B276,Ingredients!$B$5:$B$304,0)),"Add to Ingredients"))</f>
        <v>0</v>
      </c>
      <c r="H276" s="45">
        <f>IF(B276="","",IFERROR(INDEX(Ingredients!$AD$5:$AD$304,MATCH(B276,Ingredients!$B$5:$B$304,0)),0))</f>
        <v>0</v>
      </c>
      <c r="I276" s="45">
        <f>IF(F276="","",MAX(0,F276-IF(H276="",0,H276)))</f>
        <v>0</v>
      </c>
      <c r="J276" s="45">
        <f>IF(B276="","",IFERROR(INDEX(Ingredients!$H$5:$H$304,MATCH(B276,Ingredients!$B$5:$B$304,0)),"Add to Ingredients"))</f>
        <v>0</v>
      </c>
      <c r="K276" s="25">
        <f>IF(B276="","",IFERROR(INDEX(Ingredients!$I$5:$I$304,MATCH(B276,Ingredients!$B$5:$B$304,0)),"Add to Ingredients"))</f>
        <v>0</v>
      </c>
      <c r="L276" s="25">
        <f>IF(B276="","",IFERROR(INDEX(Ingredients!$J$5:$J$304,MATCH(B276,Ingredients!$B$5:$B$304,0)),"Add to Ingredients"))</f>
        <v>0</v>
      </c>
      <c r="M276" s="45">
        <f>IF(OR(I276="",I276=0),"",IF(OR(J276="",NOT(ISNUMBER(J276)),J276=0),"",ROUNDUP(I276/J276,0)))</f>
        <v>0</v>
      </c>
      <c r="N276" s="45">
        <f>IF(I276="","",IF(RoundingRule="Exact quantity",I276,IF(M276="",I276,M276*J276)))</f>
        <v>0</v>
      </c>
      <c r="O276" s="25">
        <f>IF(N276="","",IF(RoundingRule="Exact quantity",IF(L276="","",N276*L276),IF(OR(M276="",K276=""),"",M276*K276)))</f>
        <v>0</v>
      </c>
      <c r="P276" s="25">
        <f>IF(B276="","",SUM(O$5:O276))</f>
        <v>0</v>
      </c>
      <c r="Q276" s="45">
        <f>IF(V276="Yes",0,IF(N276="",0,N276))</f>
        <v>0</v>
      </c>
      <c r="R276" s="18">
        <f>IF(OR(B276="",I276=0,I276=""),"",COUNTIFS($I$5:I276,"&gt;0"))</f>
        <v>0</v>
      </c>
      <c r="S276" s="18">
        <f>IF(B276="","",COUNTIFS('Recipe Ingredients'!$D$5:$D$1204,B276,'Recipe Ingredients'!$Y$5:$Y$1204,"&gt;0"))</f>
        <v>0</v>
      </c>
      <c r="T276" s="46">
        <f>IF(B276="","",IF(COUNTIFS('Recipe Ingredients'!$D$5:$D$1204,B276,'Recipe Ingredients'!$Y$5:$Y$1204,"&gt;0",'Recipe Ingredients'!$I$5:$I$1204,"No")=0,"Yes","No"))</f>
        <v>0</v>
      </c>
      <c r="U276" s="17">
        <f>IF(B276="","",IFERROR(INDEX(Ingredients!$W$5:$W$304,MATCH(B276,Ingredients!$B$5:$B$304,0)),"Add to Ingredients"))</f>
        <v>0</v>
      </c>
      <c r="Z276" s="31">
        <f>IF(B276="","",IF(V276="Yes","Bought",IF(I276=0,"In stock",IF(O276="","Check - no price","On the list"))))</f>
        <v>0</v>
      </c>
    </row>
    <row r="277" spans="1:26">
      <c r="A277" s="18">
        <f>ROW()-4</f>
        <v>0</v>
      </c>
      <c r="B277" s="17">
        <f>IFERROR(INDEX(Ingredients!$B$5:$B$304,MATCH(A277,Ingredients!$AL$5:$AL$304,0)),"")</f>
        <v>0</v>
      </c>
      <c r="C277" s="17">
        <f>IF(B277="","",IFERROR(INDEX(Ingredients!$C$5:$C$304,MATCH(B277,Ingredients!$B$5:$B$304,0)),"Add to Ingredients"))</f>
        <v>0</v>
      </c>
      <c r="D277" s="17">
        <f>IF(B277="","",IFERROR(INDEX(Ingredients!$D$5:$D$304,MATCH(B277,Ingredients!$B$5:$B$304,0)),"Add to Ingredients"))</f>
        <v>0</v>
      </c>
      <c r="E277" s="17">
        <f>IF(B277="","",IFERROR(INDEX(Ingredients!$E$5:$E$304,MATCH(B277,Ingredients!$B$5:$B$304,0)),"Add to Ingredients"))</f>
        <v>0</v>
      </c>
      <c r="F277" s="45">
        <f>IF(B277="","",IFERROR(INDEX(Ingredients!$AG$5:$AG$304,MATCH(B277,Ingredients!$B$5:$B$304,0)),""))</f>
        <v>0</v>
      </c>
      <c r="G277" s="17">
        <f>IF(B277="","",IFERROR(INDEX(Ingredients!$G$5:$G$304,MATCH(B277,Ingredients!$B$5:$B$304,0)),"Add to Ingredients"))</f>
        <v>0</v>
      </c>
      <c r="H277" s="45">
        <f>IF(B277="","",IFERROR(INDEX(Ingredients!$AD$5:$AD$304,MATCH(B277,Ingredients!$B$5:$B$304,0)),0))</f>
        <v>0</v>
      </c>
      <c r="I277" s="45">
        <f>IF(F277="","",MAX(0,F277-IF(H277="",0,H277)))</f>
        <v>0</v>
      </c>
      <c r="J277" s="45">
        <f>IF(B277="","",IFERROR(INDEX(Ingredients!$H$5:$H$304,MATCH(B277,Ingredients!$B$5:$B$304,0)),"Add to Ingredients"))</f>
        <v>0</v>
      </c>
      <c r="K277" s="25">
        <f>IF(B277="","",IFERROR(INDEX(Ingredients!$I$5:$I$304,MATCH(B277,Ingredients!$B$5:$B$304,0)),"Add to Ingredients"))</f>
        <v>0</v>
      </c>
      <c r="L277" s="25">
        <f>IF(B277="","",IFERROR(INDEX(Ingredients!$J$5:$J$304,MATCH(B277,Ingredients!$B$5:$B$304,0)),"Add to Ingredients"))</f>
        <v>0</v>
      </c>
      <c r="M277" s="45">
        <f>IF(OR(I277="",I277=0),"",IF(OR(J277="",NOT(ISNUMBER(J277)),J277=0),"",ROUNDUP(I277/J277,0)))</f>
        <v>0</v>
      </c>
      <c r="N277" s="45">
        <f>IF(I277="","",IF(RoundingRule="Exact quantity",I277,IF(M277="",I277,M277*J277)))</f>
        <v>0</v>
      </c>
      <c r="O277" s="25">
        <f>IF(N277="","",IF(RoundingRule="Exact quantity",IF(L277="","",N277*L277),IF(OR(M277="",K277=""),"",M277*K277)))</f>
        <v>0</v>
      </c>
      <c r="P277" s="25">
        <f>IF(B277="","",SUM(O$5:O277))</f>
        <v>0</v>
      </c>
      <c r="Q277" s="45">
        <f>IF(V277="Yes",0,IF(N277="",0,N277))</f>
        <v>0</v>
      </c>
      <c r="R277" s="18">
        <f>IF(OR(B277="",I277=0,I277=""),"",COUNTIFS($I$5:I277,"&gt;0"))</f>
        <v>0</v>
      </c>
      <c r="S277" s="18">
        <f>IF(B277="","",COUNTIFS('Recipe Ingredients'!$D$5:$D$1204,B277,'Recipe Ingredients'!$Y$5:$Y$1204,"&gt;0"))</f>
        <v>0</v>
      </c>
      <c r="T277" s="46">
        <f>IF(B277="","",IF(COUNTIFS('Recipe Ingredients'!$D$5:$D$1204,B277,'Recipe Ingredients'!$Y$5:$Y$1204,"&gt;0",'Recipe Ingredients'!$I$5:$I$1204,"No")=0,"Yes","No"))</f>
        <v>0</v>
      </c>
      <c r="U277" s="17">
        <f>IF(B277="","",IFERROR(INDEX(Ingredients!$W$5:$W$304,MATCH(B277,Ingredients!$B$5:$B$304,0)),"Add to Ingredients"))</f>
        <v>0</v>
      </c>
      <c r="Z277" s="31">
        <f>IF(B277="","",IF(V277="Yes","Bought",IF(I277=0,"In stock",IF(O277="","Check - no price","On the list"))))</f>
        <v>0</v>
      </c>
    </row>
    <row r="278" spans="1:26">
      <c r="A278" s="18">
        <f>ROW()-4</f>
        <v>0</v>
      </c>
      <c r="B278" s="17">
        <f>IFERROR(INDEX(Ingredients!$B$5:$B$304,MATCH(A278,Ingredients!$AL$5:$AL$304,0)),"")</f>
        <v>0</v>
      </c>
      <c r="C278" s="17">
        <f>IF(B278="","",IFERROR(INDEX(Ingredients!$C$5:$C$304,MATCH(B278,Ingredients!$B$5:$B$304,0)),"Add to Ingredients"))</f>
        <v>0</v>
      </c>
      <c r="D278" s="17">
        <f>IF(B278="","",IFERROR(INDEX(Ingredients!$D$5:$D$304,MATCH(B278,Ingredients!$B$5:$B$304,0)),"Add to Ingredients"))</f>
        <v>0</v>
      </c>
      <c r="E278" s="17">
        <f>IF(B278="","",IFERROR(INDEX(Ingredients!$E$5:$E$304,MATCH(B278,Ingredients!$B$5:$B$304,0)),"Add to Ingredients"))</f>
        <v>0</v>
      </c>
      <c r="F278" s="45">
        <f>IF(B278="","",IFERROR(INDEX(Ingredients!$AG$5:$AG$304,MATCH(B278,Ingredients!$B$5:$B$304,0)),""))</f>
        <v>0</v>
      </c>
      <c r="G278" s="17">
        <f>IF(B278="","",IFERROR(INDEX(Ingredients!$G$5:$G$304,MATCH(B278,Ingredients!$B$5:$B$304,0)),"Add to Ingredients"))</f>
        <v>0</v>
      </c>
      <c r="H278" s="45">
        <f>IF(B278="","",IFERROR(INDEX(Ingredients!$AD$5:$AD$304,MATCH(B278,Ingredients!$B$5:$B$304,0)),0))</f>
        <v>0</v>
      </c>
      <c r="I278" s="45">
        <f>IF(F278="","",MAX(0,F278-IF(H278="",0,H278)))</f>
        <v>0</v>
      </c>
      <c r="J278" s="45">
        <f>IF(B278="","",IFERROR(INDEX(Ingredients!$H$5:$H$304,MATCH(B278,Ingredients!$B$5:$B$304,0)),"Add to Ingredients"))</f>
        <v>0</v>
      </c>
      <c r="K278" s="25">
        <f>IF(B278="","",IFERROR(INDEX(Ingredients!$I$5:$I$304,MATCH(B278,Ingredients!$B$5:$B$304,0)),"Add to Ingredients"))</f>
        <v>0</v>
      </c>
      <c r="L278" s="25">
        <f>IF(B278="","",IFERROR(INDEX(Ingredients!$J$5:$J$304,MATCH(B278,Ingredients!$B$5:$B$304,0)),"Add to Ingredients"))</f>
        <v>0</v>
      </c>
      <c r="M278" s="45">
        <f>IF(OR(I278="",I278=0),"",IF(OR(J278="",NOT(ISNUMBER(J278)),J278=0),"",ROUNDUP(I278/J278,0)))</f>
        <v>0</v>
      </c>
      <c r="N278" s="45">
        <f>IF(I278="","",IF(RoundingRule="Exact quantity",I278,IF(M278="",I278,M278*J278)))</f>
        <v>0</v>
      </c>
      <c r="O278" s="25">
        <f>IF(N278="","",IF(RoundingRule="Exact quantity",IF(L278="","",N278*L278),IF(OR(M278="",K278=""),"",M278*K278)))</f>
        <v>0</v>
      </c>
      <c r="P278" s="25">
        <f>IF(B278="","",SUM(O$5:O278))</f>
        <v>0</v>
      </c>
      <c r="Q278" s="45">
        <f>IF(V278="Yes",0,IF(N278="",0,N278))</f>
        <v>0</v>
      </c>
      <c r="R278" s="18">
        <f>IF(OR(B278="",I278=0,I278=""),"",COUNTIFS($I$5:I278,"&gt;0"))</f>
        <v>0</v>
      </c>
      <c r="S278" s="18">
        <f>IF(B278="","",COUNTIFS('Recipe Ingredients'!$D$5:$D$1204,B278,'Recipe Ingredients'!$Y$5:$Y$1204,"&gt;0"))</f>
        <v>0</v>
      </c>
      <c r="T278" s="46">
        <f>IF(B278="","",IF(COUNTIFS('Recipe Ingredients'!$D$5:$D$1204,B278,'Recipe Ingredients'!$Y$5:$Y$1204,"&gt;0",'Recipe Ingredients'!$I$5:$I$1204,"No")=0,"Yes","No"))</f>
        <v>0</v>
      </c>
      <c r="U278" s="17">
        <f>IF(B278="","",IFERROR(INDEX(Ingredients!$W$5:$W$304,MATCH(B278,Ingredients!$B$5:$B$304,0)),"Add to Ingredients"))</f>
        <v>0</v>
      </c>
      <c r="Z278" s="31">
        <f>IF(B278="","",IF(V278="Yes","Bought",IF(I278=0,"In stock",IF(O278="","Check - no price","On the list"))))</f>
        <v>0</v>
      </c>
    </row>
    <row r="279" spans="1:26">
      <c r="A279" s="18">
        <f>ROW()-4</f>
        <v>0</v>
      </c>
      <c r="B279" s="17">
        <f>IFERROR(INDEX(Ingredients!$B$5:$B$304,MATCH(A279,Ingredients!$AL$5:$AL$304,0)),"")</f>
        <v>0</v>
      </c>
      <c r="C279" s="17">
        <f>IF(B279="","",IFERROR(INDEX(Ingredients!$C$5:$C$304,MATCH(B279,Ingredients!$B$5:$B$304,0)),"Add to Ingredients"))</f>
        <v>0</v>
      </c>
      <c r="D279" s="17">
        <f>IF(B279="","",IFERROR(INDEX(Ingredients!$D$5:$D$304,MATCH(B279,Ingredients!$B$5:$B$304,0)),"Add to Ingredients"))</f>
        <v>0</v>
      </c>
      <c r="E279" s="17">
        <f>IF(B279="","",IFERROR(INDEX(Ingredients!$E$5:$E$304,MATCH(B279,Ingredients!$B$5:$B$304,0)),"Add to Ingredients"))</f>
        <v>0</v>
      </c>
      <c r="F279" s="45">
        <f>IF(B279="","",IFERROR(INDEX(Ingredients!$AG$5:$AG$304,MATCH(B279,Ingredients!$B$5:$B$304,0)),""))</f>
        <v>0</v>
      </c>
      <c r="G279" s="17">
        <f>IF(B279="","",IFERROR(INDEX(Ingredients!$G$5:$G$304,MATCH(B279,Ingredients!$B$5:$B$304,0)),"Add to Ingredients"))</f>
        <v>0</v>
      </c>
      <c r="H279" s="45">
        <f>IF(B279="","",IFERROR(INDEX(Ingredients!$AD$5:$AD$304,MATCH(B279,Ingredients!$B$5:$B$304,0)),0))</f>
        <v>0</v>
      </c>
      <c r="I279" s="45">
        <f>IF(F279="","",MAX(0,F279-IF(H279="",0,H279)))</f>
        <v>0</v>
      </c>
      <c r="J279" s="45">
        <f>IF(B279="","",IFERROR(INDEX(Ingredients!$H$5:$H$304,MATCH(B279,Ingredients!$B$5:$B$304,0)),"Add to Ingredients"))</f>
        <v>0</v>
      </c>
      <c r="K279" s="25">
        <f>IF(B279="","",IFERROR(INDEX(Ingredients!$I$5:$I$304,MATCH(B279,Ingredients!$B$5:$B$304,0)),"Add to Ingredients"))</f>
        <v>0</v>
      </c>
      <c r="L279" s="25">
        <f>IF(B279="","",IFERROR(INDEX(Ingredients!$J$5:$J$304,MATCH(B279,Ingredients!$B$5:$B$304,0)),"Add to Ingredients"))</f>
        <v>0</v>
      </c>
      <c r="M279" s="45">
        <f>IF(OR(I279="",I279=0),"",IF(OR(J279="",NOT(ISNUMBER(J279)),J279=0),"",ROUNDUP(I279/J279,0)))</f>
        <v>0</v>
      </c>
      <c r="N279" s="45">
        <f>IF(I279="","",IF(RoundingRule="Exact quantity",I279,IF(M279="",I279,M279*J279)))</f>
        <v>0</v>
      </c>
      <c r="O279" s="25">
        <f>IF(N279="","",IF(RoundingRule="Exact quantity",IF(L279="","",N279*L279),IF(OR(M279="",K279=""),"",M279*K279)))</f>
        <v>0</v>
      </c>
      <c r="P279" s="25">
        <f>IF(B279="","",SUM(O$5:O279))</f>
        <v>0</v>
      </c>
      <c r="Q279" s="45">
        <f>IF(V279="Yes",0,IF(N279="",0,N279))</f>
        <v>0</v>
      </c>
      <c r="R279" s="18">
        <f>IF(OR(B279="",I279=0,I279=""),"",COUNTIFS($I$5:I279,"&gt;0"))</f>
        <v>0</v>
      </c>
      <c r="S279" s="18">
        <f>IF(B279="","",COUNTIFS('Recipe Ingredients'!$D$5:$D$1204,B279,'Recipe Ingredients'!$Y$5:$Y$1204,"&gt;0"))</f>
        <v>0</v>
      </c>
      <c r="T279" s="46">
        <f>IF(B279="","",IF(COUNTIFS('Recipe Ingredients'!$D$5:$D$1204,B279,'Recipe Ingredients'!$Y$5:$Y$1204,"&gt;0",'Recipe Ingredients'!$I$5:$I$1204,"No")=0,"Yes","No"))</f>
        <v>0</v>
      </c>
      <c r="U279" s="17">
        <f>IF(B279="","",IFERROR(INDEX(Ingredients!$W$5:$W$304,MATCH(B279,Ingredients!$B$5:$B$304,0)),"Add to Ingredients"))</f>
        <v>0</v>
      </c>
      <c r="Z279" s="31">
        <f>IF(B279="","",IF(V279="Yes","Bought",IF(I279=0,"In stock",IF(O279="","Check - no price","On the list"))))</f>
        <v>0</v>
      </c>
    </row>
    <row r="280" spans="1:26">
      <c r="A280" s="18">
        <f>ROW()-4</f>
        <v>0</v>
      </c>
      <c r="B280" s="17">
        <f>IFERROR(INDEX(Ingredients!$B$5:$B$304,MATCH(A280,Ingredients!$AL$5:$AL$304,0)),"")</f>
        <v>0</v>
      </c>
      <c r="C280" s="17">
        <f>IF(B280="","",IFERROR(INDEX(Ingredients!$C$5:$C$304,MATCH(B280,Ingredients!$B$5:$B$304,0)),"Add to Ingredients"))</f>
        <v>0</v>
      </c>
      <c r="D280" s="17">
        <f>IF(B280="","",IFERROR(INDEX(Ingredients!$D$5:$D$304,MATCH(B280,Ingredients!$B$5:$B$304,0)),"Add to Ingredients"))</f>
        <v>0</v>
      </c>
      <c r="E280" s="17">
        <f>IF(B280="","",IFERROR(INDEX(Ingredients!$E$5:$E$304,MATCH(B280,Ingredients!$B$5:$B$304,0)),"Add to Ingredients"))</f>
        <v>0</v>
      </c>
      <c r="F280" s="45">
        <f>IF(B280="","",IFERROR(INDEX(Ingredients!$AG$5:$AG$304,MATCH(B280,Ingredients!$B$5:$B$304,0)),""))</f>
        <v>0</v>
      </c>
      <c r="G280" s="17">
        <f>IF(B280="","",IFERROR(INDEX(Ingredients!$G$5:$G$304,MATCH(B280,Ingredients!$B$5:$B$304,0)),"Add to Ingredients"))</f>
        <v>0</v>
      </c>
      <c r="H280" s="45">
        <f>IF(B280="","",IFERROR(INDEX(Ingredients!$AD$5:$AD$304,MATCH(B280,Ingredients!$B$5:$B$304,0)),0))</f>
        <v>0</v>
      </c>
      <c r="I280" s="45">
        <f>IF(F280="","",MAX(0,F280-IF(H280="",0,H280)))</f>
        <v>0</v>
      </c>
      <c r="J280" s="45">
        <f>IF(B280="","",IFERROR(INDEX(Ingredients!$H$5:$H$304,MATCH(B280,Ingredients!$B$5:$B$304,0)),"Add to Ingredients"))</f>
        <v>0</v>
      </c>
      <c r="K280" s="25">
        <f>IF(B280="","",IFERROR(INDEX(Ingredients!$I$5:$I$304,MATCH(B280,Ingredients!$B$5:$B$304,0)),"Add to Ingredients"))</f>
        <v>0</v>
      </c>
      <c r="L280" s="25">
        <f>IF(B280="","",IFERROR(INDEX(Ingredients!$J$5:$J$304,MATCH(B280,Ingredients!$B$5:$B$304,0)),"Add to Ingredients"))</f>
        <v>0</v>
      </c>
      <c r="M280" s="45">
        <f>IF(OR(I280="",I280=0),"",IF(OR(J280="",NOT(ISNUMBER(J280)),J280=0),"",ROUNDUP(I280/J280,0)))</f>
        <v>0</v>
      </c>
      <c r="N280" s="45">
        <f>IF(I280="","",IF(RoundingRule="Exact quantity",I280,IF(M280="",I280,M280*J280)))</f>
        <v>0</v>
      </c>
      <c r="O280" s="25">
        <f>IF(N280="","",IF(RoundingRule="Exact quantity",IF(L280="","",N280*L280),IF(OR(M280="",K280=""),"",M280*K280)))</f>
        <v>0</v>
      </c>
      <c r="P280" s="25">
        <f>IF(B280="","",SUM(O$5:O280))</f>
        <v>0</v>
      </c>
      <c r="Q280" s="45">
        <f>IF(V280="Yes",0,IF(N280="",0,N280))</f>
        <v>0</v>
      </c>
      <c r="R280" s="18">
        <f>IF(OR(B280="",I280=0,I280=""),"",COUNTIFS($I$5:I280,"&gt;0"))</f>
        <v>0</v>
      </c>
      <c r="S280" s="18">
        <f>IF(B280="","",COUNTIFS('Recipe Ingredients'!$D$5:$D$1204,B280,'Recipe Ingredients'!$Y$5:$Y$1204,"&gt;0"))</f>
        <v>0</v>
      </c>
      <c r="T280" s="46">
        <f>IF(B280="","",IF(COUNTIFS('Recipe Ingredients'!$D$5:$D$1204,B280,'Recipe Ingredients'!$Y$5:$Y$1204,"&gt;0",'Recipe Ingredients'!$I$5:$I$1204,"No")=0,"Yes","No"))</f>
        <v>0</v>
      </c>
      <c r="U280" s="17">
        <f>IF(B280="","",IFERROR(INDEX(Ingredients!$W$5:$W$304,MATCH(B280,Ingredients!$B$5:$B$304,0)),"Add to Ingredients"))</f>
        <v>0</v>
      </c>
      <c r="Z280" s="31">
        <f>IF(B280="","",IF(V280="Yes","Bought",IF(I280=0,"In stock",IF(O280="","Check - no price","On the list"))))</f>
        <v>0</v>
      </c>
    </row>
    <row r="281" spans="1:26">
      <c r="A281" s="18">
        <f>ROW()-4</f>
        <v>0</v>
      </c>
      <c r="B281" s="17">
        <f>IFERROR(INDEX(Ingredients!$B$5:$B$304,MATCH(A281,Ingredients!$AL$5:$AL$304,0)),"")</f>
        <v>0</v>
      </c>
      <c r="C281" s="17">
        <f>IF(B281="","",IFERROR(INDEX(Ingredients!$C$5:$C$304,MATCH(B281,Ingredients!$B$5:$B$304,0)),"Add to Ingredients"))</f>
        <v>0</v>
      </c>
      <c r="D281" s="17">
        <f>IF(B281="","",IFERROR(INDEX(Ingredients!$D$5:$D$304,MATCH(B281,Ingredients!$B$5:$B$304,0)),"Add to Ingredients"))</f>
        <v>0</v>
      </c>
      <c r="E281" s="17">
        <f>IF(B281="","",IFERROR(INDEX(Ingredients!$E$5:$E$304,MATCH(B281,Ingredients!$B$5:$B$304,0)),"Add to Ingredients"))</f>
        <v>0</v>
      </c>
      <c r="F281" s="45">
        <f>IF(B281="","",IFERROR(INDEX(Ingredients!$AG$5:$AG$304,MATCH(B281,Ingredients!$B$5:$B$304,0)),""))</f>
        <v>0</v>
      </c>
      <c r="G281" s="17">
        <f>IF(B281="","",IFERROR(INDEX(Ingredients!$G$5:$G$304,MATCH(B281,Ingredients!$B$5:$B$304,0)),"Add to Ingredients"))</f>
        <v>0</v>
      </c>
      <c r="H281" s="45">
        <f>IF(B281="","",IFERROR(INDEX(Ingredients!$AD$5:$AD$304,MATCH(B281,Ingredients!$B$5:$B$304,0)),0))</f>
        <v>0</v>
      </c>
      <c r="I281" s="45">
        <f>IF(F281="","",MAX(0,F281-IF(H281="",0,H281)))</f>
        <v>0</v>
      </c>
      <c r="J281" s="45">
        <f>IF(B281="","",IFERROR(INDEX(Ingredients!$H$5:$H$304,MATCH(B281,Ingredients!$B$5:$B$304,0)),"Add to Ingredients"))</f>
        <v>0</v>
      </c>
      <c r="K281" s="25">
        <f>IF(B281="","",IFERROR(INDEX(Ingredients!$I$5:$I$304,MATCH(B281,Ingredients!$B$5:$B$304,0)),"Add to Ingredients"))</f>
        <v>0</v>
      </c>
      <c r="L281" s="25">
        <f>IF(B281="","",IFERROR(INDEX(Ingredients!$J$5:$J$304,MATCH(B281,Ingredients!$B$5:$B$304,0)),"Add to Ingredients"))</f>
        <v>0</v>
      </c>
      <c r="M281" s="45">
        <f>IF(OR(I281="",I281=0),"",IF(OR(J281="",NOT(ISNUMBER(J281)),J281=0),"",ROUNDUP(I281/J281,0)))</f>
        <v>0</v>
      </c>
      <c r="N281" s="45">
        <f>IF(I281="","",IF(RoundingRule="Exact quantity",I281,IF(M281="",I281,M281*J281)))</f>
        <v>0</v>
      </c>
      <c r="O281" s="25">
        <f>IF(N281="","",IF(RoundingRule="Exact quantity",IF(L281="","",N281*L281),IF(OR(M281="",K281=""),"",M281*K281)))</f>
        <v>0</v>
      </c>
      <c r="P281" s="25">
        <f>IF(B281="","",SUM(O$5:O281))</f>
        <v>0</v>
      </c>
      <c r="Q281" s="45">
        <f>IF(V281="Yes",0,IF(N281="",0,N281))</f>
        <v>0</v>
      </c>
      <c r="R281" s="18">
        <f>IF(OR(B281="",I281=0,I281=""),"",COUNTIFS($I$5:I281,"&gt;0"))</f>
        <v>0</v>
      </c>
      <c r="S281" s="18">
        <f>IF(B281="","",COUNTIFS('Recipe Ingredients'!$D$5:$D$1204,B281,'Recipe Ingredients'!$Y$5:$Y$1204,"&gt;0"))</f>
        <v>0</v>
      </c>
      <c r="T281" s="46">
        <f>IF(B281="","",IF(COUNTIFS('Recipe Ingredients'!$D$5:$D$1204,B281,'Recipe Ingredients'!$Y$5:$Y$1204,"&gt;0",'Recipe Ingredients'!$I$5:$I$1204,"No")=0,"Yes","No"))</f>
        <v>0</v>
      </c>
      <c r="U281" s="17">
        <f>IF(B281="","",IFERROR(INDEX(Ingredients!$W$5:$W$304,MATCH(B281,Ingredients!$B$5:$B$304,0)),"Add to Ingredients"))</f>
        <v>0</v>
      </c>
      <c r="Z281" s="31">
        <f>IF(B281="","",IF(V281="Yes","Bought",IF(I281=0,"In stock",IF(O281="","Check - no price","On the list"))))</f>
        <v>0</v>
      </c>
    </row>
    <row r="282" spans="1:26">
      <c r="A282" s="18">
        <f>ROW()-4</f>
        <v>0</v>
      </c>
      <c r="B282" s="17">
        <f>IFERROR(INDEX(Ingredients!$B$5:$B$304,MATCH(A282,Ingredients!$AL$5:$AL$304,0)),"")</f>
        <v>0</v>
      </c>
      <c r="C282" s="17">
        <f>IF(B282="","",IFERROR(INDEX(Ingredients!$C$5:$C$304,MATCH(B282,Ingredients!$B$5:$B$304,0)),"Add to Ingredients"))</f>
        <v>0</v>
      </c>
      <c r="D282" s="17">
        <f>IF(B282="","",IFERROR(INDEX(Ingredients!$D$5:$D$304,MATCH(B282,Ingredients!$B$5:$B$304,0)),"Add to Ingredients"))</f>
        <v>0</v>
      </c>
      <c r="E282" s="17">
        <f>IF(B282="","",IFERROR(INDEX(Ingredients!$E$5:$E$304,MATCH(B282,Ingredients!$B$5:$B$304,0)),"Add to Ingredients"))</f>
        <v>0</v>
      </c>
      <c r="F282" s="45">
        <f>IF(B282="","",IFERROR(INDEX(Ingredients!$AG$5:$AG$304,MATCH(B282,Ingredients!$B$5:$B$304,0)),""))</f>
        <v>0</v>
      </c>
      <c r="G282" s="17">
        <f>IF(B282="","",IFERROR(INDEX(Ingredients!$G$5:$G$304,MATCH(B282,Ingredients!$B$5:$B$304,0)),"Add to Ingredients"))</f>
        <v>0</v>
      </c>
      <c r="H282" s="45">
        <f>IF(B282="","",IFERROR(INDEX(Ingredients!$AD$5:$AD$304,MATCH(B282,Ingredients!$B$5:$B$304,0)),0))</f>
        <v>0</v>
      </c>
      <c r="I282" s="45">
        <f>IF(F282="","",MAX(0,F282-IF(H282="",0,H282)))</f>
        <v>0</v>
      </c>
      <c r="J282" s="45">
        <f>IF(B282="","",IFERROR(INDEX(Ingredients!$H$5:$H$304,MATCH(B282,Ingredients!$B$5:$B$304,0)),"Add to Ingredients"))</f>
        <v>0</v>
      </c>
      <c r="K282" s="25">
        <f>IF(B282="","",IFERROR(INDEX(Ingredients!$I$5:$I$304,MATCH(B282,Ingredients!$B$5:$B$304,0)),"Add to Ingredients"))</f>
        <v>0</v>
      </c>
      <c r="L282" s="25">
        <f>IF(B282="","",IFERROR(INDEX(Ingredients!$J$5:$J$304,MATCH(B282,Ingredients!$B$5:$B$304,0)),"Add to Ingredients"))</f>
        <v>0</v>
      </c>
      <c r="M282" s="45">
        <f>IF(OR(I282="",I282=0),"",IF(OR(J282="",NOT(ISNUMBER(J282)),J282=0),"",ROUNDUP(I282/J282,0)))</f>
        <v>0</v>
      </c>
      <c r="N282" s="45">
        <f>IF(I282="","",IF(RoundingRule="Exact quantity",I282,IF(M282="",I282,M282*J282)))</f>
        <v>0</v>
      </c>
      <c r="O282" s="25">
        <f>IF(N282="","",IF(RoundingRule="Exact quantity",IF(L282="","",N282*L282),IF(OR(M282="",K282=""),"",M282*K282)))</f>
        <v>0</v>
      </c>
      <c r="P282" s="25">
        <f>IF(B282="","",SUM(O$5:O282))</f>
        <v>0</v>
      </c>
      <c r="Q282" s="45">
        <f>IF(V282="Yes",0,IF(N282="",0,N282))</f>
        <v>0</v>
      </c>
      <c r="R282" s="18">
        <f>IF(OR(B282="",I282=0,I282=""),"",COUNTIFS($I$5:I282,"&gt;0"))</f>
        <v>0</v>
      </c>
      <c r="S282" s="18">
        <f>IF(B282="","",COUNTIFS('Recipe Ingredients'!$D$5:$D$1204,B282,'Recipe Ingredients'!$Y$5:$Y$1204,"&gt;0"))</f>
        <v>0</v>
      </c>
      <c r="T282" s="46">
        <f>IF(B282="","",IF(COUNTIFS('Recipe Ingredients'!$D$5:$D$1204,B282,'Recipe Ingredients'!$Y$5:$Y$1204,"&gt;0",'Recipe Ingredients'!$I$5:$I$1204,"No")=0,"Yes","No"))</f>
        <v>0</v>
      </c>
      <c r="U282" s="17">
        <f>IF(B282="","",IFERROR(INDEX(Ingredients!$W$5:$W$304,MATCH(B282,Ingredients!$B$5:$B$304,0)),"Add to Ingredients"))</f>
        <v>0</v>
      </c>
      <c r="Z282" s="31">
        <f>IF(B282="","",IF(V282="Yes","Bought",IF(I282=0,"In stock",IF(O282="","Check - no price","On the list"))))</f>
        <v>0</v>
      </c>
    </row>
    <row r="283" spans="1:26">
      <c r="A283" s="18">
        <f>ROW()-4</f>
        <v>0</v>
      </c>
      <c r="B283" s="17">
        <f>IFERROR(INDEX(Ingredients!$B$5:$B$304,MATCH(A283,Ingredients!$AL$5:$AL$304,0)),"")</f>
        <v>0</v>
      </c>
      <c r="C283" s="17">
        <f>IF(B283="","",IFERROR(INDEX(Ingredients!$C$5:$C$304,MATCH(B283,Ingredients!$B$5:$B$304,0)),"Add to Ingredients"))</f>
        <v>0</v>
      </c>
      <c r="D283" s="17">
        <f>IF(B283="","",IFERROR(INDEX(Ingredients!$D$5:$D$304,MATCH(B283,Ingredients!$B$5:$B$304,0)),"Add to Ingredients"))</f>
        <v>0</v>
      </c>
      <c r="E283" s="17">
        <f>IF(B283="","",IFERROR(INDEX(Ingredients!$E$5:$E$304,MATCH(B283,Ingredients!$B$5:$B$304,0)),"Add to Ingredients"))</f>
        <v>0</v>
      </c>
      <c r="F283" s="45">
        <f>IF(B283="","",IFERROR(INDEX(Ingredients!$AG$5:$AG$304,MATCH(B283,Ingredients!$B$5:$B$304,0)),""))</f>
        <v>0</v>
      </c>
      <c r="G283" s="17">
        <f>IF(B283="","",IFERROR(INDEX(Ingredients!$G$5:$G$304,MATCH(B283,Ingredients!$B$5:$B$304,0)),"Add to Ingredients"))</f>
        <v>0</v>
      </c>
      <c r="H283" s="45">
        <f>IF(B283="","",IFERROR(INDEX(Ingredients!$AD$5:$AD$304,MATCH(B283,Ingredients!$B$5:$B$304,0)),0))</f>
        <v>0</v>
      </c>
      <c r="I283" s="45">
        <f>IF(F283="","",MAX(0,F283-IF(H283="",0,H283)))</f>
        <v>0</v>
      </c>
      <c r="J283" s="45">
        <f>IF(B283="","",IFERROR(INDEX(Ingredients!$H$5:$H$304,MATCH(B283,Ingredients!$B$5:$B$304,0)),"Add to Ingredients"))</f>
        <v>0</v>
      </c>
      <c r="K283" s="25">
        <f>IF(B283="","",IFERROR(INDEX(Ingredients!$I$5:$I$304,MATCH(B283,Ingredients!$B$5:$B$304,0)),"Add to Ingredients"))</f>
        <v>0</v>
      </c>
      <c r="L283" s="25">
        <f>IF(B283="","",IFERROR(INDEX(Ingredients!$J$5:$J$304,MATCH(B283,Ingredients!$B$5:$B$304,0)),"Add to Ingredients"))</f>
        <v>0</v>
      </c>
      <c r="M283" s="45">
        <f>IF(OR(I283="",I283=0),"",IF(OR(J283="",NOT(ISNUMBER(J283)),J283=0),"",ROUNDUP(I283/J283,0)))</f>
        <v>0</v>
      </c>
      <c r="N283" s="45">
        <f>IF(I283="","",IF(RoundingRule="Exact quantity",I283,IF(M283="",I283,M283*J283)))</f>
        <v>0</v>
      </c>
      <c r="O283" s="25">
        <f>IF(N283="","",IF(RoundingRule="Exact quantity",IF(L283="","",N283*L283),IF(OR(M283="",K283=""),"",M283*K283)))</f>
        <v>0</v>
      </c>
      <c r="P283" s="25">
        <f>IF(B283="","",SUM(O$5:O283))</f>
        <v>0</v>
      </c>
      <c r="Q283" s="45">
        <f>IF(V283="Yes",0,IF(N283="",0,N283))</f>
        <v>0</v>
      </c>
      <c r="R283" s="18">
        <f>IF(OR(B283="",I283=0,I283=""),"",COUNTIFS($I$5:I283,"&gt;0"))</f>
        <v>0</v>
      </c>
      <c r="S283" s="18">
        <f>IF(B283="","",COUNTIFS('Recipe Ingredients'!$D$5:$D$1204,B283,'Recipe Ingredients'!$Y$5:$Y$1204,"&gt;0"))</f>
        <v>0</v>
      </c>
      <c r="T283" s="46">
        <f>IF(B283="","",IF(COUNTIFS('Recipe Ingredients'!$D$5:$D$1204,B283,'Recipe Ingredients'!$Y$5:$Y$1204,"&gt;0",'Recipe Ingredients'!$I$5:$I$1204,"No")=0,"Yes","No"))</f>
        <v>0</v>
      </c>
      <c r="U283" s="17">
        <f>IF(B283="","",IFERROR(INDEX(Ingredients!$W$5:$W$304,MATCH(B283,Ingredients!$B$5:$B$304,0)),"Add to Ingredients"))</f>
        <v>0</v>
      </c>
      <c r="Z283" s="31">
        <f>IF(B283="","",IF(V283="Yes","Bought",IF(I283=0,"In stock",IF(O283="","Check - no price","On the list"))))</f>
        <v>0</v>
      </c>
    </row>
    <row r="284" spans="1:26">
      <c r="A284" s="18">
        <f>ROW()-4</f>
        <v>0</v>
      </c>
      <c r="B284" s="17">
        <f>IFERROR(INDEX(Ingredients!$B$5:$B$304,MATCH(A284,Ingredients!$AL$5:$AL$304,0)),"")</f>
        <v>0</v>
      </c>
      <c r="C284" s="17">
        <f>IF(B284="","",IFERROR(INDEX(Ingredients!$C$5:$C$304,MATCH(B284,Ingredients!$B$5:$B$304,0)),"Add to Ingredients"))</f>
        <v>0</v>
      </c>
      <c r="D284" s="17">
        <f>IF(B284="","",IFERROR(INDEX(Ingredients!$D$5:$D$304,MATCH(B284,Ingredients!$B$5:$B$304,0)),"Add to Ingredients"))</f>
        <v>0</v>
      </c>
      <c r="E284" s="17">
        <f>IF(B284="","",IFERROR(INDEX(Ingredients!$E$5:$E$304,MATCH(B284,Ingredients!$B$5:$B$304,0)),"Add to Ingredients"))</f>
        <v>0</v>
      </c>
      <c r="F284" s="45">
        <f>IF(B284="","",IFERROR(INDEX(Ingredients!$AG$5:$AG$304,MATCH(B284,Ingredients!$B$5:$B$304,0)),""))</f>
        <v>0</v>
      </c>
      <c r="G284" s="17">
        <f>IF(B284="","",IFERROR(INDEX(Ingredients!$G$5:$G$304,MATCH(B284,Ingredients!$B$5:$B$304,0)),"Add to Ingredients"))</f>
        <v>0</v>
      </c>
      <c r="H284" s="45">
        <f>IF(B284="","",IFERROR(INDEX(Ingredients!$AD$5:$AD$304,MATCH(B284,Ingredients!$B$5:$B$304,0)),0))</f>
        <v>0</v>
      </c>
      <c r="I284" s="45">
        <f>IF(F284="","",MAX(0,F284-IF(H284="",0,H284)))</f>
        <v>0</v>
      </c>
      <c r="J284" s="45">
        <f>IF(B284="","",IFERROR(INDEX(Ingredients!$H$5:$H$304,MATCH(B284,Ingredients!$B$5:$B$304,0)),"Add to Ingredients"))</f>
        <v>0</v>
      </c>
      <c r="K284" s="25">
        <f>IF(B284="","",IFERROR(INDEX(Ingredients!$I$5:$I$304,MATCH(B284,Ingredients!$B$5:$B$304,0)),"Add to Ingredients"))</f>
        <v>0</v>
      </c>
      <c r="L284" s="25">
        <f>IF(B284="","",IFERROR(INDEX(Ingredients!$J$5:$J$304,MATCH(B284,Ingredients!$B$5:$B$304,0)),"Add to Ingredients"))</f>
        <v>0</v>
      </c>
      <c r="M284" s="45">
        <f>IF(OR(I284="",I284=0),"",IF(OR(J284="",NOT(ISNUMBER(J284)),J284=0),"",ROUNDUP(I284/J284,0)))</f>
        <v>0</v>
      </c>
      <c r="N284" s="45">
        <f>IF(I284="","",IF(RoundingRule="Exact quantity",I284,IF(M284="",I284,M284*J284)))</f>
        <v>0</v>
      </c>
      <c r="O284" s="25">
        <f>IF(N284="","",IF(RoundingRule="Exact quantity",IF(L284="","",N284*L284),IF(OR(M284="",K284=""),"",M284*K284)))</f>
        <v>0</v>
      </c>
      <c r="P284" s="25">
        <f>IF(B284="","",SUM(O$5:O284))</f>
        <v>0</v>
      </c>
      <c r="Q284" s="45">
        <f>IF(V284="Yes",0,IF(N284="",0,N284))</f>
        <v>0</v>
      </c>
      <c r="R284" s="18">
        <f>IF(OR(B284="",I284=0,I284=""),"",COUNTIFS($I$5:I284,"&gt;0"))</f>
        <v>0</v>
      </c>
      <c r="S284" s="18">
        <f>IF(B284="","",COUNTIFS('Recipe Ingredients'!$D$5:$D$1204,B284,'Recipe Ingredients'!$Y$5:$Y$1204,"&gt;0"))</f>
        <v>0</v>
      </c>
      <c r="T284" s="46">
        <f>IF(B284="","",IF(COUNTIFS('Recipe Ingredients'!$D$5:$D$1204,B284,'Recipe Ingredients'!$Y$5:$Y$1204,"&gt;0",'Recipe Ingredients'!$I$5:$I$1204,"No")=0,"Yes","No"))</f>
        <v>0</v>
      </c>
      <c r="U284" s="17">
        <f>IF(B284="","",IFERROR(INDEX(Ingredients!$W$5:$W$304,MATCH(B284,Ingredients!$B$5:$B$304,0)),"Add to Ingredients"))</f>
        <v>0</v>
      </c>
      <c r="Z284" s="31">
        <f>IF(B284="","",IF(V284="Yes","Bought",IF(I284=0,"In stock",IF(O284="","Check - no price","On the list"))))</f>
        <v>0</v>
      </c>
    </row>
    <row r="285" spans="1:26">
      <c r="A285" s="18">
        <f>ROW()-4</f>
        <v>0</v>
      </c>
      <c r="B285" s="17">
        <f>IFERROR(INDEX(Ingredients!$B$5:$B$304,MATCH(A285,Ingredients!$AL$5:$AL$304,0)),"")</f>
        <v>0</v>
      </c>
      <c r="C285" s="17">
        <f>IF(B285="","",IFERROR(INDEX(Ingredients!$C$5:$C$304,MATCH(B285,Ingredients!$B$5:$B$304,0)),"Add to Ingredients"))</f>
        <v>0</v>
      </c>
      <c r="D285" s="17">
        <f>IF(B285="","",IFERROR(INDEX(Ingredients!$D$5:$D$304,MATCH(B285,Ingredients!$B$5:$B$304,0)),"Add to Ingredients"))</f>
        <v>0</v>
      </c>
      <c r="E285" s="17">
        <f>IF(B285="","",IFERROR(INDEX(Ingredients!$E$5:$E$304,MATCH(B285,Ingredients!$B$5:$B$304,0)),"Add to Ingredients"))</f>
        <v>0</v>
      </c>
      <c r="F285" s="45">
        <f>IF(B285="","",IFERROR(INDEX(Ingredients!$AG$5:$AG$304,MATCH(B285,Ingredients!$B$5:$B$304,0)),""))</f>
        <v>0</v>
      </c>
      <c r="G285" s="17">
        <f>IF(B285="","",IFERROR(INDEX(Ingredients!$G$5:$G$304,MATCH(B285,Ingredients!$B$5:$B$304,0)),"Add to Ingredients"))</f>
        <v>0</v>
      </c>
      <c r="H285" s="45">
        <f>IF(B285="","",IFERROR(INDEX(Ingredients!$AD$5:$AD$304,MATCH(B285,Ingredients!$B$5:$B$304,0)),0))</f>
        <v>0</v>
      </c>
      <c r="I285" s="45">
        <f>IF(F285="","",MAX(0,F285-IF(H285="",0,H285)))</f>
        <v>0</v>
      </c>
      <c r="J285" s="45">
        <f>IF(B285="","",IFERROR(INDEX(Ingredients!$H$5:$H$304,MATCH(B285,Ingredients!$B$5:$B$304,0)),"Add to Ingredients"))</f>
        <v>0</v>
      </c>
      <c r="K285" s="25">
        <f>IF(B285="","",IFERROR(INDEX(Ingredients!$I$5:$I$304,MATCH(B285,Ingredients!$B$5:$B$304,0)),"Add to Ingredients"))</f>
        <v>0</v>
      </c>
      <c r="L285" s="25">
        <f>IF(B285="","",IFERROR(INDEX(Ingredients!$J$5:$J$304,MATCH(B285,Ingredients!$B$5:$B$304,0)),"Add to Ingredients"))</f>
        <v>0</v>
      </c>
      <c r="M285" s="45">
        <f>IF(OR(I285="",I285=0),"",IF(OR(J285="",NOT(ISNUMBER(J285)),J285=0),"",ROUNDUP(I285/J285,0)))</f>
        <v>0</v>
      </c>
      <c r="N285" s="45">
        <f>IF(I285="","",IF(RoundingRule="Exact quantity",I285,IF(M285="",I285,M285*J285)))</f>
        <v>0</v>
      </c>
      <c r="O285" s="25">
        <f>IF(N285="","",IF(RoundingRule="Exact quantity",IF(L285="","",N285*L285),IF(OR(M285="",K285=""),"",M285*K285)))</f>
        <v>0</v>
      </c>
      <c r="P285" s="25">
        <f>IF(B285="","",SUM(O$5:O285))</f>
        <v>0</v>
      </c>
      <c r="Q285" s="45">
        <f>IF(V285="Yes",0,IF(N285="",0,N285))</f>
        <v>0</v>
      </c>
      <c r="R285" s="18">
        <f>IF(OR(B285="",I285=0,I285=""),"",COUNTIFS($I$5:I285,"&gt;0"))</f>
        <v>0</v>
      </c>
      <c r="S285" s="18">
        <f>IF(B285="","",COUNTIFS('Recipe Ingredients'!$D$5:$D$1204,B285,'Recipe Ingredients'!$Y$5:$Y$1204,"&gt;0"))</f>
        <v>0</v>
      </c>
      <c r="T285" s="46">
        <f>IF(B285="","",IF(COUNTIFS('Recipe Ingredients'!$D$5:$D$1204,B285,'Recipe Ingredients'!$Y$5:$Y$1204,"&gt;0",'Recipe Ingredients'!$I$5:$I$1204,"No")=0,"Yes","No"))</f>
        <v>0</v>
      </c>
      <c r="U285" s="17">
        <f>IF(B285="","",IFERROR(INDEX(Ingredients!$W$5:$W$304,MATCH(B285,Ingredients!$B$5:$B$304,0)),"Add to Ingredients"))</f>
        <v>0</v>
      </c>
      <c r="Z285" s="31">
        <f>IF(B285="","",IF(V285="Yes","Bought",IF(I285=0,"In stock",IF(O285="","Check - no price","On the list"))))</f>
        <v>0</v>
      </c>
    </row>
    <row r="286" spans="1:26">
      <c r="A286" s="18">
        <f>ROW()-4</f>
        <v>0</v>
      </c>
      <c r="B286" s="17">
        <f>IFERROR(INDEX(Ingredients!$B$5:$B$304,MATCH(A286,Ingredients!$AL$5:$AL$304,0)),"")</f>
        <v>0</v>
      </c>
      <c r="C286" s="17">
        <f>IF(B286="","",IFERROR(INDEX(Ingredients!$C$5:$C$304,MATCH(B286,Ingredients!$B$5:$B$304,0)),"Add to Ingredients"))</f>
        <v>0</v>
      </c>
      <c r="D286" s="17">
        <f>IF(B286="","",IFERROR(INDEX(Ingredients!$D$5:$D$304,MATCH(B286,Ingredients!$B$5:$B$304,0)),"Add to Ingredients"))</f>
        <v>0</v>
      </c>
      <c r="E286" s="17">
        <f>IF(B286="","",IFERROR(INDEX(Ingredients!$E$5:$E$304,MATCH(B286,Ingredients!$B$5:$B$304,0)),"Add to Ingredients"))</f>
        <v>0</v>
      </c>
      <c r="F286" s="45">
        <f>IF(B286="","",IFERROR(INDEX(Ingredients!$AG$5:$AG$304,MATCH(B286,Ingredients!$B$5:$B$304,0)),""))</f>
        <v>0</v>
      </c>
      <c r="G286" s="17">
        <f>IF(B286="","",IFERROR(INDEX(Ingredients!$G$5:$G$304,MATCH(B286,Ingredients!$B$5:$B$304,0)),"Add to Ingredients"))</f>
        <v>0</v>
      </c>
      <c r="H286" s="45">
        <f>IF(B286="","",IFERROR(INDEX(Ingredients!$AD$5:$AD$304,MATCH(B286,Ingredients!$B$5:$B$304,0)),0))</f>
        <v>0</v>
      </c>
      <c r="I286" s="45">
        <f>IF(F286="","",MAX(0,F286-IF(H286="",0,H286)))</f>
        <v>0</v>
      </c>
      <c r="J286" s="45">
        <f>IF(B286="","",IFERROR(INDEX(Ingredients!$H$5:$H$304,MATCH(B286,Ingredients!$B$5:$B$304,0)),"Add to Ingredients"))</f>
        <v>0</v>
      </c>
      <c r="K286" s="25">
        <f>IF(B286="","",IFERROR(INDEX(Ingredients!$I$5:$I$304,MATCH(B286,Ingredients!$B$5:$B$304,0)),"Add to Ingredients"))</f>
        <v>0</v>
      </c>
      <c r="L286" s="25">
        <f>IF(B286="","",IFERROR(INDEX(Ingredients!$J$5:$J$304,MATCH(B286,Ingredients!$B$5:$B$304,0)),"Add to Ingredients"))</f>
        <v>0</v>
      </c>
      <c r="M286" s="45">
        <f>IF(OR(I286="",I286=0),"",IF(OR(J286="",NOT(ISNUMBER(J286)),J286=0),"",ROUNDUP(I286/J286,0)))</f>
        <v>0</v>
      </c>
      <c r="N286" s="45">
        <f>IF(I286="","",IF(RoundingRule="Exact quantity",I286,IF(M286="",I286,M286*J286)))</f>
        <v>0</v>
      </c>
      <c r="O286" s="25">
        <f>IF(N286="","",IF(RoundingRule="Exact quantity",IF(L286="","",N286*L286),IF(OR(M286="",K286=""),"",M286*K286)))</f>
        <v>0</v>
      </c>
      <c r="P286" s="25">
        <f>IF(B286="","",SUM(O$5:O286))</f>
        <v>0</v>
      </c>
      <c r="Q286" s="45">
        <f>IF(V286="Yes",0,IF(N286="",0,N286))</f>
        <v>0</v>
      </c>
      <c r="R286" s="18">
        <f>IF(OR(B286="",I286=0,I286=""),"",COUNTIFS($I$5:I286,"&gt;0"))</f>
        <v>0</v>
      </c>
      <c r="S286" s="18">
        <f>IF(B286="","",COUNTIFS('Recipe Ingredients'!$D$5:$D$1204,B286,'Recipe Ingredients'!$Y$5:$Y$1204,"&gt;0"))</f>
        <v>0</v>
      </c>
      <c r="T286" s="46">
        <f>IF(B286="","",IF(COUNTIFS('Recipe Ingredients'!$D$5:$D$1204,B286,'Recipe Ingredients'!$Y$5:$Y$1204,"&gt;0",'Recipe Ingredients'!$I$5:$I$1204,"No")=0,"Yes","No"))</f>
        <v>0</v>
      </c>
      <c r="U286" s="17">
        <f>IF(B286="","",IFERROR(INDEX(Ingredients!$W$5:$W$304,MATCH(B286,Ingredients!$B$5:$B$304,0)),"Add to Ingredients"))</f>
        <v>0</v>
      </c>
      <c r="Z286" s="31">
        <f>IF(B286="","",IF(V286="Yes","Bought",IF(I286=0,"In stock",IF(O286="","Check - no price","On the list"))))</f>
        <v>0</v>
      </c>
    </row>
    <row r="287" spans="1:26">
      <c r="A287" s="18">
        <f>ROW()-4</f>
        <v>0</v>
      </c>
      <c r="B287" s="17">
        <f>IFERROR(INDEX(Ingredients!$B$5:$B$304,MATCH(A287,Ingredients!$AL$5:$AL$304,0)),"")</f>
        <v>0</v>
      </c>
      <c r="C287" s="17">
        <f>IF(B287="","",IFERROR(INDEX(Ingredients!$C$5:$C$304,MATCH(B287,Ingredients!$B$5:$B$304,0)),"Add to Ingredients"))</f>
        <v>0</v>
      </c>
      <c r="D287" s="17">
        <f>IF(B287="","",IFERROR(INDEX(Ingredients!$D$5:$D$304,MATCH(B287,Ingredients!$B$5:$B$304,0)),"Add to Ingredients"))</f>
        <v>0</v>
      </c>
      <c r="E287" s="17">
        <f>IF(B287="","",IFERROR(INDEX(Ingredients!$E$5:$E$304,MATCH(B287,Ingredients!$B$5:$B$304,0)),"Add to Ingredients"))</f>
        <v>0</v>
      </c>
      <c r="F287" s="45">
        <f>IF(B287="","",IFERROR(INDEX(Ingredients!$AG$5:$AG$304,MATCH(B287,Ingredients!$B$5:$B$304,0)),""))</f>
        <v>0</v>
      </c>
      <c r="G287" s="17">
        <f>IF(B287="","",IFERROR(INDEX(Ingredients!$G$5:$G$304,MATCH(B287,Ingredients!$B$5:$B$304,0)),"Add to Ingredients"))</f>
        <v>0</v>
      </c>
      <c r="H287" s="45">
        <f>IF(B287="","",IFERROR(INDEX(Ingredients!$AD$5:$AD$304,MATCH(B287,Ingredients!$B$5:$B$304,0)),0))</f>
        <v>0</v>
      </c>
      <c r="I287" s="45">
        <f>IF(F287="","",MAX(0,F287-IF(H287="",0,H287)))</f>
        <v>0</v>
      </c>
      <c r="J287" s="45">
        <f>IF(B287="","",IFERROR(INDEX(Ingredients!$H$5:$H$304,MATCH(B287,Ingredients!$B$5:$B$304,0)),"Add to Ingredients"))</f>
        <v>0</v>
      </c>
      <c r="K287" s="25">
        <f>IF(B287="","",IFERROR(INDEX(Ingredients!$I$5:$I$304,MATCH(B287,Ingredients!$B$5:$B$304,0)),"Add to Ingredients"))</f>
        <v>0</v>
      </c>
      <c r="L287" s="25">
        <f>IF(B287="","",IFERROR(INDEX(Ingredients!$J$5:$J$304,MATCH(B287,Ingredients!$B$5:$B$304,0)),"Add to Ingredients"))</f>
        <v>0</v>
      </c>
      <c r="M287" s="45">
        <f>IF(OR(I287="",I287=0),"",IF(OR(J287="",NOT(ISNUMBER(J287)),J287=0),"",ROUNDUP(I287/J287,0)))</f>
        <v>0</v>
      </c>
      <c r="N287" s="45">
        <f>IF(I287="","",IF(RoundingRule="Exact quantity",I287,IF(M287="",I287,M287*J287)))</f>
        <v>0</v>
      </c>
      <c r="O287" s="25">
        <f>IF(N287="","",IF(RoundingRule="Exact quantity",IF(L287="","",N287*L287),IF(OR(M287="",K287=""),"",M287*K287)))</f>
        <v>0</v>
      </c>
      <c r="P287" s="25">
        <f>IF(B287="","",SUM(O$5:O287))</f>
        <v>0</v>
      </c>
      <c r="Q287" s="45">
        <f>IF(V287="Yes",0,IF(N287="",0,N287))</f>
        <v>0</v>
      </c>
      <c r="R287" s="18">
        <f>IF(OR(B287="",I287=0,I287=""),"",COUNTIFS($I$5:I287,"&gt;0"))</f>
        <v>0</v>
      </c>
      <c r="S287" s="18">
        <f>IF(B287="","",COUNTIFS('Recipe Ingredients'!$D$5:$D$1204,B287,'Recipe Ingredients'!$Y$5:$Y$1204,"&gt;0"))</f>
        <v>0</v>
      </c>
      <c r="T287" s="46">
        <f>IF(B287="","",IF(COUNTIFS('Recipe Ingredients'!$D$5:$D$1204,B287,'Recipe Ingredients'!$Y$5:$Y$1204,"&gt;0",'Recipe Ingredients'!$I$5:$I$1204,"No")=0,"Yes","No"))</f>
        <v>0</v>
      </c>
      <c r="U287" s="17">
        <f>IF(B287="","",IFERROR(INDEX(Ingredients!$W$5:$W$304,MATCH(B287,Ingredients!$B$5:$B$304,0)),"Add to Ingredients"))</f>
        <v>0</v>
      </c>
      <c r="Z287" s="31">
        <f>IF(B287="","",IF(V287="Yes","Bought",IF(I287=0,"In stock",IF(O287="","Check - no price","On the list"))))</f>
        <v>0</v>
      </c>
    </row>
    <row r="288" spans="1:26">
      <c r="A288" s="18">
        <f>ROW()-4</f>
        <v>0</v>
      </c>
      <c r="B288" s="17">
        <f>IFERROR(INDEX(Ingredients!$B$5:$B$304,MATCH(A288,Ingredients!$AL$5:$AL$304,0)),"")</f>
        <v>0</v>
      </c>
      <c r="C288" s="17">
        <f>IF(B288="","",IFERROR(INDEX(Ingredients!$C$5:$C$304,MATCH(B288,Ingredients!$B$5:$B$304,0)),"Add to Ingredients"))</f>
        <v>0</v>
      </c>
      <c r="D288" s="17">
        <f>IF(B288="","",IFERROR(INDEX(Ingredients!$D$5:$D$304,MATCH(B288,Ingredients!$B$5:$B$304,0)),"Add to Ingredients"))</f>
        <v>0</v>
      </c>
      <c r="E288" s="17">
        <f>IF(B288="","",IFERROR(INDEX(Ingredients!$E$5:$E$304,MATCH(B288,Ingredients!$B$5:$B$304,0)),"Add to Ingredients"))</f>
        <v>0</v>
      </c>
      <c r="F288" s="45">
        <f>IF(B288="","",IFERROR(INDEX(Ingredients!$AG$5:$AG$304,MATCH(B288,Ingredients!$B$5:$B$304,0)),""))</f>
        <v>0</v>
      </c>
      <c r="G288" s="17">
        <f>IF(B288="","",IFERROR(INDEX(Ingredients!$G$5:$G$304,MATCH(B288,Ingredients!$B$5:$B$304,0)),"Add to Ingredients"))</f>
        <v>0</v>
      </c>
      <c r="H288" s="45">
        <f>IF(B288="","",IFERROR(INDEX(Ingredients!$AD$5:$AD$304,MATCH(B288,Ingredients!$B$5:$B$304,0)),0))</f>
        <v>0</v>
      </c>
      <c r="I288" s="45">
        <f>IF(F288="","",MAX(0,F288-IF(H288="",0,H288)))</f>
        <v>0</v>
      </c>
      <c r="J288" s="45">
        <f>IF(B288="","",IFERROR(INDEX(Ingredients!$H$5:$H$304,MATCH(B288,Ingredients!$B$5:$B$304,0)),"Add to Ingredients"))</f>
        <v>0</v>
      </c>
      <c r="K288" s="25">
        <f>IF(B288="","",IFERROR(INDEX(Ingredients!$I$5:$I$304,MATCH(B288,Ingredients!$B$5:$B$304,0)),"Add to Ingredients"))</f>
        <v>0</v>
      </c>
      <c r="L288" s="25">
        <f>IF(B288="","",IFERROR(INDEX(Ingredients!$J$5:$J$304,MATCH(B288,Ingredients!$B$5:$B$304,0)),"Add to Ingredients"))</f>
        <v>0</v>
      </c>
      <c r="M288" s="45">
        <f>IF(OR(I288="",I288=0),"",IF(OR(J288="",NOT(ISNUMBER(J288)),J288=0),"",ROUNDUP(I288/J288,0)))</f>
        <v>0</v>
      </c>
      <c r="N288" s="45">
        <f>IF(I288="","",IF(RoundingRule="Exact quantity",I288,IF(M288="",I288,M288*J288)))</f>
        <v>0</v>
      </c>
      <c r="O288" s="25">
        <f>IF(N288="","",IF(RoundingRule="Exact quantity",IF(L288="","",N288*L288),IF(OR(M288="",K288=""),"",M288*K288)))</f>
        <v>0</v>
      </c>
      <c r="P288" s="25">
        <f>IF(B288="","",SUM(O$5:O288))</f>
        <v>0</v>
      </c>
      <c r="Q288" s="45">
        <f>IF(V288="Yes",0,IF(N288="",0,N288))</f>
        <v>0</v>
      </c>
      <c r="R288" s="18">
        <f>IF(OR(B288="",I288=0,I288=""),"",COUNTIFS($I$5:I288,"&gt;0"))</f>
        <v>0</v>
      </c>
      <c r="S288" s="18">
        <f>IF(B288="","",COUNTIFS('Recipe Ingredients'!$D$5:$D$1204,B288,'Recipe Ingredients'!$Y$5:$Y$1204,"&gt;0"))</f>
        <v>0</v>
      </c>
      <c r="T288" s="46">
        <f>IF(B288="","",IF(COUNTIFS('Recipe Ingredients'!$D$5:$D$1204,B288,'Recipe Ingredients'!$Y$5:$Y$1204,"&gt;0",'Recipe Ingredients'!$I$5:$I$1204,"No")=0,"Yes","No"))</f>
        <v>0</v>
      </c>
      <c r="U288" s="17">
        <f>IF(B288="","",IFERROR(INDEX(Ingredients!$W$5:$W$304,MATCH(B288,Ingredients!$B$5:$B$304,0)),"Add to Ingredients"))</f>
        <v>0</v>
      </c>
      <c r="Z288" s="31">
        <f>IF(B288="","",IF(V288="Yes","Bought",IF(I288=0,"In stock",IF(O288="","Check - no price","On the list"))))</f>
        <v>0</v>
      </c>
    </row>
    <row r="289" spans="1:26">
      <c r="A289" s="18">
        <f>ROW()-4</f>
        <v>0</v>
      </c>
      <c r="B289" s="17">
        <f>IFERROR(INDEX(Ingredients!$B$5:$B$304,MATCH(A289,Ingredients!$AL$5:$AL$304,0)),"")</f>
        <v>0</v>
      </c>
      <c r="C289" s="17">
        <f>IF(B289="","",IFERROR(INDEX(Ingredients!$C$5:$C$304,MATCH(B289,Ingredients!$B$5:$B$304,0)),"Add to Ingredients"))</f>
        <v>0</v>
      </c>
      <c r="D289" s="17">
        <f>IF(B289="","",IFERROR(INDEX(Ingredients!$D$5:$D$304,MATCH(B289,Ingredients!$B$5:$B$304,0)),"Add to Ingredients"))</f>
        <v>0</v>
      </c>
      <c r="E289" s="17">
        <f>IF(B289="","",IFERROR(INDEX(Ingredients!$E$5:$E$304,MATCH(B289,Ingredients!$B$5:$B$304,0)),"Add to Ingredients"))</f>
        <v>0</v>
      </c>
      <c r="F289" s="45">
        <f>IF(B289="","",IFERROR(INDEX(Ingredients!$AG$5:$AG$304,MATCH(B289,Ingredients!$B$5:$B$304,0)),""))</f>
        <v>0</v>
      </c>
      <c r="G289" s="17">
        <f>IF(B289="","",IFERROR(INDEX(Ingredients!$G$5:$G$304,MATCH(B289,Ingredients!$B$5:$B$304,0)),"Add to Ingredients"))</f>
        <v>0</v>
      </c>
      <c r="H289" s="45">
        <f>IF(B289="","",IFERROR(INDEX(Ingredients!$AD$5:$AD$304,MATCH(B289,Ingredients!$B$5:$B$304,0)),0))</f>
        <v>0</v>
      </c>
      <c r="I289" s="45">
        <f>IF(F289="","",MAX(0,F289-IF(H289="",0,H289)))</f>
        <v>0</v>
      </c>
      <c r="J289" s="45">
        <f>IF(B289="","",IFERROR(INDEX(Ingredients!$H$5:$H$304,MATCH(B289,Ingredients!$B$5:$B$304,0)),"Add to Ingredients"))</f>
        <v>0</v>
      </c>
      <c r="K289" s="25">
        <f>IF(B289="","",IFERROR(INDEX(Ingredients!$I$5:$I$304,MATCH(B289,Ingredients!$B$5:$B$304,0)),"Add to Ingredients"))</f>
        <v>0</v>
      </c>
      <c r="L289" s="25">
        <f>IF(B289="","",IFERROR(INDEX(Ingredients!$J$5:$J$304,MATCH(B289,Ingredients!$B$5:$B$304,0)),"Add to Ingredients"))</f>
        <v>0</v>
      </c>
      <c r="M289" s="45">
        <f>IF(OR(I289="",I289=0),"",IF(OR(J289="",NOT(ISNUMBER(J289)),J289=0),"",ROUNDUP(I289/J289,0)))</f>
        <v>0</v>
      </c>
      <c r="N289" s="45">
        <f>IF(I289="","",IF(RoundingRule="Exact quantity",I289,IF(M289="",I289,M289*J289)))</f>
        <v>0</v>
      </c>
      <c r="O289" s="25">
        <f>IF(N289="","",IF(RoundingRule="Exact quantity",IF(L289="","",N289*L289),IF(OR(M289="",K289=""),"",M289*K289)))</f>
        <v>0</v>
      </c>
      <c r="P289" s="25">
        <f>IF(B289="","",SUM(O$5:O289))</f>
        <v>0</v>
      </c>
      <c r="Q289" s="45">
        <f>IF(V289="Yes",0,IF(N289="",0,N289))</f>
        <v>0</v>
      </c>
      <c r="R289" s="18">
        <f>IF(OR(B289="",I289=0,I289=""),"",COUNTIFS($I$5:I289,"&gt;0"))</f>
        <v>0</v>
      </c>
      <c r="S289" s="18">
        <f>IF(B289="","",COUNTIFS('Recipe Ingredients'!$D$5:$D$1204,B289,'Recipe Ingredients'!$Y$5:$Y$1204,"&gt;0"))</f>
        <v>0</v>
      </c>
      <c r="T289" s="46">
        <f>IF(B289="","",IF(COUNTIFS('Recipe Ingredients'!$D$5:$D$1204,B289,'Recipe Ingredients'!$Y$5:$Y$1204,"&gt;0",'Recipe Ingredients'!$I$5:$I$1204,"No")=0,"Yes","No"))</f>
        <v>0</v>
      </c>
      <c r="U289" s="17">
        <f>IF(B289="","",IFERROR(INDEX(Ingredients!$W$5:$W$304,MATCH(B289,Ingredients!$B$5:$B$304,0)),"Add to Ingredients"))</f>
        <v>0</v>
      </c>
      <c r="Z289" s="31">
        <f>IF(B289="","",IF(V289="Yes","Bought",IF(I289=0,"In stock",IF(O289="","Check - no price","On the list"))))</f>
        <v>0</v>
      </c>
    </row>
    <row r="290" spans="1:26">
      <c r="A290" s="18">
        <f>ROW()-4</f>
        <v>0</v>
      </c>
      <c r="B290" s="17">
        <f>IFERROR(INDEX(Ingredients!$B$5:$B$304,MATCH(A290,Ingredients!$AL$5:$AL$304,0)),"")</f>
        <v>0</v>
      </c>
      <c r="C290" s="17">
        <f>IF(B290="","",IFERROR(INDEX(Ingredients!$C$5:$C$304,MATCH(B290,Ingredients!$B$5:$B$304,0)),"Add to Ingredients"))</f>
        <v>0</v>
      </c>
      <c r="D290" s="17">
        <f>IF(B290="","",IFERROR(INDEX(Ingredients!$D$5:$D$304,MATCH(B290,Ingredients!$B$5:$B$304,0)),"Add to Ingredients"))</f>
        <v>0</v>
      </c>
      <c r="E290" s="17">
        <f>IF(B290="","",IFERROR(INDEX(Ingredients!$E$5:$E$304,MATCH(B290,Ingredients!$B$5:$B$304,0)),"Add to Ingredients"))</f>
        <v>0</v>
      </c>
      <c r="F290" s="45">
        <f>IF(B290="","",IFERROR(INDEX(Ingredients!$AG$5:$AG$304,MATCH(B290,Ingredients!$B$5:$B$304,0)),""))</f>
        <v>0</v>
      </c>
      <c r="G290" s="17">
        <f>IF(B290="","",IFERROR(INDEX(Ingredients!$G$5:$G$304,MATCH(B290,Ingredients!$B$5:$B$304,0)),"Add to Ingredients"))</f>
        <v>0</v>
      </c>
      <c r="H290" s="45">
        <f>IF(B290="","",IFERROR(INDEX(Ingredients!$AD$5:$AD$304,MATCH(B290,Ingredients!$B$5:$B$304,0)),0))</f>
        <v>0</v>
      </c>
      <c r="I290" s="45">
        <f>IF(F290="","",MAX(0,F290-IF(H290="",0,H290)))</f>
        <v>0</v>
      </c>
      <c r="J290" s="45">
        <f>IF(B290="","",IFERROR(INDEX(Ingredients!$H$5:$H$304,MATCH(B290,Ingredients!$B$5:$B$304,0)),"Add to Ingredients"))</f>
        <v>0</v>
      </c>
      <c r="K290" s="25">
        <f>IF(B290="","",IFERROR(INDEX(Ingredients!$I$5:$I$304,MATCH(B290,Ingredients!$B$5:$B$304,0)),"Add to Ingredients"))</f>
        <v>0</v>
      </c>
      <c r="L290" s="25">
        <f>IF(B290="","",IFERROR(INDEX(Ingredients!$J$5:$J$304,MATCH(B290,Ingredients!$B$5:$B$304,0)),"Add to Ingredients"))</f>
        <v>0</v>
      </c>
      <c r="M290" s="45">
        <f>IF(OR(I290="",I290=0),"",IF(OR(J290="",NOT(ISNUMBER(J290)),J290=0),"",ROUNDUP(I290/J290,0)))</f>
        <v>0</v>
      </c>
      <c r="N290" s="45">
        <f>IF(I290="","",IF(RoundingRule="Exact quantity",I290,IF(M290="",I290,M290*J290)))</f>
        <v>0</v>
      </c>
      <c r="O290" s="25">
        <f>IF(N290="","",IF(RoundingRule="Exact quantity",IF(L290="","",N290*L290),IF(OR(M290="",K290=""),"",M290*K290)))</f>
        <v>0</v>
      </c>
      <c r="P290" s="25">
        <f>IF(B290="","",SUM(O$5:O290))</f>
        <v>0</v>
      </c>
      <c r="Q290" s="45">
        <f>IF(V290="Yes",0,IF(N290="",0,N290))</f>
        <v>0</v>
      </c>
      <c r="R290" s="18">
        <f>IF(OR(B290="",I290=0,I290=""),"",COUNTIFS($I$5:I290,"&gt;0"))</f>
        <v>0</v>
      </c>
      <c r="S290" s="18">
        <f>IF(B290="","",COUNTIFS('Recipe Ingredients'!$D$5:$D$1204,B290,'Recipe Ingredients'!$Y$5:$Y$1204,"&gt;0"))</f>
        <v>0</v>
      </c>
      <c r="T290" s="46">
        <f>IF(B290="","",IF(COUNTIFS('Recipe Ingredients'!$D$5:$D$1204,B290,'Recipe Ingredients'!$Y$5:$Y$1204,"&gt;0",'Recipe Ingredients'!$I$5:$I$1204,"No")=0,"Yes","No"))</f>
        <v>0</v>
      </c>
      <c r="U290" s="17">
        <f>IF(B290="","",IFERROR(INDEX(Ingredients!$W$5:$W$304,MATCH(B290,Ingredients!$B$5:$B$304,0)),"Add to Ingredients"))</f>
        <v>0</v>
      </c>
      <c r="Z290" s="31">
        <f>IF(B290="","",IF(V290="Yes","Bought",IF(I290=0,"In stock",IF(O290="","Check - no price","On the list"))))</f>
        <v>0</v>
      </c>
    </row>
    <row r="291" spans="1:26">
      <c r="A291" s="18">
        <f>ROW()-4</f>
        <v>0</v>
      </c>
      <c r="B291" s="17">
        <f>IFERROR(INDEX(Ingredients!$B$5:$B$304,MATCH(A291,Ingredients!$AL$5:$AL$304,0)),"")</f>
        <v>0</v>
      </c>
      <c r="C291" s="17">
        <f>IF(B291="","",IFERROR(INDEX(Ingredients!$C$5:$C$304,MATCH(B291,Ingredients!$B$5:$B$304,0)),"Add to Ingredients"))</f>
        <v>0</v>
      </c>
      <c r="D291" s="17">
        <f>IF(B291="","",IFERROR(INDEX(Ingredients!$D$5:$D$304,MATCH(B291,Ingredients!$B$5:$B$304,0)),"Add to Ingredients"))</f>
        <v>0</v>
      </c>
      <c r="E291" s="17">
        <f>IF(B291="","",IFERROR(INDEX(Ingredients!$E$5:$E$304,MATCH(B291,Ingredients!$B$5:$B$304,0)),"Add to Ingredients"))</f>
        <v>0</v>
      </c>
      <c r="F291" s="45">
        <f>IF(B291="","",IFERROR(INDEX(Ingredients!$AG$5:$AG$304,MATCH(B291,Ingredients!$B$5:$B$304,0)),""))</f>
        <v>0</v>
      </c>
      <c r="G291" s="17">
        <f>IF(B291="","",IFERROR(INDEX(Ingredients!$G$5:$G$304,MATCH(B291,Ingredients!$B$5:$B$304,0)),"Add to Ingredients"))</f>
        <v>0</v>
      </c>
      <c r="H291" s="45">
        <f>IF(B291="","",IFERROR(INDEX(Ingredients!$AD$5:$AD$304,MATCH(B291,Ingredients!$B$5:$B$304,0)),0))</f>
        <v>0</v>
      </c>
      <c r="I291" s="45">
        <f>IF(F291="","",MAX(0,F291-IF(H291="",0,H291)))</f>
        <v>0</v>
      </c>
      <c r="J291" s="45">
        <f>IF(B291="","",IFERROR(INDEX(Ingredients!$H$5:$H$304,MATCH(B291,Ingredients!$B$5:$B$304,0)),"Add to Ingredients"))</f>
        <v>0</v>
      </c>
      <c r="K291" s="25">
        <f>IF(B291="","",IFERROR(INDEX(Ingredients!$I$5:$I$304,MATCH(B291,Ingredients!$B$5:$B$304,0)),"Add to Ingredients"))</f>
        <v>0</v>
      </c>
      <c r="L291" s="25">
        <f>IF(B291="","",IFERROR(INDEX(Ingredients!$J$5:$J$304,MATCH(B291,Ingredients!$B$5:$B$304,0)),"Add to Ingredients"))</f>
        <v>0</v>
      </c>
      <c r="M291" s="45">
        <f>IF(OR(I291="",I291=0),"",IF(OR(J291="",NOT(ISNUMBER(J291)),J291=0),"",ROUNDUP(I291/J291,0)))</f>
        <v>0</v>
      </c>
      <c r="N291" s="45">
        <f>IF(I291="","",IF(RoundingRule="Exact quantity",I291,IF(M291="",I291,M291*J291)))</f>
        <v>0</v>
      </c>
      <c r="O291" s="25">
        <f>IF(N291="","",IF(RoundingRule="Exact quantity",IF(L291="","",N291*L291),IF(OR(M291="",K291=""),"",M291*K291)))</f>
        <v>0</v>
      </c>
      <c r="P291" s="25">
        <f>IF(B291="","",SUM(O$5:O291))</f>
        <v>0</v>
      </c>
      <c r="Q291" s="45">
        <f>IF(V291="Yes",0,IF(N291="",0,N291))</f>
        <v>0</v>
      </c>
      <c r="R291" s="18">
        <f>IF(OR(B291="",I291=0,I291=""),"",COUNTIFS($I$5:I291,"&gt;0"))</f>
        <v>0</v>
      </c>
      <c r="S291" s="18">
        <f>IF(B291="","",COUNTIFS('Recipe Ingredients'!$D$5:$D$1204,B291,'Recipe Ingredients'!$Y$5:$Y$1204,"&gt;0"))</f>
        <v>0</v>
      </c>
      <c r="T291" s="46">
        <f>IF(B291="","",IF(COUNTIFS('Recipe Ingredients'!$D$5:$D$1204,B291,'Recipe Ingredients'!$Y$5:$Y$1204,"&gt;0",'Recipe Ingredients'!$I$5:$I$1204,"No")=0,"Yes","No"))</f>
        <v>0</v>
      </c>
      <c r="U291" s="17">
        <f>IF(B291="","",IFERROR(INDEX(Ingredients!$W$5:$W$304,MATCH(B291,Ingredients!$B$5:$B$304,0)),"Add to Ingredients"))</f>
        <v>0</v>
      </c>
      <c r="Z291" s="31">
        <f>IF(B291="","",IF(V291="Yes","Bought",IF(I291=0,"In stock",IF(O291="","Check - no price","On the list"))))</f>
        <v>0</v>
      </c>
    </row>
    <row r="292" spans="1:26">
      <c r="A292" s="18">
        <f>ROW()-4</f>
        <v>0</v>
      </c>
      <c r="B292" s="17">
        <f>IFERROR(INDEX(Ingredients!$B$5:$B$304,MATCH(A292,Ingredients!$AL$5:$AL$304,0)),"")</f>
        <v>0</v>
      </c>
      <c r="C292" s="17">
        <f>IF(B292="","",IFERROR(INDEX(Ingredients!$C$5:$C$304,MATCH(B292,Ingredients!$B$5:$B$304,0)),"Add to Ingredients"))</f>
        <v>0</v>
      </c>
      <c r="D292" s="17">
        <f>IF(B292="","",IFERROR(INDEX(Ingredients!$D$5:$D$304,MATCH(B292,Ingredients!$B$5:$B$304,0)),"Add to Ingredients"))</f>
        <v>0</v>
      </c>
      <c r="E292" s="17">
        <f>IF(B292="","",IFERROR(INDEX(Ingredients!$E$5:$E$304,MATCH(B292,Ingredients!$B$5:$B$304,0)),"Add to Ingredients"))</f>
        <v>0</v>
      </c>
      <c r="F292" s="45">
        <f>IF(B292="","",IFERROR(INDEX(Ingredients!$AG$5:$AG$304,MATCH(B292,Ingredients!$B$5:$B$304,0)),""))</f>
        <v>0</v>
      </c>
      <c r="G292" s="17">
        <f>IF(B292="","",IFERROR(INDEX(Ingredients!$G$5:$G$304,MATCH(B292,Ingredients!$B$5:$B$304,0)),"Add to Ingredients"))</f>
        <v>0</v>
      </c>
      <c r="H292" s="45">
        <f>IF(B292="","",IFERROR(INDEX(Ingredients!$AD$5:$AD$304,MATCH(B292,Ingredients!$B$5:$B$304,0)),0))</f>
        <v>0</v>
      </c>
      <c r="I292" s="45">
        <f>IF(F292="","",MAX(0,F292-IF(H292="",0,H292)))</f>
        <v>0</v>
      </c>
      <c r="J292" s="45">
        <f>IF(B292="","",IFERROR(INDEX(Ingredients!$H$5:$H$304,MATCH(B292,Ingredients!$B$5:$B$304,0)),"Add to Ingredients"))</f>
        <v>0</v>
      </c>
      <c r="K292" s="25">
        <f>IF(B292="","",IFERROR(INDEX(Ingredients!$I$5:$I$304,MATCH(B292,Ingredients!$B$5:$B$304,0)),"Add to Ingredients"))</f>
        <v>0</v>
      </c>
      <c r="L292" s="25">
        <f>IF(B292="","",IFERROR(INDEX(Ingredients!$J$5:$J$304,MATCH(B292,Ingredients!$B$5:$B$304,0)),"Add to Ingredients"))</f>
        <v>0</v>
      </c>
      <c r="M292" s="45">
        <f>IF(OR(I292="",I292=0),"",IF(OR(J292="",NOT(ISNUMBER(J292)),J292=0),"",ROUNDUP(I292/J292,0)))</f>
        <v>0</v>
      </c>
      <c r="N292" s="45">
        <f>IF(I292="","",IF(RoundingRule="Exact quantity",I292,IF(M292="",I292,M292*J292)))</f>
        <v>0</v>
      </c>
      <c r="O292" s="25">
        <f>IF(N292="","",IF(RoundingRule="Exact quantity",IF(L292="","",N292*L292),IF(OR(M292="",K292=""),"",M292*K292)))</f>
        <v>0</v>
      </c>
      <c r="P292" s="25">
        <f>IF(B292="","",SUM(O$5:O292))</f>
        <v>0</v>
      </c>
      <c r="Q292" s="45">
        <f>IF(V292="Yes",0,IF(N292="",0,N292))</f>
        <v>0</v>
      </c>
      <c r="R292" s="18">
        <f>IF(OR(B292="",I292=0,I292=""),"",COUNTIFS($I$5:I292,"&gt;0"))</f>
        <v>0</v>
      </c>
      <c r="S292" s="18">
        <f>IF(B292="","",COUNTIFS('Recipe Ingredients'!$D$5:$D$1204,B292,'Recipe Ingredients'!$Y$5:$Y$1204,"&gt;0"))</f>
        <v>0</v>
      </c>
      <c r="T292" s="46">
        <f>IF(B292="","",IF(COUNTIFS('Recipe Ingredients'!$D$5:$D$1204,B292,'Recipe Ingredients'!$Y$5:$Y$1204,"&gt;0",'Recipe Ingredients'!$I$5:$I$1204,"No")=0,"Yes","No"))</f>
        <v>0</v>
      </c>
      <c r="U292" s="17">
        <f>IF(B292="","",IFERROR(INDEX(Ingredients!$W$5:$W$304,MATCH(B292,Ingredients!$B$5:$B$304,0)),"Add to Ingredients"))</f>
        <v>0</v>
      </c>
      <c r="Z292" s="31">
        <f>IF(B292="","",IF(V292="Yes","Bought",IF(I292=0,"In stock",IF(O292="","Check - no price","On the list"))))</f>
        <v>0</v>
      </c>
    </row>
    <row r="293" spans="1:26">
      <c r="A293" s="18">
        <f>ROW()-4</f>
        <v>0</v>
      </c>
      <c r="B293" s="17">
        <f>IFERROR(INDEX(Ingredients!$B$5:$B$304,MATCH(A293,Ingredients!$AL$5:$AL$304,0)),"")</f>
        <v>0</v>
      </c>
      <c r="C293" s="17">
        <f>IF(B293="","",IFERROR(INDEX(Ingredients!$C$5:$C$304,MATCH(B293,Ingredients!$B$5:$B$304,0)),"Add to Ingredients"))</f>
        <v>0</v>
      </c>
      <c r="D293" s="17">
        <f>IF(B293="","",IFERROR(INDEX(Ingredients!$D$5:$D$304,MATCH(B293,Ingredients!$B$5:$B$304,0)),"Add to Ingredients"))</f>
        <v>0</v>
      </c>
      <c r="E293" s="17">
        <f>IF(B293="","",IFERROR(INDEX(Ingredients!$E$5:$E$304,MATCH(B293,Ingredients!$B$5:$B$304,0)),"Add to Ingredients"))</f>
        <v>0</v>
      </c>
      <c r="F293" s="45">
        <f>IF(B293="","",IFERROR(INDEX(Ingredients!$AG$5:$AG$304,MATCH(B293,Ingredients!$B$5:$B$304,0)),""))</f>
        <v>0</v>
      </c>
      <c r="G293" s="17">
        <f>IF(B293="","",IFERROR(INDEX(Ingredients!$G$5:$G$304,MATCH(B293,Ingredients!$B$5:$B$304,0)),"Add to Ingredients"))</f>
        <v>0</v>
      </c>
      <c r="H293" s="45">
        <f>IF(B293="","",IFERROR(INDEX(Ingredients!$AD$5:$AD$304,MATCH(B293,Ingredients!$B$5:$B$304,0)),0))</f>
        <v>0</v>
      </c>
      <c r="I293" s="45">
        <f>IF(F293="","",MAX(0,F293-IF(H293="",0,H293)))</f>
        <v>0</v>
      </c>
      <c r="J293" s="45">
        <f>IF(B293="","",IFERROR(INDEX(Ingredients!$H$5:$H$304,MATCH(B293,Ingredients!$B$5:$B$304,0)),"Add to Ingredients"))</f>
        <v>0</v>
      </c>
      <c r="K293" s="25">
        <f>IF(B293="","",IFERROR(INDEX(Ingredients!$I$5:$I$304,MATCH(B293,Ingredients!$B$5:$B$304,0)),"Add to Ingredients"))</f>
        <v>0</v>
      </c>
      <c r="L293" s="25">
        <f>IF(B293="","",IFERROR(INDEX(Ingredients!$J$5:$J$304,MATCH(B293,Ingredients!$B$5:$B$304,0)),"Add to Ingredients"))</f>
        <v>0</v>
      </c>
      <c r="M293" s="45">
        <f>IF(OR(I293="",I293=0),"",IF(OR(J293="",NOT(ISNUMBER(J293)),J293=0),"",ROUNDUP(I293/J293,0)))</f>
        <v>0</v>
      </c>
      <c r="N293" s="45">
        <f>IF(I293="","",IF(RoundingRule="Exact quantity",I293,IF(M293="",I293,M293*J293)))</f>
        <v>0</v>
      </c>
      <c r="O293" s="25">
        <f>IF(N293="","",IF(RoundingRule="Exact quantity",IF(L293="","",N293*L293),IF(OR(M293="",K293=""),"",M293*K293)))</f>
        <v>0</v>
      </c>
      <c r="P293" s="25">
        <f>IF(B293="","",SUM(O$5:O293))</f>
        <v>0</v>
      </c>
      <c r="Q293" s="45">
        <f>IF(V293="Yes",0,IF(N293="",0,N293))</f>
        <v>0</v>
      </c>
      <c r="R293" s="18">
        <f>IF(OR(B293="",I293=0,I293=""),"",COUNTIFS($I$5:I293,"&gt;0"))</f>
        <v>0</v>
      </c>
      <c r="S293" s="18">
        <f>IF(B293="","",COUNTIFS('Recipe Ingredients'!$D$5:$D$1204,B293,'Recipe Ingredients'!$Y$5:$Y$1204,"&gt;0"))</f>
        <v>0</v>
      </c>
      <c r="T293" s="46">
        <f>IF(B293="","",IF(COUNTIFS('Recipe Ingredients'!$D$5:$D$1204,B293,'Recipe Ingredients'!$Y$5:$Y$1204,"&gt;0",'Recipe Ingredients'!$I$5:$I$1204,"No")=0,"Yes","No"))</f>
        <v>0</v>
      </c>
      <c r="U293" s="17">
        <f>IF(B293="","",IFERROR(INDEX(Ingredients!$W$5:$W$304,MATCH(B293,Ingredients!$B$5:$B$304,0)),"Add to Ingredients"))</f>
        <v>0</v>
      </c>
      <c r="Z293" s="31">
        <f>IF(B293="","",IF(V293="Yes","Bought",IF(I293=0,"In stock",IF(O293="","Check - no price","On the list"))))</f>
        <v>0</v>
      </c>
    </row>
    <row r="294" spans="1:26">
      <c r="A294" s="18">
        <f>ROW()-4</f>
        <v>0</v>
      </c>
      <c r="B294" s="17">
        <f>IFERROR(INDEX(Ingredients!$B$5:$B$304,MATCH(A294,Ingredients!$AL$5:$AL$304,0)),"")</f>
        <v>0</v>
      </c>
      <c r="C294" s="17">
        <f>IF(B294="","",IFERROR(INDEX(Ingredients!$C$5:$C$304,MATCH(B294,Ingredients!$B$5:$B$304,0)),"Add to Ingredients"))</f>
        <v>0</v>
      </c>
      <c r="D294" s="17">
        <f>IF(B294="","",IFERROR(INDEX(Ingredients!$D$5:$D$304,MATCH(B294,Ingredients!$B$5:$B$304,0)),"Add to Ingredients"))</f>
        <v>0</v>
      </c>
      <c r="E294" s="17">
        <f>IF(B294="","",IFERROR(INDEX(Ingredients!$E$5:$E$304,MATCH(B294,Ingredients!$B$5:$B$304,0)),"Add to Ingredients"))</f>
        <v>0</v>
      </c>
      <c r="F294" s="45">
        <f>IF(B294="","",IFERROR(INDEX(Ingredients!$AG$5:$AG$304,MATCH(B294,Ingredients!$B$5:$B$304,0)),""))</f>
        <v>0</v>
      </c>
      <c r="G294" s="17">
        <f>IF(B294="","",IFERROR(INDEX(Ingredients!$G$5:$G$304,MATCH(B294,Ingredients!$B$5:$B$304,0)),"Add to Ingredients"))</f>
        <v>0</v>
      </c>
      <c r="H294" s="45">
        <f>IF(B294="","",IFERROR(INDEX(Ingredients!$AD$5:$AD$304,MATCH(B294,Ingredients!$B$5:$B$304,0)),0))</f>
        <v>0</v>
      </c>
      <c r="I294" s="45">
        <f>IF(F294="","",MAX(0,F294-IF(H294="",0,H294)))</f>
        <v>0</v>
      </c>
      <c r="J294" s="45">
        <f>IF(B294="","",IFERROR(INDEX(Ingredients!$H$5:$H$304,MATCH(B294,Ingredients!$B$5:$B$304,0)),"Add to Ingredients"))</f>
        <v>0</v>
      </c>
      <c r="K294" s="25">
        <f>IF(B294="","",IFERROR(INDEX(Ingredients!$I$5:$I$304,MATCH(B294,Ingredients!$B$5:$B$304,0)),"Add to Ingredients"))</f>
        <v>0</v>
      </c>
      <c r="L294" s="25">
        <f>IF(B294="","",IFERROR(INDEX(Ingredients!$J$5:$J$304,MATCH(B294,Ingredients!$B$5:$B$304,0)),"Add to Ingredients"))</f>
        <v>0</v>
      </c>
      <c r="M294" s="45">
        <f>IF(OR(I294="",I294=0),"",IF(OR(J294="",NOT(ISNUMBER(J294)),J294=0),"",ROUNDUP(I294/J294,0)))</f>
        <v>0</v>
      </c>
      <c r="N294" s="45">
        <f>IF(I294="","",IF(RoundingRule="Exact quantity",I294,IF(M294="",I294,M294*J294)))</f>
        <v>0</v>
      </c>
      <c r="O294" s="25">
        <f>IF(N294="","",IF(RoundingRule="Exact quantity",IF(L294="","",N294*L294),IF(OR(M294="",K294=""),"",M294*K294)))</f>
        <v>0</v>
      </c>
      <c r="P294" s="25">
        <f>IF(B294="","",SUM(O$5:O294))</f>
        <v>0</v>
      </c>
      <c r="Q294" s="45">
        <f>IF(V294="Yes",0,IF(N294="",0,N294))</f>
        <v>0</v>
      </c>
      <c r="R294" s="18">
        <f>IF(OR(B294="",I294=0,I294=""),"",COUNTIFS($I$5:I294,"&gt;0"))</f>
        <v>0</v>
      </c>
      <c r="S294" s="18">
        <f>IF(B294="","",COUNTIFS('Recipe Ingredients'!$D$5:$D$1204,B294,'Recipe Ingredients'!$Y$5:$Y$1204,"&gt;0"))</f>
        <v>0</v>
      </c>
      <c r="T294" s="46">
        <f>IF(B294="","",IF(COUNTIFS('Recipe Ingredients'!$D$5:$D$1204,B294,'Recipe Ingredients'!$Y$5:$Y$1204,"&gt;0",'Recipe Ingredients'!$I$5:$I$1204,"No")=0,"Yes","No"))</f>
        <v>0</v>
      </c>
      <c r="U294" s="17">
        <f>IF(B294="","",IFERROR(INDEX(Ingredients!$W$5:$W$304,MATCH(B294,Ingredients!$B$5:$B$304,0)),"Add to Ingredients"))</f>
        <v>0</v>
      </c>
      <c r="Z294" s="31">
        <f>IF(B294="","",IF(V294="Yes","Bought",IF(I294=0,"In stock",IF(O294="","Check - no price","On the list"))))</f>
        <v>0</v>
      </c>
    </row>
    <row r="295" spans="1:26">
      <c r="A295" s="18">
        <f>ROW()-4</f>
        <v>0</v>
      </c>
      <c r="B295" s="17">
        <f>IFERROR(INDEX(Ingredients!$B$5:$B$304,MATCH(A295,Ingredients!$AL$5:$AL$304,0)),"")</f>
        <v>0</v>
      </c>
      <c r="C295" s="17">
        <f>IF(B295="","",IFERROR(INDEX(Ingredients!$C$5:$C$304,MATCH(B295,Ingredients!$B$5:$B$304,0)),"Add to Ingredients"))</f>
        <v>0</v>
      </c>
      <c r="D295" s="17">
        <f>IF(B295="","",IFERROR(INDEX(Ingredients!$D$5:$D$304,MATCH(B295,Ingredients!$B$5:$B$304,0)),"Add to Ingredients"))</f>
        <v>0</v>
      </c>
      <c r="E295" s="17">
        <f>IF(B295="","",IFERROR(INDEX(Ingredients!$E$5:$E$304,MATCH(B295,Ingredients!$B$5:$B$304,0)),"Add to Ingredients"))</f>
        <v>0</v>
      </c>
      <c r="F295" s="45">
        <f>IF(B295="","",IFERROR(INDEX(Ingredients!$AG$5:$AG$304,MATCH(B295,Ingredients!$B$5:$B$304,0)),""))</f>
        <v>0</v>
      </c>
      <c r="G295" s="17">
        <f>IF(B295="","",IFERROR(INDEX(Ingredients!$G$5:$G$304,MATCH(B295,Ingredients!$B$5:$B$304,0)),"Add to Ingredients"))</f>
        <v>0</v>
      </c>
      <c r="H295" s="45">
        <f>IF(B295="","",IFERROR(INDEX(Ingredients!$AD$5:$AD$304,MATCH(B295,Ingredients!$B$5:$B$304,0)),0))</f>
        <v>0</v>
      </c>
      <c r="I295" s="45">
        <f>IF(F295="","",MAX(0,F295-IF(H295="",0,H295)))</f>
        <v>0</v>
      </c>
      <c r="J295" s="45">
        <f>IF(B295="","",IFERROR(INDEX(Ingredients!$H$5:$H$304,MATCH(B295,Ingredients!$B$5:$B$304,0)),"Add to Ingredients"))</f>
        <v>0</v>
      </c>
      <c r="K295" s="25">
        <f>IF(B295="","",IFERROR(INDEX(Ingredients!$I$5:$I$304,MATCH(B295,Ingredients!$B$5:$B$304,0)),"Add to Ingredients"))</f>
        <v>0</v>
      </c>
      <c r="L295" s="25">
        <f>IF(B295="","",IFERROR(INDEX(Ingredients!$J$5:$J$304,MATCH(B295,Ingredients!$B$5:$B$304,0)),"Add to Ingredients"))</f>
        <v>0</v>
      </c>
      <c r="M295" s="45">
        <f>IF(OR(I295="",I295=0),"",IF(OR(J295="",NOT(ISNUMBER(J295)),J295=0),"",ROUNDUP(I295/J295,0)))</f>
        <v>0</v>
      </c>
      <c r="N295" s="45">
        <f>IF(I295="","",IF(RoundingRule="Exact quantity",I295,IF(M295="",I295,M295*J295)))</f>
        <v>0</v>
      </c>
      <c r="O295" s="25">
        <f>IF(N295="","",IF(RoundingRule="Exact quantity",IF(L295="","",N295*L295),IF(OR(M295="",K295=""),"",M295*K295)))</f>
        <v>0</v>
      </c>
      <c r="P295" s="25">
        <f>IF(B295="","",SUM(O$5:O295))</f>
        <v>0</v>
      </c>
      <c r="Q295" s="45">
        <f>IF(V295="Yes",0,IF(N295="",0,N295))</f>
        <v>0</v>
      </c>
      <c r="R295" s="18">
        <f>IF(OR(B295="",I295=0,I295=""),"",COUNTIFS($I$5:I295,"&gt;0"))</f>
        <v>0</v>
      </c>
      <c r="S295" s="18">
        <f>IF(B295="","",COUNTIFS('Recipe Ingredients'!$D$5:$D$1204,B295,'Recipe Ingredients'!$Y$5:$Y$1204,"&gt;0"))</f>
        <v>0</v>
      </c>
      <c r="T295" s="46">
        <f>IF(B295="","",IF(COUNTIFS('Recipe Ingredients'!$D$5:$D$1204,B295,'Recipe Ingredients'!$Y$5:$Y$1204,"&gt;0",'Recipe Ingredients'!$I$5:$I$1204,"No")=0,"Yes","No"))</f>
        <v>0</v>
      </c>
      <c r="U295" s="17">
        <f>IF(B295="","",IFERROR(INDEX(Ingredients!$W$5:$W$304,MATCH(B295,Ingredients!$B$5:$B$304,0)),"Add to Ingredients"))</f>
        <v>0</v>
      </c>
      <c r="Z295" s="31">
        <f>IF(B295="","",IF(V295="Yes","Bought",IF(I295=0,"In stock",IF(O295="","Check - no price","On the list"))))</f>
        <v>0</v>
      </c>
    </row>
    <row r="296" spans="1:26">
      <c r="A296" s="18">
        <f>ROW()-4</f>
        <v>0</v>
      </c>
      <c r="B296" s="17">
        <f>IFERROR(INDEX(Ingredients!$B$5:$B$304,MATCH(A296,Ingredients!$AL$5:$AL$304,0)),"")</f>
        <v>0</v>
      </c>
      <c r="C296" s="17">
        <f>IF(B296="","",IFERROR(INDEX(Ingredients!$C$5:$C$304,MATCH(B296,Ingredients!$B$5:$B$304,0)),"Add to Ingredients"))</f>
        <v>0</v>
      </c>
      <c r="D296" s="17">
        <f>IF(B296="","",IFERROR(INDEX(Ingredients!$D$5:$D$304,MATCH(B296,Ingredients!$B$5:$B$304,0)),"Add to Ingredients"))</f>
        <v>0</v>
      </c>
      <c r="E296" s="17">
        <f>IF(B296="","",IFERROR(INDEX(Ingredients!$E$5:$E$304,MATCH(B296,Ingredients!$B$5:$B$304,0)),"Add to Ingredients"))</f>
        <v>0</v>
      </c>
      <c r="F296" s="45">
        <f>IF(B296="","",IFERROR(INDEX(Ingredients!$AG$5:$AG$304,MATCH(B296,Ingredients!$B$5:$B$304,0)),""))</f>
        <v>0</v>
      </c>
      <c r="G296" s="17">
        <f>IF(B296="","",IFERROR(INDEX(Ingredients!$G$5:$G$304,MATCH(B296,Ingredients!$B$5:$B$304,0)),"Add to Ingredients"))</f>
        <v>0</v>
      </c>
      <c r="H296" s="45">
        <f>IF(B296="","",IFERROR(INDEX(Ingredients!$AD$5:$AD$304,MATCH(B296,Ingredients!$B$5:$B$304,0)),0))</f>
        <v>0</v>
      </c>
      <c r="I296" s="45">
        <f>IF(F296="","",MAX(0,F296-IF(H296="",0,H296)))</f>
        <v>0</v>
      </c>
      <c r="J296" s="45">
        <f>IF(B296="","",IFERROR(INDEX(Ingredients!$H$5:$H$304,MATCH(B296,Ingredients!$B$5:$B$304,0)),"Add to Ingredients"))</f>
        <v>0</v>
      </c>
      <c r="K296" s="25">
        <f>IF(B296="","",IFERROR(INDEX(Ingredients!$I$5:$I$304,MATCH(B296,Ingredients!$B$5:$B$304,0)),"Add to Ingredients"))</f>
        <v>0</v>
      </c>
      <c r="L296" s="25">
        <f>IF(B296="","",IFERROR(INDEX(Ingredients!$J$5:$J$304,MATCH(B296,Ingredients!$B$5:$B$304,0)),"Add to Ingredients"))</f>
        <v>0</v>
      </c>
      <c r="M296" s="45">
        <f>IF(OR(I296="",I296=0),"",IF(OR(J296="",NOT(ISNUMBER(J296)),J296=0),"",ROUNDUP(I296/J296,0)))</f>
        <v>0</v>
      </c>
      <c r="N296" s="45">
        <f>IF(I296="","",IF(RoundingRule="Exact quantity",I296,IF(M296="",I296,M296*J296)))</f>
        <v>0</v>
      </c>
      <c r="O296" s="25">
        <f>IF(N296="","",IF(RoundingRule="Exact quantity",IF(L296="","",N296*L296),IF(OR(M296="",K296=""),"",M296*K296)))</f>
        <v>0</v>
      </c>
      <c r="P296" s="25">
        <f>IF(B296="","",SUM(O$5:O296))</f>
        <v>0</v>
      </c>
      <c r="Q296" s="45">
        <f>IF(V296="Yes",0,IF(N296="",0,N296))</f>
        <v>0</v>
      </c>
      <c r="R296" s="18">
        <f>IF(OR(B296="",I296=0,I296=""),"",COUNTIFS($I$5:I296,"&gt;0"))</f>
        <v>0</v>
      </c>
      <c r="S296" s="18">
        <f>IF(B296="","",COUNTIFS('Recipe Ingredients'!$D$5:$D$1204,B296,'Recipe Ingredients'!$Y$5:$Y$1204,"&gt;0"))</f>
        <v>0</v>
      </c>
      <c r="T296" s="46">
        <f>IF(B296="","",IF(COUNTIFS('Recipe Ingredients'!$D$5:$D$1204,B296,'Recipe Ingredients'!$Y$5:$Y$1204,"&gt;0",'Recipe Ingredients'!$I$5:$I$1204,"No")=0,"Yes","No"))</f>
        <v>0</v>
      </c>
      <c r="U296" s="17">
        <f>IF(B296="","",IFERROR(INDEX(Ingredients!$W$5:$W$304,MATCH(B296,Ingredients!$B$5:$B$304,0)),"Add to Ingredients"))</f>
        <v>0</v>
      </c>
      <c r="Z296" s="31">
        <f>IF(B296="","",IF(V296="Yes","Bought",IF(I296=0,"In stock",IF(O296="","Check - no price","On the list"))))</f>
        <v>0</v>
      </c>
    </row>
    <row r="297" spans="1:26">
      <c r="A297" s="18">
        <f>ROW()-4</f>
        <v>0</v>
      </c>
      <c r="B297" s="17">
        <f>IFERROR(INDEX(Ingredients!$B$5:$B$304,MATCH(A297,Ingredients!$AL$5:$AL$304,0)),"")</f>
        <v>0</v>
      </c>
      <c r="C297" s="17">
        <f>IF(B297="","",IFERROR(INDEX(Ingredients!$C$5:$C$304,MATCH(B297,Ingredients!$B$5:$B$304,0)),"Add to Ingredients"))</f>
        <v>0</v>
      </c>
      <c r="D297" s="17">
        <f>IF(B297="","",IFERROR(INDEX(Ingredients!$D$5:$D$304,MATCH(B297,Ingredients!$B$5:$B$304,0)),"Add to Ingredients"))</f>
        <v>0</v>
      </c>
      <c r="E297" s="17">
        <f>IF(B297="","",IFERROR(INDEX(Ingredients!$E$5:$E$304,MATCH(B297,Ingredients!$B$5:$B$304,0)),"Add to Ingredients"))</f>
        <v>0</v>
      </c>
      <c r="F297" s="45">
        <f>IF(B297="","",IFERROR(INDEX(Ingredients!$AG$5:$AG$304,MATCH(B297,Ingredients!$B$5:$B$304,0)),""))</f>
        <v>0</v>
      </c>
      <c r="G297" s="17">
        <f>IF(B297="","",IFERROR(INDEX(Ingredients!$G$5:$G$304,MATCH(B297,Ingredients!$B$5:$B$304,0)),"Add to Ingredients"))</f>
        <v>0</v>
      </c>
      <c r="H297" s="45">
        <f>IF(B297="","",IFERROR(INDEX(Ingredients!$AD$5:$AD$304,MATCH(B297,Ingredients!$B$5:$B$304,0)),0))</f>
        <v>0</v>
      </c>
      <c r="I297" s="45">
        <f>IF(F297="","",MAX(0,F297-IF(H297="",0,H297)))</f>
        <v>0</v>
      </c>
      <c r="J297" s="45">
        <f>IF(B297="","",IFERROR(INDEX(Ingredients!$H$5:$H$304,MATCH(B297,Ingredients!$B$5:$B$304,0)),"Add to Ingredients"))</f>
        <v>0</v>
      </c>
      <c r="K297" s="25">
        <f>IF(B297="","",IFERROR(INDEX(Ingredients!$I$5:$I$304,MATCH(B297,Ingredients!$B$5:$B$304,0)),"Add to Ingredients"))</f>
        <v>0</v>
      </c>
      <c r="L297" s="25">
        <f>IF(B297="","",IFERROR(INDEX(Ingredients!$J$5:$J$304,MATCH(B297,Ingredients!$B$5:$B$304,0)),"Add to Ingredients"))</f>
        <v>0</v>
      </c>
      <c r="M297" s="45">
        <f>IF(OR(I297="",I297=0),"",IF(OR(J297="",NOT(ISNUMBER(J297)),J297=0),"",ROUNDUP(I297/J297,0)))</f>
        <v>0</v>
      </c>
      <c r="N297" s="45">
        <f>IF(I297="","",IF(RoundingRule="Exact quantity",I297,IF(M297="",I297,M297*J297)))</f>
        <v>0</v>
      </c>
      <c r="O297" s="25">
        <f>IF(N297="","",IF(RoundingRule="Exact quantity",IF(L297="","",N297*L297),IF(OR(M297="",K297=""),"",M297*K297)))</f>
        <v>0</v>
      </c>
      <c r="P297" s="25">
        <f>IF(B297="","",SUM(O$5:O297))</f>
        <v>0</v>
      </c>
      <c r="Q297" s="45">
        <f>IF(V297="Yes",0,IF(N297="",0,N297))</f>
        <v>0</v>
      </c>
      <c r="R297" s="18">
        <f>IF(OR(B297="",I297=0,I297=""),"",COUNTIFS($I$5:I297,"&gt;0"))</f>
        <v>0</v>
      </c>
      <c r="S297" s="18">
        <f>IF(B297="","",COUNTIFS('Recipe Ingredients'!$D$5:$D$1204,B297,'Recipe Ingredients'!$Y$5:$Y$1204,"&gt;0"))</f>
        <v>0</v>
      </c>
      <c r="T297" s="46">
        <f>IF(B297="","",IF(COUNTIFS('Recipe Ingredients'!$D$5:$D$1204,B297,'Recipe Ingredients'!$Y$5:$Y$1204,"&gt;0",'Recipe Ingredients'!$I$5:$I$1204,"No")=0,"Yes","No"))</f>
        <v>0</v>
      </c>
      <c r="U297" s="17">
        <f>IF(B297="","",IFERROR(INDEX(Ingredients!$W$5:$W$304,MATCH(B297,Ingredients!$B$5:$B$304,0)),"Add to Ingredients"))</f>
        <v>0</v>
      </c>
      <c r="Z297" s="31">
        <f>IF(B297="","",IF(V297="Yes","Bought",IF(I297=0,"In stock",IF(O297="","Check - no price","On the list"))))</f>
        <v>0</v>
      </c>
    </row>
    <row r="298" spans="1:26">
      <c r="A298" s="18">
        <f>ROW()-4</f>
        <v>0</v>
      </c>
      <c r="B298" s="17">
        <f>IFERROR(INDEX(Ingredients!$B$5:$B$304,MATCH(A298,Ingredients!$AL$5:$AL$304,0)),"")</f>
        <v>0</v>
      </c>
      <c r="C298" s="17">
        <f>IF(B298="","",IFERROR(INDEX(Ingredients!$C$5:$C$304,MATCH(B298,Ingredients!$B$5:$B$304,0)),"Add to Ingredients"))</f>
        <v>0</v>
      </c>
      <c r="D298" s="17">
        <f>IF(B298="","",IFERROR(INDEX(Ingredients!$D$5:$D$304,MATCH(B298,Ingredients!$B$5:$B$304,0)),"Add to Ingredients"))</f>
        <v>0</v>
      </c>
      <c r="E298" s="17">
        <f>IF(B298="","",IFERROR(INDEX(Ingredients!$E$5:$E$304,MATCH(B298,Ingredients!$B$5:$B$304,0)),"Add to Ingredients"))</f>
        <v>0</v>
      </c>
      <c r="F298" s="45">
        <f>IF(B298="","",IFERROR(INDEX(Ingredients!$AG$5:$AG$304,MATCH(B298,Ingredients!$B$5:$B$304,0)),""))</f>
        <v>0</v>
      </c>
      <c r="G298" s="17">
        <f>IF(B298="","",IFERROR(INDEX(Ingredients!$G$5:$G$304,MATCH(B298,Ingredients!$B$5:$B$304,0)),"Add to Ingredients"))</f>
        <v>0</v>
      </c>
      <c r="H298" s="45">
        <f>IF(B298="","",IFERROR(INDEX(Ingredients!$AD$5:$AD$304,MATCH(B298,Ingredients!$B$5:$B$304,0)),0))</f>
        <v>0</v>
      </c>
      <c r="I298" s="45">
        <f>IF(F298="","",MAX(0,F298-IF(H298="",0,H298)))</f>
        <v>0</v>
      </c>
      <c r="J298" s="45">
        <f>IF(B298="","",IFERROR(INDEX(Ingredients!$H$5:$H$304,MATCH(B298,Ingredients!$B$5:$B$304,0)),"Add to Ingredients"))</f>
        <v>0</v>
      </c>
      <c r="K298" s="25">
        <f>IF(B298="","",IFERROR(INDEX(Ingredients!$I$5:$I$304,MATCH(B298,Ingredients!$B$5:$B$304,0)),"Add to Ingredients"))</f>
        <v>0</v>
      </c>
      <c r="L298" s="25">
        <f>IF(B298="","",IFERROR(INDEX(Ingredients!$J$5:$J$304,MATCH(B298,Ingredients!$B$5:$B$304,0)),"Add to Ingredients"))</f>
        <v>0</v>
      </c>
      <c r="M298" s="45">
        <f>IF(OR(I298="",I298=0),"",IF(OR(J298="",NOT(ISNUMBER(J298)),J298=0),"",ROUNDUP(I298/J298,0)))</f>
        <v>0</v>
      </c>
      <c r="N298" s="45">
        <f>IF(I298="","",IF(RoundingRule="Exact quantity",I298,IF(M298="",I298,M298*J298)))</f>
        <v>0</v>
      </c>
      <c r="O298" s="25">
        <f>IF(N298="","",IF(RoundingRule="Exact quantity",IF(L298="","",N298*L298),IF(OR(M298="",K298=""),"",M298*K298)))</f>
        <v>0</v>
      </c>
      <c r="P298" s="25">
        <f>IF(B298="","",SUM(O$5:O298))</f>
        <v>0</v>
      </c>
      <c r="Q298" s="45">
        <f>IF(V298="Yes",0,IF(N298="",0,N298))</f>
        <v>0</v>
      </c>
      <c r="R298" s="18">
        <f>IF(OR(B298="",I298=0,I298=""),"",COUNTIFS($I$5:I298,"&gt;0"))</f>
        <v>0</v>
      </c>
      <c r="S298" s="18">
        <f>IF(B298="","",COUNTIFS('Recipe Ingredients'!$D$5:$D$1204,B298,'Recipe Ingredients'!$Y$5:$Y$1204,"&gt;0"))</f>
        <v>0</v>
      </c>
      <c r="T298" s="46">
        <f>IF(B298="","",IF(COUNTIFS('Recipe Ingredients'!$D$5:$D$1204,B298,'Recipe Ingredients'!$Y$5:$Y$1204,"&gt;0",'Recipe Ingredients'!$I$5:$I$1204,"No")=0,"Yes","No"))</f>
        <v>0</v>
      </c>
      <c r="U298" s="17">
        <f>IF(B298="","",IFERROR(INDEX(Ingredients!$W$5:$W$304,MATCH(B298,Ingredients!$B$5:$B$304,0)),"Add to Ingredients"))</f>
        <v>0</v>
      </c>
      <c r="Z298" s="31">
        <f>IF(B298="","",IF(V298="Yes","Bought",IF(I298=0,"In stock",IF(O298="","Check - no price","On the list"))))</f>
        <v>0</v>
      </c>
    </row>
    <row r="299" spans="1:26">
      <c r="A299" s="18">
        <f>ROW()-4</f>
        <v>0</v>
      </c>
      <c r="B299" s="17">
        <f>IFERROR(INDEX(Ingredients!$B$5:$B$304,MATCH(A299,Ingredients!$AL$5:$AL$304,0)),"")</f>
        <v>0</v>
      </c>
      <c r="C299" s="17">
        <f>IF(B299="","",IFERROR(INDEX(Ingredients!$C$5:$C$304,MATCH(B299,Ingredients!$B$5:$B$304,0)),"Add to Ingredients"))</f>
        <v>0</v>
      </c>
      <c r="D299" s="17">
        <f>IF(B299="","",IFERROR(INDEX(Ingredients!$D$5:$D$304,MATCH(B299,Ingredients!$B$5:$B$304,0)),"Add to Ingredients"))</f>
        <v>0</v>
      </c>
      <c r="E299" s="17">
        <f>IF(B299="","",IFERROR(INDEX(Ingredients!$E$5:$E$304,MATCH(B299,Ingredients!$B$5:$B$304,0)),"Add to Ingredients"))</f>
        <v>0</v>
      </c>
      <c r="F299" s="45">
        <f>IF(B299="","",IFERROR(INDEX(Ingredients!$AG$5:$AG$304,MATCH(B299,Ingredients!$B$5:$B$304,0)),""))</f>
        <v>0</v>
      </c>
      <c r="G299" s="17">
        <f>IF(B299="","",IFERROR(INDEX(Ingredients!$G$5:$G$304,MATCH(B299,Ingredients!$B$5:$B$304,0)),"Add to Ingredients"))</f>
        <v>0</v>
      </c>
      <c r="H299" s="45">
        <f>IF(B299="","",IFERROR(INDEX(Ingredients!$AD$5:$AD$304,MATCH(B299,Ingredients!$B$5:$B$304,0)),0))</f>
        <v>0</v>
      </c>
      <c r="I299" s="45">
        <f>IF(F299="","",MAX(0,F299-IF(H299="",0,H299)))</f>
        <v>0</v>
      </c>
      <c r="J299" s="45">
        <f>IF(B299="","",IFERROR(INDEX(Ingredients!$H$5:$H$304,MATCH(B299,Ingredients!$B$5:$B$304,0)),"Add to Ingredients"))</f>
        <v>0</v>
      </c>
      <c r="K299" s="25">
        <f>IF(B299="","",IFERROR(INDEX(Ingredients!$I$5:$I$304,MATCH(B299,Ingredients!$B$5:$B$304,0)),"Add to Ingredients"))</f>
        <v>0</v>
      </c>
      <c r="L299" s="25">
        <f>IF(B299="","",IFERROR(INDEX(Ingredients!$J$5:$J$304,MATCH(B299,Ingredients!$B$5:$B$304,0)),"Add to Ingredients"))</f>
        <v>0</v>
      </c>
      <c r="M299" s="45">
        <f>IF(OR(I299="",I299=0),"",IF(OR(J299="",NOT(ISNUMBER(J299)),J299=0),"",ROUNDUP(I299/J299,0)))</f>
        <v>0</v>
      </c>
      <c r="N299" s="45">
        <f>IF(I299="","",IF(RoundingRule="Exact quantity",I299,IF(M299="",I299,M299*J299)))</f>
        <v>0</v>
      </c>
      <c r="O299" s="25">
        <f>IF(N299="","",IF(RoundingRule="Exact quantity",IF(L299="","",N299*L299),IF(OR(M299="",K299=""),"",M299*K299)))</f>
        <v>0</v>
      </c>
      <c r="P299" s="25">
        <f>IF(B299="","",SUM(O$5:O299))</f>
        <v>0</v>
      </c>
      <c r="Q299" s="45">
        <f>IF(V299="Yes",0,IF(N299="",0,N299))</f>
        <v>0</v>
      </c>
      <c r="R299" s="18">
        <f>IF(OR(B299="",I299=0,I299=""),"",COUNTIFS($I$5:I299,"&gt;0"))</f>
        <v>0</v>
      </c>
      <c r="S299" s="18">
        <f>IF(B299="","",COUNTIFS('Recipe Ingredients'!$D$5:$D$1204,B299,'Recipe Ingredients'!$Y$5:$Y$1204,"&gt;0"))</f>
        <v>0</v>
      </c>
      <c r="T299" s="46">
        <f>IF(B299="","",IF(COUNTIFS('Recipe Ingredients'!$D$5:$D$1204,B299,'Recipe Ingredients'!$Y$5:$Y$1204,"&gt;0",'Recipe Ingredients'!$I$5:$I$1204,"No")=0,"Yes","No"))</f>
        <v>0</v>
      </c>
      <c r="U299" s="17">
        <f>IF(B299="","",IFERROR(INDEX(Ingredients!$W$5:$W$304,MATCH(B299,Ingredients!$B$5:$B$304,0)),"Add to Ingredients"))</f>
        <v>0</v>
      </c>
      <c r="Z299" s="31">
        <f>IF(B299="","",IF(V299="Yes","Bought",IF(I299=0,"In stock",IF(O299="","Check - no price","On the list"))))</f>
        <v>0</v>
      </c>
    </row>
    <row r="300" spans="1:26">
      <c r="A300" s="18">
        <f>ROW()-4</f>
        <v>0</v>
      </c>
      <c r="B300" s="17">
        <f>IFERROR(INDEX(Ingredients!$B$5:$B$304,MATCH(A300,Ingredients!$AL$5:$AL$304,0)),"")</f>
        <v>0</v>
      </c>
      <c r="C300" s="17">
        <f>IF(B300="","",IFERROR(INDEX(Ingredients!$C$5:$C$304,MATCH(B300,Ingredients!$B$5:$B$304,0)),"Add to Ingredients"))</f>
        <v>0</v>
      </c>
      <c r="D300" s="17">
        <f>IF(B300="","",IFERROR(INDEX(Ingredients!$D$5:$D$304,MATCH(B300,Ingredients!$B$5:$B$304,0)),"Add to Ingredients"))</f>
        <v>0</v>
      </c>
      <c r="E300" s="17">
        <f>IF(B300="","",IFERROR(INDEX(Ingredients!$E$5:$E$304,MATCH(B300,Ingredients!$B$5:$B$304,0)),"Add to Ingredients"))</f>
        <v>0</v>
      </c>
      <c r="F300" s="45">
        <f>IF(B300="","",IFERROR(INDEX(Ingredients!$AG$5:$AG$304,MATCH(B300,Ingredients!$B$5:$B$304,0)),""))</f>
        <v>0</v>
      </c>
      <c r="G300" s="17">
        <f>IF(B300="","",IFERROR(INDEX(Ingredients!$G$5:$G$304,MATCH(B300,Ingredients!$B$5:$B$304,0)),"Add to Ingredients"))</f>
        <v>0</v>
      </c>
      <c r="H300" s="45">
        <f>IF(B300="","",IFERROR(INDEX(Ingredients!$AD$5:$AD$304,MATCH(B300,Ingredients!$B$5:$B$304,0)),0))</f>
        <v>0</v>
      </c>
      <c r="I300" s="45">
        <f>IF(F300="","",MAX(0,F300-IF(H300="",0,H300)))</f>
        <v>0</v>
      </c>
      <c r="J300" s="45">
        <f>IF(B300="","",IFERROR(INDEX(Ingredients!$H$5:$H$304,MATCH(B300,Ingredients!$B$5:$B$304,0)),"Add to Ingredients"))</f>
        <v>0</v>
      </c>
      <c r="K300" s="25">
        <f>IF(B300="","",IFERROR(INDEX(Ingredients!$I$5:$I$304,MATCH(B300,Ingredients!$B$5:$B$304,0)),"Add to Ingredients"))</f>
        <v>0</v>
      </c>
      <c r="L300" s="25">
        <f>IF(B300="","",IFERROR(INDEX(Ingredients!$J$5:$J$304,MATCH(B300,Ingredients!$B$5:$B$304,0)),"Add to Ingredients"))</f>
        <v>0</v>
      </c>
      <c r="M300" s="45">
        <f>IF(OR(I300="",I300=0),"",IF(OR(J300="",NOT(ISNUMBER(J300)),J300=0),"",ROUNDUP(I300/J300,0)))</f>
        <v>0</v>
      </c>
      <c r="N300" s="45">
        <f>IF(I300="","",IF(RoundingRule="Exact quantity",I300,IF(M300="",I300,M300*J300)))</f>
        <v>0</v>
      </c>
      <c r="O300" s="25">
        <f>IF(N300="","",IF(RoundingRule="Exact quantity",IF(L300="","",N300*L300),IF(OR(M300="",K300=""),"",M300*K300)))</f>
        <v>0</v>
      </c>
      <c r="P300" s="25">
        <f>IF(B300="","",SUM(O$5:O300))</f>
        <v>0</v>
      </c>
      <c r="Q300" s="45">
        <f>IF(V300="Yes",0,IF(N300="",0,N300))</f>
        <v>0</v>
      </c>
      <c r="R300" s="18">
        <f>IF(OR(B300="",I300=0,I300=""),"",COUNTIFS($I$5:I300,"&gt;0"))</f>
        <v>0</v>
      </c>
      <c r="S300" s="18">
        <f>IF(B300="","",COUNTIFS('Recipe Ingredients'!$D$5:$D$1204,B300,'Recipe Ingredients'!$Y$5:$Y$1204,"&gt;0"))</f>
        <v>0</v>
      </c>
      <c r="T300" s="46">
        <f>IF(B300="","",IF(COUNTIFS('Recipe Ingredients'!$D$5:$D$1204,B300,'Recipe Ingredients'!$Y$5:$Y$1204,"&gt;0",'Recipe Ingredients'!$I$5:$I$1204,"No")=0,"Yes","No"))</f>
        <v>0</v>
      </c>
      <c r="U300" s="17">
        <f>IF(B300="","",IFERROR(INDEX(Ingredients!$W$5:$W$304,MATCH(B300,Ingredients!$B$5:$B$304,0)),"Add to Ingredients"))</f>
        <v>0</v>
      </c>
      <c r="Z300" s="31">
        <f>IF(B300="","",IF(V300="Yes","Bought",IF(I300=0,"In stock",IF(O300="","Check - no price","On the list"))))</f>
        <v>0</v>
      </c>
    </row>
    <row r="301" spans="1:26">
      <c r="A301" s="18">
        <f>ROW()-4</f>
        <v>0</v>
      </c>
      <c r="B301" s="17">
        <f>IFERROR(INDEX(Ingredients!$B$5:$B$304,MATCH(A301,Ingredients!$AL$5:$AL$304,0)),"")</f>
        <v>0</v>
      </c>
      <c r="C301" s="17">
        <f>IF(B301="","",IFERROR(INDEX(Ingredients!$C$5:$C$304,MATCH(B301,Ingredients!$B$5:$B$304,0)),"Add to Ingredients"))</f>
        <v>0</v>
      </c>
      <c r="D301" s="17">
        <f>IF(B301="","",IFERROR(INDEX(Ingredients!$D$5:$D$304,MATCH(B301,Ingredients!$B$5:$B$304,0)),"Add to Ingredients"))</f>
        <v>0</v>
      </c>
      <c r="E301" s="17">
        <f>IF(B301="","",IFERROR(INDEX(Ingredients!$E$5:$E$304,MATCH(B301,Ingredients!$B$5:$B$304,0)),"Add to Ingredients"))</f>
        <v>0</v>
      </c>
      <c r="F301" s="45">
        <f>IF(B301="","",IFERROR(INDEX(Ingredients!$AG$5:$AG$304,MATCH(B301,Ingredients!$B$5:$B$304,0)),""))</f>
        <v>0</v>
      </c>
      <c r="G301" s="17">
        <f>IF(B301="","",IFERROR(INDEX(Ingredients!$G$5:$G$304,MATCH(B301,Ingredients!$B$5:$B$304,0)),"Add to Ingredients"))</f>
        <v>0</v>
      </c>
      <c r="H301" s="45">
        <f>IF(B301="","",IFERROR(INDEX(Ingredients!$AD$5:$AD$304,MATCH(B301,Ingredients!$B$5:$B$304,0)),0))</f>
        <v>0</v>
      </c>
      <c r="I301" s="45">
        <f>IF(F301="","",MAX(0,F301-IF(H301="",0,H301)))</f>
        <v>0</v>
      </c>
      <c r="J301" s="45">
        <f>IF(B301="","",IFERROR(INDEX(Ingredients!$H$5:$H$304,MATCH(B301,Ingredients!$B$5:$B$304,0)),"Add to Ingredients"))</f>
        <v>0</v>
      </c>
      <c r="K301" s="25">
        <f>IF(B301="","",IFERROR(INDEX(Ingredients!$I$5:$I$304,MATCH(B301,Ingredients!$B$5:$B$304,0)),"Add to Ingredients"))</f>
        <v>0</v>
      </c>
      <c r="L301" s="25">
        <f>IF(B301="","",IFERROR(INDEX(Ingredients!$J$5:$J$304,MATCH(B301,Ingredients!$B$5:$B$304,0)),"Add to Ingredients"))</f>
        <v>0</v>
      </c>
      <c r="M301" s="45">
        <f>IF(OR(I301="",I301=0),"",IF(OR(J301="",NOT(ISNUMBER(J301)),J301=0),"",ROUNDUP(I301/J301,0)))</f>
        <v>0</v>
      </c>
      <c r="N301" s="45">
        <f>IF(I301="","",IF(RoundingRule="Exact quantity",I301,IF(M301="",I301,M301*J301)))</f>
        <v>0</v>
      </c>
      <c r="O301" s="25">
        <f>IF(N301="","",IF(RoundingRule="Exact quantity",IF(L301="","",N301*L301),IF(OR(M301="",K301=""),"",M301*K301)))</f>
        <v>0</v>
      </c>
      <c r="P301" s="25">
        <f>IF(B301="","",SUM(O$5:O301))</f>
        <v>0</v>
      </c>
      <c r="Q301" s="45">
        <f>IF(V301="Yes",0,IF(N301="",0,N301))</f>
        <v>0</v>
      </c>
      <c r="R301" s="18">
        <f>IF(OR(B301="",I301=0,I301=""),"",COUNTIFS($I$5:I301,"&gt;0"))</f>
        <v>0</v>
      </c>
      <c r="S301" s="18">
        <f>IF(B301="","",COUNTIFS('Recipe Ingredients'!$D$5:$D$1204,B301,'Recipe Ingredients'!$Y$5:$Y$1204,"&gt;0"))</f>
        <v>0</v>
      </c>
      <c r="T301" s="46">
        <f>IF(B301="","",IF(COUNTIFS('Recipe Ingredients'!$D$5:$D$1204,B301,'Recipe Ingredients'!$Y$5:$Y$1204,"&gt;0",'Recipe Ingredients'!$I$5:$I$1204,"No")=0,"Yes","No"))</f>
        <v>0</v>
      </c>
      <c r="U301" s="17">
        <f>IF(B301="","",IFERROR(INDEX(Ingredients!$W$5:$W$304,MATCH(B301,Ingredients!$B$5:$B$304,0)),"Add to Ingredients"))</f>
        <v>0</v>
      </c>
      <c r="Z301" s="31">
        <f>IF(B301="","",IF(V301="Yes","Bought",IF(I301=0,"In stock",IF(O301="","Check - no price","On the list"))))</f>
        <v>0</v>
      </c>
    </row>
    <row r="302" spans="1:26">
      <c r="A302" s="18">
        <f>ROW()-4</f>
        <v>0</v>
      </c>
      <c r="B302" s="17">
        <f>IFERROR(INDEX(Ingredients!$B$5:$B$304,MATCH(A302,Ingredients!$AL$5:$AL$304,0)),"")</f>
        <v>0</v>
      </c>
      <c r="C302" s="17">
        <f>IF(B302="","",IFERROR(INDEX(Ingredients!$C$5:$C$304,MATCH(B302,Ingredients!$B$5:$B$304,0)),"Add to Ingredients"))</f>
        <v>0</v>
      </c>
      <c r="D302" s="17">
        <f>IF(B302="","",IFERROR(INDEX(Ingredients!$D$5:$D$304,MATCH(B302,Ingredients!$B$5:$B$304,0)),"Add to Ingredients"))</f>
        <v>0</v>
      </c>
      <c r="E302" s="17">
        <f>IF(B302="","",IFERROR(INDEX(Ingredients!$E$5:$E$304,MATCH(B302,Ingredients!$B$5:$B$304,0)),"Add to Ingredients"))</f>
        <v>0</v>
      </c>
      <c r="F302" s="45">
        <f>IF(B302="","",IFERROR(INDEX(Ingredients!$AG$5:$AG$304,MATCH(B302,Ingredients!$B$5:$B$304,0)),""))</f>
        <v>0</v>
      </c>
      <c r="G302" s="17">
        <f>IF(B302="","",IFERROR(INDEX(Ingredients!$G$5:$G$304,MATCH(B302,Ingredients!$B$5:$B$304,0)),"Add to Ingredients"))</f>
        <v>0</v>
      </c>
      <c r="H302" s="45">
        <f>IF(B302="","",IFERROR(INDEX(Ingredients!$AD$5:$AD$304,MATCH(B302,Ingredients!$B$5:$B$304,0)),0))</f>
        <v>0</v>
      </c>
      <c r="I302" s="45">
        <f>IF(F302="","",MAX(0,F302-IF(H302="",0,H302)))</f>
        <v>0</v>
      </c>
      <c r="J302" s="45">
        <f>IF(B302="","",IFERROR(INDEX(Ingredients!$H$5:$H$304,MATCH(B302,Ingredients!$B$5:$B$304,0)),"Add to Ingredients"))</f>
        <v>0</v>
      </c>
      <c r="K302" s="25">
        <f>IF(B302="","",IFERROR(INDEX(Ingredients!$I$5:$I$304,MATCH(B302,Ingredients!$B$5:$B$304,0)),"Add to Ingredients"))</f>
        <v>0</v>
      </c>
      <c r="L302" s="25">
        <f>IF(B302="","",IFERROR(INDEX(Ingredients!$J$5:$J$304,MATCH(B302,Ingredients!$B$5:$B$304,0)),"Add to Ingredients"))</f>
        <v>0</v>
      </c>
      <c r="M302" s="45">
        <f>IF(OR(I302="",I302=0),"",IF(OR(J302="",NOT(ISNUMBER(J302)),J302=0),"",ROUNDUP(I302/J302,0)))</f>
        <v>0</v>
      </c>
      <c r="N302" s="45">
        <f>IF(I302="","",IF(RoundingRule="Exact quantity",I302,IF(M302="",I302,M302*J302)))</f>
        <v>0</v>
      </c>
      <c r="O302" s="25">
        <f>IF(N302="","",IF(RoundingRule="Exact quantity",IF(L302="","",N302*L302),IF(OR(M302="",K302=""),"",M302*K302)))</f>
        <v>0</v>
      </c>
      <c r="P302" s="25">
        <f>IF(B302="","",SUM(O$5:O302))</f>
        <v>0</v>
      </c>
      <c r="Q302" s="45">
        <f>IF(V302="Yes",0,IF(N302="",0,N302))</f>
        <v>0</v>
      </c>
      <c r="R302" s="18">
        <f>IF(OR(B302="",I302=0,I302=""),"",COUNTIFS($I$5:I302,"&gt;0"))</f>
        <v>0</v>
      </c>
      <c r="S302" s="18">
        <f>IF(B302="","",COUNTIFS('Recipe Ingredients'!$D$5:$D$1204,B302,'Recipe Ingredients'!$Y$5:$Y$1204,"&gt;0"))</f>
        <v>0</v>
      </c>
      <c r="T302" s="46">
        <f>IF(B302="","",IF(COUNTIFS('Recipe Ingredients'!$D$5:$D$1204,B302,'Recipe Ingredients'!$Y$5:$Y$1204,"&gt;0",'Recipe Ingredients'!$I$5:$I$1204,"No")=0,"Yes","No"))</f>
        <v>0</v>
      </c>
      <c r="U302" s="17">
        <f>IF(B302="","",IFERROR(INDEX(Ingredients!$W$5:$W$304,MATCH(B302,Ingredients!$B$5:$B$304,0)),"Add to Ingredients"))</f>
        <v>0</v>
      </c>
      <c r="Z302" s="31">
        <f>IF(B302="","",IF(V302="Yes","Bought",IF(I302=0,"In stock",IF(O302="","Check - no price","On the list"))))</f>
        <v>0</v>
      </c>
    </row>
    <row r="303" spans="1:26">
      <c r="A303" s="18">
        <f>ROW()-4</f>
        <v>0</v>
      </c>
      <c r="B303" s="17">
        <f>IFERROR(INDEX(Ingredients!$B$5:$B$304,MATCH(A303,Ingredients!$AL$5:$AL$304,0)),"")</f>
        <v>0</v>
      </c>
      <c r="C303" s="17">
        <f>IF(B303="","",IFERROR(INDEX(Ingredients!$C$5:$C$304,MATCH(B303,Ingredients!$B$5:$B$304,0)),"Add to Ingredients"))</f>
        <v>0</v>
      </c>
      <c r="D303" s="17">
        <f>IF(B303="","",IFERROR(INDEX(Ingredients!$D$5:$D$304,MATCH(B303,Ingredients!$B$5:$B$304,0)),"Add to Ingredients"))</f>
        <v>0</v>
      </c>
      <c r="E303" s="17">
        <f>IF(B303="","",IFERROR(INDEX(Ingredients!$E$5:$E$304,MATCH(B303,Ingredients!$B$5:$B$304,0)),"Add to Ingredients"))</f>
        <v>0</v>
      </c>
      <c r="F303" s="45">
        <f>IF(B303="","",IFERROR(INDEX(Ingredients!$AG$5:$AG$304,MATCH(B303,Ingredients!$B$5:$B$304,0)),""))</f>
        <v>0</v>
      </c>
      <c r="G303" s="17">
        <f>IF(B303="","",IFERROR(INDEX(Ingredients!$G$5:$G$304,MATCH(B303,Ingredients!$B$5:$B$304,0)),"Add to Ingredients"))</f>
        <v>0</v>
      </c>
      <c r="H303" s="45">
        <f>IF(B303="","",IFERROR(INDEX(Ingredients!$AD$5:$AD$304,MATCH(B303,Ingredients!$B$5:$B$304,0)),0))</f>
        <v>0</v>
      </c>
      <c r="I303" s="45">
        <f>IF(F303="","",MAX(0,F303-IF(H303="",0,H303)))</f>
        <v>0</v>
      </c>
      <c r="J303" s="45">
        <f>IF(B303="","",IFERROR(INDEX(Ingredients!$H$5:$H$304,MATCH(B303,Ingredients!$B$5:$B$304,0)),"Add to Ingredients"))</f>
        <v>0</v>
      </c>
      <c r="K303" s="25">
        <f>IF(B303="","",IFERROR(INDEX(Ingredients!$I$5:$I$304,MATCH(B303,Ingredients!$B$5:$B$304,0)),"Add to Ingredients"))</f>
        <v>0</v>
      </c>
      <c r="L303" s="25">
        <f>IF(B303="","",IFERROR(INDEX(Ingredients!$J$5:$J$304,MATCH(B303,Ingredients!$B$5:$B$304,0)),"Add to Ingredients"))</f>
        <v>0</v>
      </c>
      <c r="M303" s="45">
        <f>IF(OR(I303="",I303=0),"",IF(OR(J303="",NOT(ISNUMBER(J303)),J303=0),"",ROUNDUP(I303/J303,0)))</f>
        <v>0</v>
      </c>
      <c r="N303" s="45">
        <f>IF(I303="","",IF(RoundingRule="Exact quantity",I303,IF(M303="",I303,M303*J303)))</f>
        <v>0</v>
      </c>
      <c r="O303" s="25">
        <f>IF(N303="","",IF(RoundingRule="Exact quantity",IF(L303="","",N303*L303),IF(OR(M303="",K303=""),"",M303*K303)))</f>
        <v>0</v>
      </c>
      <c r="P303" s="25">
        <f>IF(B303="","",SUM(O$5:O303))</f>
        <v>0</v>
      </c>
      <c r="Q303" s="45">
        <f>IF(V303="Yes",0,IF(N303="",0,N303))</f>
        <v>0</v>
      </c>
      <c r="R303" s="18">
        <f>IF(OR(B303="",I303=0,I303=""),"",COUNTIFS($I$5:I303,"&gt;0"))</f>
        <v>0</v>
      </c>
      <c r="S303" s="18">
        <f>IF(B303="","",COUNTIFS('Recipe Ingredients'!$D$5:$D$1204,B303,'Recipe Ingredients'!$Y$5:$Y$1204,"&gt;0"))</f>
        <v>0</v>
      </c>
      <c r="T303" s="46">
        <f>IF(B303="","",IF(COUNTIFS('Recipe Ingredients'!$D$5:$D$1204,B303,'Recipe Ingredients'!$Y$5:$Y$1204,"&gt;0",'Recipe Ingredients'!$I$5:$I$1204,"No")=0,"Yes","No"))</f>
        <v>0</v>
      </c>
      <c r="U303" s="17">
        <f>IF(B303="","",IFERROR(INDEX(Ingredients!$W$5:$W$304,MATCH(B303,Ingredients!$B$5:$B$304,0)),"Add to Ingredients"))</f>
        <v>0</v>
      </c>
      <c r="Z303" s="31">
        <f>IF(B303="","",IF(V303="Yes","Bought",IF(I303=0,"In stock",IF(O303="","Check - no price","On the list"))))</f>
        <v>0</v>
      </c>
    </row>
    <row r="304" spans="1:26">
      <c r="A304" s="18">
        <f>ROW()-4</f>
        <v>0</v>
      </c>
      <c r="B304" s="17">
        <f>IFERROR(INDEX(Ingredients!$B$5:$B$304,MATCH(A304,Ingredients!$AL$5:$AL$304,0)),"")</f>
        <v>0</v>
      </c>
      <c r="C304" s="17">
        <f>IF(B304="","",IFERROR(INDEX(Ingredients!$C$5:$C$304,MATCH(B304,Ingredients!$B$5:$B$304,0)),"Add to Ingredients"))</f>
        <v>0</v>
      </c>
      <c r="D304" s="17">
        <f>IF(B304="","",IFERROR(INDEX(Ingredients!$D$5:$D$304,MATCH(B304,Ingredients!$B$5:$B$304,0)),"Add to Ingredients"))</f>
        <v>0</v>
      </c>
      <c r="E304" s="17">
        <f>IF(B304="","",IFERROR(INDEX(Ingredients!$E$5:$E$304,MATCH(B304,Ingredients!$B$5:$B$304,0)),"Add to Ingredients"))</f>
        <v>0</v>
      </c>
      <c r="F304" s="45">
        <f>IF(B304="","",IFERROR(INDEX(Ingredients!$AG$5:$AG$304,MATCH(B304,Ingredients!$B$5:$B$304,0)),""))</f>
        <v>0</v>
      </c>
      <c r="G304" s="17">
        <f>IF(B304="","",IFERROR(INDEX(Ingredients!$G$5:$G$304,MATCH(B304,Ingredients!$B$5:$B$304,0)),"Add to Ingredients"))</f>
        <v>0</v>
      </c>
      <c r="H304" s="45">
        <f>IF(B304="","",IFERROR(INDEX(Ingredients!$AD$5:$AD$304,MATCH(B304,Ingredients!$B$5:$B$304,0)),0))</f>
        <v>0</v>
      </c>
      <c r="I304" s="45">
        <f>IF(F304="","",MAX(0,F304-IF(H304="",0,H304)))</f>
        <v>0</v>
      </c>
      <c r="J304" s="45">
        <f>IF(B304="","",IFERROR(INDEX(Ingredients!$H$5:$H$304,MATCH(B304,Ingredients!$B$5:$B$304,0)),"Add to Ingredients"))</f>
        <v>0</v>
      </c>
      <c r="K304" s="25">
        <f>IF(B304="","",IFERROR(INDEX(Ingredients!$I$5:$I$304,MATCH(B304,Ingredients!$B$5:$B$304,0)),"Add to Ingredients"))</f>
        <v>0</v>
      </c>
      <c r="L304" s="25">
        <f>IF(B304="","",IFERROR(INDEX(Ingredients!$J$5:$J$304,MATCH(B304,Ingredients!$B$5:$B$304,0)),"Add to Ingredients"))</f>
        <v>0</v>
      </c>
      <c r="M304" s="45">
        <f>IF(OR(I304="",I304=0),"",IF(OR(J304="",NOT(ISNUMBER(J304)),J304=0),"",ROUNDUP(I304/J304,0)))</f>
        <v>0</v>
      </c>
      <c r="N304" s="45">
        <f>IF(I304="","",IF(RoundingRule="Exact quantity",I304,IF(M304="",I304,M304*J304)))</f>
        <v>0</v>
      </c>
      <c r="O304" s="25">
        <f>IF(N304="","",IF(RoundingRule="Exact quantity",IF(L304="","",N304*L304),IF(OR(M304="",K304=""),"",M304*K304)))</f>
        <v>0</v>
      </c>
      <c r="P304" s="25">
        <f>IF(B304="","",SUM(O$5:O304))</f>
        <v>0</v>
      </c>
      <c r="Q304" s="45">
        <f>IF(V304="Yes",0,IF(N304="",0,N304))</f>
        <v>0</v>
      </c>
      <c r="R304" s="18">
        <f>IF(OR(B304="",I304=0,I304=""),"",COUNTIFS($I$5:I304,"&gt;0"))</f>
        <v>0</v>
      </c>
      <c r="S304" s="18">
        <f>IF(B304="","",COUNTIFS('Recipe Ingredients'!$D$5:$D$1204,B304,'Recipe Ingredients'!$Y$5:$Y$1204,"&gt;0"))</f>
        <v>0</v>
      </c>
      <c r="T304" s="46">
        <f>IF(B304="","",IF(COUNTIFS('Recipe Ingredients'!$D$5:$D$1204,B304,'Recipe Ingredients'!$Y$5:$Y$1204,"&gt;0",'Recipe Ingredients'!$I$5:$I$1204,"No")=0,"Yes","No"))</f>
        <v>0</v>
      </c>
      <c r="U304" s="17">
        <f>IF(B304="","",IFERROR(INDEX(Ingredients!$W$5:$W$304,MATCH(B304,Ingredients!$B$5:$B$304,0)),"Add to Ingredients"))</f>
        <v>0</v>
      </c>
      <c r="Z304" s="31">
        <f>IF(B304="","",IF(V304="Yes","Bought",IF(I304=0,"In stock",IF(O304="","Check - no price","On the list"))))</f>
        <v>0</v>
      </c>
    </row>
    <row r="306" spans="1:26" ht="20" customHeight="1">
      <c r="A306" s="7" t="s">
        <v>1074</v>
      </c>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26" customHeight="1">
      <c r="A307" s="8" t="s">
        <v>1075</v>
      </c>
      <c r="B307" s="9" t="s">
        <v>1076</v>
      </c>
      <c r="C307" s="9" t="s">
        <v>1077</v>
      </c>
      <c r="D307" s="9" t="s">
        <v>1065</v>
      </c>
      <c r="E307" s="9" t="s">
        <v>1078</v>
      </c>
      <c r="F307" s="9" t="s">
        <v>1079</v>
      </c>
      <c r="G307" s="9" t="s">
        <v>1071</v>
      </c>
    </row>
    <row r="308" spans="1:26">
      <c r="A308" s="18">
        <f>COUNTIF('Grocery List'!$B$5:$B$304,"&lt;&gt;")</f>
        <v>0</v>
      </c>
      <c r="B308" s="18">
        <f>COUNTIFS('Grocery List'!$I$5:$I$304,0,'Grocery List'!$B$5:$B$304,"&lt;&gt;")</f>
        <v>0</v>
      </c>
      <c r="C308" s="18">
        <f>COUNTIFS('Grocery List'!$I$5:$I$304,"&gt;0")</f>
        <v>0</v>
      </c>
      <c r="D308" s="25">
        <f>SUM('Grocery List'!$O$5:$O$304)</f>
        <v>0</v>
      </c>
      <c r="E308" s="18">
        <f>COUNTIF('Grocery List'!$V$5:$V$304,"Yes")</f>
        <v>0</v>
      </c>
      <c r="F308" s="25">
        <f>SUMIFS('Grocery List'!$O$5:$O$304,'Grocery List'!$V$5:$V$304,"&lt;&gt;Yes")</f>
        <v>0</v>
      </c>
      <c r="G308" s="25">
        <f>SUM('Grocery List'!$W$5:$W$304)</f>
        <v>0</v>
      </c>
    </row>
    <row r="310" spans="1:26" ht="28" customHeight="1">
      <c r="A310" s="6" t="s">
        <v>1080</v>
      </c>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6" customHeight="1">
      <c r="A311" s="8" t="s">
        <v>161</v>
      </c>
      <c r="B311" s="9" t="s">
        <v>1074</v>
      </c>
      <c r="C311" s="9" t="s">
        <v>142</v>
      </c>
      <c r="D311" s="9" t="s">
        <v>1081</v>
      </c>
      <c r="E311" s="9" t="s">
        <v>1082</v>
      </c>
    </row>
    <row r="312" spans="1:26">
      <c r="A312" s="25">
        <f>WeeklyBudget</f>
        <v>0</v>
      </c>
      <c r="B312" s="25">
        <f>SUM('Grocery List'!$O$5:$O$304)</f>
        <v>0</v>
      </c>
      <c r="C312" s="25">
        <f>WeeklyBudget-SUM('Grocery List'!$O$5:$O$304)</f>
        <v>0</v>
      </c>
      <c r="D312" s="17">
        <f>TEXT(ShopFrom,"d mmm")&amp;" to "&amp;TEXT(ShopTo,"d mmm yyyy")</f>
        <v>0</v>
      </c>
      <c r="E312" s="18">
        <f>MAX(0,MOD(IFERROR(MATCH(ShoppingDay,WeekdayList,0),6)-WEEKDAY(TODAY(),2),7))</f>
        <v>0</v>
      </c>
    </row>
    <row r="314" spans="1:26" ht="20" customHeight="1">
      <c r="A314" s="7" t="s">
        <v>1083</v>
      </c>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26" customHeight="1">
      <c r="A315" s="8" t="s">
        <v>1059</v>
      </c>
      <c r="B315" s="9" t="s">
        <v>1084</v>
      </c>
      <c r="C315" s="9" t="s">
        <v>1065</v>
      </c>
      <c r="D315" s="9" t="s">
        <v>1085</v>
      </c>
      <c r="E315" s="9" t="s">
        <v>1086</v>
      </c>
    </row>
    <row r="316" spans="1:26">
      <c r="A316" s="17">
        <f>IFERROR(IF(INDEX(StoreNames,1)=0,"",INDEX(StoreNames,1)),"")</f>
        <v>0</v>
      </c>
      <c r="B316" s="18">
        <f>IF(A316="","",COUNTIFS('Grocery List'!$E$5:$E$304,A316))</f>
        <v>0</v>
      </c>
      <c r="C316" s="25">
        <f>IF(A316="","",SUMIFS('Grocery List'!$O$5:$O$304,'Grocery List'!$E$5:$E$304,A316))</f>
        <v>0</v>
      </c>
      <c r="D316" s="25">
        <f>IF(A316="","",SUMIFS('Grocery List'!$O$5:$O$304,'Grocery List'!$E$5:$E$304,A316,'Grocery List'!$V$5:$V$304,"&lt;&gt;Yes"))</f>
        <v>0</v>
      </c>
      <c r="E316" s="25">
        <f>IF(A316="","",SUMIFS(Ingredients!$O$5:$O$304,Ingredients!$E$5:$E$304,A316))</f>
        <v>0</v>
      </c>
    </row>
    <row r="317" spans="1:26">
      <c r="A317" s="17">
        <f>IFERROR(IF(INDEX(StoreNames,2)=0,"",INDEX(StoreNames,2)),"")</f>
        <v>0</v>
      </c>
      <c r="B317" s="18">
        <f>IF(A317="","",COUNTIFS('Grocery List'!$E$5:$E$304,A317))</f>
        <v>0</v>
      </c>
      <c r="C317" s="25">
        <f>IF(A317="","",SUMIFS('Grocery List'!$O$5:$O$304,'Grocery List'!$E$5:$E$304,A317))</f>
        <v>0</v>
      </c>
      <c r="D317" s="25">
        <f>IF(A317="","",SUMIFS('Grocery List'!$O$5:$O$304,'Grocery List'!$E$5:$E$304,A317,'Grocery List'!$V$5:$V$304,"&lt;&gt;Yes"))</f>
        <v>0</v>
      </c>
      <c r="E317" s="25">
        <f>IF(A317="","",SUMIFS(Ingredients!$O$5:$O$304,Ingredients!$E$5:$E$304,A317))</f>
        <v>0</v>
      </c>
    </row>
    <row r="318" spans="1:26">
      <c r="A318" s="17">
        <f>IFERROR(IF(INDEX(StoreNames,3)=0,"",INDEX(StoreNames,3)),"")</f>
        <v>0</v>
      </c>
      <c r="B318" s="18">
        <f>IF(A318="","",COUNTIFS('Grocery List'!$E$5:$E$304,A318))</f>
        <v>0</v>
      </c>
      <c r="C318" s="25">
        <f>IF(A318="","",SUMIFS('Grocery List'!$O$5:$O$304,'Grocery List'!$E$5:$E$304,A318))</f>
        <v>0</v>
      </c>
      <c r="D318" s="25">
        <f>IF(A318="","",SUMIFS('Grocery List'!$O$5:$O$304,'Grocery List'!$E$5:$E$304,A318,'Grocery List'!$V$5:$V$304,"&lt;&gt;Yes"))</f>
        <v>0</v>
      </c>
      <c r="E318" s="25">
        <f>IF(A318="","",SUMIFS(Ingredients!$O$5:$O$304,Ingredients!$E$5:$E$304,A318))</f>
        <v>0</v>
      </c>
    </row>
    <row r="319" spans="1:26">
      <c r="A319" s="17">
        <f>IFERROR(IF(INDEX(StoreNames,4)=0,"",INDEX(StoreNames,4)),"")</f>
        <v>0</v>
      </c>
      <c r="B319" s="18">
        <f>IF(A319="","",COUNTIFS('Grocery List'!$E$5:$E$304,A319))</f>
        <v>0</v>
      </c>
      <c r="C319" s="25">
        <f>IF(A319="","",SUMIFS('Grocery List'!$O$5:$O$304,'Grocery List'!$E$5:$E$304,A319))</f>
        <v>0</v>
      </c>
      <c r="D319" s="25">
        <f>IF(A319="","",SUMIFS('Grocery List'!$O$5:$O$304,'Grocery List'!$E$5:$E$304,A319,'Grocery List'!$V$5:$V$304,"&lt;&gt;Yes"))</f>
        <v>0</v>
      </c>
      <c r="E319" s="25">
        <f>IF(A319="","",SUMIFS(Ingredients!$O$5:$O$304,Ingredients!$E$5:$E$304,A319))</f>
        <v>0</v>
      </c>
    </row>
    <row r="320" spans="1:26">
      <c r="A320" s="17">
        <f>IFERROR(IF(INDEX(StoreNames,5)=0,"",INDEX(StoreNames,5)),"")</f>
        <v>0</v>
      </c>
      <c r="B320" s="18">
        <f>IF(A320="","",COUNTIFS('Grocery List'!$E$5:$E$304,A320))</f>
        <v>0</v>
      </c>
      <c r="C320" s="25">
        <f>IF(A320="","",SUMIFS('Grocery List'!$O$5:$O$304,'Grocery List'!$E$5:$E$304,A320))</f>
        <v>0</v>
      </c>
      <c r="D320" s="25">
        <f>IF(A320="","",SUMIFS('Grocery List'!$O$5:$O$304,'Grocery List'!$E$5:$E$304,A320,'Grocery List'!$V$5:$V$304,"&lt;&gt;Yes"))</f>
        <v>0</v>
      </c>
      <c r="E320" s="25">
        <f>IF(A320="","",SUMIFS(Ingredients!$O$5:$O$304,Ingredients!$E$5:$E$304,A320))</f>
        <v>0</v>
      </c>
    </row>
    <row r="321" spans="1:26">
      <c r="A321" s="17">
        <f>IFERROR(IF(INDEX(StoreNames,6)=0,"",INDEX(StoreNames,6)),"")</f>
        <v>0</v>
      </c>
      <c r="B321" s="18">
        <f>IF(A321="","",COUNTIFS('Grocery List'!$E$5:$E$304,A321))</f>
        <v>0</v>
      </c>
      <c r="C321" s="25">
        <f>IF(A321="","",SUMIFS('Grocery List'!$O$5:$O$304,'Grocery List'!$E$5:$E$304,A321))</f>
        <v>0</v>
      </c>
      <c r="D321" s="25">
        <f>IF(A321="","",SUMIFS('Grocery List'!$O$5:$O$304,'Grocery List'!$E$5:$E$304,A321,'Grocery List'!$V$5:$V$304,"&lt;&gt;Yes"))</f>
        <v>0</v>
      </c>
      <c r="E321" s="25">
        <f>IF(A321="","",SUMIFS(Ingredients!$O$5:$O$304,Ingredients!$E$5:$E$304,A321))</f>
        <v>0</v>
      </c>
    </row>
    <row r="323" spans="1:26" ht="20" customHeight="1">
      <c r="A323" s="7" t="s">
        <v>1087</v>
      </c>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28" customHeight="1">
      <c r="A324" s="6" t="s">
        <v>1088</v>
      </c>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6" customHeight="1">
      <c r="A325" s="8" t="s">
        <v>1058</v>
      </c>
      <c r="B325" s="9" t="s">
        <v>763</v>
      </c>
      <c r="C325" s="9" t="s">
        <v>122</v>
      </c>
      <c r="D325" s="9" t="s">
        <v>664</v>
      </c>
      <c r="E325" s="9" t="s">
        <v>1065</v>
      </c>
      <c r="F325" s="9" t="s">
        <v>1059</v>
      </c>
      <c r="G325" s="9" t="s">
        <v>1070</v>
      </c>
      <c r="H325" s="9" t="s">
        <v>1073</v>
      </c>
    </row>
    <row r="326" spans="1:26">
      <c r="A326" s="32"/>
      <c r="B326" s="32"/>
      <c r="C326" s="38"/>
      <c r="D326" s="32"/>
      <c r="E326" s="36"/>
      <c r="F326" s="32"/>
      <c r="G326" s="40"/>
      <c r="H326" s="43"/>
    </row>
    <row r="327" spans="1:26">
      <c r="A327" s="32"/>
      <c r="B327" s="32"/>
      <c r="C327" s="38"/>
      <c r="D327" s="32"/>
      <c r="E327" s="36"/>
      <c r="F327" s="32"/>
      <c r="G327" s="40"/>
      <c r="H327" s="43"/>
    </row>
    <row r="328" spans="1:26">
      <c r="A328" s="32"/>
      <c r="B328" s="32"/>
      <c r="C328" s="38"/>
      <c r="D328" s="32"/>
      <c r="E328" s="36"/>
      <c r="F328" s="32"/>
      <c r="G328" s="40"/>
      <c r="H328" s="43"/>
    </row>
    <row r="329" spans="1:26">
      <c r="A329" s="32"/>
      <c r="B329" s="32"/>
      <c r="C329" s="38"/>
      <c r="D329" s="32"/>
      <c r="E329" s="36"/>
      <c r="F329" s="32"/>
      <c r="G329" s="40"/>
      <c r="H329" s="43"/>
    </row>
    <row r="330" spans="1:26">
      <c r="A330" s="32"/>
      <c r="B330" s="32"/>
      <c r="C330" s="38"/>
      <c r="D330" s="32"/>
      <c r="E330" s="36"/>
      <c r="F330" s="32"/>
      <c r="G330" s="40"/>
      <c r="H330" s="43"/>
    </row>
    <row r="331" spans="1:26">
      <c r="A331" s="32"/>
      <c r="B331" s="32"/>
      <c r="C331" s="38"/>
      <c r="D331" s="32"/>
      <c r="E331" s="36"/>
      <c r="F331" s="32"/>
      <c r="G331" s="40"/>
      <c r="H331" s="43"/>
    </row>
    <row r="332" spans="1:26">
      <c r="A332" s="32"/>
      <c r="B332" s="32"/>
      <c r="C332" s="38"/>
      <c r="D332" s="32"/>
      <c r="E332" s="36"/>
      <c r="F332" s="32"/>
      <c r="G332" s="40"/>
      <c r="H332" s="43"/>
    </row>
    <row r="333" spans="1:26">
      <c r="A333" s="32"/>
      <c r="B333" s="32"/>
      <c r="C333" s="38"/>
      <c r="D333" s="32"/>
      <c r="E333" s="36"/>
      <c r="F333" s="32"/>
      <c r="G333" s="40"/>
      <c r="H333" s="43"/>
    </row>
    <row r="334" spans="1:26">
      <c r="A334" s="32"/>
      <c r="B334" s="32"/>
      <c r="C334" s="38"/>
      <c r="D334" s="32"/>
      <c r="E334" s="36"/>
      <c r="F334" s="32"/>
      <c r="G334" s="40"/>
      <c r="H334" s="43"/>
    </row>
    <row r="335" spans="1:26">
      <c r="A335" s="32"/>
      <c r="B335" s="32"/>
      <c r="C335" s="38"/>
      <c r="D335" s="32"/>
      <c r="E335" s="36"/>
      <c r="F335" s="32"/>
      <c r="G335" s="40"/>
      <c r="H335" s="43"/>
    </row>
    <row r="336" spans="1:26">
      <c r="A336" s="32"/>
      <c r="B336" s="32"/>
      <c r="C336" s="38"/>
      <c r="D336" s="32"/>
      <c r="E336" s="36"/>
      <c r="F336" s="32"/>
      <c r="G336" s="40"/>
      <c r="H336" s="43"/>
    </row>
    <row r="337" spans="1:10">
      <c r="A337" s="32"/>
      <c r="B337" s="32"/>
      <c r="C337" s="38"/>
      <c r="D337" s="32"/>
      <c r="E337" s="36"/>
      <c r="F337" s="32"/>
      <c r="G337" s="40"/>
      <c r="H337" s="43"/>
    </row>
    <row r="338" spans="1:10">
      <c r="A338" s="32"/>
      <c r="B338" s="32"/>
      <c r="C338" s="38"/>
      <c r="D338" s="32"/>
      <c r="E338" s="36"/>
      <c r="F338" s="32"/>
      <c r="G338" s="40"/>
      <c r="H338" s="43"/>
    </row>
    <row r="339" spans="1:10">
      <c r="A339" s="32"/>
      <c r="B339" s="32"/>
      <c r="C339" s="38"/>
      <c r="D339" s="32"/>
      <c r="E339" s="36"/>
      <c r="F339" s="32"/>
      <c r="G339" s="40"/>
      <c r="H339" s="43"/>
    </row>
    <row r="340" spans="1:10">
      <c r="A340" s="32"/>
      <c r="B340" s="32"/>
      <c r="C340" s="38"/>
      <c r="D340" s="32"/>
      <c r="E340" s="36"/>
      <c r="F340" s="32"/>
      <c r="G340" s="40"/>
      <c r="H340" s="43"/>
    </row>
    <row r="341" spans="1:10">
      <c r="A341" s="32"/>
      <c r="B341" s="32"/>
      <c r="C341" s="38"/>
      <c r="D341" s="32"/>
      <c r="E341" s="36"/>
      <c r="F341" s="32"/>
      <c r="G341" s="40"/>
      <c r="H341" s="43"/>
    </row>
    <row r="342" spans="1:10">
      <c r="A342" s="32"/>
      <c r="B342" s="32"/>
      <c r="C342" s="38"/>
      <c r="D342" s="32"/>
      <c r="E342" s="36"/>
      <c r="F342" s="32"/>
      <c r="G342" s="40"/>
      <c r="H342" s="43"/>
    </row>
    <row r="343" spans="1:10">
      <c r="A343" s="32"/>
      <c r="B343" s="32"/>
      <c r="C343" s="38"/>
      <c r="D343" s="32"/>
      <c r="E343" s="36"/>
      <c r="F343" s="32"/>
      <c r="G343" s="40"/>
      <c r="H343" s="43"/>
    </row>
    <row r="344" spans="1:10">
      <c r="A344" s="32"/>
      <c r="B344" s="32"/>
      <c r="C344" s="38"/>
      <c r="D344" s="32"/>
      <c r="E344" s="36"/>
      <c r="F344" s="32"/>
      <c r="G344" s="40"/>
      <c r="H344" s="43"/>
    </row>
    <row r="345" spans="1:10">
      <c r="A345" s="32"/>
      <c r="B345" s="32"/>
      <c r="C345" s="38"/>
      <c r="D345" s="32"/>
      <c r="E345" s="36"/>
      <c r="F345" s="32"/>
      <c r="G345" s="40"/>
      <c r="H345" s="43"/>
    </row>
    <row r="346" spans="1:10">
      <c r="A346" s="32"/>
      <c r="B346" s="32"/>
      <c r="C346" s="38"/>
      <c r="D346" s="32"/>
      <c r="E346" s="36"/>
      <c r="F346" s="32"/>
      <c r="G346" s="40"/>
      <c r="H346" s="43"/>
    </row>
    <row r="347" spans="1:10">
      <c r="A347" s="32"/>
      <c r="B347" s="32"/>
      <c r="C347" s="38"/>
      <c r="D347" s="32"/>
      <c r="E347" s="36"/>
      <c r="F347" s="32"/>
      <c r="G347" s="40"/>
      <c r="H347" s="43"/>
    </row>
    <row r="348" spans="1:10">
      <c r="A348" s="32"/>
      <c r="B348" s="32"/>
      <c r="C348" s="38"/>
      <c r="D348" s="32"/>
      <c r="E348" s="36"/>
      <c r="F348" s="32"/>
      <c r="G348" s="40"/>
      <c r="H348" s="43"/>
    </row>
    <row r="349" spans="1:10">
      <c r="A349" s="32"/>
      <c r="B349" s="32"/>
      <c r="C349" s="38"/>
      <c r="D349" s="32"/>
      <c r="E349" s="36"/>
      <c r="F349" s="32"/>
      <c r="G349" s="40"/>
      <c r="H349" s="43"/>
    </row>
    <row r="350" spans="1:10">
      <c r="A350" s="48" t="s">
        <v>1089</v>
      </c>
      <c r="B350" s="48"/>
      <c r="C350" s="48"/>
      <c r="D350" s="48"/>
      <c r="E350" s="26">
        <f>SUM(E326:E349)</f>
        <v>0</v>
      </c>
      <c r="F350" s="49" t="s">
        <v>1090</v>
      </c>
      <c r="G350" s="49"/>
      <c r="H350" s="49"/>
      <c r="I350" s="49"/>
      <c r="J350" s="49"/>
    </row>
    <row r="352" spans="1:10">
      <c r="A352" s="48" t="s">
        <v>1091</v>
      </c>
      <c r="B352" s="48"/>
      <c r="C352" s="48"/>
      <c r="D352" s="48"/>
      <c r="E352" s="26">
        <f>SUM('Grocery List'!$O$5:$O$304)+SUM(E326:E349)</f>
        <v>0</v>
      </c>
      <c r="F352" s="49" t="s">
        <v>1092</v>
      </c>
      <c r="G352" s="49"/>
      <c r="H352" s="49"/>
      <c r="I352" s="49"/>
      <c r="J352" s="49"/>
    </row>
  </sheetData>
  <sheetProtection password="EC7C" sheet="1" objects="1" scenarios="1" formatCells="0" formatColumns="0" formatRows="0" insertRows="0" insertHyperlinks="0" deleteRows="0" autoFilter="0"/>
  <autoFilter ref="A4:Z304"/>
  <mergeCells count="22">
    <mergeCell ref="A1:W1"/>
    <mergeCell ref="X1:Z1"/>
    <mergeCell ref="A2:Z2"/>
    <mergeCell ref="A3:B3"/>
    <mergeCell ref="C3:D3"/>
    <mergeCell ref="E3:F3"/>
    <mergeCell ref="G3:H3"/>
    <mergeCell ref="I3:J3"/>
    <mergeCell ref="K3:L3"/>
    <mergeCell ref="M3:N3"/>
    <mergeCell ref="O3:P3"/>
    <mergeCell ref="Q3:R3"/>
    <mergeCell ref="S3:Z3"/>
    <mergeCell ref="A306:Z306"/>
    <mergeCell ref="A310:Z310"/>
    <mergeCell ref="A314:Z314"/>
    <mergeCell ref="A323:Z323"/>
    <mergeCell ref="A324:Z324"/>
    <mergeCell ref="A350:D350"/>
    <mergeCell ref="F350:J350"/>
    <mergeCell ref="A352:D352"/>
    <mergeCell ref="F352:J352"/>
  </mergeCells>
  <conditionalFormatting sqref="C312">
    <cfRule type="cellIs" dxfId="2" priority="33" operator="lessThan">
      <formula>0</formula>
    </cfRule>
    <cfRule type="cellIs" dxfId="1" priority="34" operator="greaterThanOrEqual">
      <formula>0</formula>
    </cfRule>
  </conditionalFormatting>
  <conditionalFormatting sqref="I5:I304">
    <cfRule type="cellIs" dxfId="3" priority="1" operator="equal">
      <formula>0</formula>
    </cfRule>
  </conditionalFormatting>
  <conditionalFormatting sqref="O5:O304">
    <cfRule type="dataBar" priority="2">
      <dataBar>
        <cfvo type="min" val="0"/>
        <cfvo type="max" val="0"/>
        <color rgb="FF4E8A63"/>
      </dataBar>
    </cfRule>
  </conditionalFormatting>
  <conditionalFormatting sqref="T5:T304">
    <cfRule type="containsText" dxfId="3" priority="3" operator="containsText" text="Yes">
      <formula>NOT(ISERROR(SEARCH("Yes",T5)))</formula>
    </cfRule>
  </conditionalFormatting>
  <conditionalFormatting sqref="Z5:Z304">
    <cfRule type="containsText" dxfId="1" priority="4" operator="containsText" text="Prepared">
      <formula>NOT(ISERROR(SEARCH("Prepared",Z5)))</formula>
    </cfRule>
    <cfRule type="containsText" dxfId="1" priority="5" operator="containsText" text="Cooked">
      <formula>NOT(ISERROR(SEARCH("Cooked",Z5)))</formula>
    </cfRule>
    <cfRule type="containsText" dxfId="1" priority="6" operator="containsText" text="Eaten">
      <formula>NOT(ISERROR(SEARCH("Eaten",Z5)))</formula>
    </cfRule>
    <cfRule type="containsText" dxfId="1" priority="7" operator="containsText" text="Bought">
      <formula>NOT(ISERROR(SEARCH("Bought",Z5)))</formula>
    </cfRule>
    <cfRule type="containsText" dxfId="1" priority="8" operator="containsText" text="Purchased">
      <formula>NOT(ISERROR(SEARCH("Purchased",Z5)))</formula>
    </cfRule>
    <cfRule type="containsText" dxfId="1" priority="9" operator="containsText" text="Done">
      <formula>NOT(ISERROR(SEARCH("Done",Z5)))</formula>
    </cfRule>
    <cfRule type="containsText" dxfId="1" priority="10" operator="containsText" text="Complete">
      <formula>NOT(ISERROR(SEARCH("Complete",Z5)))</formula>
    </cfRule>
    <cfRule type="containsText" dxfId="1" priority="11" operator="containsText" text="In stock">
      <formula>NOT(ISERROR(SEARCH("In stock",Z5)))</formula>
    </cfRule>
    <cfRule type="containsText" dxfId="1" priority="12" operator="containsText" text="Yes">
      <formula>NOT(ISERROR(SEARCH("Yes",Z5)))</formula>
    </cfRule>
    <cfRule type="containsText" dxfId="4" priority="13" operator="containsText" text="Planned">
      <formula>NOT(ISERROR(SEARCH("Planned",Z5)))</formula>
    </cfRule>
    <cfRule type="containsText" dxfId="4" priority="14" operator="containsText" text="Scheduled">
      <formula>NOT(ISERROR(SEARCH("Scheduled",Z5)))</formula>
    </cfRule>
    <cfRule type="containsText" dxfId="4" priority="15" operator="containsText" text="Shopping">
      <formula>NOT(ISERROR(SEARCH("Shopping",Z5)))</formula>
    </cfRule>
    <cfRule type="containsText" dxfId="4" priority="16" operator="containsText" text="On the list">
      <formula>NOT(ISERROR(SEARCH("On the list",Z5)))</formula>
    </cfRule>
    <cfRule type="containsText" dxfId="4" priority="17" operator="containsText" text="Prepping">
      <formula>NOT(ISERROR(SEARCH("Prepping",Z5)))</formula>
    </cfRule>
    <cfRule type="containsText" dxfId="4" priority="18" operator="containsText" text="Frozen">
      <formula>NOT(ISERROR(SEARCH("Frozen",Z5)))</formula>
    </cfRule>
    <cfRule type="containsText" dxfId="0" priority="19" operator="containsText" text="To do">
      <formula>NOT(ISERROR(SEARCH("To do",Z5)))</formula>
    </cfRule>
    <cfRule type="containsText" dxfId="0" priority="20" operator="containsText" text="Not started">
      <formula>NOT(ISERROR(SEARCH("Not started",Z5)))</formula>
    </cfRule>
    <cfRule type="containsText" dxfId="0" priority="21" operator="containsText" text="Low stock">
      <formula>NOT(ISERROR(SEARCH("Low stock",Z5)))</formula>
    </cfRule>
    <cfRule type="containsText" dxfId="0" priority="22" operator="containsText" text="Use soon">
      <formula>NOT(ISERROR(SEARCH("Use soon",Z5)))</formula>
    </cfRule>
    <cfRule type="containsText" dxfId="0" priority="23" operator="containsText" text="Defrosting">
      <formula>NOT(ISERROR(SEARCH("Defrosting",Z5)))</formula>
    </cfRule>
    <cfRule type="containsText" dxfId="0" priority="24" operator="containsText" text="Substituted">
      <formula>NOT(ISERROR(SEARCH("Substituted",Z5)))</formula>
    </cfRule>
    <cfRule type="containsText" dxfId="2" priority="25" operator="containsText" text="Out of stock">
      <formula>NOT(ISERROR(SEARCH("Out of stock",Z5)))</formula>
    </cfRule>
    <cfRule type="containsText" dxfId="2" priority="26" operator="containsText" text="Expired">
      <formula>NOT(ISERROR(SEARCH("Expired",Z5)))</formula>
    </cfRule>
    <cfRule type="containsText" dxfId="2" priority="27" operator="containsText" text="Skipped">
      <formula>NOT(ISERROR(SEARCH("Skipped",Z5)))</formula>
    </cfRule>
    <cfRule type="containsText" dxfId="2" priority="28" operator="containsText" text="Binned">
      <formula>NOT(ISERROR(SEARCH("Binned",Z5)))</formula>
    </cfRule>
    <cfRule type="containsText" dxfId="2" priority="29" operator="containsText" text="Wasted">
      <formula>NOT(ISERROR(SEARCH("Wasted",Z5)))</formula>
    </cfRule>
    <cfRule type="containsText" dxfId="2" priority="30" operator="containsText" text="Cancelled">
      <formula>NOT(ISERROR(SEARCH("Cancelled",Z5)))</formula>
    </cfRule>
    <cfRule type="containsText" dxfId="3" priority="31" operator="containsText" text="Archived">
      <formula>NOT(ISERROR(SEARCH("Archived",Z5)))</formula>
    </cfRule>
    <cfRule type="containsText" dxfId="3" priority="32" operator="containsText" text="Not needed">
      <formula>NOT(ISERROR(SEARCH("Not needed",Z5)))</formula>
    </cfRule>
  </conditionalFormatting>
  <dataValidations count="98">
    <dataValidation type="list" allowBlank="1" showInputMessage="1" showErrorMessage="1" promptTitle="Got it?" prompt="Tick as you shop. Ticked rows drop out of the remaining total below." sqref="V5:V304">
      <formula1>YesNoList</formula1>
    </dataValidation>
    <dataValidation type="decimal" allowBlank="1" showInputMessage="1" showErrorMessage="1" errorTitle="Check the value" error="Enter a number between 0 and 100000." promptTitle="Actually paid" prompt="Optional - fill it in at the till and the workbook shows you the gap between estimate and reality." sqref="W5:W304">
      <formula1>0</formula1>
      <formula2>100000</formula2>
    </dataValidation>
    <dataValidation type="list" allowBlank="1" showInputMessage="1" showErrorMessage="1" sqref="B326">
      <formula1>GroceryCategoryList</formula1>
    </dataValidation>
    <dataValidation type="list" allowBlank="1" showInputMessage="1" showErrorMessage="1" sqref="D326">
      <formula1>UnitList</formula1>
    </dataValidation>
    <dataValidation type="list" allowBlank="1" showInputMessage="1" showErrorMessage="1" sqref="F326">
      <formula1>StoreNames</formula1>
    </dataValidation>
    <dataValidation type="list" allowBlank="1" showInputMessage="1" showErrorMessage="1" sqref="G326">
      <formula1>YesNoList</formula1>
    </dataValidation>
    <dataValidation type="list" allowBlank="1" showInputMessage="1" showErrorMessage="1" sqref="B327">
      <formula1>GroceryCategoryList</formula1>
    </dataValidation>
    <dataValidation type="list" allowBlank="1" showInputMessage="1" showErrorMessage="1" sqref="D327">
      <formula1>UnitList</formula1>
    </dataValidation>
    <dataValidation type="list" allowBlank="1" showInputMessage="1" showErrorMessage="1" sqref="F327">
      <formula1>StoreNames</formula1>
    </dataValidation>
    <dataValidation type="list" allowBlank="1" showInputMessage="1" showErrorMessage="1" sqref="G327">
      <formula1>YesNoList</formula1>
    </dataValidation>
    <dataValidation type="list" allowBlank="1" showInputMessage="1" showErrorMessage="1" sqref="B328">
      <formula1>GroceryCategoryList</formula1>
    </dataValidation>
    <dataValidation type="list" allowBlank="1" showInputMessage="1" showErrorMessage="1" sqref="D328">
      <formula1>UnitList</formula1>
    </dataValidation>
    <dataValidation type="list" allowBlank="1" showInputMessage="1" showErrorMessage="1" sqref="F328">
      <formula1>StoreNames</formula1>
    </dataValidation>
    <dataValidation type="list" allowBlank="1" showInputMessage="1" showErrorMessage="1" sqref="G328">
      <formula1>YesNoList</formula1>
    </dataValidation>
    <dataValidation type="list" allowBlank="1" showInputMessage="1" showErrorMessage="1" sqref="B329">
      <formula1>GroceryCategoryList</formula1>
    </dataValidation>
    <dataValidation type="list" allowBlank="1" showInputMessage="1" showErrorMessage="1" sqref="D329">
      <formula1>UnitList</formula1>
    </dataValidation>
    <dataValidation type="list" allowBlank="1" showInputMessage="1" showErrorMessage="1" sqref="F329">
      <formula1>StoreNames</formula1>
    </dataValidation>
    <dataValidation type="list" allowBlank="1" showInputMessage="1" showErrorMessage="1" sqref="G329">
      <formula1>YesNoList</formula1>
    </dataValidation>
    <dataValidation type="list" allowBlank="1" showInputMessage="1" showErrorMessage="1" sqref="B330">
      <formula1>GroceryCategoryList</formula1>
    </dataValidation>
    <dataValidation type="list" allowBlank="1" showInputMessage="1" showErrorMessage="1" sqref="D330">
      <formula1>UnitList</formula1>
    </dataValidation>
    <dataValidation type="list" allowBlank="1" showInputMessage="1" showErrorMessage="1" sqref="F330">
      <formula1>StoreNames</formula1>
    </dataValidation>
    <dataValidation type="list" allowBlank="1" showInputMessage="1" showErrorMessage="1" sqref="G330">
      <formula1>YesNoList</formula1>
    </dataValidation>
    <dataValidation type="list" allowBlank="1" showInputMessage="1" showErrorMessage="1" sqref="B331">
      <formula1>GroceryCategoryList</formula1>
    </dataValidation>
    <dataValidation type="list" allowBlank="1" showInputMessage="1" showErrorMessage="1" sqref="D331">
      <formula1>UnitList</formula1>
    </dataValidation>
    <dataValidation type="list" allowBlank="1" showInputMessage="1" showErrorMessage="1" sqref="F331">
      <formula1>StoreNames</formula1>
    </dataValidation>
    <dataValidation type="list" allowBlank="1" showInputMessage="1" showErrorMessage="1" sqref="G331">
      <formula1>YesNoList</formula1>
    </dataValidation>
    <dataValidation type="list" allowBlank="1" showInputMessage="1" showErrorMessage="1" sqref="B332">
      <formula1>GroceryCategoryList</formula1>
    </dataValidation>
    <dataValidation type="list" allowBlank="1" showInputMessage="1" showErrorMessage="1" sqref="D332">
      <formula1>UnitList</formula1>
    </dataValidation>
    <dataValidation type="list" allowBlank="1" showInputMessage="1" showErrorMessage="1" sqref="F332">
      <formula1>StoreNames</formula1>
    </dataValidation>
    <dataValidation type="list" allowBlank="1" showInputMessage="1" showErrorMessage="1" sqref="G332">
      <formula1>YesNoList</formula1>
    </dataValidation>
    <dataValidation type="list" allowBlank="1" showInputMessage="1" showErrorMessage="1" sqref="B333">
      <formula1>GroceryCategoryList</formula1>
    </dataValidation>
    <dataValidation type="list" allowBlank="1" showInputMessage="1" showErrorMessage="1" sqref="D333">
      <formula1>UnitList</formula1>
    </dataValidation>
    <dataValidation type="list" allowBlank="1" showInputMessage="1" showErrorMessage="1" sqref="F333">
      <formula1>StoreNames</formula1>
    </dataValidation>
    <dataValidation type="list" allowBlank="1" showInputMessage="1" showErrorMessage="1" sqref="G333">
      <formula1>YesNoList</formula1>
    </dataValidation>
    <dataValidation type="list" allowBlank="1" showInputMessage="1" showErrorMessage="1" sqref="B334">
      <formula1>GroceryCategoryList</formula1>
    </dataValidation>
    <dataValidation type="list" allowBlank="1" showInputMessage="1" showErrorMessage="1" sqref="D334">
      <formula1>UnitList</formula1>
    </dataValidation>
    <dataValidation type="list" allowBlank="1" showInputMessage="1" showErrorMessage="1" sqref="F334">
      <formula1>StoreNames</formula1>
    </dataValidation>
    <dataValidation type="list" allowBlank="1" showInputMessage="1" showErrorMessage="1" sqref="G334">
      <formula1>YesNoList</formula1>
    </dataValidation>
    <dataValidation type="list" allowBlank="1" showInputMessage="1" showErrorMessage="1" sqref="B335">
      <formula1>GroceryCategoryList</formula1>
    </dataValidation>
    <dataValidation type="list" allowBlank="1" showInputMessage="1" showErrorMessage="1" sqref="D335">
      <formula1>UnitList</formula1>
    </dataValidation>
    <dataValidation type="list" allowBlank="1" showInputMessage="1" showErrorMessage="1" sqref="F335">
      <formula1>StoreNames</formula1>
    </dataValidation>
    <dataValidation type="list" allowBlank="1" showInputMessage="1" showErrorMessage="1" sqref="G335">
      <formula1>YesNoList</formula1>
    </dataValidation>
    <dataValidation type="list" allowBlank="1" showInputMessage="1" showErrorMessage="1" sqref="B336">
      <formula1>GroceryCategoryList</formula1>
    </dataValidation>
    <dataValidation type="list" allowBlank="1" showInputMessage="1" showErrorMessage="1" sqref="D336">
      <formula1>UnitList</formula1>
    </dataValidation>
    <dataValidation type="list" allowBlank="1" showInputMessage="1" showErrorMessage="1" sqref="F336">
      <formula1>StoreNames</formula1>
    </dataValidation>
    <dataValidation type="list" allowBlank="1" showInputMessage="1" showErrorMessage="1" sqref="G336">
      <formula1>YesNoList</formula1>
    </dataValidation>
    <dataValidation type="list" allowBlank="1" showInputMessage="1" showErrorMessage="1" sqref="B337">
      <formula1>GroceryCategoryList</formula1>
    </dataValidation>
    <dataValidation type="list" allowBlank="1" showInputMessage="1" showErrorMessage="1" sqref="D337">
      <formula1>UnitList</formula1>
    </dataValidation>
    <dataValidation type="list" allowBlank="1" showInputMessage="1" showErrorMessage="1" sqref="F337">
      <formula1>StoreNames</formula1>
    </dataValidation>
    <dataValidation type="list" allowBlank="1" showInputMessage="1" showErrorMessage="1" sqref="G337">
      <formula1>YesNoList</formula1>
    </dataValidation>
    <dataValidation type="list" allowBlank="1" showInputMessage="1" showErrorMessage="1" sqref="B338">
      <formula1>GroceryCategoryList</formula1>
    </dataValidation>
    <dataValidation type="list" allowBlank="1" showInputMessage="1" showErrorMessage="1" sqref="D338">
      <formula1>UnitList</formula1>
    </dataValidation>
    <dataValidation type="list" allowBlank="1" showInputMessage="1" showErrorMessage="1" sqref="F338">
      <formula1>StoreNames</formula1>
    </dataValidation>
    <dataValidation type="list" allowBlank="1" showInputMessage="1" showErrorMessage="1" sqref="G338">
      <formula1>YesNoList</formula1>
    </dataValidation>
    <dataValidation type="list" allowBlank="1" showInputMessage="1" showErrorMessage="1" sqref="B339">
      <formula1>GroceryCategoryList</formula1>
    </dataValidation>
    <dataValidation type="list" allowBlank="1" showInputMessage="1" showErrorMessage="1" sqref="D339">
      <formula1>UnitList</formula1>
    </dataValidation>
    <dataValidation type="list" allowBlank="1" showInputMessage="1" showErrorMessage="1" sqref="F339">
      <formula1>StoreNames</formula1>
    </dataValidation>
    <dataValidation type="list" allowBlank="1" showInputMessage="1" showErrorMessage="1" sqref="G339">
      <formula1>YesNoList</formula1>
    </dataValidation>
    <dataValidation type="list" allowBlank="1" showInputMessage="1" showErrorMessage="1" sqref="B340">
      <formula1>GroceryCategoryList</formula1>
    </dataValidation>
    <dataValidation type="list" allowBlank="1" showInputMessage="1" showErrorMessage="1" sqref="D340">
      <formula1>UnitList</formula1>
    </dataValidation>
    <dataValidation type="list" allowBlank="1" showInputMessage="1" showErrorMessage="1" sqref="F340">
      <formula1>StoreNames</formula1>
    </dataValidation>
    <dataValidation type="list" allowBlank="1" showInputMessage="1" showErrorMessage="1" sqref="G340">
      <formula1>YesNoList</formula1>
    </dataValidation>
    <dataValidation type="list" allowBlank="1" showInputMessage="1" showErrorMessage="1" sqref="B341">
      <formula1>GroceryCategoryList</formula1>
    </dataValidation>
    <dataValidation type="list" allowBlank="1" showInputMessage="1" showErrorMessage="1" sqref="D341">
      <formula1>UnitList</formula1>
    </dataValidation>
    <dataValidation type="list" allowBlank="1" showInputMessage="1" showErrorMessage="1" sqref="F341">
      <formula1>StoreNames</formula1>
    </dataValidation>
    <dataValidation type="list" allowBlank="1" showInputMessage="1" showErrorMessage="1" sqref="G341">
      <formula1>YesNoList</formula1>
    </dataValidation>
    <dataValidation type="list" allowBlank="1" showInputMessage="1" showErrorMessage="1" sqref="B342">
      <formula1>GroceryCategoryList</formula1>
    </dataValidation>
    <dataValidation type="list" allowBlank="1" showInputMessage="1" showErrorMessage="1" sqref="D342">
      <formula1>UnitList</formula1>
    </dataValidation>
    <dataValidation type="list" allowBlank="1" showInputMessage="1" showErrorMessage="1" sqref="F342">
      <formula1>StoreNames</formula1>
    </dataValidation>
    <dataValidation type="list" allowBlank="1" showInputMessage="1" showErrorMessage="1" sqref="G342">
      <formula1>YesNoList</formula1>
    </dataValidation>
    <dataValidation type="list" allowBlank="1" showInputMessage="1" showErrorMessage="1" sqref="B343">
      <formula1>GroceryCategoryList</formula1>
    </dataValidation>
    <dataValidation type="list" allowBlank="1" showInputMessage="1" showErrorMessage="1" sqref="D343">
      <formula1>UnitList</formula1>
    </dataValidation>
    <dataValidation type="list" allowBlank="1" showInputMessage="1" showErrorMessage="1" sqref="F343">
      <formula1>StoreNames</formula1>
    </dataValidation>
    <dataValidation type="list" allowBlank="1" showInputMessage="1" showErrorMessage="1" sqref="G343">
      <formula1>YesNoList</formula1>
    </dataValidation>
    <dataValidation type="list" allowBlank="1" showInputMessage="1" showErrorMessage="1" sqref="B344">
      <formula1>GroceryCategoryList</formula1>
    </dataValidation>
    <dataValidation type="list" allowBlank="1" showInputMessage="1" showErrorMessage="1" sqref="D344">
      <formula1>UnitList</formula1>
    </dataValidation>
    <dataValidation type="list" allowBlank="1" showInputMessage="1" showErrorMessage="1" sqref="F344">
      <formula1>StoreNames</formula1>
    </dataValidation>
    <dataValidation type="list" allowBlank="1" showInputMessage="1" showErrorMessage="1" sqref="G344">
      <formula1>YesNoList</formula1>
    </dataValidation>
    <dataValidation type="list" allowBlank="1" showInputMessage="1" showErrorMessage="1" sqref="B345">
      <formula1>GroceryCategoryList</formula1>
    </dataValidation>
    <dataValidation type="list" allowBlank="1" showInputMessage="1" showErrorMessage="1" sqref="D345">
      <formula1>UnitList</formula1>
    </dataValidation>
    <dataValidation type="list" allowBlank="1" showInputMessage="1" showErrorMessage="1" sqref="F345">
      <formula1>StoreNames</formula1>
    </dataValidation>
    <dataValidation type="list" allowBlank="1" showInputMessage="1" showErrorMessage="1" sqref="G345">
      <formula1>YesNoList</formula1>
    </dataValidation>
    <dataValidation type="list" allowBlank="1" showInputMessage="1" showErrorMessage="1" sqref="B346">
      <formula1>GroceryCategoryList</formula1>
    </dataValidation>
    <dataValidation type="list" allowBlank="1" showInputMessage="1" showErrorMessage="1" sqref="D346">
      <formula1>UnitList</formula1>
    </dataValidation>
    <dataValidation type="list" allowBlank="1" showInputMessage="1" showErrorMessage="1" sqref="F346">
      <formula1>StoreNames</formula1>
    </dataValidation>
    <dataValidation type="list" allowBlank="1" showInputMessage="1" showErrorMessage="1" sqref="G346">
      <formula1>YesNoList</formula1>
    </dataValidation>
    <dataValidation type="list" allowBlank="1" showInputMessage="1" showErrorMessage="1" sqref="B347">
      <formula1>GroceryCategoryList</formula1>
    </dataValidation>
    <dataValidation type="list" allowBlank="1" showInputMessage="1" showErrorMessage="1" sqref="D347">
      <formula1>UnitList</formula1>
    </dataValidation>
    <dataValidation type="list" allowBlank="1" showInputMessage="1" showErrorMessage="1" sqref="F347">
      <formula1>StoreNames</formula1>
    </dataValidation>
    <dataValidation type="list" allowBlank="1" showInputMessage="1" showErrorMessage="1" sqref="G347">
      <formula1>YesNoList</formula1>
    </dataValidation>
    <dataValidation type="list" allowBlank="1" showInputMessage="1" showErrorMessage="1" sqref="B348">
      <formula1>GroceryCategoryList</formula1>
    </dataValidation>
    <dataValidation type="list" allowBlank="1" showInputMessage="1" showErrorMessage="1" sqref="D348">
      <formula1>UnitList</formula1>
    </dataValidation>
    <dataValidation type="list" allowBlank="1" showInputMessage="1" showErrorMessage="1" sqref="F348">
      <formula1>StoreNames</formula1>
    </dataValidation>
    <dataValidation type="list" allowBlank="1" showInputMessage="1" showErrorMessage="1" sqref="G348">
      <formula1>YesNoList</formula1>
    </dataValidation>
    <dataValidation type="list" allowBlank="1" showInputMessage="1" showErrorMessage="1" sqref="B349">
      <formula1>GroceryCategoryList</formula1>
    </dataValidation>
    <dataValidation type="list" allowBlank="1" showInputMessage="1" showErrorMessage="1" sqref="D349">
      <formula1>UnitList</formula1>
    </dataValidation>
    <dataValidation type="list" allowBlank="1" showInputMessage="1" showErrorMessage="1" sqref="F349">
      <formula1>StoreNames</formula1>
    </dataValidation>
    <dataValidation type="list" allowBlank="1" showInputMessage="1" showErrorMessage="1" sqref="G349">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&amp;L&amp;"Calibri,Bold"&amp;12&amp;C&amp;"Calibri,Bold"&amp;11Grocery List&amp;R&amp;"Calibri,Italic"&amp;9Automated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4E8A63"/>
    <pageSetUpPr fitToPage="1"/>
  </sheetPr>
  <dimension ref="A1:Y31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24.7109375" style="32" customWidth="1"/>
    <col min="3" max="3" width="15.7109375" style="17" customWidth="1"/>
    <col min="4" max="4" width="14.7109375" style="32" customWidth="1"/>
    <col min="5" max="5" width="11.7109375" style="38" customWidth="1"/>
    <col min="6" max="6" width="10.7109375" style="32" customWidth="1"/>
    <col min="7" max="7" width="11.7109375" style="45" customWidth="1"/>
    <col min="8" max="8" width="9.7109375" style="17" hidden="1" customWidth="1"/>
    <col min="9" max="9" width="9.7109375" style="40" customWidth="1"/>
    <col min="10" max="10" width="11.7109375" style="15" customWidth="1"/>
    <col min="11" max="11" width="11.7109375" style="15" customWidth="1"/>
    <col min="12" max="12" width="9.7109375" style="18" hidden="1" customWidth="1"/>
    <col min="13" max="13" width="12.7109375" style="19" customWidth="1"/>
    <col min="14" max="14" width="9.7109375" style="18" customWidth="1"/>
    <col min="15" max="15" width="10.7109375" style="25" hidden="1" customWidth="1"/>
    <col min="16" max="16" width="11.7109375" style="25" customWidth="1"/>
    <col min="17" max="17" width="10.7109375" style="38" customWidth="1"/>
    <col min="18" max="18" width="11.7109375" style="45" hidden="1" customWidth="1"/>
    <col min="19" max="19" width="12.7109375" style="45" customWidth="1"/>
    <col min="20" max="20" width="9.7109375" style="40" customWidth="1"/>
    <col min="21" max="21" width="9.7109375" style="18" hidden="1" customWidth="1"/>
    <col min="22" max="22" width="9.7109375" style="18" hidden="1" customWidth="1"/>
    <col min="23" max="23" width="14.7109375" style="31" customWidth="1"/>
    <col min="24" max="24" width="28.7109375" style="31" customWidth="1"/>
    <col min="25" max="25" width="24.7109375" style="43" customWidth="1"/>
    <col min="1" max="1" width="15.7109375" customWidth="1"/>
    <col min="2" max="2" width="15.7109375" customWidth="1"/>
    <col min="3" max="3" width="11.7109375" customWidth="1"/>
    <col min="4" max="4" width="18.7109375" customWidth="1"/>
    <col min="5" max="5" width="12.7109375" customWidth="1"/>
    <col min="6" max="6" width="13.7109375" customWidth="1"/>
    <col min="7" max="7" width="18.7109375" customWidth="1"/>
  </cols>
  <sheetData>
    <row r="1" spans="1:25" ht="34" customHeight="1">
      <c r="A1" s="2" t="s">
        <v>1093</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1094</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1095</v>
      </c>
      <c r="T3" s="44"/>
      <c r="U3" s="44"/>
      <c r="V3" s="44"/>
      <c r="W3" s="44"/>
      <c r="X3" s="44"/>
      <c r="Y3" s="44"/>
    </row>
    <row r="4" spans="1:25" ht="30" customHeight="1">
      <c r="A4" s="8" t="s">
        <v>708</v>
      </c>
      <c r="B4" s="8" t="s">
        <v>870</v>
      </c>
      <c r="C4" s="9" t="s">
        <v>763</v>
      </c>
      <c r="D4" s="9" t="s">
        <v>1096</v>
      </c>
      <c r="E4" s="9" t="s">
        <v>1097</v>
      </c>
      <c r="F4" s="9" t="s">
        <v>664</v>
      </c>
      <c r="G4" s="9" t="s">
        <v>875</v>
      </c>
      <c r="H4" s="9" t="s">
        <v>666</v>
      </c>
      <c r="I4" s="9" t="s">
        <v>1098</v>
      </c>
      <c r="J4" s="9" t="s">
        <v>1099</v>
      </c>
      <c r="K4" s="9" t="s">
        <v>1100</v>
      </c>
      <c r="L4" s="9" t="s">
        <v>1101</v>
      </c>
      <c r="M4" s="9" t="s">
        <v>1102</v>
      </c>
      <c r="N4" s="9" t="s">
        <v>1103</v>
      </c>
      <c r="O4" s="9" t="s">
        <v>877</v>
      </c>
      <c r="P4" s="9" t="s">
        <v>1104</v>
      </c>
      <c r="Q4" s="9" t="s">
        <v>1105</v>
      </c>
      <c r="R4" s="9" t="s">
        <v>1106</v>
      </c>
      <c r="S4" s="9" t="s">
        <v>1107</v>
      </c>
      <c r="T4" s="9" t="s">
        <v>1108</v>
      </c>
      <c r="U4" s="9" t="s">
        <v>1109</v>
      </c>
      <c r="V4" s="9" t="s">
        <v>1110</v>
      </c>
      <c r="W4" s="9" t="s">
        <v>728</v>
      </c>
      <c r="X4" s="9" t="s">
        <v>13</v>
      </c>
      <c r="Y4" s="9" t="s">
        <v>730</v>
      </c>
    </row>
    <row r="5" spans="1:25">
      <c r="A5" s="39">
        <f>IF(B5="","",PantryPrefix&amp;TEXT(ROW()-4,"0000"))</f>
        <v>0</v>
      </c>
      <c r="B5" s="32" t="s">
        <v>923</v>
      </c>
      <c r="C5" s="17">
        <f>IF(B5="","",IFERROR(INDEX(Ingredients!$C$5:$C$304,MATCH(B5,Ingredients!$B$5:$B$304,0)),"Add to Ingredients"))</f>
        <v>0</v>
      </c>
      <c r="D5" s="32" t="s">
        <v>443</v>
      </c>
      <c r="E5" s="38">
        <v>1200</v>
      </c>
      <c r="F5" s="32" t="s">
        <v>668</v>
      </c>
      <c r="G5" s="45">
        <f>IF(E5="","",IFERROR(E5*INDEX(UnitFactors,MATCH(F5,UnitNames,0)),""))</f>
        <v>0</v>
      </c>
      <c r="H5" s="17">
        <f>IF(F5="","",IFERROR(INDEX(UnitBases,MATCH(F5,UnitNames,0)),"?"))</f>
        <v>0</v>
      </c>
      <c r="I5" s="40" t="s">
        <v>312</v>
      </c>
      <c r="J5" s="15">
        <v>46296</v>
      </c>
      <c r="K5" s="15">
        <v>46324</v>
      </c>
      <c r="L5" s="18">
        <f>IF(B5="","",IFERROR(INDEX(Ingredients!$Z$5:$Z$304,MATCH(B5,Ingredients!$B$5:$B$304,0)),"Add to Ingredients"))</f>
        <v>0</v>
      </c>
      <c r="M5" s="19">
        <f>IF(K5&lt;&gt;"",K5,IF(OR(J5="",L5="",NOT(ISNUMBER(L5))),"",J5+L5))</f>
        <v>0</v>
      </c>
      <c r="N5" s="18">
        <f>IF(M5="","",M5-TODAY())</f>
        <v>0</v>
      </c>
      <c r="O5" s="25">
        <f>IF(B5="","",IFERROR(INDEX(Ingredients!$J$5:$J$304,MATCH(B5,Ingredients!$B$5:$B$304,0)),"Add to Ingredients"))</f>
        <v>0</v>
      </c>
      <c r="P5" s="25">
        <f>IF(OR(G5="",O5="",NOT(ISNUMBER(O5))),"",G5*O5)</f>
        <v>0</v>
      </c>
      <c r="Q5" s="38">
        <v>300</v>
      </c>
      <c r="R5" s="45">
        <f>IF(B5="","",IFERROR(INDEX(Ingredients!$AG$5:$AG$304,MATCH(B5,Ingredients!$B$5:$B$304,0)),0))</f>
        <v>0</v>
      </c>
      <c r="S5" s="45">
        <f>IF(G5="","",G5-IF(R5="",0,R5))</f>
        <v>0</v>
      </c>
      <c r="T5" s="40" t="s">
        <v>311</v>
      </c>
      <c r="U5" s="18">
        <f>IF(OR(B5="",D5&lt;&gt;"Fridge",NOT(ISNUMBER(N5))),"",COUNTIFS($D$5:$D$304,"Fridge",$N$5:$N$304,"&lt;"&amp;N5)+COUNTIFS($D$5:D5,"Fridge",$N$5:N5,N5))</f>
        <v>0</v>
      </c>
      <c r="V5" s="18">
        <f>IF(OR(B5="",D5&lt;&gt;"Freezer",NOT(ISNUMBER(N5))),"",COUNTIFS($D$5:$D$304,"Freezer",$N$5:$N$304,"&lt;"&amp;N5)+COUNTIFS($D$5:D5,"Freezer",$N$5:N5,N5))</f>
        <v>0</v>
      </c>
      <c r="W5" s="31">
        <f>IF(B5="","",IF(G5=0,"Out of stock",IF(AND(N5&lt;&gt;"",N5&lt;0),"Expired",IF(AND(N5&lt;&gt;"",N5&lt;=ExpiryWarningDays),"Use soon",IF(AND(Q5&lt;&gt;"",G5&lt;Q5),"Low stock","In stock")))))</f>
        <v>0</v>
      </c>
      <c r="X5" s="31">
        <f>IF(B5="","",IF(W5="Expired","Expired - bin it and log it on the Food Waste tab",IF(W5="Use soon","Use soon - plan a meal with it",IF(W5="Out of stock",IF(T5="Yes","Missing - staple has run out","Add - restock when convenient"),IF(W5="Low stock","Check - running low",IF(S5&lt;0,"Check - the plan needs more than you have","OK"))))))</f>
        <v>0</v>
      </c>
      <c r="Y5" s="43" t="s">
        <v>157</v>
      </c>
    </row>
    <row r="6" spans="1:25">
      <c r="A6" s="39">
        <f>IF(B6="","",PantryPrefix&amp;TEXT(ROW()-4,"0000"))</f>
        <v>0</v>
      </c>
      <c r="B6" s="32" t="s">
        <v>906</v>
      </c>
      <c r="C6" s="17">
        <f>IF(B6="","",IFERROR(INDEX(Ingredients!$C$5:$C$304,MATCH(B6,Ingredients!$B$5:$B$304,0)),"Add to Ingredients"))</f>
        <v>0</v>
      </c>
      <c r="D6" s="32" t="s">
        <v>443</v>
      </c>
      <c r="E6" s="38">
        <v>700</v>
      </c>
      <c r="F6" s="32" t="s">
        <v>668</v>
      </c>
      <c r="G6" s="45">
        <f>IF(E6="","",IFERROR(E6*INDEX(UnitFactors,MATCH(F6,UnitNames,0)),""))</f>
        <v>0</v>
      </c>
      <c r="H6" s="17">
        <f>IF(F6="","",IFERROR(INDEX(UnitBases,MATCH(F6,UnitNames,0)),"?"))</f>
        <v>0</v>
      </c>
      <c r="I6" s="40" t="s">
        <v>311</v>
      </c>
      <c r="J6" s="15">
        <v>46303</v>
      </c>
      <c r="K6" s="15">
        <v>46331</v>
      </c>
      <c r="L6" s="18">
        <f>IF(B6="","",IFERROR(INDEX(Ingredients!$Z$5:$Z$304,MATCH(B6,Ingredients!$B$5:$B$304,0)),"Add to Ingredients"))</f>
        <v>0</v>
      </c>
      <c r="M6" s="19">
        <f>IF(K6&lt;&gt;"",K6,IF(OR(J6="",L6="",NOT(ISNUMBER(L6))),"",J6+L6))</f>
        <v>0</v>
      </c>
      <c r="N6" s="18">
        <f>IF(M6="","",M6-TODAY())</f>
        <v>0</v>
      </c>
      <c r="O6" s="25">
        <f>IF(B6="","",IFERROR(INDEX(Ingredients!$J$5:$J$304,MATCH(B6,Ingredients!$B$5:$B$304,0)),"Add to Ingredients"))</f>
        <v>0</v>
      </c>
      <c r="P6" s="25">
        <f>IF(OR(G6="",O6="",NOT(ISNUMBER(O6))),"",G6*O6)</f>
        <v>0</v>
      </c>
      <c r="Q6" s="38">
        <v>400</v>
      </c>
      <c r="R6" s="45">
        <f>IF(B6="","",IFERROR(INDEX(Ingredients!$AG$5:$AG$304,MATCH(B6,Ingredients!$B$5:$B$304,0)),0))</f>
        <v>0</v>
      </c>
      <c r="S6" s="45">
        <f>IF(G6="","",G6-IF(R6="",0,R6))</f>
        <v>0</v>
      </c>
      <c r="T6" s="40" t="s">
        <v>311</v>
      </c>
      <c r="U6" s="18">
        <f>IF(OR(B6="",D6&lt;&gt;"Fridge",NOT(ISNUMBER(N6))),"",COUNTIFS($D$5:$D$304,"Fridge",$N$5:$N$304,"&lt;"&amp;N6)+COUNTIFS($D$5:D6,"Fridge",$N$5:N6,N6))</f>
        <v>0</v>
      </c>
      <c r="V6" s="18">
        <f>IF(OR(B6="",D6&lt;&gt;"Freezer",NOT(ISNUMBER(N6))),"",COUNTIFS($D$5:$D$304,"Freezer",$N$5:$N$304,"&lt;"&amp;N6)+COUNTIFS($D$5:D6,"Freezer",$N$5:N6,N6))</f>
        <v>0</v>
      </c>
      <c r="W6" s="31">
        <f>IF(B6="","",IF(G6=0,"Out of stock",IF(AND(N6&lt;&gt;"",N6&lt;0),"Expired",IF(AND(N6&lt;&gt;"",N6&lt;=ExpiryWarningDays),"Use soon",IF(AND(Q6&lt;&gt;"",G6&lt;Q6),"Low stock","In stock")))))</f>
        <v>0</v>
      </c>
      <c r="X6" s="31">
        <f>IF(B6="","",IF(W6="Expired","Expired - bin it and log it on the Food Waste tab",IF(W6="Use soon","Use soon - plan a meal with it",IF(W6="Out of stock",IF(T6="Yes","Missing - staple has run out","Add - restock when convenient"),IF(W6="Low stock","Check - running low",IF(S6&lt;0,"Check - the plan needs more than you have","OK"))))))</f>
        <v>0</v>
      </c>
      <c r="Y6" s="43" t="s">
        <v>157</v>
      </c>
    </row>
    <row r="7" spans="1:25">
      <c r="A7" s="39">
        <f>IF(B7="","",PantryPrefix&amp;TEXT(ROW()-4,"0000"))</f>
        <v>0</v>
      </c>
      <c r="B7" s="32" t="s">
        <v>905</v>
      </c>
      <c r="C7" s="17">
        <f>IF(B7="","",IFERROR(INDEX(Ingredients!$C$5:$C$304,MATCH(B7,Ingredients!$B$5:$B$304,0)),"Add to Ingredients"))</f>
        <v>0</v>
      </c>
      <c r="D7" s="32" t="s">
        <v>443</v>
      </c>
      <c r="E7" s="38">
        <v>1600</v>
      </c>
      <c r="F7" s="32" t="s">
        <v>668</v>
      </c>
      <c r="G7" s="45">
        <f>IF(E7="","",IFERROR(E7*INDEX(UnitFactors,MATCH(F7,UnitNames,0)),""))</f>
        <v>0</v>
      </c>
      <c r="H7" s="17">
        <f>IF(F7="","",IFERROR(INDEX(UnitBases,MATCH(F7,UnitNames,0)),"?"))</f>
        <v>0</v>
      </c>
      <c r="I7" s="40" t="s">
        <v>312</v>
      </c>
      <c r="J7" s="15">
        <v>46298</v>
      </c>
      <c r="L7" s="18">
        <f>IF(B7="","",IFERROR(INDEX(Ingredients!$Z$5:$Z$304,MATCH(B7,Ingredients!$B$5:$B$304,0)),"Add to Ingredients"))</f>
        <v>0</v>
      </c>
      <c r="M7" s="19">
        <f>IF(K7&lt;&gt;"",K7,IF(OR(J7="",L7="",NOT(ISNUMBER(L7))),"",J7+L7))</f>
        <v>0</v>
      </c>
      <c r="N7" s="18">
        <f>IF(M7="","",M7-TODAY())</f>
        <v>0</v>
      </c>
      <c r="O7" s="25">
        <f>IF(B7="","",IFERROR(INDEX(Ingredients!$J$5:$J$304,MATCH(B7,Ingredients!$B$5:$B$304,0)),"Add to Ingredients"))</f>
        <v>0</v>
      </c>
      <c r="P7" s="25">
        <f>IF(OR(G7="",O7="",NOT(ISNUMBER(O7))),"",G7*O7)</f>
        <v>0</v>
      </c>
      <c r="Q7" s="38">
        <v>800</v>
      </c>
      <c r="R7" s="45">
        <f>IF(B7="","",IFERROR(INDEX(Ingredients!$AG$5:$AG$304,MATCH(B7,Ingredients!$B$5:$B$304,0)),0))</f>
        <v>0</v>
      </c>
      <c r="S7" s="45">
        <f>IF(G7="","",G7-IF(R7="",0,R7))</f>
        <v>0</v>
      </c>
      <c r="T7" s="40" t="s">
        <v>311</v>
      </c>
      <c r="U7" s="18">
        <f>IF(OR(B7="",D7&lt;&gt;"Fridge",NOT(ISNUMBER(N7))),"",COUNTIFS($D$5:$D$304,"Fridge",$N$5:$N$304,"&lt;"&amp;N7)+COUNTIFS($D$5:D7,"Fridge",$N$5:N7,N7))</f>
        <v>0</v>
      </c>
      <c r="V7" s="18">
        <f>IF(OR(B7="",D7&lt;&gt;"Freezer",NOT(ISNUMBER(N7))),"",COUNTIFS($D$5:$D$304,"Freezer",$N$5:$N$304,"&lt;"&amp;N7)+COUNTIFS($D$5:D7,"Freezer",$N$5:N7,N7))</f>
        <v>0</v>
      </c>
      <c r="W7" s="31">
        <f>IF(B7="","",IF(G7=0,"Out of stock",IF(AND(N7&lt;&gt;"",N7&lt;0),"Expired",IF(AND(N7&lt;&gt;"",N7&lt;=ExpiryWarningDays),"Use soon",IF(AND(Q7&lt;&gt;"",G7&lt;Q7),"Low stock","In stock")))))</f>
        <v>0</v>
      </c>
      <c r="X7" s="31">
        <f>IF(B7="","",IF(W7="Expired","Expired - bin it and log it on the Food Waste tab",IF(W7="Use soon","Use soon - plan a meal with it",IF(W7="Out of stock",IF(T7="Yes","Missing - staple has run out","Add - restock when convenient"),IF(W7="Low stock","Check - running low",IF(S7&lt;0,"Check - the plan needs more than you have","OK"))))))</f>
        <v>0</v>
      </c>
      <c r="Y7" s="43" t="s">
        <v>157</v>
      </c>
    </row>
    <row r="8" spans="1:25">
      <c r="A8" s="39">
        <f>IF(B8="","",PantryPrefix&amp;TEXT(ROW()-4,"0000"))</f>
        <v>0</v>
      </c>
      <c r="B8" s="32" t="s">
        <v>921</v>
      </c>
      <c r="C8" s="17">
        <f>IF(B8="","",IFERROR(INDEX(Ingredients!$C$5:$C$304,MATCH(B8,Ingredients!$B$5:$B$304,0)),"Add to Ingredients"))</f>
        <v>0</v>
      </c>
      <c r="D8" s="32" t="s">
        <v>443</v>
      </c>
      <c r="E8" s="38">
        <v>1200</v>
      </c>
      <c r="F8" s="32" t="s">
        <v>668</v>
      </c>
      <c r="G8" s="45">
        <f>IF(E8="","",IFERROR(E8*INDEX(UnitFactors,MATCH(F8,UnitNames,0)),""))</f>
        <v>0</v>
      </c>
      <c r="H8" s="17">
        <f>IF(F8="","",IFERROR(INDEX(UnitBases,MATCH(F8,UnitNames,0)),"?"))</f>
        <v>0</v>
      </c>
      <c r="I8" s="40" t="s">
        <v>312</v>
      </c>
      <c r="J8" s="15">
        <v>46295</v>
      </c>
      <c r="L8" s="18">
        <f>IF(B8="","",IFERROR(INDEX(Ingredients!$Z$5:$Z$304,MATCH(B8,Ingredients!$B$5:$B$304,0)),"Add to Ingredients"))</f>
        <v>0</v>
      </c>
      <c r="M8" s="19">
        <f>IF(K8&lt;&gt;"",K8,IF(OR(J8="",L8="",NOT(ISNUMBER(L8))),"",J8+L8))</f>
        <v>0</v>
      </c>
      <c r="N8" s="18">
        <f>IF(M8="","",M8-TODAY())</f>
        <v>0</v>
      </c>
      <c r="O8" s="25">
        <f>IF(B8="","",IFERROR(INDEX(Ingredients!$J$5:$J$304,MATCH(B8,Ingredients!$B$5:$B$304,0)),"Add to Ingredients"))</f>
        <v>0</v>
      </c>
      <c r="P8" s="25">
        <f>IF(OR(G8="",O8="",NOT(ISNUMBER(O8))),"",G8*O8)</f>
        <v>0</v>
      </c>
      <c r="Q8" s="38">
        <v>400</v>
      </c>
      <c r="R8" s="45">
        <f>IF(B8="","",IFERROR(INDEX(Ingredients!$AG$5:$AG$304,MATCH(B8,Ingredients!$B$5:$B$304,0)),0))</f>
        <v>0</v>
      </c>
      <c r="S8" s="45">
        <f>IF(G8="","",G8-IF(R8="",0,R8))</f>
        <v>0</v>
      </c>
      <c r="T8" s="40" t="s">
        <v>311</v>
      </c>
      <c r="U8" s="18">
        <f>IF(OR(B8="",D8&lt;&gt;"Fridge",NOT(ISNUMBER(N8))),"",COUNTIFS($D$5:$D$304,"Fridge",$N$5:$N$304,"&lt;"&amp;N8)+COUNTIFS($D$5:D8,"Fridge",$N$5:N8,N8))</f>
        <v>0</v>
      </c>
      <c r="V8" s="18">
        <f>IF(OR(B8="",D8&lt;&gt;"Freezer",NOT(ISNUMBER(N8))),"",COUNTIFS($D$5:$D$304,"Freezer",$N$5:$N$304,"&lt;"&amp;N8)+COUNTIFS($D$5:D8,"Freezer",$N$5:N8,N8))</f>
        <v>0</v>
      </c>
      <c r="W8" s="31">
        <f>IF(B8="","",IF(G8=0,"Out of stock",IF(AND(N8&lt;&gt;"",N8&lt;0),"Expired",IF(AND(N8&lt;&gt;"",N8&lt;=ExpiryWarningDays),"Use soon",IF(AND(Q8&lt;&gt;"",G8&lt;Q8),"Low stock","In stock")))))</f>
        <v>0</v>
      </c>
      <c r="X8" s="31">
        <f>IF(B8="","",IF(W8="Expired","Expired - bin it and log it on the Food Waste tab",IF(W8="Use soon","Use soon - plan a meal with it",IF(W8="Out of stock",IF(T8="Yes","Missing - staple has run out","Add - restock when convenient"),IF(W8="Low stock","Check - running low",IF(S8&lt;0,"Check - the plan needs more than you have","OK"))))))</f>
        <v>0</v>
      </c>
      <c r="Y8" s="43" t="s">
        <v>157</v>
      </c>
    </row>
    <row r="9" spans="1:25">
      <c r="A9" s="39">
        <f>IF(B9="","",PantryPrefix&amp;TEXT(ROW()-4,"0000"))</f>
        <v>0</v>
      </c>
      <c r="B9" s="32" t="s">
        <v>909</v>
      </c>
      <c r="C9" s="17">
        <f>IF(B9="","",IFERROR(INDEX(Ingredients!$C$5:$C$304,MATCH(B9,Ingredients!$B$5:$B$304,0)),"Add to Ingredients"))</f>
        <v>0</v>
      </c>
      <c r="D9" s="32" t="s">
        <v>443</v>
      </c>
      <c r="E9" s="38">
        <v>400</v>
      </c>
      <c r="F9" s="32" t="s">
        <v>668</v>
      </c>
      <c r="G9" s="45">
        <f>IF(E9="","",IFERROR(E9*INDEX(UnitFactors,MATCH(F9,UnitNames,0)),""))</f>
        <v>0</v>
      </c>
      <c r="H9" s="17">
        <f>IF(F9="","",IFERROR(INDEX(UnitBases,MATCH(F9,UnitNames,0)),"?"))</f>
        <v>0</v>
      </c>
      <c r="I9" s="40" t="s">
        <v>311</v>
      </c>
      <c r="J9" s="15">
        <v>46295</v>
      </c>
      <c r="L9" s="18">
        <f>IF(B9="","",IFERROR(INDEX(Ingredients!$Z$5:$Z$304,MATCH(B9,Ingredients!$B$5:$B$304,0)),"Add to Ingredients"))</f>
        <v>0</v>
      </c>
      <c r="M9" s="19">
        <f>IF(K9&lt;&gt;"",K9,IF(OR(J9="",L9="",NOT(ISNUMBER(L9))),"",J9+L9))</f>
        <v>0</v>
      </c>
      <c r="N9" s="18">
        <f>IF(M9="","",M9-TODAY())</f>
        <v>0</v>
      </c>
      <c r="O9" s="25">
        <f>IF(B9="","",IFERROR(INDEX(Ingredients!$J$5:$J$304,MATCH(B9,Ingredients!$B$5:$B$304,0)),"Add to Ingredients"))</f>
        <v>0</v>
      </c>
      <c r="P9" s="25">
        <f>IF(OR(G9="",O9="",NOT(ISNUMBER(O9))),"",G9*O9)</f>
        <v>0</v>
      </c>
      <c r="Q9" s="38">
        <v>250</v>
      </c>
      <c r="R9" s="45">
        <f>IF(B9="","",IFERROR(INDEX(Ingredients!$AG$5:$AG$304,MATCH(B9,Ingredients!$B$5:$B$304,0)),0))</f>
        <v>0</v>
      </c>
      <c r="S9" s="45">
        <f>IF(G9="","",G9-IF(R9="",0,R9))</f>
        <v>0</v>
      </c>
      <c r="T9" s="40" t="s">
        <v>311</v>
      </c>
      <c r="U9" s="18">
        <f>IF(OR(B9="",D9&lt;&gt;"Fridge",NOT(ISNUMBER(N9))),"",COUNTIFS($D$5:$D$304,"Fridge",$N$5:$N$304,"&lt;"&amp;N9)+COUNTIFS($D$5:D9,"Fridge",$N$5:N9,N9))</f>
        <v>0</v>
      </c>
      <c r="V9" s="18">
        <f>IF(OR(B9="",D9&lt;&gt;"Freezer",NOT(ISNUMBER(N9))),"",COUNTIFS($D$5:$D$304,"Freezer",$N$5:$N$304,"&lt;"&amp;N9)+COUNTIFS($D$5:D9,"Freezer",$N$5:N9,N9))</f>
        <v>0</v>
      </c>
      <c r="W9" s="31">
        <f>IF(B9="","",IF(G9=0,"Out of stock",IF(AND(N9&lt;&gt;"",N9&lt;0),"Expired",IF(AND(N9&lt;&gt;"",N9&lt;=ExpiryWarningDays),"Use soon",IF(AND(Q9&lt;&gt;"",G9&lt;Q9),"Low stock","In stock")))))</f>
        <v>0</v>
      </c>
      <c r="X9" s="31">
        <f>IF(B9="","",IF(W9="Expired","Expired - bin it and log it on the Food Waste tab",IF(W9="Use soon","Use soon - plan a meal with it",IF(W9="Out of stock",IF(T9="Yes","Missing - staple has run out","Add - restock when convenient"),IF(W9="Low stock","Check - running low",IF(S9&lt;0,"Check - the plan needs more than you have","OK"))))))</f>
        <v>0</v>
      </c>
      <c r="Y9" s="43" t="s">
        <v>157</v>
      </c>
    </row>
    <row r="10" spans="1:25">
      <c r="A10" s="39">
        <f>IF(B10="","",PantryPrefix&amp;TEXT(ROW()-4,"0000"))</f>
        <v>0</v>
      </c>
      <c r="B10" s="32" t="s">
        <v>896</v>
      </c>
      <c r="C10" s="17">
        <f>IF(B10="","",IFERROR(INDEX(Ingredients!$C$5:$C$304,MATCH(B10,Ingredients!$B$5:$B$304,0)),"Add to Ingredients"))</f>
        <v>0</v>
      </c>
      <c r="D10" s="32" t="s">
        <v>443</v>
      </c>
      <c r="E10" s="38">
        <v>300</v>
      </c>
      <c r="F10" s="32" t="s">
        <v>674</v>
      </c>
      <c r="G10" s="45">
        <f>IF(E10="","",IFERROR(E10*INDEX(UnitFactors,MATCH(F10,UnitNames,0)),""))</f>
        <v>0</v>
      </c>
      <c r="H10" s="17">
        <f>IF(F10="","",IFERROR(INDEX(UnitBases,MATCH(F10,UnitNames,0)),"?"))</f>
        <v>0</v>
      </c>
      <c r="I10" s="40" t="s">
        <v>311</v>
      </c>
      <c r="J10" s="15">
        <v>46296</v>
      </c>
      <c r="L10" s="18">
        <f>IF(B10="","",IFERROR(INDEX(Ingredients!$Z$5:$Z$304,MATCH(B10,Ingredients!$B$5:$B$304,0)),"Add to Ingredients"))</f>
        <v>0</v>
      </c>
      <c r="M10" s="19">
        <f>IF(K10&lt;&gt;"",K10,IF(OR(J10="",L10="",NOT(ISNUMBER(L10))),"",J10+L10))</f>
        <v>0</v>
      </c>
      <c r="N10" s="18">
        <f>IF(M10="","",M10-TODAY())</f>
        <v>0</v>
      </c>
      <c r="O10" s="25">
        <f>IF(B10="","",IFERROR(INDEX(Ingredients!$J$5:$J$304,MATCH(B10,Ingredients!$B$5:$B$304,0)),"Add to Ingredients"))</f>
        <v>0</v>
      </c>
      <c r="P10" s="25">
        <f>IF(OR(G10="",O10="",NOT(ISNUMBER(O10))),"",G10*O10)</f>
        <v>0</v>
      </c>
      <c r="Q10" s="38">
        <v>250</v>
      </c>
      <c r="R10" s="45">
        <f>IF(B10="","",IFERROR(INDEX(Ingredients!$AG$5:$AG$304,MATCH(B10,Ingredients!$B$5:$B$304,0)),0))</f>
        <v>0</v>
      </c>
      <c r="S10" s="45">
        <f>IF(G10="","",G10-IF(R10="",0,R10))</f>
        <v>0</v>
      </c>
      <c r="T10" s="40" t="s">
        <v>311</v>
      </c>
      <c r="U10" s="18">
        <f>IF(OR(B10="",D10&lt;&gt;"Fridge",NOT(ISNUMBER(N10))),"",COUNTIFS($D$5:$D$304,"Fridge",$N$5:$N$304,"&lt;"&amp;N10)+COUNTIFS($D$5:D10,"Fridge",$N$5:N10,N10))</f>
        <v>0</v>
      </c>
      <c r="V10" s="18">
        <f>IF(OR(B10="",D10&lt;&gt;"Freezer",NOT(ISNUMBER(N10))),"",COUNTIFS($D$5:$D$304,"Freezer",$N$5:$N$304,"&lt;"&amp;N10)+COUNTIFS($D$5:D10,"Freezer",$N$5:N10,N10))</f>
        <v>0</v>
      </c>
      <c r="W10" s="31">
        <f>IF(B10="","",IF(G10=0,"Out of stock",IF(AND(N10&lt;&gt;"",N10&lt;0),"Expired",IF(AND(N10&lt;&gt;"",N10&lt;=ExpiryWarningDays),"Use soon",IF(AND(Q10&lt;&gt;"",G10&lt;Q10),"Low stock","In stock")))))</f>
        <v>0</v>
      </c>
      <c r="X10" s="31">
        <f>IF(B10="","",IF(W10="Expired","Expired - bin it and log it on the Food Waste tab",IF(W10="Use soon","Use soon - plan a meal with it",IF(W10="Out of stock",IF(T10="Yes","Missing - staple has run out","Add - restock when convenient"),IF(W10="Low stock","Check - running low",IF(S10&lt;0,"Check - the plan needs more than you have","OK"))))))</f>
        <v>0</v>
      </c>
      <c r="Y10" s="43" t="s">
        <v>157</v>
      </c>
    </row>
    <row r="11" spans="1:25">
      <c r="A11" s="39">
        <f>IF(B11="","",PantryPrefix&amp;TEXT(ROW()-4,"0000"))</f>
        <v>0</v>
      </c>
      <c r="B11" s="32" t="s">
        <v>936</v>
      </c>
      <c r="C11" s="17">
        <f>IF(B11="","",IFERROR(INDEX(Ingredients!$C$5:$C$304,MATCH(B11,Ingredients!$B$5:$B$304,0)),"Add to Ingredients"))</f>
        <v>0</v>
      </c>
      <c r="D11" s="32" t="s">
        <v>443</v>
      </c>
      <c r="E11" s="38">
        <v>7</v>
      </c>
      <c r="F11" s="32" t="s">
        <v>685</v>
      </c>
      <c r="G11" s="45">
        <f>IF(E11="","",IFERROR(E11*INDEX(UnitFactors,MATCH(F11,UnitNames,0)),""))</f>
        <v>0</v>
      </c>
      <c r="H11" s="17">
        <f>IF(F11="","",IFERROR(INDEX(UnitBases,MATCH(F11,UnitNames,0)),"?"))</f>
        <v>0</v>
      </c>
      <c r="I11" s="40" t="s">
        <v>311</v>
      </c>
      <c r="J11" s="15">
        <v>46304</v>
      </c>
      <c r="L11" s="18">
        <f>IF(B11="","",IFERROR(INDEX(Ingredients!$Z$5:$Z$304,MATCH(B11,Ingredients!$B$5:$B$304,0)),"Add to Ingredients"))</f>
        <v>0</v>
      </c>
      <c r="M11" s="19">
        <f>IF(K11&lt;&gt;"",K11,IF(OR(J11="",L11="",NOT(ISNUMBER(L11))),"",J11+L11))</f>
        <v>0</v>
      </c>
      <c r="N11" s="18">
        <f>IF(M11="","",M11-TODAY())</f>
        <v>0</v>
      </c>
      <c r="O11" s="25">
        <f>IF(B11="","",IFERROR(INDEX(Ingredients!$J$5:$J$304,MATCH(B11,Ingredients!$B$5:$B$304,0)),"Add to Ingredients"))</f>
        <v>0</v>
      </c>
      <c r="P11" s="25">
        <f>IF(OR(G11="",O11="",NOT(ISNUMBER(O11))),"",G11*O11)</f>
        <v>0</v>
      </c>
      <c r="Q11" s="38">
        <v>6</v>
      </c>
      <c r="R11" s="45">
        <f>IF(B11="","",IFERROR(INDEX(Ingredients!$AG$5:$AG$304,MATCH(B11,Ingredients!$B$5:$B$304,0)),0))</f>
        <v>0</v>
      </c>
      <c r="S11" s="45">
        <f>IF(G11="","",G11-IF(R11="",0,R11))</f>
        <v>0</v>
      </c>
      <c r="T11" s="40" t="s">
        <v>311</v>
      </c>
      <c r="U11" s="18">
        <f>IF(OR(B11="",D11&lt;&gt;"Fridge",NOT(ISNUMBER(N11))),"",COUNTIFS($D$5:$D$304,"Fridge",$N$5:$N$304,"&lt;"&amp;N11)+COUNTIFS($D$5:D11,"Fridge",$N$5:N11,N11))</f>
        <v>0</v>
      </c>
      <c r="V11" s="18">
        <f>IF(OR(B11="",D11&lt;&gt;"Freezer",NOT(ISNUMBER(N11))),"",COUNTIFS($D$5:$D$304,"Freezer",$N$5:$N$304,"&lt;"&amp;N11)+COUNTIFS($D$5:D11,"Freezer",$N$5:N11,N11))</f>
        <v>0</v>
      </c>
      <c r="W11" s="31">
        <f>IF(B11="","",IF(G11=0,"Out of stock",IF(AND(N11&lt;&gt;"",N11&lt;0),"Expired",IF(AND(N11&lt;&gt;"",N11&lt;=ExpiryWarningDays),"Use soon",IF(AND(Q11&lt;&gt;"",G11&lt;Q11),"Low stock","In stock")))))</f>
        <v>0</v>
      </c>
      <c r="X11" s="31">
        <f>IF(B11="","",IF(W11="Expired","Expired - bin it and log it on the Food Waste tab",IF(W11="Use soon","Use soon - plan a meal with it",IF(W11="Out of stock",IF(T11="Yes","Missing - staple has run out","Add - restock when convenient"),IF(W11="Low stock","Check - running low",IF(S11&lt;0,"Check - the plan needs more than you have","OK"))))))</f>
        <v>0</v>
      </c>
      <c r="Y11" s="43" t="s">
        <v>157</v>
      </c>
    </row>
    <row r="12" spans="1:25">
      <c r="A12" s="39">
        <f>IF(B12="","",PantryPrefix&amp;TEXT(ROW()-4,"0000"))</f>
        <v>0</v>
      </c>
      <c r="B12" s="32" t="s">
        <v>897</v>
      </c>
      <c r="C12" s="17">
        <f>IF(B12="","",IFERROR(INDEX(Ingredients!$C$5:$C$304,MATCH(B12,Ingredients!$B$5:$B$304,0)),"Add to Ingredients"))</f>
        <v>0</v>
      </c>
      <c r="D12" s="32" t="s">
        <v>447</v>
      </c>
      <c r="E12" s="38">
        <v>30</v>
      </c>
      <c r="F12" s="32" t="s">
        <v>668</v>
      </c>
      <c r="G12" s="45">
        <f>IF(E12="","",IFERROR(E12*INDEX(UnitFactors,MATCH(F12,UnitNames,0)),""))</f>
        <v>0</v>
      </c>
      <c r="H12" s="17">
        <f>IF(F12="","",IFERROR(INDEX(UnitBases,MATCH(F12,UnitNames,0)),"?"))</f>
        <v>0</v>
      </c>
      <c r="I12" s="40" t="s">
        <v>311</v>
      </c>
      <c r="J12" s="15">
        <v>46298</v>
      </c>
      <c r="L12" s="18">
        <f>IF(B12="","",IFERROR(INDEX(Ingredients!$Z$5:$Z$304,MATCH(B12,Ingredients!$B$5:$B$304,0)),"Add to Ingredients"))</f>
        <v>0</v>
      </c>
      <c r="M12" s="19">
        <f>IF(K12&lt;&gt;"",K12,IF(OR(J12="",L12="",NOT(ISNUMBER(L12))),"",J12+L12))</f>
        <v>0</v>
      </c>
      <c r="N12" s="18">
        <f>IF(M12="","",M12-TODAY())</f>
        <v>0</v>
      </c>
      <c r="O12" s="25">
        <f>IF(B12="","",IFERROR(INDEX(Ingredients!$J$5:$J$304,MATCH(B12,Ingredients!$B$5:$B$304,0)),"Add to Ingredients"))</f>
        <v>0</v>
      </c>
      <c r="P12" s="25">
        <f>IF(OR(G12="",O12="",NOT(ISNUMBER(O12))),"",G12*O12)</f>
        <v>0</v>
      </c>
      <c r="Q12" s="38">
        <v>20</v>
      </c>
      <c r="R12" s="45">
        <f>IF(B12="","",IFERROR(INDEX(Ingredients!$AG$5:$AG$304,MATCH(B12,Ingredients!$B$5:$B$304,0)),0))</f>
        <v>0</v>
      </c>
      <c r="S12" s="45">
        <f>IF(G12="","",G12-IF(R12="",0,R12))</f>
        <v>0</v>
      </c>
      <c r="T12" s="40" t="s">
        <v>311</v>
      </c>
      <c r="U12" s="18">
        <f>IF(OR(B12="",D12&lt;&gt;"Fridge",NOT(ISNUMBER(N12))),"",COUNTIFS($D$5:$D$304,"Fridge",$N$5:$N$304,"&lt;"&amp;N12)+COUNTIFS($D$5:D12,"Fridge",$N$5:N12,N12))</f>
        <v>0</v>
      </c>
      <c r="V12" s="18">
        <f>IF(OR(B12="",D12&lt;&gt;"Freezer",NOT(ISNUMBER(N12))),"",COUNTIFS($D$5:$D$304,"Freezer",$N$5:$N$304,"&lt;"&amp;N12)+COUNTIFS($D$5:D12,"Freezer",$N$5:N12,N12))</f>
        <v>0</v>
      </c>
      <c r="W12" s="31">
        <f>IF(B12="","",IF(G12=0,"Out of stock",IF(AND(N12&lt;&gt;"",N12&lt;0),"Expired",IF(AND(N12&lt;&gt;"",N12&lt;=ExpiryWarningDays),"Use soon",IF(AND(Q12&lt;&gt;"",G12&lt;Q12),"Low stock","In stock")))))</f>
        <v>0</v>
      </c>
      <c r="X12" s="31">
        <f>IF(B12="","",IF(W12="Expired","Expired - bin it and log it on the Food Waste tab",IF(W12="Use soon","Use soon - plan a meal with it",IF(W12="Out of stock",IF(T12="Yes","Missing - staple has run out","Add - restock when convenient"),IF(W12="Low stock","Check - running low",IF(S12&lt;0,"Check - the plan needs more than you have","OK"))))))</f>
        <v>0</v>
      </c>
      <c r="Y12" s="43" t="s">
        <v>157</v>
      </c>
    </row>
    <row r="13" spans="1:25">
      <c r="A13" s="39">
        <f>IF(B13="","",PantryPrefix&amp;TEXT(ROW()-4,"0000"))</f>
        <v>0</v>
      </c>
      <c r="B13" s="32" t="s">
        <v>932</v>
      </c>
      <c r="C13" s="17">
        <f>IF(B13="","",IFERROR(INDEX(Ingredients!$C$5:$C$304,MATCH(B13,Ingredients!$B$5:$B$304,0)),"Add to Ingredients"))</f>
        <v>0</v>
      </c>
      <c r="D13" s="32" t="s">
        <v>447</v>
      </c>
      <c r="E13" s="38">
        <v>12</v>
      </c>
      <c r="F13" s="32" t="s">
        <v>668</v>
      </c>
      <c r="G13" s="45">
        <f>IF(E13="","",IFERROR(E13*INDEX(UnitFactors,MATCH(F13,UnitNames,0)),""))</f>
        <v>0</v>
      </c>
      <c r="H13" s="17">
        <f>IF(F13="","",IFERROR(INDEX(UnitBases,MATCH(F13,UnitNames,0)),"?"))</f>
        <v>0</v>
      </c>
      <c r="I13" s="40" t="s">
        <v>311</v>
      </c>
      <c r="J13" s="15">
        <v>46304</v>
      </c>
      <c r="L13" s="18">
        <f>IF(B13="","",IFERROR(INDEX(Ingredients!$Z$5:$Z$304,MATCH(B13,Ingredients!$B$5:$B$304,0)),"Add to Ingredients"))</f>
        <v>0</v>
      </c>
      <c r="M13" s="19">
        <f>IF(K13&lt;&gt;"",K13,IF(OR(J13="",L13="",NOT(ISNUMBER(L13))),"",J13+L13))</f>
        <v>0</v>
      </c>
      <c r="N13" s="18">
        <f>IF(M13="","",M13-TODAY())</f>
        <v>0</v>
      </c>
      <c r="O13" s="25">
        <f>IF(B13="","",IFERROR(INDEX(Ingredients!$J$5:$J$304,MATCH(B13,Ingredients!$B$5:$B$304,0)),"Add to Ingredients"))</f>
        <v>0</v>
      </c>
      <c r="P13" s="25">
        <f>IF(OR(G13="",O13="",NOT(ISNUMBER(O13))),"",G13*O13)</f>
        <v>0</v>
      </c>
      <c r="Q13" s="38">
        <v>20</v>
      </c>
      <c r="R13" s="45">
        <f>IF(B13="","",IFERROR(INDEX(Ingredients!$AG$5:$AG$304,MATCH(B13,Ingredients!$B$5:$B$304,0)),0))</f>
        <v>0</v>
      </c>
      <c r="S13" s="45">
        <f>IF(G13="","",G13-IF(R13="",0,R13))</f>
        <v>0</v>
      </c>
      <c r="T13" s="40" t="s">
        <v>311</v>
      </c>
      <c r="U13" s="18">
        <f>IF(OR(B13="",D13&lt;&gt;"Fridge",NOT(ISNUMBER(N13))),"",COUNTIFS($D$5:$D$304,"Fridge",$N$5:$N$304,"&lt;"&amp;N13)+COUNTIFS($D$5:D13,"Fridge",$N$5:N13,N13))</f>
        <v>0</v>
      </c>
      <c r="V13" s="18">
        <f>IF(OR(B13="",D13&lt;&gt;"Freezer",NOT(ISNUMBER(N13))),"",COUNTIFS($D$5:$D$304,"Freezer",$N$5:$N$304,"&lt;"&amp;N13)+COUNTIFS($D$5:D13,"Freezer",$N$5:N13,N13))</f>
        <v>0</v>
      </c>
      <c r="W13" s="31">
        <f>IF(B13="","",IF(G13=0,"Out of stock",IF(AND(N13&lt;&gt;"",N13&lt;0),"Expired",IF(AND(N13&lt;&gt;"",N13&lt;=ExpiryWarningDays),"Use soon",IF(AND(Q13&lt;&gt;"",G13&lt;Q13),"Low stock","In stock")))))</f>
        <v>0</v>
      </c>
      <c r="X13" s="31">
        <f>IF(B13="","",IF(W13="Expired","Expired - bin it and log it on the Food Waste tab",IF(W13="Use soon","Use soon - plan a meal with it",IF(W13="Out of stock",IF(T13="Yes","Missing - staple has run out","Add - restock when convenient"),IF(W13="Low stock","Check - running low",IF(S13&lt;0,"Check - the plan needs more than you have","OK"))))))</f>
        <v>0</v>
      </c>
      <c r="Y13" s="43" t="s">
        <v>157</v>
      </c>
    </row>
    <row r="14" spans="1:25">
      <c r="A14" s="39">
        <f>IF(B14="","",PantryPrefix&amp;TEXT(ROW()-4,"0000"))</f>
        <v>0</v>
      </c>
      <c r="B14" s="32" t="s">
        <v>951</v>
      </c>
      <c r="C14" s="17">
        <f>IF(B14="","",IFERROR(INDEX(Ingredients!$C$5:$C$304,MATCH(B14,Ingredients!$B$5:$B$304,0)),"Add to Ingredients"))</f>
        <v>0</v>
      </c>
      <c r="D14" s="32" t="s">
        <v>443</v>
      </c>
      <c r="E14" s="38">
        <v>900</v>
      </c>
      <c r="F14" s="32" t="s">
        <v>668</v>
      </c>
      <c r="G14" s="45">
        <f>IF(E14="","",IFERROR(E14*INDEX(UnitFactors,MATCH(F14,UnitNames,0)),""))</f>
        <v>0</v>
      </c>
      <c r="H14" s="17">
        <f>IF(F14="","",IFERROR(INDEX(UnitBases,MATCH(F14,UnitNames,0)),"?"))</f>
        <v>0</v>
      </c>
      <c r="I14" s="40" t="s">
        <v>311</v>
      </c>
      <c r="J14" s="15">
        <v>46289</v>
      </c>
      <c r="L14" s="18">
        <f>IF(B14="","",IFERROR(INDEX(Ingredients!$Z$5:$Z$304,MATCH(B14,Ingredients!$B$5:$B$304,0)),"Add to Ingredients"))</f>
        <v>0</v>
      </c>
      <c r="M14" s="19">
        <f>IF(K14&lt;&gt;"",K14,IF(OR(J14="",L14="",NOT(ISNUMBER(L14))),"",J14+L14))</f>
        <v>0</v>
      </c>
      <c r="N14" s="18">
        <f>IF(M14="","",M14-TODAY())</f>
        <v>0</v>
      </c>
      <c r="O14" s="25">
        <f>IF(B14="","",IFERROR(INDEX(Ingredients!$J$5:$J$304,MATCH(B14,Ingredients!$B$5:$B$304,0)),"Add to Ingredients"))</f>
        <v>0</v>
      </c>
      <c r="P14" s="25">
        <f>IF(OR(G14="",O14="",NOT(ISNUMBER(O14))),"",G14*O14)</f>
        <v>0</v>
      </c>
      <c r="Q14" s="38">
        <v>500</v>
      </c>
      <c r="R14" s="45">
        <f>IF(B14="","",IFERROR(INDEX(Ingredients!$AG$5:$AG$304,MATCH(B14,Ingredients!$B$5:$B$304,0)),0))</f>
        <v>0</v>
      </c>
      <c r="S14" s="45">
        <f>IF(G14="","",G14-IF(R14="",0,R14))</f>
        <v>0</v>
      </c>
      <c r="T14" s="40" t="s">
        <v>311</v>
      </c>
      <c r="U14" s="18">
        <f>IF(OR(B14="",D14&lt;&gt;"Fridge",NOT(ISNUMBER(N14))),"",COUNTIFS($D$5:$D$304,"Fridge",$N$5:$N$304,"&lt;"&amp;N14)+COUNTIFS($D$5:D14,"Fridge",$N$5:N14,N14))</f>
        <v>0</v>
      </c>
      <c r="V14" s="18">
        <f>IF(OR(B14="",D14&lt;&gt;"Freezer",NOT(ISNUMBER(N14))),"",COUNTIFS($D$5:$D$304,"Freezer",$N$5:$N$304,"&lt;"&amp;N14)+COUNTIFS($D$5:D14,"Freezer",$N$5:N14,N14))</f>
        <v>0</v>
      </c>
      <c r="W14" s="31">
        <f>IF(B14="","",IF(G14=0,"Out of stock",IF(AND(N14&lt;&gt;"",N14&lt;0),"Expired",IF(AND(N14&lt;&gt;"",N14&lt;=ExpiryWarningDays),"Use soon",IF(AND(Q14&lt;&gt;"",G14&lt;Q14),"Low stock","In stock")))))</f>
        <v>0</v>
      </c>
      <c r="X14" s="31">
        <f>IF(B14="","",IF(W14="Expired","Expired - bin it and log it on the Food Waste tab",IF(W14="Use soon","Use soon - plan a meal with it",IF(W14="Out of stock",IF(T14="Yes","Missing - staple has run out","Add - restock when convenient"),IF(W14="Low stock","Check - running low",IF(S14&lt;0,"Check - the plan needs more than you have","OK"))))))</f>
        <v>0</v>
      </c>
      <c r="Y14" s="43" t="s">
        <v>157</v>
      </c>
    </row>
    <row r="15" spans="1:25">
      <c r="A15" s="39">
        <f>IF(B15="","",PantryPrefix&amp;TEXT(ROW()-4,"0000"))</f>
        <v>0</v>
      </c>
      <c r="B15" s="32" t="s">
        <v>943</v>
      </c>
      <c r="C15" s="17">
        <f>IF(B15="","",IFERROR(INDEX(Ingredients!$C$5:$C$304,MATCH(B15,Ingredients!$B$5:$B$304,0)),"Add to Ingredients"))</f>
        <v>0</v>
      </c>
      <c r="D15" s="32" t="s">
        <v>443</v>
      </c>
      <c r="E15" s="38">
        <v>550</v>
      </c>
      <c r="F15" s="32" t="s">
        <v>668</v>
      </c>
      <c r="G15" s="45">
        <f>IF(E15="","",IFERROR(E15*INDEX(UnitFactors,MATCH(F15,UnitNames,0)),""))</f>
        <v>0</v>
      </c>
      <c r="H15" s="17">
        <f>IF(F15="","",IFERROR(INDEX(UnitBases,MATCH(F15,UnitNames,0)),"?"))</f>
        <v>0</v>
      </c>
      <c r="I15" s="40" t="s">
        <v>311</v>
      </c>
      <c r="J15" s="15">
        <v>46293</v>
      </c>
      <c r="L15" s="18">
        <f>IF(B15="","",IFERROR(INDEX(Ingredients!$Z$5:$Z$304,MATCH(B15,Ingredients!$B$5:$B$304,0)),"Add to Ingredients"))</f>
        <v>0</v>
      </c>
      <c r="M15" s="19">
        <f>IF(K15&lt;&gt;"",K15,IF(OR(J15="",L15="",NOT(ISNUMBER(L15))),"",J15+L15))</f>
        <v>0</v>
      </c>
      <c r="N15" s="18">
        <f>IF(M15="","",M15-TODAY())</f>
        <v>0</v>
      </c>
      <c r="O15" s="25">
        <f>IF(B15="","",IFERROR(INDEX(Ingredients!$J$5:$J$304,MATCH(B15,Ingredients!$B$5:$B$304,0)),"Add to Ingredients"))</f>
        <v>0</v>
      </c>
      <c r="P15" s="25">
        <f>IF(OR(G15="",O15="",NOT(ISNUMBER(O15))),"",G15*O15)</f>
        <v>0</v>
      </c>
      <c r="Q15" s="38">
        <v>400</v>
      </c>
      <c r="R15" s="45">
        <f>IF(B15="","",IFERROR(INDEX(Ingredients!$AG$5:$AG$304,MATCH(B15,Ingredients!$B$5:$B$304,0)),0))</f>
        <v>0</v>
      </c>
      <c r="S15" s="45">
        <f>IF(G15="","",G15-IF(R15="",0,R15))</f>
        <v>0</v>
      </c>
      <c r="T15" s="40" t="s">
        <v>311</v>
      </c>
      <c r="U15" s="18">
        <f>IF(OR(B15="",D15&lt;&gt;"Fridge",NOT(ISNUMBER(N15))),"",COUNTIFS($D$5:$D$304,"Fridge",$N$5:$N$304,"&lt;"&amp;N15)+COUNTIFS($D$5:D15,"Fridge",$N$5:N15,N15))</f>
        <v>0</v>
      </c>
      <c r="V15" s="18">
        <f>IF(OR(B15="",D15&lt;&gt;"Freezer",NOT(ISNUMBER(N15))),"",COUNTIFS($D$5:$D$304,"Freezer",$N$5:$N$304,"&lt;"&amp;N15)+COUNTIFS($D$5:D15,"Freezer",$N$5:N15,N15))</f>
        <v>0</v>
      </c>
      <c r="W15" s="31">
        <f>IF(B15="","",IF(G15=0,"Out of stock",IF(AND(N15&lt;&gt;"",N15&lt;0),"Expired",IF(AND(N15&lt;&gt;"",N15&lt;=ExpiryWarningDays),"Use soon",IF(AND(Q15&lt;&gt;"",G15&lt;Q15),"Low stock","In stock")))))</f>
        <v>0</v>
      </c>
      <c r="X15" s="31">
        <f>IF(B15="","",IF(W15="Expired","Expired - bin it and log it on the Food Waste tab",IF(W15="Use soon","Use soon - plan a meal with it",IF(W15="Out of stock",IF(T15="Yes","Missing - staple has run out","Add - restock when convenient"),IF(W15="Low stock","Check - running low",IF(S15&lt;0,"Check - the plan needs more than you have","OK"))))))</f>
        <v>0</v>
      </c>
      <c r="Y15" s="43" t="s">
        <v>157</v>
      </c>
    </row>
    <row r="16" spans="1:25">
      <c r="A16" s="39">
        <f>IF(B16="","",PantryPrefix&amp;TEXT(ROW()-4,"0000"))</f>
        <v>0</v>
      </c>
      <c r="B16" s="32" t="s">
        <v>941</v>
      </c>
      <c r="C16" s="17">
        <f>IF(B16="","",IFERROR(INDEX(Ingredients!$C$5:$C$304,MATCH(B16,Ingredients!$B$5:$B$304,0)),"Add to Ingredients"))</f>
        <v>0</v>
      </c>
      <c r="D16" s="32" t="s">
        <v>443</v>
      </c>
      <c r="E16" s="38">
        <v>210</v>
      </c>
      <c r="F16" s="32" t="s">
        <v>668</v>
      </c>
      <c r="G16" s="45">
        <f>IF(E16="","",IFERROR(E16*INDEX(UnitFactors,MATCH(F16,UnitNames,0)),""))</f>
        <v>0</v>
      </c>
      <c r="H16" s="17">
        <f>IF(F16="","",IFERROR(INDEX(UnitBases,MATCH(F16,UnitNames,0)),"?"))</f>
        <v>0</v>
      </c>
      <c r="I16" s="40" t="s">
        <v>311</v>
      </c>
      <c r="J16" s="15">
        <v>46304</v>
      </c>
      <c r="L16" s="18">
        <f>IF(B16="","",IFERROR(INDEX(Ingredients!$Z$5:$Z$304,MATCH(B16,Ingredients!$B$5:$B$304,0)),"Add to Ingredients"))</f>
        <v>0</v>
      </c>
      <c r="M16" s="19">
        <f>IF(K16&lt;&gt;"",K16,IF(OR(J16="",L16="",NOT(ISNUMBER(L16))),"",J16+L16))</f>
        <v>0</v>
      </c>
      <c r="N16" s="18">
        <f>IF(M16="","",M16-TODAY())</f>
        <v>0</v>
      </c>
      <c r="O16" s="25">
        <f>IF(B16="","",IFERROR(INDEX(Ingredients!$J$5:$J$304,MATCH(B16,Ingredients!$B$5:$B$304,0)),"Add to Ingredients"))</f>
        <v>0</v>
      </c>
      <c r="P16" s="25">
        <f>IF(OR(G16="",O16="",NOT(ISNUMBER(O16))),"",G16*O16)</f>
        <v>0</v>
      </c>
      <c r="Q16" s="38">
        <v>100</v>
      </c>
      <c r="R16" s="45">
        <f>IF(B16="","",IFERROR(INDEX(Ingredients!$AG$5:$AG$304,MATCH(B16,Ingredients!$B$5:$B$304,0)),0))</f>
        <v>0</v>
      </c>
      <c r="S16" s="45">
        <f>IF(G16="","",G16-IF(R16="",0,R16))</f>
        <v>0</v>
      </c>
      <c r="T16" s="40" t="s">
        <v>311</v>
      </c>
      <c r="U16" s="18">
        <f>IF(OR(B16="",D16&lt;&gt;"Fridge",NOT(ISNUMBER(N16))),"",COUNTIFS($D$5:$D$304,"Fridge",$N$5:$N$304,"&lt;"&amp;N16)+COUNTIFS($D$5:D16,"Fridge",$N$5:N16,N16))</f>
        <v>0</v>
      </c>
      <c r="V16" s="18">
        <f>IF(OR(B16="",D16&lt;&gt;"Freezer",NOT(ISNUMBER(N16))),"",COUNTIFS($D$5:$D$304,"Freezer",$N$5:$N$304,"&lt;"&amp;N16)+COUNTIFS($D$5:D16,"Freezer",$N$5:N16,N16))</f>
        <v>0</v>
      </c>
      <c r="W16" s="31">
        <f>IF(B16="","",IF(G16=0,"Out of stock",IF(AND(N16&lt;&gt;"",N16&lt;0),"Expired",IF(AND(N16&lt;&gt;"",N16&lt;=ExpiryWarningDays),"Use soon",IF(AND(Q16&lt;&gt;"",G16&lt;Q16),"Low stock","In stock")))))</f>
        <v>0</v>
      </c>
      <c r="X16" s="31">
        <f>IF(B16="","",IF(W16="Expired","Expired - bin it and log it on the Food Waste tab",IF(W16="Use soon","Use soon - plan a meal with it",IF(W16="Out of stock",IF(T16="Yes","Missing - staple has run out","Add - restock when convenient"),IF(W16="Low stock","Check - running low",IF(S16&lt;0,"Check - the plan needs more than you have","OK"))))))</f>
        <v>0</v>
      </c>
      <c r="Y16" s="43" t="s">
        <v>157</v>
      </c>
    </row>
    <row r="17" spans="1:25">
      <c r="A17" s="39">
        <f>IF(B17="","",PantryPrefix&amp;TEXT(ROW()-4,"0000"))</f>
        <v>0</v>
      </c>
      <c r="B17" s="32" t="s">
        <v>940</v>
      </c>
      <c r="C17" s="17">
        <f>IF(B17="","",IFERROR(INDEX(Ingredients!$C$5:$C$304,MATCH(B17,Ingredients!$B$5:$B$304,0)),"Add to Ingredients"))</f>
        <v>0</v>
      </c>
      <c r="D17" s="32" t="s">
        <v>443</v>
      </c>
      <c r="E17" s="38">
        <v>180</v>
      </c>
      <c r="F17" s="32" t="s">
        <v>674</v>
      </c>
      <c r="G17" s="45">
        <f>IF(E17="","",IFERROR(E17*INDEX(UnitFactors,MATCH(F17,UnitNames,0)),""))</f>
        <v>0</v>
      </c>
      <c r="H17" s="17">
        <f>IF(F17="","",IFERROR(INDEX(UnitBases,MATCH(F17,UnitNames,0)),"?"))</f>
        <v>0</v>
      </c>
      <c r="I17" s="40" t="s">
        <v>311</v>
      </c>
      <c r="J17" s="15">
        <v>46295</v>
      </c>
      <c r="L17" s="18">
        <f>IF(B17="","",IFERROR(INDEX(Ingredients!$Z$5:$Z$304,MATCH(B17,Ingredients!$B$5:$B$304,0)),"Add to Ingredients"))</f>
        <v>0</v>
      </c>
      <c r="M17" s="19">
        <f>IF(K17&lt;&gt;"",K17,IF(OR(J17="",L17="",NOT(ISNUMBER(L17))),"",J17+L17))</f>
        <v>0</v>
      </c>
      <c r="N17" s="18">
        <f>IF(M17="","",M17-TODAY())</f>
        <v>0</v>
      </c>
      <c r="O17" s="25">
        <f>IF(B17="","",IFERROR(INDEX(Ingredients!$J$5:$J$304,MATCH(B17,Ingredients!$B$5:$B$304,0)),"Add to Ingredients"))</f>
        <v>0</v>
      </c>
      <c r="P17" s="25">
        <f>IF(OR(G17="",O17="",NOT(ISNUMBER(O17))),"",G17*O17)</f>
        <v>0</v>
      </c>
      <c r="Q17" s="38">
        <v>100</v>
      </c>
      <c r="R17" s="45">
        <f>IF(B17="","",IFERROR(INDEX(Ingredients!$AG$5:$AG$304,MATCH(B17,Ingredients!$B$5:$B$304,0)),0))</f>
        <v>0</v>
      </c>
      <c r="S17" s="45">
        <f>IF(G17="","",G17-IF(R17="",0,R17))</f>
        <v>0</v>
      </c>
      <c r="T17" s="40" t="s">
        <v>311</v>
      </c>
      <c r="U17" s="18">
        <f>IF(OR(B17="",D17&lt;&gt;"Fridge",NOT(ISNUMBER(N17))),"",COUNTIFS($D$5:$D$304,"Fridge",$N$5:$N$304,"&lt;"&amp;N17)+COUNTIFS($D$5:D17,"Fridge",$N$5:N17,N17))</f>
        <v>0</v>
      </c>
      <c r="V17" s="18">
        <f>IF(OR(B17="",D17&lt;&gt;"Freezer",NOT(ISNUMBER(N17))),"",COUNTIFS($D$5:$D$304,"Freezer",$N$5:$N$304,"&lt;"&amp;N17)+COUNTIFS($D$5:D17,"Freezer",$N$5:N17,N17))</f>
        <v>0</v>
      </c>
      <c r="W17" s="31">
        <f>IF(B17="","",IF(G17=0,"Out of stock",IF(AND(N17&lt;&gt;"",N17&lt;0),"Expired",IF(AND(N17&lt;&gt;"",N17&lt;=ExpiryWarningDays),"Use soon",IF(AND(Q17&lt;&gt;"",G17&lt;Q17),"Low stock","In stock")))))</f>
        <v>0</v>
      </c>
      <c r="X17" s="31">
        <f>IF(B17="","",IF(W17="Expired","Expired - bin it and log it on the Food Waste tab",IF(W17="Use soon","Use soon - plan a meal with it",IF(W17="Out of stock",IF(T17="Yes","Missing - staple has run out","Add - restock when convenient"),IF(W17="Low stock","Check - running low",IF(S17&lt;0,"Check - the plan needs more than you have","OK"))))))</f>
        <v>0</v>
      </c>
      <c r="Y17" s="43" t="s">
        <v>157</v>
      </c>
    </row>
    <row r="18" spans="1:25">
      <c r="A18" s="39">
        <f>IF(B18="","",PantryPrefix&amp;TEXT(ROW()-4,"0000"))</f>
        <v>0</v>
      </c>
      <c r="B18" s="32" t="s">
        <v>912</v>
      </c>
      <c r="C18" s="17">
        <f>IF(B18="","",IFERROR(INDEX(Ingredients!$C$5:$C$304,MATCH(B18,Ingredients!$B$5:$B$304,0)),"Add to Ingredients"))</f>
        <v>0</v>
      </c>
      <c r="D18" s="32" t="s">
        <v>444</v>
      </c>
      <c r="E18" s="38">
        <v>90</v>
      </c>
      <c r="F18" s="32" t="s">
        <v>668</v>
      </c>
      <c r="G18" s="45">
        <f>IF(E18="","",IFERROR(E18*INDEX(UnitFactors,MATCH(F18,UnitNames,0)),""))</f>
        <v>0</v>
      </c>
      <c r="H18" s="17">
        <f>IF(F18="","",IFERROR(INDEX(UnitBases,MATCH(F18,UnitNames,0)),"?"))</f>
        <v>0</v>
      </c>
      <c r="I18" s="40" t="s">
        <v>311</v>
      </c>
      <c r="J18" s="15">
        <v>46294</v>
      </c>
      <c r="K18" s="15">
        <v>46336</v>
      </c>
      <c r="L18" s="18">
        <f>IF(B18="","",IFERROR(INDEX(Ingredients!$Z$5:$Z$304,MATCH(B18,Ingredients!$B$5:$B$304,0)),"Add to Ingredients"))</f>
        <v>0</v>
      </c>
      <c r="M18" s="19">
        <f>IF(K18&lt;&gt;"",K18,IF(OR(J18="",L18="",NOT(ISNUMBER(L18))),"",J18+L18))</f>
        <v>0</v>
      </c>
      <c r="N18" s="18">
        <f>IF(M18="","",M18-TODAY())</f>
        <v>0</v>
      </c>
      <c r="O18" s="25">
        <f>IF(B18="","",IFERROR(INDEX(Ingredients!$J$5:$J$304,MATCH(B18,Ingredients!$B$5:$B$304,0)),"Add to Ingredients"))</f>
        <v>0</v>
      </c>
      <c r="P18" s="25">
        <f>IF(OR(G18="",O18="",NOT(ISNUMBER(O18))),"",G18*O18)</f>
        <v>0</v>
      </c>
      <c r="Q18" s="38">
        <v>60</v>
      </c>
      <c r="R18" s="45">
        <f>IF(B18="","",IFERROR(INDEX(Ingredients!$AG$5:$AG$304,MATCH(B18,Ingredients!$B$5:$B$304,0)),0))</f>
        <v>0</v>
      </c>
      <c r="S18" s="45">
        <f>IF(G18="","",G18-IF(R18="",0,R18))</f>
        <v>0</v>
      </c>
      <c r="T18" s="40" t="s">
        <v>311</v>
      </c>
      <c r="U18" s="18">
        <f>IF(OR(B18="",D18&lt;&gt;"Fridge",NOT(ISNUMBER(N18))),"",COUNTIFS($D$5:$D$304,"Fridge",$N$5:$N$304,"&lt;"&amp;N18)+COUNTIFS($D$5:D18,"Fridge",$N$5:N18,N18))</f>
        <v>0</v>
      </c>
      <c r="V18" s="18">
        <f>IF(OR(B18="",D18&lt;&gt;"Freezer",NOT(ISNUMBER(N18))),"",COUNTIFS($D$5:$D$304,"Freezer",$N$5:$N$304,"&lt;"&amp;N18)+COUNTIFS($D$5:D18,"Freezer",$N$5:N18,N18))</f>
        <v>0</v>
      </c>
      <c r="W18" s="31">
        <f>IF(B18="","",IF(G18=0,"Out of stock",IF(AND(N18&lt;&gt;"",N18&lt;0),"Expired",IF(AND(N18&lt;&gt;"",N18&lt;=ExpiryWarningDays),"Use soon",IF(AND(Q18&lt;&gt;"",G18&lt;Q18),"Low stock","In stock")))))</f>
        <v>0</v>
      </c>
      <c r="X18" s="31">
        <f>IF(B18="","",IF(W18="Expired","Expired - bin it and log it on the Food Waste tab",IF(W18="Use soon","Use soon - plan a meal with it",IF(W18="Out of stock",IF(T18="Yes","Missing - staple has run out","Add - restock when convenient"),IF(W18="Low stock","Check - running low",IF(S18&lt;0,"Check - the plan needs more than you have","OK"))))))</f>
        <v>0</v>
      </c>
      <c r="Y18" s="43" t="s">
        <v>157</v>
      </c>
    </row>
    <row r="19" spans="1:25">
      <c r="A19" s="39">
        <f>IF(B19="","",PantryPrefix&amp;TEXT(ROW()-4,"0000"))</f>
        <v>0</v>
      </c>
      <c r="B19" s="32" t="s">
        <v>404</v>
      </c>
      <c r="C19" s="17">
        <f>IF(B19="","",IFERROR(INDEX(Ingredients!$C$5:$C$304,MATCH(B19,Ingredients!$B$5:$B$304,0)),"Add to Ingredients"))</f>
        <v>0</v>
      </c>
      <c r="D19" s="32" t="s">
        <v>444</v>
      </c>
      <c r="E19" s="38">
        <v>1100</v>
      </c>
      <c r="F19" s="32" t="s">
        <v>674</v>
      </c>
      <c r="G19" s="45">
        <f>IF(E19="","",IFERROR(E19*INDEX(UnitFactors,MATCH(F19,UnitNames,0)),""))</f>
        <v>0</v>
      </c>
      <c r="H19" s="17">
        <f>IF(F19="","",IFERROR(INDEX(UnitBases,MATCH(F19,UnitNames,0)),"?"))</f>
        <v>0</v>
      </c>
      <c r="I19" s="40" t="s">
        <v>311</v>
      </c>
      <c r="J19" s="15">
        <v>46294</v>
      </c>
      <c r="K19" s="15">
        <v>46310</v>
      </c>
      <c r="L19" s="18">
        <f>IF(B19="","",IFERROR(INDEX(Ingredients!$Z$5:$Z$304,MATCH(B19,Ingredients!$B$5:$B$304,0)),"Add to Ingredients"))</f>
        <v>0</v>
      </c>
      <c r="M19" s="19">
        <f>IF(K19&lt;&gt;"",K19,IF(OR(J19="",L19="",NOT(ISNUMBER(L19))),"",J19+L19))</f>
        <v>0</v>
      </c>
      <c r="N19" s="18">
        <f>IF(M19="","",M19-TODAY())</f>
        <v>0</v>
      </c>
      <c r="O19" s="25">
        <f>IF(B19="","",IFERROR(INDEX(Ingredients!$J$5:$J$304,MATCH(B19,Ingredients!$B$5:$B$304,0)),"Add to Ingredients"))</f>
        <v>0</v>
      </c>
      <c r="P19" s="25">
        <f>IF(OR(G19="",O19="",NOT(ISNUMBER(O19))),"",G19*O19)</f>
        <v>0</v>
      </c>
      <c r="Q19" s="38">
        <v>1000</v>
      </c>
      <c r="R19" s="45">
        <f>IF(B19="","",IFERROR(INDEX(Ingredients!$AG$5:$AG$304,MATCH(B19,Ingredients!$B$5:$B$304,0)),0))</f>
        <v>0</v>
      </c>
      <c r="S19" s="45">
        <f>IF(G19="","",G19-IF(R19="",0,R19))</f>
        <v>0</v>
      </c>
      <c r="T19" s="40" t="s">
        <v>311</v>
      </c>
      <c r="U19" s="18">
        <f>IF(OR(B19="",D19&lt;&gt;"Fridge",NOT(ISNUMBER(N19))),"",COUNTIFS($D$5:$D$304,"Fridge",$N$5:$N$304,"&lt;"&amp;N19)+COUNTIFS($D$5:D19,"Fridge",$N$5:N19,N19))</f>
        <v>0</v>
      </c>
      <c r="V19" s="18">
        <f>IF(OR(B19="",D19&lt;&gt;"Freezer",NOT(ISNUMBER(N19))),"",COUNTIFS($D$5:$D$304,"Freezer",$N$5:$N$304,"&lt;"&amp;N19)+COUNTIFS($D$5:D19,"Freezer",$N$5:N19,N19))</f>
        <v>0</v>
      </c>
      <c r="W19" s="31">
        <f>IF(B19="","",IF(G19=0,"Out of stock",IF(AND(N19&lt;&gt;"",N19&lt;0),"Expired",IF(AND(N19&lt;&gt;"",N19&lt;=ExpiryWarningDays),"Use soon",IF(AND(Q19&lt;&gt;"",G19&lt;Q19),"Low stock","In stock")))))</f>
        <v>0</v>
      </c>
      <c r="X19" s="31">
        <f>IF(B19="","",IF(W19="Expired","Expired - bin it and log it on the Food Waste tab",IF(W19="Use soon","Use soon - plan a meal with it",IF(W19="Out of stock",IF(T19="Yes","Missing - staple has run out","Add - restock when convenient"),IF(W19="Low stock","Check - running low",IF(S19&lt;0,"Check - the plan needs more than you have","OK"))))))</f>
        <v>0</v>
      </c>
      <c r="Y19" s="43" t="s">
        <v>157</v>
      </c>
    </row>
    <row r="20" spans="1:25">
      <c r="A20" s="39">
        <f>IF(B20="","",PantryPrefix&amp;TEXT(ROW()-4,"0000"))</f>
        <v>0</v>
      </c>
      <c r="B20" s="32" t="s">
        <v>937</v>
      </c>
      <c r="C20" s="17">
        <f>IF(B20="","",IFERROR(INDEX(Ingredients!$C$5:$C$304,MATCH(B20,Ingredients!$B$5:$B$304,0)),"Add to Ingredients"))</f>
        <v>0</v>
      </c>
      <c r="D20" s="32" t="s">
        <v>444</v>
      </c>
      <c r="E20" s="38">
        <v>160</v>
      </c>
      <c r="F20" s="32" t="s">
        <v>668</v>
      </c>
      <c r="G20" s="45">
        <f>IF(E20="","",IFERROR(E20*INDEX(UnitFactors,MATCH(F20,UnitNames,0)),""))</f>
        <v>0</v>
      </c>
      <c r="H20" s="17">
        <f>IF(F20="","",IFERROR(INDEX(UnitBases,MATCH(F20,UnitNames,0)),"?"))</f>
        <v>0</v>
      </c>
      <c r="I20" s="40" t="s">
        <v>311</v>
      </c>
      <c r="J20" s="15">
        <v>46303</v>
      </c>
      <c r="K20" s="15">
        <v>46326</v>
      </c>
      <c r="L20" s="18">
        <f>IF(B20="","",IFERROR(INDEX(Ingredients!$Z$5:$Z$304,MATCH(B20,Ingredients!$B$5:$B$304,0)),"Add to Ingredients"))</f>
        <v>0</v>
      </c>
      <c r="M20" s="19">
        <f>IF(K20&lt;&gt;"",K20,IF(OR(J20="",L20="",NOT(ISNUMBER(L20))),"",J20+L20))</f>
        <v>0</v>
      </c>
      <c r="N20" s="18">
        <f>IF(M20="","",M20-TODAY())</f>
        <v>0</v>
      </c>
      <c r="O20" s="25">
        <f>IF(B20="","",IFERROR(INDEX(Ingredients!$J$5:$J$304,MATCH(B20,Ingredients!$B$5:$B$304,0)),"Add to Ingredients"))</f>
        <v>0</v>
      </c>
      <c r="P20" s="25">
        <f>IF(OR(G20="",O20="",NOT(ISNUMBER(O20))),"",G20*O20)</f>
        <v>0</v>
      </c>
      <c r="Q20" s="38">
        <v>125</v>
      </c>
      <c r="R20" s="45">
        <f>IF(B20="","",IFERROR(INDEX(Ingredients!$AG$5:$AG$304,MATCH(B20,Ingredients!$B$5:$B$304,0)),0))</f>
        <v>0</v>
      </c>
      <c r="S20" s="45">
        <f>IF(G20="","",G20-IF(R20="",0,R20))</f>
        <v>0</v>
      </c>
      <c r="T20" s="40" t="s">
        <v>311</v>
      </c>
      <c r="U20" s="18">
        <f>IF(OR(B20="",D20&lt;&gt;"Fridge",NOT(ISNUMBER(N20))),"",COUNTIFS($D$5:$D$304,"Fridge",$N$5:$N$304,"&lt;"&amp;N20)+COUNTIFS($D$5:D20,"Fridge",$N$5:N20,N20))</f>
        <v>0</v>
      </c>
      <c r="V20" s="18">
        <f>IF(OR(B20="",D20&lt;&gt;"Freezer",NOT(ISNUMBER(N20))),"",COUNTIFS($D$5:$D$304,"Freezer",$N$5:$N$304,"&lt;"&amp;N20)+COUNTIFS($D$5:D20,"Freezer",$N$5:N20,N20))</f>
        <v>0</v>
      </c>
      <c r="W20" s="31">
        <f>IF(B20="","",IF(G20=0,"Out of stock",IF(AND(N20&lt;&gt;"",N20&lt;0),"Expired",IF(AND(N20&lt;&gt;"",N20&lt;=ExpiryWarningDays),"Use soon",IF(AND(Q20&lt;&gt;"",G20&lt;Q20),"Low stock","In stock")))))</f>
        <v>0</v>
      </c>
      <c r="X20" s="31">
        <f>IF(B20="","",IF(W20="Expired","Expired - bin it and log it on the Food Waste tab",IF(W20="Use soon","Use soon - plan a meal with it",IF(W20="Out of stock",IF(T20="Yes","Missing - staple has run out","Add - restock when convenient"),IF(W20="Low stock","Check - running low",IF(S20&lt;0,"Check - the plan needs more than you have","OK"))))))</f>
        <v>0</v>
      </c>
      <c r="Y20" s="43" t="s">
        <v>157</v>
      </c>
    </row>
    <row r="21" spans="1:25">
      <c r="A21" s="39">
        <f>IF(B21="","",PantryPrefix&amp;TEXT(ROW()-4,"0000"))</f>
        <v>0</v>
      </c>
      <c r="B21" s="32" t="s">
        <v>928</v>
      </c>
      <c r="C21" s="17">
        <f>IF(B21="","",IFERROR(INDEX(Ingredients!$C$5:$C$304,MATCH(B21,Ingredients!$B$5:$B$304,0)),"Add to Ingredients"))</f>
        <v>0</v>
      </c>
      <c r="D21" s="32" t="s">
        <v>444</v>
      </c>
      <c r="E21" s="38">
        <v>220</v>
      </c>
      <c r="F21" s="32" t="s">
        <v>668</v>
      </c>
      <c r="G21" s="45">
        <f>IF(E21="","",IFERROR(E21*INDEX(UnitFactors,MATCH(F21,UnitNames,0)),""))</f>
        <v>0</v>
      </c>
      <c r="H21" s="17">
        <f>IF(F21="","",IFERROR(INDEX(UnitBases,MATCH(F21,UnitNames,0)),"?"))</f>
        <v>0</v>
      </c>
      <c r="I21" s="40" t="s">
        <v>311</v>
      </c>
      <c r="J21" s="15">
        <v>46287</v>
      </c>
      <c r="K21" s="15">
        <v>46318</v>
      </c>
      <c r="L21" s="18">
        <f>IF(B21="","",IFERROR(INDEX(Ingredients!$Z$5:$Z$304,MATCH(B21,Ingredients!$B$5:$B$304,0)),"Add to Ingredients"))</f>
        <v>0</v>
      </c>
      <c r="M21" s="19">
        <f>IF(K21&lt;&gt;"",K21,IF(OR(J21="",L21="",NOT(ISNUMBER(L21))),"",J21+L21))</f>
        <v>0</v>
      </c>
      <c r="N21" s="18">
        <f>IF(M21="","",M21-TODAY())</f>
        <v>0</v>
      </c>
      <c r="O21" s="25">
        <f>IF(B21="","",IFERROR(INDEX(Ingredients!$J$5:$J$304,MATCH(B21,Ingredients!$B$5:$B$304,0)),"Add to Ingredients"))</f>
        <v>0</v>
      </c>
      <c r="P21" s="25">
        <f>IF(OR(G21="",O21="",NOT(ISNUMBER(O21))),"",G21*O21)</f>
        <v>0</v>
      </c>
      <c r="Q21" s="38">
        <v>150</v>
      </c>
      <c r="R21" s="45">
        <f>IF(B21="","",IFERROR(INDEX(Ingredients!$AG$5:$AG$304,MATCH(B21,Ingredients!$B$5:$B$304,0)),0))</f>
        <v>0</v>
      </c>
      <c r="S21" s="45">
        <f>IF(G21="","",G21-IF(R21="",0,R21))</f>
        <v>0</v>
      </c>
      <c r="T21" s="40" t="s">
        <v>311</v>
      </c>
      <c r="U21" s="18">
        <f>IF(OR(B21="",D21&lt;&gt;"Fridge",NOT(ISNUMBER(N21))),"",COUNTIFS($D$5:$D$304,"Fridge",$N$5:$N$304,"&lt;"&amp;N21)+COUNTIFS($D$5:D21,"Fridge",$N$5:N21,N21))</f>
        <v>0</v>
      </c>
      <c r="V21" s="18">
        <f>IF(OR(B21="",D21&lt;&gt;"Freezer",NOT(ISNUMBER(N21))),"",COUNTIFS($D$5:$D$304,"Freezer",$N$5:$N$304,"&lt;"&amp;N21)+COUNTIFS($D$5:D21,"Freezer",$N$5:N21,N21))</f>
        <v>0</v>
      </c>
      <c r="W21" s="31">
        <f>IF(B21="","",IF(G21=0,"Out of stock",IF(AND(N21&lt;&gt;"",N21&lt;0),"Expired",IF(AND(N21&lt;&gt;"",N21&lt;=ExpiryWarningDays),"Use soon",IF(AND(Q21&lt;&gt;"",G21&lt;Q21),"Low stock","In stock")))))</f>
        <v>0</v>
      </c>
      <c r="X21" s="31">
        <f>IF(B21="","",IF(W21="Expired","Expired - bin it and log it on the Food Waste tab",IF(W21="Use soon","Use soon - plan a meal with it",IF(W21="Out of stock",IF(T21="Yes","Missing - staple has run out","Add - restock when convenient"),IF(W21="Low stock","Check - running low",IF(S21&lt;0,"Check - the plan needs more than you have","OK"))))))</f>
        <v>0</v>
      </c>
      <c r="Y21" s="43" t="s">
        <v>157</v>
      </c>
    </row>
    <row r="22" spans="1:25">
      <c r="A22" s="39">
        <f>IF(B22="","",PantryPrefix&amp;TEXT(ROW()-4,"0000"))</f>
        <v>0</v>
      </c>
      <c r="B22" s="32" t="s">
        <v>401</v>
      </c>
      <c r="C22" s="17">
        <f>IF(B22="","",IFERROR(INDEX(Ingredients!$C$5:$C$304,MATCH(B22,Ingredients!$B$5:$B$304,0)),"Add to Ingredients"))</f>
        <v>0</v>
      </c>
      <c r="D22" s="32" t="s">
        <v>444</v>
      </c>
      <c r="E22" s="38">
        <v>7</v>
      </c>
      <c r="F22" s="32" t="s">
        <v>685</v>
      </c>
      <c r="G22" s="45">
        <f>IF(E22="","",IFERROR(E22*INDEX(UnitFactors,MATCH(F22,UnitNames,0)),""))</f>
        <v>0</v>
      </c>
      <c r="H22" s="17">
        <f>IF(F22="","",IFERROR(INDEX(UnitBases,MATCH(F22,UnitNames,0)),"?"))</f>
        <v>0</v>
      </c>
      <c r="I22" s="40" t="s">
        <v>312</v>
      </c>
      <c r="J22" s="15">
        <v>46293</v>
      </c>
      <c r="K22" s="15">
        <v>46320</v>
      </c>
      <c r="L22" s="18">
        <f>IF(B22="","",IFERROR(INDEX(Ingredients!$Z$5:$Z$304,MATCH(B22,Ingredients!$B$5:$B$304,0)),"Add to Ingredients"))</f>
        <v>0</v>
      </c>
      <c r="M22" s="19">
        <f>IF(K22&lt;&gt;"",K22,IF(OR(J22="",L22="",NOT(ISNUMBER(L22))),"",J22+L22))</f>
        <v>0</v>
      </c>
      <c r="N22" s="18">
        <f>IF(M22="","",M22-TODAY())</f>
        <v>0</v>
      </c>
      <c r="O22" s="25">
        <f>IF(B22="","",IFERROR(INDEX(Ingredients!$J$5:$J$304,MATCH(B22,Ingredients!$B$5:$B$304,0)),"Add to Ingredients"))</f>
        <v>0</v>
      </c>
      <c r="P22" s="25">
        <f>IF(OR(G22="",O22="",NOT(ISNUMBER(O22))),"",G22*O22)</f>
        <v>0</v>
      </c>
      <c r="Q22" s="38">
        <v>6</v>
      </c>
      <c r="R22" s="45">
        <f>IF(B22="","",IFERROR(INDEX(Ingredients!$AG$5:$AG$304,MATCH(B22,Ingredients!$B$5:$B$304,0)),0))</f>
        <v>0</v>
      </c>
      <c r="S22" s="45">
        <f>IF(G22="","",G22-IF(R22="",0,R22))</f>
        <v>0</v>
      </c>
      <c r="T22" s="40" t="s">
        <v>311</v>
      </c>
      <c r="U22" s="18">
        <f>IF(OR(B22="",D22&lt;&gt;"Fridge",NOT(ISNUMBER(N22))),"",COUNTIFS($D$5:$D$304,"Fridge",$N$5:$N$304,"&lt;"&amp;N22)+COUNTIFS($D$5:D22,"Fridge",$N$5:N22,N22))</f>
        <v>0</v>
      </c>
      <c r="V22" s="18">
        <f>IF(OR(B22="",D22&lt;&gt;"Freezer",NOT(ISNUMBER(N22))),"",COUNTIFS($D$5:$D$304,"Freezer",$N$5:$N$304,"&lt;"&amp;N22)+COUNTIFS($D$5:D22,"Freezer",$N$5:N22,N22))</f>
        <v>0</v>
      </c>
      <c r="W22" s="31">
        <f>IF(B22="","",IF(G22=0,"Out of stock",IF(AND(N22&lt;&gt;"",N22&lt;0),"Expired",IF(AND(N22&lt;&gt;"",N22&lt;=ExpiryWarningDays),"Use soon",IF(AND(Q22&lt;&gt;"",G22&lt;Q22),"Low stock","In stock")))))</f>
        <v>0</v>
      </c>
      <c r="X22" s="31">
        <f>IF(B22="","",IF(W22="Expired","Expired - bin it and log it on the Food Waste tab",IF(W22="Use soon","Use soon - plan a meal with it",IF(W22="Out of stock",IF(T22="Yes","Missing - staple has run out","Add - restock when convenient"),IF(W22="Low stock","Check - running low",IF(S22&lt;0,"Check - the plan needs more than you have","OK"))))))</f>
        <v>0</v>
      </c>
      <c r="Y22" s="43" t="s">
        <v>157</v>
      </c>
    </row>
    <row r="23" spans="1:25">
      <c r="A23" s="39">
        <f>IF(B23="","",PantryPrefix&amp;TEXT(ROW()-4,"0000"))</f>
        <v>0</v>
      </c>
      <c r="B23" s="32" t="s">
        <v>944</v>
      </c>
      <c r="C23" s="17">
        <f>IF(B23="","",IFERROR(INDEX(Ingredients!$C$5:$C$304,MATCH(B23,Ingredients!$B$5:$B$304,0)),"Add to Ingredients"))</f>
        <v>0</v>
      </c>
      <c r="D23" s="32" t="s">
        <v>444</v>
      </c>
      <c r="E23" s="38">
        <v>300</v>
      </c>
      <c r="F23" s="32" t="s">
        <v>668</v>
      </c>
      <c r="G23" s="45">
        <f>IF(E23="","",IFERROR(E23*INDEX(UnitFactors,MATCH(F23,UnitNames,0)),""))</f>
        <v>0</v>
      </c>
      <c r="H23" s="17">
        <f>IF(F23="","",IFERROR(INDEX(UnitBases,MATCH(F23,UnitNames,0)),"?"))</f>
        <v>0</v>
      </c>
      <c r="I23" s="40" t="s">
        <v>311</v>
      </c>
      <c r="J23" s="15">
        <v>46286</v>
      </c>
      <c r="K23" s="15">
        <v>46311</v>
      </c>
      <c r="L23" s="18">
        <f>IF(B23="","",IFERROR(INDEX(Ingredients!$Z$5:$Z$304,MATCH(B23,Ingredients!$B$5:$B$304,0)),"Add to Ingredients"))</f>
        <v>0</v>
      </c>
      <c r="M23" s="19">
        <f>IF(K23&lt;&gt;"",K23,IF(OR(J23="",L23="",NOT(ISNUMBER(L23))),"",J23+L23))</f>
        <v>0</v>
      </c>
      <c r="N23" s="18">
        <f>IF(M23="","",M23-TODAY())</f>
        <v>0</v>
      </c>
      <c r="O23" s="25">
        <f>IF(B23="","",IFERROR(INDEX(Ingredients!$J$5:$J$304,MATCH(B23,Ingredients!$B$5:$B$304,0)),"Add to Ingredients"))</f>
        <v>0</v>
      </c>
      <c r="P23" s="25">
        <f>IF(OR(G23="",O23="",NOT(ISNUMBER(O23))),"",G23*O23)</f>
        <v>0</v>
      </c>
      <c r="Q23" s="38">
        <v>250</v>
      </c>
      <c r="R23" s="45">
        <f>IF(B23="","",IFERROR(INDEX(Ingredients!$AG$5:$AG$304,MATCH(B23,Ingredients!$B$5:$B$304,0)),0))</f>
        <v>0</v>
      </c>
      <c r="S23" s="45">
        <f>IF(G23="","",G23-IF(R23="",0,R23))</f>
        <v>0</v>
      </c>
      <c r="T23" s="40" t="s">
        <v>311</v>
      </c>
      <c r="U23" s="18">
        <f>IF(OR(B23="",D23&lt;&gt;"Fridge",NOT(ISNUMBER(N23))),"",COUNTIFS($D$5:$D$304,"Fridge",$N$5:$N$304,"&lt;"&amp;N23)+COUNTIFS($D$5:D23,"Fridge",$N$5:N23,N23))</f>
        <v>0</v>
      </c>
      <c r="V23" s="18">
        <f>IF(OR(B23="",D23&lt;&gt;"Freezer",NOT(ISNUMBER(N23))),"",COUNTIFS($D$5:$D$304,"Freezer",$N$5:$N$304,"&lt;"&amp;N23)+COUNTIFS($D$5:D23,"Freezer",$N$5:N23,N23))</f>
        <v>0</v>
      </c>
      <c r="W23" s="31">
        <f>IF(B23="","",IF(G23=0,"Out of stock",IF(AND(N23&lt;&gt;"",N23&lt;0),"Expired",IF(AND(N23&lt;&gt;"",N23&lt;=ExpiryWarningDays),"Use soon",IF(AND(Q23&lt;&gt;"",G23&lt;Q23),"Low stock","In stock")))))</f>
        <v>0</v>
      </c>
      <c r="X23" s="31">
        <f>IF(B23="","",IF(W23="Expired","Expired - bin it and log it on the Food Waste tab",IF(W23="Use soon","Use soon - plan a meal with it",IF(W23="Out of stock",IF(T23="Yes","Missing - staple has run out","Add - restock when convenient"),IF(W23="Low stock","Check - running low",IF(S23&lt;0,"Check - the plan needs more than you have","OK"))))))</f>
        <v>0</v>
      </c>
      <c r="Y23" s="43" t="s">
        <v>157</v>
      </c>
    </row>
    <row r="24" spans="1:25">
      <c r="A24" s="39">
        <f>IF(B24="","",PantryPrefix&amp;TEXT(ROW()-4,"0000"))</f>
        <v>0</v>
      </c>
      <c r="B24" s="32" t="s">
        <v>901</v>
      </c>
      <c r="C24" s="17">
        <f>IF(B24="","",IFERROR(INDEX(Ingredients!$C$5:$C$304,MATCH(B24,Ingredients!$B$5:$B$304,0)),"Add to Ingredients"))</f>
        <v>0</v>
      </c>
      <c r="D24" s="32" t="s">
        <v>444</v>
      </c>
      <c r="E24" s="38">
        <v>600</v>
      </c>
      <c r="F24" s="32" t="s">
        <v>668</v>
      </c>
      <c r="G24" s="45">
        <f>IF(E24="","",IFERROR(E24*INDEX(UnitFactors,MATCH(F24,UnitNames,0)),""))</f>
        <v>0</v>
      </c>
      <c r="H24" s="17">
        <f>IF(F24="","",IFERROR(INDEX(UnitBases,MATCH(F24,UnitNames,0)),"?"))</f>
        <v>0</v>
      </c>
      <c r="I24" s="40" t="s">
        <v>312</v>
      </c>
      <c r="J24" s="15">
        <v>46286</v>
      </c>
      <c r="K24" s="15">
        <v>46315</v>
      </c>
      <c r="L24" s="18">
        <f>IF(B24="","",IFERROR(INDEX(Ingredients!$Z$5:$Z$304,MATCH(B24,Ingredients!$B$5:$B$304,0)),"Add to Ingredients"))</f>
        <v>0</v>
      </c>
      <c r="M24" s="19">
        <f>IF(K24&lt;&gt;"",K24,IF(OR(J24="",L24="",NOT(ISNUMBER(L24))),"",J24+L24))</f>
        <v>0</v>
      </c>
      <c r="N24" s="18">
        <f>IF(M24="","",M24-TODAY())</f>
        <v>0</v>
      </c>
      <c r="O24" s="25">
        <f>IF(B24="","",IFERROR(INDEX(Ingredients!$J$5:$J$304,MATCH(B24,Ingredients!$B$5:$B$304,0)),"Add to Ingredients"))</f>
        <v>0</v>
      </c>
      <c r="P24" s="25">
        <f>IF(OR(G24="",O24="",NOT(ISNUMBER(O24))),"",G24*O24)</f>
        <v>0</v>
      </c>
      <c r="Q24" s="38">
        <v>300</v>
      </c>
      <c r="R24" s="45">
        <f>IF(B24="","",IFERROR(INDEX(Ingredients!$AG$5:$AG$304,MATCH(B24,Ingredients!$B$5:$B$304,0)),0))</f>
        <v>0</v>
      </c>
      <c r="S24" s="45">
        <f>IF(G24="","",G24-IF(R24="",0,R24))</f>
        <v>0</v>
      </c>
      <c r="T24" s="40" t="s">
        <v>311</v>
      </c>
      <c r="U24" s="18">
        <f>IF(OR(B24="",D24&lt;&gt;"Fridge",NOT(ISNUMBER(N24))),"",COUNTIFS($D$5:$D$304,"Fridge",$N$5:$N$304,"&lt;"&amp;N24)+COUNTIFS($D$5:D24,"Fridge",$N$5:N24,N24))</f>
        <v>0</v>
      </c>
      <c r="V24" s="18">
        <f>IF(OR(B24="",D24&lt;&gt;"Freezer",NOT(ISNUMBER(N24))),"",COUNTIFS($D$5:$D$304,"Freezer",$N$5:$N$304,"&lt;"&amp;N24)+COUNTIFS($D$5:D24,"Freezer",$N$5:N24,N24))</f>
        <v>0</v>
      </c>
      <c r="W24" s="31">
        <f>IF(B24="","",IF(G24=0,"Out of stock",IF(AND(N24&lt;&gt;"",N24&lt;0),"Expired",IF(AND(N24&lt;&gt;"",N24&lt;=ExpiryWarningDays),"Use soon",IF(AND(Q24&lt;&gt;"",G24&lt;Q24),"Low stock","In stock")))))</f>
        <v>0</v>
      </c>
      <c r="X24" s="31">
        <f>IF(B24="","",IF(W24="Expired","Expired - bin it and log it on the Food Waste tab",IF(W24="Use soon","Use soon - plan a meal with it",IF(W24="Out of stock",IF(T24="Yes","Missing - staple has run out","Add - restock when convenient"),IF(W24="Low stock","Check - running low",IF(S24&lt;0,"Check - the plan needs more than you have","OK"))))))</f>
        <v>0</v>
      </c>
      <c r="Y24" s="43" t="s">
        <v>157</v>
      </c>
    </row>
    <row r="25" spans="1:25">
      <c r="A25" s="39">
        <f>IF(B25="","",PantryPrefix&amp;TEXT(ROW()-4,"0000"))</f>
        <v>0</v>
      </c>
      <c r="B25" s="32" t="s">
        <v>890</v>
      </c>
      <c r="C25" s="17">
        <f>IF(B25="","",IFERROR(INDEX(Ingredients!$C$5:$C$304,MATCH(B25,Ingredients!$B$5:$B$304,0)),"Add to Ingredients"))</f>
        <v>0</v>
      </c>
      <c r="D25" s="32" t="s">
        <v>443</v>
      </c>
      <c r="E25" s="38">
        <v>1700</v>
      </c>
      <c r="F25" s="32" t="s">
        <v>668</v>
      </c>
      <c r="G25" s="45">
        <f>IF(E25="","",IFERROR(E25*INDEX(UnitFactors,MATCH(F25,UnitNames,0)),""))</f>
        <v>0</v>
      </c>
      <c r="H25" s="17">
        <f>IF(F25="","",IFERROR(INDEX(UnitBases,MATCH(F25,UnitNames,0)),"?"))</f>
        <v>0</v>
      </c>
      <c r="I25" s="40" t="s">
        <v>312</v>
      </c>
      <c r="J25" s="15">
        <v>46289</v>
      </c>
      <c r="K25" s="15">
        <v>46318</v>
      </c>
      <c r="L25" s="18">
        <f>IF(B25="","",IFERROR(INDEX(Ingredients!$Z$5:$Z$304,MATCH(B25,Ingredients!$B$5:$B$304,0)),"Add to Ingredients"))</f>
        <v>0</v>
      </c>
      <c r="M25" s="19">
        <f>IF(K25&lt;&gt;"",K25,IF(OR(J25="",L25="",NOT(ISNUMBER(L25))),"",J25+L25))</f>
        <v>0</v>
      </c>
      <c r="N25" s="18">
        <f>IF(M25="","",M25-TODAY())</f>
        <v>0</v>
      </c>
      <c r="O25" s="25">
        <f>IF(B25="","",IFERROR(INDEX(Ingredients!$J$5:$J$304,MATCH(B25,Ingredients!$B$5:$B$304,0)),"Add to Ingredients"))</f>
        <v>0</v>
      </c>
      <c r="P25" s="25">
        <f>IF(OR(G25="",O25="",NOT(ISNUMBER(O25))),"",G25*O25)</f>
        <v>0</v>
      </c>
      <c r="Q25" s="38">
        <v>1000</v>
      </c>
      <c r="R25" s="45">
        <f>IF(B25="","",IFERROR(INDEX(Ingredients!$AG$5:$AG$304,MATCH(B25,Ingredients!$B$5:$B$304,0)),0))</f>
        <v>0</v>
      </c>
      <c r="S25" s="45">
        <f>IF(G25="","",G25-IF(R25="",0,R25))</f>
        <v>0</v>
      </c>
      <c r="T25" s="40" t="s">
        <v>311</v>
      </c>
      <c r="U25" s="18">
        <f>IF(OR(B25="",D25&lt;&gt;"Fridge",NOT(ISNUMBER(N25))),"",COUNTIFS($D$5:$D$304,"Fridge",$N$5:$N$304,"&lt;"&amp;N25)+COUNTIFS($D$5:D25,"Fridge",$N$5:N25,N25))</f>
        <v>0</v>
      </c>
      <c r="V25" s="18">
        <f>IF(OR(B25="",D25&lt;&gt;"Freezer",NOT(ISNUMBER(N25))),"",COUNTIFS($D$5:$D$304,"Freezer",$N$5:$N$304,"&lt;"&amp;N25)+COUNTIFS($D$5:D25,"Freezer",$N$5:N25,N25))</f>
        <v>0</v>
      </c>
      <c r="W25" s="31">
        <f>IF(B25="","",IF(G25=0,"Out of stock",IF(AND(N25&lt;&gt;"",N25&lt;0),"Expired",IF(AND(N25&lt;&gt;"",N25&lt;=ExpiryWarningDays),"Use soon",IF(AND(Q25&lt;&gt;"",G25&lt;Q25),"Low stock","In stock")))))</f>
        <v>0</v>
      </c>
      <c r="X25" s="31">
        <f>IF(B25="","",IF(W25="Expired","Expired - bin it and log it on the Food Waste tab",IF(W25="Use soon","Use soon - plan a meal with it",IF(W25="Out of stock",IF(T25="Yes","Missing - staple has run out","Add - restock when convenient"),IF(W25="Low stock","Check - running low",IF(S25&lt;0,"Check - the plan needs more than you have","OK"))))))</f>
        <v>0</v>
      </c>
      <c r="Y25" s="43" t="s">
        <v>157</v>
      </c>
    </row>
    <row r="26" spans="1:25">
      <c r="A26" s="39">
        <f>IF(B26="","",PantryPrefix&amp;TEXT(ROW()-4,"0000"))</f>
        <v>0</v>
      </c>
      <c r="B26" s="32" t="s">
        <v>894</v>
      </c>
      <c r="C26" s="17">
        <f>IF(B26="","",IFERROR(INDEX(Ingredients!$C$5:$C$304,MATCH(B26,Ingredients!$B$5:$B$304,0)),"Add to Ingredients"))</f>
        <v>0</v>
      </c>
      <c r="D26" s="32" t="s">
        <v>443</v>
      </c>
      <c r="E26" s="38">
        <v>700</v>
      </c>
      <c r="F26" s="32" t="s">
        <v>668</v>
      </c>
      <c r="G26" s="45">
        <f>IF(E26="","",IFERROR(E26*INDEX(UnitFactors,MATCH(F26,UnitNames,0)),""))</f>
        <v>0</v>
      </c>
      <c r="H26" s="17">
        <f>IF(F26="","",IFERROR(INDEX(UnitBases,MATCH(F26,UnitNames,0)),"?"))</f>
        <v>0</v>
      </c>
      <c r="I26" s="40" t="s">
        <v>312</v>
      </c>
      <c r="J26" s="15">
        <v>46291</v>
      </c>
      <c r="K26" s="15">
        <v>46326</v>
      </c>
      <c r="L26" s="18">
        <f>IF(B26="","",IFERROR(INDEX(Ingredients!$Z$5:$Z$304,MATCH(B26,Ingredients!$B$5:$B$304,0)),"Add to Ingredients"))</f>
        <v>0</v>
      </c>
      <c r="M26" s="19">
        <f>IF(K26&lt;&gt;"",K26,IF(OR(J26="",L26="",NOT(ISNUMBER(L26))),"",J26+L26))</f>
        <v>0</v>
      </c>
      <c r="N26" s="18">
        <f>IF(M26="","",M26-TODAY())</f>
        <v>0</v>
      </c>
      <c r="O26" s="25">
        <f>IF(B26="","",IFERROR(INDEX(Ingredients!$J$5:$J$304,MATCH(B26,Ingredients!$B$5:$B$304,0)),"Add to Ingredients"))</f>
        <v>0</v>
      </c>
      <c r="P26" s="25">
        <f>IF(OR(G26="",O26="",NOT(ISNUMBER(O26))),"",G26*O26)</f>
        <v>0</v>
      </c>
      <c r="Q26" s="38">
        <v>500</v>
      </c>
      <c r="R26" s="45">
        <f>IF(B26="","",IFERROR(INDEX(Ingredients!$AG$5:$AG$304,MATCH(B26,Ingredients!$B$5:$B$304,0)),0))</f>
        <v>0</v>
      </c>
      <c r="S26" s="45">
        <f>IF(G26="","",G26-IF(R26="",0,R26))</f>
        <v>0</v>
      </c>
      <c r="T26" s="40" t="s">
        <v>311</v>
      </c>
      <c r="U26" s="18">
        <f>IF(OR(B26="",D26&lt;&gt;"Fridge",NOT(ISNUMBER(N26))),"",COUNTIFS($D$5:$D$304,"Fridge",$N$5:$N$304,"&lt;"&amp;N26)+COUNTIFS($D$5:D26,"Fridge",$N$5:N26,N26))</f>
        <v>0</v>
      </c>
      <c r="V26" s="18">
        <f>IF(OR(B26="",D26&lt;&gt;"Freezer",NOT(ISNUMBER(N26))),"",COUNTIFS($D$5:$D$304,"Freezer",$N$5:$N$304,"&lt;"&amp;N26)+COUNTIFS($D$5:D26,"Freezer",$N$5:N26,N26))</f>
        <v>0</v>
      </c>
      <c r="W26" s="31">
        <f>IF(B26="","",IF(G26=0,"Out of stock",IF(AND(N26&lt;&gt;"",N26&lt;0),"Expired",IF(AND(N26&lt;&gt;"",N26&lt;=ExpiryWarningDays),"Use soon",IF(AND(Q26&lt;&gt;"",G26&lt;Q26),"Low stock","In stock")))))</f>
        <v>0</v>
      </c>
      <c r="X26" s="31">
        <f>IF(B26="","",IF(W26="Expired","Expired - bin it and log it on the Food Waste tab",IF(W26="Use soon","Use soon - plan a meal with it",IF(W26="Out of stock",IF(T26="Yes","Missing - staple has run out","Add - restock when convenient"),IF(W26="Low stock","Check - running low",IF(S26&lt;0,"Check - the plan needs more than you have","OK"))))))</f>
        <v>0</v>
      </c>
      <c r="Y26" s="43" t="s">
        <v>157</v>
      </c>
    </row>
    <row r="27" spans="1:25">
      <c r="A27" s="39">
        <f>IF(B27="","",PantryPrefix&amp;TEXT(ROW()-4,"0000"))</f>
        <v>0</v>
      </c>
      <c r="B27" s="32" t="s">
        <v>914</v>
      </c>
      <c r="C27" s="17">
        <f>IF(B27="","",IFERROR(INDEX(Ingredients!$C$5:$C$304,MATCH(B27,Ingredients!$B$5:$B$304,0)),"Add to Ingredients"))</f>
        <v>0</v>
      </c>
      <c r="D27" s="32" t="s">
        <v>444</v>
      </c>
      <c r="E27" s="38">
        <v>120</v>
      </c>
      <c r="F27" s="32" t="s">
        <v>668</v>
      </c>
      <c r="G27" s="45">
        <f>IF(E27="","",IFERROR(E27*INDEX(UnitFactors,MATCH(F27,UnitNames,0)),""))</f>
        <v>0</v>
      </c>
      <c r="H27" s="17">
        <f>IF(F27="","",IFERROR(INDEX(UnitBases,MATCH(F27,UnitNames,0)),"?"))</f>
        <v>0</v>
      </c>
      <c r="I27" s="40" t="s">
        <v>311</v>
      </c>
      <c r="J27" s="15">
        <v>46300</v>
      </c>
      <c r="K27" s="15">
        <v>46308</v>
      </c>
      <c r="L27" s="18">
        <f>IF(B27="","",IFERROR(INDEX(Ingredients!$Z$5:$Z$304,MATCH(B27,Ingredients!$B$5:$B$304,0)),"Add to Ingredients"))</f>
        <v>0</v>
      </c>
      <c r="M27" s="19">
        <f>IF(K27&lt;&gt;"",K27,IF(OR(J27="",L27="",NOT(ISNUMBER(L27))),"",J27+L27))</f>
        <v>0</v>
      </c>
      <c r="N27" s="18">
        <f>IF(M27="","",M27-TODAY())</f>
        <v>0</v>
      </c>
      <c r="O27" s="25">
        <f>IF(B27="","",IFERROR(INDEX(Ingredients!$J$5:$J$304,MATCH(B27,Ingredients!$B$5:$B$304,0)),"Add to Ingredients"))</f>
        <v>0</v>
      </c>
      <c r="P27" s="25">
        <f>IF(OR(G27="",O27="",NOT(ISNUMBER(O27))),"",G27*O27)</f>
        <v>0</v>
      </c>
      <c r="R27" s="45">
        <f>IF(B27="","",IFERROR(INDEX(Ingredients!$AG$5:$AG$304,MATCH(B27,Ingredients!$B$5:$B$304,0)),0))</f>
        <v>0</v>
      </c>
      <c r="S27" s="45">
        <f>IF(G27="","",G27-IF(R27="",0,R27))</f>
        <v>0</v>
      </c>
      <c r="T27" s="40" t="s">
        <v>312</v>
      </c>
      <c r="U27" s="18">
        <f>IF(OR(B27="",D27&lt;&gt;"Fridge",NOT(ISNUMBER(N27))),"",COUNTIFS($D$5:$D$304,"Fridge",$N$5:$N$304,"&lt;"&amp;N27)+COUNTIFS($D$5:D27,"Fridge",$N$5:N27,N27))</f>
        <v>0</v>
      </c>
      <c r="V27" s="18">
        <f>IF(OR(B27="",D27&lt;&gt;"Freezer",NOT(ISNUMBER(N27))),"",COUNTIFS($D$5:$D$304,"Freezer",$N$5:$N$304,"&lt;"&amp;N27)+COUNTIFS($D$5:D27,"Freezer",$N$5:N27,N27))</f>
        <v>0</v>
      </c>
      <c r="W27" s="31">
        <f>IF(B27="","",IF(G27=0,"Out of stock",IF(AND(N27&lt;&gt;"",N27&lt;0),"Expired",IF(AND(N27&lt;&gt;"",N27&lt;=ExpiryWarningDays),"Use soon",IF(AND(Q27&lt;&gt;"",G27&lt;Q27),"Low stock","In stock")))))</f>
        <v>0</v>
      </c>
      <c r="X27" s="31">
        <f>IF(B27="","",IF(W27="Expired","Expired - bin it and log it on the Food Waste tab",IF(W27="Use soon","Use soon - plan a meal with it",IF(W27="Out of stock",IF(T27="Yes","Missing - staple has run out","Add - restock when convenient"),IF(W27="Low stock","Check - running low",IF(S27&lt;0,"Check - the plan needs more than you have","OK"))))))</f>
        <v>0</v>
      </c>
      <c r="Y27" s="43" t="s">
        <v>1111</v>
      </c>
    </row>
    <row r="28" spans="1:25">
      <c r="A28" s="39">
        <f>IF(B28="","",PantryPrefix&amp;TEXT(ROW()-4,"0000"))</f>
        <v>0</v>
      </c>
      <c r="B28" s="32" t="s">
        <v>737</v>
      </c>
      <c r="C28" s="17">
        <f>IF(B28="","",IFERROR(INDEX(Ingredients!$C$5:$C$304,MATCH(B28,Ingredients!$B$5:$B$304,0)),"Add to Ingredients"))</f>
        <v>0</v>
      </c>
      <c r="D28" s="32" t="s">
        <v>444</v>
      </c>
      <c r="E28" s="38">
        <v>150</v>
      </c>
      <c r="F28" s="32" t="s">
        <v>668</v>
      </c>
      <c r="G28" s="45">
        <f>IF(E28="","",IFERROR(E28*INDEX(UnitFactors,MATCH(F28,UnitNames,0)),""))</f>
        <v>0</v>
      </c>
      <c r="H28" s="17">
        <f>IF(F28="","",IFERROR(INDEX(UnitBases,MATCH(F28,UnitNames,0)),"?"))</f>
        <v>0</v>
      </c>
      <c r="I28" s="40" t="s">
        <v>311</v>
      </c>
      <c r="J28" s="15">
        <v>46286</v>
      </c>
      <c r="K28" s="15">
        <v>46307</v>
      </c>
      <c r="L28" s="18">
        <f>IF(B28="","",IFERROR(INDEX(Ingredients!$Z$5:$Z$304,MATCH(B28,Ingredients!$B$5:$B$304,0)),"Add to Ingredients"))</f>
        <v>0</v>
      </c>
      <c r="M28" s="19">
        <f>IF(K28&lt;&gt;"",K28,IF(OR(J28="",L28="",NOT(ISNUMBER(L28))),"",J28+L28))</f>
        <v>0</v>
      </c>
      <c r="N28" s="18">
        <f>IF(M28="","",M28-TODAY())</f>
        <v>0</v>
      </c>
      <c r="O28" s="25">
        <f>IF(B28="","",IFERROR(INDEX(Ingredients!$J$5:$J$304,MATCH(B28,Ingredients!$B$5:$B$304,0)),"Add to Ingredients"))</f>
        <v>0</v>
      </c>
      <c r="P28" s="25">
        <f>IF(OR(G28="",O28="",NOT(ISNUMBER(O28))),"",G28*O28)</f>
        <v>0</v>
      </c>
      <c r="R28" s="45">
        <f>IF(B28="","",IFERROR(INDEX(Ingredients!$AG$5:$AG$304,MATCH(B28,Ingredients!$B$5:$B$304,0)),0))</f>
        <v>0</v>
      </c>
      <c r="S28" s="45">
        <f>IF(G28="","",G28-IF(R28="",0,R28))</f>
        <v>0</v>
      </c>
      <c r="T28" s="40" t="s">
        <v>312</v>
      </c>
      <c r="U28" s="18">
        <f>IF(OR(B28="",D28&lt;&gt;"Fridge",NOT(ISNUMBER(N28))),"",COUNTIFS($D$5:$D$304,"Fridge",$N$5:$N$304,"&lt;"&amp;N28)+COUNTIFS($D$5:D28,"Fridge",$N$5:N28,N28))</f>
        <v>0</v>
      </c>
      <c r="V28" s="18">
        <f>IF(OR(B28="",D28&lt;&gt;"Freezer",NOT(ISNUMBER(N28))),"",COUNTIFS($D$5:$D$304,"Freezer",$N$5:$N$304,"&lt;"&amp;N28)+COUNTIFS($D$5:D28,"Freezer",$N$5:N28,N28))</f>
        <v>0</v>
      </c>
      <c r="W28" s="31">
        <f>IF(B28="","",IF(G28=0,"Out of stock",IF(AND(N28&lt;&gt;"",N28&lt;0),"Expired",IF(AND(N28&lt;&gt;"",N28&lt;=ExpiryWarningDays),"Use soon",IF(AND(Q28&lt;&gt;"",G28&lt;Q28),"Low stock","In stock")))))</f>
        <v>0</v>
      </c>
      <c r="X28" s="31">
        <f>IF(B28="","",IF(W28="Expired","Expired - bin it and log it on the Food Waste tab",IF(W28="Use soon","Use soon - plan a meal with it",IF(W28="Out of stock",IF(T28="Yes","Missing - staple has run out","Add - restock when convenient"),IF(W28="Low stock","Check - running low",IF(S28&lt;0,"Check - the plan needs more than you have","OK"))))))</f>
        <v>0</v>
      </c>
      <c r="Y28" s="43" t="s">
        <v>1111</v>
      </c>
    </row>
    <row r="29" spans="1:25">
      <c r="A29" s="39">
        <f>IF(B29="","",PantryPrefix&amp;TEXT(ROW()-4,"0000"))</f>
        <v>0</v>
      </c>
      <c r="B29" s="32" t="s">
        <v>935</v>
      </c>
      <c r="C29" s="17">
        <f>IF(B29="","",IFERROR(INDEX(Ingredients!$C$5:$C$304,MATCH(B29,Ingredients!$B$5:$B$304,0)),"Add to Ingredients"))</f>
        <v>0</v>
      </c>
      <c r="D29" s="32" t="s">
        <v>445</v>
      </c>
      <c r="E29" s="38">
        <v>600</v>
      </c>
      <c r="F29" s="32" t="s">
        <v>668</v>
      </c>
      <c r="G29" s="45">
        <f>IF(E29="","",IFERROR(E29*INDEX(UnitFactors,MATCH(F29,UnitNames,0)),""))</f>
        <v>0</v>
      </c>
      <c r="H29" s="17">
        <f>IF(F29="","",IFERROR(INDEX(UnitBases,MATCH(F29,UnitNames,0)),"?"))</f>
        <v>0</v>
      </c>
      <c r="I29" s="40" t="s">
        <v>311</v>
      </c>
      <c r="J29" s="15">
        <v>46292</v>
      </c>
      <c r="L29" s="18">
        <f>IF(B29="","",IFERROR(INDEX(Ingredients!$Z$5:$Z$304,MATCH(B29,Ingredients!$B$5:$B$304,0)),"Add to Ingredients"))</f>
        <v>0</v>
      </c>
      <c r="M29" s="19">
        <f>IF(K29&lt;&gt;"",K29,IF(OR(J29="",L29="",NOT(ISNUMBER(L29))),"",J29+L29))</f>
        <v>0</v>
      </c>
      <c r="N29" s="18">
        <f>IF(M29="","",M29-TODAY())</f>
        <v>0</v>
      </c>
      <c r="O29" s="25">
        <f>IF(B29="","",IFERROR(INDEX(Ingredients!$J$5:$J$304,MATCH(B29,Ingredients!$B$5:$B$304,0)),"Add to Ingredients"))</f>
        <v>0</v>
      </c>
      <c r="P29" s="25">
        <f>IF(OR(G29="",O29="",NOT(ISNUMBER(O29))),"",G29*O29)</f>
        <v>0</v>
      </c>
      <c r="Q29" s="38">
        <v>400</v>
      </c>
      <c r="R29" s="45">
        <f>IF(B29="","",IFERROR(INDEX(Ingredients!$AG$5:$AG$304,MATCH(B29,Ingredients!$B$5:$B$304,0)),0))</f>
        <v>0</v>
      </c>
      <c r="S29" s="45">
        <f>IF(G29="","",G29-IF(R29="",0,R29))</f>
        <v>0</v>
      </c>
      <c r="T29" s="40" t="s">
        <v>311</v>
      </c>
      <c r="U29" s="18">
        <f>IF(OR(B29="",D29&lt;&gt;"Fridge",NOT(ISNUMBER(N29))),"",COUNTIFS($D$5:$D$304,"Fridge",$N$5:$N$304,"&lt;"&amp;N29)+COUNTIFS($D$5:D29,"Fridge",$N$5:N29,N29))</f>
        <v>0</v>
      </c>
      <c r="V29" s="18">
        <f>IF(OR(B29="",D29&lt;&gt;"Freezer",NOT(ISNUMBER(N29))),"",COUNTIFS($D$5:$D$304,"Freezer",$N$5:$N$304,"&lt;"&amp;N29)+COUNTIFS($D$5:D29,"Freezer",$N$5:N29,N29))</f>
        <v>0</v>
      </c>
      <c r="W29" s="31">
        <f>IF(B29="","",IF(G29=0,"Out of stock",IF(AND(N29&lt;&gt;"",N29&lt;0),"Expired",IF(AND(N29&lt;&gt;"",N29&lt;=ExpiryWarningDays),"Use soon",IF(AND(Q29&lt;&gt;"",G29&lt;Q29),"Low stock","In stock")))))</f>
        <v>0</v>
      </c>
      <c r="X29" s="31">
        <f>IF(B29="","",IF(W29="Expired","Expired - bin it and log it on the Food Waste tab",IF(W29="Use soon","Use soon - plan a meal with it",IF(W29="Out of stock",IF(T29="Yes","Missing - staple has run out","Add - restock when convenient"),IF(W29="Low stock","Check - running low",IF(S29&lt;0,"Check - the plan needs more than you have","OK"))))))</f>
        <v>0</v>
      </c>
      <c r="Y29" s="43" t="s">
        <v>157</v>
      </c>
    </row>
    <row r="30" spans="1:25">
      <c r="A30" s="39">
        <f>IF(B30="","",PantryPrefix&amp;TEXT(ROW()-4,"0000"))</f>
        <v>0</v>
      </c>
      <c r="B30" s="32" t="s">
        <v>945</v>
      </c>
      <c r="C30" s="17">
        <f>IF(B30="","",IFERROR(INDEX(Ingredients!$C$5:$C$304,MATCH(B30,Ingredients!$B$5:$B$304,0)),"Add to Ingredients"))</f>
        <v>0</v>
      </c>
      <c r="D30" s="32" t="s">
        <v>445</v>
      </c>
      <c r="E30" s="38">
        <v>350</v>
      </c>
      <c r="F30" s="32" t="s">
        <v>668</v>
      </c>
      <c r="G30" s="45">
        <f>IF(E30="","",IFERROR(E30*INDEX(UnitFactors,MATCH(F30,UnitNames,0)),""))</f>
        <v>0</v>
      </c>
      <c r="H30" s="17">
        <f>IF(F30="","",IFERROR(INDEX(UnitBases,MATCH(F30,UnitNames,0)),"?"))</f>
        <v>0</v>
      </c>
      <c r="I30" s="40" t="s">
        <v>311</v>
      </c>
      <c r="J30" s="15">
        <v>46293</v>
      </c>
      <c r="L30" s="18">
        <f>IF(B30="","",IFERROR(INDEX(Ingredients!$Z$5:$Z$304,MATCH(B30,Ingredients!$B$5:$B$304,0)),"Add to Ingredients"))</f>
        <v>0</v>
      </c>
      <c r="M30" s="19">
        <f>IF(K30&lt;&gt;"",K30,IF(OR(J30="",L30="",NOT(ISNUMBER(L30))),"",J30+L30))</f>
        <v>0</v>
      </c>
      <c r="N30" s="18">
        <f>IF(M30="","",M30-TODAY())</f>
        <v>0</v>
      </c>
      <c r="O30" s="25">
        <f>IF(B30="","",IFERROR(INDEX(Ingredients!$J$5:$J$304,MATCH(B30,Ingredients!$B$5:$B$304,0)),"Add to Ingredients"))</f>
        <v>0</v>
      </c>
      <c r="P30" s="25">
        <f>IF(OR(G30="",O30="",NOT(ISNUMBER(O30))),"",G30*O30)</f>
        <v>0</v>
      </c>
      <c r="Q30" s="38">
        <v>200</v>
      </c>
      <c r="R30" s="45">
        <f>IF(B30="","",IFERROR(INDEX(Ingredients!$AG$5:$AG$304,MATCH(B30,Ingredients!$B$5:$B$304,0)),0))</f>
        <v>0</v>
      </c>
      <c r="S30" s="45">
        <f>IF(G30="","",G30-IF(R30="",0,R30))</f>
        <v>0</v>
      </c>
      <c r="T30" s="40" t="s">
        <v>311</v>
      </c>
      <c r="U30" s="18">
        <f>IF(OR(B30="",D30&lt;&gt;"Fridge",NOT(ISNUMBER(N30))),"",COUNTIFS($D$5:$D$304,"Fridge",$N$5:$N$304,"&lt;"&amp;N30)+COUNTIFS($D$5:D30,"Fridge",$N$5:N30,N30))</f>
        <v>0</v>
      </c>
      <c r="V30" s="18">
        <f>IF(OR(B30="",D30&lt;&gt;"Freezer",NOT(ISNUMBER(N30))),"",COUNTIFS($D$5:$D$304,"Freezer",$N$5:$N$304,"&lt;"&amp;N30)+COUNTIFS($D$5:D30,"Freezer",$N$5:N30,N30))</f>
        <v>0</v>
      </c>
      <c r="W30" s="31">
        <f>IF(B30="","",IF(G30=0,"Out of stock",IF(AND(N30&lt;&gt;"",N30&lt;0),"Expired",IF(AND(N30&lt;&gt;"",N30&lt;=ExpiryWarningDays),"Use soon",IF(AND(Q30&lt;&gt;"",G30&lt;Q30),"Low stock","In stock")))))</f>
        <v>0</v>
      </c>
      <c r="X30" s="31">
        <f>IF(B30="","",IF(W30="Expired","Expired - bin it and log it on the Food Waste tab",IF(W30="Use soon","Use soon - plan a meal with it",IF(W30="Out of stock",IF(T30="Yes","Missing - staple has run out","Add - restock when convenient"),IF(W30="Low stock","Check - running low",IF(S30&lt;0,"Check - the plan needs more than you have","OK"))))))</f>
        <v>0</v>
      </c>
      <c r="Y30" s="43" t="s">
        <v>157</v>
      </c>
    </row>
    <row r="31" spans="1:25">
      <c r="A31" s="39">
        <f>IF(B31="","",PantryPrefix&amp;TEXT(ROW()-4,"0000"))</f>
        <v>0</v>
      </c>
      <c r="B31" s="32" t="s">
        <v>899</v>
      </c>
      <c r="C31" s="17">
        <f>IF(B31="","",IFERROR(INDEX(Ingredients!$C$5:$C$304,MATCH(B31,Ingredients!$B$5:$B$304,0)),"Add to Ingredients"))</f>
        <v>0</v>
      </c>
      <c r="D31" s="32" t="s">
        <v>445</v>
      </c>
      <c r="E31" s="38">
        <v>500</v>
      </c>
      <c r="F31" s="32" t="s">
        <v>668</v>
      </c>
      <c r="G31" s="45">
        <f>IF(E31="","",IFERROR(E31*INDEX(UnitFactors,MATCH(F31,UnitNames,0)),""))</f>
        <v>0</v>
      </c>
      <c r="H31" s="17">
        <f>IF(F31="","",IFERROR(INDEX(UnitBases,MATCH(F31,UnitNames,0)),"?"))</f>
        <v>0</v>
      </c>
      <c r="I31" s="40" t="s">
        <v>312</v>
      </c>
      <c r="J31" s="15">
        <v>46300</v>
      </c>
      <c r="L31" s="18">
        <f>IF(B31="","",IFERROR(INDEX(Ingredients!$Z$5:$Z$304,MATCH(B31,Ingredients!$B$5:$B$304,0)),"Add to Ingredients"))</f>
        <v>0</v>
      </c>
      <c r="M31" s="19">
        <f>IF(K31&lt;&gt;"",K31,IF(OR(J31="",L31="",NOT(ISNUMBER(L31))),"",J31+L31))</f>
        <v>0</v>
      </c>
      <c r="N31" s="18">
        <f>IF(M31="","",M31-TODAY())</f>
        <v>0</v>
      </c>
      <c r="O31" s="25">
        <f>IF(B31="","",IFERROR(INDEX(Ingredients!$J$5:$J$304,MATCH(B31,Ingredients!$B$5:$B$304,0)),"Add to Ingredients"))</f>
        <v>0</v>
      </c>
      <c r="P31" s="25">
        <f>IF(OR(G31="",O31="",NOT(ISNUMBER(O31))),"",G31*O31)</f>
        <v>0</v>
      </c>
      <c r="R31" s="45">
        <f>IF(B31="","",IFERROR(INDEX(Ingredients!$AG$5:$AG$304,MATCH(B31,Ingredients!$B$5:$B$304,0)),0))</f>
        <v>0</v>
      </c>
      <c r="S31" s="45">
        <f>IF(G31="","",G31-IF(R31="",0,R31))</f>
        <v>0</v>
      </c>
      <c r="T31" s="40" t="s">
        <v>312</v>
      </c>
      <c r="U31" s="18">
        <f>IF(OR(B31="",D31&lt;&gt;"Fridge",NOT(ISNUMBER(N31))),"",COUNTIFS($D$5:$D$304,"Fridge",$N$5:$N$304,"&lt;"&amp;N31)+COUNTIFS($D$5:D31,"Fridge",$N$5:N31,N31))</f>
        <v>0</v>
      </c>
      <c r="V31" s="18">
        <f>IF(OR(B31="",D31&lt;&gt;"Freezer",NOT(ISNUMBER(N31))),"",COUNTIFS($D$5:$D$304,"Freezer",$N$5:$N$304,"&lt;"&amp;N31)+COUNTIFS($D$5:D31,"Freezer",$N$5:N31,N31))</f>
        <v>0</v>
      </c>
      <c r="W31" s="31">
        <f>IF(B31="","",IF(G31=0,"Out of stock",IF(AND(N31&lt;&gt;"",N31&lt;0),"Expired",IF(AND(N31&lt;&gt;"",N31&lt;=ExpiryWarningDays),"Use soon",IF(AND(Q31&lt;&gt;"",G31&lt;Q31),"Low stock","In stock")))))</f>
        <v>0</v>
      </c>
      <c r="X31" s="31">
        <f>IF(B31="","",IF(W31="Expired","Expired - bin it and log it on the Food Waste tab",IF(W31="Use soon","Use soon - plan a meal with it",IF(W31="Out of stock",IF(T31="Yes","Missing - staple has run out","Add - restock when convenient"),IF(W31="Low stock","Check - running low",IF(S31&lt;0,"Check - the plan needs more than you have","OK"))))))</f>
        <v>0</v>
      </c>
      <c r="Y31" s="43" t="s">
        <v>157</v>
      </c>
    </row>
    <row r="32" spans="1:25">
      <c r="A32" s="39">
        <f>IF(B32="","",PantryPrefix&amp;TEXT(ROW()-4,"0000"))</f>
        <v>0</v>
      </c>
      <c r="B32" s="32" t="s">
        <v>888</v>
      </c>
      <c r="C32" s="17">
        <f>IF(B32="","",IFERROR(INDEX(Ingredients!$C$5:$C$304,MATCH(B32,Ingredients!$B$5:$B$304,0)),"Add to Ingredients"))</f>
        <v>0</v>
      </c>
      <c r="D32" s="32" t="s">
        <v>445</v>
      </c>
      <c r="E32" s="38">
        <v>900</v>
      </c>
      <c r="F32" s="32" t="s">
        <v>668</v>
      </c>
      <c r="G32" s="45">
        <f>IF(E32="","",IFERROR(E32*INDEX(UnitFactors,MATCH(F32,UnitNames,0)),""))</f>
        <v>0</v>
      </c>
      <c r="H32" s="17">
        <f>IF(F32="","",IFERROR(INDEX(UnitBases,MATCH(F32,UnitNames,0)),"?"))</f>
        <v>0</v>
      </c>
      <c r="I32" s="40" t="s">
        <v>312</v>
      </c>
      <c r="J32" s="15">
        <v>46290</v>
      </c>
      <c r="L32" s="18">
        <f>IF(B32="","",IFERROR(INDEX(Ingredients!$Z$5:$Z$304,MATCH(B32,Ingredients!$B$5:$B$304,0)),"Add to Ingredients"))</f>
        <v>0</v>
      </c>
      <c r="M32" s="19">
        <f>IF(K32&lt;&gt;"",K32,IF(OR(J32="",L32="",NOT(ISNUMBER(L32))),"",J32+L32))</f>
        <v>0</v>
      </c>
      <c r="N32" s="18">
        <f>IF(M32="","",M32-TODAY())</f>
        <v>0</v>
      </c>
      <c r="O32" s="25">
        <f>IF(B32="","",IFERROR(INDEX(Ingredients!$J$5:$J$304,MATCH(B32,Ingredients!$B$5:$B$304,0)),"Add to Ingredients"))</f>
        <v>0</v>
      </c>
      <c r="P32" s="25">
        <f>IF(OR(G32="",O32="",NOT(ISNUMBER(O32))),"",G32*O32)</f>
        <v>0</v>
      </c>
      <c r="R32" s="45">
        <f>IF(B32="","",IFERROR(INDEX(Ingredients!$AG$5:$AG$304,MATCH(B32,Ingredients!$B$5:$B$304,0)),0))</f>
        <v>0</v>
      </c>
      <c r="S32" s="45">
        <f>IF(G32="","",G32-IF(R32="",0,R32))</f>
        <v>0</v>
      </c>
      <c r="T32" s="40" t="s">
        <v>312</v>
      </c>
      <c r="U32" s="18">
        <f>IF(OR(B32="",D32&lt;&gt;"Fridge",NOT(ISNUMBER(N32))),"",COUNTIFS($D$5:$D$304,"Fridge",$N$5:$N$304,"&lt;"&amp;N32)+COUNTIFS($D$5:D32,"Fridge",$N$5:N32,N32))</f>
        <v>0</v>
      </c>
      <c r="V32" s="18">
        <f>IF(OR(B32="",D32&lt;&gt;"Freezer",NOT(ISNUMBER(N32))),"",COUNTIFS($D$5:$D$304,"Freezer",$N$5:$N$304,"&lt;"&amp;N32)+COUNTIFS($D$5:D32,"Freezer",$N$5:N32,N32))</f>
        <v>0</v>
      </c>
      <c r="W32" s="31">
        <f>IF(B32="","",IF(G32=0,"Out of stock",IF(AND(N32&lt;&gt;"",N32&lt;0),"Expired",IF(AND(N32&lt;&gt;"",N32&lt;=ExpiryWarningDays),"Use soon",IF(AND(Q32&lt;&gt;"",G32&lt;Q32),"Low stock","In stock")))))</f>
        <v>0</v>
      </c>
      <c r="X32" s="31">
        <f>IF(B32="","",IF(W32="Expired","Expired - bin it and log it on the Food Waste tab",IF(W32="Use soon","Use soon - plan a meal with it",IF(W32="Out of stock",IF(T32="Yes","Missing - staple has run out","Add - restock when convenient"),IF(W32="Low stock","Check - running low",IF(S32&lt;0,"Check - the plan needs more than you have","OK"))))))</f>
        <v>0</v>
      </c>
      <c r="Y32" s="43" t="s">
        <v>157</v>
      </c>
    </row>
    <row r="33" spans="1:25">
      <c r="A33" s="39">
        <f>IF(B33="","",PantryPrefix&amp;TEXT(ROW()-4,"0000"))</f>
        <v>0</v>
      </c>
      <c r="B33" s="32" t="s">
        <v>948</v>
      </c>
      <c r="C33" s="17">
        <f>IF(B33="","",IFERROR(INDEX(Ingredients!$C$5:$C$304,MATCH(B33,Ingredients!$B$5:$B$304,0)),"Add to Ingredients"))</f>
        <v>0</v>
      </c>
      <c r="D33" s="32" t="s">
        <v>443</v>
      </c>
      <c r="E33" s="38">
        <v>400</v>
      </c>
      <c r="F33" s="32" t="s">
        <v>668</v>
      </c>
      <c r="G33" s="45">
        <f>IF(E33="","",IFERROR(E33*INDEX(UnitFactors,MATCH(F33,UnitNames,0)),""))</f>
        <v>0</v>
      </c>
      <c r="H33" s="17">
        <f>IF(F33="","",IFERROR(INDEX(UnitBases,MATCH(F33,UnitNames,0)),"?"))</f>
        <v>0</v>
      </c>
      <c r="I33" s="40" t="s">
        <v>311</v>
      </c>
      <c r="J33" s="15">
        <v>46287</v>
      </c>
      <c r="K33" s="15">
        <v>46308</v>
      </c>
      <c r="L33" s="18">
        <f>IF(B33="","",IFERROR(INDEX(Ingredients!$Z$5:$Z$304,MATCH(B33,Ingredients!$B$5:$B$304,0)),"Add to Ingredients"))</f>
        <v>0</v>
      </c>
      <c r="M33" s="19">
        <f>IF(K33&lt;&gt;"",K33,IF(OR(J33="",L33="",NOT(ISNUMBER(L33))),"",J33+L33))</f>
        <v>0</v>
      </c>
      <c r="N33" s="18">
        <f>IF(M33="","",M33-TODAY())</f>
        <v>0</v>
      </c>
      <c r="O33" s="25">
        <f>IF(B33="","",IFERROR(INDEX(Ingredients!$J$5:$J$304,MATCH(B33,Ingredients!$B$5:$B$304,0)),"Add to Ingredients"))</f>
        <v>0</v>
      </c>
      <c r="P33" s="25">
        <f>IF(OR(G33="",O33="",NOT(ISNUMBER(O33))),"",G33*O33)</f>
        <v>0</v>
      </c>
      <c r="R33" s="45">
        <f>IF(B33="","",IFERROR(INDEX(Ingredients!$AG$5:$AG$304,MATCH(B33,Ingredients!$B$5:$B$304,0)),0))</f>
        <v>0</v>
      </c>
      <c r="S33" s="45">
        <f>IF(G33="","",G33-IF(R33="",0,R33))</f>
        <v>0</v>
      </c>
      <c r="T33" s="40" t="s">
        <v>312</v>
      </c>
      <c r="U33" s="18">
        <f>IF(OR(B33="",D33&lt;&gt;"Fridge",NOT(ISNUMBER(N33))),"",COUNTIFS($D$5:$D$304,"Fridge",$N$5:$N$304,"&lt;"&amp;N33)+COUNTIFS($D$5:D33,"Fridge",$N$5:N33,N33))</f>
        <v>0</v>
      </c>
      <c r="V33" s="18">
        <f>IF(OR(B33="",D33&lt;&gt;"Freezer",NOT(ISNUMBER(N33))),"",COUNTIFS($D$5:$D$304,"Freezer",$N$5:$N$304,"&lt;"&amp;N33)+COUNTIFS($D$5:D33,"Freezer",$N$5:N33,N33))</f>
        <v>0</v>
      </c>
      <c r="W33" s="31">
        <f>IF(B33="","",IF(G33=0,"Out of stock",IF(AND(N33&lt;&gt;"",N33&lt;0),"Expired",IF(AND(N33&lt;&gt;"",N33&lt;=ExpiryWarningDays),"Use soon",IF(AND(Q33&lt;&gt;"",G33&lt;Q33),"Low stock","In stock")))))</f>
        <v>0</v>
      </c>
      <c r="X33" s="31">
        <f>IF(B33="","",IF(W33="Expired","Expired - bin it and log it on the Food Waste tab",IF(W33="Use soon","Use soon - plan a meal with it",IF(W33="Out of stock",IF(T33="Yes","Missing - staple has run out","Add - restock when convenient"),IF(W33="Low stock","Check - running low",IF(S33&lt;0,"Check - the plan needs more than you have","OK"))))))</f>
        <v>0</v>
      </c>
      <c r="Y33" s="43" t="s">
        <v>1111</v>
      </c>
    </row>
    <row r="34" spans="1:25">
      <c r="A34" s="39">
        <f>IF(B34="","",PantryPrefix&amp;TEXT(ROW()-4,"0000"))</f>
        <v>0</v>
      </c>
      <c r="B34" s="32" t="s">
        <v>927</v>
      </c>
      <c r="C34" s="17">
        <f>IF(B34="","",IFERROR(INDEX(Ingredients!$C$5:$C$304,MATCH(B34,Ingredients!$B$5:$B$304,0)),"Add to Ingredients"))</f>
        <v>0</v>
      </c>
      <c r="D34" s="32" t="s">
        <v>443</v>
      </c>
      <c r="E34" s="38">
        <v>4</v>
      </c>
      <c r="F34" s="32" t="s">
        <v>685</v>
      </c>
      <c r="G34" s="45">
        <f>IF(E34="","",IFERROR(E34*INDEX(UnitFactors,MATCH(F34,UnitNames,0)),""))</f>
        <v>0</v>
      </c>
      <c r="H34" s="17">
        <f>IF(F34="","",IFERROR(INDEX(UnitBases,MATCH(F34,UnitNames,0)),"?"))</f>
        <v>0</v>
      </c>
      <c r="I34" s="40" t="s">
        <v>311</v>
      </c>
      <c r="J34" s="15">
        <v>46300</v>
      </c>
      <c r="K34" s="15">
        <v>46315</v>
      </c>
      <c r="L34" s="18">
        <f>IF(B34="","",IFERROR(INDEX(Ingredients!$Z$5:$Z$304,MATCH(B34,Ingredients!$B$5:$B$304,0)),"Add to Ingredients"))</f>
        <v>0</v>
      </c>
      <c r="M34" s="19">
        <f>IF(K34&lt;&gt;"",K34,IF(OR(J34="",L34="",NOT(ISNUMBER(L34))),"",J34+L34))</f>
        <v>0</v>
      </c>
      <c r="N34" s="18">
        <f>IF(M34="","",M34-TODAY())</f>
        <v>0</v>
      </c>
      <c r="O34" s="25">
        <f>IF(B34="","",IFERROR(INDEX(Ingredients!$J$5:$J$304,MATCH(B34,Ingredients!$B$5:$B$304,0)),"Add to Ingredients"))</f>
        <v>0</v>
      </c>
      <c r="P34" s="25">
        <f>IF(OR(G34="",O34="",NOT(ISNUMBER(O34))),"",G34*O34)</f>
        <v>0</v>
      </c>
      <c r="R34" s="45">
        <f>IF(B34="","",IFERROR(INDEX(Ingredients!$AG$5:$AG$304,MATCH(B34,Ingredients!$B$5:$B$304,0)),0))</f>
        <v>0</v>
      </c>
      <c r="S34" s="45">
        <f>IF(G34="","",G34-IF(R34="",0,R34))</f>
        <v>0</v>
      </c>
      <c r="T34" s="40" t="s">
        <v>312</v>
      </c>
      <c r="U34" s="18">
        <f>IF(OR(B34="",D34&lt;&gt;"Fridge",NOT(ISNUMBER(N34))),"",COUNTIFS($D$5:$D$304,"Fridge",$N$5:$N$304,"&lt;"&amp;N34)+COUNTIFS($D$5:D34,"Fridge",$N$5:N34,N34))</f>
        <v>0</v>
      </c>
      <c r="V34" s="18">
        <f>IF(OR(B34="",D34&lt;&gt;"Freezer",NOT(ISNUMBER(N34))),"",COUNTIFS($D$5:$D$304,"Freezer",$N$5:$N$304,"&lt;"&amp;N34)+COUNTIFS($D$5:D34,"Freezer",$N$5:N34,N34))</f>
        <v>0</v>
      </c>
      <c r="W34" s="31">
        <f>IF(B34="","",IF(G34=0,"Out of stock",IF(AND(N34&lt;&gt;"",N34&lt;0),"Expired",IF(AND(N34&lt;&gt;"",N34&lt;=ExpiryWarningDays),"Use soon",IF(AND(Q34&lt;&gt;"",G34&lt;Q34),"Low stock","In stock")))))</f>
        <v>0</v>
      </c>
      <c r="X34" s="31">
        <f>IF(B34="","",IF(W34="Expired","Expired - bin it and log it on the Food Waste tab",IF(W34="Use soon","Use soon - plan a meal with it",IF(W34="Out of stock",IF(T34="Yes","Missing - staple has run out","Add - restock when convenient"),IF(W34="Low stock","Check - running low",IF(S34&lt;0,"Check - the plan needs more than you have","OK"))))))</f>
        <v>0</v>
      </c>
      <c r="Y34" s="43" t="s">
        <v>157</v>
      </c>
    </row>
    <row r="35" spans="1:25">
      <c r="A35" s="39">
        <f>IF(B35="","",PantryPrefix&amp;TEXT(ROW()-4,"0000"))</f>
        <v>0</v>
      </c>
      <c r="C35" s="17">
        <f>IF(B35="","",IFERROR(INDEX(Ingredients!$C$5:$C$304,MATCH(B35,Ingredients!$B$5:$B$304,0)),"Add to Ingredients"))</f>
        <v>0</v>
      </c>
      <c r="G35" s="45">
        <f>IF(E35="","",IFERROR(E35*INDEX(UnitFactors,MATCH(F35,UnitNames,0)),""))</f>
        <v>0</v>
      </c>
      <c r="H35" s="17">
        <f>IF(F35="","",IFERROR(INDEX(UnitBases,MATCH(F35,UnitNames,0)),"?"))</f>
        <v>0</v>
      </c>
      <c r="L35" s="18">
        <f>IF(B35="","",IFERROR(INDEX(Ingredients!$Z$5:$Z$304,MATCH(B35,Ingredients!$B$5:$B$304,0)),"Add to Ingredients"))</f>
        <v>0</v>
      </c>
      <c r="M35" s="19">
        <f>IF(K35&lt;&gt;"",K35,IF(OR(J35="",L35="",NOT(ISNUMBER(L35))),"",J35+L35))</f>
        <v>0</v>
      </c>
      <c r="N35" s="18">
        <f>IF(M35="","",M35-TODAY())</f>
        <v>0</v>
      </c>
      <c r="O35" s="25">
        <f>IF(B35="","",IFERROR(INDEX(Ingredients!$J$5:$J$304,MATCH(B35,Ingredients!$B$5:$B$304,0)),"Add to Ingredients"))</f>
        <v>0</v>
      </c>
      <c r="P35" s="25">
        <f>IF(OR(G35="",O35="",NOT(ISNUMBER(O35))),"",G35*O35)</f>
        <v>0</v>
      </c>
      <c r="R35" s="45">
        <f>IF(B35="","",IFERROR(INDEX(Ingredients!$AG$5:$AG$304,MATCH(B35,Ingredients!$B$5:$B$304,0)),0))</f>
        <v>0</v>
      </c>
      <c r="S35" s="45">
        <f>IF(G35="","",G35-IF(R35="",0,R35))</f>
        <v>0</v>
      </c>
      <c r="U35" s="18">
        <f>IF(OR(B35="",D35&lt;&gt;"Fridge",NOT(ISNUMBER(N35))),"",COUNTIFS($D$5:$D$304,"Fridge",$N$5:$N$304,"&lt;"&amp;N35)+COUNTIFS($D$5:D35,"Fridge",$N$5:N35,N35))</f>
        <v>0</v>
      </c>
      <c r="V35" s="18">
        <f>IF(OR(B35="",D35&lt;&gt;"Freezer",NOT(ISNUMBER(N35))),"",COUNTIFS($D$5:$D$304,"Freezer",$N$5:$N$304,"&lt;"&amp;N35)+COUNTIFS($D$5:D35,"Freezer",$N$5:N35,N35))</f>
        <v>0</v>
      </c>
      <c r="W35" s="31">
        <f>IF(B35="","",IF(G35=0,"Out of stock",IF(AND(N35&lt;&gt;"",N35&lt;0),"Expired",IF(AND(N35&lt;&gt;"",N35&lt;=ExpiryWarningDays),"Use soon",IF(AND(Q35&lt;&gt;"",G35&lt;Q35),"Low stock","In stock")))))</f>
        <v>0</v>
      </c>
      <c r="X35" s="31">
        <f>IF(B35="","",IF(W35="Expired","Expired - bin it and log it on the Food Waste tab",IF(W35="Use soon","Use soon - plan a meal with it",IF(W35="Out of stock",IF(T35="Yes","Missing - staple has run out","Add - restock when convenient"),IF(W35="Low stock","Check - running low",IF(S35&lt;0,"Check - the plan needs more than you have","OK"))))))</f>
        <v>0</v>
      </c>
    </row>
    <row r="36" spans="1:25">
      <c r="A36" s="39">
        <f>IF(B36="","",PantryPrefix&amp;TEXT(ROW()-4,"0000"))</f>
        <v>0</v>
      </c>
      <c r="C36" s="17">
        <f>IF(B36="","",IFERROR(INDEX(Ingredients!$C$5:$C$304,MATCH(B36,Ingredients!$B$5:$B$304,0)),"Add to Ingredients"))</f>
        <v>0</v>
      </c>
      <c r="G36" s="45">
        <f>IF(E36="","",IFERROR(E36*INDEX(UnitFactors,MATCH(F36,UnitNames,0)),""))</f>
        <v>0</v>
      </c>
      <c r="H36" s="17">
        <f>IF(F36="","",IFERROR(INDEX(UnitBases,MATCH(F36,UnitNames,0)),"?"))</f>
        <v>0</v>
      </c>
      <c r="L36" s="18">
        <f>IF(B36="","",IFERROR(INDEX(Ingredients!$Z$5:$Z$304,MATCH(B36,Ingredients!$B$5:$B$304,0)),"Add to Ingredients"))</f>
        <v>0</v>
      </c>
      <c r="M36" s="19">
        <f>IF(K36&lt;&gt;"",K36,IF(OR(J36="",L36="",NOT(ISNUMBER(L36))),"",J36+L36))</f>
        <v>0</v>
      </c>
      <c r="N36" s="18">
        <f>IF(M36="","",M36-TODAY())</f>
        <v>0</v>
      </c>
      <c r="O36" s="25">
        <f>IF(B36="","",IFERROR(INDEX(Ingredients!$J$5:$J$304,MATCH(B36,Ingredients!$B$5:$B$304,0)),"Add to Ingredients"))</f>
        <v>0</v>
      </c>
      <c r="P36" s="25">
        <f>IF(OR(G36="",O36="",NOT(ISNUMBER(O36))),"",G36*O36)</f>
        <v>0</v>
      </c>
      <c r="R36" s="45">
        <f>IF(B36="","",IFERROR(INDEX(Ingredients!$AG$5:$AG$304,MATCH(B36,Ingredients!$B$5:$B$304,0)),0))</f>
        <v>0</v>
      </c>
      <c r="S36" s="45">
        <f>IF(G36="","",G36-IF(R36="",0,R36))</f>
        <v>0</v>
      </c>
      <c r="U36" s="18">
        <f>IF(OR(B36="",D36&lt;&gt;"Fridge",NOT(ISNUMBER(N36))),"",COUNTIFS($D$5:$D$304,"Fridge",$N$5:$N$304,"&lt;"&amp;N36)+COUNTIFS($D$5:D36,"Fridge",$N$5:N36,N36))</f>
        <v>0</v>
      </c>
      <c r="V36" s="18">
        <f>IF(OR(B36="",D36&lt;&gt;"Freezer",NOT(ISNUMBER(N36))),"",COUNTIFS($D$5:$D$304,"Freezer",$N$5:$N$304,"&lt;"&amp;N36)+COUNTIFS($D$5:D36,"Freezer",$N$5:N36,N36))</f>
        <v>0</v>
      </c>
      <c r="W36" s="31">
        <f>IF(B36="","",IF(G36=0,"Out of stock",IF(AND(N36&lt;&gt;"",N36&lt;0),"Expired",IF(AND(N36&lt;&gt;"",N36&lt;=ExpiryWarningDays),"Use soon",IF(AND(Q36&lt;&gt;"",G36&lt;Q36),"Low stock","In stock")))))</f>
        <v>0</v>
      </c>
      <c r="X36" s="31">
        <f>IF(B36="","",IF(W36="Expired","Expired - bin it and log it on the Food Waste tab",IF(W36="Use soon","Use soon - plan a meal with it",IF(W36="Out of stock",IF(T36="Yes","Missing - staple has run out","Add - restock when convenient"),IF(W36="Low stock","Check - running low",IF(S36&lt;0,"Check - the plan needs more than you have","OK"))))))</f>
        <v>0</v>
      </c>
    </row>
    <row r="37" spans="1:25">
      <c r="A37" s="39">
        <f>IF(B37="","",PantryPrefix&amp;TEXT(ROW()-4,"0000"))</f>
        <v>0</v>
      </c>
      <c r="C37" s="17">
        <f>IF(B37="","",IFERROR(INDEX(Ingredients!$C$5:$C$304,MATCH(B37,Ingredients!$B$5:$B$304,0)),"Add to Ingredients"))</f>
        <v>0</v>
      </c>
      <c r="G37" s="45">
        <f>IF(E37="","",IFERROR(E37*INDEX(UnitFactors,MATCH(F37,UnitNames,0)),""))</f>
        <v>0</v>
      </c>
      <c r="H37" s="17">
        <f>IF(F37="","",IFERROR(INDEX(UnitBases,MATCH(F37,UnitNames,0)),"?"))</f>
        <v>0</v>
      </c>
      <c r="L37" s="18">
        <f>IF(B37="","",IFERROR(INDEX(Ingredients!$Z$5:$Z$304,MATCH(B37,Ingredients!$B$5:$B$304,0)),"Add to Ingredients"))</f>
        <v>0</v>
      </c>
      <c r="M37" s="19">
        <f>IF(K37&lt;&gt;"",K37,IF(OR(J37="",L37="",NOT(ISNUMBER(L37))),"",J37+L37))</f>
        <v>0</v>
      </c>
      <c r="N37" s="18">
        <f>IF(M37="","",M37-TODAY())</f>
        <v>0</v>
      </c>
      <c r="O37" s="25">
        <f>IF(B37="","",IFERROR(INDEX(Ingredients!$J$5:$J$304,MATCH(B37,Ingredients!$B$5:$B$304,0)),"Add to Ingredients"))</f>
        <v>0</v>
      </c>
      <c r="P37" s="25">
        <f>IF(OR(G37="",O37="",NOT(ISNUMBER(O37))),"",G37*O37)</f>
        <v>0</v>
      </c>
      <c r="R37" s="45">
        <f>IF(B37="","",IFERROR(INDEX(Ingredients!$AG$5:$AG$304,MATCH(B37,Ingredients!$B$5:$B$304,0)),0))</f>
        <v>0</v>
      </c>
      <c r="S37" s="45">
        <f>IF(G37="","",G37-IF(R37="",0,R37))</f>
        <v>0</v>
      </c>
      <c r="U37" s="18">
        <f>IF(OR(B37="",D37&lt;&gt;"Fridge",NOT(ISNUMBER(N37))),"",COUNTIFS($D$5:$D$304,"Fridge",$N$5:$N$304,"&lt;"&amp;N37)+COUNTIFS($D$5:D37,"Fridge",$N$5:N37,N37))</f>
        <v>0</v>
      </c>
      <c r="V37" s="18">
        <f>IF(OR(B37="",D37&lt;&gt;"Freezer",NOT(ISNUMBER(N37))),"",COUNTIFS($D$5:$D$304,"Freezer",$N$5:$N$304,"&lt;"&amp;N37)+COUNTIFS($D$5:D37,"Freezer",$N$5:N37,N37))</f>
        <v>0</v>
      </c>
      <c r="W37" s="31">
        <f>IF(B37="","",IF(G37=0,"Out of stock",IF(AND(N37&lt;&gt;"",N37&lt;0),"Expired",IF(AND(N37&lt;&gt;"",N37&lt;=ExpiryWarningDays),"Use soon",IF(AND(Q37&lt;&gt;"",G37&lt;Q37),"Low stock","In stock")))))</f>
        <v>0</v>
      </c>
      <c r="X37" s="31">
        <f>IF(B37="","",IF(W37="Expired","Expired - bin it and log it on the Food Waste tab",IF(W37="Use soon","Use soon - plan a meal with it",IF(W37="Out of stock",IF(T37="Yes","Missing - staple has run out","Add - restock when convenient"),IF(W37="Low stock","Check - running low",IF(S37&lt;0,"Check - the plan needs more than you have","OK"))))))</f>
        <v>0</v>
      </c>
    </row>
    <row r="38" spans="1:25">
      <c r="A38" s="39">
        <f>IF(B38="","",PantryPrefix&amp;TEXT(ROW()-4,"0000"))</f>
        <v>0</v>
      </c>
      <c r="C38" s="17">
        <f>IF(B38="","",IFERROR(INDEX(Ingredients!$C$5:$C$304,MATCH(B38,Ingredients!$B$5:$B$304,0)),"Add to Ingredients"))</f>
        <v>0</v>
      </c>
      <c r="G38" s="45">
        <f>IF(E38="","",IFERROR(E38*INDEX(UnitFactors,MATCH(F38,UnitNames,0)),""))</f>
        <v>0</v>
      </c>
      <c r="H38" s="17">
        <f>IF(F38="","",IFERROR(INDEX(UnitBases,MATCH(F38,UnitNames,0)),"?"))</f>
        <v>0</v>
      </c>
      <c r="L38" s="18">
        <f>IF(B38="","",IFERROR(INDEX(Ingredients!$Z$5:$Z$304,MATCH(B38,Ingredients!$B$5:$B$304,0)),"Add to Ingredients"))</f>
        <v>0</v>
      </c>
      <c r="M38" s="19">
        <f>IF(K38&lt;&gt;"",K38,IF(OR(J38="",L38="",NOT(ISNUMBER(L38))),"",J38+L38))</f>
        <v>0</v>
      </c>
      <c r="N38" s="18">
        <f>IF(M38="","",M38-TODAY())</f>
        <v>0</v>
      </c>
      <c r="O38" s="25">
        <f>IF(B38="","",IFERROR(INDEX(Ingredients!$J$5:$J$304,MATCH(B38,Ingredients!$B$5:$B$304,0)),"Add to Ingredients"))</f>
        <v>0</v>
      </c>
      <c r="P38" s="25">
        <f>IF(OR(G38="",O38="",NOT(ISNUMBER(O38))),"",G38*O38)</f>
        <v>0</v>
      </c>
      <c r="R38" s="45">
        <f>IF(B38="","",IFERROR(INDEX(Ingredients!$AG$5:$AG$304,MATCH(B38,Ingredients!$B$5:$B$304,0)),0))</f>
        <v>0</v>
      </c>
      <c r="S38" s="45">
        <f>IF(G38="","",G38-IF(R38="",0,R38))</f>
        <v>0</v>
      </c>
      <c r="U38" s="18">
        <f>IF(OR(B38="",D38&lt;&gt;"Fridge",NOT(ISNUMBER(N38))),"",COUNTIFS($D$5:$D$304,"Fridge",$N$5:$N$304,"&lt;"&amp;N38)+COUNTIFS($D$5:D38,"Fridge",$N$5:N38,N38))</f>
        <v>0</v>
      </c>
      <c r="V38" s="18">
        <f>IF(OR(B38="",D38&lt;&gt;"Freezer",NOT(ISNUMBER(N38))),"",COUNTIFS($D$5:$D$304,"Freezer",$N$5:$N$304,"&lt;"&amp;N38)+COUNTIFS($D$5:D38,"Freezer",$N$5:N38,N38))</f>
        <v>0</v>
      </c>
      <c r="W38" s="31">
        <f>IF(B38="","",IF(G38=0,"Out of stock",IF(AND(N38&lt;&gt;"",N38&lt;0),"Expired",IF(AND(N38&lt;&gt;"",N38&lt;=ExpiryWarningDays),"Use soon",IF(AND(Q38&lt;&gt;"",G38&lt;Q38),"Low stock","In stock")))))</f>
        <v>0</v>
      </c>
      <c r="X38" s="31">
        <f>IF(B38="","",IF(W38="Expired","Expired - bin it and log it on the Food Waste tab",IF(W38="Use soon","Use soon - plan a meal with it",IF(W38="Out of stock",IF(T38="Yes","Missing - staple has run out","Add - restock when convenient"),IF(W38="Low stock","Check - running low",IF(S38&lt;0,"Check - the plan needs more than you have","OK"))))))</f>
        <v>0</v>
      </c>
    </row>
    <row r="39" spans="1:25">
      <c r="A39" s="39">
        <f>IF(B39="","",PantryPrefix&amp;TEXT(ROW()-4,"0000"))</f>
        <v>0</v>
      </c>
      <c r="C39" s="17">
        <f>IF(B39="","",IFERROR(INDEX(Ingredients!$C$5:$C$304,MATCH(B39,Ingredients!$B$5:$B$304,0)),"Add to Ingredients"))</f>
        <v>0</v>
      </c>
      <c r="G39" s="45">
        <f>IF(E39="","",IFERROR(E39*INDEX(UnitFactors,MATCH(F39,UnitNames,0)),""))</f>
        <v>0</v>
      </c>
      <c r="H39" s="17">
        <f>IF(F39="","",IFERROR(INDEX(UnitBases,MATCH(F39,UnitNames,0)),"?"))</f>
        <v>0</v>
      </c>
      <c r="L39" s="18">
        <f>IF(B39="","",IFERROR(INDEX(Ingredients!$Z$5:$Z$304,MATCH(B39,Ingredients!$B$5:$B$304,0)),"Add to Ingredients"))</f>
        <v>0</v>
      </c>
      <c r="M39" s="19">
        <f>IF(K39&lt;&gt;"",K39,IF(OR(J39="",L39="",NOT(ISNUMBER(L39))),"",J39+L39))</f>
        <v>0</v>
      </c>
      <c r="N39" s="18">
        <f>IF(M39="","",M39-TODAY())</f>
        <v>0</v>
      </c>
      <c r="O39" s="25">
        <f>IF(B39="","",IFERROR(INDEX(Ingredients!$J$5:$J$304,MATCH(B39,Ingredients!$B$5:$B$304,0)),"Add to Ingredients"))</f>
        <v>0</v>
      </c>
      <c r="P39" s="25">
        <f>IF(OR(G39="",O39="",NOT(ISNUMBER(O39))),"",G39*O39)</f>
        <v>0</v>
      </c>
      <c r="R39" s="45">
        <f>IF(B39="","",IFERROR(INDEX(Ingredients!$AG$5:$AG$304,MATCH(B39,Ingredients!$B$5:$B$304,0)),0))</f>
        <v>0</v>
      </c>
      <c r="S39" s="45">
        <f>IF(G39="","",G39-IF(R39="",0,R39))</f>
        <v>0</v>
      </c>
      <c r="U39" s="18">
        <f>IF(OR(B39="",D39&lt;&gt;"Fridge",NOT(ISNUMBER(N39))),"",COUNTIFS($D$5:$D$304,"Fridge",$N$5:$N$304,"&lt;"&amp;N39)+COUNTIFS($D$5:D39,"Fridge",$N$5:N39,N39))</f>
        <v>0</v>
      </c>
      <c r="V39" s="18">
        <f>IF(OR(B39="",D39&lt;&gt;"Freezer",NOT(ISNUMBER(N39))),"",COUNTIFS($D$5:$D$304,"Freezer",$N$5:$N$304,"&lt;"&amp;N39)+COUNTIFS($D$5:D39,"Freezer",$N$5:N39,N39))</f>
        <v>0</v>
      </c>
      <c r="W39" s="31">
        <f>IF(B39="","",IF(G39=0,"Out of stock",IF(AND(N39&lt;&gt;"",N39&lt;0),"Expired",IF(AND(N39&lt;&gt;"",N39&lt;=ExpiryWarningDays),"Use soon",IF(AND(Q39&lt;&gt;"",G39&lt;Q39),"Low stock","In stock")))))</f>
        <v>0</v>
      </c>
      <c r="X39" s="31">
        <f>IF(B39="","",IF(W39="Expired","Expired - bin it and log it on the Food Waste tab",IF(W39="Use soon","Use soon - plan a meal with it",IF(W39="Out of stock",IF(T39="Yes","Missing - staple has run out","Add - restock when convenient"),IF(W39="Low stock","Check - running low",IF(S39&lt;0,"Check - the plan needs more than you have","OK"))))))</f>
        <v>0</v>
      </c>
    </row>
    <row r="40" spans="1:25">
      <c r="A40" s="39">
        <f>IF(B40="","",PantryPrefix&amp;TEXT(ROW()-4,"0000"))</f>
        <v>0</v>
      </c>
      <c r="C40" s="17">
        <f>IF(B40="","",IFERROR(INDEX(Ingredients!$C$5:$C$304,MATCH(B40,Ingredients!$B$5:$B$304,0)),"Add to Ingredients"))</f>
        <v>0</v>
      </c>
      <c r="G40" s="45">
        <f>IF(E40="","",IFERROR(E40*INDEX(UnitFactors,MATCH(F40,UnitNames,0)),""))</f>
        <v>0</v>
      </c>
      <c r="H40" s="17">
        <f>IF(F40="","",IFERROR(INDEX(UnitBases,MATCH(F40,UnitNames,0)),"?"))</f>
        <v>0</v>
      </c>
      <c r="L40" s="18">
        <f>IF(B40="","",IFERROR(INDEX(Ingredients!$Z$5:$Z$304,MATCH(B40,Ingredients!$B$5:$B$304,0)),"Add to Ingredients"))</f>
        <v>0</v>
      </c>
      <c r="M40" s="19">
        <f>IF(K40&lt;&gt;"",K40,IF(OR(J40="",L40="",NOT(ISNUMBER(L40))),"",J40+L40))</f>
        <v>0</v>
      </c>
      <c r="N40" s="18">
        <f>IF(M40="","",M40-TODAY())</f>
        <v>0</v>
      </c>
      <c r="O40" s="25">
        <f>IF(B40="","",IFERROR(INDEX(Ingredients!$J$5:$J$304,MATCH(B40,Ingredients!$B$5:$B$304,0)),"Add to Ingredients"))</f>
        <v>0</v>
      </c>
      <c r="P40" s="25">
        <f>IF(OR(G40="",O40="",NOT(ISNUMBER(O40))),"",G40*O40)</f>
        <v>0</v>
      </c>
      <c r="R40" s="45">
        <f>IF(B40="","",IFERROR(INDEX(Ingredients!$AG$5:$AG$304,MATCH(B40,Ingredients!$B$5:$B$304,0)),0))</f>
        <v>0</v>
      </c>
      <c r="S40" s="45">
        <f>IF(G40="","",G40-IF(R40="",0,R40))</f>
        <v>0</v>
      </c>
      <c r="U40" s="18">
        <f>IF(OR(B40="",D40&lt;&gt;"Fridge",NOT(ISNUMBER(N40))),"",COUNTIFS($D$5:$D$304,"Fridge",$N$5:$N$304,"&lt;"&amp;N40)+COUNTIFS($D$5:D40,"Fridge",$N$5:N40,N40))</f>
        <v>0</v>
      </c>
      <c r="V40" s="18">
        <f>IF(OR(B40="",D40&lt;&gt;"Freezer",NOT(ISNUMBER(N40))),"",COUNTIFS($D$5:$D$304,"Freezer",$N$5:$N$304,"&lt;"&amp;N40)+COUNTIFS($D$5:D40,"Freezer",$N$5:N40,N40))</f>
        <v>0</v>
      </c>
      <c r="W40" s="31">
        <f>IF(B40="","",IF(G40=0,"Out of stock",IF(AND(N40&lt;&gt;"",N40&lt;0),"Expired",IF(AND(N40&lt;&gt;"",N40&lt;=ExpiryWarningDays),"Use soon",IF(AND(Q40&lt;&gt;"",G40&lt;Q40),"Low stock","In stock")))))</f>
        <v>0</v>
      </c>
      <c r="X40" s="31">
        <f>IF(B40="","",IF(W40="Expired","Expired - bin it and log it on the Food Waste tab",IF(W40="Use soon","Use soon - plan a meal with it",IF(W40="Out of stock",IF(T40="Yes","Missing - staple has run out","Add - restock when convenient"),IF(W40="Low stock","Check - running low",IF(S40&lt;0,"Check - the plan needs more than you have","OK"))))))</f>
        <v>0</v>
      </c>
    </row>
    <row r="41" spans="1:25">
      <c r="A41" s="39">
        <f>IF(B41="","",PantryPrefix&amp;TEXT(ROW()-4,"0000"))</f>
        <v>0</v>
      </c>
      <c r="C41" s="17">
        <f>IF(B41="","",IFERROR(INDEX(Ingredients!$C$5:$C$304,MATCH(B41,Ingredients!$B$5:$B$304,0)),"Add to Ingredients"))</f>
        <v>0</v>
      </c>
      <c r="G41" s="45">
        <f>IF(E41="","",IFERROR(E41*INDEX(UnitFactors,MATCH(F41,UnitNames,0)),""))</f>
        <v>0</v>
      </c>
      <c r="H41" s="17">
        <f>IF(F41="","",IFERROR(INDEX(UnitBases,MATCH(F41,UnitNames,0)),"?"))</f>
        <v>0</v>
      </c>
      <c r="L41" s="18">
        <f>IF(B41="","",IFERROR(INDEX(Ingredients!$Z$5:$Z$304,MATCH(B41,Ingredients!$B$5:$B$304,0)),"Add to Ingredients"))</f>
        <v>0</v>
      </c>
      <c r="M41" s="19">
        <f>IF(K41&lt;&gt;"",K41,IF(OR(J41="",L41="",NOT(ISNUMBER(L41))),"",J41+L41))</f>
        <v>0</v>
      </c>
      <c r="N41" s="18">
        <f>IF(M41="","",M41-TODAY())</f>
        <v>0</v>
      </c>
      <c r="O41" s="25">
        <f>IF(B41="","",IFERROR(INDEX(Ingredients!$J$5:$J$304,MATCH(B41,Ingredients!$B$5:$B$304,0)),"Add to Ingredients"))</f>
        <v>0</v>
      </c>
      <c r="P41" s="25">
        <f>IF(OR(G41="",O41="",NOT(ISNUMBER(O41))),"",G41*O41)</f>
        <v>0</v>
      </c>
      <c r="R41" s="45">
        <f>IF(B41="","",IFERROR(INDEX(Ingredients!$AG$5:$AG$304,MATCH(B41,Ingredients!$B$5:$B$304,0)),0))</f>
        <v>0</v>
      </c>
      <c r="S41" s="45">
        <f>IF(G41="","",G41-IF(R41="",0,R41))</f>
        <v>0</v>
      </c>
      <c r="U41" s="18">
        <f>IF(OR(B41="",D41&lt;&gt;"Fridge",NOT(ISNUMBER(N41))),"",COUNTIFS($D$5:$D$304,"Fridge",$N$5:$N$304,"&lt;"&amp;N41)+COUNTIFS($D$5:D41,"Fridge",$N$5:N41,N41))</f>
        <v>0</v>
      </c>
      <c r="V41" s="18">
        <f>IF(OR(B41="",D41&lt;&gt;"Freezer",NOT(ISNUMBER(N41))),"",COUNTIFS($D$5:$D$304,"Freezer",$N$5:$N$304,"&lt;"&amp;N41)+COUNTIFS($D$5:D41,"Freezer",$N$5:N41,N41))</f>
        <v>0</v>
      </c>
      <c r="W41" s="31">
        <f>IF(B41="","",IF(G41=0,"Out of stock",IF(AND(N41&lt;&gt;"",N41&lt;0),"Expired",IF(AND(N41&lt;&gt;"",N41&lt;=ExpiryWarningDays),"Use soon",IF(AND(Q41&lt;&gt;"",G41&lt;Q41),"Low stock","In stock")))))</f>
        <v>0</v>
      </c>
      <c r="X41" s="31">
        <f>IF(B41="","",IF(W41="Expired","Expired - bin it and log it on the Food Waste tab",IF(W41="Use soon","Use soon - plan a meal with it",IF(W41="Out of stock",IF(T41="Yes","Missing - staple has run out","Add - restock when convenient"),IF(W41="Low stock","Check - running low",IF(S41&lt;0,"Check - the plan needs more than you have","OK"))))))</f>
        <v>0</v>
      </c>
    </row>
    <row r="42" spans="1:25">
      <c r="A42" s="39">
        <f>IF(B42="","",PantryPrefix&amp;TEXT(ROW()-4,"0000"))</f>
        <v>0</v>
      </c>
      <c r="C42" s="17">
        <f>IF(B42="","",IFERROR(INDEX(Ingredients!$C$5:$C$304,MATCH(B42,Ingredients!$B$5:$B$304,0)),"Add to Ingredients"))</f>
        <v>0</v>
      </c>
      <c r="G42" s="45">
        <f>IF(E42="","",IFERROR(E42*INDEX(UnitFactors,MATCH(F42,UnitNames,0)),""))</f>
        <v>0</v>
      </c>
      <c r="H42" s="17">
        <f>IF(F42="","",IFERROR(INDEX(UnitBases,MATCH(F42,UnitNames,0)),"?"))</f>
        <v>0</v>
      </c>
      <c r="L42" s="18">
        <f>IF(B42="","",IFERROR(INDEX(Ingredients!$Z$5:$Z$304,MATCH(B42,Ingredients!$B$5:$B$304,0)),"Add to Ingredients"))</f>
        <v>0</v>
      </c>
      <c r="M42" s="19">
        <f>IF(K42&lt;&gt;"",K42,IF(OR(J42="",L42="",NOT(ISNUMBER(L42))),"",J42+L42))</f>
        <v>0</v>
      </c>
      <c r="N42" s="18">
        <f>IF(M42="","",M42-TODAY())</f>
        <v>0</v>
      </c>
      <c r="O42" s="25">
        <f>IF(B42="","",IFERROR(INDEX(Ingredients!$J$5:$J$304,MATCH(B42,Ingredients!$B$5:$B$304,0)),"Add to Ingredients"))</f>
        <v>0</v>
      </c>
      <c r="P42" s="25">
        <f>IF(OR(G42="",O42="",NOT(ISNUMBER(O42))),"",G42*O42)</f>
        <v>0</v>
      </c>
      <c r="R42" s="45">
        <f>IF(B42="","",IFERROR(INDEX(Ingredients!$AG$5:$AG$304,MATCH(B42,Ingredients!$B$5:$B$304,0)),0))</f>
        <v>0</v>
      </c>
      <c r="S42" s="45">
        <f>IF(G42="","",G42-IF(R42="",0,R42))</f>
        <v>0</v>
      </c>
      <c r="U42" s="18">
        <f>IF(OR(B42="",D42&lt;&gt;"Fridge",NOT(ISNUMBER(N42))),"",COUNTIFS($D$5:$D$304,"Fridge",$N$5:$N$304,"&lt;"&amp;N42)+COUNTIFS($D$5:D42,"Fridge",$N$5:N42,N42))</f>
        <v>0</v>
      </c>
      <c r="V42" s="18">
        <f>IF(OR(B42="",D42&lt;&gt;"Freezer",NOT(ISNUMBER(N42))),"",COUNTIFS($D$5:$D$304,"Freezer",$N$5:$N$304,"&lt;"&amp;N42)+COUNTIFS($D$5:D42,"Freezer",$N$5:N42,N42))</f>
        <v>0</v>
      </c>
      <c r="W42" s="31">
        <f>IF(B42="","",IF(G42=0,"Out of stock",IF(AND(N42&lt;&gt;"",N42&lt;0),"Expired",IF(AND(N42&lt;&gt;"",N42&lt;=ExpiryWarningDays),"Use soon",IF(AND(Q42&lt;&gt;"",G42&lt;Q42),"Low stock","In stock")))))</f>
        <v>0</v>
      </c>
      <c r="X42" s="31">
        <f>IF(B42="","",IF(W42="Expired","Expired - bin it and log it on the Food Waste tab",IF(W42="Use soon","Use soon - plan a meal with it",IF(W42="Out of stock",IF(T42="Yes","Missing - staple has run out","Add - restock when convenient"),IF(W42="Low stock","Check - running low",IF(S42&lt;0,"Check - the plan needs more than you have","OK"))))))</f>
        <v>0</v>
      </c>
    </row>
    <row r="43" spans="1:25">
      <c r="A43" s="39">
        <f>IF(B43="","",PantryPrefix&amp;TEXT(ROW()-4,"0000"))</f>
        <v>0</v>
      </c>
      <c r="C43" s="17">
        <f>IF(B43="","",IFERROR(INDEX(Ingredients!$C$5:$C$304,MATCH(B43,Ingredients!$B$5:$B$304,0)),"Add to Ingredients"))</f>
        <v>0</v>
      </c>
      <c r="G43" s="45">
        <f>IF(E43="","",IFERROR(E43*INDEX(UnitFactors,MATCH(F43,UnitNames,0)),""))</f>
        <v>0</v>
      </c>
      <c r="H43" s="17">
        <f>IF(F43="","",IFERROR(INDEX(UnitBases,MATCH(F43,UnitNames,0)),"?"))</f>
        <v>0</v>
      </c>
      <c r="L43" s="18">
        <f>IF(B43="","",IFERROR(INDEX(Ingredients!$Z$5:$Z$304,MATCH(B43,Ingredients!$B$5:$B$304,0)),"Add to Ingredients"))</f>
        <v>0</v>
      </c>
      <c r="M43" s="19">
        <f>IF(K43&lt;&gt;"",K43,IF(OR(J43="",L43="",NOT(ISNUMBER(L43))),"",J43+L43))</f>
        <v>0</v>
      </c>
      <c r="N43" s="18">
        <f>IF(M43="","",M43-TODAY())</f>
        <v>0</v>
      </c>
      <c r="O43" s="25">
        <f>IF(B43="","",IFERROR(INDEX(Ingredients!$J$5:$J$304,MATCH(B43,Ingredients!$B$5:$B$304,0)),"Add to Ingredients"))</f>
        <v>0</v>
      </c>
      <c r="P43" s="25">
        <f>IF(OR(G43="",O43="",NOT(ISNUMBER(O43))),"",G43*O43)</f>
        <v>0</v>
      </c>
      <c r="R43" s="45">
        <f>IF(B43="","",IFERROR(INDEX(Ingredients!$AG$5:$AG$304,MATCH(B43,Ingredients!$B$5:$B$304,0)),0))</f>
        <v>0</v>
      </c>
      <c r="S43" s="45">
        <f>IF(G43="","",G43-IF(R43="",0,R43))</f>
        <v>0</v>
      </c>
      <c r="U43" s="18">
        <f>IF(OR(B43="",D43&lt;&gt;"Fridge",NOT(ISNUMBER(N43))),"",COUNTIFS($D$5:$D$304,"Fridge",$N$5:$N$304,"&lt;"&amp;N43)+COUNTIFS($D$5:D43,"Fridge",$N$5:N43,N43))</f>
        <v>0</v>
      </c>
      <c r="V43" s="18">
        <f>IF(OR(B43="",D43&lt;&gt;"Freezer",NOT(ISNUMBER(N43))),"",COUNTIFS($D$5:$D$304,"Freezer",$N$5:$N$304,"&lt;"&amp;N43)+COUNTIFS($D$5:D43,"Freezer",$N$5:N43,N43))</f>
        <v>0</v>
      </c>
      <c r="W43" s="31">
        <f>IF(B43="","",IF(G43=0,"Out of stock",IF(AND(N43&lt;&gt;"",N43&lt;0),"Expired",IF(AND(N43&lt;&gt;"",N43&lt;=ExpiryWarningDays),"Use soon",IF(AND(Q43&lt;&gt;"",G43&lt;Q43),"Low stock","In stock")))))</f>
        <v>0</v>
      </c>
      <c r="X43" s="31">
        <f>IF(B43="","",IF(W43="Expired","Expired - bin it and log it on the Food Waste tab",IF(W43="Use soon","Use soon - plan a meal with it",IF(W43="Out of stock",IF(T43="Yes","Missing - staple has run out","Add - restock when convenient"),IF(W43="Low stock","Check - running low",IF(S43&lt;0,"Check - the plan needs more than you have","OK"))))))</f>
        <v>0</v>
      </c>
    </row>
    <row r="44" spans="1:25">
      <c r="A44" s="39">
        <f>IF(B44="","",PantryPrefix&amp;TEXT(ROW()-4,"0000"))</f>
        <v>0</v>
      </c>
      <c r="C44" s="17">
        <f>IF(B44="","",IFERROR(INDEX(Ingredients!$C$5:$C$304,MATCH(B44,Ingredients!$B$5:$B$304,0)),"Add to Ingredients"))</f>
        <v>0</v>
      </c>
      <c r="G44" s="45">
        <f>IF(E44="","",IFERROR(E44*INDEX(UnitFactors,MATCH(F44,UnitNames,0)),""))</f>
        <v>0</v>
      </c>
      <c r="H44" s="17">
        <f>IF(F44="","",IFERROR(INDEX(UnitBases,MATCH(F44,UnitNames,0)),"?"))</f>
        <v>0</v>
      </c>
      <c r="L44" s="18">
        <f>IF(B44="","",IFERROR(INDEX(Ingredients!$Z$5:$Z$304,MATCH(B44,Ingredients!$B$5:$B$304,0)),"Add to Ingredients"))</f>
        <v>0</v>
      </c>
      <c r="M44" s="19">
        <f>IF(K44&lt;&gt;"",K44,IF(OR(J44="",L44="",NOT(ISNUMBER(L44))),"",J44+L44))</f>
        <v>0</v>
      </c>
      <c r="N44" s="18">
        <f>IF(M44="","",M44-TODAY())</f>
        <v>0</v>
      </c>
      <c r="O44" s="25">
        <f>IF(B44="","",IFERROR(INDEX(Ingredients!$J$5:$J$304,MATCH(B44,Ingredients!$B$5:$B$304,0)),"Add to Ingredients"))</f>
        <v>0</v>
      </c>
      <c r="P44" s="25">
        <f>IF(OR(G44="",O44="",NOT(ISNUMBER(O44))),"",G44*O44)</f>
        <v>0</v>
      </c>
      <c r="R44" s="45">
        <f>IF(B44="","",IFERROR(INDEX(Ingredients!$AG$5:$AG$304,MATCH(B44,Ingredients!$B$5:$B$304,0)),0))</f>
        <v>0</v>
      </c>
      <c r="S44" s="45">
        <f>IF(G44="","",G44-IF(R44="",0,R44))</f>
        <v>0</v>
      </c>
      <c r="U44" s="18">
        <f>IF(OR(B44="",D44&lt;&gt;"Fridge",NOT(ISNUMBER(N44))),"",COUNTIFS($D$5:$D$304,"Fridge",$N$5:$N$304,"&lt;"&amp;N44)+COUNTIFS($D$5:D44,"Fridge",$N$5:N44,N44))</f>
        <v>0</v>
      </c>
      <c r="V44" s="18">
        <f>IF(OR(B44="",D44&lt;&gt;"Freezer",NOT(ISNUMBER(N44))),"",COUNTIFS($D$5:$D$304,"Freezer",$N$5:$N$304,"&lt;"&amp;N44)+COUNTIFS($D$5:D44,"Freezer",$N$5:N44,N44))</f>
        <v>0</v>
      </c>
      <c r="W44" s="31">
        <f>IF(B44="","",IF(G44=0,"Out of stock",IF(AND(N44&lt;&gt;"",N44&lt;0),"Expired",IF(AND(N44&lt;&gt;"",N44&lt;=ExpiryWarningDays),"Use soon",IF(AND(Q44&lt;&gt;"",G44&lt;Q44),"Low stock","In stock")))))</f>
        <v>0</v>
      </c>
      <c r="X44" s="31">
        <f>IF(B44="","",IF(W44="Expired","Expired - bin it and log it on the Food Waste tab",IF(W44="Use soon","Use soon - plan a meal with it",IF(W44="Out of stock",IF(T44="Yes","Missing - staple has run out","Add - restock when convenient"),IF(W44="Low stock","Check - running low",IF(S44&lt;0,"Check - the plan needs more than you have","OK"))))))</f>
        <v>0</v>
      </c>
    </row>
    <row r="45" spans="1:25">
      <c r="A45" s="39">
        <f>IF(B45="","",PantryPrefix&amp;TEXT(ROW()-4,"0000"))</f>
        <v>0</v>
      </c>
      <c r="C45" s="17">
        <f>IF(B45="","",IFERROR(INDEX(Ingredients!$C$5:$C$304,MATCH(B45,Ingredients!$B$5:$B$304,0)),"Add to Ingredients"))</f>
        <v>0</v>
      </c>
      <c r="G45" s="45">
        <f>IF(E45="","",IFERROR(E45*INDEX(UnitFactors,MATCH(F45,UnitNames,0)),""))</f>
        <v>0</v>
      </c>
      <c r="H45" s="17">
        <f>IF(F45="","",IFERROR(INDEX(UnitBases,MATCH(F45,UnitNames,0)),"?"))</f>
        <v>0</v>
      </c>
      <c r="L45" s="18">
        <f>IF(B45="","",IFERROR(INDEX(Ingredients!$Z$5:$Z$304,MATCH(B45,Ingredients!$B$5:$B$304,0)),"Add to Ingredients"))</f>
        <v>0</v>
      </c>
      <c r="M45" s="19">
        <f>IF(K45&lt;&gt;"",K45,IF(OR(J45="",L45="",NOT(ISNUMBER(L45))),"",J45+L45))</f>
        <v>0</v>
      </c>
      <c r="N45" s="18">
        <f>IF(M45="","",M45-TODAY())</f>
        <v>0</v>
      </c>
      <c r="O45" s="25">
        <f>IF(B45="","",IFERROR(INDEX(Ingredients!$J$5:$J$304,MATCH(B45,Ingredients!$B$5:$B$304,0)),"Add to Ingredients"))</f>
        <v>0</v>
      </c>
      <c r="P45" s="25">
        <f>IF(OR(G45="",O45="",NOT(ISNUMBER(O45))),"",G45*O45)</f>
        <v>0</v>
      </c>
      <c r="R45" s="45">
        <f>IF(B45="","",IFERROR(INDEX(Ingredients!$AG$5:$AG$304,MATCH(B45,Ingredients!$B$5:$B$304,0)),0))</f>
        <v>0</v>
      </c>
      <c r="S45" s="45">
        <f>IF(G45="","",G45-IF(R45="",0,R45))</f>
        <v>0</v>
      </c>
      <c r="U45" s="18">
        <f>IF(OR(B45="",D45&lt;&gt;"Fridge",NOT(ISNUMBER(N45))),"",COUNTIFS($D$5:$D$304,"Fridge",$N$5:$N$304,"&lt;"&amp;N45)+COUNTIFS($D$5:D45,"Fridge",$N$5:N45,N45))</f>
        <v>0</v>
      </c>
      <c r="V45" s="18">
        <f>IF(OR(B45="",D45&lt;&gt;"Freezer",NOT(ISNUMBER(N45))),"",COUNTIFS($D$5:$D$304,"Freezer",$N$5:$N$304,"&lt;"&amp;N45)+COUNTIFS($D$5:D45,"Freezer",$N$5:N45,N45))</f>
        <v>0</v>
      </c>
      <c r="W45" s="31">
        <f>IF(B45="","",IF(G45=0,"Out of stock",IF(AND(N45&lt;&gt;"",N45&lt;0),"Expired",IF(AND(N45&lt;&gt;"",N45&lt;=ExpiryWarningDays),"Use soon",IF(AND(Q45&lt;&gt;"",G45&lt;Q45),"Low stock","In stock")))))</f>
        <v>0</v>
      </c>
      <c r="X45" s="31">
        <f>IF(B45="","",IF(W45="Expired","Expired - bin it and log it on the Food Waste tab",IF(W45="Use soon","Use soon - plan a meal with it",IF(W45="Out of stock",IF(T45="Yes","Missing - staple has run out","Add - restock when convenient"),IF(W45="Low stock","Check - running low",IF(S45&lt;0,"Check - the plan needs more than you have","OK"))))))</f>
        <v>0</v>
      </c>
    </row>
    <row r="46" spans="1:25">
      <c r="A46" s="39">
        <f>IF(B46="","",PantryPrefix&amp;TEXT(ROW()-4,"0000"))</f>
        <v>0</v>
      </c>
      <c r="C46" s="17">
        <f>IF(B46="","",IFERROR(INDEX(Ingredients!$C$5:$C$304,MATCH(B46,Ingredients!$B$5:$B$304,0)),"Add to Ingredients"))</f>
        <v>0</v>
      </c>
      <c r="G46" s="45">
        <f>IF(E46="","",IFERROR(E46*INDEX(UnitFactors,MATCH(F46,UnitNames,0)),""))</f>
        <v>0</v>
      </c>
      <c r="H46" s="17">
        <f>IF(F46="","",IFERROR(INDEX(UnitBases,MATCH(F46,UnitNames,0)),"?"))</f>
        <v>0</v>
      </c>
      <c r="L46" s="18">
        <f>IF(B46="","",IFERROR(INDEX(Ingredients!$Z$5:$Z$304,MATCH(B46,Ingredients!$B$5:$B$304,0)),"Add to Ingredients"))</f>
        <v>0</v>
      </c>
      <c r="M46" s="19">
        <f>IF(K46&lt;&gt;"",K46,IF(OR(J46="",L46="",NOT(ISNUMBER(L46))),"",J46+L46))</f>
        <v>0</v>
      </c>
      <c r="N46" s="18">
        <f>IF(M46="","",M46-TODAY())</f>
        <v>0</v>
      </c>
      <c r="O46" s="25">
        <f>IF(B46="","",IFERROR(INDEX(Ingredients!$J$5:$J$304,MATCH(B46,Ingredients!$B$5:$B$304,0)),"Add to Ingredients"))</f>
        <v>0</v>
      </c>
      <c r="P46" s="25">
        <f>IF(OR(G46="",O46="",NOT(ISNUMBER(O46))),"",G46*O46)</f>
        <v>0</v>
      </c>
      <c r="R46" s="45">
        <f>IF(B46="","",IFERROR(INDEX(Ingredients!$AG$5:$AG$304,MATCH(B46,Ingredients!$B$5:$B$304,0)),0))</f>
        <v>0</v>
      </c>
      <c r="S46" s="45">
        <f>IF(G46="","",G46-IF(R46="",0,R46))</f>
        <v>0</v>
      </c>
      <c r="U46" s="18">
        <f>IF(OR(B46="",D46&lt;&gt;"Fridge",NOT(ISNUMBER(N46))),"",COUNTIFS($D$5:$D$304,"Fridge",$N$5:$N$304,"&lt;"&amp;N46)+COUNTIFS($D$5:D46,"Fridge",$N$5:N46,N46))</f>
        <v>0</v>
      </c>
      <c r="V46" s="18">
        <f>IF(OR(B46="",D46&lt;&gt;"Freezer",NOT(ISNUMBER(N46))),"",COUNTIFS($D$5:$D$304,"Freezer",$N$5:$N$304,"&lt;"&amp;N46)+COUNTIFS($D$5:D46,"Freezer",$N$5:N46,N46))</f>
        <v>0</v>
      </c>
      <c r="W46" s="31">
        <f>IF(B46="","",IF(G46=0,"Out of stock",IF(AND(N46&lt;&gt;"",N46&lt;0),"Expired",IF(AND(N46&lt;&gt;"",N46&lt;=ExpiryWarningDays),"Use soon",IF(AND(Q46&lt;&gt;"",G46&lt;Q46),"Low stock","In stock")))))</f>
        <v>0</v>
      </c>
      <c r="X46" s="31">
        <f>IF(B46="","",IF(W46="Expired","Expired - bin it and log it on the Food Waste tab",IF(W46="Use soon","Use soon - plan a meal with it",IF(W46="Out of stock",IF(T46="Yes","Missing - staple has run out","Add - restock when convenient"),IF(W46="Low stock","Check - running low",IF(S46&lt;0,"Check - the plan needs more than you have","OK"))))))</f>
        <v>0</v>
      </c>
    </row>
    <row r="47" spans="1:25">
      <c r="A47" s="39">
        <f>IF(B47="","",PantryPrefix&amp;TEXT(ROW()-4,"0000"))</f>
        <v>0</v>
      </c>
      <c r="C47" s="17">
        <f>IF(B47="","",IFERROR(INDEX(Ingredients!$C$5:$C$304,MATCH(B47,Ingredients!$B$5:$B$304,0)),"Add to Ingredients"))</f>
        <v>0</v>
      </c>
      <c r="G47" s="45">
        <f>IF(E47="","",IFERROR(E47*INDEX(UnitFactors,MATCH(F47,UnitNames,0)),""))</f>
        <v>0</v>
      </c>
      <c r="H47" s="17">
        <f>IF(F47="","",IFERROR(INDEX(UnitBases,MATCH(F47,UnitNames,0)),"?"))</f>
        <v>0</v>
      </c>
      <c r="L47" s="18">
        <f>IF(B47="","",IFERROR(INDEX(Ingredients!$Z$5:$Z$304,MATCH(B47,Ingredients!$B$5:$B$304,0)),"Add to Ingredients"))</f>
        <v>0</v>
      </c>
      <c r="M47" s="19">
        <f>IF(K47&lt;&gt;"",K47,IF(OR(J47="",L47="",NOT(ISNUMBER(L47))),"",J47+L47))</f>
        <v>0</v>
      </c>
      <c r="N47" s="18">
        <f>IF(M47="","",M47-TODAY())</f>
        <v>0</v>
      </c>
      <c r="O47" s="25">
        <f>IF(B47="","",IFERROR(INDEX(Ingredients!$J$5:$J$304,MATCH(B47,Ingredients!$B$5:$B$304,0)),"Add to Ingredients"))</f>
        <v>0</v>
      </c>
      <c r="P47" s="25">
        <f>IF(OR(G47="",O47="",NOT(ISNUMBER(O47))),"",G47*O47)</f>
        <v>0</v>
      </c>
      <c r="R47" s="45">
        <f>IF(B47="","",IFERROR(INDEX(Ingredients!$AG$5:$AG$304,MATCH(B47,Ingredients!$B$5:$B$304,0)),0))</f>
        <v>0</v>
      </c>
      <c r="S47" s="45">
        <f>IF(G47="","",G47-IF(R47="",0,R47))</f>
        <v>0</v>
      </c>
      <c r="U47" s="18">
        <f>IF(OR(B47="",D47&lt;&gt;"Fridge",NOT(ISNUMBER(N47))),"",COUNTIFS($D$5:$D$304,"Fridge",$N$5:$N$304,"&lt;"&amp;N47)+COUNTIFS($D$5:D47,"Fridge",$N$5:N47,N47))</f>
        <v>0</v>
      </c>
      <c r="V47" s="18">
        <f>IF(OR(B47="",D47&lt;&gt;"Freezer",NOT(ISNUMBER(N47))),"",COUNTIFS($D$5:$D$304,"Freezer",$N$5:$N$304,"&lt;"&amp;N47)+COUNTIFS($D$5:D47,"Freezer",$N$5:N47,N47))</f>
        <v>0</v>
      </c>
      <c r="W47" s="31">
        <f>IF(B47="","",IF(G47=0,"Out of stock",IF(AND(N47&lt;&gt;"",N47&lt;0),"Expired",IF(AND(N47&lt;&gt;"",N47&lt;=ExpiryWarningDays),"Use soon",IF(AND(Q47&lt;&gt;"",G47&lt;Q47),"Low stock","In stock")))))</f>
        <v>0</v>
      </c>
      <c r="X47" s="31">
        <f>IF(B47="","",IF(W47="Expired","Expired - bin it and log it on the Food Waste tab",IF(W47="Use soon","Use soon - plan a meal with it",IF(W47="Out of stock",IF(T47="Yes","Missing - staple has run out","Add - restock when convenient"),IF(W47="Low stock","Check - running low",IF(S47&lt;0,"Check - the plan needs more than you have","OK"))))))</f>
        <v>0</v>
      </c>
    </row>
    <row r="48" spans="1:25">
      <c r="A48" s="39">
        <f>IF(B48="","",PantryPrefix&amp;TEXT(ROW()-4,"0000"))</f>
        <v>0</v>
      </c>
      <c r="C48" s="17">
        <f>IF(B48="","",IFERROR(INDEX(Ingredients!$C$5:$C$304,MATCH(B48,Ingredients!$B$5:$B$304,0)),"Add to Ingredients"))</f>
        <v>0</v>
      </c>
      <c r="G48" s="45">
        <f>IF(E48="","",IFERROR(E48*INDEX(UnitFactors,MATCH(F48,UnitNames,0)),""))</f>
        <v>0</v>
      </c>
      <c r="H48" s="17">
        <f>IF(F48="","",IFERROR(INDEX(UnitBases,MATCH(F48,UnitNames,0)),"?"))</f>
        <v>0</v>
      </c>
      <c r="L48" s="18">
        <f>IF(B48="","",IFERROR(INDEX(Ingredients!$Z$5:$Z$304,MATCH(B48,Ingredients!$B$5:$B$304,0)),"Add to Ingredients"))</f>
        <v>0</v>
      </c>
      <c r="M48" s="19">
        <f>IF(K48&lt;&gt;"",K48,IF(OR(J48="",L48="",NOT(ISNUMBER(L48))),"",J48+L48))</f>
        <v>0</v>
      </c>
      <c r="N48" s="18">
        <f>IF(M48="","",M48-TODAY())</f>
        <v>0</v>
      </c>
      <c r="O48" s="25">
        <f>IF(B48="","",IFERROR(INDEX(Ingredients!$J$5:$J$304,MATCH(B48,Ingredients!$B$5:$B$304,0)),"Add to Ingredients"))</f>
        <v>0</v>
      </c>
      <c r="P48" s="25">
        <f>IF(OR(G48="",O48="",NOT(ISNUMBER(O48))),"",G48*O48)</f>
        <v>0</v>
      </c>
      <c r="R48" s="45">
        <f>IF(B48="","",IFERROR(INDEX(Ingredients!$AG$5:$AG$304,MATCH(B48,Ingredients!$B$5:$B$304,0)),0))</f>
        <v>0</v>
      </c>
      <c r="S48" s="45">
        <f>IF(G48="","",G48-IF(R48="",0,R48))</f>
        <v>0</v>
      </c>
      <c r="U48" s="18">
        <f>IF(OR(B48="",D48&lt;&gt;"Fridge",NOT(ISNUMBER(N48))),"",COUNTIFS($D$5:$D$304,"Fridge",$N$5:$N$304,"&lt;"&amp;N48)+COUNTIFS($D$5:D48,"Fridge",$N$5:N48,N48))</f>
        <v>0</v>
      </c>
      <c r="V48" s="18">
        <f>IF(OR(B48="",D48&lt;&gt;"Freezer",NOT(ISNUMBER(N48))),"",COUNTIFS($D$5:$D$304,"Freezer",$N$5:$N$304,"&lt;"&amp;N48)+COUNTIFS($D$5:D48,"Freezer",$N$5:N48,N48))</f>
        <v>0</v>
      </c>
      <c r="W48" s="31">
        <f>IF(B48="","",IF(G48=0,"Out of stock",IF(AND(N48&lt;&gt;"",N48&lt;0),"Expired",IF(AND(N48&lt;&gt;"",N48&lt;=ExpiryWarningDays),"Use soon",IF(AND(Q48&lt;&gt;"",G48&lt;Q48),"Low stock","In stock")))))</f>
        <v>0</v>
      </c>
      <c r="X48" s="31">
        <f>IF(B48="","",IF(W48="Expired","Expired - bin it and log it on the Food Waste tab",IF(W48="Use soon","Use soon - plan a meal with it",IF(W48="Out of stock",IF(T48="Yes","Missing - staple has run out","Add - restock when convenient"),IF(W48="Low stock","Check - running low",IF(S48&lt;0,"Check - the plan needs more than you have","OK"))))))</f>
        <v>0</v>
      </c>
    </row>
    <row r="49" spans="1:24">
      <c r="A49" s="39">
        <f>IF(B49="","",PantryPrefix&amp;TEXT(ROW()-4,"0000"))</f>
        <v>0</v>
      </c>
      <c r="C49" s="17">
        <f>IF(B49="","",IFERROR(INDEX(Ingredients!$C$5:$C$304,MATCH(B49,Ingredients!$B$5:$B$304,0)),"Add to Ingredients"))</f>
        <v>0</v>
      </c>
      <c r="G49" s="45">
        <f>IF(E49="","",IFERROR(E49*INDEX(UnitFactors,MATCH(F49,UnitNames,0)),""))</f>
        <v>0</v>
      </c>
      <c r="H49" s="17">
        <f>IF(F49="","",IFERROR(INDEX(UnitBases,MATCH(F49,UnitNames,0)),"?"))</f>
        <v>0</v>
      </c>
      <c r="L49" s="18">
        <f>IF(B49="","",IFERROR(INDEX(Ingredients!$Z$5:$Z$304,MATCH(B49,Ingredients!$B$5:$B$304,0)),"Add to Ingredients"))</f>
        <v>0</v>
      </c>
      <c r="M49" s="19">
        <f>IF(K49&lt;&gt;"",K49,IF(OR(J49="",L49="",NOT(ISNUMBER(L49))),"",J49+L49))</f>
        <v>0</v>
      </c>
      <c r="N49" s="18">
        <f>IF(M49="","",M49-TODAY())</f>
        <v>0</v>
      </c>
      <c r="O49" s="25">
        <f>IF(B49="","",IFERROR(INDEX(Ingredients!$J$5:$J$304,MATCH(B49,Ingredients!$B$5:$B$304,0)),"Add to Ingredients"))</f>
        <v>0</v>
      </c>
      <c r="P49" s="25">
        <f>IF(OR(G49="",O49="",NOT(ISNUMBER(O49))),"",G49*O49)</f>
        <v>0</v>
      </c>
      <c r="R49" s="45">
        <f>IF(B49="","",IFERROR(INDEX(Ingredients!$AG$5:$AG$304,MATCH(B49,Ingredients!$B$5:$B$304,0)),0))</f>
        <v>0</v>
      </c>
      <c r="S49" s="45">
        <f>IF(G49="","",G49-IF(R49="",0,R49))</f>
        <v>0</v>
      </c>
      <c r="U49" s="18">
        <f>IF(OR(B49="",D49&lt;&gt;"Fridge",NOT(ISNUMBER(N49))),"",COUNTIFS($D$5:$D$304,"Fridge",$N$5:$N$304,"&lt;"&amp;N49)+COUNTIFS($D$5:D49,"Fridge",$N$5:N49,N49))</f>
        <v>0</v>
      </c>
      <c r="V49" s="18">
        <f>IF(OR(B49="",D49&lt;&gt;"Freezer",NOT(ISNUMBER(N49))),"",COUNTIFS($D$5:$D$304,"Freezer",$N$5:$N$304,"&lt;"&amp;N49)+COUNTIFS($D$5:D49,"Freezer",$N$5:N49,N49))</f>
        <v>0</v>
      </c>
      <c r="W49" s="31">
        <f>IF(B49="","",IF(G49=0,"Out of stock",IF(AND(N49&lt;&gt;"",N49&lt;0),"Expired",IF(AND(N49&lt;&gt;"",N49&lt;=ExpiryWarningDays),"Use soon",IF(AND(Q49&lt;&gt;"",G49&lt;Q49),"Low stock","In stock")))))</f>
        <v>0</v>
      </c>
      <c r="X49" s="31">
        <f>IF(B49="","",IF(W49="Expired","Expired - bin it and log it on the Food Waste tab",IF(W49="Use soon","Use soon - plan a meal with it",IF(W49="Out of stock",IF(T49="Yes","Missing - staple has run out","Add - restock when convenient"),IF(W49="Low stock","Check - running low",IF(S49&lt;0,"Check - the plan needs more than you have","OK"))))))</f>
        <v>0</v>
      </c>
    </row>
    <row r="50" spans="1:24">
      <c r="A50" s="39">
        <f>IF(B50="","",PantryPrefix&amp;TEXT(ROW()-4,"0000"))</f>
        <v>0</v>
      </c>
      <c r="C50" s="17">
        <f>IF(B50="","",IFERROR(INDEX(Ingredients!$C$5:$C$304,MATCH(B50,Ingredients!$B$5:$B$304,0)),"Add to Ingredients"))</f>
        <v>0</v>
      </c>
      <c r="G50" s="45">
        <f>IF(E50="","",IFERROR(E50*INDEX(UnitFactors,MATCH(F50,UnitNames,0)),""))</f>
        <v>0</v>
      </c>
      <c r="H50" s="17">
        <f>IF(F50="","",IFERROR(INDEX(UnitBases,MATCH(F50,UnitNames,0)),"?"))</f>
        <v>0</v>
      </c>
      <c r="L50" s="18">
        <f>IF(B50="","",IFERROR(INDEX(Ingredients!$Z$5:$Z$304,MATCH(B50,Ingredients!$B$5:$B$304,0)),"Add to Ingredients"))</f>
        <v>0</v>
      </c>
      <c r="M50" s="19">
        <f>IF(K50&lt;&gt;"",K50,IF(OR(J50="",L50="",NOT(ISNUMBER(L50))),"",J50+L50))</f>
        <v>0</v>
      </c>
      <c r="N50" s="18">
        <f>IF(M50="","",M50-TODAY())</f>
        <v>0</v>
      </c>
      <c r="O50" s="25">
        <f>IF(B50="","",IFERROR(INDEX(Ingredients!$J$5:$J$304,MATCH(B50,Ingredients!$B$5:$B$304,0)),"Add to Ingredients"))</f>
        <v>0</v>
      </c>
      <c r="P50" s="25">
        <f>IF(OR(G50="",O50="",NOT(ISNUMBER(O50))),"",G50*O50)</f>
        <v>0</v>
      </c>
      <c r="R50" s="45">
        <f>IF(B50="","",IFERROR(INDEX(Ingredients!$AG$5:$AG$304,MATCH(B50,Ingredients!$B$5:$B$304,0)),0))</f>
        <v>0</v>
      </c>
      <c r="S50" s="45">
        <f>IF(G50="","",G50-IF(R50="",0,R50))</f>
        <v>0</v>
      </c>
      <c r="U50" s="18">
        <f>IF(OR(B50="",D50&lt;&gt;"Fridge",NOT(ISNUMBER(N50))),"",COUNTIFS($D$5:$D$304,"Fridge",$N$5:$N$304,"&lt;"&amp;N50)+COUNTIFS($D$5:D50,"Fridge",$N$5:N50,N50))</f>
        <v>0</v>
      </c>
      <c r="V50" s="18">
        <f>IF(OR(B50="",D50&lt;&gt;"Freezer",NOT(ISNUMBER(N50))),"",COUNTIFS($D$5:$D$304,"Freezer",$N$5:$N$304,"&lt;"&amp;N50)+COUNTIFS($D$5:D50,"Freezer",$N$5:N50,N50))</f>
        <v>0</v>
      </c>
      <c r="W50" s="31">
        <f>IF(B50="","",IF(G50=0,"Out of stock",IF(AND(N50&lt;&gt;"",N50&lt;0),"Expired",IF(AND(N50&lt;&gt;"",N50&lt;=ExpiryWarningDays),"Use soon",IF(AND(Q50&lt;&gt;"",G50&lt;Q50),"Low stock","In stock")))))</f>
        <v>0</v>
      </c>
      <c r="X50" s="31">
        <f>IF(B50="","",IF(W50="Expired","Expired - bin it and log it on the Food Waste tab",IF(W50="Use soon","Use soon - plan a meal with it",IF(W50="Out of stock",IF(T50="Yes","Missing - staple has run out","Add - restock when convenient"),IF(W50="Low stock","Check - running low",IF(S50&lt;0,"Check - the plan needs more than you have","OK"))))))</f>
        <v>0</v>
      </c>
    </row>
    <row r="51" spans="1:24">
      <c r="A51" s="39">
        <f>IF(B51="","",PantryPrefix&amp;TEXT(ROW()-4,"0000"))</f>
        <v>0</v>
      </c>
      <c r="C51" s="17">
        <f>IF(B51="","",IFERROR(INDEX(Ingredients!$C$5:$C$304,MATCH(B51,Ingredients!$B$5:$B$304,0)),"Add to Ingredients"))</f>
        <v>0</v>
      </c>
      <c r="G51" s="45">
        <f>IF(E51="","",IFERROR(E51*INDEX(UnitFactors,MATCH(F51,UnitNames,0)),""))</f>
        <v>0</v>
      </c>
      <c r="H51" s="17">
        <f>IF(F51="","",IFERROR(INDEX(UnitBases,MATCH(F51,UnitNames,0)),"?"))</f>
        <v>0</v>
      </c>
      <c r="L51" s="18">
        <f>IF(B51="","",IFERROR(INDEX(Ingredients!$Z$5:$Z$304,MATCH(B51,Ingredients!$B$5:$B$304,0)),"Add to Ingredients"))</f>
        <v>0</v>
      </c>
      <c r="M51" s="19">
        <f>IF(K51&lt;&gt;"",K51,IF(OR(J51="",L51="",NOT(ISNUMBER(L51))),"",J51+L51))</f>
        <v>0</v>
      </c>
      <c r="N51" s="18">
        <f>IF(M51="","",M51-TODAY())</f>
        <v>0</v>
      </c>
      <c r="O51" s="25">
        <f>IF(B51="","",IFERROR(INDEX(Ingredients!$J$5:$J$304,MATCH(B51,Ingredients!$B$5:$B$304,0)),"Add to Ingredients"))</f>
        <v>0</v>
      </c>
      <c r="P51" s="25">
        <f>IF(OR(G51="",O51="",NOT(ISNUMBER(O51))),"",G51*O51)</f>
        <v>0</v>
      </c>
      <c r="R51" s="45">
        <f>IF(B51="","",IFERROR(INDEX(Ingredients!$AG$5:$AG$304,MATCH(B51,Ingredients!$B$5:$B$304,0)),0))</f>
        <v>0</v>
      </c>
      <c r="S51" s="45">
        <f>IF(G51="","",G51-IF(R51="",0,R51))</f>
        <v>0</v>
      </c>
      <c r="U51" s="18">
        <f>IF(OR(B51="",D51&lt;&gt;"Fridge",NOT(ISNUMBER(N51))),"",COUNTIFS($D$5:$D$304,"Fridge",$N$5:$N$304,"&lt;"&amp;N51)+COUNTIFS($D$5:D51,"Fridge",$N$5:N51,N51))</f>
        <v>0</v>
      </c>
      <c r="V51" s="18">
        <f>IF(OR(B51="",D51&lt;&gt;"Freezer",NOT(ISNUMBER(N51))),"",COUNTIFS($D$5:$D$304,"Freezer",$N$5:$N$304,"&lt;"&amp;N51)+COUNTIFS($D$5:D51,"Freezer",$N$5:N51,N51))</f>
        <v>0</v>
      </c>
      <c r="W51" s="31">
        <f>IF(B51="","",IF(G51=0,"Out of stock",IF(AND(N51&lt;&gt;"",N51&lt;0),"Expired",IF(AND(N51&lt;&gt;"",N51&lt;=ExpiryWarningDays),"Use soon",IF(AND(Q51&lt;&gt;"",G51&lt;Q51),"Low stock","In stock")))))</f>
        <v>0</v>
      </c>
      <c r="X51" s="31">
        <f>IF(B51="","",IF(W51="Expired","Expired - bin it and log it on the Food Waste tab",IF(W51="Use soon","Use soon - plan a meal with it",IF(W51="Out of stock",IF(T51="Yes","Missing - staple has run out","Add - restock when convenient"),IF(W51="Low stock","Check - running low",IF(S51&lt;0,"Check - the plan needs more than you have","OK"))))))</f>
        <v>0</v>
      </c>
    </row>
    <row r="52" spans="1:24">
      <c r="A52" s="39">
        <f>IF(B52="","",PantryPrefix&amp;TEXT(ROW()-4,"0000"))</f>
        <v>0</v>
      </c>
      <c r="C52" s="17">
        <f>IF(B52="","",IFERROR(INDEX(Ingredients!$C$5:$C$304,MATCH(B52,Ingredients!$B$5:$B$304,0)),"Add to Ingredients"))</f>
        <v>0</v>
      </c>
      <c r="G52" s="45">
        <f>IF(E52="","",IFERROR(E52*INDEX(UnitFactors,MATCH(F52,UnitNames,0)),""))</f>
        <v>0</v>
      </c>
      <c r="H52" s="17">
        <f>IF(F52="","",IFERROR(INDEX(UnitBases,MATCH(F52,UnitNames,0)),"?"))</f>
        <v>0</v>
      </c>
      <c r="L52" s="18">
        <f>IF(B52="","",IFERROR(INDEX(Ingredients!$Z$5:$Z$304,MATCH(B52,Ingredients!$B$5:$B$304,0)),"Add to Ingredients"))</f>
        <v>0</v>
      </c>
      <c r="M52" s="19">
        <f>IF(K52&lt;&gt;"",K52,IF(OR(J52="",L52="",NOT(ISNUMBER(L52))),"",J52+L52))</f>
        <v>0</v>
      </c>
      <c r="N52" s="18">
        <f>IF(M52="","",M52-TODAY())</f>
        <v>0</v>
      </c>
      <c r="O52" s="25">
        <f>IF(B52="","",IFERROR(INDEX(Ingredients!$J$5:$J$304,MATCH(B52,Ingredients!$B$5:$B$304,0)),"Add to Ingredients"))</f>
        <v>0</v>
      </c>
      <c r="P52" s="25">
        <f>IF(OR(G52="",O52="",NOT(ISNUMBER(O52))),"",G52*O52)</f>
        <v>0</v>
      </c>
      <c r="R52" s="45">
        <f>IF(B52="","",IFERROR(INDEX(Ingredients!$AG$5:$AG$304,MATCH(B52,Ingredients!$B$5:$B$304,0)),0))</f>
        <v>0</v>
      </c>
      <c r="S52" s="45">
        <f>IF(G52="","",G52-IF(R52="",0,R52))</f>
        <v>0</v>
      </c>
      <c r="U52" s="18">
        <f>IF(OR(B52="",D52&lt;&gt;"Fridge",NOT(ISNUMBER(N52))),"",COUNTIFS($D$5:$D$304,"Fridge",$N$5:$N$304,"&lt;"&amp;N52)+COUNTIFS($D$5:D52,"Fridge",$N$5:N52,N52))</f>
        <v>0</v>
      </c>
      <c r="V52" s="18">
        <f>IF(OR(B52="",D52&lt;&gt;"Freezer",NOT(ISNUMBER(N52))),"",COUNTIFS($D$5:$D$304,"Freezer",$N$5:$N$304,"&lt;"&amp;N52)+COUNTIFS($D$5:D52,"Freezer",$N$5:N52,N52))</f>
        <v>0</v>
      </c>
      <c r="W52" s="31">
        <f>IF(B52="","",IF(G52=0,"Out of stock",IF(AND(N52&lt;&gt;"",N52&lt;0),"Expired",IF(AND(N52&lt;&gt;"",N52&lt;=ExpiryWarningDays),"Use soon",IF(AND(Q52&lt;&gt;"",G52&lt;Q52),"Low stock","In stock")))))</f>
        <v>0</v>
      </c>
      <c r="X52" s="31">
        <f>IF(B52="","",IF(W52="Expired","Expired - bin it and log it on the Food Waste tab",IF(W52="Use soon","Use soon - plan a meal with it",IF(W52="Out of stock",IF(T52="Yes","Missing - staple has run out","Add - restock when convenient"),IF(W52="Low stock","Check - running low",IF(S52&lt;0,"Check - the plan needs more than you have","OK"))))))</f>
        <v>0</v>
      </c>
    </row>
    <row r="53" spans="1:24">
      <c r="A53" s="39">
        <f>IF(B53="","",PantryPrefix&amp;TEXT(ROW()-4,"0000"))</f>
        <v>0</v>
      </c>
      <c r="C53" s="17">
        <f>IF(B53="","",IFERROR(INDEX(Ingredients!$C$5:$C$304,MATCH(B53,Ingredients!$B$5:$B$304,0)),"Add to Ingredients"))</f>
        <v>0</v>
      </c>
      <c r="G53" s="45">
        <f>IF(E53="","",IFERROR(E53*INDEX(UnitFactors,MATCH(F53,UnitNames,0)),""))</f>
        <v>0</v>
      </c>
      <c r="H53" s="17">
        <f>IF(F53="","",IFERROR(INDEX(UnitBases,MATCH(F53,UnitNames,0)),"?"))</f>
        <v>0</v>
      </c>
      <c r="L53" s="18">
        <f>IF(B53="","",IFERROR(INDEX(Ingredients!$Z$5:$Z$304,MATCH(B53,Ingredients!$B$5:$B$304,0)),"Add to Ingredients"))</f>
        <v>0</v>
      </c>
      <c r="M53" s="19">
        <f>IF(K53&lt;&gt;"",K53,IF(OR(J53="",L53="",NOT(ISNUMBER(L53))),"",J53+L53))</f>
        <v>0</v>
      </c>
      <c r="N53" s="18">
        <f>IF(M53="","",M53-TODAY())</f>
        <v>0</v>
      </c>
      <c r="O53" s="25">
        <f>IF(B53="","",IFERROR(INDEX(Ingredients!$J$5:$J$304,MATCH(B53,Ingredients!$B$5:$B$304,0)),"Add to Ingredients"))</f>
        <v>0</v>
      </c>
      <c r="P53" s="25">
        <f>IF(OR(G53="",O53="",NOT(ISNUMBER(O53))),"",G53*O53)</f>
        <v>0</v>
      </c>
      <c r="R53" s="45">
        <f>IF(B53="","",IFERROR(INDEX(Ingredients!$AG$5:$AG$304,MATCH(B53,Ingredients!$B$5:$B$304,0)),0))</f>
        <v>0</v>
      </c>
      <c r="S53" s="45">
        <f>IF(G53="","",G53-IF(R53="",0,R53))</f>
        <v>0</v>
      </c>
      <c r="U53" s="18">
        <f>IF(OR(B53="",D53&lt;&gt;"Fridge",NOT(ISNUMBER(N53))),"",COUNTIFS($D$5:$D$304,"Fridge",$N$5:$N$304,"&lt;"&amp;N53)+COUNTIFS($D$5:D53,"Fridge",$N$5:N53,N53))</f>
        <v>0</v>
      </c>
      <c r="V53" s="18">
        <f>IF(OR(B53="",D53&lt;&gt;"Freezer",NOT(ISNUMBER(N53))),"",COUNTIFS($D$5:$D$304,"Freezer",$N$5:$N$304,"&lt;"&amp;N53)+COUNTIFS($D$5:D53,"Freezer",$N$5:N53,N53))</f>
        <v>0</v>
      </c>
      <c r="W53" s="31">
        <f>IF(B53="","",IF(G53=0,"Out of stock",IF(AND(N53&lt;&gt;"",N53&lt;0),"Expired",IF(AND(N53&lt;&gt;"",N53&lt;=ExpiryWarningDays),"Use soon",IF(AND(Q53&lt;&gt;"",G53&lt;Q53),"Low stock","In stock")))))</f>
        <v>0</v>
      </c>
      <c r="X53" s="31">
        <f>IF(B53="","",IF(W53="Expired","Expired - bin it and log it on the Food Waste tab",IF(W53="Use soon","Use soon - plan a meal with it",IF(W53="Out of stock",IF(T53="Yes","Missing - staple has run out","Add - restock when convenient"),IF(W53="Low stock","Check - running low",IF(S53&lt;0,"Check - the plan needs more than you have","OK"))))))</f>
        <v>0</v>
      </c>
    </row>
    <row r="54" spans="1:24">
      <c r="A54" s="39">
        <f>IF(B54="","",PantryPrefix&amp;TEXT(ROW()-4,"0000"))</f>
        <v>0</v>
      </c>
      <c r="C54" s="17">
        <f>IF(B54="","",IFERROR(INDEX(Ingredients!$C$5:$C$304,MATCH(B54,Ingredients!$B$5:$B$304,0)),"Add to Ingredients"))</f>
        <v>0</v>
      </c>
      <c r="G54" s="45">
        <f>IF(E54="","",IFERROR(E54*INDEX(UnitFactors,MATCH(F54,UnitNames,0)),""))</f>
        <v>0</v>
      </c>
      <c r="H54" s="17">
        <f>IF(F54="","",IFERROR(INDEX(UnitBases,MATCH(F54,UnitNames,0)),"?"))</f>
        <v>0</v>
      </c>
      <c r="L54" s="18">
        <f>IF(B54="","",IFERROR(INDEX(Ingredients!$Z$5:$Z$304,MATCH(B54,Ingredients!$B$5:$B$304,0)),"Add to Ingredients"))</f>
        <v>0</v>
      </c>
      <c r="M54" s="19">
        <f>IF(K54&lt;&gt;"",K54,IF(OR(J54="",L54="",NOT(ISNUMBER(L54))),"",J54+L54))</f>
        <v>0</v>
      </c>
      <c r="N54" s="18">
        <f>IF(M54="","",M54-TODAY())</f>
        <v>0</v>
      </c>
      <c r="O54" s="25">
        <f>IF(B54="","",IFERROR(INDEX(Ingredients!$J$5:$J$304,MATCH(B54,Ingredients!$B$5:$B$304,0)),"Add to Ingredients"))</f>
        <v>0</v>
      </c>
      <c r="P54" s="25">
        <f>IF(OR(G54="",O54="",NOT(ISNUMBER(O54))),"",G54*O54)</f>
        <v>0</v>
      </c>
      <c r="R54" s="45">
        <f>IF(B54="","",IFERROR(INDEX(Ingredients!$AG$5:$AG$304,MATCH(B54,Ingredients!$B$5:$B$304,0)),0))</f>
        <v>0</v>
      </c>
      <c r="S54" s="45">
        <f>IF(G54="","",G54-IF(R54="",0,R54))</f>
        <v>0</v>
      </c>
      <c r="U54" s="18">
        <f>IF(OR(B54="",D54&lt;&gt;"Fridge",NOT(ISNUMBER(N54))),"",COUNTIFS($D$5:$D$304,"Fridge",$N$5:$N$304,"&lt;"&amp;N54)+COUNTIFS($D$5:D54,"Fridge",$N$5:N54,N54))</f>
        <v>0</v>
      </c>
      <c r="V54" s="18">
        <f>IF(OR(B54="",D54&lt;&gt;"Freezer",NOT(ISNUMBER(N54))),"",COUNTIFS($D$5:$D$304,"Freezer",$N$5:$N$304,"&lt;"&amp;N54)+COUNTIFS($D$5:D54,"Freezer",$N$5:N54,N54))</f>
        <v>0</v>
      </c>
      <c r="W54" s="31">
        <f>IF(B54="","",IF(G54=0,"Out of stock",IF(AND(N54&lt;&gt;"",N54&lt;0),"Expired",IF(AND(N54&lt;&gt;"",N54&lt;=ExpiryWarningDays),"Use soon",IF(AND(Q54&lt;&gt;"",G54&lt;Q54),"Low stock","In stock")))))</f>
        <v>0</v>
      </c>
      <c r="X54" s="31">
        <f>IF(B54="","",IF(W54="Expired","Expired - bin it and log it on the Food Waste tab",IF(W54="Use soon","Use soon - plan a meal with it",IF(W54="Out of stock",IF(T54="Yes","Missing - staple has run out","Add - restock when convenient"),IF(W54="Low stock","Check - running low",IF(S54&lt;0,"Check - the plan needs more than you have","OK"))))))</f>
        <v>0</v>
      </c>
    </row>
    <row r="55" spans="1:24">
      <c r="A55" s="39">
        <f>IF(B55="","",PantryPrefix&amp;TEXT(ROW()-4,"0000"))</f>
        <v>0</v>
      </c>
      <c r="C55" s="17">
        <f>IF(B55="","",IFERROR(INDEX(Ingredients!$C$5:$C$304,MATCH(B55,Ingredients!$B$5:$B$304,0)),"Add to Ingredients"))</f>
        <v>0</v>
      </c>
      <c r="G55" s="45">
        <f>IF(E55="","",IFERROR(E55*INDEX(UnitFactors,MATCH(F55,UnitNames,0)),""))</f>
        <v>0</v>
      </c>
      <c r="H55" s="17">
        <f>IF(F55="","",IFERROR(INDEX(UnitBases,MATCH(F55,UnitNames,0)),"?"))</f>
        <v>0</v>
      </c>
      <c r="L55" s="18">
        <f>IF(B55="","",IFERROR(INDEX(Ingredients!$Z$5:$Z$304,MATCH(B55,Ingredients!$B$5:$B$304,0)),"Add to Ingredients"))</f>
        <v>0</v>
      </c>
      <c r="M55" s="19">
        <f>IF(K55&lt;&gt;"",K55,IF(OR(J55="",L55="",NOT(ISNUMBER(L55))),"",J55+L55))</f>
        <v>0</v>
      </c>
      <c r="N55" s="18">
        <f>IF(M55="","",M55-TODAY())</f>
        <v>0</v>
      </c>
      <c r="O55" s="25">
        <f>IF(B55="","",IFERROR(INDEX(Ingredients!$J$5:$J$304,MATCH(B55,Ingredients!$B$5:$B$304,0)),"Add to Ingredients"))</f>
        <v>0</v>
      </c>
      <c r="P55" s="25">
        <f>IF(OR(G55="",O55="",NOT(ISNUMBER(O55))),"",G55*O55)</f>
        <v>0</v>
      </c>
      <c r="R55" s="45">
        <f>IF(B55="","",IFERROR(INDEX(Ingredients!$AG$5:$AG$304,MATCH(B55,Ingredients!$B$5:$B$304,0)),0))</f>
        <v>0</v>
      </c>
      <c r="S55" s="45">
        <f>IF(G55="","",G55-IF(R55="",0,R55))</f>
        <v>0</v>
      </c>
      <c r="U55" s="18">
        <f>IF(OR(B55="",D55&lt;&gt;"Fridge",NOT(ISNUMBER(N55))),"",COUNTIFS($D$5:$D$304,"Fridge",$N$5:$N$304,"&lt;"&amp;N55)+COUNTIFS($D$5:D55,"Fridge",$N$5:N55,N55))</f>
        <v>0</v>
      </c>
      <c r="V55" s="18">
        <f>IF(OR(B55="",D55&lt;&gt;"Freezer",NOT(ISNUMBER(N55))),"",COUNTIFS($D$5:$D$304,"Freezer",$N$5:$N$304,"&lt;"&amp;N55)+COUNTIFS($D$5:D55,"Freezer",$N$5:N55,N55))</f>
        <v>0</v>
      </c>
      <c r="W55" s="31">
        <f>IF(B55="","",IF(G55=0,"Out of stock",IF(AND(N55&lt;&gt;"",N55&lt;0),"Expired",IF(AND(N55&lt;&gt;"",N55&lt;=ExpiryWarningDays),"Use soon",IF(AND(Q55&lt;&gt;"",G55&lt;Q55),"Low stock","In stock")))))</f>
        <v>0</v>
      </c>
      <c r="X55" s="31">
        <f>IF(B55="","",IF(W55="Expired","Expired - bin it and log it on the Food Waste tab",IF(W55="Use soon","Use soon - plan a meal with it",IF(W55="Out of stock",IF(T55="Yes","Missing - staple has run out","Add - restock when convenient"),IF(W55="Low stock","Check - running low",IF(S55&lt;0,"Check - the plan needs more than you have","OK"))))))</f>
        <v>0</v>
      </c>
    </row>
    <row r="56" spans="1:24">
      <c r="A56" s="39">
        <f>IF(B56="","",PantryPrefix&amp;TEXT(ROW()-4,"0000"))</f>
        <v>0</v>
      </c>
      <c r="C56" s="17">
        <f>IF(B56="","",IFERROR(INDEX(Ingredients!$C$5:$C$304,MATCH(B56,Ingredients!$B$5:$B$304,0)),"Add to Ingredients"))</f>
        <v>0</v>
      </c>
      <c r="G56" s="45">
        <f>IF(E56="","",IFERROR(E56*INDEX(UnitFactors,MATCH(F56,UnitNames,0)),""))</f>
        <v>0</v>
      </c>
      <c r="H56" s="17">
        <f>IF(F56="","",IFERROR(INDEX(UnitBases,MATCH(F56,UnitNames,0)),"?"))</f>
        <v>0</v>
      </c>
      <c r="L56" s="18">
        <f>IF(B56="","",IFERROR(INDEX(Ingredients!$Z$5:$Z$304,MATCH(B56,Ingredients!$B$5:$B$304,0)),"Add to Ingredients"))</f>
        <v>0</v>
      </c>
      <c r="M56" s="19">
        <f>IF(K56&lt;&gt;"",K56,IF(OR(J56="",L56="",NOT(ISNUMBER(L56))),"",J56+L56))</f>
        <v>0</v>
      </c>
      <c r="N56" s="18">
        <f>IF(M56="","",M56-TODAY())</f>
        <v>0</v>
      </c>
      <c r="O56" s="25">
        <f>IF(B56="","",IFERROR(INDEX(Ingredients!$J$5:$J$304,MATCH(B56,Ingredients!$B$5:$B$304,0)),"Add to Ingredients"))</f>
        <v>0</v>
      </c>
      <c r="P56" s="25">
        <f>IF(OR(G56="",O56="",NOT(ISNUMBER(O56))),"",G56*O56)</f>
        <v>0</v>
      </c>
      <c r="R56" s="45">
        <f>IF(B56="","",IFERROR(INDEX(Ingredients!$AG$5:$AG$304,MATCH(B56,Ingredients!$B$5:$B$304,0)),0))</f>
        <v>0</v>
      </c>
      <c r="S56" s="45">
        <f>IF(G56="","",G56-IF(R56="",0,R56))</f>
        <v>0</v>
      </c>
      <c r="U56" s="18">
        <f>IF(OR(B56="",D56&lt;&gt;"Fridge",NOT(ISNUMBER(N56))),"",COUNTIFS($D$5:$D$304,"Fridge",$N$5:$N$304,"&lt;"&amp;N56)+COUNTIFS($D$5:D56,"Fridge",$N$5:N56,N56))</f>
        <v>0</v>
      </c>
      <c r="V56" s="18">
        <f>IF(OR(B56="",D56&lt;&gt;"Freezer",NOT(ISNUMBER(N56))),"",COUNTIFS($D$5:$D$304,"Freezer",$N$5:$N$304,"&lt;"&amp;N56)+COUNTIFS($D$5:D56,"Freezer",$N$5:N56,N56))</f>
        <v>0</v>
      </c>
      <c r="W56" s="31">
        <f>IF(B56="","",IF(G56=0,"Out of stock",IF(AND(N56&lt;&gt;"",N56&lt;0),"Expired",IF(AND(N56&lt;&gt;"",N56&lt;=ExpiryWarningDays),"Use soon",IF(AND(Q56&lt;&gt;"",G56&lt;Q56),"Low stock","In stock")))))</f>
        <v>0</v>
      </c>
      <c r="X56" s="31">
        <f>IF(B56="","",IF(W56="Expired","Expired - bin it and log it on the Food Waste tab",IF(W56="Use soon","Use soon - plan a meal with it",IF(W56="Out of stock",IF(T56="Yes","Missing - staple has run out","Add - restock when convenient"),IF(W56="Low stock","Check - running low",IF(S56&lt;0,"Check - the plan needs more than you have","OK"))))))</f>
        <v>0</v>
      </c>
    </row>
    <row r="57" spans="1:24">
      <c r="A57" s="39">
        <f>IF(B57="","",PantryPrefix&amp;TEXT(ROW()-4,"0000"))</f>
        <v>0</v>
      </c>
      <c r="C57" s="17">
        <f>IF(B57="","",IFERROR(INDEX(Ingredients!$C$5:$C$304,MATCH(B57,Ingredients!$B$5:$B$304,0)),"Add to Ingredients"))</f>
        <v>0</v>
      </c>
      <c r="G57" s="45">
        <f>IF(E57="","",IFERROR(E57*INDEX(UnitFactors,MATCH(F57,UnitNames,0)),""))</f>
        <v>0</v>
      </c>
      <c r="H57" s="17">
        <f>IF(F57="","",IFERROR(INDEX(UnitBases,MATCH(F57,UnitNames,0)),"?"))</f>
        <v>0</v>
      </c>
      <c r="L57" s="18">
        <f>IF(B57="","",IFERROR(INDEX(Ingredients!$Z$5:$Z$304,MATCH(B57,Ingredients!$B$5:$B$304,0)),"Add to Ingredients"))</f>
        <v>0</v>
      </c>
      <c r="M57" s="19">
        <f>IF(K57&lt;&gt;"",K57,IF(OR(J57="",L57="",NOT(ISNUMBER(L57))),"",J57+L57))</f>
        <v>0</v>
      </c>
      <c r="N57" s="18">
        <f>IF(M57="","",M57-TODAY())</f>
        <v>0</v>
      </c>
      <c r="O57" s="25">
        <f>IF(B57="","",IFERROR(INDEX(Ingredients!$J$5:$J$304,MATCH(B57,Ingredients!$B$5:$B$304,0)),"Add to Ingredients"))</f>
        <v>0</v>
      </c>
      <c r="P57" s="25">
        <f>IF(OR(G57="",O57="",NOT(ISNUMBER(O57))),"",G57*O57)</f>
        <v>0</v>
      </c>
      <c r="R57" s="45">
        <f>IF(B57="","",IFERROR(INDEX(Ingredients!$AG$5:$AG$304,MATCH(B57,Ingredients!$B$5:$B$304,0)),0))</f>
        <v>0</v>
      </c>
      <c r="S57" s="45">
        <f>IF(G57="","",G57-IF(R57="",0,R57))</f>
        <v>0</v>
      </c>
      <c r="U57" s="18">
        <f>IF(OR(B57="",D57&lt;&gt;"Fridge",NOT(ISNUMBER(N57))),"",COUNTIFS($D$5:$D$304,"Fridge",$N$5:$N$304,"&lt;"&amp;N57)+COUNTIFS($D$5:D57,"Fridge",$N$5:N57,N57))</f>
        <v>0</v>
      </c>
      <c r="V57" s="18">
        <f>IF(OR(B57="",D57&lt;&gt;"Freezer",NOT(ISNUMBER(N57))),"",COUNTIFS($D$5:$D$304,"Freezer",$N$5:$N$304,"&lt;"&amp;N57)+COUNTIFS($D$5:D57,"Freezer",$N$5:N57,N57))</f>
        <v>0</v>
      </c>
      <c r="W57" s="31">
        <f>IF(B57="","",IF(G57=0,"Out of stock",IF(AND(N57&lt;&gt;"",N57&lt;0),"Expired",IF(AND(N57&lt;&gt;"",N57&lt;=ExpiryWarningDays),"Use soon",IF(AND(Q57&lt;&gt;"",G57&lt;Q57),"Low stock","In stock")))))</f>
        <v>0</v>
      </c>
      <c r="X57" s="31">
        <f>IF(B57="","",IF(W57="Expired","Expired - bin it and log it on the Food Waste tab",IF(W57="Use soon","Use soon - plan a meal with it",IF(W57="Out of stock",IF(T57="Yes","Missing - staple has run out","Add - restock when convenient"),IF(W57="Low stock","Check - running low",IF(S57&lt;0,"Check - the plan needs more than you have","OK"))))))</f>
        <v>0</v>
      </c>
    </row>
    <row r="58" spans="1:24">
      <c r="A58" s="39">
        <f>IF(B58="","",PantryPrefix&amp;TEXT(ROW()-4,"0000"))</f>
        <v>0</v>
      </c>
      <c r="C58" s="17">
        <f>IF(B58="","",IFERROR(INDEX(Ingredients!$C$5:$C$304,MATCH(B58,Ingredients!$B$5:$B$304,0)),"Add to Ingredients"))</f>
        <v>0</v>
      </c>
      <c r="G58" s="45">
        <f>IF(E58="","",IFERROR(E58*INDEX(UnitFactors,MATCH(F58,UnitNames,0)),""))</f>
        <v>0</v>
      </c>
      <c r="H58" s="17">
        <f>IF(F58="","",IFERROR(INDEX(UnitBases,MATCH(F58,UnitNames,0)),"?"))</f>
        <v>0</v>
      </c>
      <c r="L58" s="18">
        <f>IF(B58="","",IFERROR(INDEX(Ingredients!$Z$5:$Z$304,MATCH(B58,Ingredients!$B$5:$B$304,0)),"Add to Ingredients"))</f>
        <v>0</v>
      </c>
      <c r="M58" s="19">
        <f>IF(K58&lt;&gt;"",K58,IF(OR(J58="",L58="",NOT(ISNUMBER(L58))),"",J58+L58))</f>
        <v>0</v>
      </c>
      <c r="N58" s="18">
        <f>IF(M58="","",M58-TODAY())</f>
        <v>0</v>
      </c>
      <c r="O58" s="25">
        <f>IF(B58="","",IFERROR(INDEX(Ingredients!$J$5:$J$304,MATCH(B58,Ingredients!$B$5:$B$304,0)),"Add to Ingredients"))</f>
        <v>0</v>
      </c>
      <c r="P58" s="25">
        <f>IF(OR(G58="",O58="",NOT(ISNUMBER(O58))),"",G58*O58)</f>
        <v>0</v>
      </c>
      <c r="R58" s="45">
        <f>IF(B58="","",IFERROR(INDEX(Ingredients!$AG$5:$AG$304,MATCH(B58,Ingredients!$B$5:$B$304,0)),0))</f>
        <v>0</v>
      </c>
      <c r="S58" s="45">
        <f>IF(G58="","",G58-IF(R58="",0,R58))</f>
        <v>0</v>
      </c>
      <c r="U58" s="18">
        <f>IF(OR(B58="",D58&lt;&gt;"Fridge",NOT(ISNUMBER(N58))),"",COUNTIFS($D$5:$D$304,"Fridge",$N$5:$N$304,"&lt;"&amp;N58)+COUNTIFS($D$5:D58,"Fridge",$N$5:N58,N58))</f>
        <v>0</v>
      </c>
      <c r="V58" s="18">
        <f>IF(OR(B58="",D58&lt;&gt;"Freezer",NOT(ISNUMBER(N58))),"",COUNTIFS($D$5:$D$304,"Freezer",$N$5:$N$304,"&lt;"&amp;N58)+COUNTIFS($D$5:D58,"Freezer",$N$5:N58,N58))</f>
        <v>0</v>
      </c>
      <c r="W58" s="31">
        <f>IF(B58="","",IF(G58=0,"Out of stock",IF(AND(N58&lt;&gt;"",N58&lt;0),"Expired",IF(AND(N58&lt;&gt;"",N58&lt;=ExpiryWarningDays),"Use soon",IF(AND(Q58&lt;&gt;"",G58&lt;Q58),"Low stock","In stock")))))</f>
        <v>0</v>
      </c>
      <c r="X58" s="31">
        <f>IF(B58="","",IF(W58="Expired","Expired - bin it and log it on the Food Waste tab",IF(W58="Use soon","Use soon - plan a meal with it",IF(W58="Out of stock",IF(T58="Yes","Missing - staple has run out","Add - restock when convenient"),IF(W58="Low stock","Check - running low",IF(S58&lt;0,"Check - the plan needs more than you have","OK"))))))</f>
        <v>0</v>
      </c>
    </row>
    <row r="59" spans="1:24">
      <c r="A59" s="39">
        <f>IF(B59="","",PantryPrefix&amp;TEXT(ROW()-4,"0000"))</f>
        <v>0</v>
      </c>
      <c r="C59" s="17">
        <f>IF(B59="","",IFERROR(INDEX(Ingredients!$C$5:$C$304,MATCH(B59,Ingredients!$B$5:$B$304,0)),"Add to Ingredients"))</f>
        <v>0</v>
      </c>
      <c r="G59" s="45">
        <f>IF(E59="","",IFERROR(E59*INDEX(UnitFactors,MATCH(F59,UnitNames,0)),""))</f>
        <v>0</v>
      </c>
      <c r="H59" s="17">
        <f>IF(F59="","",IFERROR(INDEX(UnitBases,MATCH(F59,UnitNames,0)),"?"))</f>
        <v>0</v>
      </c>
      <c r="L59" s="18">
        <f>IF(B59="","",IFERROR(INDEX(Ingredients!$Z$5:$Z$304,MATCH(B59,Ingredients!$B$5:$B$304,0)),"Add to Ingredients"))</f>
        <v>0</v>
      </c>
      <c r="M59" s="19">
        <f>IF(K59&lt;&gt;"",K59,IF(OR(J59="",L59="",NOT(ISNUMBER(L59))),"",J59+L59))</f>
        <v>0</v>
      </c>
      <c r="N59" s="18">
        <f>IF(M59="","",M59-TODAY())</f>
        <v>0</v>
      </c>
      <c r="O59" s="25">
        <f>IF(B59="","",IFERROR(INDEX(Ingredients!$J$5:$J$304,MATCH(B59,Ingredients!$B$5:$B$304,0)),"Add to Ingredients"))</f>
        <v>0</v>
      </c>
      <c r="P59" s="25">
        <f>IF(OR(G59="",O59="",NOT(ISNUMBER(O59))),"",G59*O59)</f>
        <v>0</v>
      </c>
      <c r="R59" s="45">
        <f>IF(B59="","",IFERROR(INDEX(Ingredients!$AG$5:$AG$304,MATCH(B59,Ingredients!$B$5:$B$304,0)),0))</f>
        <v>0</v>
      </c>
      <c r="S59" s="45">
        <f>IF(G59="","",G59-IF(R59="",0,R59))</f>
        <v>0</v>
      </c>
      <c r="U59" s="18">
        <f>IF(OR(B59="",D59&lt;&gt;"Fridge",NOT(ISNUMBER(N59))),"",COUNTIFS($D$5:$D$304,"Fridge",$N$5:$N$304,"&lt;"&amp;N59)+COUNTIFS($D$5:D59,"Fridge",$N$5:N59,N59))</f>
        <v>0</v>
      </c>
      <c r="V59" s="18">
        <f>IF(OR(B59="",D59&lt;&gt;"Freezer",NOT(ISNUMBER(N59))),"",COUNTIFS($D$5:$D$304,"Freezer",$N$5:$N$304,"&lt;"&amp;N59)+COUNTIFS($D$5:D59,"Freezer",$N$5:N59,N59))</f>
        <v>0</v>
      </c>
      <c r="W59" s="31">
        <f>IF(B59="","",IF(G59=0,"Out of stock",IF(AND(N59&lt;&gt;"",N59&lt;0),"Expired",IF(AND(N59&lt;&gt;"",N59&lt;=ExpiryWarningDays),"Use soon",IF(AND(Q59&lt;&gt;"",G59&lt;Q59),"Low stock","In stock")))))</f>
        <v>0</v>
      </c>
      <c r="X59" s="31">
        <f>IF(B59="","",IF(W59="Expired","Expired - bin it and log it on the Food Waste tab",IF(W59="Use soon","Use soon - plan a meal with it",IF(W59="Out of stock",IF(T59="Yes","Missing - staple has run out","Add - restock when convenient"),IF(W59="Low stock","Check - running low",IF(S59&lt;0,"Check - the plan needs more than you have","OK"))))))</f>
        <v>0</v>
      </c>
    </row>
    <row r="60" spans="1:24">
      <c r="A60" s="39">
        <f>IF(B60="","",PantryPrefix&amp;TEXT(ROW()-4,"0000"))</f>
        <v>0</v>
      </c>
      <c r="C60" s="17">
        <f>IF(B60="","",IFERROR(INDEX(Ingredients!$C$5:$C$304,MATCH(B60,Ingredients!$B$5:$B$304,0)),"Add to Ingredients"))</f>
        <v>0</v>
      </c>
      <c r="G60" s="45">
        <f>IF(E60="","",IFERROR(E60*INDEX(UnitFactors,MATCH(F60,UnitNames,0)),""))</f>
        <v>0</v>
      </c>
      <c r="H60" s="17">
        <f>IF(F60="","",IFERROR(INDEX(UnitBases,MATCH(F60,UnitNames,0)),"?"))</f>
        <v>0</v>
      </c>
      <c r="L60" s="18">
        <f>IF(B60="","",IFERROR(INDEX(Ingredients!$Z$5:$Z$304,MATCH(B60,Ingredients!$B$5:$B$304,0)),"Add to Ingredients"))</f>
        <v>0</v>
      </c>
      <c r="M60" s="19">
        <f>IF(K60&lt;&gt;"",K60,IF(OR(J60="",L60="",NOT(ISNUMBER(L60))),"",J60+L60))</f>
        <v>0</v>
      </c>
      <c r="N60" s="18">
        <f>IF(M60="","",M60-TODAY())</f>
        <v>0</v>
      </c>
      <c r="O60" s="25">
        <f>IF(B60="","",IFERROR(INDEX(Ingredients!$J$5:$J$304,MATCH(B60,Ingredients!$B$5:$B$304,0)),"Add to Ingredients"))</f>
        <v>0</v>
      </c>
      <c r="P60" s="25">
        <f>IF(OR(G60="",O60="",NOT(ISNUMBER(O60))),"",G60*O60)</f>
        <v>0</v>
      </c>
      <c r="R60" s="45">
        <f>IF(B60="","",IFERROR(INDEX(Ingredients!$AG$5:$AG$304,MATCH(B60,Ingredients!$B$5:$B$304,0)),0))</f>
        <v>0</v>
      </c>
      <c r="S60" s="45">
        <f>IF(G60="","",G60-IF(R60="",0,R60))</f>
        <v>0</v>
      </c>
      <c r="U60" s="18">
        <f>IF(OR(B60="",D60&lt;&gt;"Fridge",NOT(ISNUMBER(N60))),"",COUNTIFS($D$5:$D$304,"Fridge",$N$5:$N$304,"&lt;"&amp;N60)+COUNTIFS($D$5:D60,"Fridge",$N$5:N60,N60))</f>
        <v>0</v>
      </c>
      <c r="V60" s="18">
        <f>IF(OR(B60="",D60&lt;&gt;"Freezer",NOT(ISNUMBER(N60))),"",COUNTIFS($D$5:$D$304,"Freezer",$N$5:$N$304,"&lt;"&amp;N60)+COUNTIFS($D$5:D60,"Freezer",$N$5:N60,N60))</f>
        <v>0</v>
      </c>
      <c r="W60" s="31">
        <f>IF(B60="","",IF(G60=0,"Out of stock",IF(AND(N60&lt;&gt;"",N60&lt;0),"Expired",IF(AND(N60&lt;&gt;"",N60&lt;=ExpiryWarningDays),"Use soon",IF(AND(Q60&lt;&gt;"",G60&lt;Q60),"Low stock","In stock")))))</f>
        <v>0</v>
      </c>
      <c r="X60" s="31">
        <f>IF(B60="","",IF(W60="Expired","Expired - bin it and log it on the Food Waste tab",IF(W60="Use soon","Use soon - plan a meal with it",IF(W60="Out of stock",IF(T60="Yes","Missing - staple has run out","Add - restock when convenient"),IF(W60="Low stock","Check - running low",IF(S60&lt;0,"Check - the plan needs more than you have","OK"))))))</f>
        <v>0</v>
      </c>
    </row>
    <row r="61" spans="1:24">
      <c r="A61" s="39">
        <f>IF(B61="","",PantryPrefix&amp;TEXT(ROW()-4,"0000"))</f>
        <v>0</v>
      </c>
      <c r="C61" s="17">
        <f>IF(B61="","",IFERROR(INDEX(Ingredients!$C$5:$C$304,MATCH(B61,Ingredients!$B$5:$B$304,0)),"Add to Ingredients"))</f>
        <v>0</v>
      </c>
      <c r="G61" s="45">
        <f>IF(E61="","",IFERROR(E61*INDEX(UnitFactors,MATCH(F61,UnitNames,0)),""))</f>
        <v>0</v>
      </c>
      <c r="H61" s="17">
        <f>IF(F61="","",IFERROR(INDEX(UnitBases,MATCH(F61,UnitNames,0)),"?"))</f>
        <v>0</v>
      </c>
      <c r="L61" s="18">
        <f>IF(B61="","",IFERROR(INDEX(Ingredients!$Z$5:$Z$304,MATCH(B61,Ingredients!$B$5:$B$304,0)),"Add to Ingredients"))</f>
        <v>0</v>
      </c>
      <c r="M61" s="19">
        <f>IF(K61&lt;&gt;"",K61,IF(OR(J61="",L61="",NOT(ISNUMBER(L61))),"",J61+L61))</f>
        <v>0</v>
      </c>
      <c r="N61" s="18">
        <f>IF(M61="","",M61-TODAY())</f>
        <v>0</v>
      </c>
      <c r="O61" s="25">
        <f>IF(B61="","",IFERROR(INDEX(Ingredients!$J$5:$J$304,MATCH(B61,Ingredients!$B$5:$B$304,0)),"Add to Ingredients"))</f>
        <v>0</v>
      </c>
      <c r="P61" s="25">
        <f>IF(OR(G61="",O61="",NOT(ISNUMBER(O61))),"",G61*O61)</f>
        <v>0</v>
      </c>
      <c r="R61" s="45">
        <f>IF(B61="","",IFERROR(INDEX(Ingredients!$AG$5:$AG$304,MATCH(B61,Ingredients!$B$5:$B$304,0)),0))</f>
        <v>0</v>
      </c>
      <c r="S61" s="45">
        <f>IF(G61="","",G61-IF(R61="",0,R61))</f>
        <v>0</v>
      </c>
      <c r="U61" s="18">
        <f>IF(OR(B61="",D61&lt;&gt;"Fridge",NOT(ISNUMBER(N61))),"",COUNTIFS($D$5:$D$304,"Fridge",$N$5:$N$304,"&lt;"&amp;N61)+COUNTIFS($D$5:D61,"Fridge",$N$5:N61,N61))</f>
        <v>0</v>
      </c>
      <c r="V61" s="18">
        <f>IF(OR(B61="",D61&lt;&gt;"Freezer",NOT(ISNUMBER(N61))),"",COUNTIFS($D$5:$D$304,"Freezer",$N$5:$N$304,"&lt;"&amp;N61)+COUNTIFS($D$5:D61,"Freezer",$N$5:N61,N61))</f>
        <v>0</v>
      </c>
      <c r="W61" s="31">
        <f>IF(B61="","",IF(G61=0,"Out of stock",IF(AND(N61&lt;&gt;"",N61&lt;0),"Expired",IF(AND(N61&lt;&gt;"",N61&lt;=ExpiryWarningDays),"Use soon",IF(AND(Q61&lt;&gt;"",G61&lt;Q61),"Low stock","In stock")))))</f>
        <v>0</v>
      </c>
      <c r="X61" s="31">
        <f>IF(B61="","",IF(W61="Expired","Expired - bin it and log it on the Food Waste tab",IF(W61="Use soon","Use soon - plan a meal with it",IF(W61="Out of stock",IF(T61="Yes","Missing - staple has run out","Add - restock when convenient"),IF(W61="Low stock","Check - running low",IF(S61&lt;0,"Check - the plan needs more than you have","OK"))))))</f>
        <v>0</v>
      </c>
    </row>
    <row r="62" spans="1:24">
      <c r="A62" s="39">
        <f>IF(B62="","",PantryPrefix&amp;TEXT(ROW()-4,"0000"))</f>
        <v>0</v>
      </c>
      <c r="C62" s="17">
        <f>IF(B62="","",IFERROR(INDEX(Ingredients!$C$5:$C$304,MATCH(B62,Ingredients!$B$5:$B$304,0)),"Add to Ingredients"))</f>
        <v>0</v>
      </c>
      <c r="G62" s="45">
        <f>IF(E62="","",IFERROR(E62*INDEX(UnitFactors,MATCH(F62,UnitNames,0)),""))</f>
        <v>0</v>
      </c>
      <c r="H62" s="17">
        <f>IF(F62="","",IFERROR(INDEX(UnitBases,MATCH(F62,UnitNames,0)),"?"))</f>
        <v>0</v>
      </c>
      <c r="L62" s="18">
        <f>IF(B62="","",IFERROR(INDEX(Ingredients!$Z$5:$Z$304,MATCH(B62,Ingredients!$B$5:$B$304,0)),"Add to Ingredients"))</f>
        <v>0</v>
      </c>
      <c r="M62" s="19">
        <f>IF(K62&lt;&gt;"",K62,IF(OR(J62="",L62="",NOT(ISNUMBER(L62))),"",J62+L62))</f>
        <v>0</v>
      </c>
      <c r="N62" s="18">
        <f>IF(M62="","",M62-TODAY())</f>
        <v>0</v>
      </c>
      <c r="O62" s="25">
        <f>IF(B62="","",IFERROR(INDEX(Ingredients!$J$5:$J$304,MATCH(B62,Ingredients!$B$5:$B$304,0)),"Add to Ingredients"))</f>
        <v>0</v>
      </c>
      <c r="P62" s="25">
        <f>IF(OR(G62="",O62="",NOT(ISNUMBER(O62))),"",G62*O62)</f>
        <v>0</v>
      </c>
      <c r="R62" s="45">
        <f>IF(B62="","",IFERROR(INDEX(Ingredients!$AG$5:$AG$304,MATCH(B62,Ingredients!$B$5:$B$304,0)),0))</f>
        <v>0</v>
      </c>
      <c r="S62" s="45">
        <f>IF(G62="","",G62-IF(R62="",0,R62))</f>
        <v>0</v>
      </c>
      <c r="U62" s="18">
        <f>IF(OR(B62="",D62&lt;&gt;"Fridge",NOT(ISNUMBER(N62))),"",COUNTIFS($D$5:$D$304,"Fridge",$N$5:$N$304,"&lt;"&amp;N62)+COUNTIFS($D$5:D62,"Fridge",$N$5:N62,N62))</f>
        <v>0</v>
      </c>
      <c r="V62" s="18">
        <f>IF(OR(B62="",D62&lt;&gt;"Freezer",NOT(ISNUMBER(N62))),"",COUNTIFS($D$5:$D$304,"Freezer",$N$5:$N$304,"&lt;"&amp;N62)+COUNTIFS($D$5:D62,"Freezer",$N$5:N62,N62))</f>
        <v>0</v>
      </c>
      <c r="W62" s="31">
        <f>IF(B62="","",IF(G62=0,"Out of stock",IF(AND(N62&lt;&gt;"",N62&lt;0),"Expired",IF(AND(N62&lt;&gt;"",N62&lt;=ExpiryWarningDays),"Use soon",IF(AND(Q62&lt;&gt;"",G62&lt;Q62),"Low stock","In stock")))))</f>
        <v>0</v>
      </c>
      <c r="X62" s="31">
        <f>IF(B62="","",IF(W62="Expired","Expired - bin it and log it on the Food Waste tab",IF(W62="Use soon","Use soon - plan a meal with it",IF(W62="Out of stock",IF(T62="Yes","Missing - staple has run out","Add - restock when convenient"),IF(W62="Low stock","Check - running low",IF(S62&lt;0,"Check - the plan needs more than you have","OK"))))))</f>
        <v>0</v>
      </c>
    </row>
    <row r="63" spans="1:24">
      <c r="A63" s="39">
        <f>IF(B63="","",PantryPrefix&amp;TEXT(ROW()-4,"0000"))</f>
        <v>0</v>
      </c>
      <c r="C63" s="17">
        <f>IF(B63="","",IFERROR(INDEX(Ingredients!$C$5:$C$304,MATCH(B63,Ingredients!$B$5:$B$304,0)),"Add to Ingredients"))</f>
        <v>0</v>
      </c>
      <c r="G63" s="45">
        <f>IF(E63="","",IFERROR(E63*INDEX(UnitFactors,MATCH(F63,UnitNames,0)),""))</f>
        <v>0</v>
      </c>
      <c r="H63" s="17">
        <f>IF(F63="","",IFERROR(INDEX(UnitBases,MATCH(F63,UnitNames,0)),"?"))</f>
        <v>0</v>
      </c>
      <c r="L63" s="18">
        <f>IF(B63="","",IFERROR(INDEX(Ingredients!$Z$5:$Z$304,MATCH(B63,Ingredients!$B$5:$B$304,0)),"Add to Ingredients"))</f>
        <v>0</v>
      </c>
      <c r="M63" s="19">
        <f>IF(K63&lt;&gt;"",K63,IF(OR(J63="",L63="",NOT(ISNUMBER(L63))),"",J63+L63))</f>
        <v>0</v>
      </c>
      <c r="N63" s="18">
        <f>IF(M63="","",M63-TODAY())</f>
        <v>0</v>
      </c>
      <c r="O63" s="25">
        <f>IF(B63="","",IFERROR(INDEX(Ingredients!$J$5:$J$304,MATCH(B63,Ingredients!$B$5:$B$304,0)),"Add to Ingredients"))</f>
        <v>0</v>
      </c>
      <c r="P63" s="25">
        <f>IF(OR(G63="",O63="",NOT(ISNUMBER(O63))),"",G63*O63)</f>
        <v>0</v>
      </c>
      <c r="R63" s="45">
        <f>IF(B63="","",IFERROR(INDEX(Ingredients!$AG$5:$AG$304,MATCH(B63,Ingredients!$B$5:$B$304,0)),0))</f>
        <v>0</v>
      </c>
      <c r="S63" s="45">
        <f>IF(G63="","",G63-IF(R63="",0,R63))</f>
        <v>0</v>
      </c>
      <c r="U63" s="18">
        <f>IF(OR(B63="",D63&lt;&gt;"Fridge",NOT(ISNUMBER(N63))),"",COUNTIFS($D$5:$D$304,"Fridge",$N$5:$N$304,"&lt;"&amp;N63)+COUNTIFS($D$5:D63,"Fridge",$N$5:N63,N63))</f>
        <v>0</v>
      </c>
      <c r="V63" s="18">
        <f>IF(OR(B63="",D63&lt;&gt;"Freezer",NOT(ISNUMBER(N63))),"",COUNTIFS($D$5:$D$304,"Freezer",$N$5:$N$304,"&lt;"&amp;N63)+COUNTIFS($D$5:D63,"Freezer",$N$5:N63,N63))</f>
        <v>0</v>
      </c>
      <c r="W63" s="31">
        <f>IF(B63="","",IF(G63=0,"Out of stock",IF(AND(N63&lt;&gt;"",N63&lt;0),"Expired",IF(AND(N63&lt;&gt;"",N63&lt;=ExpiryWarningDays),"Use soon",IF(AND(Q63&lt;&gt;"",G63&lt;Q63),"Low stock","In stock")))))</f>
        <v>0</v>
      </c>
      <c r="X63" s="31">
        <f>IF(B63="","",IF(W63="Expired","Expired - bin it and log it on the Food Waste tab",IF(W63="Use soon","Use soon - plan a meal with it",IF(W63="Out of stock",IF(T63="Yes","Missing - staple has run out","Add - restock when convenient"),IF(W63="Low stock","Check - running low",IF(S63&lt;0,"Check - the plan needs more than you have","OK"))))))</f>
        <v>0</v>
      </c>
    </row>
    <row r="64" spans="1:24">
      <c r="A64" s="39">
        <f>IF(B64="","",PantryPrefix&amp;TEXT(ROW()-4,"0000"))</f>
        <v>0</v>
      </c>
      <c r="C64" s="17">
        <f>IF(B64="","",IFERROR(INDEX(Ingredients!$C$5:$C$304,MATCH(B64,Ingredients!$B$5:$B$304,0)),"Add to Ingredients"))</f>
        <v>0</v>
      </c>
      <c r="G64" s="45">
        <f>IF(E64="","",IFERROR(E64*INDEX(UnitFactors,MATCH(F64,UnitNames,0)),""))</f>
        <v>0</v>
      </c>
      <c r="H64" s="17">
        <f>IF(F64="","",IFERROR(INDEX(UnitBases,MATCH(F64,UnitNames,0)),"?"))</f>
        <v>0</v>
      </c>
      <c r="L64" s="18">
        <f>IF(B64="","",IFERROR(INDEX(Ingredients!$Z$5:$Z$304,MATCH(B64,Ingredients!$B$5:$B$304,0)),"Add to Ingredients"))</f>
        <v>0</v>
      </c>
      <c r="M64" s="19">
        <f>IF(K64&lt;&gt;"",K64,IF(OR(J64="",L64="",NOT(ISNUMBER(L64))),"",J64+L64))</f>
        <v>0</v>
      </c>
      <c r="N64" s="18">
        <f>IF(M64="","",M64-TODAY())</f>
        <v>0</v>
      </c>
      <c r="O64" s="25">
        <f>IF(B64="","",IFERROR(INDEX(Ingredients!$J$5:$J$304,MATCH(B64,Ingredients!$B$5:$B$304,0)),"Add to Ingredients"))</f>
        <v>0</v>
      </c>
      <c r="P64" s="25">
        <f>IF(OR(G64="",O64="",NOT(ISNUMBER(O64))),"",G64*O64)</f>
        <v>0</v>
      </c>
      <c r="R64" s="45">
        <f>IF(B64="","",IFERROR(INDEX(Ingredients!$AG$5:$AG$304,MATCH(B64,Ingredients!$B$5:$B$304,0)),0))</f>
        <v>0</v>
      </c>
      <c r="S64" s="45">
        <f>IF(G64="","",G64-IF(R64="",0,R64))</f>
        <v>0</v>
      </c>
      <c r="U64" s="18">
        <f>IF(OR(B64="",D64&lt;&gt;"Fridge",NOT(ISNUMBER(N64))),"",COUNTIFS($D$5:$D$304,"Fridge",$N$5:$N$304,"&lt;"&amp;N64)+COUNTIFS($D$5:D64,"Fridge",$N$5:N64,N64))</f>
        <v>0</v>
      </c>
      <c r="V64" s="18">
        <f>IF(OR(B64="",D64&lt;&gt;"Freezer",NOT(ISNUMBER(N64))),"",COUNTIFS($D$5:$D$304,"Freezer",$N$5:$N$304,"&lt;"&amp;N64)+COUNTIFS($D$5:D64,"Freezer",$N$5:N64,N64))</f>
        <v>0</v>
      </c>
      <c r="W64" s="31">
        <f>IF(B64="","",IF(G64=0,"Out of stock",IF(AND(N64&lt;&gt;"",N64&lt;0),"Expired",IF(AND(N64&lt;&gt;"",N64&lt;=ExpiryWarningDays),"Use soon",IF(AND(Q64&lt;&gt;"",G64&lt;Q64),"Low stock","In stock")))))</f>
        <v>0</v>
      </c>
      <c r="X64" s="31">
        <f>IF(B64="","",IF(W64="Expired","Expired - bin it and log it on the Food Waste tab",IF(W64="Use soon","Use soon - plan a meal with it",IF(W64="Out of stock",IF(T64="Yes","Missing - staple has run out","Add - restock when convenient"),IF(W64="Low stock","Check - running low",IF(S64&lt;0,"Check - the plan needs more than you have","OK"))))))</f>
        <v>0</v>
      </c>
    </row>
    <row r="65" spans="1:24">
      <c r="A65" s="39">
        <f>IF(B65="","",PantryPrefix&amp;TEXT(ROW()-4,"0000"))</f>
        <v>0</v>
      </c>
      <c r="C65" s="17">
        <f>IF(B65="","",IFERROR(INDEX(Ingredients!$C$5:$C$304,MATCH(B65,Ingredients!$B$5:$B$304,0)),"Add to Ingredients"))</f>
        <v>0</v>
      </c>
      <c r="G65" s="45">
        <f>IF(E65="","",IFERROR(E65*INDEX(UnitFactors,MATCH(F65,UnitNames,0)),""))</f>
        <v>0</v>
      </c>
      <c r="H65" s="17">
        <f>IF(F65="","",IFERROR(INDEX(UnitBases,MATCH(F65,UnitNames,0)),"?"))</f>
        <v>0</v>
      </c>
      <c r="L65" s="18">
        <f>IF(B65="","",IFERROR(INDEX(Ingredients!$Z$5:$Z$304,MATCH(B65,Ingredients!$B$5:$B$304,0)),"Add to Ingredients"))</f>
        <v>0</v>
      </c>
      <c r="M65" s="19">
        <f>IF(K65&lt;&gt;"",K65,IF(OR(J65="",L65="",NOT(ISNUMBER(L65))),"",J65+L65))</f>
        <v>0</v>
      </c>
      <c r="N65" s="18">
        <f>IF(M65="","",M65-TODAY())</f>
        <v>0</v>
      </c>
      <c r="O65" s="25">
        <f>IF(B65="","",IFERROR(INDEX(Ingredients!$J$5:$J$304,MATCH(B65,Ingredients!$B$5:$B$304,0)),"Add to Ingredients"))</f>
        <v>0</v>
      </c>
      <c r="P65" s="25">
        <f>IF(OR(G65="",O65="",NOT(ISNUMBER(O65))),"",G65*O65)</f>
        <v>0</v>
      </c>
      <c r="R65" s="45">
        <f>IF(B65="","",IFERROR(INDEX(Ingredients!$AG$5:$AG$304,MATCH(B65,Ingredients!$B$5:$B$304,0)),0))</f>
        <v>0</v>
      </c>
      <c r="S65" s="45">
        <f>IF(G65="","",G65-IF(R65="",0,R65))</f>
        <v>0</v>
      </c>
      <c r="U65" s="18">
        <f>IF(OR(B65="",D65&lt;&gt;"Fridge",NOT(ISNUMBER(N65))),"",COUNTIFS($D$5:$D$304,"Fridge",$N$5:$N$304,"&lt;"&amp;N65)+COUNTIFS($D$5:D65,"Fridge",$N$5:N65,N65))</f>
        <v>0</v>
      </c>
      <c r="V65" s="18">
        <f>IF(OR(B65="",D65&lt;&gt;"Freezer",NOT(ISNUMBER(N65))),"",COUNTIFS($D$5:$D$304,"Freezer",$N$5:$N$304,"&lt;"&amp;N65)+COUNTIFS($D$5:D65,"Freezer",$N$5:N65,N65))</f>
        <v>0</v>
      </c>
      <c r="W65" s="31">
        <f>IF(B65="","",IF(G65=0,"Out of stock",IF(AND(N65&lt;&gt;"",N65&lt;0),"Expired",IF(AND(N65&lt;&gt;"",N65&lt;=ExpiryWarningDays),"Use soon",IF(AND(Q65&lt;&gt;"",G65&lt;Q65),"Low stock","In stock")))))</f>
        <v>0</v>
      </c>
      <c r="X65" s="31">
        <f>IF(B65="","",IF(W65="Expired","Expired - bin it and log it on the Food Waste tab",IF(W65="Use soon","Use soon - plan a meal with it",IF(W65="Out of stock",IF(T65="Yes","Missing - staple has run out","Add - restock when convenient"),IF(W65="Low stock","Check - running low",IF(S65&lt;0,"Check - the plan needs more than you have","OK"))))))</f>
        <v>0</v>
      </c>
    </row>
    <row r="66" spans="1:24">
      <c r="A66" s="39">
        <f>IF(B66="","",PantryPrefix&amp;TEXT(ROW()-4,"0000"))</f>
        <v>0</v>
      </c>
      <c r="C66" s="17">
        <f>IF(B66="","",IFERROR(INDEX(Ingredients!$C$5:$C$304,MATCH(B66,Ingredients!$B$5:$B$304,0)),"Add to Ingredients"))</f>
        <v>0</v>
      </c>
      <c r="G66" s="45">
        <f>IF(E66="","",IFERROR(E66*INDEX(UnitFactors,MATCH(F66,UnitNames,0)),""))</f>
        <v>0</v>
      </c>
      <c r="H66" s="17">
        <f>IF(F66="","",IFERROR(INDEX(UnitBases,MATCH(F66,UnitNames,0)),"?"))</f>
        <v>0</v>
      </c>
      <c r="L66" s="18">
        <f>IF(B66="","",IFERROR(INDEX(Ingredients!$Z$5:$Z$304,MATCH(B66,Ingredients!$B$5:$B$304,0)),"Add to Ingredients"))</f>
        <v>0</v>
      </c>
      <c r="M66" s="19">
        <f>IF(K66&lt;&gt;"",K66,IF(OR(J66="",L66="",NOT(ISNUMBER(L66))),"",J66+L66))</f>
        <v>0</v>
      </c>
      <c r="N66" s="18">
        <f>IF(M66="","",M66-TODAY())</f>
        <v>0</v>
      </c>
      <c r="O66" s="25">
        <f>IF(B66="","",IFERROR(INDEX(Ingredients!$J$5:$J$304,MATCH(B66,Ingredients!$B$5:$B$304,0)),"Add to Ingredients"))</f>
        <v>0</v>
      </c>
      <c r="P66" s="25">
        <f>IF(OR(G66="",O66="",NOT(ISNUMBER(O66))),"",G66*O66)</f>
        <v>0</v>
      </c>
      <c r="R66" s="45">
        <f>IF(B66="","",IFERROR(INDEX(Ingredients!$AG$5:$AG$304,MATCH(B66,Ingredients!$B$5:$B$304,0)),0))</f>
        <v>0</v>
      </c>
      <c r="S66" s="45">
        <f>IF(G66="","",G66-IF(R66="",0,R66))</f>
        <v>0</v>
      </c>
      <c r="U66" s="18">
        <f>IF(OR(B66="",D66&lt;&gt;"Fridge",NOT(ISNUMBER(N66))),"",COUNTIFS($D$5:$D$304,"Fridge",$N$5:$N$304,"&lt;"&amp;N66)+COUNTIFS($D$5:D66,"Fridge",$N$5:N66,N66))</f>
        <v>0</v>
      </c>
      <c r="V66" s="18">
        <f>IF(OR(B66="",D66&lt;&gt;"Freezer",NOT(ISNUMBER(N66))),"",COUNTIFS($D$5:$D$304,"Freezer",$N$5:$N$304,"&lt;"&amp;N66)+COUNTIFS($D$5:D66,"Freezer",$N$5:N66,N66))</f>
        <v>0</v>
      </c>
      <c r="W66" s="31">
        <f>IF(B66="","",IF(G66=0,"Out of stock",IF(AND(N66&lt;&gt;"",N66&lt;0),"Expired",IF(AND(N66&lt;&gt;"",N66&lt;=ExpiryWarningDays),"Use soon",IF(AND(Q66&lt;&gt;"",G66&lt;Q66),"Low stock","In stock")))))</f>
        <v>0</v>
      </c>
      <c r="X66" s="31">
        <f>IF(B66="","",IF(W66="Expired","Expired - bin it and log it on the Food Waste tab",IF(W66="Use soon","Use soon - plan a meal with it",IF(W66="Out of stock",IF(T66="Yes","Missing - staple has run out","Add - restock when convenient"),IF(W66="Low stock","Check - running low",IF(S66&lt;0,"Check - the plan needs more than you have","OK"))))))</f>
        <v>0</v>
      </c>
    </row>
    <row r="67" spans="1:24">
      <c r="A67" s="39">
        <f>IF(B67="","",PantryPrefix&amp;TEXT(ROW()-4,"0000"))</f>
        <v>0</v>
      </c>
      <c r="C67" s="17">
        <f>IF(B67="","",IFERROR(INDEX(Ingredients!$C$5:$C$304,MATCH(B67,Ingredients!$B$5:$B$304,0)),"Add to Ingredients"))</f>
        <v>0</v>
      </c>
      <c r="G67" s="45">
        <f>IF(E67="","",IFERROR(E67*INDEX(UnitFactors,MATCH(F67,UnitNames,0)),""))</f>
        <v>0</v>
      </c>
      <c r="H67" s="17">
        <f>IF(F67="","",IFERROR(INDEX(UnitBases,MATCH(F67,UnitNames,0)),"?"))</f>
        <v>0</v>
      </c>
      <c r="L67" s="18">
        <f>IF(B67="","",IFERROR(INDEX(Ingredients!$Z$5:$Z$304,MATCH(B67,Ingredients!$B$5:$B$304,0)),"Add to Ingredients"))</f>
        <v>0</v>
      </c>
      <c r="M67" s="19">
        <f>IF(K67&lt;&gt;"",K67,IF(OR(J67="",L67="",NOT(ISNUMBER(L67))),"",J67+L67))</f>
        <v>0</v>
      </c>
      <c r="N67" s="18">
        <f>IF(M67="","",M67-TODAY())</f>
        <v>0</v>
      </c>
      <c r="O67" s="25">
        <f>IF(B67="","",IFERROR(INDEX(Ingredients!$J$5:$J$304,MATCH(B67,Ingredients!$B$5:$B$304,0)),"Add to Ingredients"))</f>
        <v>0</v>
      </c>
      <c r="P67" s="25">
        <f>IF(OR(G67="",O67="",NOT(ISNUMBER(O67))),"",G67*O67)</f>
        <v>0</v>
      </c>
      <c r="R67" s="45">
        <f>IF(B67="","",IFERROR(INDEX(Ingredients!$AG$5:$AG$304,MATCH(B67,Ingredients!$B$5:$B$304,0)),0))</f>
        <v>0</v>
      </c>
      <c r="S67" s="45">
        <f>IF(G67="","",G67-IF(R67="",0,R67))</f>
        <v>0</v>
      </c>
      <c r="U67" s="18">
        <f>IF(OR(B67="",D67&lt;&gt;"Fridge",NOT(ISNUMBER(N67))),"",COUNTIFS($D$5:$D$304,"Fridge",$N$5:$N$304,"&lt;"&amp;N67)+COUNTIFS($D$5:D67,"Fridge",$N$5:N67,N67))</f>
        <v>0</v>
      </c>
      <c r="V67" s="18">
        <f>IF(OR(B67="",D67&lt;&gt;"Freezer",NOT(ISNUMBER(N67))),"",COUNTIFS($D$5:$D$304,"Freezer",$N$5:$N$304,"&lt;"&amp;N67)+COUNTIFS($D$5:D67,"Freezer",$N$5:N67,N67))</f>
        <v>0</v>
      </c>
      <c r="W67" s="31">
        <f>IF(B67="","",IF(G67=0,"Out of stock",IF(AND(N67&lt;&gt;"",N67&lt;0),"Expired",IF(AND(N67&lt;&gt;"",N67&lt;=ExpiryWarningDays),"Use soon",IF(AND(Q67&lt;&gt;"",G67&lt;Q67),"Low stock","In stock")))))</f>
        <v>0</v>
      </c>
      <c r="X67" s="31">
        <f>IF(B67="","",IF(W67="Expired","Expired - bin it and log it on the Food Waste tab",IF(W67="Use soon","Use soon - plan a meal with it",IF(W67="Out of stock",IF(T67="Yes","Missing - staple has run out","Add - restock when convenient"),IF(W67="Low stock","Check - running low",IF(S67&lt;0,"Check - the plan needs more than you have","OK"))))))</f>
        <v>0</v>
      </c>
    </row>
    <row r="68" spans="1:24">
      <c r="A68" s="39">
        <f>IF(B68="","",PantryPrefix&amp;TEXT(ROW()-4,"0000"))</f>
        <v>0</v>
      </c>
      <c r="C68" s="17">
        <f>IF(B68="","",IFERROR(INDEX(Ingredients!$C$5:$C$304,MATCH(B68,Ingredients!$B$5:$B$304,0)),"Add to Ingredients"))</f>
        <v>0</v>
      </c>
      <c r="G68" s="45">
        <f>IF(E68="","",IFERROR(E68*INDEX(UnitFactors,MATCH(F68,UnitNames,0)),""))</f>
        <v>0</v>
      </c>
      <c r="H68" s="17">
        <f>IF(F68="","",IFERROR(INDEX(UnitBases,MATCH(F68,UnitNames,0)),"?"))</f>
        <v>0</v>
      </c>
      <c r="L68" s="18">
        <f>IF(B68="","",IFERROR(INDEX(Ingredients!$Z$5:$Z$304,MATCH(B68,Ingredients!$B$5:$B$304,0)),"Add to Ingredients"))</f>
        <v>0</v>
      </c>
      <c r="M68" s="19">
        <f>IF(K68&lt;&gt;"",K68,IF(OR(J68="",L68="",NOT(ISNUMBER(L68))),"",J68+L68))</f>
        <v>0</v>
      </c>
      <c r="N68" s="18">
        <f>IF(M68="","",M68-TODAY())</f>
        <v>0</v>
      </c>
      <c r="O68" s="25">
        <f>IF(B68="","",IFERROR(INDEX(Ingredients!$J$5:$J$304,MATCH(B68,Ingredients!$B$5:$B$304,0)),"Add to Ingredients"))</f>
        <v>0</v>
      </c>
      <c r="P68" s="25">
        <f>IF(OR(G68="",O68="",NOT(ISNUMBER(O68))),"",G68*O68)</f>
        <v>0</v>
      </c>
      <c r="R68" s="45">
        <f>IF(B68="","",IFERROR(INDEX(Ingredients!$AG$5:$AG$304,MATCH(B68,Ingredients!$B$5:$B$304,0)),0))</f>
        <v>0</v>
      </c>
      <c r="S68" s="45">
        <f>IF(G68="","",G68-IF(R68="",0,R68))</f>
        <v>0</v>
      </c>
      <c r="U68" s="18">
        <f>IF(OR(B68="",D68&lt;&gt;"Fridge",NOT(ISNUMBER(N68))),"",COUNTIFS($D$5:$D$304,"Fridge",$N$5:$N$304,"&lt;"&amp;N68)+COUNTIFS($D$5:D68,"Fridge",$N$5:N68,N68))</f>
        <v>0</v>
      </c>
      <c r="V68" s="18">
        <f>IF(OR(B68="",D68&lt;&gt;"Freezer",NOT(ISNUMBER(N68))),"",COUNTIFS($D$5:$D$304,"Freezer",$N$5:$N$304,"&lt;"&amp;N68)+COUNTIFS($D$5:D68,"Freezer",$N$5:N68,N68))</f>
        <v>0</v>
      </c>
      <c r="W68" s="31">
        <f>IF(B68="","",IF(G68=0,"Out of stock",IF(AND(N68&lt;&gt;"",N68&lt;0),"Expired",IF(AND(N68&lt;&gt;"",N68&lt;=ExpiryWarningDays),"Use soon",IF(AND(Q68&lt;&gt;"",G68&lt;Q68),"Low stock","In stock")))))</f>
        <v>0</v>
      </c>
      <c r="X68" s="31">
        <f>IF(B68="","",IF(W68="Expired","Expired - bin it and log it on the Food Waste tab",IF(W68="Use soon","Use soon - plan a meal with it",IF(W68="Out of stock",IF(T68="Yes","Missing - staple has run out","Add - restock when convenient"),IF(W68="Low stock","Check - running low",IF(S68&lt;0,"Check - the plan needs more than you have","OK"))))))</f>
        <v>0</v>
      </c>
    </row>
    <row r="69" spans="1:24">
      <c r="A69" s="39">
        <f>IF(B69="","",PantryPrefix&amp;TEXT(ROW()-4,"0000"))</f>
        <v>0</v>
      </c>
      <c r="C69" s="17">
        <f>IF(B69="","",IFERROR(INDEX(Ingredients!$C$5:$C$304,MATCH(B69,Ingredients!$B$5:$B$304,0)),"Add to Ingredients"))</f>
        <v>0</v>
      </c>
      <c r="G69" s="45">
        <f>IF(E69="","",IFERROR(E69*INDEX(UnitFactors,MATCH(F69,UnitNames,0)),""))</f>
        <v>0</v>
      </c>
      <c r="H69" s="17">
        <f>IF(F69="","",IFERROR(INDEX(UnitBases,MATCH(F69,UnitNames,0)),"?"))</f>
        <v>0</v>
      </c>
      <c r="L69" s="18">
        <f>IF(B69="","",IFERROR(INDEX(Ingredients!$Z$5:$Z$304,MATCH(B69,Ingredients!$B$5:$B$304,0)),"Add to Ingredients"))</f>
        <v>0</v>
      </c>
      <c r="M69" s="19">
        <f>IF(K69&lt;&gt;"",K69,IF(OR(J69="",L69="",NOT(ISNUMBER(L69))),"",J69+L69))</f>
        <v>0</v>
      </c>
      <c r="N69" s="18">
        <f>IF(M69="","",M69-TODAY())</f>
        <v>0</v>
      </c>
      <c r="O69" s="25">
        <f>IF(B69="","",IFERROR(INDEX(Ingredients!$J$5:$J$304,MATCH(B69,Ingredients!$B$5:$B$304,0)),"Add to Ingredients"))</f>
        <v>0</v>
      </c>
      <c r="P69" s="25">
        <f>IF(OR(G69="",O69="",NOT(ISNUMBER(O69))),"",G69*O69)</f>
        <v>0</v>
      </c>
      <c r="R69" s="45">
        <f>IF(B69="","",IFERROR(INDEX(Ingredients!$AG$5:$AG$304,MATCH(B69,Ingredients!$B$5:$B$304,0)),0))</f>
        <v>0</v>
      </c>
      <c r="S69" s="45">
        <f>IF(G69="","",G69-IF(R69="",0,R69))</f>
        <v>0</v>
      </c>
      <c r="U69" s="18">
        <f>IF(OR(B69="",D69&lt;&gt;"Fridge",NOT(ISNUMBER(N69))),"",COUNTIFS($D$5:$D$304,"Fridge",$N$5:$N$304,"&lt;"&amp;N69)+COUNTIFS($D$5:D69,"Fridge",$N$5:N69,N69))</f>
        <v>0</v>
      </c>
      <c r="V69" s="18">
        <f>IF(OR(B69="",D69&lt;&gt;"Freezer",NOT(ISNUMBER(N69))),"",COUNTIFS($D$5:$D$304,"Freezer",$N$5:$N$304,"&lt;"&amp;N69)+COUNTIFS($D$5:D69,"Freezer",$N$5:N69,N69))</f>
        <v>0</v>
      </c>
      <c r="W69" s="31">
        <f>IF(B69="","",IF(G69=0,"Out of stock",IF(AND(N69&lt;&gt;"",N69&lt;0),"Expired",IF(AND(N69&lt;&gt;"",N69&lt;=ExpiryWarningDays),"Use soon",IF(AND(Q69&lt;&gt;"",G69&lt;Q69),"Low stock","In stock")))))</f>
        <v>0</v>
      </c>
      <c r="X69" s="31">
        <f>IF(B69="","",IF(W69="Expired","Expired - bin it and log it on the Food Waste tab",IF(W69="Use soon","Use soon - plan a meal with it",IF(W69="Out of stock",IF(T69="Yes","Missing - staple has run out","Add - restock when convenient"),IF(W69="Low stock","Check - running low",IF(S69&lt;0,"Check - the plan needs more than you have","OK"))))))</f>
        <v>0</v>
      </c>
    </row>
    <row r="70" spans="1:24">
      <c r="A70" s="39">
        <f>IF(B70="","",PantryPrefix&amp;TEXT(ROW()-4,"0000"))</f>
        <v>0</v>
      </c>
      <c r="C70" s="17">
        <f>IF(B70="","",IFERROR(INDEX(Ingredients!$C$5:$C$304,MATCH(B70,Ingredients!$B$5:$B$304,0)),"Add to Ingredients"))</f>
        <v>0</v>
      </c>
      <c r="G70" s="45">
        <f>IF(E70="","",IFERROR(E70*INDEX(UnitFactors,MATCH(F70,UnitNames,0)),""))</f>
        <v>0</v>
      </c>
      <c r="H70" s="17">
        <f>IF(F70="","",IFERROR(INDEX(UnitBases,MATCH(F70,UnitNames,0)),"?"))</f>
        <v>0</v>
      </c>
      <c r="L70" s="18">
        <f>IF(B70="","",IFERROR(INDEX(Ingredients!$Z$5:$Z$304,MATCH(B70,Ingredients!$B$5:$B$304,0)),"Add to Ingredients"))</f>
        <v>0</v>
      </c>
      <c r="M70" s="19">
        <f>IF(K70&lt;&gt;"",K70,IF(OR(J70="",L70="",NOT(ISNUMBER(L70))),"",J70+L70))</f>
        <v>0</v>
      </c>
      <c r="N70" s="18">
        <f>IF(M70="","",M70-TODAY())</f>
        <v>0</v>
      </c>
      <c r="O70" s="25">
        <f>IF(B70="","",IFERROR(INDEX(Ingredients!$J$5:$J$304,MATCH(B70,Ingredients!$B$5:$B$304,0)),"Add to Ingredients"))</f>
        <v>0</v>
      </c>
      <c r="P70" s="25">
        <f>IF(OR(G70="",O70="",NOT(ISNUMBER(O70))),"",G70*O70)</f>
        <v>0</v>
      </c>
      <c r="R70" s="45">
        <f>IF(B70="","",IFERROR(INDEX(Ingredients!$AG$5:$AG$304,MATCH(B70,Ingredients!$B$5:$B$304,0)),0))</f>
        <v>0</v>
      </c>
      <c r="S70" s="45">
        <f>IF(G70="","",G70-IF(R70="",0,R70))</f>
        <v>0</v>
      </c>
      <c r="U70" s="18">
        <f>IF(OR(B70="",D70&lt;&gt;"Fridge",NOT(ISNUMBER(N70))),"",COUNTIFS($D$5:$D$304,"Fridge",$N$5:$N$304,"&lt;"&amp;N70)+COUNTIFS($D$5:D70,"Fridge",$N$5:N70,N70))</f>
        <v>0</v>
      </c>
      <c r="V70" s="18">
        <f>IF(OR(B70="",D70&lt;&gt;"Freezer",NOT(ISNUMBER(N70))),"",COUNTIFS($D$5:$D$304,"Freezer",$N$5:$N$304,"&lt;"&amp;N70)+COUNTIFS($D$5:D70,"Freezer",$N$5:N70,N70))</f>
        <v>0</v>
      </c>
      <c r="W70" s="31">
        <f>IF(B70="","",IF(G70=0,"Out of stock",IF(AND(N70&lt;&gt;"",N70&lt;0),"Expired",IF(AND(N70&lt;&gt;"",N70&lt;=ExpiryWarningDays),"Use soon",IF(AND(Q70&lt;&gt;"",G70&lt;Q70),"Low stock","In stock")))))</f>
        <v>0</v>
      </c>
      <c r="X70" s="31">
        <f>IF(B70="","",IF(W70="Expired","Expired - bin it and log it on the Food Waste tab",IF(W70="Use soon","Use soon - plan a meal with it",IF(W70="Out of stock",IF(T70="Yes","Missing - staple has run out","Add - restock when convenient"),IF(W70="Low stock","Check - running low",IF(S70&lt;0,"Check - the plan needs more than you have","OK"))))))</f>
        <v>0</v>
      </c>
    </row>
    <row r="71" spans="1:24">
      <c r="A71" s="39">
        <f>IF(B71="","",PantryPrefix&amp;TEXT(ROW()-4,"0000"))</f>
        <v>0</v>
      </c>
      <c r="C71" s="17">
        <f>IF(B71="","",IFERROR(INDEX(Ingredients!$C$5:$C$304,MATCH(B71,Ingredients!$B$5:$B$304,0)),"Add to Ingredients"))</f>
        <v>0</v>
      </c>
      <c r="G71" s="45">
        <f>IF(E71="","",IFERROR(E71*INDEX(UnitFactors,MATCH(F71,UnitNames,0)),""))</f>
        <v>0</v>
      </c>
      <c r="H71" s="17">
        <f>IF(F71="","",IFERROR(INDEX(UnitBases,MATCH(F71,UnitNames,0)),"?"))</f>
        <v>0</v>
      </c>
      <c r="L71" s="18">
        <f>IF(B71="","",IFERROR(INDEX(Ingredients!$Z$5:$Z$304,MATCH(B71,Ingredients!$B$5:$B$304,0)),"Add to Ingredients"))</f>
        <v>0</v>
      </c>
      <c r="M71" s="19">
        <f>IF(K71&lt;&gt;"",K71,IF(OR(J71="",L71="",NOT(ISNUMBER(L71))),"",J71+L71))</f>
        <v>0</v>
      </c>
      <c r="N71" s="18">
        <f>IF(M71="","",M71-TODAY())</f>
        <v>0</v>
      </c>
      <c r="O71" s="25">
        <f>IF(B71="","",IFERROR(INDEX(Ingredients!$J$5:$J$304,MATCH(B71,Ingredients!$B$5:$B$304,0)),"Add to Ingredients"))</f>
        <v>0</v>
      </c>
      <c r="P71" s="25">
        <f>IF(OR(G71="",O71="",NOT(ISNUMBER(O71))),"",G71*O71)</f>
        <v>0</v>
      </c>
      <c r="R71" s="45">
        <f>IF(B71="","",IFERROR(INDEX(Ingredients!$AG$5:$AG$304,MATCH(B71,Ingredients!$B$5:$B$304,0)),0))</f>
        <v>0</v>
      </c>
      <c r="S71" s="45">
        <f>IF(G71="","",G71-IF(R71="",0,R71))</f>
        <v>0</v>
      </c>
      <c r="U71" s="18">
        <f>IF(OR(B71="",D71&lt;&gt;"Fridge",NOT(ISNUMBER(N71))),"",COUNTIFS($D$5:$D$304,"Fridge",$N$5:$N$304,"&lt;"&amp;N71)+COUNTIFS($D$5:D71,"Fridge",$N$5:N71,N71))</f>
        <v>0</v>
      </c>
      <c r="V71" s="18">
        <f>IF(OR(B71="",D71&lt;&gt;"Freezer",NOT(ISNUMBER(N71))),"",COUNTIFS($D$5:$D$304,"Freezer",$N$5:$N$304,"&lt;"&amp;N71)+COUNTIFS($D$5:D71,"Freezer",$N$5:N71,N71))</f>
        <v>0</v>
      </c>
      <c r="W71" s="31">
        <f>IF(B71="","",IF(G71=0,"Out of stock",IF(AND(N71&lt;&gt;"",N71&lt;0),"Expired",IF(AND(N71&lt;&gt;"",N71&lt;=ExpiryWarningDays),"Use soon",IF(AND(Q71&lt;&gt;"",G71&lt;Q71),"Low stock","In stock")))))</f>
        <v>0</v>
      </c>
      <c r="X71" s="31">
        <f>IF(B71="","",IF(W71="Expired","Expired - bin it and log it on the Food Waste tab",IF(W71="Use soon","Use soon - plan a meal with it",IF(W71="Out of stock",IF(T71="Yes","Missing - staple has run out","Add - restock when convenient"),IF(W71="Low stock","Check - running low",IF(S71&lt;0,"Check - the plan needs more than you have","OK"))))))</f>
        <v>0</v>
      </c>
    </row>
    <row r="72" spans="1:24">
      <c r="A72" s="39">
        <f>IF(B72="","",PantryPrefix&amp;TEXT(ROW()-4,"0000"))</f>
        <v>0</v>
      </c>
      <c r="C72" s="17">
        <f>IF(B72="","",IFERROR(INDEX(Ingredients!$C$5:$C$304,MATCH(B72,Ingredients!$B$5:$B$304,0)),"Add to Ingredients"))</f>
        <v>0</v>
      </c>
      <c r="G72" s="45">
        <f>IF(E72="","",IFERROR(E72*INDEX(UnitFactors,MATCH(F72,UnitNames,0)),""))</f>
        <v>0</v>
      </c>
      <c r="H72" s="17">
        <f>IF(F72="","",IFERROR(INDEX(UnitBases,MATCH(F72,UnitNames,0)),"?"))</f>
        <v>0</v>
      </c>
      <c r="L72" s="18">
        <f>IF(B72="","",IFERROR(INDEX(Ingredients!$Z$5:$Z$304,MATCH(B72,Ingredients!$B$5:$B$304,0)),"Add to Ingredients"))</f>
        <v>0</v>
      </c>
      <c r="M72" s="19">
        <f>IF(K72&lt;&gt;"",K72,IF(OR(J72="",L72="",NOT(ISNUMBER(L72))),"",J72+L72))</f>
        <v>0</v>
      </c>
      <c r="N72" s="18">
        <f>IF(M72="","",M72-TODAY())</f>
        <v>0</v>
      </c>
      <c r="O72" s="25">
        <f>IF(B72="","",IFERROR(INDEX(Ingredients!$J$5:$J$304,MATCH(B72,Ingredients!$B$5:$B$304,0)),"Add to Ingredients"))</f>
        <v>0</v>
      </c>
      <c r="P72" s="25">
        <f>IF(OR(G72="",O72="",NOT(ISNUMBER(O72))),"",G72*O72)</f>
        <v>0</v>
      </c>
      <c r="R72" s="45">
        <f>IF(B72="","",IFERROR(INDEX(Ingredients!$AG$5:$AG$304,MATCH(B72,Ingredients!$B$5:$B$304,0)),0))</f>
        <v>0</v>
      </c>
      <c r="S72" s="45">
        <f>IF(G72="","",G72-IF(R72="",0,R72))</f>
        <v>0</v>
      </c>
      <c r="U72" s="18">
        <f>IF(OR(B72="",D72&lt;&gt;"Fridge",NOT(ISNUMBER(N72))),"",COUNTIFS($D$5:$D$304,"Fridge",$N$5:$N$304,"&lt;"&amp;N72)+COUNTIFS($D$5:D72,"Fridge",$N$5:N72,N72))</f>
        <v>0</v>
      </c>
      <c r="V72" s="18">
        <f>IF(OR(B72="",D72&lt;&gt;"Freezer",NOT(ISNUMBER(N72))),"",COUNTIFS($D$5:$D$304,"Freezer",$N$5:$N$304,"&lt;"&amp;N72)+COUNTIFS($D$5:D72,"Freezer",$N$5:N72,N72))</f>
        <v>0</v>
      </c>
      <c r="W72" s="31">
        <f>IF(B72="","",IF(G72=0,"Out of stock",IF(AND(N72&lt;&gt;"",N72&lt;0),"Expired",IF(AND(N72&lt;&gt;"",N72&lt;=ExpiryWarningDays),"Use soon",IF(AND(Q72&lt;&gt;"",G72&lt;Q72),"Low stock","In stock")))))</f>
        <v>0</v>
      </c>
      <c r="X72" s="31">
        <f>IF(B72="","",IF(W72="Expired","Expired - bin it and log it on the Food Waste tab",IF(W72="Use soon","Use soon - plan a meal with it",IF(W72="Out of stock",IF(T72="Yes","Missing - staple has run out","Add - restock when convenient"),IF(W72="Low stock","Check - running low",IF(S72&lt;0,"Check - the plan needs more than you have","OK"))))))</f>
        <v>0</v>
      </c>
    </row>
    <row r="73" spans="1:24">
      <c r="A73" s="39">
        <f>IF(B73="","",PantryPrefix&amp;TEXT(ROW()-4,"0000"))</f>
        <v>0</v>
      </c>
      <c r="C73" s="17">
        <f>IF(B73="","",IFERROR(INDEX(Ingredients!$C$5:$C$304,MATCH(B73,Ingredients!$B$5:$B$304,0)),"Add to Ingredients"))</f>
        <v>0</v>
      </c>
      <c r="G73" s="45">
        <f>IF(E73="","",IFERROR(E73*INDEX(UnitFactors,MATCH(F73,UnitNames,0)),""))</f>
        <v>0</v>
      </c>
      <c r="H73" s="17">
        <f>IF(F73="","",IFERROR(INDEX(UnitBases,MATCH(F73,UnitNames,0)),"?"))</f>
        <v>0</v>
      </c>
      <c r="L73" s="18">
        <f>IF(B73="","",IFERROR(INDEX(Ingredients!$Z$5:$Z$304,MATCH(B73,Ingredients!$B$5:$B$304,0)),"Add to Ingredients"))</f>
        <v>0</v>
      </c>
      <c r="M73" s="19">
        <f>IF(K73&lt;&gt;"",K73,IF(OR(J73="",L73="",NOT(ISNUMBER(L73))),"",J73+L73))</f>
        <v>0</v>
      </c>
      <c r="N73" s="18">
        <f>IF(M73="","",M73-TODAY())</f>
        <v>0</v>
      </c>
      <c r="O73" s="25">
        <f>IF(B73="","",IFERROR(INDEX(Ingredients!$J$5:$J$304,MATCH(B73,Ingredients!$B$5:$B$304,0)),"Add to Ingredients"))</f>
        <v>0</v>
      </c>
      <c r="P73" s="25">
        <f>IF(OR(G73="",O73="",NOT(ISNUMBER(O73))),"",G73*O73)</f>
        <v>0</v>
      </c>
      <c r="R73" s="45">
        <f>IF(B73="","",IFERROR(INDEX(Ingredients!$AG$5:$AG$304,MATCH(B73,Ingredients!$B$5:$B$304,0)),0))</f>
        <v>0</v>
      </c>
      <c r="S73" s="45">
        <f>IF(G73="","",G73-IF(R73="",0,R73))</f>
        <v>0</v>
      </c>
      <c r="U73" s="18">
        <f>IF(OR(B73="",D73&lt;&gt;"Fridge",NOT(ISNUMBER(N73))),"",COUNTIFS($D$5:$D$304,"Fridge",$N$5:$N$304,"&lt;"&amp;N73)+COUNTIFS($D$5:D73,"Fridge",$N$5:N73,N73))</f>
        <v>0</v>
      </c>
      <c r="V73" s="18">
        <f>IF(OR(B73="",D73&lt;&gt;"Freezer",NOT(ISNUMBER(N73))),"",COUNTIFS($D$5:$D$304,"Freezer",$N$5:$N$304,"&lt;"&amp;N73)+COUNTIFS($D$5:D73,"Freezer",$N$5:N73,N73))</f>
        <v>0</v>
      </c>
      <c r="W73" s="31">
        <f>IF(B73="","",IF(G73=0,"Out of stock",IF(AND(N73&lt;&gt;"",N73&lt;0),"Expired",IF(AND(N73&lt;&gt;"",N73&lt;=ExpiryWarningDays),"Use soon",IF(AND(Q73&lt;&gt;"",G73&lt;Q73),"Low stock","In stock")))))</f>
        <v>0</v>
      </c>
      <c r="X73" s="31">
        <f>IF(B73="","",IF(W73="Expired","Expired - bin it and log it on the Food Waste tab",IF(W73="Use soon","Use soon - plan a meal with it",IF(W73="Out of stock",IF(T73="Yes","Missing - staple has run out","Add - restock when convenient"),IF(W73="Low stock","Check - running low",IF(S73&lt;0,"Check - the plan needs more than you have","OK"))))))</f>
        <v>0</v>
      </c>
    </row>
    <row r="74" spans="1:24">
      <c r="A74" s="39">
        <f>IF(B74="","",PantryPrefix&amp;TEXT(ROW()-4,"0000"))</f>
        <v>0</v>
      </c>
      <c r="C74" s="17">
        <f>IF(B74="","",IFERROR(INDEX(Ingredients!$C$5:$C$304,MATCH(B74,Ingredients!$B$5:$B$304,0)),"Add to Ingredients"))</f>
        <v>0</v>
      </c>
      <c r="G74" s="45">
        <f>IF(E74="","",IFERROR(E74*INDEX(UnitFactors,MATCH(F74,UnitNames,0)),""))</f>
        <v>0</v>
      </c>
      <c r="H74" s="17">
        <f>IF(F74="","",IFERROR(INDEX(UnitBases,MATCH(F74,UnitNames,0)),"?"))</f>
        <v>0</v>
      </c>
      <c r="L74" s="18">
        <f>IF(B74="","",IFERROR(INDEX(Ingredients!$Z$5:$Z$304,MATCH(B74,Ingredients!$B$5:$B$304,0)),"Add to Ingredients"))</f>
        <v>0</v>
      </c>
      <c r="M74" s="19">
        <f>IF(K74&lt;&gt;"",K74,IF(OR(J74="",L74="",NOT(ISNUMBER(L74))),"",J74+L74))</f>
        <v>0</v>
      </c>
      <c r="N74" s="18">
        <f>IF(M74="","",M74-TODAY())</f>
        <v>0</v>
      </c>
      <c r="O74" s="25">
        <f>IF(B74="","",IFERROR(INDEX(Ingredients!$J$5:$J$304,MATCH(B74,Ingredients!$B$5:$B$304,0)),"Add to Ingredients"))</f>
        <v>0</v>
      </c>
      <c r="P74" s="25">
        <f>IF(OR(G74="",O74="",NOT(ISNUMBER(O74))),"",G74*O74)</f>
        <v>0</v>
      </c>
      <c r="R74" s="45">
        <f>IF(B74="","",IFERROR(INDEX(Ingredients!$AG$5:$AG$304,MATCH(B74,Ingredients!$B$5:$B$304,0)),0))</f>
        <v>0</v>
      </c>
      <c r="S74" s="45">
        <f>IF(G74="","",G74-IF(R74="",0,R74))</f>
        <v>0</v>
      </c>
      <c r="U74" s="18">
        <f>IF(OR(B74="",D74&lt;&gt;"Fridge",NOT(ISNUMBER(N74))),"",COUNTIFS($D$5:$D$304,"Fridge",$N$5:$N$304,"&lt;"&amp;N74)+COUNTIFS($D$5:D74,"Fridge",$N$5:N74,N74))</f>
        <v>0</v>
      </c>
      <c r="V74" s="18">
        <f>IF(OR(B74="",D74&lt;&gt;"Freezer",NOT(ISNUMBER(N74))),"",COUNTIFS($D$5:$D$304,"Freezer",$N$5:$N$304,"&lt;"&amp;N74)+COUNTIFS($D$5:D74,"Freezer",$N$5:N74,N74))</f>
        <v>0</v>
      </c>
      <c r="W74" s="31">
        <f>IF(B74="","",IF(G74=0,"Out of stock",IF(AND(N74&lt;&gt;"",N74&lt;0),"Expired",IF(AND(N74&lt;&gt;"",N74&lt;=ExpiryWarningDays),"Use soon",IF(AND(Q74&lt;&gt;"",G74&lt;Q74),"Low stock","In stock")))))</f>
        <v>0</v>
      </c>
      <c r="X74" s="31">
        <f>IF(B74="","",IF(W74="Expired","Expired - bin it and log it on the Food Waste tab",IF(W74="Use soon","Use soon - plan a meal with it",IF(W74="Out of stock",IF(T74="Yes","Missing - staple has run out","Add - restock when convenient"),IF(W74="Low stock","Check - running low",IF(S74&lt;0,"Check - the plan needs more than you have","OK"))))))</f>
        <v>0</v>
      </c>
    </row>
    <row r="75" spans="1:24">
      <c r="A75" s="39">
        <f>IF(B75="","",PantryPrefix&amp;TEXT(ROW()-4,"0000"))</f>
        <v>0</v>
      </c>
      <c r="C75" s="17">
        <f>IF(B75="","",IFERROR(INDEX(Ingredients!$C$5:$C$304,MATCH(B75,Ingredients!$B$5:$B$304,0)),"Add to Ingredients"))</f>
        <v>0</v>
      </c>
      <c r="G75" s="45">
        <f>IF(E75="","",IFERROR(E75*INDEX(UnitFactors,MATCH(F75,UnitNames,0)),""))</f>
        <v>0</v>
      </c>
      <c r="H75" s="17">
        <f>IF(F75="","",IFERROR(INDEX(UnitBases,MATCH(F75,UnitNames,0)),"?"))</f>
        <v>0</v>
      </c>
      <c r="L75" s="18">
        <f>IF(B75="","",IFERROR(INDEX(Ingredients!$Z$5:$Z$304,MATCH(B75,Ingredients!$B$5:$B$304,0)),"Add to Ingredients"))</f>
        <v>0</v>
      </c>
      <c r="M75" s="19">
        <f>IF(K75&lt;&gt;"",K75,IF(OR(J75="",L75="",NOT(ISNUMBER(L75))),"",J75+L75))</f>
        <v>0</v>
      </c>
      <c r="N75" s="18">
        <f>IF(M75="","",M75-TODAY())</f>
        <v>0</v>
      </c>
      <c r="O75" s="25">
        <f>IF(B75="","",IFERROR(INDEX(Ingredients!$J$5:$J$304,MATCH(B75,Ingredients!$B$5:$B$304,0)),"Add to Ingredients"))</f>
        <v>0</v>
      </c>
      <c r="P75" s="25">
        <f>IF(OR(G75="",O75="",NOT(ISNUMBER(O75))),"",G75*O75)</f>
        <v>0</v>
      </c>
      <c r="R75" s="45">
        <f>IF(B75="","",IFERROR(INDEX(Ingredients!$AG$5:$AG$304,MATCH(B75,Ingredients!$B$5:$B$304,0)),0))</f>
        <v>0</v>
      </c>
      <c r="S75" s="45">
        <f>IF(G75="","",G75-IF(R75="",0,R75))</f>
        <v>0</v>
      </c>
      <c r="U75" s="18">
        <f>IF(OR(B75="",D75&lt;&gt;"Fridge",NOT(ISNUMBER(N75))),"",COUNTIFS($D$5:$D$304,"Fridge",$N$5:$N$304,"&lt;"&amp;N75)+COUNTIFS($D$5:D75,"Fridge",$N$5:N75,N75))</f>
        <v>0</v>
      </c>
      <c r="V75" s="18">
        <f>IF(OR(B75="",D75&lt;&gt;"Freezer",NOT(ISNUMBER(N75))),"",COUNTIFS($D$5:$D$304,"Freezer",$N$5:$N$304,"&lt;"&amp;N75)+COUNTIFS($D$5:D75,"Freezer",$N$5:N75,N75))</f>
        <v>0</v>
      </c>
      <c r="W75" s="31">
        <f>IF(B75="","",IF(G75=0,"Out of stock",IF(AND(N75&lt;&gt;"",N75&lt;0),"Expired",IF(AND(N75&lt;&gt;"",N75&lt;=ExpiryWarningDays),"Use soon",IF(AND(Q75&lt;&gt;"",G75&lt;Q75),"Low stock","In stock")))))</f>
        <v>0</v>
      </c>
      <c r="X75" s="31">
        <f>IF(B75="","",IF(W75="Expired","Expired - bin it and log it on the Food Waste tab",IF(W75="Use soon","Use soon - plan a meal with it",IF(W75="Out of stock",IF(T75="Yes","Missing - staple has run out","Add - restock when convenient"),IF(W75="Low stock","Check - running low",IF(S75&lt;0,"Check - the plan needs more than you have","OK"))))))</f>
        <v>0</v>
      </c>
    </row>
    <row r="76" spans="1:24">
      <c r="A76" s="39">
        <f>IF(B76="","",PantryPrefix&amp;TEXT(ROW()-4,"0000"))</f>
        <v>0</v>
      </c>
      <c r="C76" s="17">
        <f>IF(B76="","",IFERROR(INDEX(Ingredients!$C$5:$C$304,MATCH(B76,Ingredients!$B$5:$B$304,0)),"Add to Ingredients"))</f>
        <v>0</v>
      </c>
      <c r="G76" s="45">
        <f>IF(E76="","",IFERROR(E76*INDEX(UnitFactors,MATCH(F76,UnitNames,0)),""))</f>
        <v>0</v>
      </c>
      <c r="H76" s="17">
        <f>IF(F76="","",IFERROR(INDEX(UnitBases,MATCH(F76,UnitNames,0)),"?"))</f>
        <v>0</v>
      </c>
      <c r="L76" s="18">
        <f>IF(B76="","",IFERROR(INDEX(Ingredients!$Z$5:$Z$304,MATCH(B76,Ingredients!$B$5:$B$304,0)),"Add to Ingredients"))</f>
        <v>0</v>
      </c>
      <c r="M76" s="19">
        <f>IF(K76&lt;&gt;"",K76,IF(OR(J76="",L76="",NOT(ISNUMBER(L76))),"",J76+L76))</f>
        <v>0</v>
      </c>
      <c r="N76" s="18">
        <f>IF(M76="","",M76-TODAY())</f>
        <v>0</v>
      </c>
      <c r="O76" s="25">
        <f>IF(B76="","",IFERROR(INDEX(Ingredients!$J$5:$J$304,MATCH(B76,Ingredients!$B$5:$B$304,0)),"Add to Ingredients"))</f>
        <v>0</v>
      </c>
      <c r="P76" s="25">
        <f>IF(OR(G76="",O76="",NOT(ISNUMBER(O76))),"",G76*O76)</f>
        <v>0</v>
      </c>
      <c r="R76" s="45">
        <f>IF(B76="","",IFERROR(INDEX(Ingredients!$AG$5:$AG$304,MATCH(B76,Ingredients!$B$5:$B$304,0)),0))</f>
        <v>0</v>
      </c>
      <c r="S76" s="45">
        <f>IF(G76="","",G76-IF(R76="",0,R76))</f>
        <v>0</v>
      </c>
      <c r="U76" s="18">
        <f>IF(OR(B76="",D76&lt;&gt;"Fridge",NOT(ISNUMBER(N76))),"",COUNTIFS($D$5:$D$304,"Fridge",$N$5:$N$304,"&lt;"&amp;N76)+COUNTIFS($D$5:D76,"Fridge",$N$5:N76,N76))</f>
        <v>0</v>
      </c>
      <c r="V76" s="18">
        <f>IF(OR(B76="",D76&lt;&gt;"Freezer",NOT(ISNUMBER(N76))),"",COUNTIFS($D$5:$D$304,"Freezer",$N$5:$N$304,"&lt;"&amp;N76)+COUNTIFS($D$5:D76,"Freezer",$N$5:N76,N76))</f>
        <v>0</v>
      </c>
      <c r="W76" s="31">
        <f>IF(B76="","",IF(G76=0,"Out of stock",IF(AND(N76&lt;&gt;"",N76&lt;0),"Expired",IF(AND(N76&lt;&gt;"",N76&lt;=ExpiryWarningDays),"Use soon",IF(AND(Q76&lt;&gt;"",G76&lt;Q76),"Low stock","In stock")))))</f>
        <v>0</v>
      </c>
      <c r="X76" s="31">
        <f>IF(B76="","",IF(W76="Expired","Expired - bin it and log it on the Food Waste tab",IF(W76="Use soon","Use soon - plan a meal with it",IF(W76="Out of stock",IF(T76="Yes","Missing - staple has run out","Add - restock when convenient"),IF(W76="Low stock","Check - running low",IF(S76&lt;0,"Check - the plan needs more than you have","OK"))))))</f>
        <v>0</v>
      </c>
    </row>
    <row r="77" spans="1:24">
      <c r="A77" s="39">
        <f>IF(B77="","",PantryPrefix&amp;TEXT(ROW()-4,"0000"))</f>
        <v>0</v>
      </c>
      <c r="C77" s="17">
        <f>IF(B77="","",IFERROR(INDEX(Ingredients!$C$5:$C$304,MATCH(B77,Ingredients!$B$5:$B$304,0)),"Add to Ingredients"))</f>
        <v>0</v>
      </c>
      <c r="G77" s="45">
        <f>IF(E77="","",IFERROR(E77*INDEX(UnitFactors,MATCH(F77,UnitNames,0)),""))</f>
        <v>0</v>
      </c>
      <c r="H77" s="17">
        <f>IF(F77="","",IFERROR(INDEX(UnitBases,MATCH(F77,UnitNames,0)),"?"))</f>
        <v>0</v>
      </c>
      <c r="L77" s="18">
        <f>IF(B77="","",IFERROR(INDEX(Ingredients!$Z$5:$Z$304,MATCH(B77,Ingredients!$B$5:$B$304,0)),"Add to Ingredients"))</f>
        <v>0</v>
      </c>
      <c r="M77" s="19">
        <f>IF(K77&lt;&gt;"",K77,IF(OR(J77="",L77="",NOT(ISNUMBER(L77))),"",J77+L77))</f>
        <v>0</v>
      </c>
      <c r="N77" s="18">
        <f>IF(M77="","",M77-TODAY())</f>
        <v>0</v>
      </c>
      <c r="O77" s="25">
        <f>IF(B77="","",IFERROR(INDEX(Ingredients!$J$5:$J$304,MATCH(B77,Ingredients!$B$5:$B$304,0)),"Add to Ingredients"))</f>
        <v>0</v>
      </c>
      <c r="P77" s="25">
        <f>IF(OR(G77="",O77="",NOT(ISNUMBER(O77))),"",G77*O77)</f>
        <v>0</v>
      </c>
      <c r="R77" s="45">
        <f>IF(B77="","",IFERROR(INDEX(Ingredients!$AG$5:$AG$304,MATCH(B77,Ingredients!$B$5:$B$304,0)),0))</f>
        <v>0</v>
      </c>
      <c r="S77" s="45">
        <f>IF(G77="","",G77-IF(R77="",0,R77))</f>
        <v>0</v>
      </c>
      <c r="U77" s="18">
        <f>IF(OR(B77="",D77&lt;&gt;"Fridge",NOT(ISNUMBER(N77))),"",COUNTIFS($D$5:$D$304,"Fridge",$N$5:$N$304,"&lt;"&amp;N77)+COUNTIFS($D$5:D77,"Fridge",$N$5:N77,N77))</f>
        <v>0</v>
      </c>
      <c r="V77" s="18">
        <f>IF(OR(B77="",D77&lt;&gt;"Freezer",NOT(ISNUMBER(N77))),"",COUNTIFS($D$5:$D$304,"Freezer",$N$5:$N$304,"&lt;"&amp;N77)+COUNTIFS($D$5:D77,"Freezer",$N$5:N77,N77))</f>
        <v>0</v>
      </c>
      <c r="W77" s="31">
        <f>IF(B77="","",IF(G77=0,"Out of stock",IF(AND(N77&lt;&gt;"",N77&lt;0),"Expired",IF(AND(N77&lt;&gt;"",N77&lt;=ExpiryWarningDays),"Use soon",IF(AND(Q77&lt;&gt;"",G77&lt;Q77),"Low stock","In stock")))))</f>
        <v>0</v>
      </c>
      <c r="X77" s="31">
        <f>IF(B77="","",IF(W77="Expired","Expired - bin it and log it on the Food Waste tab",IF(W77="Use soon","Use soon - plan a meal with it",IF(W77="Out of stock",IF(T77="Yes","Missing - staple has run out","Add - restock when convenient"),IF(W77="Low stock","Check - running low",IF(S77&lt;0,"Check - the plan needs more than you have","OK"))))))</f>
        <v>0</v>
      </c>
    </row>
    <row r="78" spans="1:24">
      <c r="A78" s="39">
        <f>IF(B78="","",PantryPrefix&amp;TEXT(ROW()-4,"0000"))</f>
        <v>0</v>
      </c>
      <c r="C78" s="17">
        <f>IF(B78="","",IFERROR(INDEX(Ingredients!$C$5:$C$304,MATCH(B78,Ingredients!$B$5:$B$304,0)),"Add to Ingredients"))</f>
        <v>0</v>
      </c>
      <c r="G78" s="45">
        <f>IF(E78="","",IFERROR(E78*INDEX(UnitFactors,MATCH(F78,UnitNames,0)),""))</f>
        <v>0</v>
      </c>
      <c r="H78" s="17">
        <f>IF(F78="","",IFERROR(INDEX(UnitBases,MATCH(F78,UnitNames,0)),"?"))</f>
        <v>0</v>
      </c>
      <c r="L78" s="18">
        <f>IF(B78="","",IFERROR(INDEX(Ingredients!$Z$5:$Z$304,MATCH(B78,Ingredients!$B$5:$B$304,0)),"Add to Ingredients"))</f>
        <v>0</v>
      </c>
      <c r="M78" s="19">
        <f>IF(K78&lt;&gt;"",K78,IF(OR(J78="",L78="",NOT(ISNUMBER(L78))),"",J78+L78))</f>
        <v>0</v>
      </c>
      <c r="N78" s="18">
        <f>IF(M78="","",M78-TODAY())</f>
        <v>0</v>
      </c>
      <c r="O78" s="25">
        <f>IF(B78="","",IFERROR(INDEX(Ingredients!$J$5:$J$304,MATCH(B78,Ingredients!$B$5:$B$304,0)),"Add to Ingredients"))</f>
        <v>0</v>
      </c>
      <c r="P78" s="25">
        <f>IF(OR(G78="",O78="",NOT(ISNUMBER(O78))),"",G78*O78)</f>
        <v>0</v>
      </c>
      <c r="R78" s="45">
        <f>IF(B78="","",IFERROR(INDEX(Ingredients!$AG$5:$AG$304,MATCH(B78,Ingredients!$B$5:$B$304,0)),0))</f>
        <v>0</v>
      </c>
      <c r="S78" s="45">
        <f>IF(G78="","",G78-IF(R78="",0,R78))</f>
        <v>0</v>
      </c>
      <c r="U78" s="18">
        <f>IF(OR(B78="",D78&lt;&gt;"Fridge",NOT(ISNUMBER(N78))),"",COUNTIFS($D$5:$D$304,"Fridge",$N$5:$N$304,"&lt;"&amp;N78)+COUNTIFS($D$5:D78,"Fridge",$N$5:N78,N78))</f>
        <v>0</v>
      </c>
      <c r="V78" s="18">
        <f>IF(OR(B78="",D78&lt;&gt;"Freezer",NOT(ISNUMBER(N78))),"",COUNTIFS($D$5:$D$304,"Freezer",$N$5:$N$304,"&lt;"&amp;N78)+COUNTIFS($D$5:D78,"Freezer",$N$5:N78,N78))</f>
        <v>0</v>
      </c>
      <c r="W78" s="31">
        <f>IF(B78="","",IF(G78=0,"Out of stock",IF(AND(N78&lt;&gt;"",N78&lt;0),"Expired",IF(AND(N78&lt;&gt;"",N78&lt;=ExpiryWarningDays),"Use soon",IF(AND(Q78&lt;&gt;"",G78&lt;Q78),"Low stock","In stock")))))</f>
        <v>0</v>
      </c>
      <c r="X78" s="31">
        <f>IF(B78="","",IF(W78="Expired","Expired - bin it and log it on the Food Waste tab",IF(W78="Use soon","Use soon - plan a meal with it",IF(W78="Out of stock",IF(T78="Yes","Missing - staple has run out","Add - restock when convenient"),IF(W78="Low stock","Check - running low",IF(S78&lt;0,"Check - the plan needs more than you have","OK"))))))</f>
        <v>0</v>
      </c>
    </row>
    <row r="79" spans="1:24">
      <c r="A79" s="39">
        <f>IF(B79="","",PantryPrefix&amp;TEXT(ROW()-4,"0000"))</f>
        <v>0</v>
      </c>
      <c r="C79" s="17">
        <f>IF(B79="","",IFERROR(INDEX(Ingredients!$C$5:$C$304,MATCH(B79,Ingredients!$B$5:$B$304,0)),"Add to Ingredients"))</f>
        <v>0</v>
      </c>
      <c r="G79" s="45">
        <f>IF(E79="","",IFERROR(E79*INDEX(UnitFactors,MATCH(F79,UnitNames,0)),""))</f>
        <v>0</v>
      </c>
      <c r="H79" s="17">
        <f>IF(F79="","",IFERROR(INDEX(UnitBases,MATCH(F79,UnitNames,0)),"?"))</f>
        <v>0</v>
      </c>
      <c r="L79" s="18">
        <f>IF(B79="","",IFERROR(INDEX(Ingredients!$Z$5:$Z$304,MATCH(B79,Ingredients!$B$5:$B$304,0)),"Add to Ingredients"))</f>
        <v>0</v>
      </c>
      <c r="M79" s="19">
        <f>IF(K79&lt;&gt;"",K79,IF(OR(J79="",L79="",NOT(ISNUMBER(L79))),"",J79+L79))</f>
        <v>0</v>
      </c>
      <c r="N79" s="18">
        <f>IF(M79="","",M79-TODAY())</f>
        <v>0</v>
      </c>
      <c r="O79" s="25">
        <f>IF(B79="","",IFERROR(INDEX(Ingredients!$J$5:$J$304,MATCH(B79,Ingredients!$B$5:$B$304,0)),"Add to Ingredients"))</f>
        <v>0</v>
      </c>
      <c r="P79" s="25">
        <f>IF(OR(G79="",O79="",NOT(ISNUMBER(O79))),"",G79*O79)</f>
        <v>0</v>
      </c>
      <c r="R79" s="45">
        <f>IF(B79="","",IFERROR(INDEX(Ingredients!$AG$5:$AG$304,MATCH(B79,Ingredients!$B$5:$B$304,0)),0))</f>
        <v>0</v>
      </c>
      <c r="S79" s="45">
        <f>IF(G79="","",G79-IF(R79="",0,R79))</f>
        <v>0</v>
      </c>
      <c r="U79" s="18">
        <f>IF(OR(B79="",D79&lt;&gt;"Fridge",NOT(ISNUMBER(N79))),"",COUNTIFS($D$5:$D$304,"Fridge",$N$5:$N$304,"&lt;"&amp;N79)+COUNTIFS($D$5:D79,"Fridge",$N$5:N79,N79))</f>
        <v>0</v>
      </c>
      <c r="V79" s="18">
        <f>IF(OR(B79="",D79&lt;&gt;"Freezer",NOT(ISNUMBER(N79))),"",COUNTIFS($D$5:$D$304,"Freezer",$N$5:$N$304,"&lt;"&amp;N79)+COUNTIFS($D$5:D79,"Freezer",$N$5:N79,N79))</f>
        <v>0</v>
      </c>
      <c r="W79" s="31">
        <f>IF(B79="","",IF(G79=0,"Out of stock",IF(AND(N79&lt;&gt;"",N79&lt;0),"Expired",IF(AND(N79&lt;&gt;"",N79&lt;=ExpiryWarningDays),"Use soon",IF(AND(Q79&lt;&gt;"",G79&lt;Q79),"Low stock","In stock")))))</f>
        <v>0</v>
      </c>
      <c r="X79" s="31">
        <f>IF(B79="","",IF(W79="Expired","Expired - bin it and log it on the Food Waste tab",IF(W79="Use soon","Use soon - plan a meal with it",IF(W79="Out of stock",IF(T79="Yes","Missing - staple has run out","Add - restock when convenient"),IF(W79="Low stock","Check - running low",IF(S79&lt;0,"Check - the plan needs more than you have","OK"))))))</f>
        <v>0</v>
      </c>
    </row>
    <row r="80" spans="1:24">
      <c r="A80" s="39">
        <f>IF(B80="","",PantryPrefix&amp;TEXT(ROW()-4,"0000"))</f>
        <v>0</v>
      </c>
      <c r="C80" s="17">
        <f>IF(B80="","",IFERROR(INDEX(Ingredients!$C$5:$C$304,MATCH(B80,Ingredients!$B$5:$B$304,0)),"Add to Ingredients"))</f>
        <v>0</v>
      </c>
      <c r="G80" s="45">
        <f>IF(E80="","",IFERROR(E80*INDEX(UnitFactors,MATCH(F80,UnitNames,0)),""))</f>
        <v>0</v>
      </c>
      <c r="H80" s="17">
        <f>IF(F80="","",IFERROR(INDEX(UnitBases,MATCH(F80,UnitNames,0)),"?"))</f>
        <v>0</v>
      </c>
      <c r="L80" s="18">
        <f>IF(B80="","",IFERROR(INDEX(Ingredients!$Z$5:$Z$304,MATCH(B80,Ingredients!$B$5:$B$304,0)),"Add to Ingredients"))</f>
        <v>0</v>
      </c>
      <c r="M80" s="19">
        <f>IF(K80&lt;&gt;"",K80,IF(OR(J80="",L80="",NOT(ISNUMBER(L80))),"",J80+L80))</f>
        <v>0</v>
      </c>
      <c r="N80" s="18">
        <f>IF(M80="","",M80-TODAY())</f>
        <v>0</v>
      </c>
      <c r="O80" s="25">
        <f>IF(B80="","",IFERROR(INDEX(Ingredients!$J$5:$J$304,MATCH(B80,Ingredients!$B$5:$B$304,0)),"Add to Ingredients"))</f>
        <v>0</v>
      </c>
      <c r="P80" s="25">
        <f>IF(OR(G80="",O80="",NOT(ISNUMBER(O80))),"",G80*O80)</f>
        <v>0</v>
      </c>
      <c r="R80" s="45">
        <f>IF(B80="","",IFERROR(INDEX(Ingredients!$AG$5:$AG$304,MATCH(B80,Ingredients!$B$5:$B$304,0)),0))</f>
        <v>0</v>
      </c>
      <c r="S80" s="45">
        <f>IF(G80="","",G80-IF(R80="",0,R80))</f>
        <v>0</v>
      </c>
      <c r="U80" s="18">
        <f>IF(OR(B80="",D80&lt;&gt;"Fridge",NOT(ISNUMBER(N80))),"",COUNTIFS($D$5:$D$304,"Fridge",$N$5:$N$304,"&lt;"&amp;N80)+COUNTIFS($D$5:D80,"Fridge",$N$5:N80,N80))</f>
        <v>0</v>
      </c>
      <c r="V80" s="18">
        <f>IF(OR(B80="",D80&lt;&gt;"Freezer",NOT(ISNUMBER(N80))),"",COUNTIFS($D$5:$D$304,"Freezer",$N$5:$N$304,"&lt;"&amp;N80)+COUNTIFS($D$5:D80,"Freezer",$N$5:N80,N80))</f>
        <v>0</v>
      </c>
      <c r="W80" s="31">
        <f>IF(B80="","",IF(G80=0,"Out of stock",IF(AND(N80&lt;&gt;"",N80&lt;0),"Expired",IF(AND(N80&lt;&gt;"",N80&lt;=ExpiryWarningDays),"Use soon",IF(AND(Q80&lt;&gt;"",G80&lt;Q80),"Low stock","In stock")))))</f>
        <v>0</v>
      </c>
      <c r="X80" s="31">
        <f>IF(B80="","",IF(W80="Expired","Expired - bin it and log it on the Food Waste tab",IF(W80="Use soon","Use soon - plan a meal with it",IF(W80="Out of stock",IF(T80="Yes","Missing - staple has run out","Add - restock when convenient"),IF(W80="Low stock","Check - running low",IF(S80&lt;0,"Check - the plan needs more than you have","OK"))))))</f>
        <v>0</v>
      </c>
    </row>
    <row r="81" spans="1:24">
      <c r="A81" s="39">
        <f>IF(B81="","",PantryPrefix&amp;TEXT(ROW()-4,"0000"))</f>
        <v>0</v>
      </c>
      <c r="C81" s="17">
        <f>IF(B81="","",IFERROR(INDEX(Ingredients!$C$5:$C$304,MATCH(B81,Ingredients!$B$5:$B$304,0)),"Add to Ingredients"))</f>
        <v>0</v>
      </c>
      <c r="G81" s="45">
        <f>IF(E81="","",IFERROR(E81*INDEX(UnitFactors,MATCH(F81,UnitNames,0)),""))</f>
        <v>0</v>
      </c>
      <c r="H81" s="17">
        <f>IF(F81="","",IFERROR(INDEX(UnitBases,MATCH(F81,UnitNames,0)),"?"))</f>
        <v>0</v>
      </c>
      <c r="L81" s="18">
        <f>IF(B81="","",IFERROR(INDEX(Ingredients!$Z$5:$Z$304,MATCH(B81,Ingredients!$B$5:$B$304,0)),"Add to Ingredients"))</f>
        <v>0</v>
      </c>
      <c r="M81" s="19">
        <f>IF(K81&lt;&gt;"",K81,IF(OR(J81="",L81="",NOT(ISNUMBER(L81))),"",J81+L81))</f>
        <v>0</v>
      </c>
      <c r="N81" s="18">
        <f>IF(M81="","",M81-TODAY())</f>
        <v>0</v>
      </c>
      <c r="O81" s="25">
        <f>IF(B81="","",IFERROR(INDEX(Ingredients!$J$5:$J$304,MATCH(B81,Ingredients!$B$5:$B$304,0)),"Add to Ingredients"))</f>
        <v>0</v>
      </c>
      <c r="P81" s="25">
        <f>IF(OR(G81="",O81="",NOT(ISNUMBER(O81))),"",G81*O81)</f>
        <v>0</v>
      </c>
      <c r="R81" s="45">
        <f>IF(B81="","",IFERROR(INDEX(Ingredients!$AG$5:$AG$304,MATCH(B81,Ingredients!$B$5:$B$304,0)),0))</f>
        <v>0</v>
      </c>
      <c r="S81" s="45">
        <f>IF(G81="","",G81-IF(R81="",0,R81))</f>
        <v>0</v>
      </c>
      <c r="U81" s="18">
        <f>IF(OR(B81="",D81&lt;&gt;"Fridge",NOT(ISNUMBER(N81))),"",COUNTIFS($D$5:$D$304,"Fridge",$N$5:$N$304,"&lt;"&amp;N81)+COUNTIFS($D$5:D81,"Fridge",$N$5:N81,N81))</f>
        <v>0</v>
      </c>
      <c r="V81" s="18">
        <f>IF(OR(B81="",D81&lt;&gt;"Freezer",NOT(ISNUMBER(N81))),"",COUNTIFS($D$5:$D$304,"Freezer",$N$5:$N$304,"&lt;"&amp;N81)+COUNTIFS($D$5:D81,"Freezer",$N$5:N81,N81))</f>
        <v>0</v>
      </c>
      <c r="W81" s="31">
        <f>IF(B81="","",IF(G81=0,"Out of stock",IF(AND(N81&lt;&gt;"",N81&lt;0),"Expired",IF(AND(N81&lt;&gt;"",N81&lt;=ExpiryWarningDays),"Use soon",IF(AND(Q81&lt;&gt;"",G81&lt;Q81),"Low stock","In stock")))))</f>
        <v>0</v>
      </c>
      <c r="X81" s="31">
        <f>IF(B81="","",IF(W81="Expired","Expired - bin it and log it on the Food Waste tab",IF(W81="Use soon","Use soon - plan a meal with it",IF(W81="Out of stock",IF(T81="Yes","Missing - staple has run out","Add - restock when convenient"),IF(W81="Low stock","Check - running low",IF(S81&lt;0,"Check - the plan needs more than you have","OK"))))))</f>
        <v>0</v>
      </c>
    </row>
    <row r="82" spans="1:24">
      <c r="A82" s="39">
        <f>IF(B82="","",PantryPrefix&amp;TEXT(ROW()-4,"0000"))</f>
        <v>0</v>
      </c>
      <c r="C82" s="17">
        <f>IF(B82="","",IFERROR(INDEX(Ingredients!$C$5:$C$304,MATCH(B82,Ingredients!$B$5:$B$304,0)),"Add to Ingredients"))</f>
        <v>0</v>
      </c>
      <c r="G82" s="45">
        <f>IF(E82="","",IFERROR(E82*INDEX(UnitFactors,MATCH(F82,UnitNames,0)),""))</f>
        <v>0</v>
      </c>
      <c r="H82" s="17">
        <f>IF(F82="","",IFERROR(INDEX(UnitBases,MATCH(F82,UnitNames,0)),"?"))</f>
        <v>0</v>
      </c>
      <c r="L82" s="18">
        <f>IF(B82="","",IFERROR(INDEX(Ingredients!$Z$5:$Z$304,MATCH(B82,Ingredients!$B$5:$B$304,0)),"Add to Ingredients"))</f>
        <v>0</v>
      </c>
      <c r="M82" s="19">
        <f>IF(K82&lt;&gt;"",K82,IF(OR(J82="",L82="",NOT(ISNUMBER(L82))),"",J82+L82))</f>
        <v>0</v>
      </c>
      <c r="N82" s="18">
        <f>IF(M82="","",M82-TODAY())</f>
        <v>0</v>
      </c>
      <c r="O82" s="25">
        <f>IF(B82="","",IFERROR(INDEX(Ingredients!$J$5:$J$304,MATCH(B82,Ingredients!$B$5:$B$304,0)),"Add to Ingredients"))</f>
        <v>0</v>
      </c>
      <c r="P82" s="25">
        <f>IF(OR(G82="",O82="",NOT(ISNUMBER(O82))),"",G82*O82)</f>
        <v>0</v>
      </c>
      <c r="R82" s="45">
        <f>IF(B82="","",IFERROR(INDEX(Ingredients!$AG$5:$AG$304,MATCH(B82,Ingredients!$B$5:$B$304,0)),0))</f>
        <v>0</v>
      </c>
      <c r="S82" s="45">
        <f>IF(G82="","",G82-IF(R82="",0,R82))</f>
        <v>0</v>
      </c>
      <c r="U82" s="18">
        <f>IF(OR(B82="",D82&lt;&gt;"Fridge",NOT(ISNUMBER(N82))),"",COUNTIFS($D$5:$D$304,"Fridge",$N$5:$N$304,"&lt;"&amp;N82)+COUNTIFS($D$5:D82,"Fridge",$N$5:N82,N82))</f>
        <v>0</v>
      </c>
      <c r="V82" s="18">
        <f>IF(OR(B82="",D82&lt;&gt;"Freezer",NOT(ISNUMBER(N82))),"",COUNTIFS($D$5:$D$304,"Freezer",$N$5:$N$304,"&lt;"&amp;N82)+COUNTIFS($D$5:D82,"Freezer",$N$5:N82,N82))</f>
        <v>0</v>
      </c>
      <c r="W82" s="31">
        <f>IF(B82="","",IF(G82=0,"Out of stock",IF(AND(N82&lt;&gt;"",N82&lt;0),"Expired",IF(AND(N82&lt;&gt;"",N82&lt;=ExpiryWarningDays),"Use soon",IF(AND(Q82&lt;&gt;"",G82&lt;Q82),"Low stock","In stock")))))</f>
        <v>0</v>
      </c>
      <c r="X82" s="31">
        <f>IF(B82="","",IF(W82="Expired","Expired - bin it and log it on the Food Waste tab",IF(W82="Use soon","Use soon - plan a meal with it",IF(W82="Out of stock",IF(T82="Yes","Missing - staple has run out","Add - restock when convenient"),IF(W82="Low stock","Check - running low",IF(S82&lt;0,"Check - the plan needs more than you have","OK"))))))</f>
        <v>0</v>
      </c>
    </row>
    <row r="83" spans="1:24">
      <c r="A83" s="39">
        <f>IF(B83="","",PantryPrefix&amp;TEXT(ROW()-4,"0000"))</f>
        <v>0</v>
      </c>
      <c r="C83" s="17">
        <f>IF(B83="","",IFERROR(INDEX(Ingredients!$C$5:$C$304,MATCH(B83,Ingredients!$B$5:$B$304,0)),"Add to Ingredients"))</f>
        <v>0</v>
      </c>
      <c r="G83" s="45">
        <f>IF(E83="","",IFERROR(E83*INDEX(UnitFactors,MATCH(F83,UnitNames,0)),""))</f>
        <v>0</v>
      </c>
      <c r="H83" s="17">
        <f>IF(F83="","",IFERROR(INDEX(UnitBases,MATCH(F83,UnitNames,0)),"?"))</f>
        <v>0</v>
      </c>
      <c r="L83" s="18">
        <f>IF(B83="","",IFERROR(INDEX(Ingredients!$Z$5:$Z$304,MATCH(B83,Ingredients!$B$5:$B$304,0)),"Add to Ingredients"))</f>
        <v>0</v>
      </c>
      <c r="M83" s="19">
        <f>IF(K83&lt;&gt;"",K83,IF(OR(J83="",L83="",NOT(ISNUMBER(L83))),"",J83+L83))</f>
        <v>0</v>
      </c>
      <c r="N83" s="18">
        <f>IF(M83="","",M83-TODAY())</f>
        <v>0</v>
      </c>
      <c r="O83" s="25">
        <f>IF(B83="","",IFERROR(INDEX(Ingredients!$J$5:$J$304,MATCH(B83,Ingredients!$B$5:$B$304,0)),"Add to Ingredients"))</f>
        <v>0</v>
      </c>
      <c r="P83" s="25">
        <f>IF(OR(G83="",O83="",NOT(ISNUMBER(O83))),"",G83*O83)</f>
        <v>0</v>
      </c>
      <c r="R83" s="45">
        <f>IF(B83="","",IFERROR(INDEX(Ingredients!$AG$5:$AG$304,MATCH(B83,Ingredients!$B$5:$B$304,0)),0))</f>
        <v>0</v>
      </c>
      <c r="S83" s="45">
        <f>IF(G83="","",G83-IF(R83="",0,R83))</f>
        <v>0</v>
      </c>
      <c r="U83" s="18">
        <f>IF(OR(B83="",D83&lt;&gt;"Fridge",NOT(ISNUMBER(N83))),"",COUNTIFS($D$5:$D$304,"Fridge",$N$5:$N$304,"&lt;"&amp;N83)+COUNTIFS($D$5:D83,"Fridge",$N$5:N83,N83))</f>
        <v>0</v>
      </c>
      <c r="V83" s="18">
        <f>IF(OR(B83="",D83&lt;&gt;"Freezer",NOT(ISNUMBER(N83))),"",COUNTIFS($D$5:$D$304,"Freezer",$N$5:$N$304,"&lt;"&amp;N83)+COUNTIFS($D$5:D83,"Freezer",$N$5:N83,N83))</f>
        <v>0</v>
      </c>
      <c r="W83" s="31">
        <f>IF(B83="","",IF(G83=0,"Out of stock",IF(AND(N83&lt;&gt;"",N83&lt;0),"Expired",IF(AND(N83&lt;&gt;"",N83&lt;=ExpiryWarningDays),"Use soon",IF(AND(Q83&lt;&gt;"",G83&lt;Q83),"Low stock","In stock")))))</f>
        <v>0</v>
      </c>
      <c r="X83" s="31">
        <f>IF(B83="","",IF(W83="Expired","Expired - bin it and log it on the Food Waste tab",IF(W83="Use soon","Use soon - plan a meal with it",IF(W83="Out of stock",IF(T83="Yes","Missing - staple has run out","Add - restock when convenient"),IF(W83="Low stock","Check - running low",IF(S83&lt;0,"Check - the plan needs more than you have","OK"))))))</f>
        <v>0</v>
      </c>
    </row>
    <row r="84" spans="1:24">
      <c r="A84" s="39">
        <f>IF(B84="","",PantryPrefix&amp;TEXT(ROW()-4,"0000"))</f>
        <v>0</v>
      </c>
      <c r="C84" s="17">
        <f>IF(B84="","",IFERROR(INDEX(Ingredients!$C$5:$C$304,MATCH(B84,Ingredients!$B$5:$B$304,0)),"Add to Ingredients"))</f>
        <v>0</v>
      </c>
      <c r="G84" s="45">
        <f>IF(E84="","",IFERROR(E84*INDEX(UnitFactors,MATCH(F84,UnitNames,0)),""))</f>
        <v>0</v>
      </c>
      <c r="H84" s="17">
        <f>IF(F84="","",IFERROR(INDEX(UnitBases,MATCH(F84,UnitNames,0)),"?"))</f>
        <v>0</v>
      </c>
      <c r="L84" s="18">
        <f>IF(B84="","",IFERROR(INDEX(Ingredients!$Z$5:$Z$304,MATCH(B84,Ingredients!$B$5:$B$304,0)),"Add to Ingredients"))</f>
        <v>0</v>
      </c>
      <c r="M84" s="19">
        <f>IF(K84&lt;&gt;"",K84,IF(OR(J84="",L84="",NOT(ISNUMBER(L84))),"",J84+L84))</f>
        <v>0</v>
      </c>
      <c r="N84" s="18">
        <f>IF(M84="","",M84-TODAY())</f>
        <v>0</v>
      </c>
      <c r="O84" s="25">
        <f>IF(B84="","",IFERROR(INDEX(Ingredients!$J$5:$J$304,MATCH(B84,Ingredients!$B$5:$B$304,0)),"Add to Ingredients"))</f>
        <v>0</v>
      </c>
      <c r="P84" s="25">
        <f>IF(OR(G84="",O84="",NOT(ISNUMBER(O84))),"",G84*O84)</f>
        <v>0</v>
      </c>
      <c r="R84" s="45">
        <f>IF(B84="","",IFERROR(INDEX(Ingredients!$AG$5:$AG$304,MATCH(B84,Ingredients!$B$5:$B$304,0)),0))</f>
        <v>0</v>
      </c>
      <c r="S84" s="45">
        <f>IF(G84="","",G84-IF(R84="",0,R84))</f>
        <v>0</v>
      </c>
      <c r="U84" s="18">
        <f>IF(OR(B84="",D84&lt;&gt;"Fridge",NOT(ISNUMBER(N84))),"",COUNTIFS($D$5:$D$304,"Fridge",$N$5:$N$304,"&lt;"&amp;N84)+COUNTIFS($D$5:D84,"Fridge",$N$5:N84,N84))</f>
        <v>0</v>
      </c>
      <c r="V84" s="18">
        <f>IF(OR(B84="",D84&lt;&gt;"Freezer",NOT(ISNUMBER(N84))),"",COUNTIFS($D$5:$D$304,"Freezer",$N$5:$N$304,"&lt;"&amp;N84)+COUNTIFS($D$5:D84,"Freezer",$N$5:N84,N84))</f>
        <v>0</v>
      </c>
      <c r="W84" s="31">
        <f>IF(B84="","",IF(G84=0,"Out of stock",IF(AND(N84&lt;&gt;"",N84&lt;0),"Expired",IF(AND(N84&lt;&gt;"",N84&lt;=ExpiryWarningDays),"Use soon",IF(AND(Q84&lt;&gt;"",G84&lt;Q84),"Low stock","In stock")))))</f>
        <v>0</v>
      </c>
      <c r="X84" s="31">
        <f>IF(B84="","",IF(W84="Expired","Expired - bin it and log it on the Food Waste tab",IF(W84="Use soon","Use soon - plan a meal with it",IF(W84="Out of stock",IF(T84="Yes","Missing - staple has run out","Add - restock when convenient"),IF(W84="Low stock","Check - running low",IF(S84&lt;0,"Check - the plan needs more than you have","OK"))))))</f>
        <v>0</v>
      </c>
    </row>
    <row r="85" spans="1:24">
      <c r="A85" s="39">
        <f>IF(B85="","",PantryPrefix&amp;TEXT(ROW()-4,"0000"))</f>
        <v>0</v>
      </c>
      <c r="C85" s="17">
        <f>IF(B85="","",IFERROR(INDEX(Ingredients!$C$5:$C$304,MATCH(B85,Ingredients!$B$5:$B$304,0)),"Add to Ingredients"))</f>
        <v>0</v>
      </c>
      <c r="G85" s="45">
        <f>IF(E85="","",IFERROR(E85*INDEX(UnitFactors,MATCH(F85,UnitNames,0)),""))</f>
        <v>0</v>
      </c>
      <c r="H85" s="17">
        <f>IF(F85="","",IFERROR(INDEX(UnitBases,MATCH(F85,UnitNames,0)),"?"))</f>
        <v>0</v>
      </c>
      <c r="L85" s="18">
        <f>IF(B85="","",IFERROR(INDEX(Ingredients!$Z$5:$Z$304,MATCH(B85,Ingredients!$B$5:$B$304,0)),"Add to Ingredients"))</f>
        <v>0</v>
      </c>
      <c r="M85" s="19">
        <f>IF(K85&lt;&gt;"",K85,IF(OR(J85="",L85="",NOT(ISNUMBER(L85))),"",J85+L85))</f>
        <v>0</v>
      </c>
      <c r="N85" s="18">
        <f>IF(M85="","",M85-TODAY())</f>
        <v>0</v>
      </c>
      <c r="O85" s="25">
        <f>IF(B85="","",IFERROR(INDEX(Ingredients!$J$5:$J$304,MATCH(B85,Ingredients!$B$5:$B$304,0)),"Add to Ingredients"))</f>
        <v>0</v>
      </c>
      <c r="P85" s="25">
        <f>IF(OR(G85="",O85="",NOT(ISNUMBER(O85))),"",G85*O85)</f>
        <v>0</v>
      </c>
      <c r="R85" s="45">
        <f>IF(B85="","",IFERROR(INDEX(Ingredients!$AG$5:$AG$304,MATCH(B85,Ingredients!$B$5:$B$304,0)),0))</f>
        <v>0</v>
      </c>
      <c r="S85" s="45">
        <f>IF(G85="","",G85-IF(R85="",0,R85))</f>
        <v>0</v>
      </c>
      <c r="U85" s="18">
        <f>IF(OR(B85="",D85&lt;&gt;"Fridge",NOT(ISNUMBER(N85))),"",COUNTIFS($D$5:$D$304,"Fridge",$N$5:$N$304,"&lt;"&amp;N85)+COUNTIFS($D$5:D85,"Fridge",$N$5:N85,N85))</f>
        <v>0</v>
      </c>
      <c r="V85" s="18">
        <f>IF(OR(B85="",D85&lt;&gt;"Freezer",NOT(ISNUMBER(N85))),"",COUNTIFS($D$5:$D$304,"Freezer",$N$5:$N$304,"&lt;"&amp;N85)+COUNTIFS($D$5:D85,"Freezer",$N$5:N85,N85))</f>
        <v>0</v>
      </c>
      <c r="W85" s="31">
        <f>IF(B85="","",IF(G85=0,"Out of stock",IF(AND(N85&lt;&gt;"",N85&lt;0),"Expired",IF(AND(N85&lt;&gt;"",N85&lt;=ExpiryWarningDays),"Use soon",IF(AND(Q85&lt;&gt;"",G85&lt;Q85),"Low stock","In stock")))))</f>
        <v>0</v>
      </c>
      <c r="X85" s="31">
        <f>IF(B85="","",IF(W85="Expired","Expired - bin it and log it on the Food Waste tab",IF(W85="Use soon","Use soon - plan a meal with it",IF(W85="Out of stock",IF(T85="Yes","Missing - staple has run out","Add - restock when convenient"),IF(W85="Low stock","Check - running low",IF(S85&lt;0,"Check - the plan needs more than you have","OK"))))))</f>
        <v>0</v>
      </c>
    </row>
    <row r="86" spans="1:24">
      <c r="A86" s="39">
        <f>IF(B86="","",PantryPrefix&amp;TEXT(ROW()-4,"0000"))</f>
        <v>0</v>
      </c>
      <c r="C86" s="17">
        <f>IF(B86="","",IFERROR(INDEX(Ingredients!$C$5:$C$304,MATCH(B86,Ingredients!$B$5:$B$304,0)),"Add to Ingredients"))</f>
        <v>0</v>
      </c>
      <c r="G86" s="45">
        <f>IF(E86="","",IFERROR(E86*INDEX(UnitFactors,MATCH(F86,UnitNames,0)),""))</f>
        <v>0</v>
      </c>
      <c r="H86" s="17">
        <f>IF(F86="","",IFERROR(INDEX(UnitBases,MATCH(F86,UnitNames,0)),"?"))</f>
        <v>0</v>
      </c>
      <c r="L86" s="18">
        <f>IF(B86="","",IFERROR(INDEX(Ingredients!$Z$5:$Z$304,MATCH(B86,Ingredients!$B$5:$B$304,0)),"Add to Ingredients"))</f>
        <v>0</v>
      </c>
      <c r="M86" s="19">
        <f>IF(K86&lt;&gt;"",K86,IF(OR(J86="",L86="",NOT(ISNUMBER(L86))),"",J86+L86))</f>
        <v>0</v>
      </c>
      <c r="N86" s="18">
        <f>IF(M86="","",M86-TODAY())</f>
        <v>0</v>
      </c>
      <c r="O86" s="25">
        <f>IF(B86="","",IFERROR(INDEX(Ingredients!$J$5:$J$304,MATCH(B86,Ingredients!$B$5:$B$304,0)),"Add to Ingredients"))</f>
        <v>0</v>
      </c>
      <c r="P86" s="25">
        <f>IF(OR(G86="",O86="",NOT(ISNUMBER(O86))),"",G86*O86)</f>
        <v>0</v>
      </c>
      <c r="R86" s="45">
        <f>IF(B86="","",IFERROR(INDEX(Ingredients!$AG$5:$AG$304,MATCH(B86,Ingredients!$B$5:$B$304,0)),0))</f>
        <v>0</v>
      </c>
      <c r="S86" s="45">
        <f>IF(G86="","",G86-IF(R86="",0,R86))</f>
        <v>0</v>
      </c>
      <c r="U86" s="18">
        <f>IF(OR(B86="",D86&lt;&gt;"Fridge",NOT(ISNUMBER(N86))),"",COUNTIFS($D$5:$D$304,"Fridge",$N$5:$N$304,"&lt;"&amp;N86)+COUNTIFS($D$5:D86,"Fridge",$N$5:N86,N86))</f>
        <v>0</v>
      </c>
      <c r="V86" s="18">
        <f>IF(OR(B86="",D86&lt;&gt;"Freezer",NOT(ISNUMBER(N86))),"",COUNTIFS($D$5:$D$304,"Freezer",$N$5:$N$304,"&lt;"&amp;N86)+COUNTIFS($D$5:D86,"Freezer",$N$5:N86,N86))</f>
        <v>0</v>
      </c>
      <c r="W86" s="31">
        <f>IF(B86="","",IF(G86=0,"Out of stock",IF(AND(N86&lt;&gt;"",N86&lt;0),"Expired",IF(AND(N86&lt;&gt;"",N86&lt;=ExpiryWarningDays),"Use soon",IF(AND(Q86&lt;&gt;"",G86&lt;Q86),"Low stock","In stock")))))</f>
        <v>0</v>
      </c>
      <c r="X86" s="31">
        <f>IF(B86="","",IF(W86="Expired","Expired - bin it and log it on the Food Waste tab",IF(W86="Use soon","Use soon - plan a meal with it",IF(W86="Out of stock",IF(T86="Yes","Missing - staple has run out","Add - restock when convenient"),IF(W86="Low stock","Check - running low",IF(S86&lt;0,"Check - the plan needs more than you have","OK"))))))</f>
        <v>0</v>
      </c>
    </row>
    <row r="87" spans="1:24">
      <c r="A87" s="39">
        <f>IF(B87="","",PantryPrefix&amp;TEXT(ROW()-4,"0000"))</f>
        <v>0</v>
      </c>
      <c r="C87" s="17">
        <f>IF(B87="","",IFERROR(INDEX(Ingredients!$C$5:$C$304,MATCH(B87,Ingredients!$B$5:$B$304,0)),"Add to Ingredients"))</f>
        <v>0</v>
      </c>
      <c r="G87" s="45">
        <f>IF(E87="","",IFERROR(E87*INDEX(UnitFactors,MATCH(F87,UnitNames,0)),""))</f>
        <v>0</v>
      </c>
      <c r="H87" s="17">
        <f>IF(F87="","",IFERROR(INDEX(UnitBases,MATCH(F87,UnitNames,0)),"?"))</f>
        <v>0</v>
      </c>
      <c r="L87" s="18">
        <f>IF(B87="","",IFERROR(INDEX(Ingredients!$Z$5:$Z$304,MATCH(B87,Ingredients!$B$5:$B$304,0)),"Add to Ingredients"))</f>
        <v>0</v>
      </c>
      <c r="M87" s="19">
        <f>IF(K87&lt;&gt;"",K87,IF(OR(J87="",L87="",NOT(ISNUMBER(L87))),"",J87+L87))</f>
        <v>0</v>
      </c>
      <c r="N87" s="18">
        <f>IF(M87="","",M87-TODAY())</f>
        <v>0</v>
      </c>
      <c r="O87" s="25">
        <f>IF(B87="","",IFERROR(INDEX(Ingredients!$J$5:$J$304,MATCH(B87,Ingredients!$B$5:$B$304,0)),"Add to Ingredients"))</f>
        <v>0</v>
      </c>
      <c r="P87" s="25">
        <f>IF(OR(G87="",O87="",NOT(ISNUMBER(O87))),"",G87*O87)</f>
        <v>0</v>
      </c>
      <c r="R87" s="45">
        <f>IF(B87="","",IFERROR(INDEX(Ingredients!$AG$5:$AG$304,MATCH(B87,Ingredients!$B$5:$B$304,0)),0))</f>
        <v>0</v>
      </c>
      <c r="S87" s="45">
        <f>IF(G87="","",G87-IF(R87="",0,R87))</f>
        <v>0</v>
      </c>
      <c r="U87" s="18">
        <f>IF(OR(B87="",D87&lt;&gt;"Fridge",NOT(ISNUMBER(N87))),"",COUNTIFS($D$5:$D$304,"Fridge",$N$5:$N$304,"&lt;"&amp;N87)+COUNTIFS($D$5:D87,"Fridge",$N$5:N87,N87))</f>
        <v>0</v>
      </c>
      <c r="V87" s="18">
        <f>IF(OR(B87="",D87&lt;&gt;"Freezer",NOT(ISNUMBER(N87))),"",COUNTIFS($D$5:$D$304,"Freezer",$N$5:$N$304,"&lt;"&amp;N87)+COUNTIFS($D$5:D87,"Freezer",$N$5:N87,N87))</f>
        <v>0</v>
      </c>
      <c r="W87" s="31">
        <f>IF(B87="","",IF(G87=0,"Out of stock",IF(AND(N87&lt;&gt;"",N87&lt;0),"Expired",IF(AND(N87&lt;&gt;"",N87&lt;=ExpiryWarningDays),"Use soon",IF(AND(Q87&lt;&gt;"",G87&lt;Q87),"Low stock","In stock")))))</f>
        <v>0</v>
      </c>
      <c r="X87" s="31">
        <f>IF(B87="","",IF(W87="Expired","Expired - bin it and log it on the Food Waste tab",IF(W87="Use soon","Use soon - plan a meal with it",IF(W87="Out of stock",IF(T87="Yes","Missing - staple has run out","Add - restock when convenient"),IF(W87="Low stock","Check - running low",IF(S87&lt;0,"Check - the plan needs more than you have","OK"))))))</f>
        <v>0</v>
      </c>
    </row>
    <row r="88" spans="1:24">
      <c r="A88" s="39">
        <f>IF(B88="","",PantryPrefix&amp;TEXT(ROW()-4,"0000"))</f>
        <v>0</v>
      </c>
      <c r="C88" s="17">
        <f>IF(B88="","",IFERROR(INDEX(Ingredients!$C$5:$C$304,MATCH(B88,Ingredients!$B$5:$B$304,0)),"Add to Ingredients"))</f>
        <v>0</v>
      </c>
      <c r="G88" s="45">
        <f>IF(E88="","",IFERROR(E88*INDEX(UnitFactors,MATCH(F88,UnitNames,0)),""))</f>
        <v>0</v>
      </c>
      <c r="H88" s="17">
        <f>IF(F88="","",IFERROR(INDEX(UnitBases,MATCH(F88,UnitNames,0)),"?"))</f>
        <v>0</v>
      </c>
      <c r="L88" s="18">
        <f>IF(B88="","",IFERROR(INDEX(Ingredients!$Z$5:$Z$304,MATCH(B88,Ingredients!$B$5:$B$304,0)),"Add to Ingredients"))</f>
        <v>0</v>
      </c>
      <c r="M88" s="19">
        <f>IF(K88&lt;&gt;"",K88,IF(OR(J88="",L88="",NOT(ISNUMBER(L88))),"",J88+L88))</f>
        <v>0</v>
      </c>
      <c r="N88" s="18">
        <f>IF(M88="","",M88-TODAY())</f>
        <v>0</v>
      </c>
      <c r="O88" s="25">
        <f>IF(B88="","",IFERROR(INDEX(Ingredients!$J$5:$J$304,MATCH(B88,Ingredients!$B$5:$B$304,0)),"Add to Ingredients"))</f>
        <v>0</v>
      </c>
      <c r="P88" s="25">
        <f>IF(OR(G88="",O88="",NOT(ISNUMBER(O88))),"",G88*O88)</f>
        <v>0</v>
      </c>
      <c r="R88" s="45">
        <f>IF(B88="","",IFERROR(INDEX(Ingredients!$AG$5:$AG$304,MATCH(B88,Ingredients!$B$5:$B$304,0)),0))</f>
        <v>0</v>
      </c>
      <c r="S88" s="45">
        <f>IF(G88="","",G88-IF(R88="",0,R88))</f>
        <v>0</v>
      </c>
      <c r="U88" s="18">
        <f>IF(OR(B88="",D88&lt;&gt;"Fridge",NOT(ISNUMBER(N88))),"",COUNTIFS($D$5:$D$304,"Fridge",$N$5:$N$304,"&lt;"&amp;N88)+COUNTIFS($D$5:D88,"Fridge",$N$5:N88,N88))</f>
        <v>0</v>
      </c>
      <c r="V88" s="18">
        <f>IF(OR(B88="",D88&lt;&gt;"Freezer",NOT(ISNUMBER(N88))),"",COUNTIFS($D$5:$D$304,"Freezer",$N$5:$N$304,"&lt;"&amp;N88)+COUNTIFS($D$5:D88,"Freezer",$N$5:N88,N88))</f>
        <v>0</v>
      </c>
      <c r="W88" s="31">
        <f>IF(B88="","",IF(G88=0,"Out of stock",IF(AND(N88&lt;&gt;"",N88&lt;0),"Expired",IF(AND(N88&lt;&gt;"",N88&lt;=ExpiryWarningDays),"Use soon",IF(AND(Q88&lt;&gt;"",G88&lt;Q88),"Low stock","In stock")))))</f>
        <v>0</v>
      </c>
      <c r="X88" s="31">
        <f>IF(B88="","",IF(W88="Expired","Expired - bin it and log it on the Food Waste tab",IF(W88="Use soon","Use soon - plan a meal with it",IF(W88="Out of stock",IF(T88="Yes","Missing - staple has run out","Add - restock when convenient"),IF(W88="Low stock","Check - running low",IF(S88&lt;0,"Check - the plan needs more than you have","OK"))))))</f>
        <v>0</v>
      </c>
    </row>
    <row r="89" spans="1:24">
      <c r="A89" s="39">
        <f>IF(B89="","",PantryPrefix&amp;TEXT(ROW()-4,"0000"))</f>
        <v>0</v>
      </c>
      <c r="C89" s="17">
        <f>IF(B89="","",IFERROR(INDEX(Ingredients!$C$5:$C$304,MATCH(B89,Ingredients!$B$5:$B$304,0)),"Add to Ingredients"))</f>
        <v>0</v>
      </c>
      <c r="G89" s="45">
        <f>IF(E89="","",IFERROR(E89*INDEX(UnitFactors,MATCH(F89,UnitNames,0)),""))</f>
        <v>0</v>
      </c>
      <c r="H89" s="17">
        <f>IF(F89="","",IFERROR(INDEX(UnitBases,MATCH(F89,UnitNames,0)),"?"))</f>
        <v>0</v>
      </c>
      <c r="L89" s="18">
        <f>IF(B89="","",IFERROR(INDEX(Ingredients!$Z$5:$Z$304,MATCH(B89,Ingredients!$B$5:$B$304,0)),"Add to Ingredients"))</f>
        <v>0</v>
      </c>
      <c r="M89" s="19">
        <f>IF(K89&lt;&gt;"",K89,IF(OR(J89="",L89="",NOT(ISNUMBER(L89))),"",J89+L89))</f>
        <v>0</v>
      </c>
      <c r="N89" s="18">
        <f>IF(M89="","",M89-TODAY())</f>
        <v>0</v>
      </c>
      <c r="O89" s="25">
        <f>IF(B89="","",IFERROR(INDEX(Ingredients!$J$5:$J$304,MATCH(B89,Ingredients!$B$5:$B$304,0)),"Add to Ingredients"))</f>
        <v>0</v>
      </c>
      <c r="P89" s="25">
        <f>IF(OR(G89="",O89="",NOT(ISNUMBER(O89))),"",G89*O89)</f>
        <v>0</v>
      </c>
      <c r="R89" s="45">
        <f>IF(B89="","",IFERROR(INDEX(Ingredients!$AG$5:$AG$304,MATCH(B89,Ingredients!$B$5:$B$304,0)),0))</f>
        <v>0</v>
      </c>
      <c r="S89" s="45">
        <f>IF(G89="","",G89-IF(R89="",0,R89))</f>
        <v>0</v>
      </c>
      <c r="U89" s="18">
        <f>IF(OR(B89="",D89&lt;&gt;"Fridge",NOT(ISNUMBER(N89))),"",COUNTIFS($D$5:$D$304,"Fridge",$N$5:$N$304,"&lt;"&amp;N89)+COUNTIFS($D$5:D89,"Fridge",$N$5:N89,N89))</f>
        <v>0</v>
      </c>
      <c r="V89" s="18">
        <f>IF(OR(B89="",D89&lt;&gt;"Freezer",NOT(ISNUMBER(N89))),"",COUNTIFS($D$5:$D$304,"Freezer",$N$5:$N$304,"&lt;"&amp;N89)+COUNTIFS($D$5:D89,"Freezer",$N$5:N89,N89))</f>
        <v>0</v>
      </c>
      <c r="W89" s="31">
        <f>IF(B89="","",IF(G89=0,"Out of stock",IF(AND(N89&lt;&gt;"",N89&lt;0),"Expired",IF(AND(N89&lt;&gt;"",N89&lt;=ExpiryWarningDays),"Use soon",IF(AND(Q89&lt;&gt;"",G89&lt;Q89),"Low stock","In stock")))))</f>
        <v>0</v>
      </c>
      <c r="X89" s="31">
        <f>IF(B89="","",IF(W89="Expired","Expired - bin it and log it on the Food Waste tab",IF(W89="Use soon","Use soon - plan a meal with it",IF(W89="Out of stock",IF(T89="Yes","Missing - staple has run out","Add - restock when convenient"),IF(W89="Low stock","Check - running low",IF(S89&lt;0,"Check - the plan needs more than you have","OK"))))))</f>
        <v>0</v>
      </c>
    </row>
    <row r="90" spans="1:24">
      <c r="A90" s="39">
        <f>IF(B90="","",PantryPrefix&amp;TEXT(ROW()-4,"0000"))</f>
        <v>0</v>
      </c>
      <c r="C90" s="17">
        <f>IF(B90="","",IFERROR(INDEX(Ingredients!$C$5:$C$304,MATCH(B90,Ingredients!$B$5:$B$304,0)),"Add to Ingredients"))</f>
        <v>0</v>
      </c>
      <c r="G90" s="45">
        <f>IF(E90="","",IFERROR(E90*INDEX(UnitFactors,MATCH(F90,UnitNames,0)),""))</f>
        <v>0</v>
      </c>
      <c r="H90" s="17">
        <f>IF(F90="","",IFERROR(INDEX(UnitBases,MATCH(F90,UnitNames,0)),"?"))</f>
        <v>0</v>
      </c>
      <c r="L90" s="18">
        <f>IF(B90="","",IFERROR(INDEX(Ingredients!$Z$5:$Z$304,MATCH(B90,Ingredients!$B$5:$B$304,0)),"Add to Ingredients"))</f>
        <v>0</v>
      </c>
      <c r="M90" s="19">
        <f>IF(K90&lt;&gt;"",K90,IF(OR(J90="",L90="",NOT(ISNUMBER(L90))),"",J90+L90))</f>
        <v>0</v>
      </c>
      <c r="N90" s="18">
        <f>IF(M90="","",M90-TODAY())</f>
        <v>0</v>
      </c>
      <c r="O90" s="25">
        <f>IF(B90="","",IFERROR(INDEX(Ingredients!$J$5:$J$304,MATCH(B90,Ingredients!$B$5:$B$304,0)),"Add to Ingredients"))</f>
        <v>0</v>
      </c>
      <c r="P90" s="25">
        <f>IF(OR(G90="",O90="",NOT(ISNUMBER(O90))),"",G90*O90)</f>
        <v>0</v>
      </c>
      <c r="R90" s="45">
        <f>IF(B90="","",IFERROR(INDEX(Ingredients!$AG$5:$AG$304,MATCH(B90,Ingredients!$B$5:$B$304,0)),0))</f>
        <v>0</v>
      </c>
      <c r="S90" s="45">
        <f>IF(G90="","",G90-IF(R90="",0,R90))</f>
        <v>0</v>
      </c>
      <c r="U90" s="18">
        <f>IF(OR(B90="",D90&lt;&gt;"Fridge",NOT(ISNUMBER(N90))),"",COUNTIFS($D$5:$D$304,"Fridge",$N$5:$N$304,"&lt;"&amp;N90)+COUNTIFS($D$5:D90,"Fridge",$N$5:N90,N90))</f>
        <v>0</v>
      </c>
      <c r="V90" s="18">
        <f>IF(OR(B90="",D90&lt;&gt;"Freezer",NOT(ISNUMBER(N90))),"",COUNTIFS($D$5:$D$304,"Freezer",$N$5:$N$304,"&lt;"&amp;N90)+COUNTIFS($D$5:D90,"Freezer",$N$5:N90,N90))</f>
        <v>0</v>
      </c>
      <c r="W90" s="31">
        <f>IF(B90="","",IF(G90=0,"Out of stock",IF(AND(N90&lt;&gt;"",N90&lt;0),"Expired",IF(AND(N90&lt;&gt;"",N90&lt;=ExpiryWarningDays),"Use soon",IF(AND(Q90&lt;&gt;"",G90&lt;Q90),"Low stock","In stock")))))</f>
        <v>0</v>
      </c>
      <c r="X90" s="31">
        <f>IF(B90="","",IF(W90="Expired","Expired - bin it and log it on the Food Waste tab",IF(W90="Use soon","Use soon - plan a meal with it",IF(W90="Out of stock",IF(T90="Yes","Missing - staple has run out","Add - restock when convenient"),IF(W90="Low stock","Check - running low",IF(S90&lt;0,"Check - the plan needs more than you have","OK"))))))</f>
        <v>0</v>
      </c>
    </row>
    <row r="91" spans="1:24">
      <c r="A91" s="39">
        <f>IF(B91="","",PantryPrefix&amp;TEXT(ROW()-4,"0000"))</f>
        <v>0</v>
      </c>
      <c r="C91" s="17">
        <f>IF(B91="","",IFERROR(INDEX(Ingredients!$C$5:$C$304,MATCH(B91,Ingredients!$B$5:$B$304,0)),"Add to Ingredients"))</f>
        <v>0</v>
      </c>
      <c r="G91" s="45">
        <f>IF(E91="","",IFERROR(E91*INDEX(UnitFactors,MATCH(F91,UnitNames,0)),""))</f>
        <v>0</v>
      </c>
      <c r="H91" s="17">
        <f>IF(F91="","",IFERROR(INDEX(UnitBases,MATCH(F91,UnitNames,0)),"?"))</f>
        <v>0</v>
      </c>
      <c r="L91" s="18">
        <f>IF(B91="","",IFERROR(INDEX(Ingredients!$Z$5:$Z$304,MATCH(B91,Ingredients!$B$5:$B$304,0)),"Add to Ingredients"))</f>
        <v>0</v>
      </c>
      <c r="M91" s="19">
        <f>IF(K91&lt;&gt;"",K91,IF(OR(J91="",L91="",NOT(ISNUMBER(L91))),"",J91+L91))</f>
        <v>0</v>
      </c>
      <c r="N91" s="18">
        <f>IF(M91="","",M91-TODAY())</f>
        <v>0</v>
      </c>
      <c r="O91" s="25">
        <f>IF(B91="","",IFERROR(INDEX(Ingredients!$J$5:$J$304,MATCH(B91,Ingredients!$B$5:$B$304,0)),"Add to Ingredients"))</f>
        <v>0</v>
      </c>
      <c r="P91" s="25">
        <f>IF(OR(G91="",O91="",NOT(ISNUMBER(O91))),"",G91*O91)</f>
        <v>0</v>
      </c>
      <c r="R91" s="45">
        <f>IF(B91="","",IFERROR(INDEX(Ingredients!$AG$5:$AG$304,MATCH(B91,Ingredients!$B$5:$B$304,0)),0))</f>
        <v>0</v>
      </c>
      <c r="S91" s="45">
        <f>IF(G91="","",G91-IF(R91="",0,R91))</f>
        <v>0</v>
      </c>
      <c r="U91" s="18">
        <f>IF(OR(B91="",D91&lt;&gt;"Fridge",NOT(ISNUMBER(N91))),"",COUNTIFS($D$5:$D$304,"Fridge",$N$5:$N$304,"&lt;"&amp;N91)+COUNTIFS($D$5:D91,"Fridge",$N$5:N91,N91))</f>
        <v>0</v>
      </c>
      <c r="V91" s="18">
        <f>IF(OR(B91="",D91&lt;&gt;"Freezer",NOT(ISNUMBER(N91))),"",COUNTIFS($D$5:$D$304,"Freezer",$N$5:$N$304,"&lt;"&amp;N91)+COUNTIFS($D$5:D91,"Freezer",$N$5:N91,N91))</f>
        <v>0</v>
      </c>
      <c r="W91" s="31">
        <f>IF(B91="","",IF(G91=0,"Out of stock",IF(AND(N91&lt;&gt;"",N91&lt;0),"Expired",IF(AND(N91&lt;&gt;"",N91&lt;=ExpiryWarningDays),"Use soon",IF(AND(Q91&lt;&gt;"",G91&lt;Q91),"Low stock","In stock")))))</f>
        <v>0</v>
      </c>
      <c r="X91" s="31">
        <f>IF(B91="","",IF(W91="Expired","Expired - bin it and log it on the Food Waste tab",IF(W91="Use soon","Use soon - plan a meal with it",IF(W91="Out of stock",IF(T91="Yes","Missing - staple has run out","Add - restock when convenient"),IF(W91="Low stock","Check - running low",IF(S91&lt;0,"Check - the plan needs more than you have","OK"))))))</f>
        <v>0</v>
      </c>
    </row>
    <row r="92" spans="1:24">
      <c r="A92" s="39">
        <f>IF(B92="","",PantryPrefix&amp;TEXT(ROW()-4,"0000"))</f>
        <v>0</v>
      </c>
      <c r="C92" s="17">
        <f>IF(B92="","",IFERROR(INDEX(Ingredients!$C$5:$C$304,MATCH(B92,Ingredients!$B$5:$B$304,0)),"Add to Ingredients"))</f>
        <v>0</v>
      </c>
      <c r="G92" s="45">
        <f>IF(E92="","",IFERROR(E92*INDEX(UnitFactors,MATCH(F92,UnitNames,0)),""))</f>
        <v>0</v>
      </c>
      <c r="H92" s="17">
        <f>IF(F92="","",IFERROR(INDEX(UnitBases,MATCH(F92,UnitNames,0)),"?"))</f>
        <v>0</v>
      </c>
      <c r="L92" s="18">
        <f>IF(B92="","",IFERROR(INDEX(Ingredients!$Z$5:$Z$304,MATCH(B92,Ingredients!$B$5:$B$304,0)),"Add to Ingredients"))</f>
        <v>0</v>
      </c>
      <c r="M92" s="19">
        <f>IF(K92&lt;&gt;"",K92,IF(OR(J92="",L92="",NOT(ISNUMBER(L92))),"",J92+L92))</f>
        <v>0</v>
      </c>
      <c r="N92" s="18">
        <f>IF(M92="","",M92-TODAY())</f>
        <v>0</v>
      </c>
      <c r="O92" s="25">
        <f>IF(B92="","",IFERROR(INDEX(Ingredients!$J$5:$J$304,MATCH(B92,Ingredients!$B$5:$B$304,0)),"Add to Ingredients"))</f>
        <v>0</v>
      </c>
      <c r="P92" s="25">
        <f>IF(OR(G92="",O92="",NOT(ISNUMBER(O92))),"",G92*O92)</f>
        <v>0</v>
      </c>
      <c r="R92" s="45">
        <f>IF(B92="","",IFERROR(INDEX(Ingredients!$AG$5:$AG$304,MATCH(B92,Ingredients!$B$5:$B$304,0)),0))</f>
        <v>0</v>
      </c>
      <c r="S92" s="45">
        <f>IF(G92="","",G92-IF(R92="",0,R92))</f>
        <v>0</v>
      </c>
      <c r="U92" s="18">
        <f>IF(OR(B92="",D92&lt;&gt;"Fridge",NOT(ISNUMBER(N92))),"",COUNTIFS($D$5:$D$304,"Fridge",$N$5:$N$304,"&lt;"&amp;N92)+COUNTIFS($D$5:D92,"Fridge",$N$5:N92,N92))</f>
        <v>0</v>
      </c>
      <c r="V92" s="18">
        <f>IF(OR(B92="",D92&lt;&gt;"Freezer",NOT(ISNUMBER(N92))),"",COUNTIFS($D$5:$D$304,"Freezer",$N$5:$N$304,"&lt;"&amp;N92)+COUNTIFS($D$5:D92,"Freezer",$N$5:N92,N92))</f>
        <v>0</v>
      </c>
      <c r="W92" s="31">
        <f>IF(B92="","",IF(G92=0,"Out of stock",IF(AND(N92&lt;&gt;"",N92&lt;0),"Expired",IF(AND(N92&lt;&gt;"",N92&lt;=ExpiryWarningDays),"Use soon",IF(AND(Q92&lt;&gt;"",G92&lt;Q92),"Low stock","In stock")))))</f>
        <v>0</v>
      </c>
      <c r="X92" s="31">
        <f>IF(B92="","",IF(W92="Expired","Expired - bin it and log it on the Food Waste tab",IF(W92="Use soon","Use soon - plan a meal with it",IF(W92="Out of stock",IF(T92="Yes","Missing - staple has run out","Add - restock when convenient"),IF(W92="Low stock","Check - running low",IF(S92&lt;0,"Check - the plan needs more than you have","OK"))))))</f>
        <v>0</v>
      </c>
    </row>
    <row r="93" spans="1:24">
      <c r="A93" s="39">
        <f>IF(B93="","",PantryPrefix&amp;TEXT(ROW()-4,"0000"))</f>
        <v>0</v>
      </c>
      <c r="C93" s="17">
        <f>IF(B93="","",IFERROR(INDEX(Ingredients!$C$5:$C$304,MATCH(B93,Ingredients!$B$5:$B$304,0)),"Add to Ingredients"))</f>
        <v>0</v>
      </c>
      <c r="G93" s="45">
        <f>IF(E93="","",IFERROR(E93*INDEX(UnitFactors,MATCH(F93,UnitNames,0)),""))</f>
        <v>0</v>
      </c>
      <c r="H93" s="17">
        <f>IF(F93="","",IFERROR(INDEX(UnitBases,MATCH(F93,UnitNames,0)),"?"))</f>
        <v>0</v>
      </c>
      <c r="L93" s="18">
        <f>IF(B93="","",IFERROR(INDEX(Ingredients!$Z$5:$Z$304,MATCH(B93,Ingredients!$B$5:$B$304,0)),"Add to Ingredients"))</f>
        <v>0</v>
      </c>
      <c r="M93" s="19">
        <f>IF(K93&lt;&gt;"",K93,IF(OR(J93="",L93="",NOT(ISNUMBER(L93))),"",J93+L93))</f>
        <v>0</v>
      </c>
      <c r="N93" s="18">
        <f>IF(M93="","",M93-TODAY())</f>
        <v>0</v>
      </c>
      <c r="O93" s="25">
        <f>IF(B93="","",IFERROR(INDEX(Ingredients!$J$5:$J$304,MATCH(B93,Ingredients!$B$5:$B$304,0)),"Add to Ingredients"))</f>
        <v>0</v>
      </c>
      <c r="P93" s="25">
        <f>IF(OR(G93="",O93="",NOT(ISNUMBER(O93))),"",G93*O93)</f>
        <v>0</v>
      </c>
      <c r="R93" s="45">
        <f>IF(B93="","",IFERROR(INDEX(Ingredients!$AG$5:$AG$304,MATCH(B93,Ingredients!$B$5:$B$304,0)),0))</f>
        <v>0</v>
      </c>
      <c r="S93" s="45">
        <f>IF(G93="","",G93-IF(R93="",0,R93))</f>
        <v>0</v>
      </c>
      <c r="U93" s="18">
        <f>IF(OR(B93="",D93&lt;&gt;"Fridge",NOT(ISNUMBER(N93))),"",COUNTIFS($D$5:$D$304,"Fridge",$N$5:$N$304,"&lt;"&amp;N93)+COUNTIFS($D$5:D93,"Fridge",$N$5:N93,N93))</f>
        <v>0</v>
      </c>
      <c r="V93" s="18">
        <f>IF(OR(B93="",D93&lt;&gt;"Freezer",NOT(ISNUMBER(N93))),"",COUNTIFS($D$5:$D$304,"Freezer",$N$5:$N$304,"&lt;"&amp;N93)+COUNTIFS($D$5:D93,"Freezer",$N$5:N93,N93))</f>
        <v>0</v>
      </c>
      <c r="W93" s="31">
        <f>IF(B93="","",IF(G93=0,"Out of stock",IF(AND(N93&lt;&gt;"",N93&lt;0),"Expired",IF(AND(N93&lt;&gt;"",N93&lt;=ExpiryWarningDays),"Use soon",IF(AND(Q93&lt;&gt;"",G93&lt;Q93),"Low stock","In stock")))))</f>
        <v>0</v>
      </c>
      <c r="X93" s="31">
        <f>IF(B93="","",IF(W93="Expired","Expired - bin it and log it on the Food Waste tab",IF(W93="Use soon","Use soon - plan a meal with it",IF(W93="Out of stock",IF(T93="Yes","Missing - staple has run out","Add - restock when convenient"),IF(W93="Low stock","Check - running low",IF(S93&lt;0,"Check - the plan needs more than you have","OK"))))))</f>
        <v>0</v>
      </c>
    </row>
    <row r="94" spans="1:24">
      <c r="A94" s="39">
        <f>IF(B94="","",PantryPrefix&amp;TEXT(ROW()-4,"0000"))</f>
        <v>0</v>
      </c>
      <c r="C94" s="17">
        <f>IF(B94="","",IFERROR(INDEX(Ingredients!$C$5:$C$304,MATCH(B94,Ingredients!$B$5:$B$304,0)),"Add to Ingredients"))</f>
        <v>0</v>
      </c>
      <c r="G94" s="45">
        <f>IF(E94="","",IFERROR(E94*INDEX(UnitFactors,MATCH(F94,UnitNames,0)),""))</f>
        <v>0</v>
      </c>
      <c r="H94" s="17">
        <f>IF(F94="","",IFERROR(INDEX(UnitBases,MATCH(F94,UnitNames,0)),"?"))</f>
        <v>0</v>
      </c>
      <c r="L94" s="18">
        <f>IF(B94="","",IFERROR(INDEX(Ingredients!$Z$5:$Z$304,MATCH(B94,Ingredients!$B$5:$B$304,0)),"Add to Ingredients"))</f>
        <v>0</v>
      </c>
      <c r="M94" s="19">
        <f>IF(K94&lt;&gt;"",K94,IF(OR(J94="",L94="",NOT(ISNUMBER(L94))),"",J94+L94))</f>
        <v>0</v>
      </c>
      <c r="N94" s="18">
        <f>IF(M94="","",M94-TODAY())</f>
        <v>0</v>
      </c>
      <c r="O94" s="25">
        <f>IF(B94="","",IFERROR(INDEX(Ingredients!$J$5:$J$304,MATCH(B94,Ingredients!$B$5:$B$304,0)),"Add to Ingredients"))</f>
        <v>0</v>
      </c>
      <c r="P94" s="25">
        <f>IF(OR(G94="",O94="",NOT(ISNUMBER(O94))),"",G94*O94)</f>
        <v>0</v>
      </c>
      <c r="R94" s="45">
        <f>IF(B94="","",IFERROR(INDEX(Ingredients!$AG$5:$AG$304,MATCH(B94,Ingredients!$B$5:$B$304,0)),0))</f>
        <v>0</v>
      </c>
      <c r="S94" s="45">
        <f>IF(G94="","",G94-IF(R94="",0,R94))</f>
        <v>0</v>
      </c>
      <c r="U94" s="18">
        <f>IF(OR(B94="",D94&lt;&gt;"Fridge",NOT(ISNUMBER(N94))),"",COUNTIFS($D$5:$D$304,"Fridge",$N$5:$N$304,"&lt;"&amp;N94)+COUNTIFS($D$5:D94,"Fridge",$N$5:N94,N94))</f>
        <v>0</v>
      </c>
      <c r="V94" s="18">
        <f>IF(OR(B94="",D94&lt;&gt;"Freezer",NOT(ISNUMBER(N94))),"",COUNTIFS($D$5:$D$304,"Freezer",$N$5:$N$304,"&lt;"&amp;N94)+COUNTIFS($D$5:D94,"Freezer",$N$5:N94,N94))</f>
        <v>0</v>
      </c>
      <c r="W94" s="31">
        <f>IF(B94="","",IF(G94=0,"Out of stock",IF(AND(N94&lt;&gt;"",N94&lt;0),"Expired",IF(AND(N94&lt;&gt;"",N94&lt;=ExpiryWarningDays),"Use soon",IF(AND(Q94&lt;&gt;"",G94&lt;Q94),"Low stock","In stock")))))</f>
        <v>0</v>
      </c>
      <c r="X94" s="31">
        <f>IF(B94="","",IF(W94="Expired","Expired - bin it and log it on the Food Waste tab",IF(W94="Use soon","Use soon - plan a meal with it",IF(W94="Out of stock",IF(T94="Yes","Missing - staple has run out","Add - restock when convenient"),IF(W94="Low stock","Check - running low",IF(S94&lt;0,"Check - the plan needs more than you have","OK"))))))</f>
        <v>0</v>
      </c>
    </row>
    <row r="95" spans="1:24">
      <c r="A95" s="39">
        <f>IF(B95="","",PantryPrefix&amp;TEXT(ROW()-4,"0000"))</f>
        <v>0</v>
      </c>
      <c r="C95" s="17">
        <f>IF(B95="","",IFERROR(INDEX(Ingredients!$C$5:$C$304,MATCH(B95,Ingredients!$B$5:$B$304,0)),"Add to Ingredients"))</f>
        <v>0</v>
      </c>
      <c r="G95" s="45">
        <f>IF(E95="","",IFERROR(E95*INDEX(UnitFactors,MATCH(F95,UnitNames,0)),""))</f>
        <v>0</v>
      </c>
      <c r="H95" s="17">
        <f>IF(F95="","",IFERROR(INDEX(UnitBases,MATCH(F95,UnitNames,0)),"?"))</f>
        <v>0</v>
      </c>
      <c r="L95" s="18">
        <f>IF(B95="","",IFERROR(INDEX(Ingredients!$Z$5:$Z$304,MATCH(B95,Ingredients!$B$5:$B$304,0)),"Add to Ingredients"))</f>
        <v>0</v>
      </c>
      <c r="M95" s="19">
        <f>IF(K95&lt;&gt;"",K95,IF(OR(J95="",L95="",NOT(ISNUMBER(L95))),"",J95+L95))</f>
        <v>0</v>
      </c>
      <c r="N95" s="18">
        <f>IF(M95="","",M95-TODAY())</f>
        <v>0</v>
      </c>
      <c r="O95" s="25">
        <f>IF(B95="","",IFERROR(INDEX(Ingredients!$J$5:$J$304,MATCH(B95,Ingredients!$B$5:$B$304,0)),"Add to Ingredients"))</f>
        <v>0</v>
      </c>
      <c r="P95" s="25">
        <f>IF(OR(G95="",O95="",NOT(ISNUMBER(O95))),"",G95*O95)</f>
        <v>0</v>
      </c>
      <c r="R95" s="45">
        <f>IF(B95="","",IFERROR(INDEX(Ingredients!$AG$5:$AG$304,MATCH(B95,Ingredients!$B$5:$B$304,0)),0))</f>
        <v>0</v>
      </c>
      <c r="S95" s="45">
        <f>IF(G95="","",G95-IF(R95="",0,R95))</f>
        <v>0</v>
      </c>
      <c r="U95" s="18">
        <f>IF(OR(B95="",D95&lt;&gt;"Fridge",NOT(ISNUMBER(N95))),"",COUNTIFS($D$5:$D$304,"Fridge",$N$5:$N$304,"&lt;"&amp;N95)+COUNTIFS($D$5:D95,"Fridge",$N$5:N95,N95))</f>
        <v>0</v>
      </c>
      <c r="V95" s="18">
        <f>IF(OR(B95="",D95&lt;&gt;"Freezer",NOT(ISNUMBER(N95))),"",COUNTIFS($D$5:$D$304,"Freezer",$N$5:$N$304,"&lt;"&amp;N95)+COUNTIFS($D$5:D95,"Freezer",$N$5:N95,N95))</f>
        <v>0</v>
      </c>
      <c r="W95" s="31">
        <f>IF(B95="","",IF(G95=0,"Out of stock",IF(AND(N95&lt;&gt;"",N95&lt;0),"Expired",IF(AND(N95&lt;&gt;"",N95&lt;=ExpiryWarningDays),"Use soon",IF(AND(Q95&lt;&gt;"",G95&lt;Q95),"Low stock","In stock")))))</f>
        <v>0</v>
      </c>
      <c r="X95" s="31">
        <f>IF(B95="","",IF(W95="Expired","Expired - bin it and log it on the Food Waste tab",IF(W95="Use soon","Use soon - plan a meal with it",IF(W95="Out of stock",IF(T95="Yes","Missing - staple has run out","Add - restock when convenient"),IF(W95="Low stock","Check - running low",IF(S95&lt;0,"Check - the plan needs more than you have","OK"))))))</f>
        <v>0</v>
      </c>
    </row>
    <row r="96" spans="1:24">
      <c r="A96" s="39">
        <f>IF(B96="","",PantryPrefix&amp;TEXT(ROW()-4,"0000"))</f>
        <v>0</v>
      </c>
      <c r="C96" s="17">
        <f>IF(B96="","",IFERROR(INDEX(Ingredients!$C$5:$C$304,MATCH(B96,Ingredients!$B$5:$B$304,0)),"Add to Ingredients"))</f>
        <v>0</v>
      </c>
      <c r="G96" s="45">
        <f>IF(E96="","",IFERROR(E96*INDEX(UnitFactors,MATCH(F96,UnitNames,0)),""))</f>
        <v>0</v>
      </c>
      <c r="H96" s="17">
        <f>IF(F96="","",IFERROR(INDEX(UnitBases,MATCH(F96,UnitNames,0)),"?"))</f>
        <v>0</v>
      </c>
      <c r="L96" s="18">
        <f>IF(B96="","",IFERROR(INDEX(Ingredients!$Z$5:$Z$304,MATCH(B96,Ingredients!$B$5:$B$304,0)),"Add to Ingredients"))</f>
        <v>0</v>
      </c>
      <c r="M96" s="19">
        <f>IF(K96&lt;&gt;"",K96,IF(OR(J96="",L96="",NOT(ISNUMBER(L96))),"",J96+L96))</f>
        <v>0</v>
      </c>
      <c r="N96" s="18">
        <f>IF(M96="","",M96-TODAY())</f>
        <v>0</v>
      </c>
      <c r="O96" s="25">
        <f>IF(B96="","",IFERROR(INDEX(Ingredients!$J$5:$J$304,MATCH(B96,Ingredients!$B$5:$B$304,0)),"Add to Ingredients"))</f>
        <v>0</v>
      </c>
      <c r="P96" s="25">
        <f>IF(OR(G96="",O96="",NOT(ISNUMBER(O96))),"",G96*O96)</f>
        <v>0</v>
      </c>
      <c r="R96" s="45">
        <f>IF(B96="","",IFERROR(INDEX(Ingredients!$AG$5:$AG$304,MATCH(B96,Ingredients!$B$5:$B$304,0)),0))</f>
        <v>0</v>
      </c>
      <c r="S96" s="45">
        <f>IF(G96="","",G96-IF(R96="",0,R96))</f>
        <v>0</v>
      </c>
      <c r="U96" s="18">
        <f>IF(OR(B96="",D96&lt;&gt;"Fridge",NOT(ISNUMBER(N96))),"",COUNTIFS($D$5:$D$304,"Fridge",$N$5:$N$304,"&lt;"&amp;N96)+COUNTIFS($D$5:D96,"Fridge",$N$5:N96,N96))</f>
        <v>0</v>
      </c>
      <c r="V96" s="18">
        <f>IF(OR(B96="",D96&lt;&gt;"Freezer",NOT(ISNUMBER(N96))),"",COUNTIFS($D$5:$D$304,"Freezer",$N$5:$N$304,"&lt;"&amp;N96)+COUNTIFS($D$5:D96,"Freezer",$N$5:N96,N96))</f>
        <v>0</v>
      </c>
      <c r="W96" s="31">
        <f>IF(B96="","",IF(G96=0,"Out of stock",IF(AND(N96&lt;&gt;"",N96&lt;0),"Expired",IF(AND(N96&lt;&gt;"",N96&lt;=ExpiryWarningDays),"Use soon",IF(AND(Q96&lt;&gt;"",G96&lt;Q96),"Low stock","In stock")))))</f>
        <v>0</v>
      </c>
      <c r="X96" s="31">
        <f>IF(B96="","",IF(W96="Expired","Expired - bin it and log it on the Food Waste tab",IF(W96="Use soon","Use soon - plan a meal with it",IF(W96="Out of stock",IF(T96="Yes","Missing - staple has run out","Add - restock when convenient"),IF(W96="Low stock","Check - running low",IF(S96&lt;0,"Check - the plan needs more than you have","OK"))))))</f>
        <v>0</v>
      </c>
    </row>
    <row r="97" spans="1:24">
      <c r="A97" s="39">
        <f>IF(B97="","",PantryPrefix&amp;TEXT(ROW()-4,"0000"))</f>
        <v>0</v>
      </c>
      <c r="C97" s="17">
        <f>IF(B97="","",IFERROR(INDEX(Ingredients!$C$5:$C$304,MATCH(B97,Ingredients!$B$5:$B$304,0)),"Add to Ingredients"))</f>
        <v>0</v>
      </c>
      <c r="G97" s="45">
        <f>IF(E97="","",IFERROR(E97*INDEX(UnitFactors,MATCH(F97,UnitNames,0)),""))</f>
        <v>0</v>
      </c>
      <c r="H97" s="17">
        <f>IF(F97="","",IFERROR(INDEX(UnitBases,MATCH(F97,UnitNames,0)),"?"))</f>
        <v>0</v>
      </c>
      <c r="L97" s="18">
        <f>IF(B97="","",IFERROR(INDEX(Ingredients!$Z$5:$Z$304,MATCH(B97,Ingredients!$B$5:$B$304,0)),"Add to Ingredients"))</f>
        <v>0</v>
      </c>
      <c r="M97" s="19">
        <f>IF(K97&lt;&gt;"",K97,IF(OR(J97="",L97="",NOT(ISNUMBER(L97))),"",J97+L97))</f>
        <v>0</v>
      </c>
      <c r="N97" s="18">
        <f>IF(M97="","",M97-TODAY())</f>
        <v>0</v>
      </c>
      <c r="O97" s="25">
        <f>IF(B97="","",IFERROR(INDEX(Ingredients!$J$5:$J$304,MATCH(B97,Ingredients!$B$5:$B$304,0)),"Add to Ingredients"))</f>
        <v>0</v>
      </c>
      <c r="P97" s="25">
        <f>IF(OR(G97="",O97="",NOT(ISNUMBER(O97))),"",G97*O97)</f>
        <v>0</v>
      </c>
      <c r="R97" s="45">
        <f>IF(B97="","",IFERROR(INDEX(Ingredients!$AG$5:$AG$304,MATCH(B97,Ingredients!$B$5:$B$304,0)),0))</f>
        <v>0</v>
      </c>
      <c r="S97" s="45">
        <f>IF(G97="","",G97-IF(R97="",0,R97))</f>
        <v>0</v>
      </c>
      <c r="U97" s="18">
        <f>IF(OR(B97="",D97&lt;&gt;"Fridge",NOT(ISNUMBER(N97))),"",COUNTIFS($D$5:$D$304,"Fridge",$N$5:$N$304,"&lt;"&amp;N97)+COUNTIFS($D$5:D97,"Fridge",$N$5:N97,N97))</f>
        <v>0</v>
      </c>
      <c r="V97" s="18">
        <f>IF(OR(B97="",D97&lt;&gt;"Freezer",NOT(ISNUMBER(N97))),"",COUNTIFS($D$5:$D$304,"Freezer",$N$5:$N$304,"&lt;"&amp;N97)+COUNTIFS($D$5:D97,"Freezer",$N$5:N97,N97))</f>
        <v>0</v>
      </c>
      <c r="W97" s="31">
        <f>IF(B97="","",IF(G97=0,"Out of stock",IF(AND(N97&lt;&gt;"",N97&lt;0),"Expired",IF(AND(N97&lt;&gt;"",N97&lt;=ExpiryWarningDays),"Use soon",IF(AND(Q97&lt;&gt;"",G97&lt;Q97),"Low stock","In stock")))))</f>
        <v>0</v>
      </c>
      <c r="X97" s="31">
        <f>IF(B97="","",IF(W97="Expired","Expired - bin it and log it on the Food Waste tab",IF(W97="Use soon","Use soon - plan a meal with it",IF(W97="Out of stock",IF(T97="Yes","Missing - staple has run out","Add - restock when convenient"),IF(W97="Low stock","Check - running low",IF(S97&lt;0,"Check - the plan needs more than you have","OK"))))))</f>
        <v>0</v>
      </c>
    </row>
    <row r="98" spans="1:24">
      <c r="A98" s="39">
        <f>IF(B98="","",PantryPrefix&amp;TEXT(ROW()-4,"0000"))</f>
        <v>0</v>
      </c>
      <c r="C98" s="17">
        <f>IF(B98="","",IFERROR(INDEX(Ingredients!$C$5:$C$304,MATCH(B98,Ingredients!$B$5:$B$304,0)),"Add to Ingredients"))</f>
        <v>0</v>
      </c>
      <c r="G98" s="45">
        <f>IF(E98="","",IFERROR(E98*INDEX(UnitFactors,MATCH(F98,UnitNames,0)),""))</f>
        <v>0</v>
      </c>
      <c r="H98" s="17">
        <f>IF(F98="","",IFERROR(INDEX(UnitBases,MATCH(F98,UnitNames,0)),"?"))</f>
        <v>0</v>
      </c>
      <c r="L98" s="18">
        <f>IF(B98="","",IFERROR(INDEX(Ingredients!$Z$5:$Z$304,MATCH(B98,Ingredients!$B$5:$B$304,0)),"Add to Ingredients"))</f>
        <v>0</v>
      </c>
      <c r="M98" s="19">
        <f>IF(K98&lt;&gt;"",K98,IF(OR(J98="",L98="",NOT(ISNUMBER(L98))),"",J98+L98))</f>
        <v>0</v>
      </c>
      <c r="N98" s="18">
        <f>IF(M98="","",M98-TODAY())</f>
        <v>0</v>
      </c>
      <c r="O98" s="25">
        <f>IF(B98="","",IFERROR(INDEX(Ingredients!$J$5:$J$304,MATCH(B98,Ingredients!$B$5:$B$304,0)),"Add to Ingredients"))</f>
        <v>0</v>
      </c>
      <c r="P98" s="25">
        <f>IF(OR(G98="",O98="",NOT(ISNUMBER(O98))),"",G98*O98)</f>
        <v>0</v>
      </c>
      <c r="R98" s="45">
        <f>IF(B98="","",IFERROR(INDEX(Ingredients!$AG$5:$AG$304,MATCH(B98,Ingredients!$B$5:$B$304,0)),0))</f>
        <v>0</v>
      </c>
      <c r="S98" s="45">
        <f>IF(G98="","",G98-IF(R98="",0,R98))</f>
        <v>0</v>
      </c>
      <c r="U98" s="18">
        <f>IF(OR(B98="",D98&lt;&gt;"Fridge",NOT(ISNUMBER(N98))),"",COUNTIFS($D$5:$D$304,"Fridge",$N$5:$N$304,"&lt;"&amp;N98)+COUNTIFS($D$5:D98,"Fridge",$N$5:N98,N98))</f>
        <v>0</v>
      </c>
      <c r="V98" s="18">
        <f>IF(OR(B98="",D98&lt;&gt;"Freezer",NOT(ISNUMBER(N98))),"",COUNTIFS($D$5:$D$304,"Freezer",$N$5:$N$304,"&lt;"&amp;N98)+COUNTIFS($D$5:D98,"Freezer",$N$5:N98,N98))</f>
        <v>0</v>
      </c>
      <c r="W98" s="31">
        <f>IF(B98="","",IF(G98=0,"Out of stock",IF(AND(N98&lt;&gt;"",N98&lt;0),"Expired",IF(AND(N98&lt;&gt;"",N98&lt;=ExpiryWarningDays),"Use soon",IF(AND(Q98&lt;&gt;"",G98&lt;Q98),"Low stock","In stock")))))</f>
        <v>0</v>
      </c>
      <c r="X98" s="31">
        <f>IF(B98="","",IF(W98="Expired","Expired - bin it and log it on the Food Waste tab",IF(W98="Use soon","Use soon - plan a meal with it",IF(W98="Out of stock",IF(T98="Yes","Missing - staple has run out","Add - restock when convenient"),IF(W98="Low stock","Check - running low",IF(S98&lt;0,"Check - the plan needs more than you have","OK"))))))</f>
        <v>0</v>
      </c>
    </row>
    <row r="99" spans="1:24">
      <c r="A99" s="39">
        <f>IF(B99="","",PantryPrefix&amp;TEXT(ROW()-4,"0000"))</f>
        <v>0</v>
      </c>
      <c r="C99" s="17">
        <f>IF(B99="","",IFERROR(INDEX(Ingredients!$C$5:$C$304,MATCH(B99,Ingredients!$B$5:$B$304,0)),"Add to Ingredients"))</f>
        <v>0</v>
      </c>
      <c r="G99" s="45">
        <f>IF(E99="","",IFERROR(E99*INDEX(UnitFactors,MATCH(F99,UnitNames,0)),""))</f>
        <v>0</v>
      </c>
      <c r="H99" s="17">
        <f>IF(F99="","",IFERROR(INDEX(UnitBases,MATCH(F99,UnitNames,0)),"?"))</f>
        <v>0</v>
      </c>
      <c r="L99" s="18">
        <f>IF(B99="","",IFERROR(INDEX(Ingredients!$Z$5:$Z$304,MATCH(B99,Ingredients!$B$5:$B$304,0)),"Add to Ingredients"))</f>
        <v>0</v>
      </c>
      <c r="M99" s="19">
        <f>IF(K99&lt;&gt;"",K99,IF(OR(J99="",L99="",NOT(ISNUMBER(L99))),"",J99+L99))</f>
        <v>0</v>
      </c>
      <c r="N99" s="18">
        <f>IF(M99="","",M99-TODAY())</f>
        <v>0</v>
      </c>
      <c r="O99" s="25">
        <f>IF(B99="","",IFERROR(INDEX(Ingredients!$J$5:$J$304,MATCH(B99,Ingredients!$B$5:$B$304,0)),"Add to Ingredients"))</f>
        <v>0</v>
      </c>
      <c r="P99" s="25">
        <f>IF(OR(G99="",O99="",NOT(ISNUMBER(O99))),"",G99*O99)</f>
        <v>0</v>
      </c>
      <c r="R99" s="45">
        <f>IF(B99="","",IFERROR(INDEX(Ingredients!$AG$5:$AG$304,MATCH(B99,Ingredients!$B$5:$B$304,0)),0))</f>
        <v>0</v>
      </c>
      <c r="S99" s="45">
        <f>IF(G99="","",G99-IF(R99="",0,R99))</f>
        <v>0</v>
      </c>
      <c r="U99" s="18">
        <f>IF(OR(B99="",D99&lt;&gt;"Fridge",NOT(ISNUMBER(N99))),"",COUNTIFS($D$5:$D$304,"Fridge",$N$5:$N$304,"&lt;"&amp;N99)+COUNTIFS($D$5:D99,"Fridge",$N$5:N99,N99))</f>
        <v>0</v>
      </c>
      <c r="V99" s="18">
        <f>IF(OR(B99="",D99&lt;&gt;"Freezer",NOT(ISNUMBER(N99))),"",COUNTIFS($D$5:$D$304,"Freezer",$N$5:$N$304,"&lt;"&amp;N99)+COUNTIFS($D$5:D99,"Freezer",$N$5:N99,N99))</f>
        <v>0</v>
      </c>
      <c r="W99" s="31">
        <f>IF(B99="","",IF(G99=0,"Out of stock",IF(AND(N99&lt;&gt;"",N99&lt;0),"Expired",IF(AND(N99&lt;&gt;"",N99&lt;=ExpiryWarningDays),"Use soon",IF(AND(Q99&lt;&gt;"",G99&lt;Q99),"Low stock","In stock")))))</f>
        <v>0</v>
      </c>
      <c r="X99" s="31">
        <f>IF(B99="","",IF(W99="Expired","Expired - bin it and log it on the Food Waste tab",IF(W99="Use soon","Use soon - plan a meal with it",IF(W99="Out of stock",IF(T99="Yes","Missing - staple has run out","Add - restock when convenient"),IF(W99="Low stock","Check - running low",IF(S99&lt;0,"Check - the plan needs more than you have","OK"))))))</f>
        <v>0</v>
      </c>
    </row>
    <row r="100" spans="1:24">
      <c r="A100" s="39">
        <f>IF(B100="","",PantryPrefix&amp;TEXT(ROW()-4,"0000"))</f>
        <v>0</v>
      </c>
      <c r="C100" s="17">
        <f>IF(B100="","",IFERROR(INDEX(Ingredients!$C$5:$C$304,MATCH(B100,Ingredients!$B$5:$B$304,0)),"Add to Ingredients"))</f>
        <v>0</v>
      </c>
      <c r="G100" s="45">
        <f>IF(E100="","",IFERROR(E100*INDEX(UnitFactors,MATCH(F100,UnitNames,0)),""))</f>
        <v>0</v>
      </c>
      <c r="H100" s="17">
        <f>IF(F100="","",IFERROR(INDEX(UnitBases,MATCH(F100,UnitNames,0)),"?"))</f>
        <v>0</v>
      </c>
      <c r="L100" s="18">
        <f>IF(B100="","",IFERROR(INDEX(Ingredients!$Z$5:$Z$304,MATCH(B100,Ingredients!$B$5:$B$304,0)),"Add to Ingredients"))</f>
        <v>0</v>
      </c>
      <c r="M100" s="19">
        <f>IF(K100&lt;&gt;"",K100,IF(OR(J100="",L100="",NOT(ISNUMBER(L100))),"",J100+L100))</f>
        <v>0</v>
      </c>
      <c r="N100" s="18">
        <f>IF(M100="","",M100-TODAY())</f>
        <v>0</v>
      </c>
      <c r="O100" s="25">
        <f>IF(B100="","",IFERROR(INDEX(Ingredients!$J$5:$J$304,MATCH(B100,Ingredients!$B$5:$B$304,0)),"Add to Ingredients"))</f>
        <v>0</v>
      </c>
      <c r="P100" s="25">
        <f>IF(OR(G100="",O100="",NOT(ISNUMBER(O100))),"",G100*O100)</f>
        <v>0</v>
      </c>
      <c r="R100" s="45">
        <f>IF(B100="","",IFERROR(INDEX(Ingredients!$AG$5:$AG$304,MATCH(B100,Ingredients!$B$5:$B$304,0)),0))</f>
        <v>0</v>
      </c>
      <c r="S100" s="45">
        <f>IF(G100="","",G100-IF(R100="",0,R100))</f>
        <v>0</v>
      </c>
      <c r="U100" s="18">
        <f>IF(OR(B100="",D100&lt;&gt;"Fridge",NOT(ISNUMBER(N100))),"",COUNTIFS($D$5:$D$304,"Fridge",$N$5:$N$304,"&lt;"&amp;N100)+COUNTIFS($D$5:D100,"Fridge",$N$5:N100,N100))</f>
        <v>0</v>
      </c>
      <c r="V100" s="18">
        <f>IF(OR(B100="",D100&lt;&gt;"Freezer",NOT(ISNUMBER(N100))),"",COUNTIFS($D$5:$D$304,"Freezer",$N$5:$N$304,"&lt;"&amp;N100)+COUNTIFS($D$5:D100,"Freezer",$N$5:N100,N100))</f>
        <v>0</v>
      </c>
      <c r="W100" s="31">
        <f>IF(B100="","",IF(G100=0,"Out of stock",IF(AND(N100&lt;&gt;"",N100&lt;0),"Expired",IF(AND(N100&lt;&gt;"",N100&lt;=ExpiryWarningDays),"Use soon",IF(AND(Q100&lt;&gt;"",G100&lt;Q100),"Low stock","In stock")))))</f>
        <v>0</v>
      </c>
      <c r="X100" s="31">
        <f>IF(B100="","",IF(W100="Expired","Expired - bin it and log it on the Food Waste tab",IF(W100="Use soon","Use soon - plan a meal with it",IF(W100="Out of stock",IF(T100="Yes","Missing - staple has run out","Add - restock when convenient"),IF(W100="Low stock","Check - running low",IF(S100&lt;0,"Check - the plan needs more than you have","OK"))))))</f>
        <v>0</v>
      </c>
    </row>
    <row r="101" spans="1:24">
      <c r="A101" s="39">
        <f>IF(B101="","",PantryPrefix&amp;TEXT(ROW()-4,"0000"))</f>
        <v>0</v>
      </c>
      <c r="C101" s="17">
        <f>IF(B101="","",IFERROR(INDEX(Ingredients!$C$5:$C$304,MATCH(B101,Ingredients!$B$5:$B$304,0)),"Add to Ingredients"))</f>
        <v>0</v>
      </c>
      <c r="G101" s="45">
        <f>IF(E101="","",IFERROR(E101*INDEX(UnitFactors,MATCH(F101,UnitNames,0)),""))</f>
        <v>0</v>
      </c>
      <c r="H101" s="17">
        <f>IF(F101="","",IFERROR(INDEX(UnitBases,MATCH(F101,UnitNames,0)),"?"))</f>
        <v>0</v>
      </c>
      <c r="L101" s="18">
        <f>IF(B101="","",IFERROR(INDEX(Ingredients!$Z$5:$Z$304,MATCH(B101,Ingredients!$B$5:$B$304,0)),"Add to Ingredients"))</f>
        <v>0</v>
      </c>
      <c r="M101" s="19">
        <f>IF(K101&lt;&gt;"",K101,IF(OR(J101="",L101="",NOT(ISNUMBER(L101))),"",J101+L101))</f>
        <v>0</v>
      </c>
      <c r="N101" s="18">
        <f>IF(M101="","",M101-TODAY())</f>
        <v>0</v>
      </c>
      <c r="O101" s="25">
        <f>IF(B101="","",IFERROR(INDEX(Ingredients!$J$5:$J$304,MATCH(B101,Ingredients!$B$5:$B$304,0)),"Add to Ingredients"))</f>
        <v>0</v>
      </c>
      <c r="P101" s="25">
        <f>IF(OR(G101="",O101="",NOT(ISNUMBER(O101))),"",G101*O101)</f>
        <v>0</v>
      </c>
      <c r="R101" s="45">
        <f>IF(B101="","",IFERROR(INDEX(Ingredients!$AG$5:$AG$304,MATCH(B101,Ingredients!$B$5:$B$304,0)),0))</f>
        <v>0</v>
      </c>
      <c r="S101" s="45">
        <f>IF(G101="","",G101-IF(R101="",0,R101))</f>
        <v>0</v>
      </c>
      <c r="U101" s="18">
        <f>IF(OR(B101="",D101&lt;&gt;"Fridge",NOT(ISNUMBER(N101))),"",COUNTIFS($D$5:$D$304,"Fridge",$N$5:$N$304,"&lt;"&amp;N101)+COUNTIFS($D$5:D101,"Fridge",$N$5:N101,N101))</f>
        <v>0</v>
      </c>
      <c r="V101" s="18">
        <f>IF(OR(B101="",D101&lt;&gt;"Freezer",NOT(ISNUMBER(N101))),"",COUNTIFS($D$5:$D$304,"Freezer",$N$5:$N$304,"&lt;"&amp;N101)+COUNTIFS($D$5:D101,"Freezer",$N$5:N101,N101))</f>
        <v>0</v>
      </c>
      <c r="W101" s="31">
        <f>IF(B101="","",IF(G101=0,"Out of stock",IF(AND(N101&lt;&gt;"",N101&lt;0),"Expired",IF(AND(N101&lt;&gt;"",N101&lt;=ExpiryWarningDays),"Use soon",IF(AND(Q101&lt;&gt;"",G101&lt;Q101),"Low stock","In stock")))))</f>
        <v>0</v>
      </c>
      <c r="X101" s="31">
        <f>IF(B101="","",IF(W101="Expired","Expired - bin it and log it on the Food Waste tab",IF(W101="Use soon","Use soon - plan a meal with it",IF(W101="Out of stock",IF(T101="Yes","Missing - staple has run out","Add - restock when convenient"),IF(W101="Low stock","Check - running low",IF(S101&lt;0,"Check - the plan needs more than you have","OK"))))))</f>
        <v>0</v>
      </c>
    </row>
    <row r="102" spans="1:24">
      <c r="A102" s="39">
        <f>IF(B102="","",PantryPrefix&amp;TEXT(ROW()-4,"0000"))</f>
        <v>0</v>
      </c>
      <c r="C102" s="17">
        <f>IF(B102="","",IFERROR(INDEX(Ingredients!$C$5:$C$304,MATCH(B102,Ingredients!$B$5:$B$304,0)),"Add to Ingredients"))</f>
        <v>0</v>
      </c>
      <c r="G102" s="45">
        <f>IF(E102="","",IFERROR(E102*INDEX(UnitFactors,MATCH(F102,UnitNames,0)),""))</f>
        <v>0</v>
      </c>
      <c r="H102" s="17">
        <f>IF(F102="","",IFERROR(INDEX(UnitBases,MATCH(F102,UnitNames,0)),"?"))</f>
        <v>0</v>
      </c>
      <c r="L102" s="18">
        <f>IF(B102="","",IFERROR(INDEX(Ingredients!$Z$5:$Z$304,MATCH(B102,Ingredients!$B$5:$B$304,0)),"Add to Ingredients"))</f>
        <v>0</v>
      </c>
      <c r="M102" s="19">
        <f>IF(K102&lt;&gt;"",K102,IF(OR(J102="",L102="",NOT(ISNUMBER(L102))),"",J102+L102))</f>
        <v>0</v>
      </c>
      <c r="N102" s="18">
        <f>IF(M102="","",M102-TODAY())</f>
        <v>0</v>
      </c>
      <c r="O102" s="25">
        <f>IF(B102="","",IFERROR(INDEX(Ingredients!$J$5:$J$304,MATCH(B102,Ingredients!$B$5:$B$304,0)),"Add to Ingredients"))</f>
        <v>0</v>
      </c>
      <c r="P102" s="25">
        <f>IF(OR(G102="",O102="",NOT(ISNUMBER(O102))),"",G102*O102)</f>
        <v>0</v>
      </c>
      <c r="R102" s="45">
        <f>IF(B102="","",IFERROR(INDEX(Ingredients!$AG$5:$AG$304,MATCH(B102,Ingredients!$B$5:$B$304,0)),0))</f>
        <v>0</v>
      </c>
      <c r="S102" s="45">
        <f>IF(G102="","",G102-IF(R102="",0,R102))</f>
        <v>0</v>
      </c>
      <c r="U102" s="18">
        <f>IF(OR(B102="",D102&lt;&gt;"Fridge",NOT(ISNUMBER(N102))),"",COUNTIFS($D$5:$D$304,"Fridge",$N$5:$N$304,"&lt;"&amp;N102)+COUNTIFS($D$5:D102,"Fridge",$N$5:N102,N102))</f>
        <v>0</v>
      </c>
      <c r="V102" s="18">
        <f>IF(OR(B102="",D102&lt;&gt;"Freezer",NOT(ISNUMBER(N102))),"",COUNTIFS($D$5:$D$304,"Freezer",$N$5:$N$304,"&lt;"&amp;N102)+COUNTIFS($D$5:D102,"Freezer",$N$5:N102,N102))</f>
        <v>0</v>
      </c>
      <c r="W102" s="31">
        <f>IF(B102="","",IF(G102=0,"Out of stock",IF(AND(N102&lt;&gt;"",N102&lt;0),"Expired",IF(AND(N102&lt;&gt;"",N102&lt;=ExpiryWarningDays),"Use soon",IF(AND(Q102&lt;&gt;"",G102&lt;Q102),"Low stock","In stock")))))</f>
        <v>0</v>
      </c>
      <c r="X102" s="31">
        <f>IF(B102="","",IF(W102="Expired","Expired - bin it and log it on the Food Waste tab",IF(W102="Use soon","Use soon - plan a meal with it",IF(W102="Out of stock",IF(T102="Yes","Missing - staple has run out","Add - restock when convenient"),IF(W102="Low stock","Check - running low",IF(S102&lt;0,"Check - the plan needs more than you have","OK"))))))</f>
        <v>0</v>
      </c>
    </row>
    <row r="103" spans="1:24">
      <c r="A103" s="39">
        <f>IF(B103="","",PantryPrefix&amp;TEXT(ROW()-4,"0000"))</f>
        <v>0</v>
      </c>
      <c r="C103" s="17">
        <f>IF(B103="","",IFERROR(INDEX(Ingredients!$C$5:$C$304,MATCH(B103,Ingredients!$B$5:$B$304,0)),"Add to Ingredients"))</f>
        <v>0</v>
      </c>
      <c r="G103" s="45">
        <f>IF(E103="","",IFERROR(E103*INDEX(UnitFactors,MATCH(F103,UnitNames,0)),""))</f>
        <v>0</v>
      </c>
      <c r="H103" s="17">
        <f>IF(F103="","",IFERROR(INDEX(UnitBases,MATCH(F103,UnitNames,0)),"?"))</f>
        <v>0</v>
      </c>
      <c r="L103" s="18">
        <f>IF(B103="","",IFERROR(INDEX(Ingredients!$Z$5:$Z$304,MATCH(B103,Ingredients!$B$5:$B$304,0)),"Add to Ingredients"))</f>
        <v>0</v>
      </c>
      <c r="M103" s="19">
        <f>IF(K103&lt;&gt;"",K103,IF(OR(J103="",L103="",NOT(ISNUMBER(L103))),"",J103+L103))</f>
        <v>0</v>
      </c>
      <c r="N103" s="18">
        <f>IF(M103="","",M103-TODAY())</f>
        <v>0</v>
      </c>
      <c r="O103" s="25">
        <f>IF(B103="","",IFERROR(INDEX(Ingredients!$J$5:$J$304,MATCH(B103,Ingredients!$B$5:$B$304,0)),"Add to Ingredients"))</f>
        <v>0</v>
      </c>
      <c r="P103" s="25">
        <f>IF(OR(G103="",O103="",NOT(ISNUMBER(O103))),"",G103*O103)</f>
        <v>0</v>
      </c>
      <c r="R103" s="45">
        <f>IF(B103="","",IFERROR(INDEX(Ingredients!$AG$5:$AG$304,MATCH(B103,Ingredients!$B$5:$B$304,0)),0))</f>
        <v>0</v>
      </c>
      <c r="S103" s="45">
        <f>IF(G103="","",G103-IF(R103="",0,R103))</f>
        <v>0</v>
      </c>
      <c r="U103" s="18">
        <f>IF(OR(B103="",D103&lt;&gt;"Fridge",NOT(ISNUMBER(N103))),"",COUNTIFS($D$5:$D$304,"Fridge",$N$5:$N$304,"&lt;"&amp;N103)+COUNTIFS($D$5:D103,"Fridge",$N$5:N103,N103))</f>
        <v>0</v>
      </c>
      <c r="V103" s="18">
        <f>IF(OR(B103="",D103&lt;&gt;"Freezer",NOT(ISNUMBER(N103))),"",COUNTIFS($D$5:$D$304,"Freezer",$N$5:$N$304,"&lt;"&amp;N103)+COUNTIFS($D$5:D103,"Freezer",$N$5:N103,N103))</f>
        <v>0</v>
      </c>
      <c r="W103" s="31">
        <f>IF(B103="","",IF(G103=0,"Out of stock",IF(AND(N103&lt;&gt;"",N103&lt;0),"Expired",IF(AND(N103&lt;&gt;"",N103&lt;=ExpiryWarningDays),"Use soon",IF(AND(Q103&lt;&gt;"",G103&lt;Q103),"Low stock","In stock")))))</f>
        <v>0</v>
      </c>
      <c r="X103" s="31">
        <f>IF(B103="","",IF(W103="Expired","Expired - bin it and log it on the Food Waste tab",IF(W103="Use soon","Use soon - plan a meal with it",IF(W103="Out of stock",IF(T103="Yes","Missing - staple has run out","Add - restock when convenient"),IF(W103="Low stock","Check - running low",IF(S103&lt;0,"Check - the plan needs more than you have","OK"))))))</f>
        <v>0</v>
      </c>
    </row>
    <row r="104" spans="1:24">
      <c r="A104" s="39">
        <f>IF(B104="","",PantryPrefix&amp;TEXT(ROW()-4,"0000"))</f>
        <v>0</v>
      </c>
      <c r="C104" s="17">
        <f>IF(B104="","",IFERROR(INDEX(Ingredients!$C$5:$C$304,MATCH(B104,Ingredients!$B$5:$B$304,0)),"Add to Ingredients"))</f>
        <v>0</v>
      </c>
      <c r="G104" s="45">
        <f>IF(E104="","",IFERROR(E104*INDEX(UnitFactors,MATCH(F104,UnitNames,0)),""))</f>
        <v>0</v>
      </c>
      <c r="H104" s="17">
        <f>IF(F104="","",IFERROR(INDEX(UnitBases,MATCH(F104,UnitNames,0)),"?"))</f>
        <v>0</v>
      </c>
      <c r="L104" s="18">
        <f>IF(B104="","",IFERROR(INDEX(Ingredients!$Z$5:$Z$304,MATCH(B104,Ingredients!$B$5:$B$304,0)),"Add to Ingredients"))</f>
        <v>0</v>
      </c>
      <c r="M104" s="19">
        <f>IF(K104&lt;&gt;"",K104,IF(OR(J104="",L104="",NOT(ISNUMBER(L104))),"",J104+L104))</f>
        <v>0</v>
      </c>
      <c r="N104" s="18">
        <f>IF(M104="","",M104-TODAY())</f>
        <v>0</v>
      </c>
      <c r="O104" s="25">
        <f>IF(B104="","",IFERROR(INDEX(Ingredients!$J$5:$J$304,MATCH(B104,Ingredients!$B$5:$B$304,0)),"Add to Ingredients"))</f>
        <v>0</v>
      </c>
      <c r="P104" s="25">
        <f>IF(OR(G104="",O104="",NOT(ISNUMBER(O104))),"",G104*O104)</f>
        <v>0</v>
      </c>
      <c r="R104" s="45">
        <f>IF(B104="","",IFERROR(INDEX(Ingredients!$AG$5:$AG$304,MATCH(B104,Ingredients!$B$5:$B$304,0)),0))</f>
        <v>0</v>
      </c>
      <c r="S104" s="45">
        <f>IF(G104="","",G104-IF(R104="",0,R104))</f>
        <v>0</v>
      </c>
      <c r="U104" s="18">
        <f>IF(OR(B104="",D104&lt;&gt;"Fridge",NOT(ISNUMBER(N104))),"",COUNTIFS($D$5:$D$304,"Fridge",$N$5:$N$304,"&lt;"&amp;N104)+COUNTIFS($D$5:D104,"Fridge",$N$5:N104,N104))</f>
        <v>0</v>
      </c>
      <c r="V104" s="18">
        <f>IF(OR(B104="",D104&lt;&gt;"Freezer",NOT(ISNUMBER(N104))),"",COUNTIFS($D$5:$D$304,"Freezer",$N$5:$N$304,"&lt;"&amp;N104)+COUNTIFS($D$5:D104,"Freezer",$N$5:N104,N104))</f>
        <v>0</v>
      </c>
      <c r="W104" s="31">
        <f>IF(B104="","",IF(G104=0,"Out of stock",IF(AND(N104&lt;&gt;"",N104&lt;0),"Expired",IF(AND(N104&lt;&gt;"",N104&lt;=ExpiryWarningDays),"Use soon",IF(AND(Q104&lt;&gt;"",G104&lt;Q104),"Low stock","In stock")))))</f>
        <v>0</v>
      </c>
      <c r="X104" s="31">
        <f>IF(B104="","",IF(W104="Expired","Expired - bin it and log it on the Food Waste tab",IF(W104="Use soon","Use soon - plan a meal with it",IF(W104="Out of stock",IF(T104="Yes","Missing - staple has run out","Add - restock when convenient"),IF(W104="Low stock","Check - running low",IF(S104&lt;0,"Check - the plan needs more than you have","OK"))))))</f>
        <v>0</v>
      </c>
    </row>
    <row r="105" spans="1:24">
      <c r="A105" s="39">
        <f>IF(B105="","",PantryPrefix&amp;TEXT(ROW()-4,"0000"))</f>
        <v>0</v>
      </c>
      <c r="C105" s="17">
        <f>IF(B105="","",IFERROR(INDEX(Ingredients!$C$5:$C$304,MATCH(B105,Ingredients!$B$5:$B$304,0)),"Add to Ingredients"))</f>
        <v>0</v>
      </c>
      <c r="G105" s="45">
        <f>IF(E105="","",IFERROR(E105*INDEX(UnitFactors,MATCH(F105,UnitNames,0)),""))</f>
        <v>0</v>
      </c>
      <c r="H105" s="17">
        <f>IF(F105="","",IFERROR(INDEX(UnitBases,MATCH(F105,UnitNames,0)),"?"))</f>
        <v>0</v>
      </c>
      <c r="L105" s="18">
        <f>IF(B105="","",IFERROR(INDEX(Ingredients!$Z$5:$Z$304,MATCH(B105,Ingredients!$B$5:$B$304,0)),"Add to Ingredients"))</f>
        <v>0</v>
      </c>
      <c r="M105" s="19">
        <f>IF(K105&lt;&gt;"",K105,IF(OR(J105="",L105="",NOT(ISNUMBER(L105))),"",J105+L105))</f>
        <v>0</v>
      </c>
      <c r="N105" s="18">
        <f>IF(M105="","",M105-TODAY())</f>
        <v>0</v>
      </c>
      <c r="O105" s="25">
        <f>IF(B105="","",IFERROR(INDEX(Ingredients!$J$5:$J$304,MATCH(B105,Ingredients!$B$5:$B$304,0)),"Add to Ingredients"))</f>
        <v>0</v>
      </c>
      <c r="P105" s="25">
        <f>IF(OR(G105="",O105="",NOT(ISNUMBER(O105))),"",G105*O105)</f>
        <v>0</v>
      </c>
      <c r="R105" s="45">
        <f>IF(B105="","",IFERROR(INDEX(Ingredients!$AG$5:$AG$304,MATCH(B105,Ingredients!$B$5:$B$304,0)),0))</f>
        <v>0</v>
      </c>
      <c r="S105" s="45">
        <f>IF(G105="","",G105-IF(R105="",0,R105))</f>
        <v>0</v>
      </c>
      <c r="U105" s="18">
        <f>IF(OR(B105="",D105&lt;&gt;"Fridge",NOT(ISNUMBER(N105))),"",COUNTIFS($D$5:$D$304,"Fridge",$N$5:$N$304,"&lt;"&amp;N105)+COUNTIFS($D$5:D105,"Fridge",$N$5:N105,N105))</f>
        <v>0</v>
      </c>
      <c r="V105" s="18">
        <f>IF(OR(B105="",D105&lt;&gt;"Freezer",NOT(ISNUMBER(N105))),"",COUNTIFS($D$5:$D$304,"Freezer",$N$5:$N$304,"&lt;"&amp;N105)+COUNTIFS($D$5:D105,"Freezer",$N$5:N105,N105))</f>
        <v>0</v>
      </c>
      <c r="W105" s="31">
        <f>IF(B105="","",IF(G105=0,"Out of stock",IF(AND(N105&lt;&gt;"",N105&lt;0),"Expired",IF(AND(N105&lt;&gt;"",N105&lt;=ExpiryWarningDays),"Use soon",IF(AND(Q105&lt;&gt;"",G105&lt;Q105),"Low stock","In stock")))))</f>
        <v>0</v>
      </c>
      <c r="X105" s="31">
        <f>IF(B105="","",IF(W105="Expired","Expired - bin it and log it on the Food Waste tab",IF(W105="Use soon","Use soon - plan a meal with it",IF(W105="Out of stock",IF(T105="Yes","Missing - staple has run out","Add - restock when convenient"),IF(W105="Low stock","Check - running low",IF(S105&lt;0,"Check - the plan needs more than you have","OK"))))))</f>
        <v>0</v>
      </c>
    </row>
    <row r="106" spans="1:24">
      <c r="A106" s="39">
        <f>IF(B106="","",PantryPrefix&amp;TEXT(ROW()-4,"0000"))</f>
        <v>0</v>
      </c>
      <c r="C106" s="17">
        <f>IF(B106="","",IFERROR(INDEX(Ingredients!$C$5:$C$304,MATCH(B106,Ingredients!$B$5:$B$304,0)),"Add to Ingredients"))</f>
        <v>0</v>
      </c>
      <c r="G106" s="45">
        <f>IF(E106="","",IFERROR(E106*INDEX(UnitFactors,MATCH(F106,UnitNames,0)),""))</f>
        <v>0</v>
      </c>
      <c r="H106" s="17">
        <f>IF(F106="","",IFERROR(INDEX(UnitBases,MATCH(F106,UnitNames,0)),"?"))</f>
        <v>0</v>
      </c>
      <c r="L106" s="18">
        <f>IF(B106="","",IFERROR(INDEX(Ingredients!$Z$5:$Z$304,MATCH(B106,Ingredients!$B$5:$B$304,0)),"Add to Ingredients"))</f>
        <v>0</v>
      </c>
      <c r="M106" s="19">
        <f>IF(K106&lt;&gt;"",K106,IF(OR(J106="",L106="",NOT(ISNUMBER(L106))),"",J106+L106))</f>
        <v>0</v>
      </c>
      <c r="N106" s="18">
        <f>IF(M106="","",M106-TODAY())</f>
        <v>0</v>
      </c>
      <c r="O106" s="25">
        <f>IF(B106="","",IFERROR(INDEX(Ingredients!$J$5:$J$304,MATCH(B106,Ingredients!$B$5:$B$304,0)),"Add to Ingredients"))</f>
        <v>0</v>
      </c>
      <c r="P106" s="25">
        <f>IF(OR(G106="",O106="",NOT(ISNUMBER(O106))),"",G106*O106)</f>
        <v>0</v>
      </c>
      <c r="R106" s="45">
        <f>IF(B106="","",IFERROR(INDEX(Ingredients!$AG$5:$AG$304,MATCH(B106,Ingredients!$B$5:$B$304,0)),0))</f>
        <v>0</v>
      </c>
      <c r="S106" s="45">
        <f>IF(G106="","",G106-IF(R106="",0,R106))</f>
        <v>0</v>
      </c>
      <c r="U106" s="18">
        <f>IF(OR(B106="",D106&lt;&gt;"Fridge",NOT(ISNUMBER(N106))),"",COUNTIFS($D$5:$D$304,"Fridge",$N$5:$N$304,"&lt;"&amp;N106)+COUNTIFS($D$5:D106,"Fridge",$N$5:N106,N106))</f>
        <v>0</v>
      </c>
      <c r="V106" s="18">
        <f>IF(OR(B106="",D106&lt;&gt;"Freezer",NOT(ISNUMBER(N106))),"",COUNTIFS($D$5:$D$304,"Freezer",$N$5:$N$304,"&lt;"&amp;N106)+COUNTIFS($D$5:D106,"Freezer",$N$5:N106,N106))</f>
        <v>0</v>
      </c>
      <c r="W106" s="31">
        <f>IF(B106="","",IF(G106=0,"Out of stock",IF(AND(N106&lt;&gt;"",N106&lt;0),"Expired",IF(AND(N106&lt;&gt;"",N106&lt;=ExpiryWarningDays),"Use soon",IF(AND(Q106&lt;&gt;"",G106&lt;Q106),"Low stock","In stock")))))</f>
        <v>0</v>
      </c>
      <c r="X106" s="31">
        <f>IF(B106="","",IF(W106="Expired","Expired - bin it and log it on the Food Waste tab",IF(W106="Use soon","Use soon - plan a meal with it",IF(W106="Out of stock",IF(T106="Yes","Missing - staple has run out","Add - restock when convenient"),IF(W106="Low stock","Check - running low",IF(S106&lt;0,"Check - the plan needs more than you have","OK"))))))</f>
        <v>0</v>
      </c>
    </row>
    <row r="107" spans="1:24">
      <c r="A107" s="39">
        <f>IF(B107="","",PantryPrefix&amp;TEXT(ROW()-4,"0000"))</f>
        <v>0</v>
      </c>
      <c r="C107" s="17">
        <f>IF(B107="","",IFERROR(INDEX(Ingredients!$C$5:$C$304,MATCH(B107,Ingredients!$B$5:$B$304,0)),"Add to Ingredients"))</f>
        <v>0</v>
      </c>
      <c r="G107" s="45">
        <f>IF(E107="","",IFERROR(E107*INDEX(UnitFactors,MATCH(F107,UnitNames,0)),""))</f>
        <v>0</v>
      </c>
      <c r="H107" s="17">
        <f>IF(F107="","",IFERROR(INDEX(UnitBases,MATCH(F107,UnitNames,0)),"?"))</f>
        <v>0</v>
      </c>
      <c r="L107" s="18">
        <f>IF(B107="","",IFERROR(INDEX(Ingredients!$Z$5:$Z$304,MATCH(B107,Ingredients!$B$5:$B$304,0)),"Add to Ingredients"))</f>
        <v>0</v>
      </c>
      <c r="M107" s="19">
        <f>IF(K107&lt;&gt;"",K107,IF(OR(J107="",L107="",NOT(ISNUMBER(L107))),"",J107+L107))</f>
        <v>0</v>
      </c>
      <c r="N107" s="18">
        <f>IF(M107="","",M107-TODAY())</f>
        <v>0</v>
      </c>
      <c r="O107" s="25">
        <f>IF(B107="","",IFERROR(INDEX(Ingredients!$J$5:$J$304,MATCH(B107,Ingredients!$B$5:$B$304,0)),"Add to Ingredients"))</f>
        <v>0</v>
      </c>
      <c r="P107" s="25">
        <f>IF(OR(G107="",O107="",NOT(ISNUMBER(O107))),"",G107*O107)</f>
        <v>0</v>
      </c>
      <c r="R107" s="45">
        <f>IF(B107="","",IFERROR(INDEX(Ingredients!$AG$5:$AG$304,MATCH(B107,Ingredients!$B$5:$B$304,0)),0))</f>
        <v>0</v>
      </c>
      <c r="S107" s="45">
        <f>IF(G107="","",G107-IF(R107="",0,R107))</f>
        <v>0</v>
      </c>
      <c r="U107" s="18">
        <f>IF(OR(B107="",D107&lt;&gt;"Fridge",NOT(ISNUMBER(N107))),"",COUNTIFS($D$5:$D$304,"Fridge",$N$5:$N$304,"&lt;"&amp;N107)+COUNTIFS($D$5:D107,"Fridge",$N$5:N107,N107))</f>
        <v>0</v>
      </c>
      <c r="V107" s="18">
        <f>IF(OR(B107="",D107&lt;&gt;"Freezer",NOT(ISNUMBER(N107))),"",COUNTIFS($D$5:$D$304,"Freezer",$N$5:$N$304,"&lt;"&amp;N107)+COUNTIFS($D$5:D107,"Freezer",$N$5:N107,N107))</f>
        <v>0</v>
      </c>
      <c r="W107" s="31">
        <f>IF(B107="","",IF(G107=0,"Out of stock",IF(AND(N107&lt;&gt;"",N107&lt;0),"Expired",IF(AND(N107&lt;&gt;"",N107&lt;=ExpiryWarningDays),"Use soon",IF(AND(Q107&lt;&gt;"",G107&lt;Q107),"Low stock","In stock")))))</f>
        <v>0</v>
      </c>
      <c r="X107" s="31">
        <f>IF(B107="","",IF(W107="Expired","Expired - bin it and log it on the Food Waste tab",IF(W107="Use soon","Use soon - plan a meal with it",IF(W107="Out of stock",IF(T107="Yes","Missing - staple has run out","Add - restock when convenient"),IF(W107="Low stock","Check - running low",IF(S107&lt;0,"Check - the plan needs more than you have","OK"))))))</f>
        <v>0</v>
      </c>
    </row>
    <row r="108" spans="1:24">
      <c r="A108" s="39">
        <f>IF(B108="","",PantryPrefix&amp;TEXT(ROW()-4,"0000"))</f>
        <v>0</v>
      </c>
      <c r="C108" s="17">
        <f>IF(B108="","",IFERROR(INDEX(Ingredients!$C$5:$C$304,MATCH(B108,Ingredients!$B$5:$B$304,0)),"Add to Ingredients"))</f>
        <v>0</v>
      </c>
      <c r="G108" s="45">
        <f>IF(E108="","",IFERROR(E108*INDEX(UnitFactors,MATCH(F108,UnitNames,0)),""))</f>
        <v>0</v>
      </c>
      <c r="H108" s="17">
        <f>IF(F108="","",IFERROR(INDEX(UnitBases,MATCH(F108,UnitNames,0)),"?"))</f>
        <v>0</v>
      </c>
      <c r="L108" s="18">
        <f>IF(B108="","",IFERROR(INDEX(Ingredients!$Z$5:$Z$304,MATCH(B108,Ingredients!$B$5:$B$304,0)),"Add to Ingredients"))</f>
        <v>0</v>
      </c>
      <c r="M108" s="19">
        <f>IF(K108&lt;&gt;"",K108,IF(OR(J108="",L108="",NOT(ISNUMBER(L108))),"",J108+L108))</f>
        <v>0</v>
      </c>
      <c r="N108" s="18">
        <f>IF(M108="","",M108-TODAY())</f>
        <v>0</v>
      </c>
      <c r="O108" s="25">
        <f>IF(B108="","",IFERROR(INDEX(Ingredients!$J$5:$J$304,MATCH(B108,Ingredients!$B$5:$B$304,0)),"Add to Ingredients"))</f>
        <v>0</v>
      </c>
      <c r="P108" s="25">
        <f>IF(OR(G108="",O108="",NOT(ISNUMBER(O108))),"",G108*O108)</f>
        <v>0</v>
      </c>
      <c r="R108" s="45">
        <f>IF(B108="","",IFERROR(INDEX(Ingredients!$AG$5:$AG$304,MATCH(B108,Ingredients!$B$5:$B$304,0)),0))</f>
        <v>0</v>
      </c>
      <c r="S108" s="45">
        <f>IF(G108="","",G108-IF(R108="",0,R108))</f>
        <v>0</v>
      </c>
      <c r="U108" s="18">
        <f>IF(OR(B108="",D108&lt;&gt;"Fridge",NOT(ISNUMBER(N108))),"",COUNTIFS($D$5:$D$304,"Fridge",$N$5:$N$304,"&lt;"&amp;N108)+COUNTIFS($D$5:D108,"Fridge",$N$5:N108,N108))</f>
        <v>0</v>
      </c>
      <c r="V108" s="18">
        <f>IF(OR(B108="",D108&lt;&gt;"Freezer",NOT(ISNUMBER(N108))),"",COUNTIFS($D$5:$D$304,"Freezer",$N$5:$N$304,"&lt;"&amp;N108)+COUNTIFS($D$5:D108,"Freezer",$N$5:N108,N108))</f>
        <v>0</v>
      </c>
      <c r="W108" s="31">
        <f>IF(B108="","",IF(G108=0,"Out of stock",IF(AND(N108&lt;&gt;"",N108&lt;0),"Expired",IF(AND(N108&lt;&gt;"",N108&lt;=ExpiryWarningDays),"Use soon",IF(AND(Q108&lt;&gt;"",G108&lt;Q108),"Low stock","In stock")))))</f>
        <v>0</v>
      </c>
      <c r="X108" s="31">
        <f>IF(B108="","",IF(W108="Expired","Expired - bin it and log it on the Food Waste tab",IF(W108="Use soon","Use soon - plan a meal with it",IF(W108="Out of stock",IF(T108="Yes","Missing - staple has run out","Add - restock when convenient"),IF(W108="Low stock","Check - running low",IF(S108&lt;0,"Check - the plan needs more than you have","OK"))))))</f>
        <v>0</v>
      </c>
    </row>
    <row r="109" spans="1:24">
      <c r="A109" s="39">
        <f>IF(B109="","",PantryPrefix&amp;TEXT(ROW()-4,"0000"))</f>
        <v>0</v>
      </c>
      <c r="C109" s="17">
        <f>IF(B109="","",IFERROR(INDEX(Ingredients!$C$5:$C$304,MATCH(B109,Ingredients!$B$5:$B$304,0)),"Add to Ingredients"))</f>
        <v>0</v>
      </c>
      <c r="G109" s="45">
        <f>IF(E109="","",IFERROR(E109*INDEX(UnitFactors,MATCH(F109,UnitNames,0)),""))</f>
        <v>0</v>
      </c>
      <c r="H109" s="17">
        <f>IF(F109="","",IFERROR(INDEX(UnitBases,MATCH(F109,UnitNames,0)),"?"))</f>
        <v>0</v>
      </c>
      <c r="L109" s="18">
        <f>IF(B109="","",IFERROR(INDEX(Ingredients!$Z$5:$Z$304,MATCH(B109,Ingredients!$B$5:$B$304,0)),"Add to Ingredients"))</f>
        <v>0</v>
      </c>
      <c r="M109" s="19">
        <f>IF(K109&lt;&gt;"",K109,IF(OR(J109="",L109="",NOT(ISNUMBER(L109))),"",J109+L109))</f>
        <v>0</v>
      </c>
      <c r="N109" s="18">
        <f>IF(M109="","",M109-TODAY())</f>
        <v>0</v>
      </c>
      <c r="O109" s="25">
        <f>IF(B109="","",IFERROR(INDEX(Ingredients!$J$5:$J$304,MATCH(B109,Ingredients!$B$5:$B$304,0)),"Add to Ingredients"))</f>
        <v>0</v>
      </c>
      <c r="P109" s="25">
        <f>IF(OR(G109="",O109="",NOT(ISNUMBER(O109))),"",G109*O109)</f>
        <v>0</v>
      </c>
      <c r="R109" s="45">
        <f>IF(B109="","",IFERROR(INDEX(Ingredients!$AG$5:$AG$304,MATCH(B109,Ingredients!$B$5:$B$304,0)),0))</f>
        <v>0</v>
      </c>
      <c r="S109" s="45">
        <f>IF(G109="","",G109-IF(R109="",0,R109))</f>
        <v>0</v>
      </c>
      <c r="U109" s="18">
        <f>IF(OR(B109="",D109&lt;&gt;"Fridge",NOT(ISNUMBER(N109))),"",COUNTIFS($D$5:$D$304,"Fridge",$N$5:$N$304,"&lt;"&amp;N109)+COUNTIFS($D$5:D109,"Fridge",$N$5:N109,N109))</f>
        <v>0</v>
      </c>
      <c r="V109" s="18">
        <f>IF(OR(B109="",D109&lt;&gt;"Freezer",NOT(ISNUMBER(N109))),"",COUNTIFS($D$5:$D$304,"Freezer",$N$5:$N$304,"&lt;"&amp;N109)+COUNTIFS($D$5:D109,"Freezer",$N$5:N109,N109))</f>
        <v>0</v>
      </c>
      <c r="W109" s="31">
        <f>IF(B109="","",IF(G109=0,"Out of stock",IF(AND(N109&lt;&gt;"",N109&lt;0),"Expired",IF(AND(N109&lt;&gt;"",N109&lt;=ExpiryWarningDays),"Use soon",IF(AND(Q109&lt;&gt;"",G109&lt;Q109),"Low stock","In stock")))))</f>
        <v>0</v>
      </c>
      <c r="X109" s="31">
        <f>IF(B109="","",IF(W109="Expired","Expired - bin it and log it on the Food Waste tab",IF(W109="Use soon","Use soon - plan a meal with it",IF(W109="Out of stock",IF(T109="Yes","Missing - staple has run out","Add - restock when convenient"),IF(W109="Low stock","Check - running low",IF(S109&lt;0,"Check - the plan needs more than you have","OK"))))))</f>
        <v>0</v>
      </c>
    </row>
    <row r="110" spans="1:24">
      <c r="A110" s="39">
        <f>IF(B110="","",PantryPrefix&amp;TEXT(ROW()-4,"0000"))</f>
        <v>0</v>
      </c>
      <c r="C110" s="17">
        <f>IF(B110="","",IFERROR(INDEX(Ingredients!$C$5:$C$304,MATCH(B110,Ingredients!$B$5:$B$304,0)),"Add to Ingredients"))</f>
        <v>0</v>
      </c>
      <c r="G110" s="45">
        <f>IF(E110="","",IFERROR(E110*INDEX(UnitFactors,MATCH(F110,UnitNames,0)),""))</f>
        <v>0</v>
      </c>
      <c r="H110" s="17">
        <f>IF(F110="","",IFERROR(INDEX(UnitBases,MATCH(F110,UnitNames,0)),"?"))</f>
        <v>0</v>
      </c>
      <c r="L110" s="18">
        <f>IF(B110="","",IFERROR(INDEX(Ingredients!$Z$5:$Z$304,MATCH(B110,Ingredients!$B$5:$B$304,0)),"Add to Ingredients"))</f>
        <v>0</v>
      </c>
      <c r="M110" s="19">
        <f>IF(K110&lt;&gt;"",K110,IF(OR(J110="",L110="",NOT(ISNUMBER(L110))),"",J110+L110))</f>
        <v>0</v>
      </c>
      <c r="N110" s="18">
        <f>IF(M110="","",M110-TODAY())</f>
        <v>0</v>
      </c>
      <c r="O110" s="25">
        <f>IF(B110="","",IFERROR(INDEX(Ingredients!$J$5:$J$304,MATCH(B110,Ingredients!$B$5:$B$304,0)),"Add to Ingredients"))</f>
        <v>0</v>
      </c>
      <c r="P110" s="25">
        <f>IF(OR(G110="",O110="",NOT(ISNUMBER(O110))),"",G110*O110)</f>
        <v>0</v>
      </c>
      <c r="R110" s="45">
        <f>IF(B110="","",IFERROR(INDEX(Ingredients!$AG$5:$AG$304,MATCH(B110,Ingredients!$B$5:$B$304,0)),0))</f>
        <v>0</v>
      </c>
      <c r="S110" s="45">
        <f>IF(G110="","",G110-IF(R110="",0,R110))</f>
        <v>0</v>
      </c>
      <c r="U110" s="18">
        <f>IF(OR(B110="",D110&lt;&gt;"Fridge",NOT(ISNUMBER(N110))),"",COUNTIFS($D$5:$D$304,"Fridge",$N$5:$N$304,"&lt;"&amp;N110)+COUNTIFS($D$5:D110,"Fridge",$N$5:N110,N110))</f>
        <v>0</v>
      </c>
      <c r="V110" s="18">
        <f>IF(OR(B110="",D110&lt;&gt;"Freezer",NOT(ISNUMBER(N110))),"",COUNTIFS($D$5:$D$304,"Freezer",$N$5:$N$304,"&lt;"&amp;N110)+COUNTIFS($D$5:D110,"Freezer",$N$5:N110,N110))</f>
        <v>0</v>
      </c>
      <c r="W110" s="31">
        <f>IF(B110="","",IF(G110=0,"Out of stock",IF(AND(N110&lt;&gt;"",N110&lt;0),"Expired",IF(AND(N110&lt;&gt;"",N110&lt;=ExpiryWarningDays),"Use soon",IF(AND(Q110&lt;&gt;"",G110&lt;Q110),"Low stock","In stock")))))</f>
        <v>0</v>
      </c>
      <c r="X110" s="31">
        <f>IF(B110="","",IF(W110="Expired","Expired - bin it and log it on the Food Waste tab",IF(W110="Use soon","Use soon - plan a meal with it",IF(W110="Out of stock",IF(T110="Yes","Missing - staple has run out","Add - restock when convenient"),IF(W110="Low stock","Check - running low",IF(S110&lt;0,"Check - the plan needs more than you have","OK"))))))</f>
        <v>0</v>
      </c>
    </row>
    <row r="111" spans="1:24">
      <c r="A111" s="39">
        <f>IF(B111="","",PantryPrefix&amp;TEXT(ROW()-4,"0000"))</f>
        <v>0</v>
      </c>
      <c r="C111" s="17">
        <f>IF(B111="","",IFERROR(INDEX(Ingredients!$C$5:$C$304,MATCH(B111,Ingredients!$B$5:$B$304,0)),"Add to Ingredients"))</f>
        <v>0</v>
      </c>
      <c r="G111" s="45">
        <f>IF(E111="","",IFERROR(E111*INDEX(UnitFactors,MATCH(F111,UnitNames,0)),""))</f>
        <v>0</v>
      </c>
      <c r="H111" s="17">
        <f>IF(F111="","",IFERROR(INDEX(UnitBases,MATCH(F111,UnitNames,0)),"?"))</f>
        <v>0</v>
      </c>
      <c r="L111" s="18">
        <f>IF(B111="","",IFERROR(INDEX(Ingredients!$Z$5:$Z$304,MATCH(B111,Ingredients!$B$5:$B$304,0)),"Add to Ingredients"))</f>
        <v>0</v>
      </c>
      <c r="M111" s="19">
        <f>IF(K111&lt;&gt;"",K111,IF(OR(J111="",L111="",NOT(ISNUMBER(L111))),"",J111+L111))</f>
        <v>0</v>
      </c>
      <c r="N111" s="18">
        <f>IF(M111="","",M111-TODAY())</f>
        <v>0</v>
      </c>
      <c r="O111" s="25">
        <f>IF(B111="","",IFERROR(INDEX(Ingredients!$J$5:$J$304,MATCH(B111,Ingredients!$B$5:$B$304,0)),"Add to Ingredients"))</f>
        <v>0</v>
      </c>
      <c r="P111" s="25">
        <f>IF(OR(G111="",O111="",NOT(ISNUMBER(O111))),"",G111*O111)</f>
        <v>0</v>
      </c>
      <c r="R111" s="45">
        <f>IF(B111="","",IFERROR(INDEX(Ingredients!$AG$5:$AG$304,MATCH(B111,Ingredients!$B$5:$B$304,0)),0))</f>
        <v>0</v>
      </c>
      <c r="S111" s="45">
        <f>IF(G111="","",G111-IF(R111="",0,R111))</f>
        <v>0</v>
      </c>
      <c r="U111" s="18">
        <f>IF(OR(B111="",D111&lt;&gt;"Fridge",NOT(ISNUMBER(N111))),"",COUNTIFS($D$5:$D$304,"Fridge",$N$5:$N$304,"&lt;"&amp;N111)+COUNTIFS($D$5:D111,"Fridge",$N$5:N111,N111))</f>
        <v>0</v>
      </c>
      <c r="V111" s="18">
        <f>IF(OR(B111="",D111&lt;&gt;"Freezer",NOT(ISNUMBER(N111))),"",COUNTIFS($D$5:$D$304,"Freezer",$N$5:$N$304,"&lt;"&amp;N111)+COUNTIFS($D$5:D111,"Freezer",$N$5:N111,N111))</f>
        <v>0</v>
      </c>
      <c r="W111" s="31">
        <f>IF(B111="","",IF(G111=0,"Out of stock",IF(AND(N111&lt;&gt;"",N111&lt;0),"Expired",IF(AND(N111&lt;&gt;"",N111&lt;=ExpiryWarningDays),"Use soon",IF(AND(Q111&lt;&gt;"",G111&lt;Q111),"Low stock","In stock")))))</f>
        <v>0</v>
      </c>
      <c r="X111" s="31">
        <f>IF(B111="","",IF(W111="Expired","Expired - bin it and log it on the Food Waste tab",IF(W111="Use soon","Use soon - plan a meal with it",IF(W111="Out of stock",IF(T111="Yes","Missing - staple has run out","Add - restock when convenient"),IF(W111="Low stock","Check - running low",IF(S111&lt;0,"Check - the plan needs more than you have","OK"))))))</f>
        <v>0</v>
      </c>
    </row>
    <row r="112" spans="1:24">
      <c r="A112" s="39">
        <f>IF(B112="","",PantryPrefix&amp;TEXT(ROW()-4,"0000"))</f>
        <v>0</v>
      </c>
      <c r="C112" s="17">
        <f>IF(B112="","",IFERROR(INDEX(Ingredients!$C$5:$C$304,MATCH(B112,Ingredients!$B$5:$B$304,0)),"Add to Ingredients"))</f>
        <v>0</v>
      </c>
      <c r="G112" s="45">
        <f>IF(E112="","",IFERROR(E112*INDEX(UnitFactors,MATCH(F112,UnitNames,0)),""))</f>
        <v>0</v>
      </c>
      <c r="H112" s="17">
        <f>IF(F112="","",IFERROR(INDEX(UnitBases,MATCH(F112,UnitNames,0)),"?"))</f>
        <v>0</v>
      </c>
      <c r="L112" s="18">
        <f>IF(B112="","",IFERROR(INDEX(Ingredients!$Z$5:$Z$304,MATCH(B112,Ingredients!$B$5:$B$304,0)),"Add to Ingredients"))</f>
        <v>0</v>
      </c>
      <c r="M112" s="19">
        <f>IF(K112&lt;&gt;"",K112,IF(OR(J112="",L112="",NOT(ISNUMBER(L112))),"",J112+L112))</f>
        <v>0</v>
      </c>
      <c r="N112" s="18">
        <f>IF(M112="","",M112-TODAY())</f>
        <v>0</v>
      </c>
      <c r="O112" s="25">
        <f>IF(B112="","",IFERROR(INDEX(Ingredients!$J$5:$J$304,MATCH(B112,Ingredients!$B$5:$B$304,0)),"Add to Ingredients"))</f>
        <v>0</v>
      </c>
      <c r="P112" s="25">
        <f>IF(OR(G112="",O112="",NOT(ISNUMBER(O112))),"",G112*O112)</f>
        <v>0</v>
      </c>
      <c r="R112" s="45">
        <f>IF(B112="","",IFERROR(INDEX(Ingredients!$AG$5:$AG$304,MATCH(B112,Ingredients!$B$5:$B$304,0)),0))</f>
        <v>0</v>
      </c>
      <c r="S112" s="45">
        <f>IF(G112="","",G112-IF(R112="",0,R112))</f>
        <v>0</v>
      </c>
      <c r="U112" s="18">
        <f>IF(OR(B112="",D112&lt;&gt;"Fridge",NOT(ISNUMBER(N112))),"",COUNTIFS($D$5:$D$304,"Fridge",$N$5:$N$304,"&lt;"&amp;N112)+COUNTIFS($D$5:D112,"Fridge",$N$5:N112,N112))</f>
        <v>0</v>
      </c>
      <c r="V112" s="18">
        <f>IF(OR(B112="",D112&lt;&gt;"Freezer",NOT(ISNUMBER(N112))),"",COUNTIFS($D$5:$D$304,"Freezer",$N$5:$N$304,"&lt;"&amp;N112)+COUNTIFS($D$5:D112,"Freezer",$N$5:N112,N112))</f>
        <v>0</v>
      </c>
      <c r="W112" s="31">
        <f>IF(B112="","",IF(G112=0,"Out of stock",IF(AND(N112&lt;&gt;"",N112&lt;0),"Expired",IF(AND(N112&lt;&gt;"",N112&lt;=ExpiryWarningDays),"Use soon",IF(AND(Q112&lt;&gt;"",G112&lt;Q112),"Low stock","In stock")))))</f>
        <v>0</v>
      </c>
      <c r="X112" s="31">
        <f>IF(B112="","",IF(W112="Expired","Expired - bin it and log it on the Food Waste tab",IF(W112="Use soon","Use soon - plan a meal with it",IF(W112="Out of stock",IF(T112="Yes","Missing - staple has run out","Add - restock when convenient"),IF(W112="Low stock","Check - running low",IF(S112&lt;0,"Check - the plan needs more than you have","OK"))))))</f>
        <v>0</v>
      </c>
    </row>
    <row r="113" spans="1:24">
      <c r="A113" s="39">
        <f>IF(B113="","",PantryPrefix&amp;TEXT(ROW()-4,"0000"))</f>
        <v>0</v>
      </c>
      <c r="C113" s="17">
        <f>IF(B113="","",IFERROR(INDEX(Ingredients!$C$5:$C$304,MATCH(B113,Ingredients!$B$5:$B$304,0)),"Add to Ingredients"))</f>
        <v>0</v>
      </c>
      <c r="G113" s="45">
        <f>IF(E113="","",IFERROR(E113*INDEX(UnitFactors,MATCH(F113,UnitNames,0)),""))</f>
        <v>0</v>
      </c>
      <c r="H113" s="17">
        <f>IF(F113="","",IFERROR(INDEX(UnitBases,MATCH(F113,UnitNames,0)),"?"))</f>
        <v>0</v>
      </c>
      <c r="L113" s="18">
        <f>IF(B113="","",IFERROR(INDEX(Ingredients!$Z$5:$Z$304,MATCH(B113,Ingredients!$B$5:$B$304,0)),"Add to Ingredients"))</f>
        <v>0</v>
      </c>
      <c r="M113" s="19">
        <f>IF(K113&lt;&gt;"",K113,IF(OR(J113="",L113="",NOT(ISNUMBER(L113))),"",J113+L113))</f>
        <v>0</v>
      </c>
      <c r="N113" s="18">
        <f>IF(M113="","",M113-TODAY())</f>
        <v>0</v>
      </c>
      <c r="O113" s="25">
        <f>IF(B113="","",IFERROR(INDEX(Ingredients!$J$5:$J$304,MATCH(B113,Ingredients!$B$5:$B$304,0)),"Add to Ingredients"))</f>
        <v>0</v>
      </c>
      <c r="P113" s="25">
        <f>IF(OR(G113="",O113="",NOT(ISNUMBER(O113))),"",G113*O113)</f>
        <v>0</v>
      </c>
      <c r="R113" s="45">
        <f>IF(B113="","",IFERROR(INDEX(Ingredients!$AG$5:$AG$304,MATCH(B113,Ingredients!$B$5:$B$304,0)),0))</f>
        <v>0</v>
      </c>
      <c r="S113" s="45">
        <f>IF(G113="","",G113-IF(R113="",0,R113))</f>
        <v>0</v>
      </c>
      <c r="U113" s="18">
        <f>IF(OR(B113="",D113&lt;&gt;"Fridge",NOT(ISNUMBER(N113))),"",COUNTIFS($D$5:$D$304,"Fridge",$N$5:$N$304,"&lt;"&amp;N113)+COUNTIFS($D$5:D113,"Fridge",$N$5:N113,N113))</f>
        <v>0</v>
      </c>
      <c r="V113" s="18">
        <f>IF(OR(B113="",D113&lt;&gt;"Freezer",NOT(ISNUMBER(N113))),"",COUNTIFS($D$5:$D$304,"Freezer",$N$5:$N$304,"&lt;"&amp;N113)+COUNTIFS($D$5:D113,"Freezer",$N$5:N113,N113))</f>
        <v>0</v>
      </c>
      <c r="W113" s="31">
        <f>IF(B113="","",IF(G113=0,"Out of stock",IF(AND(N113&lt;&gt;"",N113&lt;0),"Expired",IF(AND(N113&lt;&gt;"",N113&lt;=ExpiryWarningDays),"Use soon",IF(AND(Q113&lt;&gt;"",G113&lt;Q113),"Low stock","In stock")))))</f>
        <v>0</v>
      </c>
      <c r="X113" s="31">
        <f>IF(B113="","",IF(W113="Expired","Expired - bin it and log it on the Food Waste tab",IF(W113="Use soon","Use soon - plan a meal with it",IF(W113="Out of stock",IF(T113="Yes","Missing - staple has run out","Add - restock when convenient"),IF(W113="Low stock","Check - running low",IF(S113&lt;0,"Check - the plan needs more than you have","OK"))))))</f>
        <v>0</v>
      </c>
    </row>
    <row r="114" spans="1:24">
      <c r="A114" s="39">
        <f>IF(B114="","",PantryPrefix&amp;TEXT(ROW()-4,"0000"))</f>
        <v>0</v>
      </c>
      <c r="C114" s="17">
        <f>IF(B114="","",IFERROR(INDEX(Ingredients!$C$5:$C$304,MATCH(B114,Ingredients!$B$5:$B$304,0)),"Add to Ingredients"))</f>
        <v>0</v>
      </c>
      <c r="G114" s="45">
        <f>IF(E114="","",IFERROR(E114*INDEX(UnitFactors,MATCH(F114,UnitNames,0)),""))</f>
        <v>0</v>
      </c>
      <c r="H114" s="17">
        <f>IF(F114="","",IFERROR(INDEX(UnitBases,MATCH(F114,UnitNames,0)),"?"))</f>
        <v>0</v>
      </c>
      <c r="L114" s="18">
        <f>IF(B114="","",IFERROR(INDEX(Ingredients!$Z$5:$Z$304,MATCH(B114,Ingredients!$B$5:$B$304,0)),"Add to Ingredients"))</f>
        <v>0</v>
      </c>
      <c r="M114" s="19">
        <f>IF(K114&lt;&gt;"",K114,IF(OR(J114="",L114="",NOT(ISNUMBER(L114))),"",J114+L114))</f>
        <v>0</v>
      </c>
      <c r="N114" s="18">
        <f>IF(M114="","",M114-TODAY())</f>
        <v>0</v>
      </c>
      <c r="O114" s="25">
        <f>IF(B114="","",IFERROR(INDEX(Ingredients!$J$5:$J$304,MATCH(B114,Ingredients!$B$5:$B$304,0)),"Add to Ingredients"))</f>
        <v>0</v>
      </c>
      <c r="P114" s="25">
        <f>IF(OR(G114="",O114="",NOT(ISNUMBER(O114))),"",G114*O114)</f>
        <v>0</v>
      </c>
      <c r="R114" s="45">
        <f>IF(B114="","",IFERROR(INDEX(Ingredients!$AG$5:$AG$304,MATCH(B114,Ingredients!$B$5:$B$304,0)),0))</f>
        <v>0</v>
      </c>
      <c r="S114" s="45">
        <f>IF(G114="","",G114-IF(R114="",0,R114))</f>
        <v>0</v>
      </c>
      <c r="U114" s="18">
        <f>IF(OR(B114="",D114&lt;&gt;"Fridge",NOT(ISNUMBER(N114))),"",COUNTIFS($D$5:$D$304,"Fridge",$N$5:$N$304,"&lt;"&amp;N114)+COUNTIFS($D$5:D114,"Fridge",$N$5:N114,N114))</f>
        <v>0</v>
      </c>
      <c r="V114" s="18">
        <f>IF(OR(B114="",D114&lt;&gt;"Freezer",NOT(ISNUMBER(N114))),"",COUNTIFS($D$5:$D$304,"Freezer",$N$5:$N$304,"&lt;"&amp;N114)+COUNTIFS($D$5:D114,"Freezer",$N$5:N114,N114))</f>
        <v>0</v>
      </c>
      <c r="W114" s="31">
        <f>IF(B114="","",IF(G114=0,"Out of stock",IF(AND(N114&lt;&gt;"",N114&lt;0),"Expired",IF(AND(N114&lt;&gt;"",N114&lt;=ExpiryWarningDays),"Use soon",IF(AND(Q114&lt;&gt;"",G114&lt;Q114),"Low stock","In stock")))))</f>
        <v>0</v>
      </c>
      <c r="X114" s="31">
        <f>IF(B114="","",IF(W114="Expired","Expired - bin it and log it on the Food Waste tab",IF(W114="Use soon","Use soon - plan a meal with it",IF(W114="Out of stock",IF(T114="Yes","Missing - staple has run out","Add - restock when convenient"),IF(W114="Low stock","Check - running low",IF(S114&lt;0,"Check - the plan needs more than you have","OK"))))))</f>
        <v>0</v>
      </c>
    </row>
    <row r="115" spans="1:24">
      <c r="A115" s="39">
        <f>IF(B115="","",PantryPrefix&amp;TEXT(ROW()-4,"0000"))</f>
        <v>0</v>
      </c>
      <c r="C115" s="17">
        <f>IF(B115="","",IFERROR(INDEX(Ingredients!$C$5:$C$304,MATCH(B115,Ingredients!$B$5:$B$304,0)),"Add to Ingredients"))</f>
        <v>0</v>
      </c>
      <c r="G115" s="45">
        <f>IF(E115="","",IFERROR(E115*INDEX(UnitFactors,MATCH(F115,UnitNames,0)),""))</f>
        <v>0</v>
      </c>
      <c r="H115" s="17">
        <f>IF(F115="","",IFERROR(INDEX(UnitBases,MATCH(F115,UnitNames,0)),"?"))</f>
        <v>0</v>
      </c>
      <c r="L115" s="18">
        <f>IF(B115="","",IFERROR(INDEX(Ingredients!$Z$5:$Z$304,MATCH(B115,Ingredients!$B$5:$B$304,0)),"Add to Ingredients"))</f>
        <v>0</v>
      </c>
      <c r="M115" s="19">
        <f>IF(K115&lt;&gt;"",K115,IF(OR(J115="",L115="",NOT(ISNUMBER(L115))),"",J115+L115))</f>
        <v>0</v>
      </c>
      <c r="N115" s="18">
        <f>IF(M115="","",M115-TODAY())</f>
        <v>0</v>
      </c>
      <c r="O115" s="25">
        <f>IF(B115="","",IFERROR(INDEX(Ingredients!$J$5:$J$304,MATCH(B115,Ingredients!$B$5:$B$304,0)),"Add to Ingredients"))</f>
        <v>0</v>
      </c>
      <c r="P115" s="25">
        <f>IF(OR(G115="",O115="",NOT(ISNUMBER(O115))),"",G115*O115)</f>
        <v>0</v>
      </c>
      <c r="R115" s="45">
        <f>IF(B115="","",IFERROR(INDEX(Ingredients!$AG$5:$AG$304,MATCH(B115,Ingredients!$B$5:$B$304,0)),0))</f>
        <v>0</v>
      </c>
      <c r="S115" s="45">
        <f>IF(G115="","",G115-IF(R115="",0,R115))</f>
        <v>0</v>
      </c>
      <c r="U115" s="18">
        <f>IF(OR(B115="",D115&lt;&gt;"Fridge",NOT(ISNUMBER(N115))),"",COUNTIFS($D$5:$D$304,"Fridge",$N$5:$N$304,"&lt;"&amp;N115)+COUNTIFS($D$5:D115,"Fridge",$N$5:N115,N115))</f>
        <v>0</v>
      </c>
      <c r="V115" s="18">
        <f>IF(OR(B115="",D115&lt;&gt;"Freezer",NOT(ISNUMBER(N115))),"",COUNTIFS($D$5:$D$304,"Freezer",$N$5:$N$304,"&lt;"&amp;N115)+COUNTIFS($D$5:D115,"Freezer",$N$5:N115,N115))</f>
        <v>0</v>
      </c>
      <c r="W115" s="31">
        <f>IF(B115="","",IF(G115=0,"Out of stock",IF(AND(N115&lt;&gt;"",N115&lt;0),"Expired",IF(AND(N115&lt;&gt;"",N115&lt;=ExpiryWarningDays),"Use soon",IF(AND(Q115&lt;&gt;"",G115&lt;Q115),"Low stock","In stock")))))</f>
        <v>0</v>
      </c>
      <c r="X115" s="31">
        <f>IF(B115="","",IF(W115="Expired","Expired - bin it and log it on the Food Waste tab",IF(W115="Use soon","Use soon - plan a meal with it",IF(W115="Out of stock",IF(T115="Yes","Missing - staple has run out","Add - restock when convenient"),IF(W115="Low stock","Check - running low",IF(S115&lt;0,"Check - the plan needs more than you have","OK"))))))</f>
        <v>0</v>
      </c>
    </row>
    <row r="116" spans="1:24">
      <c r="A116" s="39">
        <f>IF(B116="","",PantryPrefix&amp;TEXT(ROW()-4,"0000"))</f>
        <v>0</v>
      </c>
      <c r="C116" s="17">
        <f>IF(B116="","",IFERROR(INDEX(Ingredients!$C$5:$C$304,MATCH(B116,Ingredients!$B$5:$B$304,0)),"Add to Ingredients"))</f>
        <v>0</v>
      </c>
      <c r="G116" s="45">
        <f>IF(E116="","",IFERROR(E116*INDEX(UnitFactors,MATCH(F116,UnitNames,0)),""))</f>
        <v>0</v>
      </c>
      <c r="H116" s="17">
        <f>IF(F116="","",IFERROR(INDEX(UnitBases,MATCH(F116,UnitNames,0)),"?"))</f>
        <v>0</v>
      </c>
      <c r="L116" s="18">
        <f>IF(B116="","",IFERROR(INDEX(Ingredients!$Z$5:$Z$304,MATCH(B116,Ingredients!$B$5:$B$304,0)),"Add to Ingredients"))</f>
        <v>0</v>
      </c>
      <c r="M116" s="19">
        <f>IF(K116&lt;&gt;"",K116,IF(OR(J116="",L116="",NOT(ISNUMBER(L116))),"",J116+L116))</f>
        <v>0</v>
      </c>
      <c r="N116" s="18">
        <f>IF(M116="","",M116-TODAY())</f>
        <v>0</v>
      </c>
      <c r="O116" s="25">
        <f>IF(B116="","",IFERROR(INDEX(Ingredients!$J$5:$J$304,MATCH(B116,Ingredients!$B$5:$B$304,0)),"Add to Ingredients"))</f>
        <v>0</v>
      </c>
      <c r="P116" s="25">
        <f>IF(OR(G116="",O116="",NOT(ISNUMBER(O116))),"",G116*O116)</f>
        <v>0</v>
      </c>
      <c r="R116" s="45">
        <f>IF(B116="","",IFERROR(INDEX(Ingredients!$AG$5:$AG$304,MATCH(B116,Ingredients!$B$5:$B$304,0)),0))</f>
        <v>0</v>
      </c>
      <c r="S116" s="45">
        <f>IF(G116="","",G116-IF(R116="",0,R116))</f>
        <v>0</v>
      </c>
      <c r="U116" s="18">
        <f>IF(OR(B116="",D116&lt;&gt;"Fridge",NOT(ISNUMBER(N116))),"",COUNTIFS($D$5:$D$304,"Fridge",$N$5:$N$304,"&lt;"&amp;N116)+COUNTIFS($D$5:D116,"Fridge",$N$5:N116,N116))</f>
        <v>0</v>
      </c>
      <c r="V116" s="18">
        <f>IF(OR(B116="",D116&lt;&gt;"Freezer",NOT(ISNUMBER(N116))),"",COUNTIFS($D$5:$D$304,"Freezer",$N$5:$N$304,"&lt;"&amp;N116)+COUNTIFS($D$5:D116,"Freezer",$N$5:N116,N116))</f>
        <v>0</v>
      </c>
      <c r="W116" s="31">
        <f>IF(B116="","",IF(G116=0,"Out of stock",IF(AND(N116&lt;&gt;"",N116&lt;0),"Expired",IF(AND(N116&lt;&gt;"",N116&lt;=ExpiryWarningDays),"Use soon",IF(AND(Q116&lt;&gt;"",G116&lt;Q116),"Low stock","In stock")))))</f>
        <v>0</v>
      </c>
      <c r="X116" s="31">
        <f>IF(B116="","",IF(W116="Expired","Expired - bin it and log it on the Food Waste tab",IF(W116="Use soon","Use soon - plan a meal with it",IF(W116="Out of stock",IF(T116="Yes","Missing - staple has run out","Add - restock when convenient"),IF(W116="Low stock","Check - running low",IF(S116&lt;0,"Check - the plan needs more than you have","OK"))))))</f>
        <v>0</v>
      </c>
    </row>
    <row r="117" spans="1:24">
      <c r="A117" s="39">
        <f>IF(B117="","",PantryPrefix&amp;TEXT(ROW()-4,"0000"))</f>
        <v>0</v>
      </c>
      <c r="C117" s="17">
        <f>IF(B117="","",IFERROR(INDEX(Ingredients!$C$5:$C$304,MATCH(B117,Ingredients!$B$5:$B$304,0)),"Add to Ingredients"))</f>
        <v>0</v>
      </c>
      <c r="G117" s="45">
        <f>IF(E117="","",IFERROR(E117*INDEX(UnitFactors,MATCH(F117,UnitNames,0)),""))</f>
        <v>0</v>
      </c>
      <c r="H117" s="17">
        <f>IF(F117="","",IFERROR(INDEX(UnitBases,MATCH(F117,UnitNames,0)),"?"))</f>
        <v>0</v>
      </c>
      <c r="L117" s="18">
        <f>IF(B117="","",IFERROR(INDEX(Ingredients!$Z$5:$Z$304,MATCH(B117,Ingredients!$B$5:$B$304,0)),"Add to Ingredients"))</f>
        <v>0</v>
      </c>
      <c r="M117" s="19">
        <f>IF(K117&lt;&gt;"",K117,IF(OR(J117="",L117="",NOT(ISNUMBER(L117))),"",J117+L117))</f>
        <v>0</v>
      </c>
      <c r="N117" s="18">
        <f>IF(M117="","",M117-TODAY())</f>
        <v>0</v>
      </c>
      <c r="O117" s="25">
        <f>IF(B117="","",IFERROR(INDEX(Ingredients!$J$5:$J$304,MATCH(B117,Ingredients!$B$5:$B$304,0)),"Add to Ingredients"))</f>
        <v>0</v>
      </c>
      <c r="P117" s="25">
        <f>IF(OR(G117="",O117="",NOT(ISNUMBER(O117))),"",G117*O117)</f>
        <v>0</v>
      </c>
      <c r="R117" s="45">
        <f>IF(B117="","",IFERROR(INDEX(Ingredients!$AG$5:$AG$304,MATCH(B117,Ingredients!$B$5:$B$304,0)),0))</f>
        <v>0</v>
      </c>
      <c r="S117" s="45">
        <f>IF(G117="","",G117-IF(R117="",0,R117))</f>
        <v>0</v>
      </c>
      <c r="U117" s="18">
        <f>IF(OR(B117="",D117&lt;&gt;"Fridge",NOT(ISNUMBER(N117))),"",COUNTIFS($D$5:$D$304,"Fridge",$N$5:$N$304,"&lt;"&amp;N117)+COUNTIFS($D$5:D117,"Fridge",$N$5:N117,N117))</f>
        <v>0</v>
      </c>
      <c r="V117" s="18">
        <f>IF(OR(B117="",D117&lt;&gt;"Freezer",NOT(ISNUMBER(N117))),"",COUNTIFS($D$5:$D$304,"Freezer",$N$5:$N$304,"&lt;"&amp;N117)+COUNTIFS($D$5:D117,"Freezer",$N$5:N117,N117))</f>
        <v>0</v>
      </c>
      <c r="W117" s="31">
        <f>IF(B117="","",IF(G117=0,"Out of stock",IF(AND(N117&lt;&gt;"",N117&lt;0),"Expired",IF(AND(N117&lt;&gt;"",N117&lt;=ExpiryWarningDays),"Use soon",IF(AND(Q117&lt;&gt;"",G117&lt;Q117),"Low stock","In stock")))))</f>
        <v>0</v>
      </c>
      <c r="X117" s="31">
        <f>IF(B117="","",IF(W117="Expired","Expired - bin it and log it on the Food Waste tab",IF(W117="Use soon","Use soon - plan a meal with it",IF(W117="Out of stock",IF(T117="Yes","Missing - staple has run out","Add - restock when convenient"),IF(W117="Low stock","Check - running low",IF(S117&lt;0,"Check - the plan needs more than you have","OK"))))))</f>
        <v>0</v>
      </c>
    </row>
    <row r="118" spans="1:24">
      <c r="A118" s="39">
        <f>IF(B118="","",PantryPrefix&amp;TEXT(ROW()-4,"0000"))</f>
        <v>0</v>
      </c>
      <c r="C118" s="17">
        <f>IF(B118="","",IFERROR(INDEX(Ingredients!$C$5:$C$304,MATCH(B118,Ingredients!$B$5:$B$304,0)),"Add to Ingredients"))</f>
        <v>0</v>
      </c>
      <c r="G118" s="45">
        <f>IF(E118="","",IFERROR(E118*INDEX(UnitFactors,MATCH(F118,UnitNames,0)),""))</f>
        <v>0</v>
      </c>
      <c r="H118" s="17">
        <f>IF(F118="","",IFERROR(INDEX(UnitBases,MATCH(F118,UnitNames,0)),"?"))</f>
        <v>0</v>
      </c>
      <c r="L118" s="18">
        <f>IF(B118="","",IFERROR(INDEX(Ingredients!$Z$5:$Z$304,MATCH(B118,Ingredients!$B$5:$B$304,0)),"Add to Ingredients"))</f>
        <v>0</v>
      </c>
      <c r="M118" s="19">
        <f>IF(K118&lt;&gt;"",K118,IF(OR(J118="",L118="",NOT(ISNUMBER(L118))),"",J118+L118))</f>
        <v>0</v>
      </c>
      <c r="N118" s="18">
        <f>IF(M118="","",M118-TODAY())</f>
        <v>0</v>
      </c>
      <c r="O118" s="25">
        <f>IF(B118="","",IFERROR(INDEX(Ingredients!$J$5:$J$304,MATCH(B118,Ingredients!$B$5:$B$304,0)),"Add to Ingredients"))</f>
        <v>0</v>
      </c>
      <c r="P118" s="25">
        <f>IF(OR(G118="",O118="",NOT(ISNUMBER(O118))),"",G118*O118)</f>
        <v>0</v>
      </c>
      <c r="R118" s="45">
        <f>IF(B118="","",IFERROR(INDEX(Ingredients!$AG$5:$AG$304,MATCH(B118,Ingredients!$B$5:$B$304,0)),0))</f>
        <v>0</v>
      </c>
      <c r="S118" s="45">
        <f>IF(G118="","",G118-IF(R118="",0,R118))</f>
        <v>0</v>
      </c>
      <c r="U118" s="18">
        <f>IF(OR(B118="",D118&lt;&gt;"Fridge",NOT(ISNUMBER(N118))),"",COUNTIFS($D$5:$D$304,"Fridge",$N$5:$N$304,"&lt;"&amp;N118)+COUNTIFS($D$5:D118,"Fridge",$N$5:N118,N118))</f>
        <v>0</v>
      </c>
      <c r="V118" s="18">
        <f>IF(OR(B118="",D118&lt;&gt;"Freezer",NOT(ISNUMBER(N118))),"",COUNTIFS($D$5:$D$304,"Freezer",$N$5:$N$304,"&lt;"&amp;N118)+COUNTIFS($D$5:D118,"Freezer",$N$5:N118,N118))</f>
        <v>0</v>
      </c>
      <c r="W118" s="31">
        <f>IF(B118="","",IF(G118=0,"Out of stock",IF(AND(N118&lt;&gt;"",N118&lt;0),"Expired",IF(AND(N118&lt;&gt;"",N118&lt;=ExpiryWarningDays),"Use soon",IF(AND(Q118&lt;&gt;"",G118&lt;Q118),"Low stock","In stock")))))</f>
        <v>0</v>
      </c>
      <c r="X118" s="31">
        <f>IF(B118="","",IF(W118="Expired","Expired - bin it and log it on the Food Waste tab",IF(W118="Use soon","Use soon - plan a meal with it",IF(W118="Out of stock",IF(T118="Yes","Missing - staple has run out","Add - restock when convenient"),IF(W118="Low stock","Check - running low",IF(S118&lt;0,"Check - the plan needs more than you have","OK"))))))</f>
        <v>0</v>
      </c>
    </row>
    <row r="119" spans="1:24">
      <c r="A119" s="39">
        <f>IF(B119="","",PantryPrefix&amp;TEXT(ROW()-4,"0000"))</f>
        <v>0</v>
      </c>
      <c r="C119" s="17">
        <f>IF(B119="","",IFERROR(INDEX(Ingredients!$C$5:$C$304,MATCH(B119,Ingredients!$B$5:$B$304,0)),"Add to Ingredients"))</f>
        <v>0</v>
      </c>
      <c r="G119" s="45">
        <f>IF(E119="","",IFERROR(E119*INDEX(UnitFactors,MATCH(F119,UnitNames,0)),""))</f>
        <v>0</v>
      </c>
      <c r="H119" s="17">
        <f>IF(F119="","",IFERROR(INDEX(UnitBases,MATCH(F119,UnitNames,0)),"?"))</f>
        <v>0</v>
      </c>
      <c r="L119" s="18">
        <f>IF(B119="","",IFERROR(INDEX(Ingredients!$Z$5:$Z$304,MATCH(B119,Ingredients!$B$5:$B$304,0)),"Add to Ingredients"))</f>
        <v>0</v>
      </c>
      <c r="M119" s="19">
        <f>IF(K119&lt;&gt;"",K119,IF(OR(J119="",L119="",NOT(ISNUMBER(L119))),"",J119+L119))</f>
        <v>0</v>
      </c>
      <c r="N119" s="18">
        <f>IF(M119="","",M119-TODAY())</f>
        <v>0</v>
      </c>
      <c r="O119" s="25">
        <f>IF(B119="","",IFERROR(INDEX(Ingredients!$J$5:$J$304,MATCH(B119,Ingredients!$B$5:$B$304,0)),"Add to Ingredients"))</f>
        <v>0</v>
      </c>
      <c r="P119" s="25">
        <f>IF(OR(G119="",O119="",NOT(ISNUMBER(O119))),"",G119*O119)</f>
        <v>0</v>
      </c>
      <c r="R119" s="45">
        <f>IF(B119="","",IFERROR(INDEX(Ingredients!$AG$5:$AG$304,MATCH(B119,Ingredients!$B$5:$B$304,0)),0))</f>
        <v>0</v>
      </c>
      <c r="S119" s="45">
        <f>IF(G119="","",G119-IF(R119="",0,R119))</f>
        <v>0</v>
      </c>
      <c r="U119" s="18">
        <f>IF(OR(B119="",D119&lt;&gt;"Fridge",NOT(ISNUMBER(N119))),"",COUNTIFS($D$5:$D$304,"Fridge",$N$5:$N$304,"&lt;"&amp;N119)+COUNTIFS($D$5:D119,"Fridge",$N$5:N119,N119))</f>
        <v>0</v>
      </c>
      <c r="V119" s="18">
        <f>IF(OR(B119="",D119&lt;&gt;"Freezer",NOT(ISNUMBER(N119))),"",COUNTIFS($D$5:$D$304,"Freezer",$N$5:$N$304,"&lt;"&amp;N119)+COUNTIFS($D$5:D119,"Freezer",$N$5:N119,N119))</f>
        <v>0</v>
      </c>
      <c r="W119" s="31">
        <f>IF(B119="","",IF(G119=0,"Out of stock",IF(AND(N119&lt;&gt;"",N119&lt;0),"Expired",IF(AND(N119&lt;&gt;"",N119&lt;=ExpiryWarningDays),"Use soon",IF(AND(Q119&lt;&gt;"",G119&lt;Q119),"Low stock","In stock")))))</f>
        <v>0</v>
      </c>
      <c r="X119" s="31">
        <f>IF(B119="","",IF(W119="Expired","Expired - bin it and log it on the Food Waste tab",IF(W119="Use soon","Use soon - plan a meal with it",IF(W119="Out of stock",IF(T119="Yes","Missing - staple has run out","Add - restock when convenient"),IF(W119="Low stock","Check - running low",IF(S119&lt;0,"Check - the plan needs more than you have","OK"))))))</f>
        <v>0</v>
      </c>
    </row>
    <row r="120" spans="1:24">
      <c r="A120" s="39">
        <f>IF(B120="","",PantryPrefix&amp;TEXT(ROW()-4,"0000"))</f>
        <v>0</v>
      </c>
      <c r="C120" s="17">
        <f>IF(B120="","",IFERROR(INDEX(Ingredients!$C$5:$C$304,MATCH(B120,Ingredients!$B$5:$B$304,0)),"Add to Ingredients"))</f>
        <v>0</v>
      </c>
      <c r="G120" s="45">
        <f>IF(E120="","",IFERROR(E120*INDEX(UnitFactors,MATCH(F120,UnitNames,0)),""))</f>
        <v>0</v>
      </c>
      <c r="H120" s="17">
        <f>IF(F120="","",IFERROR(INDEX(UnitBases,MATCH(F120,UnitNames,0)),"?"))</f>
        <v>0</v>
      </c>
      <c r="L120" s="18">
        <f>IF(B120="","",IFERROR(INDEX(Ingredients!$Z$5:$Z$304,MATCH(B120,Ingredients!$B$5:$B$304,0)),"Add to Ingredients"))</f>
        <v>0</v>
      </c>
      <c r="M120" s="19">
        <f>IF(K120&lt;&gt;"",K120,IF(OR(J120="",L120="",NOT(ISNUMBER(L120))),"",J120+L120))</f>
        <v>0</v>
      </c>
      <c r="N120" s="18">
        <f>IF(M120="","",M120-TODAY())</f>
        <v>0</v>
      </c>
      <c r="O120" s="25">
        <f>IF(B120="","",IFERROR(INDEX(Ingredients!$J$5:$J$304,MATCH(B120,Ingredients!$B$5:$B$304,0)),"Add to Ingredients"))</f>
        <v>0</v>
      </c>
      <c r="P120" s="25">
        <f>IF(OR(G120="",O120="",NOT(ISNUMBER(O120))),"",G120*O120)</f>
        <v>0</v>
      </c>
      <c r="R120" s="45">
        <f>IF(B120="","",IFERROR(INDEX(Ingredients!$AG$5:$AG$304,MATCH(B120,Ingredients!$B$5:$B$304,0)),0))</f>
        <v>0</v>
      </c>
      <c r="S120" s="45">
        <f>IF(G120="","",G120-IF(R120="",0,R120))</f>
        <v>0</v>
      </c>
      <c r="U120" s="18">
        <f>IF(OR(B120="",D120&lt;&gt;"Fridge",NOT(ISNUMBER(N120))),"",COUNTIFS($D$5:$D$304,"Fridge",$N$5:$N$304,"&lt;"&amp;N120)+COUNTIFS($D$5:D120,"Fridge",$N$5:N120,N120))</f>
        <v>0</v>
      </c>
      <c r="V120" s="18">
        <f>IF(OR(B120="",D120&lt;&gt;"Freezer",NOT(ISNUMBER(N120))),"",COUNTIFS($D$5:$D$304,"Freezer",$N$5:$N$304,"&lt;"&amp;N120)+COUNTIFS($D$5:D120,"Freezer",$N$5:N120,N120))</f>
        <v>0</v>
      </c>
      <c r="W120" s="31">
        <f>IF(B120="","",IF(G120=0,"Out of stock",IF(AND(N120&lt;&gt;"",N120&lt;0),"Expired",IF(AND(N120&lt;&gt;"",N120&lt;=ExpiryWarningDays),"Use soon",IF(AND(Q120&lt;&gt;"",G120&lt;Q120),"Low stock","In stock")))))</f>
        <v>0</v>
      </c>
      <c r="X120" s="31">
        <f>IF(B120="","",IF(W120="Expired","Expired - bin it and log it on the Food Waste tab",IF(W120="Use soon","Use soon - plan a meal with it",IF(W120="Out of stock",IF(T120="Yes","Missing - staple has run out","Add - restock when convenient"),IF(W120="Low stock","Check - running low",IF(S120&lt;0,"Check - the plan needs more than you have","OK"))))))</f>
        <v>0</v>
      </c>
    </row>
    <row r="121" spans="1:24">
      <c r="A121" s="39">
        <f>IF(B121="","",PantryPrefix&amp;TEXT(ROW()-4,"0000"))</f>
        <v>0</v>
      </c>
      <c r="C121" s="17">
        <f>IF(B121="","",IFERROR(INDEX(Ingredients!$C$5:$C$304,MATCH(B121,Ingredients!$B$5:$B$304,0)),"Add to Ingredients"))</f>
        <v>0</v>
      </c>
      <c r="G121" s="45">
        <f>IF(E121="","",IFERROR(E121*INDEX(UnitFactors,MATCH(F121,UnitNames,0)),""))</f>
        <v>0</v>
      </c>
      <c r="H121" s="17">
        <f>IF(F121="","",IFERROR(INDEX(UnitBases,MATCH(F121,UnitNames,0)),"?"))</f>
        <v>0</v>
      </c>
      <c r="L121" s="18">
        <f>IF(B121="","",IFERROR(INDEX(Ingredients!$Z$5:$Z$304,MATCH(B121,Ingredients!$B$5:$B$304,0)),"Add to Ingredients"))</f>
        <v>0</v>
      </c>
      <c r="M121" s="19">
        <f>IF(K121&lt;&gt;"",K121,IF(OR(J121="",L121="",NOT(ISNUMBER(L121))),"",J121+L121))</f>
        <v>0</v>
      </c>
      <c r="N121" s="18">
        <f>IF(M121="","",M121-TODAY())</f>
        <v>0</v>
      </c>
      <c r="O121" s="25">
        <f>IF(B121="","",IFERROR(INDEX(Ingredients!$J$5:$J$304,MATCH(B121,Ingredients!$B$5:$B$304,0)),"Add to Ingredients"))</f>
        <v>0</v>
      </c>
      <c r="P121" s="25">
        <f>IF(OR(G121="",O121="",NOT(ISNUMBER(O121))),"",G121*O121)</f>
        <v>0</v>
      </c>
      <c r="R121" s="45">
        <f>IF(B121="","",IFERROR(INDEX(Ingredients!$AG$5:$AG$304,MATCH(B121,Ingredients!$B$5:$B$304,0)),0))</f>
        <v>0</v>
      </c>
      <c r="S121" s="45">
        <f>IF(G121="","",G121-IF(R121="",0,R121))</f>
        <v>0</v>
      </c>
      <c r="U121" s="18">
        <f>IF(OR(B121="",D121&lt;&gt;"Fridge",NOT(ISNUMBER(N121))),"",COUNTIFS($D$5:$D$304,"Fridge",$N$5:$N$304,"&lt;"&amp;N121)+COUNTIFS($D$5:D121,"Fridge",$N$5:N121,N121))</f>
        <v>0</v>
      </c>
      <c r="V121" s="18">
        <f>IF(OR(B121="",D121&lt;&gt;"Freezer",NOT(ISNUMBER(N121))),"",COUNTIFS($D$5:$D$304,"Freezer",$N$5:$N$304,"&lt;"&amp;N121)+COUNTIFS($D$5:D121,"Freezer",$N$5:N121,N121))</f>
        <v>0</v>
      </c>
      <c r="W121" s="31">
        <f>IF(B121="","",IF(G121=0,"Out of stock",IF(AND(N121&lt;&gt;"",N121&lt;0),"Expired",IF(AND(N121&lt;&gt;"",N121&lt;=ExpiryWarningDays),"Use soon",IF(AND(Q121&lt;&gt;"",G121&lt;Q121),"Low stock","In stock")))))</f>
        <v>0</v>
      </c>
      <c r="X121" s="31">
        <f>IF(B121="","",IF(W121="Expired","Expired - bin it and log it on the Food Waste tab",IF(W121="Use soon","Use soon - plan a meal with it",IF(W121="Out of stock",IF(T121="Yes","Missing - staple has run out","Add - restock when convenient"),IF(W121="Low stock","Check - running low",IF(S121&lt;0,"Check - the plan needs more than you have","OK"))))))</f>
        <v>0</v>
      </c>
    </row>
    <row r="122" spans="1:24">
      <c r="A122" s="39">
        <f>IF(B122="","",PantryPrefix&amp;TEXT(ROW()-4,"0000"))</f>
        <v>0</v>
      </c>
      <c r="C122" s="17">
        <f>IF(B122="","",IFERROR(INDEX(Ingredients!$C$5:$C$304,MATCH(B122,Ingredients!$B$5:$B$304,0)),"Add to Ingredients"))</f>
        <v>0</v>
      </c>
      <c r="G122" s="45">
        <f>IF(E122="","",IFERROR(E122*INDEX(UnitFactors,MATCH(F122,UnitNames,0)),""))</f>
        <v>0</v>
      </c>
      <c r="H122" s="17">
        <f>IF(F122="","",IFERROR(INDEX(UnitBases,MATCH(F122,UnitNames,0)),"?"))</f>
        <v>0</v>
      </c>
      <c r="L122" s="18">
        <f>IF(B122="","",IFERROR(INDEX(Ingredients!$Z$5:$Z$304,MATCH(B122,Ingredients!$B$5:$B$304,0)),"Add to Ingredients"))</f>
        <v>0</v>
      </c>
      <c r="M122" s="19">
        <f>IF(K122&lt;&gt;"",K122,IF(OR(J122="",L122="",NOT(ISNUMBER(L122))),"",J122+L122))</f>
        <v>0</v>
      </c>
      <c r="N122" s="18">
        <f>IF(M122="","",M122-TODAY())</f>
        <v>0</v>
      </c>
      <c r="O122" s="25">
        <f>IF(B122="","",IFERROR(INDEX(Ingredients!$J$5:$J$304,MATCH(B122,Ingredients!$B$5:$B$304,0)),"Add to Ingredients"))</f>
        <v>0</v>
      </c>
      <c r="P122" s="25">
        <f>IF(OR(G122="",O122="",NOT(ISNUMBER(O122))),"",G122*O122)</f>
        <v>0</v>
      </c>
      <c r="R122" s="45">
        <f>IF(B122="","",IFERROR(INDEX(Ingredients!$AG$5:$AG$304,MATCH(B122,Ingredients!$B$5:$B$304,0)),0))</f>
        <v>0</v>
      </c>
      <c r="S122" s="45">
        <f>IF(G122="","",G122-IF(R122="",0,R122))</f>
        <v>0</v>
      </c>
      <c r="U122" s="18">
        <f>IF(OR(B122="",D122&lt;&gt;"Fridge",NOT(ISNUMBER(N122))),"",COUNTIFS($D$5:$D$304,"Fridge",$N$5:$N$304,"&lt;"&amp;N122)+COUNTIFS($D$5:D122,"Fridge",$N$5:N122,N122))</f>
        <v>0</v>
      </c>
      <c r="V122" s="18">
        <f>IF(OR(B122="",D122&lt;&gt;"Freezer",NOT(ISNUMBER(N122))),"",COUNTIFS($D$5:$D$304,"Freezer",$N$5:$N$304,"&lt;"&amp;N122)+COUNTIFS($D$5:D122,"Freezer",$N$5:N122,N122))</f>
        <v>0</v>
      </c>
      <c r="W122" s="31">
        <f>IF(B122="","",IF(G122=0,"Out of stock",IF(AND(N122&lt;&gt;"",N122&lt;0),"Expired",IF(AND(N122&lt;&gt;"",N122&lt;=ExpiryWarningDays),"Use soon",IF(AND(Q122&lt;&gt;"",G122&lt;Q122),"Low stock","In stock")))))</f>
        <v>0</v>
      </c>
      <c r="X122" s="31">
        <f>IF(B122="","",IF(W122="Expired","Expired - bin it and log it on the Food Waste tab",IF(W122="Use soon","Use soon - plan a meal with it",IF(W122="Out of stock",IF(T122="Yes","Missing - staple has run out","Add - restock when convenient"),IF(W122="Low stock","Check - running low",IF(S122&lt;0,"Check - the plan needs more than you have","OK"))))))</f>
        <v>0</v>
      </c>
    </row>
    <row r="123" spans="1:24">
      <c r="A123" s="39">
        <f>IF(B123="","",PantryPrefix&amp;TEXT(ROW()-4,"0000"))</f>
        <v>0</v>
      </c>
      <c r="C123" s="17">
        <f>IF(B123="","",IFERROR(INDEX(Ingredients!$C$5:$C$304,MATCH(B123,Ingredients!$B$5:$B$304,0)),"Add to Ingredients"))</f>
        <v>0</v>
      </c>
      <c r="G123" s="45">
        <f>IF(E123="","",IFERROR(E123*INDEX(UnitFactors,MATCH(F123,UnitNames,0)),""))</f>
        <v>0</v>
      </c>
      <c r="H123" s="17">
        <f>IF(F123="","",IFERROR(INDEX(UnitBases,MATCH(F123,UnitNames,0)),"?"))</f>
        <v>0</v>
      </c>
      <c r="L123" s="18">
        <f>IF(B123="","",IFERROR(INDEX(Ingredients!$Z$5:$Z$304,MATCH(B123,Ingredients!$B$5:$B$304,0)),"Add to Ingredients"))</f>
        <v>0</v>
      </c>
      <c r="M123" s="19">
        <f>IF(K123&lt;&gt;"",K123,IF(OR(J123="",L123="",NOT(ISNUMBER(L123))),"",J123+L123))</f>
        <v>0</v>
      </c>
      <c r="N123" s="18">
        <f>IF(M123="","",M123-TODAY())</f>
        <v>0</v>
      </c>
      <c r="O123" s="25">
        <f>IF(B123="","",IFERROR(INDEX(Ingredients!$J$5:$J$304,MATCH(B123,Ingredients!$B$5:$B$304,0)),"Add to Ingredients"))</f>
        <v>0</v>
      </c>
      <c r="P123" s="25">
        <f>IF(OR(G123="",O123="",NOT(ISNUMBER(O123))),"",G123*O123)</f>
        <v>0</v>
      </c>
      <c r="R123" s="45">
        <f>IF(B123="","",IFERROR(INDEX(Ingredients!$AG$5:$AG$304,MATCH(B123,Ingredients!$B$5:$B$304,0)),0))</f>
        <v>0</v>
      </c>
      <c r="S123" s="45">
        <f>IF(G123="","",G123-IF(R123="",0,R123))</f>
        <v>0</v>
      </c>
      <c r="U123" s="18">
        <f>IF(OR(B123="",D123&lt;&gt;"Fridge",NOT(ISNUMBER(N123))),"",COUNTIFS($D$5:$D$304,"Fridge",$N$5:$N$304,"&lt;"&amp;N123)+COUNTIFS($D$5:D123,"Fridge",$N$5:N123,N123))</f>
        <v>0</v>
      </c>
      <c r="V123" s="18">
        <f>IF(OR(B123="",D123&lt;&gt;"Freezer",NOT(ISNUMBER(N123))),"",COUNTIFS($D$5:$D$304,"Freezer",$N$5:$N$304,"&lt;"&amp;N123)+COUNTIFS($D$5:D123,"Freezer",$N$5:N123,N123))</f>
        <v>0</v>
      </c>
      <c r="W123" s="31">
        <f>IF(B123="","",IF(G123=0,"Out of stock",IF(AND(N123&lt;&gt;"",N123&lt;0),"Expired",IF(AND(N123&lt;&gt;"",N123&lt;=ExpiryWarningDays),"Use soon",IF(AND(Q123&lt;&gt;"",G123&lt;Q123),"Low stock","In stock")))))</f>
        <v>0</v>
      </c>
      <c r="X123" s="31">
        <f>IF(B123="","",IF(W123="Expired","Expired - bin it and log it on the Food Waste tab",IF(W123="Use soon","Use soon - plan a meal with it",IF(W123="Out of stock",IF(T123="Yes","Missing - staple has run out","Add - restock when convenient"),IF(W123="Low stock","Check - running low",IF(S123&lt;0,"Check - the plan needs more than you have","OK"))))))</f>
        <v>0</v>
      </c>
    </row>
    <row r="124" spans="1:24">
      <c r="A124" s="39">
        <f>IF(B124="","",PantryPrefix&amp;TEXT(ROW()-4,"0000"))</f>
        <v>0</v>
      </c>
      <c r="C124" s="17">
        <f>IF(B124="","",IFERROR(INDEX(Ingredients!$C$5:$C$304,MATCH(B124,Ingredients!$B$5:$B$304,0)),"Add to Ingredients"))</f>
        <v>0</v>
      </c>
      <c r="G124" s="45">
        <f>IF(E124="","",IFERROR(E124*INDEX(UnitFactors,MATCH(F124,UnitNames,0)),""))</f>
        <v>0</v>
      </c>
      <c r="H124" s="17">
        <f>IF(F124="","",IFERROR(INDEX(UnitBases,MATCH(F124,UnitNames,0)),"?"))</f>
        <v>0</v>
      </c>
      <c r="L124" s="18">
        <f>IF(B124="","",IFERROR(INDEX(Ingredients!$Z$5:$Z$304,MATCH(B124,Ingredients!$B$5:$B$304,0)),"Add to Ingredients"))</f>
        <v>0</v>
      </c>
      <c r="M124" s="19">
        <f>IF(K124&lt;&gt;"",K124,IF(OR(J124="",L124="",NOT(ISNUMBER(L124))),"",J124+L124))</f>
        <v>0</v>
      </c>
      <c r="N124" s="18">
        <f>IF(M124="","",M124-TODAY())</f>
        <v>0</v>
      </c>
      <c r="O124" s="25">
        <f>IF(B124="","",IFERROR(INDEX(Ingredients!$J$5:$J$304,MATCH(B124,Ingredients!$B$5:$B$304,0)),"Add to Ingredients"))</f>
        <v>0</v>
      </c>
      <c r="P124" s="25">
        <f>IF(OR(G124="",O124="",NOT(ISNUMBER(O124))),"",G124*O124)</f>
        <v>0</v>
      </c>
      <c r="R124" s="45">
        <f>IF(B124="","",IFERROR(INDEX(Ingredients!$AG$5:$AG$304,MATCH(B124,Ingredients!$B$5:$B$304,0)),0))</f>
        <v>0</v>
      </c>
      <c r="S124" s="45">
        <f>IF(G124="","",G124-IF(R124="",0,R124))</f>
        <v>0</v>
      </c>
      <c r="U124" s="18">
        <f>IF(OR(B124="",D124&lt;&gt;"Fridge",NOT(ISNUMBER(N124))),"",COUNTIFS($D$5:$D$304,"Fridge",$N$5:$N$304,"&lt;"&amp;N124)+COUNTIFS($D$5:D124,"Fridge",$N$5:N124,N124))</f>
        <v>0</v>
      </c>
      <c r="V124" s="18">
        <f>IF(OR(B124="",D124&lt;&gt;"Freezer",NOT(ISNUMBER(N124))),"",COUNTIFS($D$5:$D$304,"Freezer",$N$5:$N$304,"&lt;"&amp;N124)+COUNTIFS($D$5:D124,"Freezer",$N$5:N124,N124))</f>
        <v>0</v>
      </c>
      <c r="W124" s="31">
        <f>IF(B124="","",IF(G124=0,"Out of stock",IF(AND(N124&lt;&gt;"",N124&lt;0),"Expired",IF(AND(N124&lt;&gt;"",N124&lt;=ExpiryWarningDays),"Use soon",IF(AND(Q124&lt;&gt;"",G124&lt;Q124),"Low stock","In stock")))))</f>
        <v>0</v>
      </c>
      <c r="X124" s="31">
        <f>IF(B124="","",IF(W124="Expired","Expired - bin it and log it on the Food Waste tab",IF(W124="Use soon","Use soon - plan a meal with it",IF(W124="Out of stock",IF(T124="Yes","Missing - staple has run out","Add - restock when convenient"),IF(W124="Low stock","Check - running low",IF(S124&lt;0,"Check - the plan needs more than you have","OK"))))))</f>
        <v>0</v>
      </c>
    </row>
    <row r="125" spans="1:24">
      <c r="A125" s="39">
        <f>IF(B125="","",PantryPrefix&amp;TEXT(ROW()-4,"0000"))</f>
        <v>0</v>
      </c>
      <c r="C125" s="17">
        <f>IF(B125="","",IFERROR(INDEX(Ingredients!$C$5:$C$304,MATCH(B125,Ingredients!$B$5:$B$304,0)),"Add to Ingredients"))</f>
        <v>0</v>
      </c>
      <c r="G125" s="45">
        <f>IF(E125="","",IFERROR(E125*INDEX(UnitFactors,MATCH(F125,UnitNames,0)),""))</f>
        <v>0</v>
      </c>
      <c r="H125" s="17">
        <f>IF(F125="","",IFERROR(INDEX(UnitBases,MATCH(F125,UnitNames,0)),"?"))</f>
        <v>0</v>
      </c>
      <c r="L125" s="18">
        <f>IF(B125="","",IFERROR(INDEX(Ingredients!$Z$5:$Z$304,MATCH(B125,Ingredients!$B$5:$B$304,0)),"Add to Ingredients"))</f>
        <v>0</v>
      </c>
      <c r="M125" s="19">
        <f>IF(K125&lt;&gt;"",K125,IF(OR(J125="",L125="",NOT(ISNUMBER(L125))),"",J125+L125))</f>
        <v>0</v>
      </c>
      <c r="N125" s="18">
        <f>IF(M125="","",M125-TODAY())</f>
        <v>0</v>
      </c>
      <c r="O125" s="25">
        <f>IF(B125="","",IFERROR(INDEX(Ingredients!$J$5:$J$304,MATCH(B125,Ingredients!$B$5:$B$304,0)),"Add to Ingredients"))</f>
        <v>0</v>
      </c>
      <c r="P125" s="25">
        <f>IF(OR(G125="",O125="",NOT(ISNUMBER(O125))),"",G125*O125)</f>
        <v>0</v>
      </c>
      <c r="R125" s="45">
        <f>IF(B125="","",IFERROR(INDEX(Ingredients!$AG$5:$AG$304,MATCH(B125,Ingredients!$B$5:$B$304,0)),0))</f>
        <v>0</v>
      </c>
      <c r="S125" s="45">
        <f>IF(G125="","",G125-IF(R125="",0,R125))</f>
        <v>0</v>
      </c>
      <c r="U125" s="18">
        <f>IF(OR(B125="",D125&lt;&gt;"Fridge",NOT(ISNUMBER(N125))),"",COUNTIFS($D$5:$D$304,"Fridge",$N$5:$N$304,"&lt;"&amp;N125)+COUNTIFS($D$5:D125,"Fridge",$N$5:N125,N125))</f>
        <v>0</v>
      </c>
      <c r="V125" s="18">
        <f>IF(OR(B125="",D125&lt;&gt;"Freezer",NOT(ISNUMBER(N125))),"",COUNTIFS($D$5:$D$304,"Freezer",$N$5:$N$304,"&lt;"&amp;N125)+COUNTIFS($D$5:D125,"Freezer",$N$5:N125,N125))</f>
        <v>0</v>
      </c>
      <c r="W125" s="31">
        <f>IF(B125="","",IF(G125=0,"Out of stock",IF(AND(N125&lt;&gt;"",N125&lt;0),"Expired",IF(AND(N125&lt;&gt;"",N125&lt;=ExpiryWarningDays),"Use soon",IF(AND(Q125&lt;&gt;"",G125&lt;Q125),"Low stock","In stock")))))</f>
        <v>0</v>
      </c>
      <c r="X125" s="31">
        <f>IF(B125="","",IF(W125="Expired","Expired - bin it and log it on the Food Waste tab",IF(W125="Use soon","Use soon - plan a meal with it",IF(W125="Out of stock",IF(T125="Yes","Missing - staple has run out","Add - restock when convenient"),IF(W125="Low stock","Check - running low",IF(S125&lt;0,"Check - the plan needs more than you have","OK"))))))</f>
        <v>0</v>
      </c>
    </row>
    <row r="126" spans="1:24">
      <c r="A126" s="39">
        <f>IF(B126="","",PantryPrefix&amp;TEXT(ROW()-4,"0000"))</f>
        <v>0</v>
      </c>
      <c r="C126" s="17">
        <f>IF(B126="","",IFERROR(INDEX(Ingredients!$C$5:$C$304,MATCH(B126,Ingredients!$B$5:$B$304,0)),"Add to Ingredients"))</f>
        <v>0</v>
      </c>
      <c r="G126" s="45">
        <f>IF(E126="","",IFERROR(E126*INDEX(UnitFactors,MATCH(F126,UnitNames,0)),""))</f>
        <v>0</v>
      </c>
      <c r="H126" s="17">
        <f>IF(F126="","",IFERROR(INDEX(UnitBases,MATCH(F126,UnitNames,0)),"?"))</f>
        <v>0</v>
      </c>
      <c r="L126" s="18">
        <f>IF(B126="","",IFERROR(INDEX(Ingredients!$Z$5:$Z$304,MATCH(B126,Ingredients!$B$5:$B$304,0)),"Add to Ingredients"))</f>
        <v>0</v>
      </c>
      <c r="M126" s="19">
        <f>IF(K126&lt;&gt;"",K126,IF(OR(J126="",L126="",NOT(ISNUMBER(L126))),"",J126+L126))</f>
        <v>0</v>
      </c>
      <c r="N126" s="18">
        <f>IF(M126="","",M126-TODAY())</f>
        <v>0</v>
      </c>
      <c r="O126" s="25">
        <f>IF(B126="","",IFERROR(INDEX(Ingredients!$J$5:$J$304,MATCH(B126,Ingredients!$B$5:$B$304,0)),"Add to Ingredients"))</f>
        <v>0</v>
      </c>
      <c r="P126" s="25">
        <f>IF(OR(G126="",O126="",NOT(ISNUMBER(O126))),"",G126*O126)</f>
        <v>0</v>
      </c>
      <c r="R126" s="45">
        <f>IF(B126="","",IFERROR(INDEX(Ingredients!$AG$5:$AG$304,MATCH(B126,Ingredients!$B$5:$B$304,0)),0))</f>
        <v>0</v>
      </c>
      <c r="S126" s="45">
        <f>IF(G126="","",G126-IF(R126="",0,R126))</f>
        <v>0</v>
      </c>
      <c r="U126" s="18">
        <f>IF(OR(B126="",D126&lt;&gt;"Fridge",NOT(ISNUMBER(N126))),"",COUNTIFS($D$5:$D$304,"Fridge",$N$5:$N$304,"&lt;"&amp;N126)+COUNTIFS($D$5:D126,"Fridge",$N$5:N126,N126))</f>
        <v>0</v>
      </c>
      <c r="V126" s="18">
        <f>IF(OR(B126="",D126&lt;&gt;"Freezer",NOT(ISNUMBER(N126))),"",COUNTIFS($D$5:$D$304,"Freezer",$N$5:$N$304,"&lt;"&amp;N126)+COUNTIFS($D$5:D126,"Freezer",$N$5:N126,N126))</f>
        <v>0</v>
      </c>
      <c r="W126" s="31">
        <f>IF(B126="","",IF(G126=0,"Out of stock",IF(AND(N126&lt;&gt;"",N126&lt;0),"Expired",IF(AND(N126&lt;&gt;"",N126&lt;=ExpiryWarningDays),"Use soon",IF(AND(Q126&lt;&gt;"",G126&lt;Q126),"Low stock","In stock")))))</f>
        <v>0</v>
      </c>
      <c r="X126" s="31">
        <f>IF(B126="","",IF(W126="Expired","Expired - bin it and log it on the Food Waste tab",IF(W126="Use soon","Use soon - plan a meal with it",IF(W126="Out of stock",IF(T126="Yes","Missing - staple has run out","Add - restock when convenient"),IF(W126="Low stock","Check - running low",IF(S126&lt;0,"Check - the plan needs more than you have","OK"))))))</f>
        <v>0</v>
      </c>
    </row>
    <row r="127" spans="1:24">
      <c r="A127" s="39">
        <f>IF(B127="","",PantryPrefix&amp;TEXT(ROW()-4,"0000"))</f>
        <v>0</v>
      </c>
      <c r="C127" s="17">
        <f>IF(B127="","",IFERROR(INDEX(Ingredients!$C$5:$C$304,MATCH(B127,Ingredients!$B$5:$B$304,0)),"Add to Ingredients"))</f>
        <v>0</v>
      </c>
      <c r="G127" s="45">
        <f>IF(E127="","",IFERROR(E127*INDEX(UnitFactors,MATCH(F127,UnitNames,0)),""))</f>
        <v>0</v>
      </c>
      <c r="H127" s="17">
        <f>IF(F127="","",IFERROR(INDEX(UnitBases,MATCH(F127,UnitNames,0)),"?"))</f>
        <v>0</v>
      </c>
      <c r="L127" s="18">
        <f>IF(B127="","",IFERROR(INDEX(Ingredients!$Z$5:$Z$304,MATCH(B127,Ingredients!$B$5:$B$304,0)),"Add to Ingredients"))</f>
        <v>0</v>
      </c>
      <c r="M127" s="19">
        <f>IF(K127&lt;&gt;"",K127,IF(OR(J127="",L127="",NOT(ISNUMBER(L127))),"",J127+L127))</f>
        <v>0</v>
      </c>
      <c r="N127" s="18">
        <f>IF(M127="","",M127-TODAY())</f>
        <v>0</v>
      </c>
      <c r="O127" s="25">
        <f>IF(B127="","",IFERROR(INDEX(Ingredients!$J$5:$J$304,MATCH(B127,Ingredients!$B$5:$B$304,0)),"Add to Ingredients"))</f>
        <v>0</v>
      </c>
      <c r="P127" s="25">
        <f>IF(OR(G127="",O127="",NOT(ISNUMBER(O127))),"",G127*O127)</f>
        <v>0</v>
      </c>
      <c r="R127" s="45">
        <f>IF(B127="","",IFERROR(INDEX(Ingredients!$AG$5:$AG$304,MATCH(B127,Ingredients!$B$5:$B$304,0)),0))</f>
        <v>0</v>
      </c>
      <c r="S127" s="45">
        <f>IF(G127="","",G127-IF(R127="",0,R127))</f>
        <v>0</v>
      </c>
      <c r="U127" s="18">
        <f>IF(OR(B127="",D127&lt;&gt;"Fridge",NOT(ISNUMBER(N127))),"",COUNTIFS($D$5:$D$304,"Fridge",$N$5:$N$304,"&lt;"&amp;N127)+COUNTIFS($D$5:D127,"Fridge",$N$5:N127,N127))</f>
        <v>0</v>
      </c>
      <c r="V127" s="18">
        <f>IF(OR(B127="",D127&lt;&gt;"Freezer",NOT(ISNUMBER(N127))),"",COUNTIFS($D$5:$D$304,"Freezer",$N$5:$N$304,"&lt;"&amp;N127)+COUNTIFS($D$5:D127,"Freezer",$N$5:N127,N127))</f>
        <v>0</v>
      </c>
      <c r="W127" s="31">
        <f>IF(B127="","",IF(G127=0,"Out of stock",IF(AND(N127&lt;&gt;"",N127&lt;0),"Expired",IF(AND(N127&lt;&gt;"",N127&lt;=ExpiryWarningDays),"Use soon",IF(AND(Q127&lt;&gt;"",G127&lt;Q127),"Low stock","In stock")))))</f>
        <v>0</v>
      </c>
      <c r="X127" s="31">
        <f>IF(B127="","",IF(W127="Expired","Expired - bin it and log it on the Food Waste tab",IF(W127="Use soon","Use soon - plan a meal with it",IF(W127="Out of stock",IF(T127="Yes","Missing - staple has run out","Add - restock when convenient"),IF(W127="Low stock","Check - running low",IF(S127&lt;0,"Check - the plan needs more than you have","OK"))))))</f>
        <v>0</v>
      </c>
    </row>
    <row r="128" spans="1:24">
      <c r="A128" s="39">
        <f>IF(B128="","",PantryPrefix&amp;TEXT(ROW()-4,"0000"))</f>
        <v>0</v>
      </c>
      <c r="C128" s="17">
        <f>IF(B128="","",IFERROR(INDEX(Ingredients!$C$5:$C$304,MATCH(B128,Ingredients!$B$5:$B$304,0)),"Add to Ingredients"))</f>
        <v>0</v>
      </c>
      <c r="G128" s="45">
        <f>IF(E128="","",IFERROR(E128*INDEX(UnitFactors,MATCH(F128,UnitNames,0)),""))</f>
        <v>0</v>
      </c>
      <c r="H128" s="17">
        <f>IF(F128="","",IFERROR(INDEX(UnitBases,MATCH(F128,UnitNames,0)),"?"))</f>
        <v>0</v>
      </c>
      <c r="L128" s="18">
        <f>IF(B128="","",IFERROR(INDEX(Ingredients!$Z$5:$Z$304,MATCH(B128,Ingredients!$B$5:$B$304,0)),"Add to Ingredients"))</f>
        <v>0</v>
      </c>
      <c r="M128" s="19">
        <f>IF(K128&lt;&gt;"",K128,IF(OR(J128="",L128="",NOT(ISNUMBER(L128))),"",J128+L128))</f>
        <v>0</v>
      </c>
      <c r="N128" s="18">
        <f>IF(M128="","",M128-TODAY())</f>
        <v>0</v>
      </c>
      <c r="O128" s="25">
        <f>IF(B128="","",IFERROR(INDEX(Ingredients!$J$5:$J$304,MATCH(B128,Ingredients!$B$5:$B$304,0)),"Add to Ingredients"))</f>
        <v>0</v>
      </c>
      <c r="P128" s="25">
        <f>IF(OR(G128="",O128="",NOT(ISNUMBER(O128))),"",G128*O128)</f>
        <v>0</v>
      </c>
      <c r="R128" s="45">
        <f>IF(B128="","",IFERROR(INDEX(Ingredients!$AG$5:$AG$304,MATCH(B128,Ingredients!$B$5:$B$304,0)),0))</f>
        <v>0</v>
      </c>
      <c r="S128" s="45">
        <f>IF(G128="","",G128-IF(R128="",0,R128))</f>
        <v>0</v>
      </c>
      <c r="U128" s="18">
        <f>IF(OR(B128="",D128&lt;&gt;"Fridge",NOT(ISNUMBER(N128))),"",COUNTIFS($D$5:$D$304,"Fridge",$N$5:$N$304,"&lt;"&amp;N128)+COUNTIFS($D$5:D128,"Fridge",$N$5:N128,N128))</f>
        <v>0</v>
      </c>
      <c r="V128" s="18">
        <f>IF(OR(B128="",D128&lt;&gt;"Freezer",NOT(ISNUMBER(N128))),"",COUNTIFS($D$5:$D$304,"Freezer",$N$5:$N$304,"&lt;"&amp;N128)+COUNTIFS($D$5:D128,"Freezer",$N$5:N128,N128))</f>
        <v>0</v>
      </c>
      <c r="W128" s="31">
        <f>IF(B128="","",IF(G128=0,"Out of stock",IF(AND(N128&lt;&gt;"",N128&lt;0),"Expired",IF(AND(N128&lt;&gt;"",N128&lt;=ExpiryWarningDays),"Use soon",IF(AND(Q128&lt;&gt;"",G128&lt;Q128),"Low stock","In stock")))))</f>
        <v>0</v>
      </c>
      <c r="X128" s="31">
        <f>IF(B128="","",IF(W128="Expired","Expired - bin it and log it on the Food Waste tab",IF(W128="Use soon","Use soon - plan a meal with it",IF(W128="Out of stock",IF(T128="Yes","Missing - staple has run out","Add - restock when convenient"),IF(W128="Low stock","Check - running low",IF(S128&lt;0,"Check - the plan needs more than you have","OK"))))))</f>
        <v>0</v>
      </c>
    </row>
    <row r="129" spans="1:24">
      <c r="A129" s="39">
        <f>IF(B129="","",PantryPrefix&amp;TEXT(ROW()-4,"0000"))</f>
        <v>0</v>
      </c>
      <c r="C129" s="17">
        <f>IF(B129="","",IFERROR(INDEX(Ingredients!$C$5:$C$304,MATCH(B129,Ingredients!$B$5:$B$304,0)),"Add to Ingredients"))</f>
        <v>0</v>
      </c>
      <c r="G129" s="45">
        <f>IF(E129="","",IFERROR(E129*INDEX(UnitFactors,MATCH(F129,UnitNames,0)),""))</f>
        <v>0</v>
      </c>
      <c r="H129" s="17">
        <f>IF(F129="","",IFERROR(INDEX(UnitBases,MATCH(F129,UnitNames,0)),"?"))</f>
        <v>0</v>
      </c>
      <c r="L129" s="18">
        <f>IF(B129="","",IFERROR(INDEX(Ingredients!$Z$5:$Z$304,MATCH(B129,Ingredients!$B$5:$B$304,0)),"Add to Ingredients"))</f>
        <v>0</v>
      </c>
      <c r="M129" s="19">
        <f>IF(K129&lt;&gt;"",K129,IF(OR(J129="",L129="",NOT(ISNUMBER(L129))),"",J129+L129))</f>
        <v>0</v>
      </c>
      <c r="N129" s="18">
        <f>IF(M129="","",M129-TODAY())</f>
        <v>0</v>
      </c>
      <c r="O129" s="25">
        <f>IF(B129="","",IFERROR(INDEX(Ingredients!$J$5:$J$304,MATCH(B129,Ingredients!$B$5:$B$304,0)),"Add to Ingredients"))</f>
        <v>0</v>
      </c>
      <c r="P129" s="25">
        <f>IF(OR(G129="",O129="",NOT(ISNUMBER(O129))),"",G129*O129)</f>
        <v>0</v>
      </c>
      <c r="R129" s="45">
        <f>IF(B129="","",IFERROR(INDEX(Ingredients!$AG$5:$AG$304,MATCH(B129,Ingredients!$B$5:$B$304,0)),0))</f>
        <v>0</v>
      </c>
      <c r="S129" s="45">
        <f>IF(G129="","",G129-IF(R129="",0,R129))</f>
        <v>0</v>
      </c>
      <c r="U129" s="18">
        <f>IF(OR(B129="",D129&lt;&gt;"Fridge",NOT(ISNUMBER(N129))),"",COUNTIFS($D$5:$D$304,"Fridge",$N$5:$N$304,"&lt;"&amp;N129)+COUNTIFS($D$5:D129,"Fridge",$N$5:N129,N129))</f>
        <v>0</v>
      </c>
      <c r="V129" s="18">
        <f>IF(OR(B129="",D129&lt;&gt;"Freezer",NOT(ISNUMBER(N129))),"",COUNTIFS($D$5:$D$304,"Freezer",$N$5:$N$304,"&lt;"&amp;N129)+COUNTIFS($D$5:D129,"Freezer",$N$5:N129,N129))</f>
        <v>0</v>
      </c>
      <c r="W129" s="31">
        <f>IF(B129="","",IF(G129=0,"Out of stock",IF(AND(N129&lt;&gt;"",N129&lt;0),"Expired",IF(AND(N129&lt;&gt;"",N129&lt;=ExpiryWarningDays),"Use soon",IF(AND(Q129&lt;&gt;"",G129&lt;Q129),"Low stock","In stock")))))</f>
        <v>0</v>
      </c>
      <c r="X129" s="31">
        <f>IF(B129="","",IF(W129="Expired","Expired - bin it and log it on the Food Waste tab",IF(W129="Use soon","Use soon - plan a meal with it",IF(W129="Out of stock",IF(T129="Yes","Missing - staple has run out","Add - restock when convenient"),IF(W129="Low stock","Check - running low",IF(S129&lt;0,"Check - the plan needs more than you have","OK"))))))</f>
        <v>0</v>
      </c>
    </row>
    <row r="130" spans="1:24">
      <c r="A130" s="39">
        <f>IF(B130="","",PantryPrefix&amp;TEXT(ROW()-4,"0000"))</f>
        <v>0</v>
      </c>
      <c r="C130" s="17">
        <f>IF(B130="","",IFERROR(INDEX(Ingredients!$C$5:$C$304,MATCH(B130,Ingredients!$B$5:$B$304,0)),"Add to Ingredients"))</f>
        <v>0</v>
      </c>
      <c r="G130" s="45">
        <f>IF(E130="","",IFERROR(E130*INDEX(UnitFactors,MATCH(F130,UnitNames,0)),""))</f>
        <v>0</v>
      </c>
      <c r="H130" s="17">
        <f>IF(F130="","",IFERROR(INDEX(UnitBases,MATCH(F130,UnitNames,0)),"?"))</f>
        <v>0</v>
      </c>
      <c r="L130" s="18">
        <f>IF(B130="","",IFERROR(INDEX(Ingredients!$Z$5:$Z$304,MATCH(B130,Ingredients!$B$5:$B$304,0)),"Add to Ingredients"))</f>
        <v>0</v>
      </c>
      <c r="M130" s="19">
        <f>IF(K130&lt;&gt;"",K130,IF(OR(J130="",L130="",NOT(ISNUMBER(L130))),"",J130+L130))</f>
        <v>0</v>
      </c>
      <c r="N130" s="18">
        <f>IF(M130="","",M130-TODAY())</f>
        <v>0</v>
      </c>
      <c r="O130" s="25">
        <f>IF(B130="","",IFERROR(INDEX(Ingredients!$J$5:$J$304,MATCH(B130,Ingredients!$B$5:$B$304,0)),"Add to Ingredients"))</f>
        <v>0</v>
      </c>
      <c r="P130" s="25">
        <f>IF(OR(G130="",O130="",NOT(ISNUMBER(O130))),"",G130*O130)</f>
        <v>0</v>
      </c>
      <c r="R130" s="45">
        <f>IF(B130="","",IFERROR(INDEX(Ingredients!$AG$5:$AG$304,MATCH(B130,Ingredients!$B$5:$B$304,0)),0))</f>
        <v>0</v>
      </c>
      <c r="S130" s="45">
        <f>IF(G130="","",G130-IF(R130="",0,R130))</f>
        <v>0</v>
      </c>
      <c r="U130" s="18">
        <f>IF(OR(B130="",D130&lt;&gt;"Fridge",NOT(ISNUMBER(N130))),"",COUNTIFS($D$5:$D$304,"Fridge",$N$5:$N$304,"&lt;"&amp;N130)+COUNTIFS($D$5:D130,"Fridge",$N$5:N130,N130))</f>
        <v>0</v>
      </c>
      <c r="V130" s="18">
        <f>IF(OR(B130="",D130&lt;&gt;"Freezer",NOT(ISNUMBER(N130))),"",COUNTIFS($D$5:$D$304,"Freezer",$N$5:$N$304,"&lt;"&amp;N130)+COUNTIFS($D$5:D130,"Freezer",$N$5:N130,N130))</f>
        <v>0</v>
      </c>
      <c r="W130" s="31">
        <f>IF(B130="","",IF(G130=0,"Out of stock",IF(AND(N130&lt;&gt;"",N130&lt;0),"Expired",IF(AND(N130&lt;&gt;"",N130&lt;=ExpiryWarningDays),"Use soon",IF(AND(Q130&lt;&gt;"",G130&lt;Q130),"Low stock","In stock")))))</f>
        <v>0</v>
      </c>
      <c r="X130" s="31">
        <f>IF(B130="","",IF(W130="Expired","Expired - bin it and log it on the Food Waste tab",IF(W130="Use soon","Use soon - plan a meal with it",IF(W130="Out of stock",IF(T130="Yes","Missing - staple has run out","Add - restock when convenient"),IF(W130="Low stock","Check - running low",IF(S130&lt;0,"Check - the plan needs more than you have","OK"))))))</f>
        <v>0</v>
      </c>
    </row>
    <row r="131" spans="1:24">
      <c r="A131" s="39">
        <f>IF(B131="","",PantryPrefix&amp;TEXT(ROW()-4,"0000"))</f>
        <v>0</v>
      </c>
      <c r="C131" s="17">
        <f>IF(B131="","",IFERROR(INDEX(Ingredients!$C$5:$C$304,MATCH(B131,Ingredients!$B$5:$B$304,0)),"Add to Ingredients"))</f>
        <v>0</v>
      </c>
      <c r="G131" s="45">
        <f>IF(E131="","",IFERROR(E131*INDEX(UnitFactors,MATCH(F131,UnitNames,0)),""))</f>
        <v>0</v>
      </c>
      <c r="H131" s="17">
        <f>IF(F131="","",IFERROR(INDEX(UnitBases,MATCH(F131,UnitNames,0)),"?"))</f>
        <v>0</v>
      </c>
      <c r="L131" s="18">
        <f>IF(B131="","",IFERROR(INDEX(Ingredients!$Z$5:$Z$304,MATCH(B131,Ingredients!$B$5:$B$304,0)),"Add to Ingredients"))</f>
        <v>0</v>
      </c>
      <c r="M131" s="19">
        <f>IF(K131&lt;&gt;"",K131,IF(OR(J131="",L131="",NOT(ISNUMBER(L131))),"",J131+L131))</f>
        <v>0</v>
      </c>
      <c r="N131" s="18">
        <f>IF(M131="","",M131-TODAY())</f>
        <v>0</v>
      </c>
      <c r="O131" s="25">
        <f>IF(B131="","",IFERROR(INDEX(Ingredients!$J$5:$J$304,MATCH(B131,Ingredients!$B$5:$B$304,0)),"Add to Ingredients"))</f>
        <v>0</v>
      </c>
      <c r="P131" s="25">
        <f>IF(OR(G131="",O131="",NOT(ISNUMBER(O131))),"",G131*O131)</f>
        <v>0</v>
      </c>
      <c r="R131" s="45">
        <f>IF(B131="","",IFERROR(INDEX(Ingredients!$AG$5:$AG$304,MATCH(B131,Ingredients!$B$5:$B$304,0)),0))</f>
        <v>0</v>
      </c>
      <c r="S131" s="45">
        <f>IF(G131="","",G131-IF(R131="",0,R131))</f>
        <v>0</v>
      </c>
      <c r="U131" s="18">
        <f>IF(OR(B131="",D131&lt;&gt;"Fridge",NOT(ISNUMBER(N131))),"",COUNTIFS($D$5:$D$304,"Fridge",$N$5:$N$304,"&lt;"&amp;N131)+COUNTIFS($D$5:D131,"Fridge",$N$5:N131,N131))</f>
        <v>0</v>
      </c>
      <c r="V131" s="18">
        <f>IF(OR(B131="",D131&lt;&gt;"Freezer",NOT(ISNUMBER(N131))),"",COUNTIFS($D$5:$D$304,"Freezer",$N$5:$N$304,"&lt;"&amp;N131)+COUNTIFS($D$5:D131,"Freezer",$N$5:N131,N131))</f>
        <v>0</v>
      </c>
      <c r="W131" s="31">
        <f>IF(B131="","",IF(G131=0,"Out of stock",IF(AND(N131&lt;&gt;"",N131&lt;0),"Expired",IF(AND(N131&lt;&gt;"",N131&lt;=ExpiryWarningDays),"Use soon",IF(AND(Q131&lt;&gt;"",G131&lt;Q131),"Low stock","In stock")))))</f>
        <v>0</v>
      </c>
      <c r="X131" s="31">
        <f>IF(B131="","",IF(W131="Expired","Expired - bin it and log it on the Food Waste tab",IF(W131="Use soon","Use soon - plan a meal with it",IF(W131="Out of stock",IF(T131="Yes","Missing - staple has run out","Add - restock when convenient"),IF(W131="Low stock","Check - running low",IF(S131&lt;0,"Check - the plan needs more than you have","OK"))))))</f>
        <v>0</v>
      </c>
    </row>
    <row r="132" spans="1:24">
      <c r="A132" s="39">
        <f>IF(B132="","",PantryPrefix&amp;TEXT(ROW()-4,"0000"))</f>
        <v>0</v>
      </c>
      <c r="C132" s="17">
        <f>IF(B132="","",IFERROR(INDEX(Ingredients!$C$5:$C$304,MATCH(B132,Ingredients!$B$5:$B$304,0)),"Add to Ingredients"))</f>
        <v>0</v>
      </c>
      <c r="G132" s="45">
        <f>IF(E132="","",IFERROR(E132*INDEX(UnitFactors,MATCH(F132,UnitNames,0)),""))</f>
        <v>0</v>
      </c>
      <c r="H132" s="17">
        <f>IF(F132="","",IFERROR(INDEX(UnitBases,MATCH(F132,UnitNames,0)),"?"))</f>
        <v>0</v>
      </c>
      <c r="L132" s="18">
        <f>IF(B132="","",IFERROR(INDEX(Ingredients!$Z$5:$Z$304,MATCH(B132,Ingredients!$B$5:$B$304,0)),"Add to Ingredients"))</f>
        <v>0</v>
      </c>
      <c r="M132" s="19">
        <f>IF(K132&lt;&gt;"",K132,IF(OR(J132="",L132="",NOT(ISNUMBER(L132))),"",J132+L132))</f>
        <v>0</v>
      </c>
      <c r="N132" s="18">
        <f>IF(M132="","",M132-TODAY())</f>
        <v>0</v>
      </c>
      <c r="O132" s="25">
        <f>IF(B132="","",IFERROR(INDEX(Ingredients!$J$5:$J$304,MATCH(B132,Ingredients!$B$5:$B$304,0)),"Add to Ingredients"))</f>
        <v>0</v>
      </c>
      <c r="P132" s="25">
        <f>IF(OR(G132="",O132="",NOT(ISNUMBER(O132))),"",G132*O132)</f>
        <v>0</v>
      </c>
      <c r="R132" s="45">
        <f>IF(B132="","",IFERROR(INDEX(Ingredients!$AG$5:$AG$304,MATCH(B132,Ingredients!$B$5:$B$304,0)),0))</f>
        <v>0</v>
      </c>
      <c r="S132" s="45">
        <f>IF(G132="","",G132-IF(R132="",0,R132))</f>
        <v>0</v>
      </c>
      <c r="U132" s="18">
        <f>IF(OR(B132="",D132&lt;&gt;"Fridge",NOT(ISNUMBER(N132))),"",COUNTIFS($D$5:$D$304,"Fridge",$N$5:$N$304,"&lt;"&amp;N132)+COUNTIFS($D$5:D132,"Fridge",$N$5:N132,N132))</f>
        <v>0</v>
      </c>
      <c r="V132" s="18">
        <f>IF(OR(B132="",D132&lt;&gt;"Freezer",NOT(ISNUMBER(N132))),"",COUNTIFS($D$5:$D$304,"Freezer",$N$5:$N$304,"&lt;"&amp;N132)+COUNTIFS($D$5:D132,"Freezer",$N$5:N132,N132))</f>
        <v>0</v>
      </c>
      <c r="W132" s="31">
        <f>IF(B132="","",IF(G132=0,"Out of stock",IF(AND(N132&lt;&gt;"",N132&lt;0),"Expired",IF(AND(N132&lt;&gt;"",N132&lt;=ExpiryWarningDays),"Use soon",IF(AND(Q132&lt;&gt;"",G132&lt;Q132),"Low stock","In stock")))))</f>
        <v>0</v>
      </c>
      <c r="X132" s="31">
        <f>IF(B132="","",IF(W132="Expired","Expired - bin it and log it on the Food Waste tab",IF(W132="Use soon","Use soon - plan a meal with it",IF(W132="Out of stock",IF(T132="Yes","Missing - staple has run out","Add - restock when convenient"),IF(W132="Low stock","Check - running low",IF(S132&lt;0,"Check - the plan needs more than you have","OK"))))))</f>
        <v>0</v>
      </c>
    </row>
    <row r="133" spans="1:24">
      <c r="A133" s="39">
        <f>IF(B133="","",PantryPrefix&amp;TEXT(ROW()-4,"0000"))</f>
        <v>0</v>
      </c>
      <c r="C133" s="17">
        <f>IF(B133="","",IFERROR(INDEX(Ingredients!$C$5:$C$304,MATCH(B133,Ingredients!$B$5:$B$304,0)),"Add to Ingredients"))</f>
        <v>0</v>
      </c>
      <c r="G133" s="45">
        <f>IF(E133="","",IFERROR(E133*INDEX(UnitFactors,MATCH(F133,UnitNames,0)),""))</f>
        <v>0</v>
      </c>
      <c r="H133" s="17">
        <f>IF(F133="","",IFERROR(INDEX(UnitBases,MATCH(F133,UnitNames,0)),"?"))</f>
        <v>0</v>
      </c>
      <c r="L133" s="18">
        <f>IF(B133="","",IFERROR(INDEX(Ingredients!$Z$5:$Z$304,MATCH(B133,Ingredients!$B$5:$B$304,0)),"Add to Ingredients"))</f>
        <v>0</v>
      </c>
      <c r="M133" s="19">
        <f>IF(K133&lt;&gt;"",K133,IF(OR(J133="",L133="",NOT(ISNUMBER(L133))),"",J133+L133))</f>
        <v>0</v>
      </c>
      <c r="N133" s="18">
        <f>IF(M133="","",M133-TODAY())</f>
        <v>0</v>
      </c>
      <c r="O133" s="25">
        <f>IF(B133="","",IFERROR(INDEX(Ingredients!$J$5:$J$304,MATCH(B133,Ingredients!$B$5:$B$304,0)),"Add to Ingredients"))</f>
        <v>0</v>
      </c>
      <c r="P133" s="25">
        <f>IF(OR(G133="",O133="",NOT(ISNUMBER(O133))),"",G133*O133)</f>
        <v>0</v>
      </c>
      <c r="R133" s="45">
        <f>IF(B133="","",IFERROR(INDEX(Ingredients!$AG$5:$AG$304,MATCH(B133,Ingredients!$B$5:$B$304,0)),0))</f>
        <v>0</v>
      </c>
      <c r="S133" s="45">
        <f>IF(G133="","",G133-IF(R133="",0,R133))</f>
        <v>0</v>
      </c>
      <c r="U133" s="18">
        <f>IF(OR(B133="",D133&lt;&gt;"Fridge",NOT(ISNUMBER(N133))),"",COUNTIFS($D$5:$D$304,"Fridge",$N$5:$N$304,"&lt;"&amp;N133)+COUNTIFS($D$5:D133,"Fridge",$N$5:N133,N133))</f>
        <v>0</v>
      </c>
      <c r="V133" s="18">
        <f>IF(OR(B133="",D133&lt;&gt;"Freezer",NOT(ISNUMBER(N133))),"",COUNTIFS($D$5:$D$304,"Freezer",$N$5:$N$304,"&lt;"&amp;N133)+COUNTIFS($D$5:D133,"Freezer",$N$5:N133,N133))</f>
        <v>0</v>
      </c>
      <c r="W133" s="31">
        <f>IF(B133="","",IF(G133=0,"Out of stock",IF(AND(N133&lt;&gt;"",N133&lt;0),"Expired",IF(AND(N133&lt;&gt;"",N133&lt;=ExpiryWarningDays),"Use soon",IF(AND(Q133&lt;&gt;"",G133&lt;Q133),"Low stock","In stock")))))</f>
        <v>0</v>
      </c>
      <c r="X133" s="31">
        <f>IF(B133="","",IF(W133="Expired","Expired - bin it and log it on the Food Waste tab",IF(W133="Use soon","Use soon - plan a meal with it",IF(W133="Out of stock",IF(T133="Yes","Missing - staple has run out","Add - restock when convenient"),IF(W133="Low stock","Check - running low",IF(S133&lt;0,"Check - the plan needs more than you have","OK"))))))</f>
        <v>0</v>
      </c>
    </row>
    <row r="134" spans="1:24">
      <c r="A134" s="39">
        <f>IF(B134="","",PantryPrefix&amp;TEXT(ROW()-4,"0000"))</f>
        <v>0</v>
      </c>
      <c r="C134" s="17">
        <f>IF(B134="","",IFERROR(INDEX(Ingredients!$C$5:$C$304,MATCH(B134,Ingredients!$B$5:$B$304,0)),"Add to Ingredients"))</f>
        <v>0</v>
      </c>
      <c r="G134" s="45">
        <f>IF(E134="","",IFERROR(E134*INDEX(UnitFactors,MATCH(F134,UnitNames,0)),""))</f>
        <v>0</v>
      </c>
      <c r="H134" s="17">
        <f>IF(F134="","",IFERROR(INDEX(UnitBases,MATCH(F134,UnitNames,0)),"?"))</f>
        <v>0</v>
      </c>
      <c r="L134" s="18">
        <f>IF(B134="","",IFERROR(INDEX(Ingredients!$Z$5:$Z$304,MATCH(B134,Ingredients!$B$5:$B$304,0)),"Add to Ingredients"))</f>
        <v>0</v>
      </c>
      <c r="M134" s="19">
        <f>IF(K134&lt;&gt;"",K134,IF(OR(J134="",L134="",NOT(ISNUMBER(L134))),"",J134+L134))</f>
        <v>0</v>
      </c>
      <c r="N134" s="18">
        <f>IF(M134="","",M134-TODAY())</f>
        <v>0</v>
      </c>
      <c r="O134" s="25">
        <f>IF(B134="","",IFERROR(INDEX(Ingredients!$J$5:$J$304,MATCH(B134,Ingredients!$B$5:$B$304,0)),"Add to Ingredients"))</f>
        <v>0</v>
      </c>
      <c r="P134" s="25">
        <f>IF(OR(G134="",O134="",NOT(ISNUMBER(O134))),"",G134*O134)</f>
        <v>0</v>
      </c>
      <c r="R134" s="45">
        <f>IF(B134="","",IFERROR(INDEX(Ingredients!$AG$5:$AG$304,MATCH(B134,Ingredients!$B$5:$B$304,0)),0))</f>
        <v>0</v>
      </c>
      <c r="S134" s="45">
        <f>IF(G134="","",G134-IF(R134="",0,R134))</f>
        <v>0</v>
      </c>
      <c r="U134" s="18">
        <f>IF(OR(B134="",D134&lt;&gt;"Fridge",NOT(ISNUMBER(N134))),"",COUNTIFS($D$5:$D$304,"Fridge",$N$5:$N$304,"&lt;"&amp;N134)+COUNTIFS($D$5:D134,"Fridge",$N$5:N134,N134))</f>
        <v>0</v>
      </c>
      <c r="V134" s="18">
        <f>IF(OR(B134="",D134&lt;&gt;"Freezer",NOT(ISNUMBER(N134))),"",COUNTIFS($D$5:$D$304,"Freezer",$N$5:$N$304,"&lt;"&amp;N134)+COUNTIFS($D$5:D134,"Freezer",$N$5:N134,N134))</f>
        <v>0</v>
      </c>
      <c r="W134" s="31">
        <f>IF(B134="","",IF(G134=0,"Out of stock",IF(AND(N134&lt;&gt;"",N134&lt;0),"Expired",IF(AND(N134&lt;&gt;"",N134&lt;=ExpiryWarningDays),"Use soon",IF(AND(Q134&lt;&gt;"",G134&lt;Q134),"Low stock","In stock")))))</f>
        <v>0</v>
      </c>
      <c r="X134" s="31">
        <f>IF(B134="","",IF(W134="Expired","Expired - bin it and log it on the Food Waste tab",IF(W134="Use soon","Use soon - plan a meal with it",IF(W134="Out of stock",IF(T134="Yes","Missing - staple has run out","Add - restock when convenient"),IF(W134="Low stock","Check - running low",IF(S134&lt;0,"Check - the plan needs more than you have","OK"))))))</f>
        <v>0</v>
      </c>
    </row>
    <row r="135" spans="1:24">
      <c r="A135" s="39">
        <f>IF(B135="","",PantryPrefix&amp;TEXT(ROW()-4,"0000"))</f>
        <v>0</v>
      </c>
      <c r="C135" s="17">
        <f>IF(B135="","",IFERROR(INDEX(Ingredients!$C$5:$C$304,MATCH(B135,Ingredients!$B$5:$B$304,0)),"Add to Ingredients"))</f>
        <v>0</v>
      </c>
      <c r="G135" s="45">
        <f>IF(E135="","",IFERROR(E135*INDEX(UnitFactors,MATCH(F135,UnitNames,0)),""))</f>
        <v>0</v>
      </c>
      <c r="H135" s="17">
        <f>IF(F135="","",IFERROR(INDEX(UnitBases,MATCH(F135,UnitNames,0)),"?"))</f>
        <v>0</v>
      </c>
      <c r="L135" s="18">
        <f>IF(B135="","",IFERROR(INDEX(Ingredients!$Z$5:$Z$304,MATCH(B135,Ingredients!$B$5:$B$304,0)),"Add to Ingredients"))</f>
        <v>0</v>
      </c>
      <c r="M135" s="19">
        <f>IF(K135&lt;&gt;"",K135,IF(OR(J135="",L135="",NOT(ISNUMBER(L135))),"",J135+L135))</f>
        <v>0</v>
      </c>
      <c r="N135" s="18">
        <f>IF(M135="","",M135-TODAY())</f>
        <v>0</v>
      </c>
      <c r="O135" s="25">
        <f>IF(B135="","",IFERROR(INDEX(Ingredients!$J$5:$J$304,MATCH(B135,Ingredients!$B$5:$B$304,0)),"Add to Ingredients"))</f>
        <v>0</v>
      </c>
      <c r="P135" s="25">
        <f>IF(OR(G135="",O135="",NOT(ISNUMBER(O135))),"",G135*O135)</f>
        <v>0</v>
      </c>
      <c r="R135" s="45">
        <f>IF(B135="","",IFERROR(INDEX(Ingredients!$AG$5:$AG$304,MATCH(B135,Ingredients!$B$5:$B$304,0)),0))</f>
        <v>0</v>
      </c>
      <c r="S135" s="45">
        <f>IF(G135="","",G135-IF(R135="",0,R135))</f>
        <v>0</v>
      </c>
      <c r="U135" s="18">
        <f>IF(OR(B135="",D135&lt;&gt;"Fridge",NOT(ISNUMBER(N135))),"",COUNTIFS($D$5:$D$304,"Fridge",$N$5:$N$304,"&lt;"&amp;N135)+COUNTIFS($D$5:D135,"Fridge",$N$5:N135,N135))</f>
        <v>0</v>
      </c>
      <c r="V135" s="18">
        <f>IF(OR(B135="",D135&lt;&gt;"Freezer",NOT(ISNUMBER(N135))),"",COUNTIFS($D$5:$D$304,"Freezer",$N$5:$N$304,"&lt;"&amp;N135)+COUNTIFS($D$5:D135,"Freezer",$N$5:N135,N135))</f>
        <v>0</v>
      </c>
      <c r="W135" s="31">
        <f>IF(B135="","",IF(G135=0,"Out of stock",IF(AND(N135&lt;&gt;"",N135&lt;0),"Expired",IF(AND(N135&lt;&gt;"",N135&lt;=ExpiryWarningDays),"Use soon",IF(AND(Q135&lt;&gt;"",G135&lt;Q135),"Low stock","In stock")))))</f>
        <v>0</v>
      </c>
      <c r="X135" s="31">
        <f>IF(B135="","",IF(W135="Expired","Expired - bin it and log it on the Food Waste tab",IF(W135="Use soon","Use soon - plan a meal with it",IF(W135="Out of stock",IF(T135="Yes","Missing - staple has run out","Add - restock when convenient"),IF(W135="Low stock","Check - running low",IF(S135&lt;0,"Check - the plan needs more than you have","OK"))))))</f>
        <v>0</v>
      </c>
    </row>
    <row r="136" spans="1:24">
      <c r="A136" s="39">
        <f>IF(B136="","",PantryPrefix&amp;TEXT(ROW()-4,"0000"))</f>
        <v>0</v>
      </c>
      <c r="C136" s="17">
        <f>IF(B136="","",IFERROR(INDEX(Ingredients!$C$5:$C$304,MATCH(B136,Ingredients!$B$5:$B$304,0)),"Add to Ingredients"))</f>
        <v>0</v>
      </c>
      <c r="G136" s="45">
        <f>IF(E136="","",IFERROR(E136*INDEX(UnitFactors,MATCH(F136,UnitNames,0)),""))</f>
        <v>0</v>
      </c>
      <c r="H136" s="17">
        <f>IF(F136="","",IFERROR(INDEX(UnitBases,MATCH(F136,UnitNames,0)),"?"))</f>
        <v>0</v>
      </c>
      <c r="L136" s="18">
        <f>IF(B136="","",IFERROR(INDEX(Ingredients!$Z$5:$Z$304,MATCH(B136,Ingredients!$B$5:$B$304,0)),"Add to Ingredients"))</f>
        <v>0</v>
      </c>
      <c r="M136" s="19">
        <f>IF(K136&lt;&gt;"",K136,IF(OR(J136="",L136="",NOT(ISNUMBER(L136))),"",J136+L136))</f>
        <v>0</v>
      </c>
      <c r="N136" s="18">
        <f>IF(M136="","",M136-TODAY())</f>
        <v>0</v>
      </c>
      <c r="O136" s="25">
        <f>IF(B136="","",IFERROR(INDEX(Ingredients!$J$5:$J$304,MATCH(B136,Ingredients!$B$5:$B$304,0)),"Add to Ingredients"))</f>
        <v>0</v>
      </c>
      <c r="P136" s="25">
        <f>IF(OR(G136="",O136="",NOT(ISNUMBER(O136))),"",G136*O136)</f>
        <v>0</v>
      </c>
      <c r="R136" s="45">
        <f>IF(B136="","",IFERROR(INDEX(Ingredients!$AG$5:$AG$304,MATCH(B136,Ingredients!$B$5:$B$304,0)),0))</f>
        <v>0</v>
      </c>
      <c r="S136" s="45">
        <f>IF(G136="","",G136-IF(R136="",0,R136))</f>
        <v>0</v>
      </c>
      <c r="U136" s="18">
        <f>IF(OR(B136="",D136&lt;&gt;"Fridge",NOT(ISNUMBER(N136))),"",COUNTIFS($D$5:$D$304,"Fridge",$N$5:$N$304,"&lt;"&amp;N136)+COUNTIFS($D$5:D136,"Fridge",$N$5:N136,N136))</f>
        <v>0</v>
      </c>
      <c r="V136" s="18">
        <f>IF(OR(B136="",D136&lt;&gt;"Freezer",NOT(ISNUMBER(N136))),"",COUNTIFS($D$5:$D$304,"Freezer",$N$5:$N$304,"&lt;"&amp;N136)+COUNTIFS($D$5:D136,"Freezer",$N$5:N136,N136))</f>
        <v>0</v>
      </c>
      <c r="W136" s="31">
        <f>IF(B136="","",IF(G136=0,"Out of stock",IF(AND(N136&lt;&gt;"",N136&lt;0),"Expired",IF(AND(N136&lt;&gt;"",N136&lt;=ExpiryWarningDays),"Use soon",IF(AND(Q136&lt;&gt;"",G136&lt;Q136),"Low stock","In stock")))))</f>
        <v>0</v>
      </c>
      <c r="X136" s="31">
        <f>IF(B136="","",IF(W136="Expired","Expired - bin it and log it on the Food Waste tab",IF(W136="Use soon","Use soon - plan a meal with it",IF(W136="Out of stock",IF(T136="Yes","Missing - staple has run out","Add - restock when convenient"),IF(W136="Low stock","Check - running low",IF(S136&lt;0,"Check - the plan needs more than you have","OK"))))))</f>
        <v>0</v>
      </c>
    </row>
    <row r="137" spans="1:24">
      <c r="A137" s="39">
        <f>IF(B137="","",PantryPrefix&amp;TEXT(ROW()-4,"0000"))</f>
        <v>0</v>
      </c>
      <c r="C137" s="17">
        <f>IF(B137="","",IFERROR(INDEX(Ingredients!$C$5:$C$304,MATCH(B137,Ingredients!$B$5:$B$304,0)),"Add to Ingredients"))</f>
        <v>0</v>
      </c>
      <c r="G137" s="45">
        <f>IF(E137="","",IFERROR(E137*INDEX(UnitFactors,MATCH(F137,UnitNames,0)),""))</f>
        <v>0</v>
      </c>
      <c r="H137" s="17">
        <f>IF(F137="","",IFERROR(INDEX(UnitBases,MATCH(F137,UnitNames,0)),"?"))</f>
        <v>0</v>
      </c>
      <c r="L137" s="18">
        <f>IF(B137="","",IFERROR(INDEX(Ingredients!$Z$5:$Z$304,MATCH(B137,Ingredients!$B$5:$B$304,0)),"Add to Ingredients"))</f>
        <v>0</v>
      </c>
      <c r="M137" s="19">
        <f>IF(K137&lt;&gt;"",K137,IF(OR(J137="",L137="",NOT(ISNUMBER(L137))),"",J137+L137))</f>
        <v>0</v>
      </c>
      <c r="N137" s="18">
        <f>IF(M137="","",M137-TODAY())</f>
        <v>0</v>
      </c>
      <c r="O137" s="25">
        <f>IF(B137="","",IFERROR(INDEX(Ingredients!$J$5:$J$304,MATCH(B137,Ingredients!$B$5:$B$304,0)),"Add to Ingredients"))</f>
        <v>0</v>
      </c>
      <c r="P137" s="25">
        <f>IF(OR(G137="",O137="",NOT(ISNUMBER(O137))),"",G137*O137)</f>
        <v>0</v>
      </c>
      <c r="R137" s="45">
        <f>IF(B137="","",IFERROR(INDEX(Ingredients!$AG$5:$AG$304,MATCH(B137,Ingredients!$B$5:$B$304,0)),0))</f>
        <v>0</v>
      </c>
      <c r="S137" s="45">
        <f>IF(G137="","",G137-IF(R137="",0,R137))</f>
        <v>0</v>
      </c>
      <c r="U137" s="18">
        <f>IF(OR(B137="",D137&lt;&gt;"Fridge",NOT(ISNUMBER(N137))),"",COUNTIFS($D$5:$D$304,"Fridge",$N$5:$N$304,"&lt;"&amp;N137)+COUNTIFS($D$5:D137,"Fridge",$N$5:N137,N137))</f>
        <v>0</v>
      </c>
      <c r="V137" s="18">
        <f>IF(OR(B137="",D137&lt;&gt;"Freezer",NOT(ISNUMBER(N137))),"",COUNTIFS($D$5:$D$304,"Freezer",$N$5:$N$304,"&lt;"&amp;N137)+COUNTIFS($D$5:D137,"Freezer",$N$5:N137,N137))</f>
        <v>0</v>
      </c>
      <c r="W137" s="31">
        <f>IF(B137="","",IF(G137=0,"Out of stock",IF(AND(N137&lt;&gt;"",N137&lt;0),"Expired",IF(AND(N137&lt;&gt;"",N137&lt;=ExpiryWarningDays),"Use soon",IF(AND(Q137&lt;&gt;"",G137&lt;Q137),"Low stock","In stock")))))</f>
        <v>0</v>
      </c>
      <c r="X137" s="31">
        <f>IF(B137="","",IF(W137="Expired","Expired - bin it and log it on the Food Waste tab",IF(W137="Use soon","Use soon - plan a meal with it",IF(W137="Out of stock",IF(T137="Yes","Missing - staple has run out","Add - restock when convenient"),IF(W137="Low stock","Check - running low",IF(S137&lt;0,"Check - the plan needs more than you have","OK"))))))</f>
        <v>0</v>
      </c>
    </row>
    <row r="138" spans="1:24">
      <c r="A138" s="39">
        <f>IF(B138="","",PantryPrefix&amp;TEXT(ROW()-4,"0000"))</f>
        <v>0</v>
      </c>
      <c r="C138" s="17">
        <f>IF(B138="","",IFERROR(INDEX(Ingredients!$C$5:$C$304,MATCH(B138,Ingredients!$B$5:$B$304,0)),"Add to Ingredients"))</f>
        <v>0</v>
      </c>
      <c r="G138" s="45">
        <f>IF(E138="","",IFERROR(E138*INDEX(UnitFactors,MATCH(F138,UnitNames,0)),""))</f>
        <v>0</v>
      </c>
      <c r="H138" s="17">
        <f>IF(F138="","",IFERROR(INDEX(UnitBases,MATCH(F138,UnitNames,0)),"?"))</f>
        <v>0</v>
      </c>
      <c r="L138" s="18">
        <f>IF(B138="","",IFERROR(INDEX(Ingredients!$Z$5:$Z$304,MATCH(B138,Ingredients!$B$5:$B$304,0)),"Add to Ingredients"))</f>
        <v>0</v>
      </c>
      <c r="M138" s="19">
        <f>IF(K138&lt;&gt;"",K138,IF(OR(J138="",L138="",NOT(ISNUMBER(L138))),"",J138+L138))</f>
        <v>0</v>
      </c>
      <c r="N138" s="18">
        <f>IF(M138="","",M138-TODAY())</f>
        <v>0</v>
      </c>
      <c r="O138" s="25">
        <f>IF(B138="","",IFERROR(INDEX(Ingredients!$J$5:$J$304,MATCH(B138,Ingredients!$B$5:$B$304,0)),"Add to Ingredients"))</f>
        <v>0</v>
      </c>
      <c r="P138" s="25">
        <f>IF(OR(G138="",O138="",NOT(ISNUMBER(O138))),"",G138*O138)</f>
        <v>0</v>
      </c>
      <c r="R138" s="45">
        <f>IF(B138="","",IFERROR(INDEX(Ingredients!$AG$5:$AG$304,MATCH(B138,Ingredients!$B$5:$B$304,0)),0))</f>
        <v>0</v>
      </c>
      <c r="S138" s="45">
        <f>IF(G138="","",G138-IF(R138="",0,R138))</f>
        <v>0</v>
      </c>
      <c r="U138" s="18">
        <f>IF(OR(B138="",D138&lt;&gt;"Fridge",NOT(ISNUMBER(N138))),"",COUNTIFS($D$5:$D$304,"Fridge",$N$5:$N$304,"&lt;"&amp;N138)+COUNTIFS($D$5:D138,"Fridge",$N$5:N138,N138))</f>
        <v>0</v>
      </c>
      <c r="V138" s="18">
        <f>IF(OR(B138="",D138&lt;&gt;"Freezer",NOT(ISNUMBER(N138))),"",COUNTIFS($D$5:$D$304,"Freezer",$N$5:$N$304,"&lt;"&amp;N138)+COUNTIFS($D$5:D138,"Freezer",$N$5:N138,N138))</f>
        <v>0</v>
      </c>
      <c r="W138" s="31">
        <f>IF(B138="","",IF(G138=0,"Out of stock",IF(AND(N138&lt;&gt;"",N138&lt;0),"Expired",IF(AND(N138&lt;&gt;"",N138&lt;=ExpiryWarningDays),"Use soon",IF(AND(Q138&lt;&gt;"",G138&lt;Q138),"Low stock","In stock")))))</f>
        <v>0</v>
      </c>
      <c r="X138" s="31">
        <f>IF(B138="","",IF(W138="Expired","Expired - bin it and log it on the Food Waste tab",IF(W138="Use soon","Use soon - plan a meal with it",IF(W138="Out of stock",IF(T138="Yes","Missing - staple has run out","Add - restock when convenient"),IF(W138="Low stock","Check - running low",IF(S138&lt;0,"Check - the plan needs more than you have","OK"))))))</f>
        <v>0</v>
      </c>
    </row>
    <row r="139" spans="1:24">
      <c r="A139" s="39">
        <f>IF(B139="","",PantryPrefix&amp;TEXT(ROW()-4,"0000"))</f>
        <v>0</v>
      </c>
      <c r="C139" s="17">
        <f>IF(B139="","",IFERROR(INDEX(Ingredients!$C$5:$C$304,MATCH(B139,Ingredients!$B$5:$B$304,0)),"Add to Ingredients"))</f>
        <v>0</v>
      </c>
      <c r="G139" s="45">
        <f>IF(E139="","",IFERROR(E139*INDEX(UnitFactors,MATCH(F139,UnitNames,0)),""))</f>
        <v>0</v>
      </c>
      <c r="H139" s="17">
        <f>IF(F139="","",IFERROR(INDEX(UnitBases,MATCH(F139,UnitNames,0)),"?"))</f>
        <v>0</v>
      </c>
      <c r="L139" s="18">
        <f>IF(B139="","",IFERROR(INDEX(Ingredients!$Z$5:$Z$304,MATCH(B139,Ingredients!$B$5:$B$304,0)),"Add to Ingredients"))</f>
        <v>0</v>
      </c>
      <c r="M139" s="19">
        <f>IF(K139&lt;&gt;"",K139,IF(OR(J139="",L139="",NOT(ISNUMBER(L139))),"",J139+L139))</f>
        <v>0</v>
      </c>
      <c r="N139" s="18">
        <f>IF(M139="","",M139-TODAY())</f>
        <v>0</v>
      </c>
      <c r="O139" s="25">
        <f>IF(B139="","",IFERROR(INDEX(Ingredients!$J$5:$J$304,MATCH(B139,Ingredients!$B$5:$B$304,0)),"Add to Ingredients"))</f>
        <v>0</v>
      </c>
      <c r="P139" s="25">
        <f>IF(OR(G139="",O139="",NOT(ISNUMBER(O139))),"",G139*O139)</f>
        <v>0</v>
      </c>
      <c r="R139" s="45">
        <f>IF(B139="","",IFERROR(INDEX(Ingredients!$AG$5:$AG$304,MATCH(B139,Ingredients!$B$5:$B$304,0)),0))</f>
        <v>0</v>
      </c>
      <c r="S139" s="45">
        <f>IF(G139="","",G139-IF(R139="",0,R139))</f>
        <v>0</v>
      </c>
      <c r="U139" s="18">
        <f>IF(OR(B139="",D139&lt;&gt;"Fridge",NOT(ISNUMBER(N139))),"",COUNTIFS($D$5:$D$304,"Fridge",$N$5:$N$304,"&lt;"&amp;N139)+COUNTIFS($D$5:D139,"Fridge",$N$5:N139,N139))</f>
        <v>0</v>
      </c>
      <c r="V139" s="18">
        <f>IF(OR(B139="",D139&lt;&gt;"Freezer",NOT(ISNUMBER(N139))),"",COUNTIFS($D$5:$D$304,"Freezer",$N$5:$N$304,"&lt;"&amp;N139)+COUNTIFS($D$5:D139,"Freezer",$N$5:N139,N139))</f>
        <v>0</v>
      </c>
      <c r="W139" s="31">
        <f>IF(B139="","",IF(G139=0,"Out of stock",IF(AND(N139&lt;&gt;"",N139&lt;0),"Expired",IF(AND(N139&lt;&gt;"",N139&lt;=ExpiryWarningDays),"Use soon",IF(AND(Q139&lt;&gt;"",G139&lt;Q139),"Low stock","In stock")))))</f>
        <v>0</v>
      </c>
      <c r="X139" s="31">
        <f>IF(B139="","",IF(W139="Expired","Expired - bin it and log it on the Food Waste tab",IF(W139="Use soon","Use soon - plan a meal with it",IF(W139="Out of stock",IF(T139="Yes","Missing - staple has run out","Add - restock when convenient"),IF(W139="Low stock","Check - running low",IF(S139&lt;0,"Check - the plan needs more than you have","OK"))))))</f>
        <v>0</v>
      </c>
    </row>
    <row r="140" spans="1:24">
      <c r="A140" s="39">
        <f>IF(B140="","",PantryPrefix&amp;TEXT(ROW()-4,"0000"))</f>
        <v>0</v>
      </c>
      <c r="C140" s="17">
        <f>IF(B140="","",IFERROR(INDEX(Ingredients!$C$5:$C$304,MATCH(B140,Ingredients!$B$5:$B$304,0)),"Add to Ingredients"))</f>
        <v>0</v>
      </c>
      <c r="G140" s="45">
        <f>IF(E140="","",IFERROR(E140*INDEX(UnitFactors,MATCH(F140,UnitNames,0)),""))</f>
        <v>0</v>
      </c>
      <c r="H140" s="17">
        <f>IF(F140="","",IFERROR(INDEX(UnitBases,MATCH(F140,UnitNames,0)),"?"))</f>
        <v>0</v>
      </c>
      <c r="L140" s="18">
        <f>IF(B140="","",IFERROR(INDEX(Ingredients!$Z$5:$Z$304,MATCH(B140,Ingredients!$B$5:$B$304,0)),"Add to Ingredients"))</f>
        <v>0</v>
      </c>
      <c r="M140" s="19">
        <f>IF(K140&lt;&gt;"",K140,IF(OR(J140="",L140="",NOT(ISNUMBER(L140))),"",J140+L140))</f>
        <v>0</v>
      </c>
      <c r="N140" s="18">
        <f>IF(M140="","",M140-TODAY())</f>
        <v>0</v>
      </c>
      <c r="O140" s="25">
        <f>IF(B140="","",IFERROR(INDEX(Ingredients!$J$5:$J$304,MATCH(B140,Ingredients!$B$5:$B$304,0)),"Add to Ingredients"))</f>
        <v>0</v>
      </c>
      <c r="P140" s="25">
        <f>IF(OR(G140="",O140="",NOT(ISNUMBER(O140))),"",G140*O140)</f>
        <v>0</v>
      </c>
      <c r="R140" s="45">
        <f>IF(B140="","",IFERROR(INDEX(Ingredients!$AG$5:$AG$304,MATCH(B140,Ingredients!$B$5:$B$304,0)),0))</f>
        <v>0</v>
      </c>
      <c r="S140" s="45">
        <f>IF(G140="","",G140-IF(R140="",0,R140))</f>
        <v>0</v>
      </c>
      <c r="U140" s="18">
        <f>IF(OR(B140="",D140&lt;&gt;"Fridge",NOT(ISNUMBER(N140))),"",COUNTIFS($D$5:$D$304,"Fridge",$N$5:$N$304,"&lt;"&amp;N140)+COUNTIFS($D$5:D140,"Fridge",$N$5:N140,N140))</f>
        <v>0</v>
      </c>
      <c r="V140" s="18">
        <f>IF(OR(B140="",D140&lt;&gt;"Freezer",NOT(ISNUMBER(N140))),"",COUNTIFS($D$5:$D$304,"Freezer",$N$5:$N$304,"&lt;"&amp;N140)+COUNTIFS($D$5:D140,"Freezer",$N$5:N140,N140))</f>
        <v>0</v>
      </c>
      <c r="W140" s="31">
        <f>IF(B140="","",IF(G140=0,"Out of stock",IF(AND(N140&lt;&gt;"",N140&lt;0),"Expired",IF(AND(N140&lt;&gt;"",N140&lt;=ExpiryWarningDays),"Use soon",IF(AND(Q140&lt;&gt;"",G140&lt;Q140),"Low stock","In stock")))))</f>
        <v>0</v>
      </c>
      <c r="X140" s="31">
        <f>IF(B140="","",IF(W140="Expired","Expired - bin it and log it on the Food Waste tab",IF(W140="Use soon","Use soon - plan a meal with it",IF(W140="Out of stock",IF(T140="Yes","Missing - staple has run out","Add - restock when convenient"),IF(W140="Low stock","Check - running low",IF(S140&lt;0,"Check - the plan needs more than you have","OK"))))))</f>
        <v>0</v>
      </c>
    </row>
    <row r="141" spans="1:24">
      <c r="A141" s="39">
        <f>IF(B141="","",PantryPrefix&amp;TEXT(ROW()-4,"0000"))</f>
        <v>0</v>
      </c>
      <c r="C141" s="17">
        <f>IF(B141="","",IFERROR(INDEX(Ingredients!$C$5:$C$304,MATCH(B141,Ingredients!$B$5:$B$304,0)),"Add to Ingredients"))</f>
        <v>0</v>
      </c>
      <c r="G141" s="45">
        <f>IF(E141="","",IFERROR(E141*INDEX(UnitFactors,MATCH(F141,UnitNames,0)),""))</f>
        <v>0</v>
      </c>
      <c r="H141" s="17">
        <f>IF(F141="","",IFERROR(INDEX(UnitBases,MATCH(F141,UnitNames,0)),"?"))</f>
        <v>0</v>
      </c>
      <c r="L141" s="18">
        <f>IF(B141="","",IFERROR(INDEX(Ingredients!$Z$5:$Z$304,MATCH(B141,Ingredients!$B$5:$B$304,0)),"Add to Ingredients"))</f>
        <v>0</v>
      </c>
      <c r="M141" s="19">
        <f>IF(K141&lt;&gt;"",K141,IF(OR(J141="",L141="",NOT(ISNUMBER(L141))),"",J141+L141))</f>
        <v>0</v>
      </c>
      <c r="N141" s="18">
        <f>IF(M141="","",M141-TODAY())</f>
        <v>0</v>
      </c>
      <c r="O141" s="25">
        <f>IF(B141="","",IFERROR(INDEX(Ingredients!$J$5:$J$304,MATCH(B141,Ingredients!$B$5:$B$304,0)),"Add to Ingredients"))</f>
        <v>0</v>
      </c>
      <c r="P141" s="25">
        <f>IF(OR(G141="",O141="",NOT(ISNUMBER(O141))),"",G141*O141)</f>
        <v>0</v>
      </c>
      <c r="R141" s="45">
        <f>IF(B141="","",IFERROR(INDEX(Ingredients!$AG$5:$AG$304,MATCH(B141,Ingredients!$B$5:$B$304,0)),0))</f>
        <v>0</v>
      </c>
      <c r="S141" s="45">
        <f>IF(G141="","",G141-IF(R141="",0,R141))</f>
        <v>0</v>
      </c>
      <c r="U141" s="18">
        <f>IF(OR(B141="",D141&lt;&gt;"Fridge",NOT(ISNUMBER(N141))),"",COUNTIFS($D$5:$D$304,"Fridge",$N$5:$N$304,"&lt;"&amp;N141)+COUNTIFS($D$5:D141,"Fridge",$N$5:N141,N141))</f>
        <v>0</v>
      </c>
      <c r="V141" s="18">
        <f>IF(OR(B141="",D141&lt;&gt;"Freezer",NOT(ISNUMBER(N141))),"",COUNTIFS($D$5:$D$304,"Freezer",$N$5:$N$304,"&lt;"&amp;N141)+COUNTIFS($D$5:D141,"Freezer",$N$5:N141,N141))</f>
        <v>0</v>
      </c>
      <c r="W141" s="31">
        <f>IF(B141="","",IF(G141=0,"Out of stock",IF(AND(N141&lt;&gt;"",N141&lt;0),"Expired",IF(AND(N141&lt;&gt;"",N141&lt;=ExpiryWarningDays),"Use soon",IF(AND(Q141&lt;&gt;"",G141&lt;Q141),"Low stock","In stock")))))</f>
        <v>0</v>
      </c>
      <c r="X141" s="31">
        <f>IF(B141="","",IF(W141="Expired","Expired - bin it and log it on the Food Waste tab",IF(W141="Use soon","Use soon - plan a meal with it",IF(W141="Out of stock",IF(T141="Yes","Missing - staple has run out","Add - restock when convenient"),IF(W141="Low stock","Check - running low",IF(S141&lt;0,"Check - the plan needs more than you have","OK"))))))</f>
        <v>0</v>
      </c>
    </row>
    <row r="142" spans="1:24">
      <c r="A142" s="39">
        <f>IF(B142="","",PantryPrefix&amp;TEXT(ROW()-4,"0000"))</f>
        <v>0</v>
      </c>
      <c r="C142" s="17">
        <f>IF(B142="","",IFERROR(INDEX(Ingredients!$C$5:$C$304,MATCH(B142,Ingredients!$B$5:$B$304,0)),"Add to Ingredients"))</f>
        <v>0</v>
      </c>
      <c r="G142" s="45">
        <f>IF(E142="","",IFERROR(E142*INDEX(UnitFactors,MATCH(F142,UnitNames,0)),""))</f>
        <v>0</v>
      </c>
      <c r="H142" s="17">
        <f>IF(F142="","",IFERROR(INDEX(UnitBases,MATCH(F142,UnitNames,0)),"?"))</f>
        <v>0</v>
      </c>
      <c r="L142" s="18">
        <f>IF(B142="","",IFERROR(INDEX(Ingredients!$Z$5:$Z$304,MATCH(B142,Ingredients!$B$5:$B$304,0)),"Add to Ingredients"))</f>
        <v>0</v>
      </c>
      <c r="M142" s="19">
        <f>IF(K142&lt;&gt;"",K142,IF(OR(J142="",L142="",NOT(ISNUMBER(L142))),"",J142+L142))</f>
        <v>0</v>
      </c>
      <c r="N142" s="18">
        <f>IF(M142="","",M142-TODAY())</f>
        <v>0</v>
      </c>
      <c r="O142" s="25">
        <f>IF(B142="","",IFERROR(INDEX(Ingredients!$J$5:$J$304,MATCH(B142,Ingredients!$B$5:$B$304,0)),"Add to Ingredients"))</f>
        <v>0</v>
      </c>
      <c r="P142" s="25">
        <f>IF(OR(G142="",O142="",NOT(ISNUMBER(O142))),"",G142*O142)</f>
        <v>0</v>
      </c>
      <c r="R142" s="45">
        <f>IF(B142="","",IFERROR(INDEX(Ingredients!$AG$5:$AG$304,MATCH(B142,Ingredients!$B$5:$B$304,0)),0))</f>
        <v>0</v>
      </c>
      <c r="S142" s="45">
        <f>IF(G142="","",G142-IF(R142="",0,R142))</f>
        <v>0</v>
      </c>
      <c r="U142" s="18">
        <f>IF(OR(B142="",D142&lt;&gt;"Fridge",NOT(ISNUMBER(N142))),"",COUNTIFS($D$5:$D$304,"Fridge",$N$5:$N$304,"&lt;"&amp;N142)+COUNTIFS($D$5:D142,"Fridge",$N$5:N142,N142))</f>
        <v>0</v>
      </c>
      <c r="V142" s="18">
        <f>IF(OR(B142="",D142&lt;&gt;"Freezer",NOT(ISNUMBER(N142))),"",COUNTIFS($D$5:$D$304,"Freezer",$N$5:$N$304,"&lt;"&amp;N142)+COUNTIFS($D$5:D142,"Freezer",$N$5:N142,N142))</f>
        <v>0</v>
      </c>
      <c r="W142" s="31">
        <f>IF(B142="","",IF(G142=0,"Out of stock",IF(AND(N142&lt;&gt;"",N142&lt;0),"Expired",IF(AND(N142&lt;&gt;"",N142&lt;=ExpiryWarningDays),"Use soon",IF(AND(Q142&lt;&gt;"",G142&lt;Q142),"Low stock","In stock")))))</f>
        <v>0</v>
      </c>
      <c r="X142" s="31">
        <f>IF(B142="","",IF(W142="Expired","Expired - bin it and log it on the Food Waste tab",IF(W142="Use soon","Use soon - plan a meal with it",IF(W142="Out of stock",IF(T142="Yes","Missing - staple has run out","Add - restock when convenient"),IF(W142="Low stock","Check - running low",IF(S142&lt;0,"Check - the plan needs more than you have","OK"))))))</f>
        <v>0</v>
      </c>
    </row>
    <row r="143" spans="1:24">
      <c r="A143" s="39">
        <f>IF(B143="","",PantryPrefix&amp;TEXT(ROW()-4,"0000"))</f>
        <v>0</v>
      </c>
      <c r="C143" s="17">
        <f>IF(B143="","",IFERROR(INDEX(Ingredients!$C$5:$C$304,MATCH(B143,Ingredients!$B$5:$B$304,0)),"Add to Ingredients"))</f>
        <v>0</v>
      </c>
      <c r="G143" s="45">
        <f>IF(E143="","",IFERROR(E143*INDEX(UnitFactors,MATCH(F143,UnitNames,0)),""))</f>
        <v>0</v>
      </c>
      <c r="H143" s="17">
        <f>IF(F143="","",IFERROR(INDEX(UnitBases,MATCH(F143,UnitNames,0)),"?"))</f>
        <v>0</v>
      </c>
      <c r="L143" s="18">
        <f>IF(B143="","",IFERROR(INDEX(Ingredients!$Z$5:$Z$304,MATCH(B143,Ingredients!$B$5:$B$304,0)),"Add to Ingredients"))</f>
        <v>0</v>
      </c>
      <c r="M143" s="19">
        <f>IF(K143&lt;&gt;"",K143,IF(OR(J143="",L143="",NOT(ISNUMBER(L143))),"",J143+L143))</f>
        <v>0</v>
      </c>
      <c r="N143" s="18">
        <f>IF(M143="","",M143-TODAY())</f>
        <v>0</v>
      </c>
      <c r="O143" s="25">
        <f>IF(B143="","",IFERROR(INDEX(Ingredients!$J$5:$J$304,MATCH(B143,Ingredients!$B$5:$B$304,0)),"Add to Ingredients"))</f>
        <v>0</v>
      </c>
      <c r="P143" s="25">
        <f>IF(OR(G143="",O143="",NOT(ISNUMBER(O143))),"",G143*O143)</f>
        <v>0</v>
      </c>
      <c r="R143" s="45">
        <f>IF(B143="","",IFERROR(INDEX(Ingredients!$AG$5:$AG$304,MATCH(B143,Ingredients!$B$5:$B$304,0)),0))</f>
        <v>0</v>
      </c>
      <c r="S143" s="45">
        <f>IF(G143="","",G143-IF(R143="",0,R143))</f>
        <v>0</v>
      </c>
      <c r="U143" s="18">
        <f>IF(OR(B143="",D143&lt;&gt;"Fridge",NOT(ISNUMBER(N143))),"",COUNTIFS($D$5:$D$304,"Fridge",$N$5:$N$304,"&lt;"&amp;N143)+COUNTIFS($D$5:D143,"Fridge",$N$5:N143,N143))</f>
        <v>0</v>
      </c>
      <c r="V143" s="18">
        <f>IF(OR(B143="",D143&lt;&gt;"Freezer",NOT(ISNUMBER(N143))),"",COUNTIFS($D$5:$D$304,"Freezer",$N$5:$N$304,"&lt;"&amp;N143)+COUNTIFS($D$5:D143,"Freezer",$N$5:N143,N143))</f>
        <v>0</v>
      </c>
      <c r="W143" s="31">
        <f>IF(B143="","",IF(G143=0,"Out of stock",IF(AND(N143&lt;&gt;"",N143&lt;0),"Expired",IF(AND(N143&lt;&gt;"",N143&lt;=ExpiryWarningDays),"Use soon",IF(AND(Q143&lt;&gt;"",G143&lt;Q143),"Low stock","In stock")))))</f>
        <v>0</v>
      </c>
      <c r="X143" s="31">
        <f>IF(B143="","",IF(W143="Expired","Expired - bin it and log it on the Food Waste tab",IF(W143="Use soon","Use soon - plan a meal with it",IF(W143="Out of stock",IF(T143="Yes","Missing - staple has run out","Add - restock when convenient"),IF(W143="Low stock","Check - running low",IF(S143&lt;0,"Check - the plan needs more than you have","OK"))))))</f>
        <v>0</v>
      </c>
    </row>
    <row r="144" spans="1:24">
      <c r="A144" s="39">
        <f>IF(B144="","",PantryPrefix&amp;TEXT(ROW()-4,"0000"))</f>
        <v>0</v>
      </c>
      <c r="C144" s="17">
        <f>IF(B144="","",IFERROR(INDEX(Ingredients!$C$5:$C$304,MATCH(B144,Ingredients!$B$5:$B$304,0)),"Add to Ingredients"))</f>
        <v>0</v>
      </c>
      <c r="G144" s="45">
        <f>IF(E144="","",IFERROR(E144*INDEX(UnitFactors,MATCH(F144,UnitNames,0)),""))</f>
        <v>0</v>
      </c>
      <c r="H144" s="17">
        <f>IF(F144="","",IFERROR(INDEX(UnitBases,MATCH(F144,UnitNames,0)),"?"))</f>
        <v>0</v>
      </c>
      <c r="L144" s="18">
        <f>IF(B144="","",IFERROR(INDEX(Ingredients!$Z$5:$Z$304,MATCH(B144,Ingredients!$B$5:$B$304,0)),"Add to Ingredients"))</f>
        <v>0</v>
      </c>
      <c r="M144" s="19">
        <f>IF(K144&lt;&gt;"",K144,IF(OR(J144="",L144="",NOT(ISNUMBER(L144))),"",J144+L144))</f>
        <v>0</v>
      </c>
      <c r="N144" s="18">
        <f>IF(M144="","",M144-TODAY())</f>
        <v>0</v>
      </c>
      <c r="O144" s="25">
        <f>IF(B144="","",IFERROR(INDEX(Ingredients!$J$5:$J$304,MATCH(B144,Ingredients!$B$5:$B$304,0)),"Add to Ingredients"))</f>
        <v>0</v>
      </c>
      <c r="P144" s="25">
        <f>IF(OR(G144="",O144="",NOT(ISNUMBER(O144))),"",G144*O144)</f>
        <v>0</v>
      </c>
      <c r="R144" s="45">
        <f>IF(B144="","",IFERROR(INDEX(Ingredients!$AG$5:$AG$304,MATCH(B144,Ingredients!$B$5:$B$304,0)),0))</f>
        <v>0</v>
      </c>
      <c r="S144" s="45">
        <f>IF(G144="","",G144-IF(R144="",0,R144))</f>
        <v>0</v>
      </c>
      <c r="U144" s="18">
        <f>IF(OR(B144="",D144&lt;&gt;"Fridge",NOT(ISNUMBER(N144))),"",COUNTIFS($D$5:$D$304,"Fridge",$N$5:$N$304,"&lt;"&amp;N144)+COUNTIFS($D$5:D144,"Fridge",$N$5:N144,N144))</f>
        <v>0</v>
      </c>
      <c r="V144" s="18">
        <f>IF(OR(B144="",D144&lt;&gt;"Freezer",NOT(ISNUMBER(N144))),"",COUNTIFS($D$5:$D$304,"Freezer",$N$5:$N$304,"&lt;"&amp;N144)+COUNTIFS($D$5:D144,"Freezer",$N$5:N144,N144))</f>
        <v>0</v>
      </c>
      <c r="W144" s="31">
        <f>IF(B144="","",IF(G144=0,"Out of stock",IF(AND(N144&lt;&gt;"",N144&lt;0),"Expired",IF(AND(N144&lt;&gt;"",N144&lt;=ExpiryWarningDays),"Use soon",IF(AND(Q144&lt;&gt;"",G144&lt;Q144),"Low stock","In stock")))))</f>
        <v>0</v>
      </c>
      <c r="X144" s="31">
        <f>IF(B144="","",IF(W144="Expired","Expired - bin it and log it on the Food Waste tab",IF(W144="Use soon","Use soon - plan a meal with it",IF(W144="Out of stock",IF(T144="Yes","Missing - staple has run out","Add - restock when convenient"),IF(W144="Low stock","Check - running low",IF(S144&lt;0,"Check - the plan needs more than you have","OK"))))))</f>
        <v>0</v>
      </c>
    </row>
    <row r="145" spans="1:24">
      <c r="A145" s="39">
        <f>IF(B145="","",PantryPrefix&amp;TEXT(ROW()-4,"0000"))</f>
        <v>0</v>
      </c>
      <c r="C145" s="17">
        <f>IF(B145="","",IFERROR(INDEX(Ingredients!$C$5:$C$304,MATCH(B145,Ingredients!$B$5:$B$304,0)),"Add to Ingredients"))</f>
        <v>0</v>
      </c>
      <c r="G145" s="45">
        <f>IF(E145="","",IFERROR(E145*INDEX(UnitFactors,MATCH(F145,UnitNames,0)),""))</f>
        <v>0</v>
      </c>
      <c r="H145" s="17">
        <f>IF(F145="","",IFERROR(INDEX(UnitBases,MATCH(F145,UnitNames,0)),"?"))</f>
        <v>0</v>
      </c>
      <c r="L145" s="18">
        <f>IF(B145="","",IFERROR(INDEX(Ingredients!$Z$5:$Z$304,MATCH(B145,Ingredients!$B$5:$B$304,0)),"Add to Ingredients"))</f>
        <v>0</v>
      </c>
      <c r="M145" s="19">
        <f>IF(K145&lt;&gt;"",K145,IF(OR(J145="",L145="",NOT(ISNUMBER(L145))),"",J145+L145))</f>
        <v>0</v>
      </c>
      <c r="N145" s="18">
        <f>IF(M145="","",M145-TODAY())</f>
        <v>0</v>
      </c>
      <c r="O145" s="25">
        <f>IF(B145="","",IFERROR(INDEX(Ingredients!$J$5:$J$304,MATCH(B145,Ingredients!$B$5:$B$304,0)),"Add to Ingredients"))</f>
        <v>0</v>
      </c>
      <c r="P145" s="25">
        <f>IF(OR(G145="",O145="",NOT(ISNUMBER(O145))),"",G145*O145)</f>
        <v>0</v>
      </c>
      <c r="R145" s="45">
        <f>IF(B145="","",IFERROR(INDEX(Ingredients!$AG$5:$AG$304,MATCH(B145,Ingredients!$B$5:$B$304,0)),0))</f>
        <v>0</v>
      </c>
      <c r="S145" s="45">
        <f>IF(G145="","",G145-IF(R145="",0,R145))</f>
        <v>0</v>
      </c>
      <c r="U145" s="18">
        <f>IF(OR(B145="",D145&lt;&gt;"Fridge",NOT(ISNUMBER(N145))),"",COUNTIFS($D$5:$D$304,"Fridge",$N$5:$N$304,"&lt;"&amp;N145)+COUNTIFS($D$5:D145,"Fridge",$N$5:N145,N145))</f>
        <v>0</v>
      </c>
      <c r="V145" s="18">
        <f>IF(OR(B145="",D145&lt;&gt;"Freezer",NOT(ISNUMBER(N145))),"",COUNTIFS($D$5:$D$304,"Freezer",$N$5:$N$304,"&lt;"&amp;N145)+COUNTIFS($D$5:D145,"Freezer",$N$5:N145,N145))</f>
        <v>0</v>
      </c>
      <c r="W145" s="31">
        <f>IF(B145="","",IF(G145=0,"Out of stock",IF(AND(N145&lt;&gt;"",N145&lt;0),"Expired",IF(AND(N145&lt;&gt;"",N145&lt;=ExpiryWarningDays),"Use soon",IF(AND(Q145&lt;&gt;"",G145&lt;Q145),"Low stock","In stock")))))</f>
        <v>0</v>
      </c>
      <c r="X145" s="31">
        <f>IF(B145="","",IF(W145="Expired","Expired - bin it and log it on the Food Waste tab",IF(W145="Use soon","Use soon - plan a meal with it",IF(W145="Out of stock",IF(T145="Yes","Missing - staple has run out","Add - restock when convenient"),IF(W145="Low stock","Check - running low",IF(S145&lt;0,"Check - the plan needs more than you have","OK"))))))</f>
        <v>0</v>
      </c>
    </row>
    <row r="146" spans="1:24">
      <c r="A146" s="39">
        <f>IF(B146="","",PantryPrefix&amp;TEXT(ROW()-4,"0000"))</f>
        <v>0</v>
      </c>
      <c r="C146" s="17">
        <f>IF(B146="","",IFERROR(INDEX(Ingredients!$C$5:$C$304,MATCH(B146,Ingredients!$B$5:$B$304,0)),"Add to Ingredients"))</f>
        <v>0</v>
      </c>
      <c r="G146" s="45">
        <f>IF(E146="","",IFERROR(E146*INDEX(UnitFactors,MATCH(F146,UnitNames,0)),""))</f>
        <v>0</v>
      </c>
      <c r="H146" s="17">
        <f>IF(F146="","",IFERROR(INDEX(UnitBases,MATCH(F146,UnitNames,0)),"?"))</f>
        <v>0</v>
      </c>
      <c r="L146" s="18">
        <f>IF(B146="","",IFERROR(INDEX(Ingredients!$Z$5:$Z$304,MATCH(B146,Ingredients!$B$5:$B$304,0)),"Add to Ingredients"))</f>
        <v>0</v>
      </c>
      <c r="M146" s="19">
        <f>IF(K146&lt;&gt;"",K146,IF(OR(J146="",L146="",NOT(ISNUMBER(L146))),"",J146+L146))</f>
        <v>0</v>
      </c>
      <c r="N146" s="18">
        <f>IF(M146="","",M146-TODAY())</f>
        <v>0</v>
      </c>
      <c r="O146" s="25">
        <f>IF(B146="","",IFERROR(INDEX(Ingredients!$J$5:$J$304,MATCH(B146,Ingredients!$B$5:$B$304,0)),"Add to Ingredients"))</f>
        <v>0</v>
      </c>
      <c r="P146" s="25">
        <f>IF(OR(G146="",O146="",NOT(ISNUMBER(O146))),"",G146*O146)</f>
        <v>0</v>
      </c>
      <c r="R146" s="45">
        <f>IF(B146="","",IFERROR(INDEX(Ingredients!$AG$5:$AG$304,MATCH(B146,Ingredients!$B$5:$B$304,0)),0))</f>
        <v>0</v>
      </c>
      <c r="S146" s="45">
        <f>IF(G146="","",G146-IF(R146="",0,R146))</f>
        <v>0</v>
      </c>
      <c r="U146" s="18">
        <f>IF(OR(B146="",D146&lt;&gt;"Fridge",NOT(ISNUMBER(N146))),"",COUNTIFS($D$5:$D$304,"Fridge",$N$5:$N$304,"&lt;"&amp;N146)+COUNTIFS($D$5:D146,"Fridge",$N$5:N146,N146))</f>
        <v>0</v>
      </c>
      <c r="V146" s="18">
        <f>IF(OR(B146="",D146&lt;&gt;"Freezer",NOT(ISNUMBER(N146))),"",COUNTIFS($D$5:$D$304,"Freezer",$N$5:$N$304,"&lt;"&amp;N146)+COUNTIFS($D$5:D146,"Freezer",$N$5:N146,N146))</f>
        <v>0</v>
      </c>
      <c r="W146" s="31">
        <f>IF(B146="","",IF(G146=0,"Out of stock",IF(AND(N146&lt;&gt;"",N146&lt;0),"Expired",IF(AND(N146&lt;&gt;"",N146&lt;=ExpiryWarningDays),"Use soon",IF(AND(Q146&lt;&gt;"",G146&lt;Q146),"Low stock","In stock")))))</f>
        <v>0</v>
      </c>
      <c r="X146" s="31">
        <f>IF(B146="","",IF(W146="Expired","Expired - bin it and log it on the Food Waste tab",IF(W146="Use soon","Use soon - plan a meal with it",IF(W146="Out of stock",IF(T146="Yes","Missing - staple has run out","Add - restock when convenient"),IF(W146="Low stock","Check - running low",IF(S146&lt;0,"Check - the plan needs more than you have","OK"))))))</f>
        <v>0</v>
      </c>
    </row>
    <row r="147" spans="1:24">
      <c r="A147" s="39">
        <f>IF(B147="","",PantryPrefix&amp;TEXT(ROW()-4,"0000"))</f>
        <v>0</v>
      </c>
      <c r="C147" s="17">
        <f>IF(B147="","",IFERROR(INDEX(Ingredients!$C$5:$C$304,MATCH(B147,Ingredients!$B$5:$B$304,0)),"Add to Ingredients"))</f>
        <v>0</v>
      </c>
      <c r="G147" s="45">
        <f>IF(E147="","",IFERROR(E147*INDEX(UnitFactors,MATCH(F147,UnitNames,0)),""))</f>
        <v>0</v>
      </c>
      <c r="H147" s="17">
        <f>IF(F147="","",IFERROR(INDEX(UnitBases,MATCH(F147,UnitNames,0)),"?"))</f>
        <v>0</v>
      </c>
      <c r="L147" s="18">
        <f>IF(B147="","",IFERROR(INDEX(Ingredients!$Z$5:$Z$304,MATCH(B147,Ingredients!$B$5:$B$304,0)),"Add to Ingredients"))</f>
        <v>0</v>
      </c>
      <c r="M147" s="19">
        <f>IF(K147&lt;&gt;"",K147,IF(OR(J147="",L147="",NOT(ISNUMBER(L147))),"",J147+L147))</f>
        <v>0</v>
      </c>
      <c r="N147" s="18">
        <f>IF(M147="","",M147-TODAY())</f>
        <v>0</v>
      </c>
      <c r="O147" s="25">
        <f>IF(B147="","",IFERROR(INDEX(Ingredients!$J$5:$J$304,MATCH(B147,Ingredients!$B$5:$B$304,0)),"Add to Ingredients"))</f>
        <v>0</v>
      </c>
      <c r="P147" s="25">
        <f>IF(OR(G147="",O147="",NOT(ISNUMBER(O147))),"",G147*O147)</f>
        <v>0</v>
      </c>
      <c r="R147" s="45">
        <f>IF(B147="","",IFERROR(INDEX(Ingredients!$AG$5:$AG$304,MATCH(B147,Ingredients!$B$5:$B$304,0)),0))</f>
        <v>0</v>
      </c>
      <c r="S147" s="45">
        <f>IF(G147="","",G147-IF(R147="",0,R147))</f>
        <v>0</v>
      </c>
      <c r="U147" s="18">
        <f>IF(OR(B147="",D147&lt;&gt;"Fridge",NOT(ISNUMBER(N147))),"",COUNTIFS($D$5:$D$304,"Fridge",$N$5:$N$304,"&lt;"&amp;N147)+COUNTIFS($D$5:D147,"Fridge",$N$5:N147,N147))</f>
        <v>0</v>
      </c>
      <c r="V147" s="18">
        <f>IF(OR(B147="",D147&lt;&gt;"Freezer",NOT(ISNUMBER(N147))),"",COUNTIFS($D$5:$D$304,"Freezer",$N$5:$N$304,"&lt;"&amp;N147)+COUNTIFS($D$5:D147,"Freezer",$N$5:N147,N147))</f>
        <v>0</v>
      </c>
      <c r="W147" s="31">
        <f>IF(B147="","",IF(G147=0,"Out of stock",IF(AND(N147&lt;&gt;"",N147&lt;0),"Expired",IF(AND(N147&lt;&gt;"",N147&lt;=ExpiryWarningDays),"Use soon",IF(AND(Q147&lt;&gt;"",G147&lt;Q147),"Low stock","In stock")))))</f>
        <v>0</v>
      </c>
      <c r="X147" s="31">
        <f>IF(B147="","",IF(W147="Expired","Expired - bin it and log it on the Food Waste tab",IF(W147="Use soon","Use soon - plan a meal with it",IF(W147="Out of stock",IF(T147="Yes","Missing - staple has run out","Add - restock when convenient"),IF(W147="Low stock","Check - running low",IF(S147&lt;0,"Check - the plan needs more than you have","OK"))))))</f>
        <v>0</v>
      </c>
    </row>
    <row r="148" spans="1:24">
      <c r="A148" s="39">
        <f>IF(B148="","",PantryPrefix&amp;TEXT(ROW()-4,"0000"))</f>
        <v>0</v>
      </c>
      <c r="C148" s="17">
        <f>IF(B148="","",IFERROR(INDEX(Ingredients!$C$5:$C$304,MATCH(B148,Ingredients!$B$5:$B$304,0)),"Add to Ingredients"))</f>
        <v>0</v>
      </c>
      <c r="G148" s="45">
        <f>IF(E148="","",IFERROR(E148*INDEX(UnitFactors,MATCH(F148,UnitNames,0)),""))</f>
        <v>0</v>
      </c>
      <c r="H148" s="17">
        <f>IF(F148="","",IFERROR(INDEX(UnitBases,MATCH(F148,UnitNames,0)),"?"))</f>
        <v>0</v>
      </c>
      <c r="L148" s="18">
        <f>IF(B148="","",IFERROR(INDEX(Ingredients!$Z$5:$Z$304,MATCH(B148,Ingredients!$B$5:$B$304,0)),"Add to Ingredients"))</f>
        <v>0</v>
      </c>
      <c r="M148" s="19">
        <f>IF(K148&lt;&gt;"",K148,IF(OR(J148="",L148="",NOT(ISNUMBER(L148))),"",J148+L148))</f>
        <v>0</v>
      </c>
      <c r="N148" s="18">
        <f>IF(M148="","",M148-TODAY())</f>
        <v>0</v>
      </c>
      <c r="O148" s="25">
        <f>IF(B148="","",IFERROR(INDEX(Ingredients!$J$5:$J$304,MATCH(B148,Ingredients!$B$5:$B$304,0)),"Add to Ingredients"))</f>
        <v>0</v>
      </c>
      <c r="P148" s="25">
        <f>IF(OR(G148="",O148="",NOT(ISNUMBER(O148))),"",G148*O148)</f>
        <v>0</v>
      </c>
      <c r="R148" s="45">
        <f>IF(B148="","",IFERROR(INDEX(Ingredients!$AG$5:$AG$304,MATCH(B148,Ingredients!$B$5:$B$304,0)),0))</f>
        <v>0</v>
      </c>
      <c r="S148" s="45">
        <f>IF(G148="","",G148-IF(R148="",0,R148))</f>
        <v>0</v>
      </c>
      <c r="U148" s="18">
        <f>IF(OR(B148="",D148&lt;&gt;"Fridge",NOT(ISNUMBER(N148))),"",COUNTIFS($D$5:$D$304,"Fridge",$N$5:$N$304,"&lt;"&amp;N148)+COUNTIFS($D$5:D148,"Fridge",$N$5:N148,N148))</f>
        <v>0</v>
      </c>
      <c r="V148" s="18">
        <f>IF(OR(B148="",D148&lt;&gt;"Freezer",NOT(ISNUMBER(N148))),"",COUNTIFS($D$5:$D$304,"Freezer",$N$5:$N$304,"&lt;"&amp;N148)+COUNTIFS($D$5:D148,"Freezer",$N$5:N148,N148))</f>
        <v>0</v>
      </c>
      <c r="W148" s="31">
        <f>IF(B148="","",IF(G148=0,"Out of stock",IF(AND(N148&lt;&gt;"",N148&lt;0),"Expired",IF(AND(N148&lt;&gt;"",N148&lt;=ExpiryWarningDays),"Use soon",IF(AND(Q148&lt;&gt;"",G148&lt;Q148),"Low stock","In stock")))))</f>
        <v>0</v>
      </c>
      <c r="X148" s="31">
        <f>IF(B148="","",IF(W148="Expired","Expired - bin it and log it on the Food Waste tab",IF(W148="Use soon","Use soon - plan a meal with it",IF(W148="Out of stock",IF(T148="Yes","Missing - staple has run out","Add - restock when convenient"),IF(W148="Low stock","Check - running low",IF(S148&lt;0,"Check - the plan needs more than you have","OK"))))))</f>
        <v>0</v>
      </c>
    </row>
    <row r="149" spans="1:24">
      <c r="A149" s="39">
        <f>IF(B149="","",PantryPrefix&amp;TEXT(ROW()-4,"0000"))</f>
        <v>0</v>
      </c>
      <c r="C149" s="17">
        <f>IF(B149="","",IFERROR(INDEX(Ingredients!$C$5:$C$304,MATCH(B149,Ingredients!$B$5:$B$304,0)),"Add to Ingredients"))</f>
        <v>0</v>
      </c>
      <c r="G149" s="45">
        <f>IF(E149="","",IFERROR(E149*INDEX(UnitFactors,MATCH(F149,UnitNames,0)),""))</f>
        <v>0</v>
      </c>
      <c r="H149" s="17">
        <f>IF(F149="","",IFERROR(INDEX(UnitBases,MATCH(F149,UnitNames,0)),"?"))</f>
        <v>0</v>
      </c>
      <c r="L149" s="18">
        <f>IF(B149="","",IFERROR(INDEX(Ingredients!$Z$5:$Z$304,MATCH(B149,Ingredients!$B$5:$B$304,0)),"Add to Ingredients"))</f>
        <v>0</v>
      </c>
      <c r="M149" s="19">
        <f>IF(K149&lt;&gt;"",K149,IF(OR(J149="",L149="",NOT(ISNUMBER(L149))),"",J149+L149))</f>
        <v>0</v>
      </c>
      <c r="N149" s="18">
        <f>IF(M149="","",M149-TODAY())</f>
        <v>0</v>
      </c>
      <c r="O149" s="25">
        <f>IF(B149="","",IFERROR(INDEX(Ingredients!$J$5:$J$304,MATCH(B149,Ingredients!$B$5:$B$304,0)),"Add to Ingredients"))</f>
        <v>0</v>
      </c>
      <c r="P149" s="25">
        <f>IF(OR(G149="",O149="",NOT(ISNUMBER(O149))),"",G149*O149)</f>
        <v>0</v>
      </c>
      <c r="R149" s="45">
        <f>IF(B149="","",IFERROR(INDEX(Ingredients!$AG$5:$AG$304,MATCH(B149,Ingredients!$B$5:$B$304,0)),0))</f>
        <v>0</v>
      </c>
      <c r="S149" s="45">
        <f>IF(G149="","",G149-IF(R149="",0,R149))</f>
        <v>0</v>
      </c>
      <c r="U149" s="18">
        <f>IF(OR(B149="",D149&lt;&gt;"Fridge",NOT(ISNUMBER(N149))),"",COUNTIFS($D$5:$D$304,"Fridge",$N$5:$N$304,"&lt;"&amp;N149)+COUNTIFS($D$5:D149,"Fridge",$N$5:N149,N149))</f>
        <v>0</v>
      </c>
      <c r="V149" s="18">
        <f>IF(OR(B149="",D149&lt;&gt;"Freezer",NOT(ISNUMBER(N149))),"",COUNTIFS($D$5:$D$304,"Freezer",$N$5:$N$304,"&lt;"&amp;N149)+COUNTIFS($D$5:D149,"Freezer",$N$5:N149,N149))</f>
        <v>0</v>
      </c>
      <c r="W149" s="31">
        <f>IF(B149="","",IF(G149=0,"Out of stock",IF(AND(N149&lt;&gt;"",N149&lt;0),"Expired",IF(AND(N149&lt;&gt;"",N149&lt;=ExpiryWarningDays),"Use soon",IF(AND(Q149&lt;&gt;"",G149&lt;Q149),"Low stock","In stock")))))</f>
        <v>0</v>
      </c>
      <c r="X149" s="31">
        <f>IF(B149="","",IF(W149="Expired","Expired - bin it and log it on the Food Waste tab",IF(W149="Use soon","Use soon - plan a meal with it",IF(W149="Out of stock",IF(T149="Yes","Missing - staple has run out","Add - restock when convenient"),IF(W149="Low stock","Check - running low",IF(S149&lt;0,"Check - the plan needs more than you have","OK"))))))</f>
        <v>0</v>
      </c>
    </row>
    <row r="150" spans="1:24">
      <c r="A150" s="39">
        <f>IF(B150="","",PantryPrefix&amp;TEXT(ROW()-4,"0000"))</f>
        <v>0</v>
      </c>
      <c r="C150" s="17">
        <f>IF(B150="","",IFERROR(INDEX(Ingredients!$C$5:$C$304,MATCH(B150,Ingredients!$B$5:$B$304,0)),"Add to Ingredients"))</f>
        <v>0</v>
      </c>
      <c r="G150" s="45">
        <f>IF(E150="","",IFERROR(E150*INDEX(UnitFactors,MATCH(F150,UnitNames,0)),""))</f>
        <v>0</v>
      </c>
      <c r="H150" s="17">
        <f>IF(F150="","",IFERROR(INDEX(UnitBases,MATCH(F150,UnitNames,0)),"?"))</f>
        <v>0</v>
      </c>
      <c r="L150" s="18">
        <f>IF(B150="","",IFERROR(INDEX(Ingredients!$Z$5:$Z$304,MATCH(B150,Ingredients!$B$5:$B$304,0)),"Add to Ingredients"))</f>
        <v>0</v>
      </c>
      <c r="M150" s="19">
        <f>IF(K150&lt;&gt;"",K150,IF(OR(J150="",L150="",NOT(ISNUMBER(L150))),"",J150+L150))</f>
        <v>0</v>
      </c>
      <c r="N150" s="18">
        <f>IF(M150="","",M150-TODAY())</f>
        <v>0</v>
      </c>
      <c r="O150" s="25">
        <f>IF(B150="","",IFERROR(INDEX(Ingredients!$J$5:$J$304,MATCH(B150,Ingredients!$B$5:$B$304,0)),"Add to Ingredients"))</f>
        <v>0</v>
      </c>
      <c r="P150" s="25">
        <f>IF(OR(G150="",O150="",NOT(ISNUMBER(O150))),"",G150*O150)</f>
        <v>0</v>
      </c>
      <c r="R150" s="45">
        <f>IF(B150="","",IFERROR(INDEX(Ingredients!$AG$5:$AG$304,MATCH(B150,Ingredients!$B$5:$B$304,0)),0))</f>
        <v>0</v>
      </c>
      <c r="S150" s="45">
        <f>IF(G150="","",G150-IF(R150="",0,R150))</f>
        <v>0</v>
      </c>
      <c r="U150" s="18">
        <f>IF(OR(B150="",D150&lt;&gt;"Fridge",NOT(ISNUMBER(N150))),"",COUNTIFS($D$5:$D$304,"Fridge",$N$5:$N$304,"&lt;"&amp;N150)+COUNTIFS($D$5:D150,"Fridge",$N$5:N150,N150))</f>
        <v>0</v>
      </c>
      <c r="V150" s="18">
        <f>IF(OR(B150="",D150&lt;&gt;"Freezer",NOT(ISNUMBER(N150))),"",COUNTIFS($D$5:$D$304,"Freezer",$N$5:$N$304,"&lt;"&amp;N150)+COUNTIFS($D$5:D150,"Freezer",$N$5:N150,N150))</f>
        <v>0</v>
      </c>
      <c r="W150" s="31">
        <f>IF(B150="","",IF(G150=0,"Out of stock",IF(AND(N150&lt;&gt;"",N150&lt;0),"Expired",IF(AND(N150&lt;&gt;"",N150&lt;=ExpiryWarningDays),"Use soon",IF(AND(Q150&lt;&gt;"",G150&lt;Q150),"Low stock","In stock")))))</f>
        <v>0</v>
      </c>
      <c r="X150" s="31">
        <f>IF(B150="","",IF(W150="Expired","Expired - bin it and log it on the Food Waste tab",IF(W150="Use soon","Use soon - plan a meal with it",IF(W150="Out of stock",IF(T150="Yes","Missing - staple has run out","Add - restock when convenient"),IF(W150="Low stock","Check - running low",IF(S150&lt;0,"Check - the plan needs more than you have","OK"))))))</f>
        <v>0</v>
      </c>
    </row>
    <row r="151" spans="1:24">
      <c r="A151" s="39">
        <f>IF(B151="","",PantryPrefix&amp;TEXT(ROW()-4,"0000"))</f>
        <v>0</v>
      </c>
      <c r="C151" s="17">
        <f>IF(B151="","",IFERROR(INDEX(Ingredients!$C$5:$C$304,MATCH(B151,Ingredients!$B$5:$B$304,0)),"Add to Ingredients"))</f>
        <v>0</v>
      </c>
      <c r="G151" s="45">
        <f>IF(E151="","",IFERROR(E151*INDEX(UnitFactors,MATCH(F151,UnitNames,0)),""))</f>
        <v>0</v>
      </c>
      <c r="H151" s="17">
        <f>IF(F151="","",IFERROR(INDEX(UnitBases,MATCH(F151,UnitNames,0)),"?"))</f>
        <v>0</v>
      </c>
      <c r="L151" s="18">
        <f>IF(B151="","",IFERROR(INDEX(Ingredients!$Z$5:$Z$304,MATCH(B151,Ingredients!$B$5:$B$304,0)),"Add to Ingredients"))</f>
        <v>0</v>
      </c>
      <c r="M151" s="19">
        <f>IF(K151&lt;&gt;"",K151,IF(OR(J151="",L151="",NOT(ISNUMBER(L151))),"",J151+L151))</f>
        <v>0</v>
      </c>
      <c r="N151" s="18">
        <f>IF(M151="","",M151-TODAY())</f>
        <v>0</v>
      </c>
      <c r="O151" s="25">
        <f>IF(B151="","",IFERROR(INDEX(Ingredients!$J$5:$J$304,MATCH(B151,Ingredients!$B$5:$B$304,0)),"Add to Ingredients"))</f>
        <v>0</v>
      </c>
      <c r="P151" s="25">
        <f>IF(OR(G151="",O151="",NOT(ISNUMBER(O151))),"",G151*O151)</f>
        <v>0</v>
      </c>
      <c r="R151" s="45">
        <f>IF(B151="","",IFERROR(INDEX(Ingredients!$AG$5:$AG$304,MATCH(B151,Ingredients!$B$5:$B$304,0)),0))</f>
        <v>0</v>
      </c>
      <c r="S151" s="45">
        <f>IF(G151="","",G151-IF(R151="",0,R151))</f>
        <v>0</v>
      </c>
      <c r="U151" s="18">
        <f>IF(OR(B151="",D151&lt;&gt;"Fridge",NOT(ISNUMBER(N151))),"",COUNTIFS($D$5:$D$304,"Fridge",$N$5:$N$304,"&lt;"&amp;N151)+COUNTIFS($D$5:D151,"Fridge",$N$5:N151,N151))</f>
        <v>0</v>
      </c>
      <c r="V151" s="18">
        <f>IF(OR(B151="",D151&lt;&gt;"Freezer",NOT(ISNUMBER(N151))),"",COUNTIFS($D$5:$D$304,"Freezer",$N$5:$N$304,"&lt;"&amp;N151)+COUNTIFS($D$5:D151,"Freezer",$N$5:N151,N151))</f>
        <v>0</v>
      </c>
      <c r="W151" s="31">
        <f>IF(B151="","",IF(G151=0,"Out of stock",IF(AND(N151&lt;&gt;"",N151&lt;0),"Expired",IF(AND(N151&lt;&gt;"",N151&lt;=ExpiryWarningDays),"Use soon",IF(AND(Q151&lt;&gt;"",G151&lt;Q151),"Low stock","In stock")))))</f>
        <v>0</v>
      </c>
      <c r="X151" s="31">
        <f>IF(B151="","",IF(W151="Expired","Expired - bin it and log it on the Food Waste tab",IF(W151="Use soon","Use soon - plan a meal with it",IF(W151="Out of stock",IF(T151="Yes","Missing - staple has run out","Add - restock when convenient"),IF(W151="Low stock","Check - running low",IF(S151&lt;0,"Check - the plan needs more than you have","OK"))))))</f>
        <v>0</v>
      </c>
    </row>
    <row r="152" spans="1:24">
      <c r="A152" s="39">
        <f>IF(B152="","",PantryPrefix&amp;TEXT(ROW()-4,"0000"))</f>
        <v>0</v>
      </c>
      <c r="C152" s="17">
        <f>IF(B152="","",IFERROR(INDEX(Ingredients!$C$5:$C$304,MATCH(B152,Ingredients!$B$5:$B$304,0)),"Add to Ingredients"))</f>
        <v>0</v>
      </c>
      <c r="G152" s="45">
        <f>IF(E152="","",IFERROR(E152*INDEX(UnitFactors,MATCH(F152,UnitNames,0)),""))</f>
        <v>0</v>
      </c>
      <c r="H152" s="17">
        <f>IF(F152="","",IFERROR(INDEX(UnitBases,MATCH(F152,UnitNames,0)),"?"))</f>
        <v>0</v>
      </c>
      <c r="L152" s="18">
        <f>IF(B152="","",IFERROR(INDEX(Ingredients!$Z$5:$Z$304,MATCH(B152,Ingredients!$B$5:$B$304,0)),"Add to Ingredients"))</f>
        <v>0</v>
      </c>
      <c r="M152" s="19">
        <f>IF(K152&lt;&gt;"",K152,IF(OR(J152="",L152="",NOT(ISNUMBER(L152))),"",J152+L152))</f>
        <v>0</v>
      </c>
      <c r="N152" s="18">
        <f>IF(M152="","",M152-TODAY())</f>
        <v>0</v>
      </c>
      <c r="O152" s="25">
        <f>IF(B152="","",IFERROR(INDEX(Ingredients!$J$5:$J$304,MATCH(B152,Ingredients!$B$5:$B$304,0)),"Add to Ingredients"))</f>
        <v>0</v>
      </c>
      <c r="P152" s="25">
        <f>IF(OR(G152="",O152="",NOT(ISNUMBER(O152))),"",G152*O152)</f>
        <v>0</v>
      </c>
      <c r="R152" s="45">
        <f>IF(B152="","",IFERROR(INDEX(Ingredients!$AG$5:$AG$304,MATCH(B152,Ingredients!$B$5:$B$304,0)),0))</f>
        <v>0</v>
      </c>
      <c r="S152" s="45">
        <f>IF(G152="","",G152-IF(R152="",0,R152))</f>
        <v>0</v>
      </c>
      <c r="U152" s="18">
        <f>IF(OR(B152="",D152&lt;&gt;"Fridge",NOT(ISNUMBER(N152))),"",COUNTIFS($D$5:$D$304,"Fridge",$N$5:$N$304,"&lt;"&amp;N152)+COUNTIFS($D$5:D152,"Fridge",$N$5:N152,N152))</f>
        <v>0</v>
      </c>
      <c r="V152" s="18">
        <f>IF(OR(B152="",D152&lt;&gt;"Freezer",NOT(ISNUMBER(N152))),"",COUNTIFS($D$5:$D$304,"Freezer",$N$5:$N$304,"&lt;"&amp;N152)+COUNTIFS($D$5:D152,"Freezer",$N$5:N152,N152))</f>
        <v>0</v>
      </c>
      <c r="W152" s="31">
        <f>IF(B152="","",IF(G152=0,"Out of stock",IF(AND(N152&lt;&gt;"",N152&lt;0),"Expired",IF(AND(N152&lt;&gt;"",N152&lt;=ExpiryWarningDays),"Use soon",IF(AND(Q152&lt;&gt;"",G152&lt;Q152),"Low stock","In stock")))))</f>
        <v>0</v>
      </c>
      <c r="X152" s="31">
        <f>IF(B152="","",IF(W152="Expired","Expired - bin it and log it on the Food Waste tab",IF(W152="Use soon","Use soon - plan a meal with it",IF(W152="Out of stock",IF(T152="Yes","Missing - staple has run out","Add - restock when convenient"),IF(W152="Low stock","Check - running low",IF(S152&lt;0,"Check - the plan needs more than you have","OK"))))))</f>
        <v>0</v>
      </c>
    </row>
    <row r="153" spans="1:24">
      <c r="A153" s="39">
        <f>IF(B153="","",PantryPrefix&amp;TEXT(ROW()-4,"0000"))</f>
        <v>0</v>
      </c>
      <c r="C153" s="17">
        <f>IF(B153="","",IFERROR(INDEX(Ingredients!$C$5:$C$304,MATCH(B153,Ingredients!$B$5:$B$304,0)),"Add to Ingredients"))</f>
        <v>0</v>
      </c>
      <c r="G153" s="45">
        <f>IF(E153="","",IFERROR(E153*INDEX(UnitFactors,MATCH(F153,UnitNames,0)),""))</f>
        <v>0</v>
      </c>
      <c r="H153" s="17">
        <f>IF(F153="","",IFERROR(INDEX(UnitBases,MATCH(F153,UnitNames,0)),"?"))</f>
        <v>0</v>
      </c>
      <c r="L153" s="18">
        <f>IF(B153="","",IFERROR(INDEX(Ingredients!$Z$5:$Z$304,MATCH(B153,Ingredients!$B$5:$B$304,0)),"Add to Ingredients"))</f>
        <v>0</v>
      </c>
      <c r="M153" s="19">
        <f>IF(K153&lt;&gt;"",K153,IF(OR(J153="",L153="",NOT(ISNUMBER(L153))),"",J153+L153))</f>
        <v>0</v>
      </c>
      <c r="N153" s="18">
        <f>IF(M153="","",M153-TODAY())</f>
        <v>0</v>
      </c>
      <c r="O153" s="25">
        <f>IF(B153="","",IFERROR(INDEX(Ingredients!$J$5:$J$304,MATCH(B153,Ingredients!$B$5:$B$304,0)),"Add to Ingredients"))</f>
        <v>0</v>
      </c>
      <c r="P153" s="25">
        <f>IF(OR(G153="",O153="",NOT(ISNUMBER(O153))),"",G153*O153)</f>
        <v>0</v>
      </c>
      <c r="R153" s="45">
        <f>IF(B153="","",IFERROR(INDEX(Ingredients!$AG$5:$AG$304,MATCH(B153,Ingredients!$B$5:$B$304,0)),0))</f>
        <v>0</v>
      </c>
      <c r="S153" s="45">
        <f>IF(G153="","",G153-IF(R153="",0,R153))</f>
        <v>0</v>
      </c>
      <c r="U153" s="18">
        <f>IF(OR(B153="",D153&lt;&gt;"Fridge",NOT(ISNUMBER(N153))),"",COUNTIFS($D$5:$D$304,"Fridge",$N$5:$N$304,"&lt;"&amp;N153)+COUNTIFS($D$5:D153,"Fridge",$N$5:N153,N153))</f>
        <v>0</v>
      </c>
      <c r="V153" s="18">
        <f>IF(OR(B153="",D153&lt;&gt;"Freezer",NOT(ISNUMBER(N153))),"",COUNTIFS($D$5:$D$304,"Freezer",$N$5:$N$304,"&lt;"&amp;N153)+COUNTIFS($D$5:D153,"Freezer",$N$5:N153,N153))</f>
        <v>0</v>
      </c>
      <c r="W153" s="31">
        <f>IF(B153="","",IF(G153=0,"Out of stock",IF(AND(N153&lt;&gt;"",N153&lt;0),"Expired",IF(AND(N153&lt;&gt;"",N153&lt;=ExpiryWarningDays),"Use soon",IF(AND(Q153&lt;&gt;"",G153&lt;Q153),"Low stock","In stock")))))</f>
        <v>0</v>
      </c>
      <c r="X153" s="31">
        <f>IF(B153="","",IF(W153="Expired","Expired - bin it and log it on the Food Waste tab",IF(W153="Use soon","Use soon - plan a meal with it",IF(W153="Out of stock",IF(T153="Yes","Missing - staple has run out","Add - restock when convenient"),IF(W153="Low stock","Check - running low",IF(S153&lt;0,"Check - the plan needs more than you have","OK"))))))</f>
        <v>0</v>
      </c>
    </row>
    <row r="154" spans="1:24">
      <c r="A154" s="39">
        <f>IF(B154="","",PantryPrefix&amp;TEXT(ROW()-4,"0000"))</f>
        <v>0</v>
      </c>
      <c r="C154" s="17">
        <f>IF(B154="","",IFERROR(INDEX(Ingredients!$C$5:$C$304,MATCH(B154,Ingredients!$B$5:$B$304,0)),"Add to Ingredients"))</f>
        <v>0</v>
      </c>
      <c r="G154" s="45">
        <f>IF(E154="","",IFERROR(E154*INDEX(UnitFactors,MATCH(F154,UnitNames,0)),""))</f>
        <v>0</v>
      </c>
      <c r="H154" s="17">
        <f>IF(F154="","",IFERROR(INDEX(UnitBases,MATCH(F154,UnitNames,0)),"?"))</f>
        <v>0</v>
      </c>
      <c r="L154" s="18">
        <f>IF(B154="","",IFERROR(INDEX(Ingredients!$Z$5:$Z$304,MATCH(B154,Ingredients!$B$5:$B$304,0)),"Add to Ingredients"))</f>
        <v>0</v>
      </c>
      <c r="M154" s="19">
        <f>IF(K154&lt;&gt;"",K154,IF(OR(J154="",L154="",NOT(ISNUMBER(L154))),"",J154+L154))</f>
        <v>0</v>
      </c>
      <c r="N154" s="18">
        <f>IF(M154="","",M154-TODAY())</f>
        <v>0</v>
      </c>
      <c r="O154" s="25">
        <f>IF(B154="","",IFERROR(INDEX(Ingredients!$J$5:$J$304,MATCH(B154,Ingredients!$B$5:$B$304,0)),"Add to Ingredients"))</f>
        <v>0</v>
      </c>
      <c r="P154" s="25">
        <f>IF(OR(G154="",O154="",NOT(ISNUMBER(O154))),"",G154*O154)</f>
        <v>0</v>
      </c>
      <c r="R154" s="45">
        <f>IF(B154="","",IFERROR(INDEX(Ingredients!$AG$5:$AG$304,MATCH(B154,Ingredients!$B$5:$B$304,0)),0))</f>
        <v>0</v>
      </c>
      <c r="S154" s="45">
        <f>IF(G154="","",G154-IF(R154="",0,R154))</f>
        <v>0</v>
      </c>
      <c r="U154" s="18">
        <f>IF(OR(B154="",D154&lt;&gt;"Fridge",NOT(ISNUMBER(N154))),"",COUNTIFS($D$5:$D$304,"Fridge",$N$5:$N$304,"&lt;"&amp;N154)+COUNTIFS($D$5:D154,"Fridge",$N$5:N154,N154))</f>
        <v>0</v>
      </c>
      <c r="V154" s="18">
        <f>IF(OR(B154="",D154&lt;&gt;"Freezer",NOT(ISNUMBER(N154))),"",COUNTIFS($D$5:$D$304,"Freezer",$N$5:$N$304,"&lt;"&amp;N154)+COUNTIFS($D$5:D154,"Freezer",$N$5:N154,N154))</f>
        <v>0</v>
      </c>
      <c r="W154" s="31">
        <f>IF(B154="","",IF(G154=0,"Out of stock",IF(AND(N154&lt;&gt;"",N154&lt;0),"Expired",IF(AND(N154&lt;&gt;"",N154&lt;=ExpiryWarningDays),"Use soon",IF(AND(Q154&lt;&gt;"",G154&lt;Q154),"Low stock","In stock")))))</f>
        <v>0</v>
      </c>
      <c r="X154" s="31">
        <f>IF(B154="","",IF(W154="Expired","Expired - bin it and log it on the Food Waste tab",IF(W154="Use soon","Use soon - plan a meal with it",IF(W154="Out of stock",IF(T154="Yes","Missing - staple has run out","Add - restock when convenient"),IF(W154="Low stock","Check - running low",IF(S154&lt;0,"Check - the plan needs more than you have","OK"))))))</f>
        <v>0</v>
      </c>
    </row>
    <row r="155" spans="1:24">
      <c r="A155" s="39">
        <f>IF(B155="","",PantryPrefix&amp;TEXT(ROW()-4,"0000"))</f>
        <v>0</v>
      </c>
      <c r="C155" s="17">
        <f>IF(B155="","",IFERROR(INDEX(Ingredients!$C$5:$C$304,MATCH(B155,Ingredients!$B$5:$B$304,0)),"Add to Ingredients"))</f>
        <v>0</v>
      </c>
      <c r="G155" s="45">
        <f>IF(E155="","",IFERROR(E155*INDEX(UnitFactors,MATCH(F155,UnitNames,0)),""))</f>
        <v>0</v>
      </c>
      <c r="H155" s="17">
        <f>IF(F155="","",IFERROR(INDEX(UnitBases,MATCH(F155,UnitNames,0)),"?"))</f>
        <v>0</v>
      </c>
      <c r="L155" s="18">
        <f>IF(B155="","",IFERROR(INDEX(Ingredients!$Z$5:$Z$304,MATCH(B155,Ingredients!$B$5:$B$304,0)),"Add to Ingredients"))</f>
        <v>0</v>
      </c>
      <c r="M155" s="19">
        <f>IF(K155&lt;&gt;"",K155,IF(OR(J155="",L155="",NOT(ISNUMBER(L155))),"",J155+L155))</f>
        <v>0</v>
      </c>
      <c r="N155" s="18">
        <f>IF(M155="","",M155-TODAY())</f>
        <v>0</v>
      </c>
      <c r="O155" s="25">
        <f>IF(B155="","",IFERROR(INDEX(Ingredients!$J$5:$J$304,MATCH(B155,Ingredients!$B$5:$B$304,0)),"Add to Ingredients"))</f>
        <v>0</v>
      </c>
      <c r="P155" s="25">
        <f>IF(OR(G155="",O155="",NOT(ISNUMBER(O155))),"",G155*O155)</f>
        <v>0</v>
      </c>
      <c r="R155" s="45">
        <f>IF(B155="","",IFERROR(INDEX(Ingredients!$AG$5:$AG$304,MATCH(B155,Ingredients!$B$5:$B$304,0)),0))</f>
        <v>0</v>
      </c>
      <c r="S155" s="45">
        <f>IF(G155="","",G155-IF(R155="",0,R155))</f>
        <v>0</v>
      </c>
      <c r="U155" s="18">
        <f>IF(OR(B155="",D155&lt;&gt;"Fridge",NOT(ISNUMBER(N155))),"",COUNTIFS($D$5:$D$304,"Fridge",$N$5:$N$304,"&lt;"&amp;N155)+COUNTIFS($D$5:D155,"Fridge",$N$5:N155,N155))</f>
        <v>0</v>
      </c>
      <c r="V155" s="18">
        <f>IF(OR(B155="",D155&lt;&gt;"Freezer",NOT(ISNUMBER(N155))),"",COUNTIFS($D$5:$D$304,"Freezer",$N$5:$N$304,"&lt;"&amp;N155)+COUNTIFS($D$5:D155,"Freezer",$N$5:N155,N155))</f>
        <v>0</v>
      </c>
      <c r="W155" s="31">
        <f>IF(B155="","",IF(G155=0,"Out of stock",IF(AND(N155&lt;&gt;"",N155&lt;0),"Expired",IF(AND(N155&lt;&gt;"",N155&lt;=ExpiryWarningDays),"Use soon",IF(AND(Q155&lt;&gt;"",G155&lt;Q155),"Low stock","In stock")))))</f>
        <v>0</v>
      </c>
      <c r="X155" s="31">
        <f>IF(B155="","",IF(W155="Expired","Expired - bin it and log it on the Food Waste tab",IF(W155="Use soon","Use soon - plan a meal with it",IF(W155="Out of stock",IF(T155="Yes","Missing - staple has run out","Add - restock when convenient"),IF(W155="Low stock","Check - running low",IF(S155&lt;0,"Check - the plan needs more than you have","OK"))))))</f>
        <v>0</v>
      </c>
    </row>
    <row r="156" spans="1:24">
      <c r="A156" s="39">
        <f>IF(B156="","",PantryPrefix&amp;TEXT(ROW()-4,"0000"))</f>
        <v>0</v>
      </c>
      <c r="C156" s="17">
        <f>IF(B156="","",IFERROR(INDEX(Ingredients!$C$5:$C$304,MATCH(B156,Ingredients!$B$5:$B$304,0)),"Add to Ingredients"))</f>
        <v>0</v>
      </c>
      <c r="G156" s="45">
        <f>IF(E156="","",IFERROR(E156*INDEX(UnitFactors,MATCH(F156,UnitNames,0)),""))</f>
        <v>0</v>
      </c>
      <c r="H156" s="17">
        <f>IF(F156="","",IFERROR(INDEX(UnitBases,MATCH(F156,UnitNames,0)),"?"))</f>
        <v>0</v>
      </c>
      <c r="L156" s="18">
        <f>IF(B156="","",IFERROR(INDEX(Ingredients!$Z$5:$Z$304,MATCH(B156,Ingredients!$B$5:$B$304,0)),"Add to Ingredients"))</f>
        <v>0</v>
      </c>
      <c r="M156" s="19">
        <f>IF(K156&lt;&gt;"",K156,IF(OR(J156="",L156="",NOT(ISNUMBER(L156))),"",J156+L156))</f>
        <v>0</v>
      </c>
      <c r="N156" s="18">
        <f>IF(M156="","",M156-TODAY())</f>
        <v>0</v>
      </c>
      <c r="O156" s="25">
        <f>IF(B156="","",IFERROR(INDEX(Ingredients!$J$5:$J$304,MATCH(B156,Ingredients!$B$5:$B$304,0)),"Add to Ingredients"))</f>
        <v>0</v>
      </c>
      <c r="P156" s="25">
        <f>IF(OR(G156="",O156="",NOT(ISNUMBER(O156))),"",G156*O156)</f>
        <v>0</v>
      </c>
      <c r="R156" s="45">
        <f>IF(B156="","",IFERROR(INDEX(Ingredients!$AG$5:$AG$304,MATCH(B156,Ingredients!$B$5:$B$304,0)),0))</f>
        <v>0</v>
      </c>
      <c r="S156" s="45">
        <f>IF(G156="","",G156-IF(R156="",0,R156))</f>
        <v>0</v>
      </c>
      <c r="U156" s="18">
        <f>IF(OR(B156="",D156&lt;&gt;"Fridge",NOT(ISNUMBER(N156))),"",COUNTIFS($D$5:$D$304,"Fridge",$N$5:$N$304,"&lt;"&amp;N156)+COUNTIFS($D$5:D156,"Fridge",$N$5:N156,N156))</f>
        <v>0</v>
      </c>
      <c r="V156" s="18">
        <f>IF(OR(B156="",D156&lt;&gt;"Freezer",NOT(ISNUMBER(N156))),"",COUNTIFS($D$5:$D$304,"Freezer",$N$5:$N$304,"&lt;"&amp;N156)+COUNTIFS($D$5:D156,"Freezer",$N$5:N156,N156))</f>
        <v>0</v>
      </c>
      <c r="W156" s="31">
        <f>IF(B156="","",IF(G156=0,"Out of stock",IF(AND(N156&lt;&gt;"",N156&lt;0),"Expired",IF(AND(N156&lt;&gt;"",N156&lt;=ExpiryWarningDays),"Use soon",IF(AND(Q156&lt;&gt;"",G156&lt;Q156),"Low stock","In stock")))))</f>
        <v>0</v>
      </c>
      <c r="X156" s="31">
        <f>IF(B156="","",IF(W156="Expired","Expired - bin it and log it on the Food Waste tab",IF(W156="Use soon","Use soon - plan a meal with it",IF(W156="Out of stock",IF(T156="Yes","Missing - staple has run out","Add - restock when convenient"),IF(W156="Low stock","Check - running low",IF(S156&lt;0,"Check - the plan needs more than you have","OK"))))))</f>
        <v>0</v>
      </c>
    </row>
    <row r="157" spans="1:24">
      <c r="A157" s="39">
        <f>IF(B157="","",PantryPrefix&amp;TEXT(ROW()-4,"0000"))</f>
        <v>0</v>
      </c>
      <c r="C157" s="17">
        <f>IF(B157="","",IFERROR(INDEX(Ingredients!$C$5:$C$304,MATCH(B157,Ingredients!$B$5:$B$304,0)),"Add to Ingredients"))</f>
        <v>0</v>
      </c>
      <c r="G157" s="45">
        <f>IF(E157="","",IFERROR(E157*INDEX(UnitFactors,MATCH(F157,UnitNames,0)),""))</f>
        <v>0</v>
      </c>
      <c r="H157" s="17">
        <f>IF(F157="","",IFERROR(INDEX(UnitBases,MATCH(F157,UnitNames,0)),"?"))</f>
        <v>0</v>
      </c>
      <c r="L157" s="18">
        <f>IF(B157="","",IFERROR(INDEX(Ingredients!$Z$5:$Z$304,MATCH(B157,Ingredients!$B$5:$B$304,0)),"Add to Ingredients"))</f>
        <v>0</v>
      </c>
      <c r="M157" s="19">
        <f>IF(K157&lt;&gt;"",K157,IF(OR(J157="",L157="",NOT(ISNUMBER(L157))),"",J157+L157))</f>
        <v>0</v>
      </c>
      <c r="N157" s="18">
        <f>IF(M157="","",M157-TODAY())</f>
        <v>0</v>
      </c>
      <c r="O157" s="25">
        <f>IF(B157="","",IFERROR(INDEX(Ingredients!$J$5:$J$304,MATCH(B157,Ingredients!$B$5:$B$304,0)),"Add to Ingredients"))</f>
        <v>0</v>
      </c>
      <c r="P157" s="25">
        <f>IF(OR(G157="",O157="",NOT(ISNUMBER(O157))),"",G157*O157)</f>
        <v>0</v>
      </c>
      <c r="R157" s="45">
        <f>IF(B157="","",IFERROR(INDEX(Ingredients!$AG$5:$AG$304,MATCH(B157,Ingredients!$B$5:$B$304,0)),0))</f>
        <v>0</v>
      </c>
      <c r="S157" s="45">
        <f>IF(G157="","",G157-IF(R157="",0,R157))</f>
        <v>0</v>
      </c>
      <c r="U157" s="18">
        <f>IF(OR(B157="",D157&lt;&gt;"Fridge",NOT(ISNUMBER(N157))),"",COUNTIFS($D$5:$D$304,"Fridge",$N$5:$N$304,"&lt;"&amp;N157)+COUNTIFS($D$5:D157,"Fridge",$N$5:N157,N157))</f>
        <v>0</v>
      </c>
      <c r="V157" s="18">
        <f>IF(OR(B157="",D157&lt;&gt;"Freezer",NOT(ISNUMBER(N157))),"",COUNTIFS($D$5:$D$304,"Freezer",$N$5:$N$304,"&lt;"&amp;N157)+COUNTIFS($D$5:D157,"Freezer",$N$5:N157,N157))</f>
        <v>0</v>
      </c>
      <c r="W157" s="31">
        <f>IF(B157="","",IF(G157=0,"Out of stock",IF(AND(N157&lt;&gt;"",N157&lt;0),"Expired",IF(AND(N157&lt;&gt;"",N157&lt;=ExpiryWarningDays),"Use soon",IF(AND(Q157&lt;&gt;"",G157&lt;Q157),"Low stock","In stock")))))</f>
        <v>0</v>
      </c>
      <c r="X157" s="31">
        <f>IF(B157="","",IF(W157="Expired","Expired - bin it and log it on the Food Waste tab",IF(W157="Use soon","Use soon - plan a meal with it",IF(W157="Out of stock",IF(T157="Yes","Missing - staple has run out","Add - restock when convenient"),IF(W157="Low stock","Check - running low",IF(S157&lt;0,"Check - the plan needs more than you have","OK"))))))</f>
        <v>0</v>
      </c>
    </row>
    <row r="158" spans="1:24">
      <c r="A158" s="39">
        <f>IF(B158="","",PantryPrefix&amp;TEXT(ROW()-4,"0000"))</f>
        <v>0</v>
      </c>
      <c r="C158" s="17">
        <f>IF(B158="","",IFERROR(INDEX(Ingredients!$C$5:$C$304,MATCH(B158,Ingredients!$B$5:$B$304,0)),"Add to Ingredients"))</f>
        <v>0</v>
      </c>
      <c r="G158" s="45">
        <f>IF(E158="","",IFERROR(E158*INDEX(UnitFactors,MATCH(F158,UnitNames,0)),""))</f>
        <v>0</v>
      </c>
      <c r="H158" s="17">
        <f>IF(F158="","",IFERROR(INDEX(UnitBases,MATCH(F158,UnitNames,0)),"?"))</f>
        <v>0</v>
      </c>
      <c r="L158" s="18">
        <f>IF(B158="","",IFERROR(INDEX(Ingredients!$Z$5:$Z$304,MATCH(B158,Ingredients!$B$5:$B$304,0)),"Add to Ingredients"))</f>
        <v>0</v>
      </c>
      <c r="M158" s="19">
        <f>IF(K158&lt;&gt;"",K158,IF(OR(J158="",L158="",NOT(ISNUMBER(L158))),"",J158+L158))</f>
        <v>0</v>
      </c>
      <c r="N158" s="18">
        <f>IF(M158="","",M158-TODAY())</f>
        <v>0</v>
      </c>
      <c r="O158" s="25">
        <f>IF(B158="","",IFERROR(INDEX(Ingredients!$J$5:$J$304,MATCH(B158,Ingredients!$B$5:$B$304,0)),"Add to Ingredients"))</f>
        <v>0</v>
      </c>
      <c r="P158" s="25">
        <f>IF(OR(G158="",O158="",NOT(ISNUMBER(O158))),"",G158*O158)</f>
        <v>0</v>
      </c>
      <c r="R158" s="45">
        <f>IF(B158="","",IFERROR(INDEX(Ingredients!$AG$5:$AG$304,MATCH(B158,Ingredients!$B$5:$B$304,0)),0))</f>
        <v>0</v>
      </c>
      <c r="S158" s="45">
        <f>IF(G158="","",G158-IF(R158="",0,R158))</f>
        <v>0</v>
      </c>
      <c r="U158" s="18">
        <f>IF(OR(B158="",D158&lt;&gt;"Fridge",NOT(ISNUMBER(N158))),"",COUNTIFS($D$5:$D$304,"Fridge",$N$5:$N$304,"&lt;"&amp;N158)+COUNTIFS($D$5:D158,"Fridge",$N$5:N158,N158))</f>
        <v>0</v>
      </c>
      <c r="V158" s="18">
        <f>IF(OR(B158="",D158&lt;&gt;"Freezer",NOT(ISNUMBER(N158))),"",COUNTIFS($D$5:$D$304,"Freezer",$N$5:$N$304,"&lt;"&amp;N158)+COUNTIFS($D$5:D158,"Freezer",$N$5:N158,N158))</f>
        <v>0</v>
      </c>
      <c r="W158" s="31">
        <f>IF(B158="","",IF(G158=0,"Out of stock",IF(AND(N158&lt;&gt;"",N158&lt;0),"Expired",IF(AND(N158&lt;&gt;"",N158&lt;=ExpiryWarningDays),"Use soon",IF(AND(Q158&lt;&gt;"",G158&lt;Q158),"Low stock","In stock")))))</f>
        <v>0</v>
      </c>
      <c r="X158" s="31">
        <f>IF(B158="","",IF(W158="Expired","Expired - bin it and log it on the Food Waste tab",IF(W158="Use soon","Use soon - plan a meal with it",IF(W158="Out of stock",IF(T158="Yes","Missing - staple has run out","Add - restock when convenient"),IF(W158="Low stock","Check - running low",IF(S158&lt;0,"Check - the plan needs more than you have","OK"))))))</f>
        <v>0</v>
      </c>
    </row>
    <row r="159" spans="1:24">
      <c r="A159" s="39">
        <f>IF(B159="","",PantryPrefix&amp;TEXT(ROW()-4,"0000"))</f>
        <v>0</v>
      </c>
      <c r="C159" s="17">
        <f>IF(B159="","",IFERROR(INDEX(Ingredients!$C$5:$C$304,MATCH(B159,Ingredients!$B$5:$B$304,0)),"Add to Ingredients"))</f>
        <v>0</v>
      </c>
      <c r="G159" s="45">
        <f>IF(E159="","",IFERROR(E159*INDEX(UnitFactors,MATCH(F159,UnitNames,0)),""))</f>
        <v>0</v>
      </c>
      <c r="H159" s="17">
        <f>IF(F159="","",IFERROR(INDEX(UnitBases,MATCH(F159,UnitNames,0)),"?"))</f>
        <v>0</v>
      </c>
      <c r="L159" s="18">
        <f>IF(B159="","",IFERROR(INDEX(Ingredients!$Z$5:$Z$304,MATCH(B159,Ingredients!$B$5:$B$304,0)),"Add to Ingredients"))</f>
        <v>0</v>
      </c>
      <c r="M159" s="19">
        <f>IF(K159&lt;&gt;"",K159,IF(OR(J159="",L159="",NOT(ISNUMBER(L159))),"",J159+L159))</f>
        <v>0</v>
      </c>
      <c r="N159" s="18">
        <f>IF(M159="","",M159-TODAY())</f>
        <v>0</v>
      </c>
      <c r="O159" s="25">
        <f>IF(B159="","",IFERROR(INDEX(Ingredients!$J$5:$J$304,MATCH(B159,Ingredients!$B$5:$B$304,0)),"Add to Ingredients"))</f>
        <v>0</v>
      </c>
      <c r="P159" s="25">
        <f>IF(OR(G159="",O159="",NOT(ISNUMBER(O159))),"",G159*O159)</f>
        <v>0</v>
      </c>
      <c r="R159" s="45">
        <f>IF(B159="","",IFERROR(INDEX(Ingredients!$AG$5:$AG$304,MATCH(B159,Ingredients!$B$5:$B$304,0)),0))</f>
        <v>0</v>
      </c>
      <c r="S159" s="45">
        <f>IF(G159="","",G159-IF(R159="",0,R159))</f>
        <v>0</v>
      </c>
      <c r="U159" s="18">
        <f>IF(OR(B159="",D159&lt;&gt;"Fridge",NOT(ISNUMBER(N159))),"",COUNTIFS($D$5:$D$304,"Fridge",$N$5:$N$304,"&lt;"&amp;N159)+COUNTIFS($D$5:D159,"Fridge",$N$5:N159,N159))</f>
        <v>0</v>
      </c>
      <c r="V159" s="18">
        <f>IF(OR(B159="",D159&lt;&gt;"Freezer",NOT(ISNUMBER(N159))),"",COUNTIFS($D$5:$D$304,"Freezer",$N$5:$N$304,"&lt;"&amp;N159)+COUNTIFS($D$5:D159,"Freezer",$N$5:N159,N159))</f>
        <v>0</v>
      </c>
      <c r="W159" s="31">
        <f>IF(B159="","",IF(G159=0,"Out of stock",IF(AND(N159&lt;&gt;"",N159&lt;0),"Expired",IF(AND(N159&lt;&gt;"",N159&lt;=ExpiryWarningDays),"Use soon",IF(AND(Q159&lt;&gt;"",G159&lt;Q159),"Low stock","In stock")))))</f>
        <v>0</v>
      </c>
      <c r="X159" s="31">
        <f>IF(B159="","",IF(W159="Expired","Expired - bin it and log it on the Food Waste tab",IF(W159="Use soon","Use soon - plan a meal with it",IF(W159="Out of stock",IF(T159="Yes","Missing - staple has run out","Add - restock when convenient"),IF(W159="Low stock","Check - running low",IF(S159&lt;0,"Check - the plan needs more than you have","OK"))))))</f>
        <v>0</v>
      </c>
    </row>
    <row r="160" spans="1:24">
      <c r="A160" s="39">
        <f>IF(B160="","",PantryPrefix&amp;TEXT(ROW()-4,"0000"))</f>
        <v>0</v>
      </c>
      <c r="C160" s="17">
        <f>IF(B160="","",IFERROR(INDEX(Ingredients!$C$5:$C$304,MATCH(B160,Ingredients!$B$5:$B$304,0)),"Add to Ingredients"))</f>
        <v>0</v>
      </c>
      <c r="G160" s="45">
        <f>IF(E160="","",IFERROR(E160*INDEX(UnitFactors,MATCH(F160,UnitNames,0)),""))</f>
        <v>0</v>
      </c>
      <c r="H160" s="17">
        <f>IF(F160="","",IFERROR(INDEX(UnitBases,MATCH(F160,UnitNames,0)),"?"))</f>
        <v>0</v>
      </c>
      <c r="L160" s="18">
        <f>IF(B160="","",IFERROR(INDEX(Ingredients!$Z$5:$Z$304,MATCH(B160,Ingredients!$B$5:$B$304,0)),"Add to Ingredients"))</f>
        <v>0</v>
      </c>
      <c r="M160" s="19">
        <f>IF(K160&lt;&gt;"",K160,IF(OR(J160="",L160="",NOT(ISNUMBER(L160))),"",J160+L160))</f>
        <v>0</v>
      </c>
      <c r="N160" s="18">
        <f>IF(M160="","",M160-TODAY())</f>
        <v>0</v>
      </c>
      <c r="O160" s="25">
        <f>IF(B160="","",IFERROR(INDEX(Ingredients!$J$5:$J$304,MATCH(B160,Ingredients!$B$5:$B$304,0)),"Add to Ingredients"))</f>
        <v>0</v>
      </c>
      <c r="P160" s="25">
        <f>IF(OR(G160="",O160="",NOT(ISNUMBER(O160))),"",G160*O160)</f>
        <v>0</v>
      </c>
      <c r="R160" s="45">
        <f>IF(B160="","",IFERROR(INDEX(Ingredients!$AG$5:$AG$304,MATCH(B160,Ingredients!$B$5:$B$304,0)),0))</f>
        <v>0</v>
      </c>
      <c r="S160" s="45">
        <f>IF(G160="","",G160-IF(R160="",0,R160))</f>
        <v>0</v>
      </c>
      <c r="U160" s="18">
        <f>IF(OR(B160="",D160&lt;&gt;"Fridge",NOT(ISNUMBER(N160))),"",COUNTIFS($D$5:$D$304,"Fridge",$N$5:$N$304,"&lt;"&amp;N160)+COUNTIFS($D$5:D160,"Fridge",$N$5:N160,N160))</f>
        <v>0</v>
      </c>
      <c r="V160" s="18">
        <f>IF(OR(B160="",D160&lt;&gt;"Freezer",NOT(ISNUMBER(N160))),"",COUNTIFS($D$5:$D$304,"Freezer",$N$5:$N$304,"&lt;"&amp;N160)+COUNTIFS($D$5:D160,"Freezer",$N$5:N160,N160))</f>
        <v>0</v>
      </c>
      <c r="W160" s="31">
        <f>IF(B160="","",IF(G160=0,"Out of stock",IF(AND(N160&lt;&gt;"",N160&lt;0),"Expired",IF(AND(N160&lt;&gt;"",N160&lt;=ExpiryWarningDays),"Use soon",IF(AND(Q160&lt;&gt;"",G160&lt;Q160),"Low stock","In stock")))))</f>
        <v>0</v>
      </c>
      <c r="X160" s="31">
        <f>IF(B160="","",IF(W160="Expired","Expired - bin it and log it on the Food Waste tab",IF(W160="Use soon","Use soon - plan a meal with it",IF(W160="Out of stock",IF(T160="Yes","Missing - staple has run out","Add - restock when convenient"),IF(W160="Low stock","Check - running low",IF(S160&lt;0,"Check - the plan needs more than you have","OK"))))))</f>
        <v>0</v>
      </c>
    </row>
    <row r="161" spans="1:24">
      <c r="A161" s="39">
        <f>IF(B161="","",PantryPrefix&amp;TEXT(ROW()-4,"0000"))</f>
        <v>0</v>
      </c>
      <c r="C161" s="17">
        <f>IF(B161="","",IFERROR(INDEX(Ingredients!$C$5:$C$304,MATCH(B161,Ingredients!$B$5:$B$304,0)),"Add to Ingredients"))</f>
        <v>0</v>
      </c>
      <c r="G161" s="45">
        <f>IF(E161="","",IFERROR(E161*INDEX(UnitFactors,MATCH(F161,UnitNames,0)),""))</f>
        <v>0</v>
      </c>
      <c r="H161" s="17">
        <f>IF(F161="","",IFERROR(INDEX(UnitBases,MATCH(F161,UnitNames,0)),"?"))</f>
        <v>0</v>
      </c>
      <c r="L161" s="18">
        <f>IF(B161="","",IFERROR(INDEX(Ingredients!$Z$5:$Z$304,MATCH(B161,Ingredients!$B$5:$B$304,0)),"Add to Ingredients"))</f>
        <v>0</v>
      </c>
      <c r="M161" s="19">
        <f>IF(K161&lt;&gt;"",K161,IF(OR(J161="",L161="",NOT(ISNUMBER(L161))),"",J161+L161))</f>
        <v>0</v>
      </c>
      <c r="N161" s="18">
        <f>IF(M161="","",M161-TODAY())</f>
        <v>0</v>
      </c>
      <c r="O161" s="25">
        <f>IF(B161="","",IFERROR(INDEX(Ingredients!$J$5:$J$304,MATCH(B161,Ingredients!$B$5:$B$304,0)),"Add to Ingredients"))</f>
        <v>0</v>
      </c>
      <c r="P161" s="25">
        <f>IF(OR(G161="",O161="",NOT(ISNUMBER(O161))),"",G161*O161)</f>
        <v>0</v>
      </c>
      <c r="R161" s="45">
        <f>IF(B161="","",IFERROR(INDEX(Ingredients!$AG$5:$AG$304,MATCH(B161,Ingredients!$B$5:$B$304,0)),0))</f>
        <v>0</v>
      </c>
      <c r="S161" s="45">
        <f>IF(G161="","",G161-IF(R161="",0,R161))</f>
        <v>0</v>
      </c>
      <c r="U161" s="18">
        <f>IF(OR(B161="",D161&lt;&gt;"Fridge",NOT(ISNUMBER(N161))),"",COUNTIFS($D$5:$D$304,"Fridge",$N$5:$N$304,"&lt;"&amp;N161)+COUNTIFS($D$5:D161,"Fridge",$N$5:N161,N161))</f>
        <v>0</v>
      </c>
      <c r="V161" s="18">
        <f>IF(OR(B161="",D161&lt;&gt;"Freezer",NOT(ISNUMBER(N161))),"",COUNTIFS($D$5:$D$304,"Freezer",$N$5:$N$304,"&lt;"&amp;N161)+COUNTIFS($D$5:D161,"Freezer",$N$5:N161,N161))</f>
        <v>0</v>
      </c>
      <c r="W161" s="31">
        <f>IF(B161="","",IF(G161=0,"Out of stock",IF(AND(N161&lt;&gt;"",N161&lt;0),"Expired",IF(AND(N161&lt;&gt;"",N161&lt;=ExpiryWarningDays),"Use soon",IF(AND(Q161&lt;&gt;"",G161&lt;Q161),"Low stock","In stock")))))</f>
        <v>0</v>
      </c>
      <c r="X161" s="31">
        <f>IF(B161="","",IF(W161="Expired","Expired - bin it and log it on the Food Waste tab",IF(W161="Use soon","Use soon - plan a meal with it",IF(W161="Out of stock",IF(T161="Yes","Missing - staple has run out","Add - restock when convenient"),IF(W161="Low stock","Check - running low",IF(S161&lt;0,"Check - the plan needs more than you have","OK"))))))</f>
        <v>0</v>
      </c>
    </row>
    <row r="162" spans="1:24">
      <c r="A162" s="39">
        <f>IF(B162="","",PantryPrefix&amp;TEXT(ROW()-4,"0000"))</f>
        <v>0</v>
      </c>
      <c r="C162" s="17">
        <f>IF(B162="","",IFERROR(INDEX(Ingredients!$C$5:$C$304,MATCH(B162,Ingredients!$B$5:$B$304,0)),"Add to Ingredients"))</f>
        <v>0</v>
      </c>
      <c r="G162" s="45">
        <f>IF(E162="","",IFERROR(E162*INDEX(UnitFactors,MATCH(F162,UnitNames,0)),""))</f>
        <v>0</v>
      </c>
      <c r="H162" s="17">
        <f>IF(F162="","",IFERROR(INDEX(UnitBases,MATCH(F162,UnitNames,0)),"?"))</f>
        <v>0</v>
      </c>
      <c r="L162" s="18">
        <f>IF(B162="","",IFERROR(INDEX(Ingredients!$Z$5:$Z$304,MATCH(B162,Ingredients!$B$5:$B$304,0)),"Add to Ingredients"))</f>
        <v>0</v>
      </c>
      <c r="M162" s="19">
        <f>IF(K162&lt;&gt;"",K162,IF(OR(J162="",L162="",NOT(ISNUMBER(L162))),"",J162+L162))</f>
        <v>0</v>
      </c>
      <c r="N162" s="18">
        <f>IF(M162="","",M162-TODAY())</f>
        <v>0</v>
      </c>
      <c r="O162" s="25">
        <f>IF(B162="","",IFERROR(INDEX(Ingredients!$J$5:$J$304,MATCH(B162,Ingredients!$B$5:$B$304,0)),"Add to Ingredients"))</f>
        <v>0</v>
      </c>
      <c r="P162" s="25">
        <f>IF(OR(G162="",O162="",NOT(ISNUMBER(O162))),"",G162*O162)</f>
        <v>0</v>
      </c>
      <c r="R162" s="45">
        <f>IF(B162="","",IFERROR(INDEX(Ingredients!$AG$5:$AG$304,MATCH(B162,Ingredients!$B$5:$B$304,0)),0))</f>
        <v>0</v>
      </c>
      <c r="S162" s="45">
        <f>IF(G162="","",G162-IF(R162="",0,R162))</f>
        <v>0</v>
      </c>
      <c r="U162" s="18">
        <f>IF(OR(B162="",D162&lt;&gt;"Fridge",NOT(ISNUMBER(N162))),"",COUNTIFS($D$5:$D$304,"Fridge",$N$5:$N$304,"&lt;"&amp;N162)+COUNTIFS($D$5:D162,"Fridge",$N$5:N162,N162))</f>
        <v>0</v>
      </c>
      <c r="V162" s="18">
        <f>IF(OR(B162="",D162&lt;&gt;"Freezer",NOT(ISNUMBER(N162))),"",COUNTIFS($D$5:$D$304,"Freezer",$N$5:$N$304,"&lt;"&amp;N162)+COUNTIFS($D$5:D162,"Freezer",$N$5:N162,N162))</f>
        <v>0</v>
      </c>
      <c r="W162" s="31">
        <f>IF(B162="","",IF(G162=0,"Out of stock",IF(AND(N162&lt;&gt;"",N162&lt;0),"Expired",IF(AND(N162&lt;&gt;"",N162&lt;=ExpiryWarningDays),"Use soon",IF(AND(Q162&lt;&gt;"",G162&lt;Q162),"Low stock","In stock")))))</f>
        <v>0</v>
      </c>
      <c r="X162" s="31">
        <f>IF(B162="","",IF(W162="Expired","Expired - bin it and log it on the Food Waste tab",IF(W162="Use soon","Use soon - plan a meal with it",IF(W162="Out of stock",IF(T162="Yes","Missing - staple has run out","Add - restock when convenient"),IF(W162="Low stock","Check - running low",IF(S162&lt;0,"Check - the plan needs more than you have","OK"))))))</f>
        <v>0</v>
      </c>
    </row>
    <row r="163" spans="1:24">
      <c r="A163" s="39">
        <f>IF(B163="","",PantryPrefix&amp;TEXT(ROW()-4,"0000"))</f>
        <v>0</v>
      </c>
      <c r="C163" s="17">
        <f>IF(B163="","",IFERROR(INDEX(Ingredients!$C$5:$C$304,MATCH(B163,Ingredients!$B$5:$B$304,0)),"Add to Ingredients"))</f>
        <v>0</v>
      </c>
      <c r="G163" s="45">
        <f>IF(E163="","",IFERROR(E163*INDEX(UnitFactors,MATCH(F163,UnitNames,0)),""))</f>
        <v>0</v>
      </c>
      <c r="H163" s="17">
        <f>IF(F163="","",IFERROR(INDEX(UnitBases,MATCH(F163,UnitNames,0)),"?"))</f>
        <v>0</v>
      </c>
      <c r="L163" s="18">
        <f>IF(B163="","",IFERROR(INDEX(Ingredients!$Z$5:$Z$304,MATCH(B163,Ingredients!$B$5:$B$304,0)),"Add to Ingredients"))</f>
        <v>0</v>
      </c>
      <c r="M163" s="19">
        <f>IF(K163&lt;&gt;"",K163,IF(OR(J163="",L163="",NOT(ISNUMBER(L163))),"",J163+L163))</f>
        <v>0</v>
      </c>
      <c r="N163" s="18">
        <f>IF(M163="","",M163-TODAY())</f>
        <v>0</v>
      </c>
      <c r="O163" s="25">
        <f>IF(B163="","",IFERROR(INDEX(Ingredients!$J$5:$J$304,MATCH(B163,Ingredients!$B$5:$B$304,0)),"Add to Ingredients"))</f>
        <v>0</v>
      </c>
      <c r="P163" s="25">
        <f>IF(OR(G163="",O163="",NOT(ISNUMBER(O163))),"",G163*O163)</f>
        <v>0</v>
      </c>
      <c r="R163" s="45">
        <f>IF(B163="","",IFERROR(INDEX(Ingredients!$AG$5:$AG$304,MATCH(B163,Ingredients!$B$5:$B$304,0)),0))</f>
        <v>0</v>
      </c>
      <c r="S163" s="45">
        <f>IF(G163="","",G163-IF(R163="",0,R163))</f>
        <v>0</v>
      </c>
      <c r="U163" s="18">
        <f>IF(OR(B163="",D163&lt;&gt;"Fridge",NOT(ISNUMBER(N163))),"",COUNTIFS($D$5:$D$304,"Fridge",$N$5:$N$304,"&lt;"&amp;N163)+COUNTIFS($D$5:D163,"Fridge",$N$5:N163,N163))</f>
        <v>0</v>
      </c>
      <c r="V163" s="18">
        <f>IF(OR(B163="",D163&lt;&gt;"Freezer",NOT(ISNUMBER(N163))),"",COUNTIFS($D$5:$D$304,"Freezer",$N$5:$N$304,"&lt;"&amp;N163)+COUNTIFS($D$5:D163,"Freezer",$N$5:N163,N163))</f>
        <v>0</v>
      </c>
      <c r="W163" s="31">
        <f>IF(B163="","",IF(G163=0,"Out of stock",IF(AND(N163&lt;&gt;"",N163&lt;0),"Expired",IF(AND(N163&lt;&gt;"",N163&lt;=ExpiryWarningDays),"Use soon",IF(AND(Q163&lt;&gt;"",G163&lt;Q163),"Low stock","In stock")))))</f>
        <v>0</v>
      </c>
      <c r="X163" s="31">
        <f>IF(B163="","",IF(W163="Expired","Expired - bin it and log it on the Food Waste tab",IF(W163="Use soon","Use soon - plan a meal with it",IF(W163="Out of stock",IF(T163="Yes","Missing - staple has run out","Add - restock when convenient"),IF(W163="Low stock","Check - running low",IF(S163&lt;0,"Check - the plan needs more than you have","OK"))))))</f>
        <v>0</v>
      </c>
    </row>
    <row r="164" spans="1:24">
      <c r="A164" s="39">
        <f>IF(B164="","",PantryPrefix&amp;TEXT(ROW()-4,"0000"))</f>
        <v>0</v>
      </c>
      <c r="C164" s="17">
        <f>IF(B164="","",IFERROR(INDEX(Ingredients!$C$5:$C$304,MATCH(B164,Ingredients!$B$5:$B$304,0)),"Add to Ingredients"))</f>
        <v>0</v>
      </c>
      <c r="G164" s="45">
        <f>IF(E164="","",IFERROR(E164*INDEX(UnitFactors,MATCH(F164,UnitNames,0)),""))</f>
        <v>0</v>
      </c>
      <c r="H164" s="17">
        <f>IF(F164="","",IFERROR(INDEX(UnitBases,MATCH(F164,UnitNames,0)),"?"))</f>
        <v>0</v>
      </c>
      <c r="L164" s="18">
        <f>IF(B164="","",IFERROR(INDEX(Ingredients!$Z$5:$Z$304,MATCH(B164,Ingredients!$B$5:$B$304,0)),"Add to Ingredients"))</f>
        <v>0</v>
      </c>
      <c r="M164" s="19">
        <f>IF(K164&lt;&gt;"",K164,IF(OR(J164="",L164="",NOT(ISNUMBER(L164))),"",J164+L164))</f>
        <v>0</v>
      </c>
      <c r="N164" s="18">
        <f>IF(M164="","",M164-TODAY())</f>
        <v>0</v>
      </c>
      <c r="O164" s="25">
        <f>IF(B164="","",IFERROR(INDEX(Ingredients!$J$5:$J$304,MATCH(B164,Ingredients!$B$5:$B$304,0)),"Add to Ingredients"))</f>
        <v>0</v>
      </c>
      <c r="P164" s="25">
        <f>IF(OR(G164="",O164="",NOT(ISNUMBER(O164))),"",G164*O164)</f>
        <v>0</v>
      </c>
      <c r="R164" s="45">
        <f>IF(B164="","",IFERROR(INDEX(Ingredients!$AG$5:$AG$304,MATCH(B164,Ingredients!$B$5:$B$304,0)),0))</f>
        <v>0</v>
      </c>
      <c r="S164" s="45">
        <f>IF(G164="","",G164-IF(R164="",0,R164))</f>
        <v>0</v>
      </c>
      <c r="U164" s="18">
        <f>IF(OR(B164="",D164&lt;&gt;"Fridge",NOT(ISNUMBER(N164))),"",COUNTIFS($D$5:$D$304,"Fridge",$N$5:$N$304,"&lt;"&amp;N164)+COUNTIFS($D$5:D164,"Fridge",$N$5:N164,N164))</f>
        <v>0</v>
      </c>
      <c r="V164" s="18">
        <f>IF(OR(B164="",D164&lt;&gt;"Freezer",NOT(ISNUMBER(N164))),"",COUNTIFS($D$5:$D$304,"Freezer",$N$5:$N$304,"&lt;"&amp;N164)+COUNTIFS($D$5:D164,"Freezer",$N$5:N164,N164))</f>
        <v>0</v>
      </c>
      <c r="W164" s="31">
        <f>IF(B164="","",IF(G164=0,"Out of stock",IF(AND(N164&lt;&gt;"",N164&lt;0),"Expired",IF(AND(N164&lt;&gt;"",N164&lt;=ExpiryWarningDays),"Use soon",IF(AND(Q164&lt;&gt;"",G164&lt;Q164),"Low stock","In stock")))))</f>
        <v>0</v>
      </c>
      <c r="X164" s="31">
        <f>IF(B164="","",IF(W164="Expired","Expired - bin it and log it on the Food Waste tab",IF(W164="Use soon","Use soon - plan a meal with it",IF(W164="Out of stock",IF(T164="Yes","Missing - staple has run out","Add - restock when convenient"),IF(W164="Low stock","Check - running low",IF(S164&lt;0,"Check - the plan needs more than you have","OK"))))))</f>
        <v>0</v>
      </c>
    </row>
    <row r="165" spans="1:24">
      <c r="A165" s="39">
        <f>IF(B165="","",PantryPrefix&amp;TEXT(ROW()-4,"0000"))</f>
        <v>0</v>
      </c>
      <c r="C165" s="17">
        <f>IF(B165="","",IFERROR(INDEX(Ingredients!$C$5:$C$304,MATCH(B165,Ingredients!$B$5:$B$304,0)),"Add to Ingredients"))</f>
        <v>0</v>
      </c>
      <c r="G165" s="45">
        <f>IF(E165="","",IFERROR(E165*INDEX(UnitFactors,MATCH(F165,UnitNames,0)),""))</f>
        <v>0</v>
      </c>
      <c r="H165" s="17">
        <f>IF(F165="","",IFERROR(INDEX(UnitBases,MATCH(F165,UnitNames,0)),"?"))</f>
        <v>0</v>
      </c>
      <c r="L165" s="18">
        <f>IF(B165="","",IFERROR(INDEX(Ingredients!$Z$5:$Z$304,MATCH(B165,Ingredients!$B$5:$B$304,0)),"Add to Ingredients"))</f>
        <v>0</v>
      </c>
      <c r="M165" s="19">
        <f>IF(K165&lt;&gt;"",K165,IF(OR(J165="",L165="",NOT(ISNUMBER(L165))),"",J165+L165))</f>
        <v>0</v>
      </c>
      <c r="N165" s="18">
        <f>IF(M165="","",M165-TODAY())</f>
        <v>0</v>
      </c>
      <c r="O165" s="25">
        <f>IF(B165="","",IFERROR(INDEX(Ingredients!$J$5:$J$304,MATCH(B165,Ingredients!$B$5:$B$304,0)),"Add to Ingredients"))</f>
        <v>0</v>
      </c>
      <c r="P165" s="25">
        <f>IF(OR(G165="",O165="",NOT(ISNUMBER(O165))),"",G165*O165)</f>
        <v>0</v>
      </c>
      <c r="R165" s="45">
        <f>IF(B165="","",IFERROR(INDEX(Ingredients!$AG$5:$AG$304,MATCH(B165,Ingredients!$B$5:$B$304,0)),0))</f>
        <v>0</v>
      </c>
      <c r="S165" s="45">
        <f>IF(G165="","",G165-IF(R165="",0,R165))</f>
        <v>0</v>
      </c>
      <c r="U165" s="18">
        <f>IF(OR(B165="",D165&lt;&gt;"Fridge",NOT(ISNUMBER(N165))),"",COUNTIFS($D$5:$D$304,"Fridge",$N$5:$N$304,"&lt;"&amp;N165)+COUNTIFS($D$5:D165,"Fridge",$N$5:N165,N165))</f>
        <v>0</v>
      </c>
      <c r="V165" s="18">
        <f>IF(OR(B165="",D165&lt;&gt;"Freezer",NOT(ISNUMBER(N165))),"",COUNTIFS($D$5:$D$304,"Freezer",$N$5:$N$304,"&lt;"&amp;N165)+COUNTIFS($D$5:D165,"Freezer",$N$5:N165,N165))</f>
        <v>0</v>
      </c>
      <c r="W165" s="31">
        <f>IF(B165="","",IF(G165=0,"Out of stock",IF(AND(N165&lt;&gt;"",N165&lt;0),"Expired",IF(AND(N165&lt;&gt;"",N165&lt;=ExpiryWarningDays),"Use soon",IF(AND(Q165&lt;&gt;"",G165&lt;Q165),"Low stock","In stock")))))</f>
        <v>0</v>
      </c>
      <c r="X165" s="31">
        <f>IF(B165="","",IF(W165="Expired","Expired - bin it and log it on the Food Waste tab",IF(W165="Use soon","Use soon - plan a meal with it",IF(W165="Out of stock",IF(T165="Yes","Missing - staple has run out","Add - restock when convenient"),IF(W165="Low stock","Check - running low",IF(S165&lt;0,"Check - the plan needs more than you have","OK"))))))</f>
        <v>0</v>
      </c>
    </row>
    <row r="166" spans="1:24">
      <c r="A166" s="39">
        <f>IF(B166="","",PantryPrefix&amp;TEXT(ROW()-4,"0000"))</f>
        <v>0</v>
      </c>
      <c r="C166" s="17">
        <f>IF(B166="","",IFERROR(INDEX(Ingredients!$C$5:$C$304,MATCH(B166,Ingredients!$B$5:$B$304,0)),"Add to Ingredients"))</f>
        <v>0</v>
      </c>
      <c r="G166" s="45">
        <f>IF(E166="","",IFERROR(E166*INDEX(UnitFactors,MATCH(F166,UnitNames,0)),""))</f>
        <v>0</v>
      </c>
      <c r="H166" s="17">
        <f>IF(F166="","",IFERROR(INDEX(UnitBases,MATCH(F166,UnitNames,0)),"?"))</f>
        <v>0</v>
      </c>
      <c r="L166" s="18">
        <f>IF(B166="","",IFERROR(INDEX(Ingredients!$Z$5:$Z$304,MATCH(B166,Ingredients!$B$5:$B$304,0)),"Add to Ingredients"))</f>
        <v>0</v>
      </c>
      <c r="M166" s="19">
        <f>IF(K166&lt;&gt;"",K166,IF(OR(J166="",L166="",NOT(ISNUMBER(L166))),"",J166+L166))</f>
        <v>0</v>
      </c>
      <c r="N166" s="18">
        <f>IF(M166="","",M166-TODAY())</f>
        <v>0</v>
      </c>
      <c r="O166" s="25">
        <f>IF(B166="","",IFERROR(INDEX(Ingredients!$J$5:$J$304,MATCH(B166,Ingredients!$B$5:$B$304,0)),"Add to Ingredients"))</f>
        <v>0</v>
      </c>
      <c r="P166" s="25">
        <f>IF(OR(G166="",O166="",NOT(ISNUMBER(O166))),"",G166*O166)</f>
        <v>0</v>
      </c>
      <c r="R166" s="45">
        <f>IF(B166="","",IFERROR(INDEX(Ingredients!$AG$5:$AG$304,MATCH(B166,Ingredients!$B$5:$B$304,0)),0))</f>
        <v>0</v>
      </c>
      <c r="S166" s="45">
        <f>IF(G166="","",G166-IF(R166="",0,R166))</f>
        <v>0</v>
      </c>
      <c r="U166" s="18">
        <f>IF(OR(B166="",D166&lt;&gt;"Fridge",NOT(ISNUMBER(N166))),"",COUNTIFS($D$5:$D$304,"Fridge",$N$5:$N$304,"&lt;"&amp;N166)+COUNTIFS($D$5:D166,"Fridge",$N$5:N166,N166))</f>
        <v>0</v>
      </c>
      <c r="V166" s="18">
        <f>IF(OR(B166="",D166&lt;&gt;"Freezer",NOT(ISNUMBER(N166))),"",COUNTIFS($D$5:$D$304,"Freezer",$N$5:$N$304,"&lt;"&amp;N166)+COUNTIFS($D$5:D166,"Freezer",$N$5:N166,N166))</f>
        <v>0</v>
      </c>
      <c r="W166" s="31">
        <f>IF(B166="","",IF(G166=0,"Out of stock",IF(AND(N166&lt;&gt;"",N166&lt;0),"Expired",IF(AND(N166&lt;&gt;"",N166&lt;=ExpiryWarningDays),"Use soon",IF(AND(Q166&lt;&gt;"",G166&lt;Q166),"Low stock","In stock")))))</f>
        <v>0</v>
      </c>
      <c r="X166" s="31">
        <f>IF(B166="","",IF(W166="Expired","Expired - bin it and log it on the Food Waste tab",IF(W166="Use soon","Use soon - plan a meal with it",IF(W166="Out of stock",IF(T166="Yes","Missing - staple has run out","Add - restock when convenient"),IF(W166="Low stock","Check - running low",IF(S166&lt;0,"Check - the plan needs more than you have","OK"))))))</f>
        <v>0</v>
      </c>
    </row>
    <row r="167" spans="1:24">
      <c r="A167" s="39">
        <f>IF(B167="","",PantryPrefix&amp;TEXT(ROW()-4,"0000"))</f>
        <v>0</v>
      </c>
      <c r="C167" s="17">
        <f>IF(B167="","",IFERROR(INDEX(Ingredients!$C$5:$C$304,MATCH(B167,Ingredients!$B$5:$B$304,0)),"Add to Ingredients"))</f>
        <v>0</v>
      </c>
      <c r="G167" s="45">
        <f>IF(E167="","",IFERROR(E167*INDEX(UnitFactors,MATCH(F167,UnitNames,0)),""))</f>
        <v>0</v>
      </c>
      <c r="H167" s="17">
        <f>IF(F167="","",IFERROR(INDEX(UnitBases,MATCH(F167,UnitNames,0)),"?"))</f>
        <v>0</v>
      </c>
      <c r="L167" s="18">
        <f>IF(B167="","",IFERROR(INDEX(Ingredients!$Z$5:$Z$304,MATCH(B167,Ingredients!$B$5:$B$304,0)),"Add to Ingredients"))</f>
        <v>0</v>
      </c>
      <c r="M167" s="19">
        <f>IF(K167&lt;&gt;"",K167,IF(OR(J167="",L167="",NOT(ISNUMBER(L167))),"",J167+L167))</f>
        <v>0</v>
      </c>
      <c r="N167" s="18">
        <f>IF(M167="","",M167-TODAY())</f>
        <v>0</v>
      </c>
      <c r="O167" s="25">
        <f>IF(B167="","",IFERROR(INDEX(Ingredients!$J$5:$J$304,MATCH(B167,Ingredients!$B$5:$B$304,0)),"Add to Ingredients"))</f>
        <v>0</v>
      </c>
      <c r="P167" s="25">
        <f>IF(OR(G167="",O167="",NOT(ISNUMBER(O167))),"",G167*O167)</f>
        <v>0</v>
      </c>
      <c r="R167" s="45">
        <f>IF(B167="","",IFERROR(INDEX(Ingredients!$AG$5:$AG$304,MATCH(B167,Ingredients!$B$5:$B$304,0)),0))</f>
        <v>0</v>
      </c>
      <c r="S167" s="45">
        <f>IF(G167="","",G167-IF(R167="",0,R167))</f>
        <v>0</v>
      </c>
      <c r="U167" s="18">
        <f>IF(OR(B167="",D167&lt;&gt;"Fridge",NOT(ISNUMBER(N167))),"",COUNTIFS($D$5:$D$304,"Fridge",$N$5:$N$304,"&lt;"&amp;N167)+COUNTIFS($D$5:D167,"Fridge",$N$5:N167,N167))</f>
        <v>0</v>
      </c>
      <c r="V167" s="18">
        <f>IF(OR(B167="",D167&lt;&gt;"Freezer",NOT(ISNUMBER(N167))),"",COUNTIFS($D$5:$D$304,"Freezer",$N$5:$N$304,"&lt;"&amp;N167)+COUNTIFS($D$5:D167,"Freezer",$N$5:N167,N167))</f>
        <v>0</v>
      </c>
      <c r="W167" s="31">
        <f>IF(B167="","",IF(G167=0,"Out of stock",IF(AND(N167&lt;&gt;"",N167&lt;0),"Expired",IF(AND(N167&lt;&gt;"",N167&lt;=ExpiryWarningDays),"Use soon",IF(AND(Q167&lt;&gt;"",G167&lt;Q167),"Low stock","In stock")))))</f>
        <v>0</v>
      </c>
      <c r="X167" s="31">
        <f>IF(B167="","",IF(W167="Expired","Expired - bin it and log it on the Food Waste tab",IF(W167="Use soon","Use soon - plan a meal with it",IF(W167="Out of stock",IF(T167="Yes","Missing - staple has run out","Add - restock when convenient"),IF(W167="Low stock","Check - running low",IF(S167&lt;0,"Check - the plan needs more than you have","OK"))))))</f>
        <v>0</v>
      </c>
    </row>
    <row r="168" spans="1:24">
      <c r="A168" s="39">
        <f>IF(B168="","",PantryPrefix&amp;TEXT(ROW()-4,"0000"))</f>
        <v>0</v>
      </c>
      <c r="C168" s="17">
        <f>IF(B168="","",IFERROR(INDEX(Ingredients!$C$5:$C$304,MATCH(B168,Ingredients!$B$5:$B$304,0)),"Add to Ingredients"))</f>
        <v>0</v>
      </c>
      <c r="G168" s="45">
        <f>IF(E168="","",IFERROR(E168*INDEX(UnitFactors,MATCH(F168,UnitNames,0)),""))</f>
        <v>0</v>
      </c>
      <c r="H168" s="17">
        <f>IF(F168="","",IFERROR(INDEX(UnitBases,MATCH(F168,UnitNames,0)),"?"))</f>
        <v>0</v>
      </c>
      <c r="L168" s="18">
        <f>IF(B168="","",IFERROR(INDEX(Ingredients!$Z$5:$Z$304,MATCH(B168,Ingredients!$B$5:$B$304,0)),"Add to Ingredients"))</f>
        <v>0</v>
      </c>
      <c r="M168" s="19">
        <f>IF(K168&lt;&gt;"",K168,IF(OR(J168="",L168="",NOT(ISNUMBER(L168))),"",J168+L168))</f>
        <v>0</v>
      </c>
      <c r="N168" s="18">
        <f>IF(M168="","",M168-TODAY())</f>
        <v>0</v>
      </c>
      <c r="O168" s="25">
        <f>IF(B168="","",IFERROR(INDEX(Ingredients!$J$5:$J$304,MATCH(B168,Ingredients!$B$5:$B$304,0)),"Add to Ingredients"))</f>
        <v>0</v>
      </c>
      <c r="P168" s="25">
        <f>IF(OR(G168="",O168="",NOT(ISNUMBER(O168))),"",G168*O168)</f>
        <v>0</v>
      </c>
      <c r="R168" s="45">
        <f>IF(B168="","",IFERROR(INDEX(Ingredients!$AG$5:$AG$304,MATCH(B168,Ingredients!$B$5:$B$304,0)),0))</f>
        <v>0</v>
      </c>
      <c r="S168" s="45">
        <f>IF(G168="","",G168-IF(R168="",0,R168))</f>
        <v>0</v>
      </c>
      <c r="U168" s="18">
        <f>IF(OR(B168="",D168&lt;&gt;"Fridge",NOT(ISNUMBER(N168))),"",COUNTIFS($D$5:$D$304,"Fridge",$N$5:$N$304,"&lt;"&amp;N168)+COUNTIFS($D$5:D168,"Fridge",$N$5:N168,N168))</f>
        <v>0</v>
      </c>
      <c r="V168" s="18">
        <f>IF(OR(B168="",D168&lt;&gt;"Freezer",NOT(ISNUMBER(N168))),"",COUNTIFS($D$5:$D$304,"Freezer",$N$5:$N$304,"&lt;"&amp;N168)+COUNTIFS($D$5:D168,"Freezer",$N$5:N168,N168))</f>
        <v>0</v>
      </c>
      <c r="W168" s="31">
        <f>IF(B168="","",IF(G168=0,"Out of stock",IF(AND(N168&lt;&gt;"",N168&lt;0),"Expired",IF(AND(N168&lt;&gt;"",N168&lt;=ExpiryWarningDays),"Use soon",IF(AND(Q168&lt;&gt;"",G168&lt;Q168),"Low stock","In stock")))))</f>
        <v>0</v>
      </c>
      <c r="X168" s="31">
        <f>IF(B168="","",IF(W168="Expired","Expired - bin it and log it on the Food Waste tab",IF(W168="Use soon","Use soon - plan a meal with it",IF(W168="Out of stock",IF(T168="Yes","Missing - staple has run out","Add - restock when convenient"),IF(W168="Low stock","Check - running low",IF(S168&lt;0,"Check - the plan needs more than you have","OK"))))))</f>
        <v>0</v>
      </c>
    </row>
    <row r="169" spans="1:24">
      <c r="A169" s="39">
        <f>IF(B169="","",PantryPrefix&amp;TEXT(ROW()-4,"0000"))</f>
        <v>0</v>
      </c>
      <c r="C169" s="17">
        <f>IF(B169="","",IFERROR(INDEX(Ingredients!$C$5:$C$304,MATCH(B169,Ingredients!$B$5:$B$304,0)),"Add to Ingredients"))</f>
        <v>0</v>
      </c>
      <c r="G169" s="45">
        <f>IF(E169="","",IFERROR(E169*INDEX(UnitFactors,MATCH(F169,UnitNames,0)),""))</f>
        <v>0</v>
      </c>
      <c r="H169" s="17">
        <f>IF(F169="","",IFERROR(INDEX(UnitBases,MATCH(F169,UnitNames,0)),"?"))</f>
        <v>0</v>
      </c>
      <c r="L169" s="18">
        <f>IF(B169="","",IFERROR(INDEX(Ingredients!$Z$5:$Z$304,MATCH(B169,Ingredients!$B$5:$B$304,0)),"Add to Ingredients"))</f>
        <v>0</v>
      </c>
      <c r="M169" s="19">
        <f>IF(K169&lt;&gt;"",K169,IF(OR(J169="",L169="",NOT(ISNUMBER(L169))),"",J169+L169))</f>
        <v>0</v>
      </c>
      <c r="N169" s="18">
        <f>IF(M169="","",M169-TODAY())</f>
        <v>0</v>
      </c>
      <c r="O169" s="25">
        <f>IF(B169="","",IFERROR(INDEX(Ingredients!$J$5:$J$304,MATCH(B169,Ingredients!$B$5:$B$304,0)),"Add to Ingredients"))</f>
        <v>0</v>
      </c>
      <c r="P169" s="25">
        <f>IF(OR(G169="",O169="",NOT(ISNUMBER(O169))),"",G169*O169)</f>
        <v>0</v>
      </c>
      <c r="R169" s="45">
        <f>IF(B169="","",IFERROR(INDEX(Ingredients!$AG$5:$AG$304,MATCH(B169,Ingredients!$B$5:$B$304,0)),0))</f>
        <v>0</v>
      </c>
      <c r="S169" s="45">
        <f>IF(G169="","",G169-IF(R169="",0,R169))</f>
        <v>0</v>
      </c>
      <c r="U169" s="18">
        <f>IF(OR(B169="",D169&lt;&gt;"Fridge",NOT(ISNUMBER(N169))),"",COUNTIFS($D$5:$D$304,"Fridge",$N$5:$N$304,"&lt;"&amp;N169)+COUNTIFS($D$5:D169,"Fridge",$N$5:N169,N169))</f>
        <v>0</v>
      </c>
      <c r="V169" s="18">
        <f>IF(OR(B169="",D169&lt;&gt;"Freezer",NOT(ISNUMBER(N169))),"",COUNTIFS($D$5:$D$304,"Freezer",$N$5:$N$304,"&lt;"&amp;N169)+COUNTIFS($D$5:D169,"Freezer",$N$5:N169,N169))</f>
        <v>0</v>
      </c>
      <c r="W169" s="31">
        <f>IF(B169="","",IF(G169=0,"Out of stock",IF(AND(N169&lt;&gt;"",N169&lt;0),"Expired",IF(AND(N169&lt;&gt;"",N169&lt;=ExpiryWarningDays),"Use soon",IF(AND(Q169&lt;&gt;"",G169&lt;Q169),"Low stock","In stock")))))</f>
        <v>0</v>
      </c>
      <c r="X169" s="31">
        <f>IF(B169="","",IF(W169="Expired","Expired - bin it and log it on the Food Waste tab",IF(W169="Use soon","Use soon - plan a meal with it",IF(W169="Out of stock",IF(T169="Yes","Missing - staple has run out","Add - restock when convenient"),IF(W169="Low stock","Check - running low",IF(S169&lt;0,"Check - the plan needs more than you have","OK"))))))</f>
        <v>0</v>
      </c>
    </row>
    <row r="170" spans="1:24">
      <c r="A170" s="39">
        <f>IF(B170="","",PantryPrefix&amp;TEXT(ROW()-4,"0000"))</f>
        <v>0</v>
      </c>
      <c r="C170" s="17">
        <f>IF(B170="","",IFERROR(INDEX(Ingredients!$C$5:$C$304,MATCH(B170,Ingredients!$B$5:$B$304,0)),"Add to Ingredients"))</f>
        <v>0</v>
      </c>
      <c r="G170" s="45">
        <f>IF(E170="","",IFERROR(E170*INDEX(UnitFactors,MATCH(F170,UnitNames,0)),""))</f>
        <v>0</v>
      </c>
      <c r="H170" s="17">
        <f>IF(F170="","",IFERROR(INDEX(UnitBases,MATCH(F170,UnitNames,0)),"?"))</f>
        <v>0</v>
      </c>
      <c r="L170" s="18">
        <f>IF(B170="","",IFERROR(INDEX(Ingredients!$Z$5:$Z$304,MATCH(B170,Ingredients!$B$5:$B$304,0)),"Add to Ingredients"))</f>
        <v>0</v>
      </c>
      <c r="M170" s="19">
        <f>IF(K170&lt;&gt;"",K170,IF(OR(J170="",L170="",NOT(ISNUMBER(L170))),"",J170+L170))</f>
        <v>0</v>
      </c>
      <c r="N170" s="18">
        <f>IF(M170="","",M170-TODAY())</f>
        <v>0</v>
      </c>
      <c r="O170" s="25">
        <f>IF(B170="","",IFERROR(INDEX(Ingredients!$J$5:$J$304,MATCH(B170,Ingredients!$B$5:$B$304,0)),"Add to Ingredients"))</f>
        <v>0</v>
      </c>
      <c r="P170" s="25">
        <f>IF(OR(G170="",O170="",NOT(ISNUMBER(O170))),"",G170*O170)</f>
        <v>0</v>
      </c>
      <c r="R170" s="45">
        <f>IF(B170="","",IFERROR(INDEX(Ingredients!$AG$5:$AG$304,MATCH(B170,Ingredients!$B$5:$B$304,0)),0))</f>
        <v>0</v>
      </c>
      <c r="S170" s="45">
        <f>IF(G170="","",G170-IF(R170="",0,R170))</f>
        <v>0</v>
      </c>
      <c r="U170" s="18">
        <f>IF(OR(B170="",D170&lt;&gt;"Fridge",NOT(ISNUMBER(N170))),"",COUNTIFS($D$5:$D$304,"Fridge",$N$5:$N$304,"&lt;"&amp;N170)+COUNTIFS($D$5:D170,"Fridge",$N$5:N170,N170))</f>
        <v>0</v>
      </c>
      <c r="V170" s="18">
        <f>IF(OR(B170="",D170&lt;&gt;"Freezer",NOT(ISNUMBER(N170))),"",COUNTIFS($D$5:$D$304,"Freezer",$N$5:$N$304,"&lt;"&amp;N170)+COUNTIFS($D$5:D170,"Freezer",$N$5:N170,N170))</f>
        <v>0</v>
      </c>
      <c r="W170" s="31">
        <f>IF(B170="","",IF(G170=0,"Out of stock",IF(AND(N170&lt;&gt;"",N170&lt;0),"Expired",IF(AND(N170&lt;&gt;"",N170&lt;=ExpiryWarningDays),"Use soon",IF(AND(Q170&lt;&gt;"",G170&lt;Q170),"Low stock","In stock")))))</f>
        <v>0</v>
      </c>
      <c r="X170" s="31">
        <f>IF(B170="","",IF(W170="Expired","Expired - bin it and log it on the Food Waste tab",IF(W170="Use soon","Use soon - plan a meal with it",IF(W170="Out of stock",IF(T170="Yes","Missing - staple has run out","Add - restock when convenient"),IF(W170="Low stock","Check - running low",IF(S170&lt;0,"Check - the plan needs more than you have","OK"))))))</f>
        <v>0</v>
      </c>
    </row>
    <row r="171" spans="1:24">
      <c r="A171" s="39">
        <f>IF(B171="","",PantryPrefix&amp;TEXT(ROW()-4,"0000"))</f>
        <v>0</v>
      </c>
      <c r="C171" s="17">
        <f>IF(B171="","",IFERROR(INDEX(Ingredients!$C$5:$C$304,MATCH(B171,Ingredients!$B$5:$B$304,0)),"Add to Ingredients"))</f>
        <v>0</v>
      </c>
      <c r="G171" s="45">
        <f>IF(E171="","",IFERROR(E171*INDEX(UnitFactors,MATCH(F171,UnitNames,0)),""))</f>
        <v>0</v>
      </c>
      <c r="H171" s="17">
        <f>IF(F171="","",IFERROR(INDEX(UnitBases,MATCH(F171,UnitNames,0)),"?"))</f>
        <v>0</v>
      </c>
      <c r="L171" s="18">
        <f>IF(B171="","",IFERROR(INDEX(Ingredients!$Z$5:$Z$304,MATCH(B171,Ingredients!$B$5:$B$304,0)),"Add to Ingredients"))</f>
        <v>0</v>
      </c>
      <c r="M171" s="19">
        <f>IF(K171&lt;&gt;"",K171,IF(OR(J171="",L171="",NOT(ISNUMBER(L171))),"",J171+L171))</f>
        <v>0</v>
      </c>
      <c r="N171" s="18">
        <f>IF(M171="","",M171-TODAY())</f>
        <v>0</v>
      </c>
      <c r="O171" s="25">
        <f>IF(B171="","",IFERROR(INDEX(Ingredients!$J$5:$J$304,MATCH(B171,Ingredients!$B$5:$B$304,0)),"Add to Ingredients"))</f>
        <v>0</v>
      </c>
      <c r="P171" s="25">
        <f>IF(OR(G171="",O171="",NOT(ISNUMBER(O171))),"",G171*O171)</f>
        <v>0</v>
      </c>
      <c r="R171" s="45">
        <f>IF(B171="","",IFERROR(INDEX(Ingredients!$AG$5:$AG$304,MATCH(B171,Ingredients!$B$5:$B$304,0)),0))</f>
        <v>0</v>
      </c>
      <c r="S171" s="45">
        <f>IF(G171="","",G171-IF(R171="",0,R171))</f>
        <v>0</v>
      </c>
      <c r="U171" s="18">
        <f>IF(OR(B171="",D171&lt;&gt;"Fridge",NOT(ISNUMBER(N171))),"",COUNTIFS($D$5:$D$304,"Fridge",$N$5:$N$304,"&lt;"&amp;N171)+COUNTIFS($D$5:D171,"Fridge",$N$5:N171,N171))</f>
        <v>0</v>
      </c>
      <c r="V171" s="18">
        <f>IF(OR(B171="",D171&lt;&gt;"Freezer",NOT(ISNUMBER(N171))),"",COUNTIFS($D$5:$D$304,"Freezer",$N$5:$N$304,"&lt;"&amp;N171)+COUNTIFS($D$5:D171,"Freezer",$N$5:N171,N171))</f>
        <v>0</v>
      </c>
      <c r="W171" s="31">
        <f>IF(B171="","",IF(G171=0,"Out of stock",IF(AND(N171&lt;&gt;"",N171&lt;0),"Expired",IF(AND(N171&lt;&gt;"",N171&lt;=ExpiryWarningDays),"Use soon",IF(AND(Q171&lt;&gt;"",G171&lt;Q171),"Low stock","In stock")))))</f>
        <v>0</v>
      </c>
      <c r="X171" s="31">
        <f>IF(B171="","",IF(W171="Expired","Expired - bin it and log it on the Food Waste tab",IF(W171="Use soon","Use soon - plan a meal with it",IF(W171="Out of stock",IF(T171="Yes","Missing - staple has run out","Add - restock when convenient"),IF(W171="Low stock","Check - running low",IF(S171&lt;0,"Check - the plan needs more than you have","OK"))))))</f>
        <v>0</v>
      </c>
    </row>
    <row r="172" spans="1:24">
      <c r="A172" s="39">
        <f>IF(B172="","",PantryPrefix&amp;TEXT(ROW()-4,"0000"))</f>
        <v>0</v>
      </c>
      <c r="C172" s="17">
        <f>IF(B172="","",IFERROR(INDEX(Ingredients!$C$5:$C$304,MATCH(B172,Ingredients!$B$5:$B$304,0)),"Add to Ingredients"))</f>
        <v>0</v>
      </c>
      <c r="G172" s="45">
        <f>IF(E172="","",IFERROR(E172*INDEX(UnitFactors,MATCH(F172,UnitNames,0)),""))</f>
        <v>0</v>
      </c>
      <c r="H172" s="17">
        <f>IF(F172="","",IFERROR(INDEX(UnitBases,MATCH(F172,UnitNames,0)),"?"))</f>
        <v>0</v>
      </c>
      <c r="L172" s="18">
        <f>IF(B172="","",IFERROR(INDEX(Ingredients!$Z$5:$Z$304,MATCH(B172,Ingredients!$B$5:$B$304,0)),"Add to Ingredients"))</f>
        <v>0</v>
      </c>
      <c r="M172" s="19">
        <f>IF(K172&lt;&gt;"",K172,IF(OR(J172="",L172="",NOT(ISNUMBER(L172))),"",J172+L172))</f>
        <v>0</v>
      </c>
      <c r="N172" s="18">
        <f>IF(M172="","",M172-TODAY())</f>
        <v>0</v>
      </c>
      <c r="O172" s="25">
        <f>IF(B172="","",IFERROR(INDEX(Ingredients!$J$5:$J$304,MATCH(B172,Ingredients!$B$5:$B$304,0)),"Add to Ingredients"))</f>
        <v>0</v>
      </c>
      <c r="P172" s="25">
        <f>IF(OR(G172="",O172="",NOT(ISNUMBER(O172))),"",G172*O172)</f>
        <v>0</v>
      </c>
      <c r="R172" s="45">
        <f>IF(B172="","",IFERROR(INDEX(Ingredients!$AG$5:$AG$304,MATCH(B172,Ingredients!$B$5:$B$304,0)),0))</f>
        <v>0</v>
      </c>
      <c r="S172" s="45">
        <f>IF(G172="","",G172-IF(R172="",0,R172))</f>
        <v>0</v>
      </c>
      <c r="U172" s="18">
        <f>IF(OR(B172="",D172&lt;&gt;"Fridge",NOT(ISNUMBER(N172))),"",COUNTIFS($D$5:$D$304,"Fridge",$N$5:$N$304,"&lt;"&amp;N172)+COUNTIFS($D$5:D172,"Fridge",$N$5:N172,N172))</f>
        <v>0</v>
      </c>
      <c r="V172" s="18">
        <f>IF(OR(B172="",D172&lt;&gt;"Freezer",NOT(ISNUMBER(N172))),"",COUNTIFS($D$5:$D$304,"Freezer",$N$5:$N$304,"&lt;"&amp;N172)+COUNTIFS($D$5:D172,"Freezer",$N$5:N172,N172))</f>
        <v>0</v>
      </c>
      <c r="W172" s="31">
        <f>IF(B172="","",IF(G172=0,"Out of stock",IF(AND(N172&lt;&gt;"",N172&lt;0),"Expired",IF(AND(N172&lt;&gt;"",N172&lt;=ExpiryWarningDays),"Use soon",IF(AND(Q172&lt;&gt;"",G172&lt;Q172),"Low stock","In stock")))))</f>
        <v>0</v>
      </c>
      <c r="X172" s="31">
        <f>IF(B172="","",IF(W172="Expired","Expired - bin it and log it on the Food Waste tab",IF(W172="Use soon","Use soon - plan a meal with it",IF(W172="Out of stock",IF(T172="Yes","Missing - staple has run out","Add - restock when convenient"),IF(W172="Low stock","Check - running low",IF(S172&lt;0,"Check - the plan needs more than you have","OK"))))))</f>
        <v>0</v>
      </c>
    </row>
    <row r="173" spans="1:24">
      <c r="A173" s="39">
        <f>IF(B173="","",PantryPrefix&amp;TEXT(ROW()-4,"0000"))</f>
        <v>0</v>
      </c>
      <c r="C173" s="17">
        <f>IF(B173="","",IFERROR(INDEX(Ingredients!$C$5:$C$304,MATCH(B173,Ingredients!$B$5:$B$304,0)),"Add to Ingredients"))</f>
        <v>0</v>
      </c>
      <c r="G173" s="45">
        <f>IF(E173="","",IFERROR(E173*INDEX(UnitFactors,MATCH(F173,UnitNames,0)),""))</f>
        <v>0</v>
      </c>
      <c r="H173" s="17">
        <f>IF(F173="","",IFERROR(INDEX(UnitBases,MATCH(F173,UnitNames,0)),"?"))</f>
        <v>0</v>
      </c>
      <c r="L173" s="18">
        <f>IF(B173="","",IFERROR(INDEX(Ingredients!$Z$5:$Z$304,MATCH(B173,Ingredients!$B$5:$B$304,0)),"Add to Ingredients"))</f>
        <v>0</v>
      </c>
      <c r="M173" s="19">
        <f>IF(K173&lt;&gt;"",K173,IF(OR(J173="",L173="",NOT(ISNUMBER(L173))),"",J173+L173))</f>
        <v>0</v>
      </c>
      <c r="N173" s="18">
        <f>IF(M173="","",M173-TODAY())</f>
        <v>0</v>
      </c>
      <c r="O173" s="25">
        <f>IF(B173="","",IFERROR(INDEX(Ingredients!$J$5:$J$304,MATCH(B173,Ingredients!$B$5:$B$304,0)),"Add to Ingredients"))</f>
        <v>0</v>
      </c>
      <c r="P173" s="25">
        <f>IF(OR(G173="",O173="",NOT(ISNUMBER(O173))),"",G173*O173)</f>
        <v>0</v>
      </c>
      <c r="R173" s="45">
        <f>IF(B173="","",IFERROR(INDEX(Ingredients!$AG$5:$AG$304,MATCH(B173,Ingredients!$B$5:$B$304,0)),0))</f>
        <v>0</v>
      </c>
      <c r="S173" s="45">
        <f>IF(G173="","",G173-IF(R173="",0,R173))</f>
        <v>0</v>
      </c>
      <c r="U173" s="18">
        <f>IF(OR(B173="",D173&lt;&gt;"Fridge",NOT(ISNUMBER(N173))),"",COUNTIFS($D$5:$D$304,"Fridge",$N$5:$N$304,"&lt;"&amp;N173)+COUNTIFS($D$5:D173,"Fridge",$N$5:N173,N173))</f>
        <v>0</v>
      </c>
      <c r="V173" s="18">
        <f>IF(OR(B173="",D173&lt;&gt;"Freezer",NOT(ISNUMBER(N173))),"",COUNTIFS($D$5:$D$304,"Freezer",$N$5:$N$304,"&lt;"&amp;N173)+COUNTIFS($D$5:D173,"Freezer",$N$5:N173,N173))</f>
        <v>0</v>
      </c>
      <c r="W173" s="31">
        <f>IF(B173="","",IF(G173=0,"Out of stock",IF(AND(N173&lt;&gt;"",N173&lt;0),"Expired",IF(AND(N173&lt;&gt;"",N173&lt;=ExpiryWarningDays),"Use soon",IF(AND(Q173&lt;&gt;"",G173&lt;Q173),"Low stock","In stock")))))</f>
        <v>0</v>
      </c>
      <c r="X173" s="31">
        <f>IF(B173="","",IF(W173="Expired","Expired - bin it and log it on the Food Waste tab",IF(W173="Use soon","Use soon - plan a meal with it",IF(W173="Out of stock",IF(T173="Yes","Missing - staple has run out","Add - restock when convenient"),IF(W173="Low stock","Check - running low",IF(S173&lt;0,"Check - the plan needs more than you have","OK"))))))</f>
        <v>0</v>
      </c>
    </row>
    <row r="174" spans="1:24">
      <c r="A174" s="39">
        <f>IF(B174="","",PantryPrefix&amp;TEXT(ROW()-4,"0000"))</f>
        <v>0</v>
      </c>
      <c r="C174" s="17">
        <f>IF(B174="","",IFERROR(INDEX(Ingredients!$C$5:$C$304,MATCH(B174,Ingredients!$B$5:$B$304,0)),"Add to Ingredients"))</f>
        <v>0</v>
      </c>
      <c r="G174" s="45">
        <f>IF(E174="","",IFERROR(E174*INDEX(UnitFactors,MATCH(F174,UnitNames,0)),""))</f>
        <v>0</v>
      </c>
      <c r="H174" s="17">
        <f>IF(F174="","",IFERROR(INDEX(UnitBases,MATCH(F174,UnitNames,0)),"?"))</f>
        <v>0</v>
      </c>
      <c r="L174" s="18">
        <f>IF(B174="","",IFERROR(INDEX(Ingredients!$Z$5:$Z$304,MATCH(B174,Ingredients!$B$5:$B$304,0)),"Add to Ingredients"))</f>
        <v>0</v>
      </c>
      <c r="M174" s="19">
        <f>IF(K174&lt;&gt;"",K174,IF(OR(J174="",L174="",NOT(ISNUMBER(L174))),"",J174+L174))</f>
        <v>0</v>
      </c>
      <c r="N174" s="18">
        <f>IF(M174="","",M174-TODAY())</f>
        <v>0</v>
      </c>
      <c r="O174" s="25">
        <f>IF(B174="","",IFERROR(INDEX(Ingredients!$J$5:$J$304,MATCH(B174,Ingredients!$B$5:$B$304,0)),"Add to Ingredients"))</f>
        <v>0</v>
      </c>
      <c r="P174" s="25">
        <f>IF(OR(G174="",O174="",NOT(ISNUMBER(O174))),"",G174*O174)</f>
        <v>0</v>
      </c>
      <c r="R174" s="45">
        <f>IF(B174="","",IFERROR(INDEX(Ingredients!$AG$5:$AG$304,MATCH(B174,Ingredients!$B$5:$B$304,0)),0))</f>
        <v>0</v>
      </c>
      <c r="S174" s="45">
        <f>IF(G174="","",G174-IF(R174="",0,R174))</f>
        <v>0</v>
      </c>
      <c r="U174" s="18">
        <f>IF(OR(B174="",D174&lt;&gt;"Fridge",NOT(ISNUMBER(N174))),"",COUNTIFS($D$5:$D$304,"Fridge",$N$5:$N$304,"&lt;"&amp;N174)+COUNTIFS($D$5:D174,"Fridge",$N$5:N174,N174))</f>
        <v>0</v>
      </c>
      <c r="V174" s="18">
        <f>IF(OR(B174="",D174&lt;&gt;"Freezer",NOT(ISNUMBER(N174))),"",COUNTIFS($D$5:$D$304,"Freezer",$N$5:$N$304,"&lt;"&amp;N174)+COUNTIFS($D$5:D174,"Freezer",$N$5:N174,N174))</f>
        <v>0</v>
      </c>
      <c r="W174" s="31">
        <f>IF(B174="","",IF(G174=0,"Out of stock",IF(AND(N174&lt;&gt;"",N174&lt;0),"Expired",IF(AND(N174&lt;&gt;"",N174&lt;=ExpiryWarningDays),"Use soon",IF(AND(Q174&lt;&gt;"",G174&lt;Q174),"Low stock","In stock")))))</f>
        <v>0</v>
      </c>
      <c r="X174" s="31">
        <f>IF(B174="","",IF(W174="Expired","Expired - bin it and log it on the Food Waste tab",IF(W174="Use soon","Use soon - plan a meal with it",IF(W174="Out of stock",IF(T174="Yes","Missing - staple has run out","Add - restock when convenient"),IF(W174="Low stock","Check - running low",IF(S174&lt;0,"Check - the plan needs more than you have","OK"))))))</f>
        <v>0</v>
      </c>
    </row>
    <row r="175" spans="1:24">
      <c r="A175" s="39">
        <f>IF(B175="","",PantryPrefix&amp;TEXT(ROW()-4,"0000"))</f>
        <v>0</v>
      </c>
      <c r="C175" s="17">
        <f>IF(B175="","",IFERROR(INDEX(Ingredients!$C$5:$C$304,MATCH(B175,Ingredients!$B$5:$B$304,0)),"Add to Ingredients"))</f>
        <v>0</v>
      </c>
      <c r="G175" s="45">
        <f>IF(E175="","",IFERROR(E175*INDEX(UnitFactors,MATCH(F175,UnitNames,0)),""))</f>
        <v>0</v>
      </c>
      <c r="H175" s="17">
        <f>IF(F175="","",IFERROR(INDEX(UnitBases,MATCH(F175,UnitNames,0)),"?"))</f>
        <v>0</v>
      </c>
      <c r="L175" s="18">
        <f>IF(B175="","",IFERROR(INDEX(Ingredients!$Z$5:$Z$304,MATCH(B175,Ingredients!$B$5:$B$304,0)),"Add to Ingredients"))</f>
        <v>0</v>
      </c>
      <c r="M175" s="19">
        <f>IF(K175&lt;&gt;"",K175,IF(OR(J175="",L175="",NOT(ISNUMBER(L175))),"",J175+L175))</f>
        <v>0</v>
      </c>
      <c r="N175" s="18">
        <f>IF(M175="","",M175-TODAY())</f>
        <v>0</v>
      </c>
      <c r="O175" s="25">
        <f>IF(B175="","",IFERROR(INDEX(Ingredients!$J$5:$J$304,MATCH(B175,Ingredients!$B$5:$B$304,0)),"Add to Ingredients"))</f>
        <v>0</v>
      </c>
      <c r="P175" s="25">
        <f>IF(OR(G175="",O175="",NOT(ISNUMBER(O175))),"",G175*O175)</f>
        <v>0</v>
      </c>
      <c r="R175" s="45">
        <f>IF(B175="","",IFERROR(INDEX(Ingredients!$AG$5:$AG$304,MATCH(B175,Ingredients!$B$5:$B$304,0)),0))</f>
        <v>0</v>
      </c>
      <c r="S175" s="45">
        <f>IF(G175="","",G175-IF(R175="",0,R175))</f>
        <v>0</v>
      </c>
      <c r="U175" s="18">
        <f>IF(OR(B175="",D175&lt;&gt;"Fridge",NOT(ISNUMBER(N175))),"",COUNTIFS($D$5:$D$304,"Fridge",$N$5:$N$304,"&lt;"&amp;N175)+COUNTIFS($D$5:D175,"Fridge",$N$5:N175,N175))</f>
        <v>0</v>
      </c>
      <c r="V175" s="18">
        <f>IF(OR(B175="",D175&lt;&gt;"Freezer",NOT(ISNUMBER(N175))),"",COUNTIFS($D$5:$D$304,"Freezer",$N$5:$N$304,"&lt;"&amp;N175)+COUNTIFS($D$5:D175,"Freezer",$N$5:N175,N175))</f>
        <v>0</v>
      </c>
      <c r="W175" s="31">
        <f>IF(B175="","",IF(G175=0,"Out of stock",IF(AND(N175&lt;&gt;"",N175&lt;0),"Expired",IF(AND(N175&lt;&gt;"",N175&lt;=ExpiryWarningDays),"Use soon",IF(AND(Q175&lt;&gt;"",G175&lt;Q175),"Low stock","In stock")))))</f>
        <v>0</v>
      </c>
      <c r="X175" s="31">
        <f>IF(B175="","",IF(W175="Expired","Expired - bin it and log it on the Food Waste tab",IF(W175="Use soon","Use soon - plan a meal with it",IF(W175="Out of stock",IF(T175="Yes","Missing - staple has run out","Add - restock when convenient"),IF(W175="Low stock","Check - running low",IF(S175&lt;0,"Check - the plan needs more than you have","OK"))))))</f>
        <v>0</v>
      </c>
    </row>
    <row r="176" spans="1:24">
      <c r="A176" s="39">
        <f>IF(B176="","",PantryPrefix&amp;TEXT(ROW()-4,"0000"))</f>
        <v>0</v>
      </c>
      <c r="C176" s="17">
        <f>IF(B176="","",IFERROR(INDEX(Ingredients!$C$5:$C$304,MATCH(B176,Ingredients!$B$5:$B$304,0)),"Add to Ingredients"))</f>
        <v>0</v>
      </c>
      <c r="G176" s="45">
        <f>IF(E176="","",IFERROR(E176*INDEX(UnitFactors,MATCH(F176,UnitNames,0)),""))</f>
        <v>0</v>
      </c>
      <c r="H176" s="17">
        <f>IF(F176="","",IFERROR(INDEX(UnitBases,MATCH(F176,UnitNames,0)),"?"))</f>
        <v>0</v>
      </c>
      <c r="L176" s="18">
        <f>IF(B176="","",IFERROR(INDEX(Ingredients!$Z$5:$Z$304,MATCH(B176,Ingredients!$B$5:$B$304,0)),"Add to Ingredients"))</f>
        <v>0</v>
      </c>
      <c r="M176" s="19">
        <f>IF(K176&lt;&gt;"",K176,IF(OR(J176="",L176="",NOT(ISNUMBER(L176))),"",J176+L176))</f>
        <v>0</v>
      </c>
      <c r="N176" s="18">
        <f>IF(M176="","",M176-TODAY())</f>
        <v>0</v>
      </c>
      <c r="O176" s="25">
        <f>IF(B176="","",IFERROR(INDEX(Ingredients!$J$5:$J$304,MATCH(B176,Ingredients!$B$5:$B$304,0)),"Add to Ingredients"))</f>
        <v>0</v>
      </c>
      <c r="P176" s="25">
        <f>IF(OR(G176="",O176="",NOT(ISNUMBER(O176))),"",G176*O176)</f>
        <v>0</v>
      </c>
      <c r="R176" s="45">
        <f>IF(B176="","",IFERROR(INDEX(Ingredients!$AG$5:$AG$304,MATCH(B176,Ingredients!$B$5:$B$304,0)),0))</f>
        <v>0</v>
      </c>
      <c r="S176" s="45">
        <f>IF(G176="","",G176-IF(R176="",0,R176))</f>
        <v>0</v>
      </c>
      <c r="U176" s="18">
        <f>IF(OR(B176="",D176&lt;&gt;"Fridge",NOT(ISNUMBER(N176))),"",COUNTIFS($D$5:$D$304,"Fridge",$N$5:$N$304,"&lt;"&amp;N176)+COUNTIFS($D$5:D176,"Fridge",$N$5:N176,N176))</f>
        <v>0</v>
      </c>
      <c r="V176" s="18">
        <f>IF(OR(B176="",D176&lt;&gt;"Freezer",NOT(ISNUMBER(N176))),"",COUNTIFS($D$5:$D$304,"Freezer",$N$5:$N$304,"&lt;"&amp;N176)+COUNTIFS($D$5:D176,"Freezer",$N$5:N176,N176))</f>
        <v>0</v>
      </c>
      <c r="W176" s="31">
        <f>IF(B176="","",IF(G176=0,"Out of stock",IF(AND(N176&lt;&gt;"",N176&lt;0),"Expired",IF(AND(N176&lt;&gt;"",N176&lt;=ExpiryWarningDays),"Use soon",IF(AND(Q176&lt;&gt;"",G176&lt;Q176),"Low stock","In stock")))))</f>
        <v>0</v>
      </c>
      <c r="X176" s="31">
        <f>IF(B176="","",IF(W176="Expired","Expired - bin it and log it on the Food Waste tab",IF(W176="Use soon","Use soon - plan a meal with it",IF(W176="Out of stock",IF(T176="Yes","Missing - staple has run out","Add - restock when convenient"),IF(W176="Low stock","Check - running low",IF(S176&lt;0,"Check - the plan needs more than you have","OK"))))))</f>
        <v>0</v>
      </c>
    </row>
    <row r="177" spans="1:24">
      <c r="A177" s="39">
        <f>IF(B177="","",PantryPrefix&amp;TEXT(ROW()-4,"0000"))</f>
        <v>0</v>
      </c>
      <c r="C177" s="17">
        <f>IF(B177="","",IFERROR(INDEX(Ingredients!$C$5:$C$304,MATCH(B177,Ingredients!$B$5:$B$304,0)),"Add to Ingredients"))</f>
        <v>0</v>
      </c>
      <c r="G177" s="45">
        <f>IF(E177="","",IFERROR(E177*INDEX(UnitFactors,MATCH(F177,UnitNames,0)),""))</f>
        <v>0</v>
      </c>
      <c r="H177" s="17">
        <f>IF(F177="","",IFERROR(INDEX(UnitBases,MATCH(F177,UnitNames,0)),"?"))</f>
        <v>0</v>
      </c>
      <c r="L177" s="18">
        <f>IF(B177="","",IFERROR(INDEX(Ingredients!$Z$5:$Z$304,MATCH(B177,Ingredients!$B$5:$B$304,0)),"Add to Ingredients"))</f>
        <v>0</v>
      </c>
      <c r="M177" s="19">
        <f>IF(K177&lt;&gt;"",K177,IF(OR(J177="",L177="",NOT(ISNUMBER(L177))),"",J177+L177))</f>
        <v>0</v>
      </c>
      <c r="N177" s="18">
        <f>IF(M177="","",M177-TODAY())</f>
        <v>0</v>
      </c>
      <c r="O177" s="25">
        <f>IF(B177="","",IFERROR(INDEX(Ingredients!$J$5:$J$304,MATCH(B177,Ingredients!$B$5:$B$304,0)),"Add to Ingredients"))</f>
        <v>0</v>
      </c>
      <c r="P177" s="25">
        <f>IF(OR(G177="",O177="",NOT(ISNUMBER(O177))),"",G177*O177)</f>
        <v>0</v>
      </c>
      <c r="R177" s="45">
        <f>IF(B177="","",IFERROR(INDEX(Ingredients!$AG$5:$AG$304,MATCH(B177,Ingredients!$B$5:$B$304,0)),0))</f>
        <v>0</v>
      </c>
      <c r="S177" s="45">
        <f>IF(G177="","",G177-IF(R177="",0,R177))</f>
        <v>0</v>
      </c>
      <c r="U177" s="18">
        <f>IF(OR(B177="",D177&lt;&gt;"Fridge",NOT(ISNUMBER(N177))),"",COUNTIFS($D$5:$D$304,"Fridge",$N$5:$N$304,"&lt;"&amp;N177)+COUNTIFS($D$5:D177,"Fridge",$N$5:N177,N177))</f>
        <v>0</v>
      </c>
      <c r="V177" s="18">
        <f>IF(OR(B177="",D177&lt;&gt;"Freezer",NOT(ISNUMBER(N177))),"",COUNTIFS($D$5:$D$304,"Freezer",$N$5:$N$304,"&lt;"&amp;N177)+COUNTIFS($D$5:D177,"Freezer",$N$5:N177,N177))</f>
        <v>0</v>
      </c>
      <c r="W177" s="31">
        <f>IF(B177="","",IF(G177=0,"Out of stock",IF(AND(N177&lt;&gt;"",N177&lt;0),"Expired",IF(AND(N177&lt;&gt;"",N177&lt;=ExpiryWarningDays),"Use soon",IF(AND(Q177&lt;&gt;"",G177&lt;Q177),"Low stock","In stock")))))</f>
        <v>0</v>
      </c>
      <c r="X177" s="31">
        <f>IF(B177="","",IF(W177="Expired","Expired - bin it and log it on the Food Waste tab",IF(W177="Use soon","Use soon - plan a meal with it",IF(W177="Out of stock",IF(T177="Yes","Missing - staple has run out","Add - restock when convenient"),IF(W177="Low stock","Check - running low",IF(S177&lt;0,"Check - the plan needs more than you have","OK"))))))</f>
        <v>0</v>
      </c>
    </row>
    <row r="178" spans="1:24">
      <c r="A178" s="39">
        <f>IF(B178="","",PantryPrefix&amp;TEXT(ROW()-4,"0000"))</f>
        <v>0</v>
      </c>
      <c r="C178" s="17">
        <f>IF(B178="","",IFERROR(INDEX(Ingredients!$C$5:$C$304,MATCH(B178,Ingredients!$B$5:$B$304,0)),"Add to Ingredients"))</f>
        <v>0</v>
      </c>
      <c r="G178" s="45">
        <f>IF(E178="","",IFERROR(E178*INDEX(UnitFactors,MATCH(F178,UnitNames,0)),""))</f>
        <v>0</v>
      </c>
      <c r="H178" s="17">
        <f>IF(F178="","",IFERROR(INDEX(UnitBases,MATCH(F178,UnitNames,0)),"?"))</f>
        <v>0</v>
      </c>
      <c r="L178" s="18">
        <f>IF(B178="","",IFERROR(INDEX(Ingredients!$Z$5:$Z$304,MATCH(B178,Ingredients!$B$5:$B$304,0)),"Add to Ingredients"))</f>
        <v>0</v>
      </c>
      <c r="M178" s="19">
        <f>IF(K178&lt;&gt;"",K178,IF(OR(J178="",L178="",NOT(ISNUMBER(L178))),"",J178+L178))</f>
        <v>0</v>
      </c>
      <c r="N178" s="18">
        <f>IF(M178="","",M178-TODAY())</f>
        <v>0</v>
      </c>
      <c r="O178" s="25">
        <f>IF(B178="","",IFERROR(INDEX(Ingredients!$J$5:$J$304,MATCH(B178,Ingredients!$B$5:$B$304,0)),"Add to Ingredients"))</f>
        <v>0</v>
      </c>
      <c r="P178" s="25">
        <f>IF(OR(G178="",O178="",NOT(ISNUMBER(O178))),"",G178*O178)</f>
        <v>0</v>
      </c>
      <c r="R178" s="45">
        <f>IF(B178="","",IFERROR(INDEX(Ingredients!$AG$5:$AG$304,MATCH(B178,Ingredients!$B$5:$B$304,0)),0))</f>
        <v>0</v>
      </c>
      <c r="S178" s="45">
        <f>IF(G178="","",G178-IF(R178="",0,R178))</f>
        <v>0</v>
      </c>
      <c r="U178" s="18">
        <f>IF(OR(B178="",D178&lt;&gt;"Fridge",NOT(ISNUMBER(N178))),"",COUNTIFS($D$5:$D$304,"Fridge",$N$5:$N$304,"&lt;"&amp;N178)+COUNTIFS($D$5:D178,"Fridge",$N$5:N178,N178))</f>
        <v>0</v>
      </c>
      <c r="V178" s="18">
        <f>IF(OR(B178="",D178&lt;&gt;"Freezer",NOT(ISNUMBER(N178))),"",COUNTIFS($D$5:$D$304,"Freezer",$N$5:$N$304,"&lt;"&amp;N178)+COUNTIFS($D$5:D178,"Freezer",$N$5:N178,N178))</f>
        <v>0</v>
      </c>
      <c r="W178" s="31">
        <f>IF(B178="","",IF(G178=0,"Out of stock",IF(AND(N178&lt;&gt;"",N178&lt;0),"Expired",IF(AND(N178&lt;&gt;"",N178&lt;=ExpiryWarningDays),"Use soon",IF(AND(Q178&lt;&gt;"",G178&lt;Q178),"Low stock","In stock")))))</f>
        <v>0</v>
      </c>
      <c r="X178" s="31">
        <f>IF(B178="","",IF(W178="Expired","Expired - bin it and log it on the Food Waste tab",IF(W178="Use soon","Use soon - plan a meal with it",IF(W178="Out of stock",IF(T178="Yes","Missing - staple has run out","Add - restock when convenient"),IF(W178="Low stock","Check - running low",IF(S178&lt;0,"Check - the plan needs more than you have","OK"))))))</f>
        <v>0</v>
      </c>
    </row>
    <row r="179" spans="1:24">
      <c r="A179" s="39">
        <f>IF(B179="","",PantryPrefix&amp;TEXT(ROW()-4,"0000"))</f>
        <v>0</v>
      </c>
      <c r="C179" s="17">
        <f>IF(B179="","",IFERROR(INDEX(Ingredients!$C$5:$C$304,MATCH(B179,Ingredients!$B$5:$B$304,0)),"Add to Ingredients"))</f>
        <v>0</v>
      </c>
      <c r="G179" s="45">
        <f>IF(E179="","",IFERROR(E179*INDEX(UnitFactors,MATCH(F179,UnitNames,0)),""))</f>
        <v>0</v>
      </c>
      <c r="H179" s="17">
        <f>IF(F179="","",IFERROR(INDEX(UnitBases,MATCH(F179,UnitNames,0)),"?"))</f>
        <v>0</v>
      </c>
      <c r="L179" s="18">
        <f>IF(B179="","",IFERROR(INDEX(Ingredients!$Z$5:$Z$304,MATCH(B179,Ingredients!$B$5:$B$304,0)),"Add to Ingredients"))</f>
        <v>0</v>
      </c>
      <c r="M179" s="19">
        <f>IF(K179&lt;&gt;"",K179,IF(OR(J179="",L179="",NOT(ISNUMBER(L179))),"",J179+L179))</f>
        <v>0</v>
      </c>
      <c r="N179" s="18">
        <f>IF(M179="","",M179-TODAY())</f>
        <v>0</v>
      </c>
      <c r="O179" s="25">
        <f>IF(B179="","",IFERROR(INDEX(Ingredients!$J$5:$J$304,MATCH(B179,Ingredients!$B$5:$B$304,0)),"Add to Ingredients"))</f>
        <v>0</v>
      </c>
      <c r="P179" s="25">
        <f>IF(OR(G179="",O179="",NOT(ISNUMBER(O179))),"",G179*O179)</f>
        <v>0</v>
      </c>
      <c r="R179" s="45">
        <f>IF(B179="","",IFERROR(INDEX(Ingredients!$AG$5:$AG$304,MATCH(B179,Ingredients!$B$5:$B$304,0)),0))</f>
        <v>0</v>
      </c>
      <c r="S179" s="45">
        <f>IF(G179="","",G179-IF(R179="",0,R179))</f>
        <v>0</v>
      </c>
      <c r="U179" s="18">
        <f>IF(OR(B179="",D179&lt;&gt;"Fridge",NOT(ISNUMBER(N179))),"",COUNTIFS($D$5:$D$304,"Fridge",$N$5:$N$304,"&lt;"&amp;N179)+COUNTIFS($D$5:D179,"Fridge",$N$5:N179,N179))</f>
        <v>0</v>
      </c>
      <c r="V179" s="18">
        <f>IF(OR(B179="",D179&lt;&gt;"Freezer",NOT(ISNUMBER(N179))),"",COUNTIFS($D$5:$D$304,"Freezer",$N$5:$N$304,"&lt;"&amp;N179)+COUNTIFS($D$5:D179,"Freezer",$N$5:N179,N179))</f>
        <v>0</v>
      </c>
      <c r="W179" s="31">
        <f>IF(B179="","",IF(G179=0,"Out of stock",IF(AND(N179&lt;&gt;"",N179&lt;0),"Expired",IF(AND(N179&lt;&gt;"",N179&lt;=ExpiryWarningDays),"Use soon",IF(AND(Q179&lt;&gt;"",G179&lt;Q179),"Low stock","In stock")))))</f>
        <v>0</v>
      </c>
      <c r="X179" s="31">
        <f>IF(B179="","",IF(W179="Expired","Expired - bin it and log it on the Food Waste tab",IF(W179="Use soon","Use soon - plan a meal with it",IF(W179="Out of stock",IF(T179="Yes","Missing - staple has run out","Add - restock when convenient"),IF(W179="Low stock","Check - running low",IF(S179&lt;0,"Check - the plan needs more than you have","OK"))))))</f>
        <v>0</v>
      </c>
    </row>
    <row r="180" spans="1:24">
      <c r="A180" s="39">
        <f>IF(B180="","",PantryPrefix&amp;TEXT(ROW()-4,"0000"))</f>
        <v>0</v>
      </c>
      <c r="C180" s="17">
        <f>IF(B180="","",IFERROR(INDEX(Ingredients!$C$5:$C$304,MATCH(B180,Ingredients!$B$5:$B$304,0)),"Add to Ingredients"))</f>
        <v>0</v>
      </c>
      <c r="G180" s="45">
        <f>IF(E180="","",IFERROR(E180*INDEX(UnitFactors,MATCH(F180,UnitNames,0)),""))</f>
        <v>0</v>
      </c>
      <c r="H180" s="17">
        <f>IF(F180="","",IFERROR(INDEX(UnitBases,MATCH(F180,UnitNames,0)),"?"))</f>
        <v>0</v>
      </c>
      <c r="L180" s="18">
        <f>IF(B180="","",IFERROR(INDEX(Ingredients!$Z$5:$Z$304,MATCH(B180,Ingredients!$B$5:$B$304,0)),"Add to Ingredients"))</f>
        <v>0</v>
      </c>
      <c r="M180" s="19">
        <f>IF(K180&lt;&gt;"",K180,IF(OR(J180="",L180="",NOT(ISNUMBER(L180))),"",J180+L180))</f>
        <v>0</v>
      </c>
      <c r="N180" s="18">
        <f>IF(M180="","",M180-TODAY())</f>
        <v>0</v>
      </c>
      <c r="O180" s="25">
        <f>IF(B180="","",IFERROR(INDEX(Ingredients!$J$5:$J$304,MATCH(B180,Ingredients!$B$5:$B$304,0)),"Add to Ingredients"))</f>
        <v>0</v>
      </c>
      <c r="P180" s="25">
        <f>IF(OR(G180="",O180="",NOT(ISNUMBER(O180))),"",G180*O180)</f>
        <v>0</v>
      </c>
      <c r="R180" s="45">
        <f>IF(B180="","",IFERROR(INDEX(Ingredients!$AG$5:$AG$304,MATCH(B180,Ingredients!$B$5:$B$304,0)),0))</f>
        <v>0</v>
      </c>
      <c r="S180" s="45">
        <f>IF(G180="","",G180-IF(R180="",0,R180))</f>
        <v>0</v>
      </c>
      <c r="U180" s="18">
        <f>IF(OR(B180="",D180&lt;&gt;"Fridge",NOT(ISNUMBER(N180))),"",COUNTIFS($D$5:$D$304,"Fridge",$N$5:$N$304,"&lt;"&amp;N180)+COUNTIFS($D$5:D180,"Fridge",$N$5:N180,N180))</f>
        <v>0</v>
      </c>
      <c r="V180" s="18">
        <f>IF(OR(B180="",D180&lt;&gt;"Freezer",NOT(ISNUMBER(N180))),"",COUNTIFS($D$5:$D$304,"Freezer",$N$5:$N$304,"&lt;"&amp;N180)+COUNTIFS($D$5:D180,"Freezer",$N$5:N180,N180))</f>
        <v>0</v>
      </c>
      <c r="W180" s="31">
        <f>IF(B180="","",IF(G180=0,"Out of stock",IF(AND(N180&lt;&gt;"",N180&lt;0),"Expired",IF(AND(N180&lt;&gt;"",N180&lt;=ExpiryWarningDays),"Use soon",IF(AND(Q180&lt;&gt;"",G180&lt;Q180),"Low stock","In stock")))))</f>
        <v>0</v>
      </c>
      <c r="X180" s="31">
        <f>IF(B180="","",IF(W180="Expired","Expired - bin it and log it on the Food Waste tab",IF(W180="Use soon","Use soon - plan a meal with it",IF(W180="Out of stock",IF(T180="Yes","Missing - staple has run out","Add - restock when convenient"),IF(W180="Low stock","Check - running low",IF(S180&lt;0,"Check - the plan needs more than you have","OK"))))))</f>
        <v>0</v>
      </c>
    </row>
    <row r="181" spans="1:24">
      <c r="A181" s="39">
        <f>IF(B181="","",PantryPrefix&amp;TEXT(ROW()-4,"0000"))</f>
        <v>0</v>
      </c>
      <c r="C181" s="17">
        <f>IF(B181="","",IFERROR(INDEX(Ingredients!$C$5:$C$304,MATCH(B181,Ingredients!$B$5:$B$304,0)),"Add to Ingredients"))</f>
        <v>0</v>
      </c>
      <c r="G181" s="45">
        <f>IF(E181="","",IFERROR(E181*INDEX(UnitFactors,MATCH(F181,UnitNames,0)),""))</f>
        <v>0</v>
      </c>
      <c r="H181" s="17">
        <f>IF(F181="","",IFERROR(INDEX(UnitBases,MATCH(F181,UnitNames,0)),"?"))</f>
        <v>0</v>
      </c>
      <c r="L181" s="18">
        <f>IF(B181="","",IFERROR(INDEX(Ingredients!$Z$5:$Z$304,MATCH(B181,Ingredients!$B$5:$B$304,0)),"Add to Ingredients"))</f>
        <v>0</v>
      </c>
      <c r="M181" s="19">
        <f>IF(K181&lt;&gt;"",K181,IF(OR(J181="",L181="",NOT(ISNUMBER(L181))),"",J181+L181))</f>
        <v>0</v>
      </c>
      <c r="N181" s="18">
        <f>IF(M181="","",M181-TODAY())</f>
        <v>0</v>
      </c>
      <c r="O181" s="25">
        <f>IF(B181="","",IFERROR(INDEX(Ingredients!$J$5:$J$304,MATCH(B181,Ingredients!$B$5:$B$304,0)),"Add to Ingredients"))</f>
        <v>0</v>
      </c>
      <c r="P181" s="25">
        <f>IF(OR(G181="",O181="",NOT(ISNUMBER(O181))),"",G181*O181)</f>
        <v>0</v>
      </c>
      <c r="R181" s="45">
        <f>IF(B181="","",IFERROR(INDEX(Ingredients!$AG$5:$AG$304,MATCH(B181,Ingredients!$B$5:$B$304,0)),0))</f>
        <v>0</v>
      </c>
      <c r="S181" s="45">
        <f>IF(G181="","",G181-IF(R181="",0,R181))</f>
        <v>0</v>
      </c>
      <c r="U181" s="18">
        <f>IF(OR(B181="",D181&lt;&gt;"Fridge",NOT(ISNUMBER(N181))),"",COUNTIFS($D$5:$D$304,"Fridge",$N$5:$N$304,"&lt;"&amp;N181)+COUNTIFS($D$5:D181,"Fridge",$N$5:N181,N181))</f>
        <v>0</v>
      </c>
      <c r="V181" s="18">
        <f>IF(OR(B181="",D181&lt;&gt;"Freezer",NOT(ISNUMBER(N181))),"",COUNTIFS($D$5:$D$304,"Freezer",$N$5:$N$304,"&lt;"&amp;N181)+COUNTIFS($D$5:D181,"Freezer",$N$5:N181,N181))</f>
        <v>0</v>
      </c>
      <c r="W181" s="31">
        <f>IF(B181="","",IF(G181=0,"Out of stock",IF(AND(N181&lt;&gt;"",N181&lt;0),"Expired",IF(AND(N181&lt;&gt;"",N181&lt;=ExpiryWarningDays),"Use soon",IF(AND(Q181&lt;&gt;"",G181&lt;Q181),"Low stock","In stock")))))</f>
        <v>0</v>
      </c>
      <c r="X181" s="31">
        <f>IF(B181="","",IF(W181="Expired","Expired - bin it and log it on the Food Waste tab",IF(W181="Use soon","Use soon - plan a meal with it",IF(W181="Out of stock",IF(T181="Yes","Missing - staple has run out","Add - restock when convenient"),IF(W181="Low stock","Check - running low",IF(S181&lt;0,"Check - the plan needs more than you have","OK"))))))</f>
        <v>0</v>
      </c>
    </row>
    <row r="182" spans="1:24">
      <c r="A182" s="39">
        <f>IF(B182="","",PantryPrefix&amp;TEXT(ROW()-4,"0000"))</f>
        <v>0</v>
      </c>
      <c r="C182" s="17">
        <f>IF(B182="","",IFERROR(INDEX(Ingredients!$C$5:$C$304,MATCH(B182,Ingredients!$B$5:$B$304,0)),"Add to Ingredients"))</f>
        <v>0</v>
      </c>
      <c r="G182" s="45">
        <f>IF(E182="","",IFERROR(E182*INDEX(UnitFactors,MATCH(F182,UnitNames,0)),""))</f>
        <v>0</v>
      </c>
      <c r="H182" s="17">
        <f>IF(F182="","",IFERROR(INDEX(UnitBases,MATCH(F182,UnitNames,0)),"?"))</f>
        <v>0</v>
      </c>
      <c r="L182" s="18">
        <f>IF(B182="","",IFERROR(INDEX(Ingredients!$Z$5:$Z$304,MATCH(B182,Ingredients!$B$5:$B$304,0)),"Add to Ingredients"))</f>
        <v>0</v>
      </c>
      <c r="M182" s="19">
        <f>IF(K182&lt;&gt;"",K182,IF(OR(J182="",L182="",NOT(ISNUMBER(L182))),"",J182+L182))</f>
        <v>0</v>
      </c>
      <c r="N182" s="18">
        <f>IF(M182="","",M182-TODAY())</f>
        <v>0</v>
      </c>
      <c r="O182" s="25">
        <f>IF(B182="","",IFERROR(INDEX(Ingredients!$J$5:$J$304,MATCH(B182,Ingredients!$B$5:$B$304,0)),"Add to Ingredients"))</f>
        <v>0</v>
      </c>
      <c r="P182" s="25">
        <f>IF(OR(G182="",O182="",NOT(ISNUMBER(O182))),"",G182*O182)</f>
        <v>0</v>
      </c>
      <c r="R182" s="45">
        <f>IF(B182="","",IFERROR(INDEX(Ingredients!$AG$5:$AG$304,MATCH(B182,Ingredients!$B$5:$B$304,0)),0))</f>
        <v>0</v>
      </c>
      <c r="S182" s="45">
        <f>IF(G182="","",G182-IF(R182="",0,R182))</f>
        <v>0</v>
      </c>
      <c r="U182" s="18">
        <f>IF(OR(B182="",D182&lt;&gt;"Fridge",NOT(ISNUMBER(N182))),"",COUNTIFS($D$5:$D$304,"Fridge",$N$5:$N$304,"&lt;"&amp;N182)+COUNTIFS($D$5:D182,"Fridge",$N$5:N182,N182))</f>
        <v>0</v>
      </c>
      <c r="V182" s="18">
        <f>IF(OR(B182="",D182&lt;&gt;"Freezer",NOT(ISNUMBER(N182))),"",COUNTIFS($D$5:$D$304,"Freezer",$N$5:$N$304,"&lt;"&amp;N182)+COUNTIFS($D$5:D182,"Freezer",$N$5:N182,N182))</f>
        <v>0</v>
      </c>
      <c r="W182" s="31">
        <f>IF(B182="","",IF(G182=0,"Out of stock",IF(AND(N182&lt;&gt;"",N182&lt;0),"Expired",IF(AND(N182&lt;&gt;"",N182&lt;=ExpiryWarningDays),"Use soon",IF(AND(Q182&lt;&gt;"",G182&lt;Q182),"Low stock","In stock")))))</f>
        <v>0</v>
      </c>
      <c r="X182" s="31">
        <f>IF(B182="","",IF(W182="Expired","Expired - bin it and log it on the Food Waste tab",IF(W182="Use soon","Use soon - plan a meal with it",IF(W182="Out of stock",IF(T182="Yes","Missing - staple has run out","Add - restock when convenient"),IF(W182="Low stock","Check - running low",IF(S182&lt;0,"Check - the plan needs more than you have","OK"))))))</f>
        <v>0</v>
      </c>
    </row>
    <row r="183" spans="1:24">
      <c r="A183" s="39">
        <f>IF(B183="","",PantryPrefix&amp;TEXT(ROW()-4,"0000"))</f>
        <v>0</v>
      </c>
      <c r="C183" s="17">
        <f>IF(B183="","",IFERROR(INDEX(Ingredients!$C$5:$C$304,MATCH(B183,Ingredients!$B$5:$B$304,0)),"Add to Ingredients"))</f>
        <v>0</v>
      </c>
      <c r="G183" s="45">
        <f>IF(E183="","",IFERROR(E183*INDEX(UnitFactors,MATCH(F183,UnitNames,0)),""))</f>
        <v>0</v>
      </c>
      <c r="H183" s="17">
        <f>IF(F183="","",IFERROR(INDEX(UnitBases,MATCH(F183,UnitNames,0)),"?"))</f>
        <v>0</v>
      </c>
      <c r="L183" s="18">
        <f>IF(B183="","",IFERROR(INDEX(Ingredients!$Z$5:$Z$304,MATCH(B183,Ingredients!$B$5:$B$304,0)),"Add to Ingredients"))</f>
        <v>0</v>
      </c>
      <c r="M183" s="19">
        <f>IF(K183&lt;&gt;"",K183,IF(OR(J183="",L183="",NOT(ISNUMBER(L183))),"",J183+L183))</f>
        <v>0</v>
      </c>
      <c r="N183" s="18">
        <f>IF(M183="","",M183-TODAY())</f>
        <v>0</v>
      </c>
      <c r="O183" s="25">
        <f>IF(B183="","",IFERROR(INDEX(Ingredients!$J$5:$J$304,MATCH(B183,Ingredients!$B$5:$B$304,0)),"Add to Ingredients"))</f>
        <v>0</v>
      </c>
      <c r="P183" s="25">
        <f>IF(OR(G183="",O183="",NOT(ISNUMBER(O183))),"",G183*O183)</f>
        <v>0</v>
      </c>
      <c r="R183" s="45">
        <f>IF(B183="","",IFERROR(INDEX(Ingredients!$AG$5:$AG$304,MATCH(B183,Ingredients!$B$5:$B$304,0)),0))</f>
        <v>0</v>
      </c>
      <c r="S183" s="45">
        <f>IF(G183="","",G183-IF(R183="",0,R183))</f>
        <v>0</v>
      </c>
      <c r="U183" s="18">
        <f>IF(OR(B183="",D183&lt;&gt;"Fridge",NOT(ISNUMBER(N183))),"",COUNTIFS($D$5:$D$304,"Fridge",$N$5:$N$304,"&lt;"&amp;N183)+COUNTIFS($D$5:D183,"Fridge",$N$5:N183,N183))</f>
        <v>0</v>
      </c>
      <c r="V183" s="18">
        <f>IF(OR(B183="",D183&lt;&gt;"Freezer",NOT(ISNUMBER(N183))),"",COUNTIFS($D$5:$D$304,"Freezer",$N$5:$N$304,"&lt;"&amp;N183)+COUNTIFS($D$5:D183,"Freezer",$N$5:N183,N183))</f>
        <v>0</v>
      </c>
      <c r="W183" s="31">
        <f>IF(B183="","",IF(G183=0,"Out of stock",IF(AND(N183&lt;&gt;"",N183&lt;0),"Expired",IF(AND(N183&lt;&gt;"",N183&lt;=ExpiryWarningDays),"Use soon",IF(AND(Q183&lt;&gt;"",G183&lt;Q183),"Low stock","In stock")))))</f>
        <v>0</v>
      </c>
      <c r="X183" s="31">
        <f>IF(B183="","",IF(W183="Expired","Expired - bin it and log it on the Food Waste tab",IF(W183="Use soon","Use soon - plan a meal with it",IF(W183="Out of stock",IF(T183="Yes","Missing - staple has run out","Add - restock when convenient"),IF(W183="Low stock","Check - running low",IF(S183&lt;0,"Check - the plan needs more than you have","OK"))))))</f>
        <v>0</v>
      </c>
    </row>
    <row r="184" spans="1:24">
      <c r="A184" s="39">
        <f>IF(B184="","",PantryPrefix&amp;TEXT(ROW()-4,"0000"))</f>
        <v>0</v>
      </c>
      <c r="C184" s="17">
        <f>IF(B184="","",IFERROR(INDEX(Ingredients!$C$5:$C$304,MATCH(B184,Ingredients!$B$5:$B$304,0)),"Add to Ingredients"))</f>
        <v>0</v>
      </c>
      <c r="G184" s="45">
        <f>IF(E184="","",IFERROR(E184*INDEX(UnitFactors,MATCH(F184,UnitNames,0)),""))</f>
        <v>0</v>
      </c>
      <c r="H184" s="17">
        <f>IF(F184="","",IFERROR(INDEX(UnitBases,MATCH(F184,UnitNames,0)),"?"))</f>
        <v>0</v>
      </c>
      <c r="L184" s="18">
        <f>IF(B184="","",IFERROR(INDEX(Ingredients!$Z$5:$Z$304,MATCH(B184,Ingredients!$B$5:$B$304,0)),"Add to Ingredients"))</f>
        <v>0</v>
      </c>
      <c r="M184" s="19">
        <f>IF(K184&lt;&gt;"",K184,IF(OR(J184="",L184="",NOT(ISNUMBER(L184))),"",J184+L184))</f>
        <v>0</v>
      </c>
      <c r="N184" s="18">
        <f>IF(M184="","",M184-TODAY())</f>
        <v>0</v>
      </c>
      <c r="O184" s="25">
        <f>IF(B184="","",IFERROR(INDEX(Ingredients!$J$5:$J$304,MATCH(B184,Ingredients!$B$5:$B$304,0)),"Add to Ingredients"))</f>
        <v>0</v>
      </c>
      <c r="P184" s="25">
        <f>IF(OR(G184="",O184="",NOT(ISNUMBER(O184))),"",G184*O184)</f>
        <v>0</v>
      </c>
      <c r="R184" s="45">
        <f>IF(B184="","",IFERROR(INDEX(Ingredients!$AG$5:$AG$304,MATCH(B184,Ingredients!$B$5:$B$304,0)),0))</f>
        <v>0</v>
      </c>
      <c r="S184" s="45">
        <f>IF(G184="","",G184-IF(R184="",0,R184))</f>
        <v>0</v>
      </c>
      <c r="U184" s="18">
        <f>IF(OR(B184="",D184&lt;&gt;"Fridge",NOT(ISNUMBER(N184))),"",COUNTIFS($D$5:$D$304,"Fridge",$N$5:$N$304,"&lt;"&amp;N184)+COUNTIFS($D$5:D184,"Fridge",$N$5:N184,N184))</f>
        <v>0</v>
      </c>
      <c r="V184" s="18">
        <f>IF(OR(B184="",D184&lt;&gt;"Freezer",NOT(ISNUMBER(N184))),"",COUNTIFS($D$5:$D$304,"Freezer",$N$5:$N$304,"&lt;"&amp;N184)+COUNTIFS($D$5:D184,"Freezer",$N$5:N184,N184))</f>
        <v>0</v>
      </c>
      <c r="W184" s="31">
        <f>IF(B184="","",IF(G184=0,"Out of stock",IF(AND(N184&lt;&gt;"",N184&lt;0),"Expired",IF(AND(N184&lt;&gt;"",N184&lt;=ExpiryWarningDays),"Use soon",IF(AND(Q184&lt;&gt;"",G184&lt;Q184),"Low stock","In stock")))))</f>
        <v>0</v>
      </c>
      <c r="X184" s="31">
        <f>IF(B184="","",IF(W184="Expired","Expired - bin it and log it on the Food Waste tab",IF(W184="Use soon","Use soon - plan a meal with it",IF(W184="Out of stock",IF(T184="Yes","Missing - staple has run out","Add - restock when convenient"),IF(W184="Low stock","Check - running low",IF(S184&lt;0,"Check - the plan needs more than you have","OK"))))))</f>
        <v>0</v>
      </c>
    </row>
    <row r="185" spans="1:24">
      <c r="A185" s="39">
        <f>IF(B185="","",PantryPrefix&amp;TEXT(ROW()-4,"0000"))</f>
        <v>0</v>
      </c>
      <c r="C185" s="17">
        <f>IF(B185="","",IFERROR(INDEX(Ingredients!$C$5:$C$304,MATCH(B185,Ingredients!$B$5:$B$304,0)),"Add to Ingredients"))</f>
        <v>0</v>
      </c>
      <c r="G185" s="45">
        <f>IF(E185="","",IFERROR(E185*INDEX(UnitFactors,MATCH(F185,UnitNames,0)),""))</f>
        <v>0</v>
      </c>
      <c r="H185" s="17">
        <f>IF(F185="","",IFERROR(INDEX(UnitBases,MATCH(F185,UnitNames,0)),"?"))</f>
        <v>0</v>
      </c>
      <c r="L185" s="18">
        <f>IF(B185="","",IFERROR(INDEX(Ingredients!$Z$5:$Z$304,MATCH(B185,Ingredients!$B$5:$B$304,0)),"Add to Ingredients"))</f>
        <v>0</v>
      </c>
      <c r="M185" s="19">
        <f>IF(K185&lt;&gt;"",K185,IF(OR(J185="",L185="",NOT(ISNUMBER(L185))),"",J185+L185))</f>
        <v>0</v>
      </c>
      <c r="N185" s="18">
        <f>IF(M185="","",M185-TODAY())</f>
        <v>0</v>
      </c>
      <c r="O185" s="25">
        <f>IF(B185="","",IFERROR(INDEX(Ingredients!$J$5:$J$304,MATCH(B185,Ingredients!$B$5:$B$304,0)),"Add to Ingredients"))</f>
        <v>0</v>
      </c>
      <c r="P185" s="25">
        <f>IF(OR(G185="",O185="",NOT(ISNUMBER(O185))),"",G185*O185)</f>
        <v>0</v>
      </c>
      <c r="R185" s="45">
        <f>IF(B185="","",IFERROR(INDEX(Ingredients!$AG$5:$AG$304,MATCH(B185,Ingredients!$B$5:$B$304,0)),0))</f>
        <v>0</v>
      </c>
      <c r="S185" s="45">
        <f>IF(G185="","",G185-IF(R185="",0,R185))</f>
        <v>0</v>
      </c>
      <c r="U185" s="18">
        <f>IF(OR(B185="",D185&lt;&gt;"Fridge",NOT(ISNUMBER(N185))),"",COUNTIFS($D$5:$D$304,"Fridge",$N$5:$N$304,"&lt;"&amp;N185)+COUNTIFS($D$5:D185,"Fridge",$N$5:N185,N185))</f>
        <v>0</v>
      </c>
      <c r="V185" s="18">
        <f>IF(OR(B185="",D185&lt;&gt;"Freezer",NOT(ISNUMBER(N185))),"",COUNTIFS($D$5:$D$304,"Freezer",$N$5:$N$304,"&lt;"&amp;N185)+COUNTIFS($D$5:D185,"Freezer",$N$5:N185,N185))</f>
        <v>0</v>
      </c>
      <c r="W185" s="31">
        <f>IF(B185="","",IF(G185=0,"Out of stock",IF(AND(N185&lt;&gt;"",N185&lt;0),"Expired",IF(AND(N185&lt;&gt;"",N185&lt;=ExpiryWarningDays),"Use soon",IF(AND(Q185&lt;&gt;"",G185&lt;Q185),"Low stock","In stock")))))</f>
        <v>0</v>
      </c>
      <c r="X185" s="31">
        <f>IF(B185="","",IF(W185="Expired","Expired - bin it and log it on the Food Waste tab",IF(W185="Use soon","Use soon - plan a meal with it",IF(W185="Out of stock",IF(T185="Yes","Missing - staple has run out","Add - restock when convenient"),IF(W185="Low stock","Check - running low",IF(S185&lt;0,"Check - the plan needs more than you have","OK"))))))</f>
        <v>0</v>
      </c>
    </row>
    <row r="186" spans="1:24">
      <c r="A186" s="39">
        <f>IF(B186="","",PantryPrefix&amp;TEXT(ROW()-4,"0000"))</f>
        <v>0</v>
      </c>
      <c r="C186" s="17">
        <f>IF(B186="","",IFERROR(INDEX(Ingredients!$C$5:$C$304,MATCH(B186,Ingredients!$B$5:$B$304,0)),"Add to Ingredients"))</f>
        <v>0</v>
      </c>
      <c r="G186" s="45">
        <f>IF(E186="","",IFERROR(E186*INDEX(UnitFactors,MATCH(F186,UnitNames,0)),""))</f>
        <v>0</v>
      </c>
      <c r="H186" s="17">
        <f>IF(F186="","",IFERROR(INDEX(UnitBases,MATCH(F186,UnitNames,0)),"?"))</f>
        <v>0</v>
      </c>
      <c r="L186" s="18">
        <f>IF(B186="","",IFERROR(INDEX(Ingredients!$Z$5:$Z$304,MATCH(B186,Ingredients!$B$5:$B$304,0)),"Add to Ingredients"))</f>
        <v>0</v>
      </c>
      <c r="M186" s="19">
        <f>IF(K186&lt;&gt;"",K186,IF(OR(J186="",L186="",NOT(ISNUMBER(L186))),"",J186+L186))</f>
        <v>0</v>
      </c>
      <c r="N186" s="18">
        <f>IF(M186="","",M186-TODAY())</f>
        <v>0</v>
      </c>
      <c r="O186" s="25">
        <f>IF(B186="","",IFERROR(INDEX(Ingredients!$J$5:$J$304,MATCH(B186,Ingredients!$B$5:$B$304,0)),"Add to Ingredients"))</f>
        <v>0</v>
      </c>
      <c r="P186" s="25">
        <f>IF(OR(G186="",O186="",NOT(ISNUMBER(O186))),"",G186*O186)</f>
        <v>0</v>
      </c>
      <c r="R186" s="45">
        <f>IF(B186="","",IFERROR(INDEX(Ingredients!$AG$5:$AG$304,MATCH(B186,Ingredients!$B$5:$B$304,0)),0))</f>
        <v>0</v>
      </c>
      <c r="S186" s="45">
        <f>IF(G186="","",G186-IF(R186="",0,R186))</f>
        <v>0</v>
      </c>
      <c r="U186" s="18">
        <f>IF(OR(B186="",D186&lt;&gt;"Fridge",NOT(ISNUMBER(N186))),"",COUNTIFS($D$5:$D$304,"Fridge",$N$5:$N$304,"&lt;"&amp;N186)+COUNTIFS($D$5:D186,"Fridge",$N$5:N186,N186))</f>
        <v>0</v>
      </c>
      <c r="V186" s="18">
        <f>IF(OR(B186="",D186&lt;&gt;"Freezer",NOT(ISNUMBER(N186))),"",COUNTIFS($D$5:$D$304,"Freezer",$N$5:$N$304,"&lt;"&amp;N186)+COUNTIFS($D$5:D186,"Freezer",$N$5:N186,N186))</f>
        <v>0</v>
      </c>
      <c r="W186" s="31">
        <f>IF(B186="","",IF(G186=0,"Out of stock",IF(AND(N186&lt;&gt;"",N186&lt;0),"Expired",IF(AND(N186&lt;&gt;"",N186&lt;=ExpiryWarningDays),"Use soon",IF(AND(Q186&lt;&gt;"",G186&lt;Q186),"Low stock","In stock")))))</f>
        <v>0</v>
      </c>
      <c r="X186" s="31">
        <f>IF(B186="","",IF(W186="Expired","Expired - bin it and log it on the Food Waste tab",IF(W186="Use soon","Use soon - plan a meal with it",IF(W186="Out of stock",IF(T186="Yes","Missing - staple has run out","Add - restock when convenient"),IF(W186="Low stock","Check - running low",IF(S186&lt;0,"Check - the plan needs more than you have","OK"))))))</f>
        <v>0</v>
      </c>
    </row>
    <row r="187" spans="1:24">
      <c r="A187" s="39">
        <f>IF(B187="","",PantryPrefix&amp;TEXT(ROW()-4,"0000"))</f>
        <v>0</v>
      </c>
      <c r="C187" s="17">
        <f>IF(B187="","",IFERROR(INDEX(Ingredients!$C$5:$C$304,MATCH(B187,Ingredients!$B$5:$B$304,0)),"Add to Ingredients"))</f>
        <v>0</v>
      </c>
      <c r="G187" s="45">
        <f>IF(E187="","",IFERROR(E187*INDEX(UnitFactors,MATCH(F187,UnitNames,0)),""))</f>
        <v>0</v>
      </c>
      <c r="H187" s="17">
        <f>IF(F187="","",IFERROR(INDEX(UnitBases,MATCH(F187,UnitNames,0)),"?"))</f>
        <v>0</v>
      </c>
      <c r="L187" s="18">
        <f>IF(B187="","",IFERROR(INDEX(Ingredients!$Z$5:$Z$304,MATCH(B187,Ingredients!$B$5:$B$304,0)),"Add to Ingredients"))</f>
        <v>0</v>
      </c>
      <c r="M187" s="19">
        <f>IF(K187&lt;&gt;"",K187,IF(OR(J187="",L187="",NOT(ISNUMBER(L187))),"",J187+L187))</f>
        <v>0</v>
      </c>
      <c r="N187" s="18">
        <f>IF(M187="","",M187-TODAY())</f>
        <v>0</v>
      </c>
      <c r="O187" s="25">
        <f>IF(B187="","",IFERROR(INDEX(Ingredients!$J$5:$J$304,MATCH(B187,Ingredients!$B$5:$B$304,0)),"Add to Ingredients"))</f>
        <v>0</v>
      </c>
      <c r="P187" s="25">
        <f>IF(OR(G187="",O187="",NOT(ISNUMBER(O187))),"",G187*O187)</f>
        <v>0</v>
      </c>
      <c r="R187" s="45">
        <f>IF(B187="","",IFERROR(INDEX(Ingredients!$AG$5:$AG$304,MATCH(B187,Ingredients!$B$5:$B$304,0)),0))</f>
        <v>0</v>
      </c>
      <c r="S187" s="45">
        <f>IF(G187="","",G187-IF(R187="",0,R187))</f>
        <v>0</v>
      </c>
      <c r="U187" s="18">
        <f>IF(OR(B187="",D187&lt;&gt;"Fridge",NOT(ISNUMBER(N187))),"",COUNTIFS($D$5:$D$304,"Fridge",$N$5:$N$304,"&lt;"&amp;N187)+COUNTIFS($D$5:D187,"Fridge",$N$5:N187,N187))</f>
        <v>0</v>
      </c>
      <c r="V187" s="18">
        <f>IF(OR(B187="",D187&lt;&gt;"Freezer",NOT(ISNUMBER(N187))),"",COUNTIFS($D$5:$D$304,"Freezer",$N$5:$N$304,"&lt;"&amp;N187)+COUNTIFS($D$5:D187,"Freezer",$N$5:N187,N187))</f>
        <v>0</v>
      </c>
      <c r="W187" s="31">
        <f>IF(B187="","",IF(G187=0,"Out of stock",IF(AND(N187&lt;&gt;"",N187&lt;0),"Expired",IF(AND(N187&lt;&gt;"",N187&lt;=ExpiryWarningDays),"Use soon",IF(AND(Q187&lt;&gt;"",G187&lt;Q187),"Low stock","In stock")))))</f>
        <v>0</v>
      </c>
      <c r="X187" s="31">
        <f>IF(B187="","",IF(W187="Expired","Expired - bin it and log it on the Food Waste tab",IF(W187="Use soon","Use soon - plan a meal with it",IF(W187="Out of stock",IF(T187="Yes","Missing - staple has run out","Add - restock when convenient"),IF(W187="Low stock","Check - running low",IF(S187&lt;0,"Check - the plan needs more than you have","OK"))))))</f>
        <v>0</v>
      </c>
    </row>
    <row r="188" spans="1:24">
      <c r="A188" s="39">
        <f>IF(B188="","",PantryPrefix&amp;TEXT(ROW()-4,"0000"))</f>
        <v>0</v>
      </c>
      <c r="C188" s="17">
        <f>IF(B188="","",IFERROR(INDEX(Ingredients!$C$5:$C$304,MATCH(B188,Ingredients!$B$5:$B$304,0)),"Add to Ingredients"))</f>
        <v>0</v>
      </c>
      <c r="G188" s="45">
        <f>IF(E188="","",IFERROR(E188*INDEX(UnitFactors,MATCH(F188,UnitNames,0)),""))</f>
        <v>0</v>
      </c>
      <c r="H188" s="17">
        <f>IF(F188="","",IFERROR(INDEX(UnitBases,MATCH(F188,UnitNames,0)),"?"))</f>
        <v>0</v>
      </c>
      <c r="L188" s="18">
        <f>IF(B188="","",IFERROR(INDEX(Ingredients!$Z$5:$Z$304,MATCH(B188,Ingredients!$B$5:$B$304,0)),"Add to Ingredients"))</f>
        <v>0</v>
      </c>
      <c r="M188" s="19">
        <f>IF(K188&lt;&gt;"",K188,IF(OR(J188="",L188="",NOT(ISNUMBER(L188))),"",J188+L188))</f>
        <v>0</v>
      </c>
      <c r="N188" s="18">
        <f>IF(M188="","",M188-TODAY())</f>
        <v>0</v>
      </c>
      <c r="O188" s="25">
        <f>IF(B188="","",IFERROR(INDEX(Ingredients!$J$5:$J$304,MATCH(B188,Ingredients!$B$5:$B$304,0)),"Add to Ingredients"))</f>
        <v>0</v>
      </c>
      <c r="P188" s="25">
        <f>IF(OR(G188="",O188="",NOT(ISNUMBER(O188))),"",G188*O188)</f>
        <v>0</v>
      </c>
      <c r="R188" s="45">
        <f>IF(B188="","",IFERROR(INDEX(Ingredients!$AG$5:$AG$304,MATCH(B188,Ingredients!$B$5:$B$304,0)),0))</f>
        <v>0</v>
      </c>
      <c r="S188" s="45">
        <f>IF(G188="","",G188-IF(R188="",0,R188))</f>
        <v>0</v>
      </c>
      <c r="U188" s="18">
        <f>IF(OR(B188="",D188&lt;&gt;"Fridge",NOT(ISNUMBER(N188))),"",COUNTIFS($D$5:$D$304,"Fridge",$N$5:$N$304,"&lt;"&amp;N188)+COUNTIFS($D$5:D188,"Fridge",$N$5:N188,N188))</f>
        <v>0</v>
      </c>
      <c r="V188" s="18">
        <f>IF(OR(B188="",D188&lt;&gt;"Freezer",NOT(ISNUMBER(N188))),"",COUNTIFS($D$5:$D$304,"Freezer",$N$5:$N$304,"&lt;"&amp;N188)+COUNTIFS($D$5:D188,"Freezer",$N$5:N188,N188))</f>
        <v>0</v>
      </c>
      <c r="W188" s="31">
        <f>IF(B188="","",IF(G188=0,"Out of stock",IF(AND(N188&lt;&gt;"",N188&lt;0),"Expired",IF(AND(N188&lt;&gt;"",N188&lt;=ExpiryWarningDays),"Use soon",IF(AND(Q188&lt;&gt;"",G188&lt;Q188),"Low stock","In stock")))))</f>
        <v>0</v>
      </c>
      <c r="X188" s="31">
        <f>IF(B188="","",IF(W188="Expired","Expired - bin it and log it on the Food Waste tab",IF(W188="Use soon","Use soon - plan a meal with it",IF(W188="Out of stock",IF(T188="Yes","Missing - staple has run out","Add - restock when convenient"),IF(W188="Low stock","Check - running low",IF(S188&lt;0,"Check - the plan needs more than you have","OK"))))))</f>
        <v>0</v>
      </c>
    </row>
    <row r="189" spans="1:24">
      <c r="A189" s="39">
        <f>IF(B189="","",PantryPrefix&amp;TEXT(ROW()-4,"0000"))</f>
        <v>0</v>
      </c>
      <c r="C189" s="17">
        <f>IF(B189="","",IFERROR(INDEX(Ingredients!$C$5:$C$304,MATCH(B189,Ingredients!$B$5:$B$304,0)),"Add to Ingredients"))</f>
        <v>0</v>
      </c>
      <c r="G189" s="45">
        <f>IF(E189="","",IFERROR(E189*INDEX(UnitFactors,MATCH(F189,UnitNames,0)),""))</f>
        <v>0</v>
      </c>
      <c r="H189" s="17">
        <f>IF(F189="","",IFERROR(INDEX(UnitBases,MATCH(F189,UnitNames,0)),"?"))</f>
        <v>0</v>
      </c>
      <c r="L189" s="18">
        <f>IF(B189="","",IFERROR(INDEX(Ingredients!$Z$5:$Z$304,MATCH(B189,Ingredients!$B$5:$B$304,0)),"Add to Ingredients"))</f>
        <v>0</v>
      </c>
      <c r="M189" s="19">
        <f>IF(K189&lt;&gt;"",K189,IF(OR(J189="",L189="",NOT(ISNUMBER(L189))),"",J189+L189))</f>
        <v>0</v>
      </c>
      <c r="N189" s="18">
        <f>IF(M189="","",M189-TODAY())</f>
        <v>0</v>
      </c>
      <c r="O189" s="25">
        <f>IF(B189="","",IFERROR(INDEX(Ingredients!$J$5:$J$304,MATCH(B189,Ingredients!$B$5:$B$304,0)),"Add to Ingredients"))</f>
        <v>0</v>
      </c>
      <c r="P189" s="25">
        <f>IF(OR(G189="",O189="",NOT(ISNUMBER(O189))),"",G189*O189)</f>
        <v>0</v>
      </c>
      <c r="R189" s="45">
        <f>IF(B189="","",IFERROR(INDEX(Ingredients!$AG$5:$AG$304,MATCH(B189,Ingredients!$B$5:$B$304,0)),0))</f>
        <v>0</v>
      </c>
      <c r="S189" s="45">
        <f>IF(G189="","",G189-IF(R189="",0,R189))</f>
        <v>0</v>
      </c>
      <c r="U189" s="18">
        <f>IF(OR(B189="",D189&lt;&gt;"Fridge",NOT(ISNUMBER(N189))),"",COUNTIFS($D$5:$D$304,"Fridge",$N$5:$N$304,"&lt;"&amp;N189)+COUNTIFS($D$5:D189,"Fridge",$N$5:N189,N189))</f>
        <v>0</v>
      </c>
      <c r="V189" s="18">
        <f>IF(OR(B189="",D189&lt;&gt;"Freezer",NOT(ISNUMBER(N189))),"",COUNTIFS($D$5:$D$304,"Freezer",$N$5:$N$304,"&lt;"&amp;N189)+COUNTIFS($D$5:D189,"Freezer",$N$5:N189,N189))</f>
        <v>0</v>
      </c>
      <c r="W189" s="31">
        <f>IF(B189="","",IF(G189=0,"Out of stock",IF(AND(N189&lt;&gt;"",N189&lt;0),"Expired",IF(AND(N189&lt;&gt;"",N189&lt;=ExpiryWarningDays),"Use soon",IF(AND(Q189&lt;&gt;"",G189&lt;Q189),"Low stock","In stock")))))</f>
        <v>0</v>
      </c>
      <c r="X189" s="31">
        <f>IF(B189="","",IF(W189="Expired","Expired - bin it and log it on the Food Waste tab",IF(W189="Use soon","Use soon - plan a meal with it",IF(W189="Out of stock",IF(T189="Yes","Missing - staple has run out","Add - restock when convenient"),IF(W189="Low stock","Check - running low",IF(S189&lt;0,"Check - the plan needs more than you have","OK"))))))</f>
        <v>0</v>
      </c>
    </row>
    <row r="190" spans="1:24">
      <c r="A190" s="39">
        <f>IF(B190="","",PantryPrefix&amp;TEXT(ROW()-4,"0000"))</f>
        <v>0</v>
      </c>
      <c r="C190" s="17">
        <f>IF(B190="","",IFERROR(INDEX(Ingredients!$C$5:$C$304,MATCH(B190,Ingredients!$B$5:$B$304,0)),"Add to Ingredients"))</f>
        <v>0</v>
      </c>
      <c r="G190" s="45">
        <f>IF(E190="","",IFERROR(E190*INDEX(UnitFactors,MATCH(F190,UnitNames,0)),""))</f>
        <v>0</v>
      </c>
      <c r="H190" s="17">
        <f>IF(F190="","",IFERROR(INDEX(UnitBases,MATCH(F190,UnitNames,0)),"?"))</f>
        <v>0</v>
      </c>
      <c r="L190" s="18">
        <f>IF(B190="","",IFERROR(INDEX(Ingredients!$Z$5:$Z$304,MATCH(B190,Ingredients!$B$5:$B$304,0)),"Add to Ingredients"))</f>
        <v>0</v>
      </c>
      <c r="M190" s="19">
        <f>IF(K190&lt;&gt;"",K190,IF(OR(J190="",L190="",NOT(ISNUMBER(L190))),"",J190+L190))</f>
        <v>0</v>
      </c>
      <c r="N190" s="18">
        <f>IF(M190="","",M190-TODAY())</f>
        <v>0</v>
      </c>
      <c r="O190" s="25">
        <f>IF(B190="","",IFERROR(INDEX(Ingredients!$J$5:$J$304,MATCH(B190,Ingredients!$B$5:$B$304,0)),"Add to Ingredients"))</f>
        <v>0</v>
      </c>
      <c r="P190" s="25">
        <f>IF(OR(G190="",O190="",NOT(ISNUMBER(O190))),"",G190*O190)</f>
        <v>0</v>
      </c>
      <c r="R190" s="45">
        <f>IF(B190="","",IFERROR(INDEX(Ingredients!$AG$5:$AG$304,MATCH(B190,Ingredients!$B$5:$B$304,0)),0))</f>
        <v>0</v>
      </c>
      <c r="S190" s="45">
        <f>IF(G190="","",G190-IF(R190="",0,R190))</f>
        <v>0</v>
      </c>
      <c r="U190" s="18">
        <f>IF(OR(B190="",D190&lt;&gt;"Fridge",NOT(ISNUMBER(N190))),"",COUNTIFS($D$5:$D$304,"Fridge",$N$5:$N$304,"&lt;"&amp;N190)+COUNTIFS($D$5:D190,"Fridge",$N$5:N190,N190))</f>
        <v>0</v>
      </c>
      <c r="V190" s="18">
        <f>IF(OR(B190="",D190&lt;&gt;"Freezer",NOT(ISNUMBER(N190))),"",COUNTIFS($D$5:$D$304,"Freezer",$N$5:$N$304,"&lt;"&amp;N190)+COUNTIFS($D$5:D190,"Freezer",$N$5:N190,N190))</f>
        <v>0</v>
      </c>
      <c r="W190" s="31">
        <f>IF(B190="","",IF(G190=0,"Out of stock",IF(AND(N190&lt;&gt;"",N190&lt;0),"Expired",IF(AND(N190&lt;&gt;"",N190&lt;=ExpiryWarningDays),"Use soon",IF(AND(Q190&lt;&gt;"",G190&lt;Q190),"Low stock","In stock")))))</f>
        <v>0</v>
      </c>
      <c r="X190" s="31">
        <f>IF(B190="","",IF(W190="Expired","Expired - bin it and log it on the Food Waste tab",IF(W190="Use soon","Use soon - plan a meal with it",IF(W190="Out of stock",IF(T190="Yes","Missing - staple has run out","Add - restock when convenient"),IF(W190="Low stock","Check - running low",IF(S190&lt;0,"Check - the plan needs more than you have","OK"))))))</f>
        <v>0</v>
      </c>
    </row>
    <row r="191" spans="1:24">
      <c r="A191" s="39">
        <f>IF(B191="","",PantryPrefix&amp;TEXT(ROW()-4,"0000"))</f>
        <v>0</v>
      </c>
      <c r="C191" s="17">
        <f>IF(B191="","",IFERROR(INDEX(Ingredients!$C$5:$C$304,MATCH(B191,Ingredients!$B$5:$B$304,0)),"Add to Ingredients"))</f>
        <v>0</v>
      </c>
      <c r="G191" s="45">
        <f>IF(E191="","",IFERROR(E191*INDEX(UnitFactors,MATCH(F191,UnitNames,0)),""))</f>
        <v>0</v>
      </c>
      <c r="H191" s="17">
        <f>IF(F191="","",IFERROR(INDEX(UnitBases,MATCH(F191,UnitNames,0)),"?"))</f>
        <v>0</v>
      </c>
      <c r="L191" s="18">
        <f>IF(B191="","",IFERROR(INDEX(Ingredients!$Z$5:$Z$304,MATCH(B191,Ingredients!$B$5:$B$304,0)),"Add to Ingredients"))</f>
        <v>0</v>
      </c>
      <c r="M191" s="19">
        <f>IF(K191&lt;&gt;"",K191,IF(OR(J191="",L191="",NOT(ISNUMBER(L191))),"",J191+L191))</f>
        <v>0</v>
      </c>
      <c r="N191" s="18">
        <f>IF(M191="","",M191-TODAY())</f>
        <v>0</v>
      </c>
      <c r="O191" s="25">
        <f>IF(B191="","",IFERROR(INDEX(Ingredients!$J$5:$J$304,MATCH(B191,Ingredients!$B$5:$B$304,0)),"Add to Ingredients"))</f>
        <v>0</v>
      </c>
      <c r="P191" s="25">
        <f>IF(OR(G191="",O191="",NOT(ISNUMBER(O191))),"",G191*O191)</f>
        <v>0</v>
      </c>
      <c r="R191" s="45">
        <f>IF(B191="","",IFERROR(INDEX(Ingredients!$AG$5:$AG$304,MATCH(B191,Ingredients!$B$5:$B$304,0)),0))</f>
        <v>0</v>
      </c>
      <c r="S191" s="45">
        <f>IF(G191="","",G191-IF(R191="",0,R191))</f>
        <v>0</v>
      </c>
      <c r="U191" s="18">
        <f>IF(OR(B191="",D191&lt;&gt;"Fridge",NOT(ISNUMBER(N191))),"",COUNTIFS($D$5:$D$304,"Fridge",$N$5:$N$304,"&lt;"&amp;N191)+COUNTIFS($D$5:D191,"Fridge",$N$5:N191,N191))</f>
        <v>0</v>
      </c>
      <c r="V191" s="18">
        <f>IF(OR(B191="",D191&lt;&gt;"Freezer",NOT(ISNUMBER(N191))),"",COUNTIFS($D$5:$D$304,"Freezer",$N$5:$N$304,"&lt;"&amp;N191)+COUNTIFS($D$5:D191,"Freezer",$N$5:N191,N191))</f>
        <v>0</v>
      </c>
      <c r="W191" s="31">
        <f>IF(B191="","",IF(G191=0,"Out of stock",IF(AND(N191&lt;&gt;"",N191&lt;0),"Expired",IF(AND(N191&lt;&gt;"",N191&lt;=ExpiryWarningDays),"Use soon",IF(AND(Q191&lt;&gt;"",G191&lt;Q191),"Low stock","In stock")))))</f>
        <v>0</v>
      </c>
      <c r="X191" s="31">
        <f>IF(B191="","",IF(W191="Expired","Expired - bin it and log it on the Food Waste tab",IF(W191="Use soon","Use soon - plan a meal with it",IF(W191="Out of stock",IF(T191="Yes","Missing - staple has run out","Add - restock when convenient"),IF(W191="Low stock","Check - running low",IF(S191&lt;0,"Check - the plan needs more than you have","OK"))))))</f>
        <v>0</v>
      </c>
    </row>
    <row r="192" spans="1:24">
      <c r="A192" s="39">
        <f>IF(B192="","",PantryPrefix&amp;TEXT(ROW()-4,"0000"))</f>
        <v>0</v>
      </c>
      <c r="C192" s="17">
        <f>IF(B192="","",IFERROR(INDEX(Ingredients!$C$5:$C$304,MATCH(B192,Ingredients!$B$5:$B$304,0)),"Add to Ingredients"))</f>
        <v>0</v>
      </c>
      <c r="G192" s="45">
        <f>IF(E192="","",IFERROR(E192*INDEX(UnitFactors,MATCH(F192,UnitNames,0)),""))</f>
        <v>0</v>
      </c>
      <c r="H192" s="17">
        <f>IF(F192="","",IFERROR(INDEX(UnitBases,MATCH(F192,UnitNames,0)),"?"))</f>
        <v>0</v>
      </c>
      <c r="L192" s="18">
        <f>IF(B192="","",IFERROR(INDEX(Ingredients!$Z$5:$Z$304,MATCH(B192,Ingredients!$B$5:$B$304,0)),"Add to Ingredients"))</f>
        <v>0</v>
      </c>
      <c r="M192" s="19">
        <f>IF(K192&lt;&gt;"",K192,IF(OR(J192="",L192="",NOT(ISNUMBER(L192))),"",J192+L192))</f>
        <v>0</v>
      </c>
      <c r="N192" s="18">
        <f>IF(M192="","",M192-TODAY())</f>
        <v>0</v>
      </c>
      <c r="O192" s="25">
        <f>IF(B192="","",IFERROR(INDEX(Ingredients!$J$5:$J$304,MATCH(B192,Ingredients!$B$5:$B$304,0)),"Add to Ingredients"))</f>
        <v>0</v>
      </c>
      <c r="P192" s="25">
        <f>IF(OR(G192="",O192="",NOT(ISNUMBER(O192))),"",G192*O192)</f>
        <v>0</v>
      </c>
      <c r="R192" s="45">
        <f>IF(B192="","",IFERROR(INDEX(Ingredients!$AG$5:$AG$304,MATCH(B192,Ingredients!$B$5:$B$304,0)),0))</f>
        <v>0</v>
      </c>
      <c r="S192" s="45">
        <f>IF(G192="","",G192-IF(R192="",0,R192))</f>
        <v>0</v>
      </c>
      <c r="U192" s="18">
        <f>IF(OR(B192="",D192&lt;&gt;"Fridge",NOT(ISNUMBER(N192))),"",COUNTIFS($D$5:$D$304,"Fridge",$N$5:$N$304,"&lt;"&amp;N192)+COUNTIFS($D$5:D192,"Fridge",$N$5:N192,N192))</f>
        <v>0</v>
      </c>
      <c r="V192" s="18">
        <f>IF(OR(B192="",D192&lt;&gt;"Freezer",NOT(ISNUMBER(N192))),"",COUNTIFS($D$5:$D$304,"Freezer",$N$5:$N$304,"&lt;"&amp;N192)+COUNTIFS($D$5:D192,"Freezer",$N$5:N192,N192))</f>
        <v>0</v>
      </c>
      <c r="W192" s="31">
        <f>IF(B192="","",IF(G192=0,"Out of stock",IF(AND(N192&lt;&gt;"",N192&lt;0),"Expired",IF(AND(N192&lt;&gt;"",N192&lt;=ExpiryWarningDays),"Use soon",IF(AND(Q192&lt;&gt;"",G192&lt;Q192),"Low stock","In stock")))))</f>
        <v>0</v>
      </c>
      <c r="X192" s="31">
        <f>IF(B192="","",IF(W192="Expired","Expired - bin it and log it on the Food Waste tab",IF(W192="Use soon","Use soon - plan a meal with it",IF(W192="Out of stock",IF(T192="Yes","Missing - staple has run out","Add - restock when convenient"),IF(W192="Low stock","Check - running low",IF(S192&lt;0,"Check - the plan needs more than you have","OK"))))))</f>
        <v>0</v>
      </c>
    </row>
    <row r="193" spans="1:24">
      <c r="A193" s="39">
        <f>IF(B193="","",PantryPrefix&amp;TEXT(ROW()-4,"0000"))</f>
        <v>0</v>
      </c>
      <c r="C193" s="17">
        <f>IF(B193="","",IFERROR(INDEX(Ingredients!$C$5:$C$304,MATCH(B193,Ingredients!$B$5:$B$304,0)),"Add to Ingredients"))</f>
        <v>0</v>
      </c>
      <c r="G193" s="45">
        <f>IF(E193="","",IFERROR(E193*INDEX(UnitFactors,MATCH(F193,UnitNames,0)),""))</f>
        <v>0</v>
      </c>
      <c r="H193" s="17">
        <f>IF(F193="","",IFERROR(INDEX(UnitBases,MATCH(F193,UnitNames,0)),"?"))</f>
        <v>0</v>
      </c>
      <c r="L193" s="18">
        <f>IF(B193="","",IFERROR(INDEX(Ingredients!$Z$5:$Z$304,MATCH(B193,Ingredients!$B$5:$B$304,0)),"Add to Ingredients"))</f>
        <v>0</v>
      </c>
      <c r="M193" s="19">
        <f>IF(K193&lt;&gt;"",K193,IF(OR(J193="",L193="",NOT(ISNUMBER(L193))),"",J193+L193))</f>
        <v>0</v>
      </c>
      <c r="N193" s="18">
        <f>IF(M193="","",M193-TODAY())</f>
        <v>0</v>
      </c>
      <c r="O193" s="25">
        <f>IF(B193="","",IFERROR(INDEX(Ingredients!$J$5:$J$304,MATCH(B193,Ingredients!$B$5:$B$304,0)),"Add to Ingredients"))</f>
        <v>0</v>
      </c>
      <c r="P193" s="25">
        <f>IF(OR(G193="",O193="",NOT(ISNUMBER(O193))),"",G193*O193)</f>
        <v>0</v>
      </c>
      <c r="R193" s="45">
        <f>IF(B193="","",IFERROR(INDEX(Ingredients!$AG$5:$AG$304,MATCH(B193,Ingredients!$B$5:$B$304,0)),0))</f>
        <v>0</v>
      </c>
      <c r="S193" s="45">
        <f>IF(G193="","",G193-IF(R193="",0,R193))</f>
        <v>0</v>
      </c>
      <c r="U193" s="18">
        <f>IF(OR(B193="",D193&lt;&gt;"Fridge",NOT(ISNUMBER(N193))),"",COUNTIFS($D$5:$D$304,"Fridge",$N$5:$N$304,"&lt;"&amp;N193)+COUNTIFS($D$5:D193,"Fridge",$N$5:N193,N193))</f>
        <v>0</v>
      </c>
      <c r="V193" s="18">
        <f>IF(OR(B193="",D193&lt;&gt;"Freezer",NOT(ISNUMBER(N193))),"",COUNTIFS($D$5:$D$304,"Freezer",$N$5:$N$304,"&lt;"&amp;N193)+COUNTIFS($D$5:D193,"Freezer",$N$5:N193,N193))</f>
        <v>0</v>
      </c>
      <c r="W193" s="31">
        <f>IF(B193="","",IF(G193=0,"Out of stock",IF(AND(N193&lt;&gt;"",N193&lt;0),"Expired",IF(AND(N193&lt;&gt;"",N193&lt;=ExpiryWarningDays),"Use soon",IF(AND(Q193&lt;&gt;"",G193&lt;Q193),"Low stock","In stock")))))</f>
        <v>0</v>
      </c>
      <c r="X193" s="31">
        <f>IF(B193="","",IF(W193="Expired","Expired - bin it and log it on the Food Waste tab",IF(W193="Use soon","Use soon - plan a meal with it",IF(W193="Out of stock",IF(T193="Yes","Missing - staple has run out","Add - restock when convenient"),IF(W193="Low stock","Check - running low",IF(S193&lt;0,"Check - the plan needs more than you have","OK"))))))</f>
        <v>0</v>
      </c>
    </row>
    <row r="194" spans="1:24">
      <c r="A194" s="39">
        <f>IF(B194="","",PantryPrefix&amp;TEXT(ROW()-4,"0000"))</f>
        <v>0</v>
      </c>
      <c r="C194" s="17">
        <f>IF(B194="","",IFERROR(INDEX(Ingredients!$C$5:$C$304,MATCH(B194,Ingredients!$B$5:$B$304,0)),"Add to Ingredients"))</f>
        <v>0</v>
      </c>
      <c r="G194" s="45">
        <f>IF(E194="","",IFERROR(E194*INDEX(UnitFactors,MATCH(F194,UnitNames,0)),""))</f>
        <v>0</v>
      </c>
      <c r="H194" s="17">
        <f>IF(F194="","",IFERROR(INDEX(UnitBases,MATCH(F194,UnitNames,0)),"?"))</f>
        <v>0</v>
      </c>
      <c r="L194" s="18">
        <f>IF(B194="","",IFERROR(INDEX(Ingredients!$Z$5:$Z$304,MATCH(B194,Ingredients!$B$5:$B$304,0)),"Add to Ingredients"))</f>
        <v>0</v>
      </c>
      <c r="M194" s="19">
        <f>IF(K194&lt;&gt;"",K194,IF(OR(J194="",L194="",NOT(ISNUMBER(L194))),"",J194+L194))</f>
        <v>0</v>
      </c>
      <c r="N194" s="18">
        <f>IF(M194="","",M194-TODAY())</f>
        <v>0</v>
      </c>
      <c r="O194" s="25">
        <f>IF(B194="","",IFERROR(INDEX(Ingredients!$J$5:$J$304,MATCH(B194,Ingredients!$B$5:$B$304,0)),"Add to Ingredients"))</f>
        <v>0</v>
      </c>
      <c r="P194" s="25">
        <f>IF(OR(G194="",O194="",NOT(ISNUMBER(O194))),"",G194*O194)</f>
        <v>0</v>
      </c>
      <c r="R194" s="45">
        <f>IF(B194="","",IFERROR(INDEX(Ingredients!$AG$5:$AG$304,MATCH(B194,Ingredients!$B$5:$B$304,0)),0))</f>
        <v>0</v>
      </c>
      <c r="S194" s="45">
        <f>IF(G194="","",G194-IF(R194="",0,R194))</f>
        <v>0</v>
      </c>
      <c r="U194" s="18">
        <f>IF(OR(B194="",D194&lt;&gt;"Fridge",NOT(ISNUMBER(N194))),"",COUNTIFS($D$5:$D$304,"Fridge",$N$5:$N$304,"&lt;"&amp;N194)+COUNTIFS($D$5:D194,"Fridge",$N$5:N194,N194))</f>
        <v>0</v>
      </c>
      <c r="V194" s="18">
        <f>IF(OR(B194="",D194&lt;&gt;"Freezer",NOT(ISNUMBER(N194))),"",COUNTIFS($D$5:$D$304,"Freezer",$N$5:$N$304,"&lt;"&amp;N194)+COUNTIFS($D$5:D194,"Freezer",$N$5:N194,N194))</f>
        <v>0</v>
      </c>
      <c r="W194" s="31">
        <f>IF(B194="","",IF(G194=0,"Out of stock",IF(AND(N194&lt;&gt;"",N194&lt;0),"Expired",IF(AND(N194&lt;&gt;"",N194&lt;=ExpiryWarningDays),"Use soon",IF(AND(Q194&lt;&gt;"",G194&lt;Q194),"Low stock","In stock")))))</f>
        <v>0</v>
      </c>
      <c r="X194" s="31">
        <f>IF(B194="","",IF(W194="Expired","Expired - bin it and log it on the Food Waste tab",IF(W194="Use soon","Use soon - plan a meal with it",IF(W194="Out of stock",IF(T194="Yes","Missing - staple has run out","Add - restock when convenient"),IF(W194="Low stock","Check - running low",IF(S194&lt;0,"Check - the plan needs more than you have","OK"))))))</f>
        <v>0</v>
      </c>
    </row>
    <row r="195" spans="1:24">
      <c r="A195" s="39">
        <f>IF(B195="","",PantryPrefix&amp;TEXT(ROW()-4,"0000"))</f>
        <v>0</v>
      </c>
      <c r="C195" s="17">
        <f>IF(B195="","",IFERROR(INDEX(Ingredients!$C$5:$C$304,MATCH(B195,Ingredients!$B$5:$B$304,0)),"Add to Ingredients"))</f>
        <v>0</v>
      </c>
      <c r="G195" s="45">
        <f>IF(E195="","",IFERROR(E195*INDEX(UnitFactors,MATCH(F195,UnitNames,0)),""))</f>
        <v>0</v>
      </c>
      <c r="H195" s="17">
        <f>IF(F195="","",IFERROR(INDEX(UnitBases,MATCH(F195,UnitNames,0)),"?"))</f>
        <v>0</v>
      </c>
      <c r="L195" s="18">
        <f>IF(B195="","",IFERROR(INDEX(Ingredients!$Z$5:$Z$304,MATCH(B195,Ingredients!$B$5:$B$304,0)),"Add to Ingredients"))</f>
        <v>0</v>
      </c>
      <c r="M195" s="19">
        <f>IF(K195&lt;&gt;"",K195,IF(OR(J195="",L195="",NOT(ISNUMBER(L195))),"",J195+L195))</f>
        <v>0</v>
      </c>
      <c r="N195" s="18">
        <f>IF(M195="","",M195-TODAY())</f>
        <v>0</v>
      </c>
      <c r="O195" s="25">
        <f>IF(B195="","",IFERROR(INDEX(Ingredients!$J$5:$J$304,MATCH(B195,Ingredients!$B$5:$B$304,0)),"Add to Ingredients"))</f>
        <v>0</v>
      </c>
      <c r="P195" s="25">
        <f>IF(OR(G195="",O195="",NOT(ISNUMBER(O195))),"",G195*O195)</f>
        <v>0</v>
      </c>
      <c r="R195" s="45">
        <f>IF(B195="","",IFERROR(INDEX(Ingredients!$AG$5:$AG$304,MATCH(B195,Ingredients!$B$5:$B$304,0)),0))</f>
        <v>0</v>
      </c>
      <c r="S195" s="45">
        <f>IF(G195="","",G195-IF(R195="",0,R195))</f>
        <v>0</v>
      </c>
      <c r="U195" s="18">
        <f>IF(OR(B195="",D195&lt;&gt;"Fridge",NOT(ISNUMBER(N195))),"",COUNTIFS($D$5:$D$304,"Fridge",$N$5:$N$304,"&lt;"&amp;N195)+COUNTIFS($D$5:D195,"Fridge",$N$5:N195,N195))</f>
        <v>0</v>
      </c>
      <c r="V195" s="18">
        <f>IF(OR(B195="",D195&lt;&gt;"Freezer",NOT(ISNUMBER(N195))),"",COUNTIFS($D$5:$D$304,"Freezer",$N$5:$N$304,"&lt;"&amp;N195)+COUNTIFS($D$5:D195,"Freezer",$N$5:N195,N195))</f>
        <v>0</v>
      </c>
      <c r="W195" s="31">
        <f>IF(B195="","",IF(G195=0,"Out of stock",IF(AND(N195&lt;&gt;"",N195&lt;0),"Expired",IF(AND(N195&lt;&gt;"",N195&lt;=ExpiryWarningDays),"Use soon",IF(AND(Q195&lt;&gt;"",G195&lt;Q195),"Low stock","In stock")))))</f>
        <v>0</v>
      </c>
      <c r="X195" s="31">
        <f>IF(B195="","",IF(W195="Expired","Expired - bin it and log it on the Food Waste tab",IF(W195="Use soon","Use soon - plan a meal with it",IF(W195="Out of stock",IF(T195="Yes","Missing - staple has run out","Add - restock when convenient"),IF(W195="Low stock","Check - running low",IF(S195&lt;0,"Check - the plan needs more than you have","OK"))))))</f>
        <v>0</v>
      </c>
    </row>
    <row r="196" spans="1:24">
      <c r="A196" s="39">
        <f>IF(B196="","",PantryPrefix&amp;TEXT(ROW()-4,"0000"))</f>
        <v>0</v>
      </c>
      <c r="C196" s="17">
        <f>IF(B196="","",IFERROR(INDEX(Ingredients!$C$5:$C$304,MATCH(B196,Ingredients!$B$5:$B$304,0)),"Add to Ingredients"))</f>
        <v>0</v>
      </c>
      <c r="G196" s="45">
        <f>IF(E196="","",IFERROR(E196*INDEX(UnitFactors,MATCH(F196,UnitNames,0)),""))</f>
        <v>0</v>
      </c>
      <c r="H196" s="17">
        <f>IF(F196="","",IFERROR(INDEX(UnitBases,MATCH(F196,UnitNames,0)),"?"))</f>
        <v>0</v>
      </c>
      <c r="L196" s="18">
        <f>IF(B196="","",IFERROR(INDEX(Ingredients!$Z$5:$Z$304,MATCH(B196,Ingredients!$B$5:$B$304,0)),"Add to Ingredients"))</f>
        <v>0</v>
      </c>
      <c r="M196" s="19">
        <f>IF(K196&lt;&gt;"",K196,IF(OR(J196="",L196="",NOT(ISNUMBER(L196))),"",J196+L196))</f>
        <v>0</v>
      </c>
      <c r="N196" s="18">
        <f>IF(M196="","",M196-TODAY())</f>
        <v>0</v>
      </c>
      <c r="O196" s="25">
        <f>IF(B196="","",IFERROR(INDEX(Ingredients!$J$5:$J$304,MATCH(B196,Ingredients!$B$5:$B$304,0)),"Add to Ingredients"))</f>
        <v>0</v>
      </c>
      <c r="P196" s="25">
        <f>IF(OR(G196="",O196="",NOT(ISNUMBER(O196))),"",G196*O196)</f>
        <v>0</v>
      </c>
      <c r="R196" s="45">
        <f>IF(B196="","",IFERROR(INDEX(Ingredients!$AG$5:$AG$304,MATCH(B196,Ingredients!$B$5:$B$304,0)),0))</f>
        <v>0</v>
      </c>
      <c r="S196" s="45">
        <f>IF(G196="","",G196-IF(R196="",0,R196))</f>
        <v>0</v>
      </c>
      <c r="U196" s="18">
        <f>IF(OR(B196="",D196&lt;&gt;"Fridge",NOT(ISNUMBER(N196))),"",COUNTIFS($D$5:$D$304,"Fridge",$N$5:$N$304,"&lt;"&amp;N196)+COUNTIFS($D$5:D196,"Fridge",$N$5:N196,N196))</f>
        <v>0</v>
      </c>
      <c r="V196" s="18">
        <f>IF(OR(B196="",D196&lt;&gt;"Freezer",NOT(ISNUMBER(N196))),"",COUNTIFS($D$5:$D$304,"Freezer",$N$5:$N$304,"&lt;"&amp;N196)+COUNTIFS($D$5:D196,"Freezer",$N$5:N196,N196))</f>
        <v>0</v>
      </c>
      <c r="W196" s="31">
        <f>IF(B196="","",IF(G196=0,"Out of stock",IF(AND(N196&lt;&gt;"",N196&lt;0),"Expired",IF(AND(N196&lt;&gt;"",N196&lt;=ExpiryWarningDays),"Use soon",IF(AND(Q196&lt;&gt;"",G196&lt;Q196),"Low stock","In stock")))))</f>
        <v>0</v>
      </c>
      <c r="X196" s="31">
        <f>IF(B196="","",IF(W196="Expired","Expired - bin it and log it on the Food Waste tab",IF(W196="Use soon","Use soon - plan a meal with it",IF(W196="Out of stock",IF(T196="Yes","Missing - staple has run out","Add - restock when convenient"),IF(W196="Low stock","Check - running low",IF(S196&lt;0,"Check - the plan needs more than you have","OK"))))))</f>
        <v>0</v>
      </c>
    </row>
    <row r="197" spans="1:24">
      <c r="A197" s="39">
        <f>IF(B197="","",PantryPrefix&amp;TEXT(ROW()-4,"0000"))</f>
        <v>0</v>
      </c>
      <c r="C197" s="17">
        <f>IF(B197="","",IFERROR(INDEX(Ingredients!$C$5:$C$304,MATCH(B197,Ingredients!$B$5:$B$304,0)),"Add to Ingredients"))</f>
        <v>0</v>
      </c>
      <c r="G197" s="45">
        <f>IF(E197="","",IFERROR(E197*INDEX(UnitFactors,MATCH(F197,UnitNames,0)),""))</f>
        <v>0</v>
      </c>
      <c r="H197" s="17">
        <f>IF(F197="","",IFERROR(INDEX(UnitBases,MATCH(F197,UnitNames,0)),"?"))</f>
        <v>0</v>
      </c>
      <c r="L197" s="18">
        <f>IF(B197="","",IFERROR(INDEX(Ingredients!$Z$5:$Z$304,MATCH(B197,Ingredients!$B$5:$B$304,0)),"Add to Ingredients"))</f>
        <v>0</v>
      </c>
      <c r="M197" s="19">
        <f>IF(K197&lt;&gt;"",K197,IF(OR(J197="",L197="",NOT(ISNUMBER(L197))),"",J197+L197))</f>
        <v>0</v>
      </c>
      <c r="N197" s="18">
        <f>IF(M197="","",M197-TODAY())</f>
        <v>0</v>
      </c>
      <c r="O197" s="25">
        <f>IF(B197="","",IFERROR(INDEX(Ingredients!$J$5:$J$304,MATCH(B197,Ingredients!$B$5:$B$304,0)),"Add to Ingredients"))</f>
        <v>0</v>
      </c>
      <c r="P197" s="25">
        <f>IF(OR(G197="",O197="",NOT(ISNUMBER(O197))),"",G197*O197)</f>
        <v>0</v>
      </c>
      <c r="R197" s="45">
        <f>IF(B197="","",IFERROR(INDEX(Ingredients!$AG$5:$AG$304,MATCH(B197,Ingredients!$B$5:$B$304,0)),0))</f>
        <v>0</v>
      </c>
      <c r="S197" s="45">
        <f>IF(G197="","",G197-IF(R197="",0,R197))</f>
        <v>0</v>
      </c>
      <c r="U197" s="18">
        <f>IF(OR(B197="",D197&lt;&gt;"Fridge",NOT(ISNUMBER(N197))),"",COUNTIFS($D$5:$D$304,"Fridge",$N$5:$N$304,"&lt;"&amp;N197)+COUNTIFS($D$5:D197,"Fridge",$N$5:N197,N197))</f>
        <v>0</v>
      </c>
      <c r="V197" s="18">
        <f>IF(OR(B197="",D197&lt;&gt;"Freezer",NOT(ISNUMBER(N197))),"",COUNTIFS($D$5:$D$304,"Freezer",$N$5:$N$304,"&lt;"&amp;N197)+COUNTIFS($D$5:D197,"Freezer",$N$5:N197,N197))</f>
        <v>0</v>
      </c>
      <c r="W197" s="31">
        <f>IF(B197="","",IF(G197=0,"Out of stock",IF(AND(N197&lt;&gt;"",N197&lt;0),"Expired",IF(AND(N197&lt;&gt;"",N197&lt;=ExpiryWarningDays),"Use soon",IF(AND(Q197&lt;&gt;"",G197&lt;Q197),"Low stock","In stock")))))</f>
        <v>0</v>
      </c>
      <c r="X197" s="31">
        <f>IF(B197="","",IF(W197="Expired","Expired - bin it and log it on the Food Waste tab",IF(W197="Use soon","Use soon - plan a meal with it",IF(W197="Out of stock",IF(T197="Yes","Missing - staple has run out","Add - restock when convenient"),IF(W197="Low stock","Check - running low",IF(S197&lt;0,"Check - the plan needs more than you have","OK"))))))</f>
        <v>0</v>
      </c>
    </row>
    <row r="198" spans="1:24">
      <c r="A198" s="39">
        <f>IF(B198="","",PantryPrefix&amp;TEXT(ROW()-4,"0000"))</f>
        <v>0</v>
      </c>
      <c r="C198" s="17">
        <f>IF(B198="","",IFERROR(INDEX(Ingredients!$C$5:$C$304,MATCH(B198,Ingredients!$B$5:$B$304,0)),"Add to Ingredients"))</f>
        <v>0</v>
      </c>
      <c r="G198" s="45">
        <f>IF(E198="","",IFERROR(E198*INDEX(UnitFactors,MATCH(F198,UnitNames,0)),""))</f>
        <v>0</v>
      </c>
      <c r="H198" s="17">
        <f>IF(F198="","",IFERROR(INDEX(UnitBases,MATCH(F198,UnitNames,0)),"?"))</f>
        <v>0</v>
      </c>
      <c r="L198" s="18">
        <f>IF(B198="","",IFERROR(INDEX(Ingredients!$Z$5:$Z$304,MATCH(B198,Ingredients!$B$5:$B$304,0)),"Add to Ingredients"))</f>
        <v>0</v>
      </c>
      <c r="M198" s="19">
        <f>IF(K198&lt;&gt;"",K198,IF(OR(J198="",L198="",NOT(ISNUMBER(L198))),"",J198+L198))</f>
        <v>0</v>
      </c>
      <c r="N198" s="18">
        <f>IF(M198="","",M198-TODAY())</f>
        <v>0</v>
      </c>
      <c r="O198" s="25">
        <f>IF(B198="","",IFERROR(INDEX(Ingredients!$J$5:$J$304,MATCH(B198,Ingredients!$B$5:$B$304,0)),"Add to Ingredients"))</f>
        <v>0</v>
      </c>
      <c r="P198" s="25">
        <f>IF(OR(G198="",O198="",NOT(ISNUMBER(O198))),"",G198*O198)</f>
        <v>0</v>
      </c>
      <c r="R198" s="45">
        <f>IF(B198="","",IFERROR(INDEX(Ingredients!$AG$5:$AG$304,MATCH(B198,Ingredients!$B$5:$B$304,0)),0))</f>
        <v>0</v>
      </c>
      <c r="S198" s="45">
        <f>IF(G198="","",G198-IF(R198="",0,R198))</f>
        <v>0</v>
      </c>
      <c r="U198" s="18">
        <f>IF(OR(B198="",D198&lt;&gt;"Fridge",NOT(ISNUMBER(N198))),"",COUNTIFS($D$5:$D$304,"Fridge",$N$5:$N$304,"&lt;"&amp;N198)+COUNTIFS($D$5:D198,"Fridge",$N$5:N198,N198))</f>
        <v>0</v>
      </c>
      <c r="V198" s="18">
        <f>IF(OR(B198="",D198&lt;&gt;"Freezer",NOT(ISNUMBER(N198))),"",COUNTIFS($D$5:$D$304,"Freezer",$N$5:$N$304,"&lt;"&amp;N198)+COUNTIFS($D$5:D198,"Freezer",$N$5:N198,N198))</f>
        <v>0</v>
      </c>
      <c r="W198" s="31">
        <f>IF(B198="","",IF(G198=0,"Out of stock",IF(AND(N198&lt;&gt;"",N198&lt;0),"Expired",IF(AND(N198&lt;&gt;"",N198&lt;=ExpiryWarningDays),"Use soon",IF(AND(Q198&lt;&gt;"",G198&lt;Q198),"Low stock","In stock")))))</f>
        <v>0</v>
      </c>
      <c r="X198" s="31">
        <f>IF(B198="","",IF(W198="Expired","Expired - bin it and log it on the Food Waste tab",IF(W198="Use soon","Use soon - plan a meal with it",IF(W198="Out of stock",IF(T198="Yes","Missing - staple has run out","Add - restock when convenient"),IF(W198="Low stock","Check - running low",IF(S198&lt;0,"Check - the plan needs more than you have","OK"))))))</f>
        <v>0</v>
      </c>
    </row>
    <row r="199" spans="1:24">
      <c r="A199" s="39">
        <f>IF(B199="","",PantryPrefix&amp;TEXT(ROW()-4,"0000"))</f>
        <v>0</v>
      </c>
      <c r="C199" s="17">
        <f>IF(B199="","",IFERROR(INDEX(Ingredients!$C$5:$C$304,MATCH(B199,Ingredients!$B$5:$B$304,0)),"Add to Ingredients"))</f>
        <v>0</v>
      </c>
      <c r="G199" s="45">
        <f>IF(E199="","",IFERROR(E199*INDEX(UnitFactors,MATCH(F199,UnitNames,0)),""))</f>
        <v>0</v>
      </c>
      <c r="H199" s="17">
        <f>IF(F199="","",IFERROR(INDEX(UnitBases,MATCH(F199,UnitNames,0)),"?"))</f>
        <v>0</v>
      </c>
      <c r="L199" s="18">
        <f>IF(B199="","",IFERROR(INDEX(Ingredients!$Z$5:$Z$304,MATCH(B199,Ingredients!$B$5:$B$304,0)),"Add to Ingredients"))</f>
        <v>0</v>
      </c>
      <c r="M199" s="19">
        <f>IF(K199&lt;&gt;"",K199,IF(OR(J199="",L199="",NOT(ISNUMBER(L199))),"",J199+L199))</f>
        <v>0</v>
      </c>
      <c r="N199" s="18">
        <f>IF(M199="","",M199-TODAY())</f>
        <v>0</v>
      </c>
      <c r="O199" s="25">
        <f>IF(B199="","",IFERROR(INDEX(Ingredients!$J$5:$J$304,MATCH(B199,Ingredients!$B$5:$B$304,0)),"Add to Ingredients"))</f>
        <v>0</v>
      </c>
      <c r="P199" s="25">
        <f>IF(OR(G199="",O199="",NOT(ISNUMBER(O199))),"",G199*O199)</f>
        <v>0</v>
      </c>
      <c r="R199" s="45">
        <f>IF(B199="","",IFERROR(INDEX(Ingredients!$AG$5:$AG$304,MATCH(B199,Ingredients!$B$5:$B$304,0)),0))</f>
        <v>0</v>
      </c>
      <c r="S199" s="45">
        <f>IF(G199="","",G199-IF(R199="",0,R199))</f>
        <v>0</v>
      </c>
      <c r="U199" s="18">
        <f>IF(OR(B199="",D199&lt;&gt;"Fridge",NOT(ISNUMBER(N199))),"",COUNTIFS($D$5:$D$304,"Fridge",$N$5:$N$304,"&lt;"&amp;N199)+COUNTIFS($D$5:D199,"Fridge",$N$5:N199,N199))</f>
        <v>0</v>
      </c>
      <c r="V199" s="18">
        <f>IF(OR(B199="",D199&lt;&gt;"Freezer",NOT(ISNUMBER(N199))),"",COUNTIFS($D$5:$D$304,"Freezer",$N$5:$N$304,"&lt;"&amp;N199)+COUNTIFS($D$5:D199,"Freezer",$N$5:N199,N199))</f>
        <v>0</v>
      </c>
      <c r="W199" s="31">
        <f>IF(B199="","",IF(G199=0,"Out of stock",IF(AND(N199&lt;&gt;"",N199&lt;0),"Expired",IF(AND(N199&lt;&gt;"",N199&lt;=ExpiryWarningDays),"Use soon",IF(AND(Q199&lt;&gt;"",G199&lt;Q199),"Low stock","In stock")))))</f>
        <v>0</v>
      </c>
      <c r="X199" s="31">
        <f>IF(B199="","",IF(W199="Expired","Expired - bin it and log it on the Food Waste tab",IF(W199="Use soon","Use soon - plan a meal with it",IF(W199="Out of stock",IF(T199="Yes","Missing - staple has run out","Add - restock when convenient"),IF(W199="Low stock","Check - running low",IF(S199&lt;0,"Check - the plan needs more than you have","OK"))))))</f>
        <v>0</v>
      </c>
    </row>
    <row r="200" spans="1:24">
      <c r="A200" s="39">
        <f>IF(B200="","",PantryPrefix&amp;TEXT(ROW()-4,"0000"))</f>
        <v>0</v>
      </c>
      <c r="C200" s="17">
        <f>IF(B200="","",IFERROR(INDEX(Ingredients!$C$5:$C$304,MATCH(B200,Ingredients!$B$5:$B$304,0)),"Add to Ingredients"))</f>
        <v>0</v>
      </c>
      <c r="G200" s="45">
        <f>IF(E200="","",IFERROR(E200*INDEX(UnitFactors,MATCH(F200,UnitNames,0)),""))</f>
        <v>0</v>
      </c>
      <c r="H200" s="17">
        <f>IF(F200="","",IFERROR(INDEX(UnitBases,MATCH(F200,UnitNames,0)),"?"))</f>
        <v>0</v>
      </c>
      <c r="L200" s="18">
        <f>IF(B200="","",IFERROR(INDEX(Ingredients!$Z$5:$Z$304,MATCH(B200,Ingredients!$B$5:$B$304,0)),"Add to Ingredients"))</f>
        <v>0</v>
      </c>
      <c r="M200" s="19">
        <f>IF(K200&lt;&gt;"",K200,IF(OR(J200="",L200="",NOT(ISNUMBER(L200))),"",J200+L200))</f>
        <v>0</v>
      </c>
      <c r="N200" s="18">
        <f>IF(M200="","",M200-TODAY())</f>
        <v>0</v>
      </c>
      <c r="O200" s="25">
        <f>IF(B200="","",IFERROR(INDEX(Ingredients!$J$5:$J$304,MATCH(B200,Ingredients!$B$5:$B$304,0)),"Add to Ingredients"))</f>
        <v>0</v>
      </c>
      <c r="P200" s="25">
        <f>IF(OR(G200="",O200="",NOT(ISNUMBER(O200))),"",G200*O200)</f>
        <v>0</v>
      </c>
      <c r="R200" s="45">
        <f>IF(B200="","",IFERROR(INDEX(Ingredients!$AG$5:$AG$304,MATCH(B200,Ingredients!$B$5:$B$304,0)),0))</f>
        <v>0</v>
      </c>
      <c r="S200" s="45">
        <f>IF(G200="","",G200-IF(R200="",0,R200))</f>
        <v>0</v>
      </c>
      <c r="U200" s="18">
        <f>IF(OR(B200="",D200&lt;&gt;"Fridge",NOT(ISNUMBER(N200))),"",COUNTIFS($D$5:$D$304,"Fridge",$N$5:$N$304,"&lt;"&amp;N200)+COUNTIFS($D$5:D200,"Fridge",$N$5:N200,N200))</f>
        <v>0</v>
      </c>
      <c r="V200" s="18">
        <f>IF(OR(B200="",D200&lt;&gt;"Freezer",NOT(ISNUMBER(N200))),"",COUNTIFS($D$5:$D$304,"Freezer",$N$5:$N$304,"&lt;"&amp;N200)+COUNTIFS($D$5:D200,"Freezer",$N$5:N200,N200))</f>
        <v>0</v>
      </c>
      <c r="W200" s="31">
        <f>IF(B200="","",IF(G200=0,"Out of stock",IF(AND(N200&lt;&gt;"",N200&lt;0),"Expired",IF(AND(N200&lt;&gt;"",N200&lt;=ExpiryWarningDays),"Use soon",IF(AND(Q200&lt;&gt;"",G200&lt;Q200),"Low stock","In stock")))))</f>
        <v>0</v>
      </c>
      <c r="X200" s="31">
        <f>IF(B200="","",IF(W200="Expired","Expired - bin it and log it on the Food Waste tab",IF(W200="Use soon","Use soon - plan a meal with it",IF(W200="Out of stock",IF(T200="Yes","Missing - staple has run out","Add - restock when convenient"),IF(W200="Low stock","Check - running low",IF(S200&lt;0,"Check - the plan needs more than you have","OK"))))))</f>
        <v>0</v>
      </c>
    </row>
    <row r="201" spans="1:24">
      <c r="A201" s="39">
        <f>IF(B201="","",PantryPrefix&amp;TEXT(ROW()-4,"0000"))</f>
        <v>0</v>
      </c>
      <c r="C201" s="17">
        <f>IF(B201="","",IFERROR(INDEX(Ingredients!$C$5:$C$304,MATCH(B201,Ingredients!$B$5:$B$304,0)),"Add to Ingredients"))</f>
        <v>0</v>
      </c>
      <c r="G201" s="45">
        <f>IF(E201="","",IFERROR(E201*INDEX(UnitFactors,MATCH(F201,UnitNames,0)),""))</f>
        <v>0</v>
      </c>
      <c r="H201" s="17">
        <f>IF(F201="","",IFERROR(INDEX(UnitBases,MATCH(F201,UnitNames,0)),"?"))</f>
        <v>0</v>
      </c>
      <c r="L201" s="18">
        <f>IF(B201="","",IFERROR(INDEX(Ingredients!$Z$5:$Z$304,MATCH(B201,Ingredients!$B$5:$B$304,0)),"Add to Ingredients"))</f>
        <v>0</v>
      </c>
      <c r="M201" s="19">
        <f>IF(K201&lt;&gt;"",K201,IF(OR(J201="",L201="",NOT(ISNUMBER(L201))),"",J201+L201))</f>
        <v>0</v>
      </c>
      <c r="N201" s="18">
        <f>IF(M201="","",M201-TODAY())</f>
        <v>0</v>
      </c>
      <c r="O201" s="25">
        <f>IF(B201="","",IFERROR(INDEX(Ingredients!$J$5:$J$304,MATCH(B201,Ingredients!$B$5:$B$304,0)),"Add to Ingredients"))</f>
        <v>0</v>
      </c>
      <c r="P201" s="25">
        <f>IF(OR(G201="",O201="",NOT(ISNUMBER(O201))),"",G201*O201)</f>
        <v>0</v>
      </c>
      <c r="R201" s="45">
        <f>IF(B201="","",IFERROR(INDEX(Ingredients!$AG$5:$AG$304,MATCH(B201,Ingredients!$B$5:$B$304,0)),0))</f>
        <v>0</v>
      </c>
      <c r="S201" s="45">
        <f>IF(G201="","",G201-IF(R201="",0,R201))</f>
        <v>0</v>
      </c>
      <c r="U201" s="18">
        <f>IF(OR(B201="",D201&lt;&gt;"Fridge",NOT(ISNUMBER(N201))),"",COUNTIFS($D$5:$D$304,"Fridge",$N$5:$N$304,"&lt;"&amp;N201)+COUNTIFS($D$5:D201,"Fridge",$N$5:N201,N201))</f>
        <v>0</v>
      </c>
      <c r="V201" s="18">
        <f>IF(OR(B201="",D201&lt;&gt;"Freezer",NOT(ISNUMBER(N201))),"",COUNTIFS($D$5:$D$304,"Freezer",$N$5:$N$304,"&lt;"&amp;N201)+COUNTIFS($D$5:D201,"Freezer",$N$5:N201,N201))</f>
        <v>0</v>
      </c>
      <c r="W201" s="31">
        <f>IF(B201="","",IF(G201=0,"Out of stock",IF(AND(N201&lt;&gt;"",N201&lt;0),"Expired",IF(AND(N201&lt;&gt;"",N201&lt;=ExpiryWarningDays),"Use soon",IF(AND(Q201&lt;&gt;"",G201&lt;Q201),"Low stock","In stock")))))</f>
        <v>0</v>
      </c>
      <c r="X201" s="31">
        <f>IF(B201="","",IF(W201="Expired","Expired - bin it and log it on the Food Waste tab",IF(W201="Use soon","Use soon - plan a meal with it",IF(W201="Out of stock",IF(T201="Yes","Missing - staple has run out","Add - restock when convenient"),IF(W201="Low stock","Check - running low",IF(S201&lt;0,"Check - the plan needs more than you have","OK"))))))</f>
        <v>0</v>
      </c>
    </row>
    <row r="202" spans="1:24">
      <c r="A202" s="39">
        <f>IF(B202="","",PantryPrefix&amp;TEXT(ROW()-4,"0000"))</f>
        <v>0</v>
      </c>
      <c r="C202" s="17">
        <f>IF(B202="","",IFERROR(INDEX(Ingredients!$C$5:$C$304,MATCH(B202,Ingredients!$B$5:$B$304,0)),"Add to Ingredients"))</f>
        <v>0</v>
      </c>
      <c r="G202" s="45">
        <f>IF(E202="","",IFERROR(E202*INDEX(UnitFactors,MATCH(F202,UnitNames,0)),""))</f>
        <v>0</v>
      </c>
      <c r="H202" s="17">
        <f>IF(F202="","",IFERROR(INDEX(UnitBases,MATCH(F202,UnitNames,0)),"?"))</f>
        <v>0</v>
      </c>
      <c r="L202" s="18">
        <f>IF(B202="","",IFERROR(INDEX(Ingredients!$Z$5:$Z$304,MATCH(B202,Ingredients!$B$5:$B$304,0)),"Add to Ingredients"))</f>
        <v>0</v>
      </c>
      <c r="M202" s="19">
        <f>IF(K202&lt;&gt;"",K202,IF(OR(J202="",L202="",NOT(ISNUMBER(L202))),"",J202+L202))</f>
        <v>0</v>
      </c>
      <c r="N202" s="18">
        <f>IF(M202="","",M202-TODAY())</f>
        <v>0</v>
      </c>
      <c r="O202" s="25">
        <f>IF(B202="","",IFERROR(INDEX(Ingredients!$J$5:$J$304,MATCH(B202,Ingredients!$B$5:$B$304,0)),"Add to Ingredients"))</f>
        <v>0</v>
      </c>
      <c r="P202" s="25">
        <f>IF(OR(G202="",O202="",NOT(ISNUMBER(O202))),"",G202*O202)</f>
        <v>0</v>
      </c>
      <c r="R202" s="45">
        <f>IF(B202="","",IFERROR(INDEX(Ingredients!$AG$5:$AG$304,MATCH(B202,Ingredients!$B$5:$B$304,0)),0))</f>
        <v>0</v>
      </c>
      <c r="S202" s="45">
        <f>IF(G202="","",G202-IF(R202="",0,R202))</f>
        <v>0</v>
      </c>
      <c r="U202" s="18">
        <f>IF(OR(B202="",D202&lt;&gt;"Fridge",NOT(ISNUMBER(N202))),"",COUNTIFS($D$5:$D$304,"Fridge",$N$5:$N$304,"&lt;"&amp;N202)+COUNTIFS($D$5:D202,"Fridge",$N$5:N202,N202))</f>
        <v>0</v>
      </c>
      <c r="V202" s="18">
        <f>IF(OR(B202="",D202&lt;&gt;"Freezer",NOT(ISNUMBER(N202))),"",COUNTIFS($D$5:$D$304,"Freezer",$N$5:$N$304,"&lt;"&amp;N202)+COUNTIFS($D$5:D202,"Freezer",$N$5:N202,N202))</f>
        <v>0</v>
      </c>
      <c r="W202" s="31">
        <f>IF(B202="","",IF(G202=0,"Out of stock",IF(AND(N202&lt;&gt;"",N202&lt;0),"Expired",IF(AND(N202&lt;&gt;"",N202&lt;=ExpiryWarningDays),"Use soon",IF(AND(Q202&lt;&gt;"",G202&lt;Q202),"Low stock","In stock")))))</f>
        <v>0</v>
      </c>
      <c r="X202" s="31">
        <f>IF(B202="","",IF(W202="Expired","Expired - bin it and log it on the Food Waste tab",IF(W202="Use soon","Use soon - plan a meal with it",IF(W202="Out of stock",IF(T202="Yes","Missing - staple has run out","Add - restock when convenient"),IF(W202="Low stock","Check - running low",IF(S202&lt;0,"Check - the plan needs more than you have","OK"))))))</f>
        <v>0</v>
      </c>
    </row>
    <row r="203" spans="1:24">
      <c r="A203" s="39">
        <f>IF(B203="","",PantryPrefix&amp;TEXT(ROW()-4,"0000"))</f>
        <v>0</v>
      </c>
      <c r="C203" s="17">
        <f>IF(B203="","",IFERROR(INDEX(Ingredients!$C$5:$C$304,MATCH(B203,Ingredients!$B$5:$B$304,0)),"Add to Ingredients"))</f>
        <v>0</v>
      </c>
      <c r="G203" s="45">
        <f>IF(E203="","",IFERROR(E203*INDEX(UnitFactors,MATCH(F203,UnitNames,0)),""))</f>
        <v>0</v>
      </c>
      <c r="H203" s="17">
        <f>IF(F203="","",IFERROR(INDEX(UnitBases,MATCH(F203,UnitNames,0)),"?"))</f>
        <v>0</v>
      </c>
      <c r="L203" s="18">
        <f>IF(B203="","",IFERROR(INDEX(Ingredients!$Z$5:$Z$304,MATCH(B203,Ingredients!$B$5:$B$304,0)),"Add to Ingredients"))</f>
        <v>0</v>
      </c>
      <c r="M203" s="19">
        <f>IF(K203&lt;&gt;"",K203,IF(OR(J203="",L203="",NOT(ISNUMBER(L203))),"",J203+L203))</f>
        <v>0</v>
      </c>
      <c r="N203" s="18">
        <f>IF(M203="","",M203-TODAY())</f>
        <v>0</v>
      </c>
      <c r="O203" s="25">
        <f>IF(B203="","",IFERROR(INDEX(Ingredients!$J$5:$J$304,MATCH(B203,Ingredients!$B$5:$B$304,0)),"Add to Ingredients"))</f>
        <v>0</v>
      </c>
      <c r="P203" s="25">
        <f>IF(OR(G203="",O203="",NOT(ISNUMBER(O203))),"",G203*O203)</f>
        <v>0</v>
      </c>
      <c r="R203" s="45">
        <f>IF(B203="","",IFERROR(INDEX(Ingredients!$AG$5:$AG$304,MATCH(B203,Ingredients!$B$5:$B$304,0)),0))</f>
        <v>0</v>
      </c>
      <c r="S203" s="45">
        <f>IF(G203="","",G203-IF(R203="",0,R203))</f>
        <v>0</v>
      </c>
      <c r="U203" s="18">
        <f>IF(OR(B203="",D203&lt;&gt;"Fridge",NOT(ISNUMBER(N203))),"",COUNTIFS($D$5:$D$304,"Fridge",$N$5:$N$304,"&lt;"&amp;N203)+COUNTIFS($D$5:D203,"Fridge",$N$5:N203,N203))</f>
        <v>0</v>
      </c>
      <c r="V203" s="18">
        <f>IF(OR(B203="",D203&lt;&gt;"Freezer",NOT(ISNUMBER(N203))),"",COUNTIFS($D$5:$D$304,"Freezer",$N$5:$N$304,"&lt;"&amp;N203)+COUNTIFS($D$5:D203,"Freezer",$N$5:N203,N203))</f>
        <v>0</v>
      </c>
      <c r="W203" s="31">
        <f>IF(B203="","",IF(G203=0,"Out of stock",IF(AND(N203&lt;&gt;"",N203&lt;0),"Expired",IF(AND(N203&lt;&gt;"",N203&lt;=ExpiryWarningDays),"Use soon",IF(AND(Q203&lt;&gt;"",G203&lt;Q203),"Low stock","In stock")))))</f>
        <v>0</v>
      </c>
      <c r="X203" s="31">
        <f>IF(B203="","",IF(W203="Expired","Expired - bin it and log it on the Food Waste tab",IF(W203="Use soon","Use soon - plan a meal with it",IF(W203="Out of stock",IF(T203="Yes","Missing - staple has run out","Add - restock when convenient"),IF(W203="Low stock","Check - running low",IF(S203&lt;0,"Check - the plan needs more than you have","OK"))))))</f>
        <v>0</v>
      </c>
    </row>
    <row r="204" spans="1:24">
      <c r="A204" s="39">
        <f>IF(B204="","",PantryPrefix&amp;TEXT(ROW()-4,"0000"))</f>
        <v>0</v>
      </c>
      <c r="C204" s="17">
        <f>IF(B204="","",IFERROR(INDEX(Ingredients!$C$5:$C$304,MATCH(B204,Ingredients!$B$5:$B$304,0)),"Add to Ingredients"))</f>
        <v>0</v>
      </c>
      <c r="G204" s="45">
        <f>IF(E204="","",IFERROR(E204*INDEX(UnitFactors,MATCH(F204,UnitNames,0)),""))</f>
        <v>0</v>
      </c>
      <c r="H204" s="17">
        <f>IF(F204="","",IFERROR(INDEX(UnitBases,MATCH(F204,UnitNames,0)),"?"))</f>
        <v>0</v>
      </c>
      <c r="L204" s="18">
        <f>IF(B204="","",IFERROR(INDEX(Ingredients!$Z$5:$Z$304,MATCH(B204,Ingredients!$B$5:$B$304,0)),"Add to Ingredients"))</f>
        <v>0</v>
      </c>
      <c r="M204" s="19">
        <f>IF(K204&lt;&gt;"",K204,IF(OR(J204="",L204="",NOT(ISNUMBER(L204))),"",J204+L204))</f>
        <v>0</v>
      </c>
      <c r="N204" s="18">
        <f>IF(M204="","",M204-TODAY())</f>
        <v>0</v>
      </c>
      <c r="O204" s="25">
        <f>IF(B204="","",IFERROR(INDEX(Ingredients!$J$5:$J$304,MATCH(B204,Ingredients!$B$5:$B$304,0)),"Add to Ingredients"))</f>
        <v>0</v>
      </c>
      <c r="P204" s="25">
        <f>IF(OR(G204="",O204="",NOT(ISNUMBER(O204))),"",G204*O204)</f>
        <v>0</v>
      </c>
      <c r="R204" s="45">
        <f>IF(B204="","",IFERROR(INDEX(Ingredients!$AG$5:$AG$304,MATCH(B204,Ingredients!$B$5:$B$304,0)),0))</f>
        <v>0</v>
      </c>
      <c r="S204" s="45">
        <f>IF(G204="","",G204-IF(R204="",0,R204))</f>
        <v>0</v>
      </c>
      <c r="U204" s="18">
        <f>IF(OR(B204="",D204&lt;&gt;"Fridge",NOT(ISNUMBER(N204))),"",COUNTIFS($D$5:$D$304,"Fridge",$N$5:$N$304,"&lt;"&amp;N204)+COUNTIFS($D$5:D204,"Fridge",$N$5:N204,N204))</f>
        <v>0</v>
      </c>
      <c r="V204" s="18">
        <f>IF(OR(B204="",D204&lt;&gt;"Freezer",NOT(ISNUMBER(N204))),"",COUNTIFS($D$5:$D$304,"Freezer",$N$5:$N$304,"&lt;"&amp;N204)+COUNTIFS($D$5:D204,"Freezer",$N$5:N204,N204))</f>
        <v>0</v>
      </c>
      <c r="W204" s="31">
        <f>IF(B204="","",IF(G204=0,"Out of stock",IF(AND(N204&lt;&gt;"",N204&lt;0),"Expired",IF(AND(N204&lt;&gt;"",N204&lt;=ExpiryWarningDays),"Use soon",IF(AND(Q204&lt;&gt;"",G204&lt;Q204),"Low stock","In stock")))))</f>
        <v>0</v>
      </c>
      <c r="X204" s="31">
        <f>IF(B204="","",IF(W204="Expired","Expired - bin it and log it on the Food Waste tab",IF(W204="Use soon","Use soon - plan a meal with it",IF(W204="Out of stock",IF(T204="Yes","Missing - staple has run out","Add - restock when convenient"),IF(W204="Low stock","Check - running low",IF(S204&lt;0,"Check - the plan needs more than you have","OK"))))))</f>
        <v>0</v>
      </c>
    </row>
    <row r="205" spans="1:24">
      <c r="A205" s="39">
        <f>IF(B205="","",PantryPrefix&amp;TEXT(ROW()-4,"0000"))</f>
        <v>0</v>
      </c>
      <c r="C205" s="17">
        <f>IF(B205="","",IFERROR(INDEX(Ingredients!$C$5:$C$304,MATCH(B205,Ingredients!$B$5:$B$304,0)),"Add to Ingredients"))</f>
        <v>0</v>
      </c>
      <c r="G205" s="45">
        <f>IF(E205="","",IFERROR(E205*INDEX(UnitFactors,MATCH(F205,UnitNames,0)),""))</f>
        <v>0</v>
      </c>
      <c r="H205" s="17">
        <f>IF(F205="","",IFERROR(INDEX(UnitBases,MATCH(F205,UnitNames,0)),"?"))</f>
        <v>0</v>
      </c>
      <c r="L205" s="18">
        <f>IF(B205="","",IFERROR(INDEX(Ingredients!$Z$5:$Z$304,MATCH(B205,Ingredients!$B$5:$B$304,0)),"Add to Ingredients"))</f>
        <v>0</v>
      </c>
      <c r="M205" s="19">
        <f>IF(K205&lt;&gt;"",K205,IF(OR(J205="",L205="",NOT(ISNUMBER(L205))),"",J205+L205))</f>
        <v>0</v>
      </c>
      <c r="N205" s="18">
        <f>IF(M205="","",M205-TODAY())</f>
        <v>0</v>
      </c>
      <c r="O205" s="25">
        <f>IF(B205="","",IFERROR(INDEX(Ingredients!$J$5:$J$304,MATCH(B205,Ingredients!$B$5:$B$304,0)),"Add to Ingredients"))</f>
        <v>0</v>
      </c>
      <c r="P205" s="25">
        <f>IF(OR(G205="",O205="",NOT(ISNUMBER(O205))),"",G205*O205)</f>
        <v>0</v>
      </c>
      <c r="R205" s="45">
        <f>IF(B205="","",IFERROR(INDEX(Ingredients!$AG$5:$AG$304,MATCH(B205,Ingredients!$B$5:$B$304,0)),0))</f>
        <v>0</v>
      </c>
      <c r="S205" s="45">
        <f>IF(G205="","",G205-IF(R205="",0,R205))</f>
        <v>0</v>
      </c>
      <c r="U205" s="18">
        <f>IF(OR(B205="",D205&lt;&gt;"Fridge",NOT(ISNUMBER(N205))),"",COUNTIFS($D$5:$D$304,"Fridge",$N$5:$N$304,"&lt;"&amp;N205)+COUNTIFS($D$5:D205,"Fridge",$N$5:N205,N205))</f>
        <v>0</v>
      </c>
      <c r="V205" s="18">
        <f>IF(OR(B205="",D205&lt;&gt;"Freezer",NOT(ISNUMBER(N205))),"",COUNTIFS($D$5:$D$304,"Freezer",$N$5:$N$304,"&lt;"&amp;N205)+COUNTIFS($D$5:D205,"Freezer",$N$5:N205,N205))</f>
        <v>0</v>
      </c>
      <c r="W205" s="31">
        <f>IF(B205="","",IF(G205=0,"Out of stock",IF(AND(N205&lt;&gt;"",N205&lt;0),"Expired",IF(AND(N205&lt;&gt;"",N205&lt;=ExpiryWarningDays),"Use soon",IF(AND(Q205&lt;&gt;"",G205&lt;Q205),"Low stock","In stock")))))</f>
        <v>0</v>
      </c>
      <c r="X205" s="31">
        <f>IF(B205="","",IF(W205="Expired","Expired - bin it and log it on the Food Waste tab",IF(W205="Use soon","Use soon - plan a meal with it",IF(W205="Out of stock",IF(T205="Yes","Missing - staple has run out","Add - restock when convenient"),IF(W205="Low stock","Check - running low",IF(S205&lt;0,"Check - the plan needs more than you have","OK"))))))</f>
        <v>0</v>
      </c>
    </row>
    <row r="206" spans="1:24">
      <c r="A206" s="39">
        <f>IF(B206="","",PantryPrefix&amp;TEXT(ROW()-4,"0000"))</f>
        <v>0</v>
      </c>
      <c r="C206" s="17">
        <f>IF(B206="","",IFERROR(INDEX(Ingredients!$C$5:$C$304,MATCH(B206,Ingredients!$B$5:$B$304,0)),"Add to Ingredients"))</f>
        <v>0</v>
      </c>
      <c r="G206" s="45">
        <f>IF(E206="","",IFERROR(E206*INDEX(UnitFactors,MATCH(F206,UnitNames,0)),""))</f>
        <v>0</v>
      </c>
      <c r="H206" s="17">
        <f>IF(F206="","",IFERROR(INDEX(UnitBases,MATCH(F206,UnitNames,0)),"?"))</f>
        <v>0</v>
      </c>
      <c r="L206" s="18">
        <f>IF(B206="","",IFERROR(INDEX(Ingredients!$Z$5:$Z$304,MATCH(B206,Ingredients!$B$5:$B$304,0)),"Add to Ingredients"))</f>
        <v>0</v>
      </c>
      <c r="M206" s="19">
        <f>IF(K206&lt;&gt;"",K206,IF(OR(J206="",L206="",NOT(ISNUMBER(L206))),"",J206+L206))</f>
        <v>0</v>
      </c>
      <c r="N206" s="18">
        <f>IF(M206="","",M206-TODAY())</f>
        <v>0</v>
      </c>
      <c r="O206" s="25">
        <f>IF(B206="","",IFERROR(INDEX(Ingredients!$J$5:$J$304,MATCH(B206,Ingredients!$B$5:$B$304,0)),"Add to Ingredients"))</f>
        <v>0</v>
      </c>
      <c r="P206" s="25">
        <f>IF(OR(G206="",O206="",NOT(ISNUMBER(O206))),"",G206*O206)</f>
        <v>0</v>
      </c>
      <c r="R206" s="45">
        <f>IF(B206="","",IFERROR(INDEX(Ingredients!$AG$5:$AG$304,MATCH(B206,Ingredients!$B$5:$B$304,0)),0))</f>
        <v>0</v>
      </c>
      <c r="S206" s="45">
        <f>IF(G206="","",G206-IF(R206="",0,R206))</f>
        <v>0</v>
      </c>
      <c r="U206" s="18">
        <f>IF(OR(B206="",D206&lt;&gt;"Fridge",NOT(ISNUMBER(N206))),"",COUNTIFS($D$5:$D$304,"Fridge",$N$5:$N$304,"&lt;"&amp;N206)+COUNTIFS($D$5:D206,"Fridge",$N$5:N206,N206))</f>
        <v>0</v>
      </c>
      <c r="V206" s="18">
        <f>IF(OR(B206="",D206&lt;&gt;"Freezer",NOT(ISNUMBER(N206))),"",COUNTIFS($D$5:$D$304,"Freezer",$N$5:$N$304,"&lt;"&amp;N206)+COUNTIFS($D$5:D206,"Freezer",$N$5:N206,N206))</f>
        <v>0</v>
      </c>
      <c r="W206" s="31">
        <f>IF(B206="","",IF(G206=0,"Out of stock",IF(AND(N206&lt;&gt;"",N206&lt;0),"Expired",IF(AND(N206&lt;&gt;"",N206&lt;=ExpiryWarningDays),"Use soon",IF(AND(Q206&lt;&gt;"",G206&lt;Q206),"Low stock","In stock")))))</f>
        <v>0</v>
      </c>
      <c r="X206" s="31">
        <f>IF(B206="","",IF(W206="Expired","Expired - bin it and log it on the Food Waste tab",IF(W206="Use soon","Use soon - plan a meal with it",IF(W206="Out of stock",IF(T206="Yes","Missing - staple has run out","Add - restock when convenient"),IF(W206="Low stock","Check - running low",IF(S206&lt;0,"Check - the plan needs more than you have","OK"))))))</f>
        <v>0</v>
      </c>
    </row>
    <row r="207" spans="1:24">
      <c r="A207" s="39">
        <f>IF(B207="","",PantryPrefix&amp;TEXT(ROW()-4,"0000"))</f>
        <v>0</v>
      </c>
      <c r="C207" s="17">
        <f>IF(B207="","",IFERROR(INDEX(Ingredients!$C$5:$C$304,MATCH(B207,Ingredients!$B$5:$B$304,0)),"Add to Ingredients"))</f>
        <v>0</v>
      </c>
      <c r="G207" s="45">
        <f>IF(E207="","",IFERROR(E207*INDEX(UnitFactors,MATCH(F207,UnitNames,0)),""))</f>
        <v>0</v>
      </c>
      <c r="H207" s="17">
        <f>IF(F207="","",IFERROR(INDEX(UnitBases,MATCH(F207,UnitNames,0)),"?"))</f>
        <v>0</v>
      </c>
      <c r="L207" s="18">
        <f>IF(B207="","",IFERROR(INDEX(Ingredients!$Z$5:$Z$304,MATCH(B207,Ingredients!$B$5:$B$304,0)),"Add to Ingredients"))</f>
        <v>0</v>
      </c>
      <c r="M207" s="19">
        <f>IF(K207&lt;&gt;"",K207,IF(OR(J207="",L207="",NOT(ISNUMBER(L207))),"",J207+L207))</f>
        <v>0</v>
      </c>
      <c r="N207" s="18">
        <f>IF(M207="","",M207-TODAY())</f>
        <v>0</v>
      </c>
      <c r="O207" s="25">
        <f>IF(B207="","",IFERROR(INDEX(Ingredients!$J$5:$J$304,MATCH(B207,Ingredients!$B$5:$B$304,0)),"Add to Ingredients"))</f>
        <v>0</v>
      </c>
      <c r="P207" s="25">
        <f>IF(OR(G207="",O207="",NOT(ISNUMBER(O207))),"",G207*O207)</f>
        <v>0</v>
      </c>
      <c r="R207" s="45">
        <f>IF(B207="","",IFERROR(INDEX(Ingredients!$AG$5:$AG$304,MATCH(B207,Ingredients!$B$5:$B$304,0)),0))</f>
        <v>0</v>
      </c>
      <c r="S207" s="45">
        <f>IF(G207="","",G207-IF(R207="",0,R207))</f>
        <v>0</v>
      </c>
      <c r="U207" s="18">
        <f>IF(OR(B207="",D207&lt;&gt;"Fridge",NOT(ISNUMBER(N207))),"",COUNTIFS($D$5:$D$304,"Fridge",$N$5:$N$304,"&lt;"&amp;N207)+COUNTIFS($D$5:D207,"Fridge",$N$5:N207,N207))</f>
        <v>0</v>
      </c>
      <c r="V207" s="18">
        <f>IF(OR(B207="",D207&lt;&gt;"Freezer",NOT(ISNUMBER(N207))),"",COUNTIFS($D$5:$D$304,"Freezer",$N$5:$N$304,"&lt;"&amp;N207)+COUNTIFS($D$5:D207,"Freezer",$N$5:N207,N207))</f>
        <v>0</v>
      </c>
      <c r="W207" s="31">
        <f>IF(B207="","",IF(G207=0,"Out of stock",IF(AND(N207&lt;&gt;"",N207&lt;0),"Expired",IF(AND(N207&lt;&gt;"",N207&lt;=ExpiryWarningDays),"Use soon",IF(AND(Q207&lt;&gt;"",G207&lt;Q207),"Low stock","In stock")))))</f>
        <v>0</v>
      </c>
      <c r="X207" s="31">
        <f>IF(B207="","",IF(W207="Expired","Expired - bin it and log it on the Food Waste tab",IF(W207="Use soon","Use soon - plan a meal with it",IF(W207="Out of stock",IF(T207="Yes","Missing - staple has run out","Add - restock when convenient"),IF(W207="Low stock","Check - running low",IF(S207&lt;0,"Check - the plan needs more than you have","OK"))))))</f>
        <v>0</v>
      </c>
    </row>
    <row r="208" spans="1:24">
      <c r="A208" s="39">
        <f>IF(B208="","",PantryPrefix&amp;TEXT(ROW()-4,"0000"))</f>
        <v>0</v>
      </c>
      <c r="C208" s="17">
        <f>IF(B208="","",IFERROR(INDEX(Ingredients!$C$5:$C$304,MATCH(B208,Ingredients!$B$5:$B$304,0)),"Add to Ingredients"))</f>
        <v>0</v>
      </c>
      <c r="G208" s="45">
        <f>IF(E208="","",IFERROR(E208*INDEX(UnitFactors,MATCH(F208,UnitNames,0)),""))</f>
        <v>0</v>
      </c>
      <c r="H208" s="17">
        <f>IF(F208="","",IFERROR(INDEX(UnitBases,MATCH(F208,UnitNames,0)),"?"))</f>
        <v>0</v>
      </c>
      <c r="L208" s="18">
        <f>IF(B208="","",IFERROR(INDEX(Ingredients!$Z$5:$Z$304,MATCH(B208,Ingredients!$B$5:$B$304,0)),"Add to Ingredients"))</f>
        <v>0</v>
      </c>
      <c r="M208" s="19">
        <f>IF(K208&lt;&gt;"",K208,IF(OR(J208="",L208="",NOT(ISNUMBER(L208))),"",J208+L208))</f>
        <v>0</v>
      </c>
      <c r="N208" s="18">
        <f>IF(M208="","",M208-TODAY())</f>
        <v>0</v>
      </c>
      <c r="O208" s="25">
        <f>IF(B208="","",IFERROR(INDEX(Ingredients!$J$5:$J$304,MATCH(B208,Ingredients!$B$5:$B$304,0)),"Add to Ingredients"))</f>
        <v>0</v>
      </c>
      <c r="P208" s="25">
        <f>IF(OR(G208="",O208="",NOT(ISNUMBER(O208))),"",G208*O208)</f>
        <v>0</v>
      </c>
      <c r="R208" s="45">
        <f>IF(B208="","",IFERROR(INDEX(Ingredients!$AG$5:$AG$304,MATCH(B208,Ingredients!$B$5:$B$304,0)),0))</f>
        <v>0</v>
      </c>
      <c r="S208" s="45">
        <f>IF(G208="","",G208-IF(R208="",0,R208))</f>
        <v>0</v>
      </c>
      <c r="U208" s="18">
        <f>IF(OR(B208="",D208&lt;&gt;"Fridge",NOT(ISNUMBER(N208))),"",COUNTIFS($D$5:$D$304,"Fridge",$N$5:$N$304,"&lt;"&amp;N208)+COUNTIFS($D$5:D208,"Fridge",$N$5:N208,N208))</f>
        <v>0</v>
      </c>
      <c r="V208" s="18">
        <f>IF(OR(B208="",D208&lt;&gt;"Freezer",NOT(ISNUMBER(N208))),"",COUNTIFS($D$5:$D$304,"Freezer",$N$5:$N$304,"&lt;"&amp;N208)+COUNTIFS($D$5:D208,"Freezer",$N$5:N208,N208))</f>
        <v>0</v>
      </c>
      <c r="W208" s="31">
        <f>IF(B208="","",IF(G208=0,"Out of stock",IF(AND(N208&lt;&gt;"",N208&lt;0),"Expired",IF(AND(N208&lt;&gt;"",N208&lt;=ExpiryWarningDays),"Use soon",IF(AND(Q208&lt;&gt;"",G208&lt;Q208),"Low stock","In stock")))))</f>
        <v>0</v>
      </c>
      <c r="X208" s="31">
        <f>IF(B208="","",IF(W208="Expired","Expired - bin it and log it on the Food Waste tab",IF(W208="Use soon","Use soon - plan a meal with it",IF(W208="Out of stock",IF(T208="Yes","Missing - staple has run out","Add - restock when convenient"),IF(W208="Low stock","Check - running low",IF(S208&lt;0,"Check - the plan needs more than you have","OK"))))))</f>
        <v>0</v>
      </c>
    </row>
    <row r="209" spans="1:24">
      <c r="A209" s="39">
        <f>IF(B209="","",PantryPrefix&amp;TEXT(ROW()-4,"0000"))</f>
        <v>0</v>
      </c>
      <c r="C209" s="17">
        <f>IF(B209="","",IFERROR(INDEX(Ingredients!$C$5:$C$304,MATCH(B209,Ingredients!$B$5:$B$304,0)),"Add to Ingredients"))</f>
        <v>0</v>
      </c>
      <c r="G209" s="45">
        <f>IF(E209="","",IFERROR(E209*INDEX(UnitFactors,MATCH(F209,UnitNames,0)),""))</f>
        <v>0</v>
      </c>
      <c r="H209" s="17">
        <f>IF(F209="","",IFERROR(INDEX(UnitBases,MATCH(F209,UnitNames,0)),"?"))</f>
        <v>0</v>
      </c>
      <c r="L209" s="18">
        <f>IF(B209="","",IFERROR(INDEX(Ingredients!$Z$5:$Z$304,MATCH(B209,Ingredients!$B$5:$B$304,0)),"Add to Ingredients"))</f>
        <v>0</v>
      </c>
      <c r="M209" s="19">
        <f>IF(K209&lt;&gt;"",K209,IF(OR(J209="",L209="",NOT(ISNUMBER(L209))),"",J209+L209))</f>
        <v>0</v>
      </c>
      <c r="N209" s="18">
        <f>IF(M209="","",M209-TODAY())</f>
        <v>0</v>
      </c>
      <c r="O209" s="25">
        <f>IF(B209="","",IFERROR(INDEX(Ingredients!$J$5:$J$304,MATCH(B209,Ingredients!$B$5:$B$304,0)),"Add to Ingredients"))</f>
        <v>0</v>
      </c>
      <c r="P209" s="25">
        <f>IF(OR(G209="",O209="",NOT(ISNUMBER(O209))),"",G209*O209)</f>
        <v>0</v>
      </c>
      <c r="R209" s="45">
        <f>IF(B209="","",IFERROR(INDEX(Ingredients!$AG$5:$AG$304,MATCH(B209,Ingredients!$B$5:$B$304,0)),0))</f>
        <v>0</v>
      </c>
      <c r="S209" s="45">
        <f>IF(G209="","",G209-IF(R209="",0,R209))</f>
        <v>0</v>
      </c>
      <c r="U209" s="18">
        <f>IF(OR(B209="",D209&lt;&gt;"Fridge",NOT(ISNUMBER(N209))),"",COUNTIFS($D$5:$D$304,"Fridge",$N$5:$N$304,"&lt;"&amp;N209)+COUNTIFS($D$5:D209,"Fridge",$N$5:N209,N209))</f>
        <v>0</v>
      </c>
      <c r="V209" s="18">
        <f>IF(OR(B209="",D209&lt;&gt;"Freezer",NOT(ISNUMBER(N209))),"",COUNTIFS($D$5:$D$304,"Freezer",$N$5:$N$304,"&lt;"&amp;N209)+COUNTIFS($D$5:D209,"Freezer",$N$5:N209,N209))</f>
        <v>0</v>
      </c>
      <c r="W209" s="31">
        <f>IF(B209="","",IF(G209=0,"Out of stock",IF(AND(N209&lt;&gt;"",N209&lt;0),"Expired",IF(AND(N209&lt;&gt;"",N209&lt;=ExpiryWarningDays),"Use soon",IF(AND(Q209&lt;&gt;"",G209&lt;Q209),"Low stock","In stock")))))</f>
        <v>0</v>
      </c>
      <c r="X209" s="31">
        <f>IF(B209="","",IF(W209="Expired","Expired - bin it and log it on the Food Waste tab",IF(W209="Use soon","Use soon - plan a meal with it",IF(W209="Out of stock",IF(T209="Yes","Missing - staple has run out","Add - restock when convenient"),IF(W209="Low stock","Check - running low",IF(S209&lt;0,"Check - the plan needs more than you have","OK"))))))</f>
        <v>0</v>
      </c>
    </row>
    <row r="210" spans="1:24">
      <c r="A210" s="39">
        <f>IF(B210="","",PantryPrefix&amp;TEXT(ROW()-4,"0000"))</f>
        <v>0</v>
      </c>
      <c r="C210" s="17">
        <f>IF(B210="","",IFERROR(INDEX(Ingredients!$C$5:$C$304,MATCH(B210,Ingredients!$B$5:$B$304,0)),"Add to Ingredients"))</f>
        <v>0</v>
      </c>
      <c r="G210" s="45">
        <f>IF(E210="","",IFERROR(E210*INDEX(UnitFactors,MATCH(F210,UnitNames,0)),""))</f>
        <v>0</v>
      </c>
      <c r="H210" s="17">
        <f>IF(F210="","",IFERROR(INDEX(UnitBases,MATCH(F210,UnitNames,0)),"?"))</f>
        <v>0</v>
      </c>
      <c r="L210" s="18">
        <f>IF(B210="","",IFERROR(INDEX(Ingredients!$Z$5:$Z$304,MATCH(B210,Ingredients!$B$5:$B$304,0)),"Add to Ingredients"))</f>
        <v>0</v>
      </c>
      <c r="M210" s="19">
        <f>IF(K210&lt;&gt;"",K210,IF(OR(J210="",L210="",NOT(ISNUMBER(L210))),"",J210+L210))</f>
        <v>0</v>
      </c>
      <c r="N210" s="18">
        <f>IF(M210="","",M210-TODAY())</f>
        <v>0</v>
      </c>
      <c r="O210" s="25">
        <f>IF(B210="","",IFERROR(INDEX(Ingredients!$J$5:$J$304,MATCH(B210,Ingredients!$B$5:$B$304,0)),"Add to Ingredients"))</f>
        <v>0</v>
      </c>
      <c r="P210" s="25">
        <f>IF(OR(G210="",O210="",NOT(ISNUMBER(O210))),"",G210*O210)</f>
        <v>0</v>
      </c>
      <c r="R210" s="45">
        <f>IF(B210="","",IFERROR(INDEX(Ingredients!$AG$5:$AG$304,MATCH(B210,Ingredients!$B$5:$B$304,0)),0))</f>
        <v>0</v>
      </c>
      <c r="S210" s="45">
        <f>IF(G210="","",G210-IF(R210="",0,R210))</f>
        <v>0</v>
      </c>
      <c r="U210" s="18">
        <f>IF(OR(B210="",D210&lt;&gt;"Fridge",NOT(ISNUMBER(N210))),"",COUNTIFS($D$5:$D$304,"Fridge",$N$5:$N$304,"&lt;"&amp;N210)+COUNTIFS($D$5:D210,"Fridge",$N$5:N210,N210))</f>
        <v>0</v>
      </c>
      <c r="V210" s="18">
        <f>IF(OR(B210="",D210&lt;&gt;"Freezer",NOT(ISNUMBER(N210))),"",COUNTIFS($D$5:$D$304,"Freezer",$N$5:$N$304,"&lt;"&amp;N210)+COUNTIFS($D$5:D210,"Freezer",$N$5:N210,N210))</f>
        <v>0</v>
      </c>
      <c r="W210" s="31">
        <f>IF(B210="","",IF(G210=0,"Out of stock",IF(AND(N210&lt;&gt;"",N210&lt;0),"Expired",IF(AND(N210&lt;&gt;"",N210&lt;=ExpiryWarningDays),"Use soon",IF(AND(Q210&lt;&gt;"",G210&lt;Q210),"Low stock","In stock")))))</f>
        <v>0</v>
      </c>
      <c r="X210" s="31">
        <f>IF(B210="","",IF(W210="Expired","Expired - bin it and log it on the Food Waste tab",IF(W210="Use soon","Use soon - plan a meal with it",IF(W210="Out of stock",IF(T210="Yes","Missing - staple has run out","Add - restock when convenient"),IF(W210="Low stock","Check - running low",IF(S210&lt;0,"Check - the plan needs more than you have","OK"))))))</f>
        <v>0</v>
      </c>
    </row>
    <row r="211" spans="1:24">
      <c r="A211" s="39">
        <f>IF(B211="","",PantryPrefix&amp;TEXT(ROW()-4,"0000"))</f>
        <v>0</v>
      </c>
      <c r="C211" s="17">
        <f>IF(B211="","",IFERROR(INDEX(Ingredients!$C$5:$C$304,MATCH(B211,Ingredients!$B$5:$B$304,0)),"Add to Ingredients"))</f>
        <v>0</v>
      </c>
      <c r="G211" s="45">
        <f>IF(E211="","",IFERROR(E211*INDEX(UnitFactors,MATCH(F211,UnitNames,0)),""))</f>
        <v>0</v>
      </c>
      <c r="H211" s="17">
        <f>IF(F211="","",IFERROR(INDEX(UnitBases,MATCH(F211,UnitNames,0)),"?"))</f>
        <v>0</v>
      </c>
      <c r="L211" s="18">
        <f>IF(B211="","",IFERROR(INDEX(Ingredients!$Z$5:$Z$304,MATCH(B211,Ingredients!$B$5:$B$304,0)),"Add to Ingredients"))</f>
        <v>0</v>
      </c>
      <c r="M211" s="19">
        <f>IF(K211&lt;&gt;"",K211,IF(OR(J211="",L211="",NOT(ISNUMBER(L211))),"",J211+L211))</f>
        <v>0</v>
      </c>
      <c r="N211" s="18">
        <f>IF(M211="","",M211-TODAY())</f>
        <v>0</v>
      </c>
      <c r="O211" s="25">
        <f>IF(B211="","",IFERROR(INDEX(Ingredients!$J$5:$J$304,MATCH(B211,Ingredients!$B$5:$B$304,0)),"Add to Ingredients"))</f>
        <v>0</v>
      </c>
      <c r="P211" s="25">
        <f>IF(OR(G211="",O211="",NOT(ISNUMBER(O211))),"",G211*O211)</f>
        <v>0</v>
      </c>
      <c r="R211" s="45">
        <f>IF(B211="","",IFERROR(INDEX(Ingredients!$AG$5:$AG$304,MATCH(B211,Ingredients!$B$5:$B$304,0)),0))</f>
        <v>0</v>
      </c>
      <c r="S211" s="45">
        <f>IF(G211="","",G211-IF(R211="",0,R211))</f>
        <v>0</v>
      </c>
      <c r="U211" s="18">
        <f>IF(OR(B211="",D211&lt;&gt;"Fridge",NOT(ISNUMBER(N211))),"",COUNTIFS($D$5:$D$304,"Fridge",$N$5:$N$304,"&lt;"&amp;N211)+COUNTIFS($D$5:D211,"Fridge",$N$5:N211,N211))</f>
        <v>0</v>
      </c>
      <c r="V211" s="18">
        <f>IF(OR(B211="",D211&lt;&gt;"Freezer",NOT(ISNUMBER(N211))),"",COUNTIFS($D$5:$D$304,"Freezer",$N$5:$N$304,"&lt;"&amp;N211)+COUNTIFS($D$5:D211,"Freezer",$N$5:N211,N211))</f>
        <v>0</v>
      </c>
      <c r="W211" s="31">
        <f>IF(B211="","",IF(G211=0,"Out of stock",IF(AND(N211&lt;&gt;"",N211&lt;0),"Expired",IF(AND(N211&lt;&gt;"",N211&lt;=ExpiryWarningDays),"Use soon",IF(AND(Q211&lt;&gt;"",G211&lt;Q211),"Low stock","In stock")))))</f>
        <v>0</v>
      </c>
      <c r="X211" s="31">
        <f>IF(B211="","",IF(W211="Expired","Expired - bin it and log it on the Food Waste tab",IF(W211="Use soon","Use soon - plan a meal with it",IF(W211="Out of stock",IF(T211="Yes","Missing - staple has run out","Add - restock when convenient"),IF(W211="Low stock","Check - running low",IF(S211&lt;0,"Check - the plan needs more than you have","OK"))))))</f>
        <v>0</v>
      </c>
    </row>
    <row r="212" spans="1:24">
      <c r="A212" s="39">
        <f>IF(B212="","",PantryPrefix&amp;TEXT(ROW()-4,"0000"))</f>
        <v>0</v>
      </c>
      <c r="C212" s="17">
        <f>IF(B212="","",IFERROR(INDEX(Ingredients!$C$5:$C$304,MATCH(B212,Ingredients!$B$5:$B$304,0)),"Add to Ingredients"))</f>
        <v>0</v>
      </c>
      <c r="G212" s="45">
        <f>IF(E212="","",IFERROR(E212*INDEX(UnitFactors,MATCH(F212,UnitNames,0)),""))</f>
        <v>0</v>
      </c>
      <c r="H212" s="17">
        <f>IF(F212="","",IFERROR(INDEX(UnitBases,MATCH(F212,UnitNames,0)),"?"))</f>
        <v>0</v>
      </c>
      <c r="L212" s="18">
        <f>IF(B212="","",IFERROR(INDEX(Ingredients!$Z$5:$Z$304,MATCH(B212,Ingredients!$B$5:$B$304,0)),"Add to Ingredients"))</f>
        <v>0</v>
      </c>
      <c r="M212" s="19">
        <f>IF(K212&lt;&gt;"",K212,IF(OR(J212="",L212="",NOT(ISNUMBER(L212))),"",J212+L212))</f>
        <v>0</v>
      </c>
      <c r="N212" s="18">
        <f>IF(M212="","",M212-TODAY())</f>
        <v>0</v>
      </c>
      <c r="O212" s="25">
        <f>IF(B212="","",IFERROR(INDEX(Ingredients!$J$5:$J$304,MATCH(B212,Ingredients!$B$5:$B$304,0)),"Add to Ingredients"))</f>
        <v>0</v>
      </c>
      <c r="P212" s="25">
        <f>IF(OR(G212="",O212="",NOT(ISNUMBER(O212))),"",G212*O212)</f>
        <v>0</v>
      </c>
      <c r="R212" s="45">
        <f>IF(B212="","",IFERROR(INDEX(Ingredients!$AG$5:$AG$304,MATCH(B212,Ingredients!$B$5:$B$304,0)),0))</f>
        <v>0</v>
      </c>
      <c r="S212" s="45">
        <f>IF(G212="","",G212-IF(R212="",0,R212))</f>
        <v>0</v>
      </c>
      <c r="U212" s="18">
        <f>IF(OR(B212="",D212&lt;&gt;"Fridge",NOT(ISNUMBER(N212))),"",COUNTIFS($D$5:$D$304,"Fridge",$N$5:$N$304,"&lt;"&amp;N212)+COUNTIFS($D$5:D212,"Fridge",$N$5:N212,N212))</f>
        <v>0</v>
      </c>
      <c r="V212" s="18">
        <f>IF(OR(B212="",D212&lt;&gt;"Freezer",NOT(ISNUMBER(N212))),"",COUNTIFS($D$5:$D$304,"Freezer",$N$5:$N$304,"&lt;"&amp;N212)+COUNTIFS($D$5:D212,"Freezer",$N$5:N212,N212))</f>
        <v>0</v>
      </c>
      <c r="W212" s="31">
        <f>IF(B212="","",IF(G212=0,"Out of stock",IF(AND(N212&lt;&gt;"",N212&lt;0),"Expired",IF(AND(N212&lt;&gt;"",N212&lt;=ExpiryWarningDays),"Use soon",IF(AND(Q212&lt;&gt;"",G212&lt;Q212),"Low stock","In stock")))))</f>
        <v>0</v>
      </c>
      <c r="X212" s="31">
        <f>IF(B212="","",IF(W212="Expired","Expired - bin it and log it on the Food Waste tab",IF(W212="Use soon","Use soon - plan a meal with it",IF(W212="Out of stock",IF(T212="Yes","Missing - staple has run out","Add - restock when convenient"),IF(W212="Low stock","Check - running low",IF(S212&lt;0,"Check - the plan needs more than you have","OK"))))))</f>
        <v>0</v>
      </c>
    </row>
    <row r="213" spans="1:24">
      <c r="A213" s="39">
        <f>IF(B213="","",PantryPrefix&amp;TEXT(ROW()-4,"0000"))</f>
        <v>0</v>
      </c>
      <c r="C213" s="17">
        <f>IF(B213="","",IFERROR(INDEX(Ingredients!$C$5:$C$304,MATCH(B213,Ingredients!$B$5:$B$304,0)),"Add to Ingredients"))</f>
        <v>0</v>
      </c>
      <c r="G213" s="45">
        <f>IF(E213="","",IFERROR(E213*INDEX(UnitFactors,MATCH(F213,UnitNames,0)),""))</f>
        <v>0</v>
      </c>
      <c r="H213" s="17">
        <f>IF(F213="","",IFERROR(INDEX(UnitBases,MATCH(F213,UnitNames,0)),"?"))</f>
        <v>0</v>
      </c>
      <c r="L213" s="18">
        <f>IF(B213="","",IFERROR(INDEX(Ingredients!$Z$5:$Z$304,MATCH(B213,Ingredients!$B$5:$B$304,0)),"Add to Ingredients"))</f>
        <v>0</v>
      </c>
      <c r="M213" s="19">
        <f>IF(K213&lt;&gt;"",K213,IF(OR(J213="",L213="",NOT(ISNUMBER(L213))),"",J213+L213))</f>
        <v>0</v>
      </c>
      <c r="N213" s="18">
        <f>IF(M213="","",M213-TODAY())</f>
        <v>0</v>
      </c>
      <c r="O213" s="25">
        <f>IF(B213="","",IFERROR(INDEX(Ingredients!$J$5:$J$304,MATCH(B213,Ingredients!$B$5:$B$304,0)),"Add to Ingredients"))</f>
        <v>0</v>
      </c>
      <c r="P213" s="25">
        <f>IF(OR(G213="",O213="",NOT(ISNUMBER(O213))),"",G213*O213)</f>
        <v>0</v>
      </c>
      <c r="R213" s="45">
        <f>IF(B213="","",IFERROR(INDEX(Ingredients!$AG$5:$AG$304,MATCH(B213,Ingredients!$B$5:$B$304,0)),0))</f>
        <v>0</v>
      </c>
      <c r="S213" s="45">
        <f>IF(G213="","",G213-IF(R213="",0,R213))</f>
        <v>0</v>
      </c>
      <c r="U213" s="18">
        <f>IF(OR(B213="",D213&lt;&gt;"Fridge",NOT(ISNUMBER(N213))),"",COUNTIFS($D$5:$D$304,"Fridge",$N$5:$N$304,"&lt;"&amp;N213)+COUNTIFS($D$5:D213,"Fridge",$N$5:N213,N213))</f>
        <v>0</v>
      </c>
      <c r="V213" s="18">
        <f>IF(OR(B213="",D213&lt;&gt;"Freezer",NOT(ISNUMBER(N213))),"",COUNTIFS($D$5:$D$304,"Freezer",$N$5:$N$304,"&lt;"&amp;N213)+COUNTIFS($D$5:D213,"Freezer",$N$5:N213,N213))</f>
        <v>0</v>
      </c>
      <c r="W213" s="31">
        <f>IF(B213="","",IF(G213=0,"Out of stock",IF(AND(N213&lt;&gt;"",N213&lt;0),"Expired",IF(AND(N213&lt;&gt;"",N213&lt;=ExpiryWarningDays),"Use soon",IF(AND(Q213&lt;&gt;"",G213&lt;Q213),"Low stock","In stock")))))</f>
        <v>0</v>
      </c>
      <c r="X213" s="31">
        <f>IF(B213="","",IF(W213="Expired","Expired - bin it and log it on the Food Waste tab",IF(W213="Use soon","Use soon - plan a meal with it",IF(W213="Out of stock",IF(T213="Yes","Missing - staple has run out","Add - restock when convenient"),IF(W213="Low stock","Check - running low",IF(S213&lt;0,"Check - the plan needs more than you have","OK"))))))</f>
        <v>0</v>
      </c>
    </row>
    <row r="214" spans="1:24">
      <c r="A214" s="39">
        <f>IF(B214="","",PantryPrefix&amp;TEXT(ROW()-4,"0000"))</f>
        <v>0</v>
      </c>
      <c r="C214" s="17">
        <f>IF(B214="","",IFERROR(INDEX(Ingredients!$C$5:$C$304,MATCH(B214,Ingredients!$B$5:$B$304,0)),"Add to Ingredients"))</f>
        <v>0</v>
      </c>
      <c r="G214" s="45">
        <f>IF(E214="","",IFERROR(E214*INDEX(UnitFactors,MATCH(F214,UnitNames,0)),""))</f>
        <v>0</v>
      </c>
      <c r="H214" s="17">
        <f>IF(F214="","",IFERROR(INDEX(UnitBases,MATCH(F214,UnitNames,0)),"?"))</f>
        <v>0</v>
      </c>
      <c r="L214" s="18">
        <f>IF(B214="","",IFERROR(INDEX(Ingredients!$Z$5:$Z$304,MATCH(B214,Ingredients!$B$5:$B$304,0)),"Add to Ingredients"))</f>
        <v>0</v>
      </c>
      <c r="M214" s="19">
        <f>IF(K214&lt;&gt;"",K214,IF(OR(J214="",L214="",NOT(ISNUMBER(L214))),"",J214+L214))</f>
        <v>0</v>
      </c>
      <c r="N214" s="18">
        <f>IF(M214="","",M214-TODAY())</f>
        <v>0</v>
      </c>
      <c r="O214" s="25">
        <f>IF(B214="","",IFERROR(INDEX(Ingredients!$J$5:$J$304,MATCH(B214,Ingredients!$B$5:$B$304,0)),"Add to Ingredients"))</f>
        <v>0</v>
      </c>
      <c r="P214" s="25">
        <f>IF(OR(G214="",O214="",NOT(ISNUMBER(O214))),"",G214*O214)</f>
        <v>0</v>
      </c>
      <c r="R214" s="45">
        <f>IF(B214="","",IFERROR(INDEX(Ingredients!$AG$5:$AG$304,MATCH(B214,Ingredients!$B$5:$B$304,0)),0))</f>
        <v>0</v>
      </c>
      <c r="S214" s="45">
        <f>IF(G214="","",G214-IF(R214="",0,R214))</f>
        <v>0</v>
      </c>
      <c r="U214" s="18">
        <f>IF(OR(B214="",D214&lt;&gt;"Fridge",NOT(ISNUMBER(N214))),"",COUNTIFS($D$5:$D$304,"Fridge",$N$5:$N$304,"&lt;"&amp;N214)+COUNTIFS($D$5:D214,"Fridge",$N$5:N214,N214))</f>
        <v>0</v>
      </c>
      <c r="V214" s="18">
        <f>IF(OR(B214="",D214&lt;&gt;"Freezer",NOT(ISNUMBER(N214))),"",COUNTIFS($D$5:$D$304,"Freezer",$N$5:$N$304,"&lt;"&amp;N214)+COUNTIFS($D$5:D214,"Freezer",$N$5:N214,N214))</f>
        <v>0</v>
      </c>
      <c r="W214" s="31">
        <f>IF(B214="","",IF(G214=0,"Out of stock",IF(AND(N214&lt;&gt;"",N214&lt;0),"Expired",IF(AND(N214&lt;&gt;"",N214&lt;=ExpiryWarningDays),"Use soon",IF(AND(Q214&lt;&gt;"",G214&lt;Q214),"Low stock","In stock")))))</f>
        <v>0</v>
      </c>
      <c r="X214" s="31">
        <f>IF(B214="","",IF(W214="Expired","Expired - bin it and log it on the Food Waste tab",IF(W214="Use soon","Use soon - plan a meal with it",IF(W214="Out of stock",IF(T214="Yes","Missing - staple has run out","Add - restock when convenient"),IF(W214="Low stock","Check - running low",IF(S214&lt;0,"Check - the plan needs more than you have","OK"))))))</f>
        <v>0</v>
      </c>
    </row>
    <row r="215" spans="1:24">
      <c r="A215" s="39">
        <f>IF(B215="","",PantryPrefix&amp;TEXT(ROW()-4,"0000"))</f>
        <v>0</v>
      </c>
      <c r="C215" s="17">
        <f>IF(B215="","",IFERROR(INDEX(Ingredients!$C$5:$C$304,MATCH(B215,Ingredients!$B$5:$B$304,0)),"Add to Ingredients"))</f>
        <v>0</v>
      </c>
      <c r="G215" s="45">
        <f>IF(E215="","",IFERROR(E215*INDEX(UnitFactors,MATCH(F215,UnitNames,0)),""))</f>
        <v>0</v>
      </c>
      <c r="H215" s="17">
        <f>IF(F215="","",IFERROR(INDEX(UnitBases,MATCH(F215,UnitNames,0)),"?"))</f>
        <v>0</v>
      </c>
      <c r="L215" s="18">
        <f>IF(B215="","",IFERROR(INDEX(Ingredients!$Z$5:$Z$304,MATCH(B215,Ingredients!$B$5:$B$304,0)),"Add to Ingredients"))</f>
        <v>0</v>
      </c>
      <c r="M215" s="19">
        <f>IF(K215&lt;&gt;"",K215,IF(OR(J215="",L215="",NOT(ISNUMBER(L215))),"",J215+L215))</f>
        <v>0</v>
      </c>
      <c r="N215" s="18">
        <f>IF(M215="","",M215-TODAY())</f>
        <v>0</v>
      </c>
      <c r="O215" s="25">
        <f>IF(B215="","",IFERROR(INDEX(Ingredients!$J$5:$J$304,MATCH(B215,Ingredients!$B$5:$B$304,0)),"Add to Ingredients"))</f>
        <v>0</v>
      </c>
      <c r="P215" s="25">
        <f>IF(OR(G215="",O215="",NOT(ISNUMBER(O215))),"",G215*O215)</f>
        <v>0</v>
      </c>
      <c r="R215" s="45">
        <f>IF(B215="","",IFERROR(INDEX(Ingredients!$AG$5:$AG$304,MATCH(B215,Ingredients!$B$5:$B$304,0)),0))</f>
        <v>0</v>
      </c>
      <c r="S215" s="45">
        <f>IF(G215="","",G215-IF(R215="",0,R215))</f>
        <v>0</v>
      </c>
      <c r="U215" s="18">
        <f>IF(OR(B215="",D215&lt;&gt;"Fridge",NOT(ISNUMBER(N215))),"",COUNTIFS($D$5:$D$304,"Fridge",$N$5:$N$304,"&lt;"&amp;N215)+COUNTIFS($D$5:D215,"Fridge",$N$5:N215,N215))</f>
        <v>0</v>
      </c>
      <c r="V215" s="18">
        <f>IF(OR(B215="",D215&lt;&gt;"Freezer",NOT(ISNUMBER(N215))),"",COUNTIFS($D$5:$D$304,"Freezer",$N$5:$N$304,"&lt;"&amp;N215)+COUNTIFS($D$5:D215,"Freezer",$N$5:N215,N215))</f>
        <v>0</v>
      </c>
      <c r="W215" s="31">
        <f>IF(B215="","",IF(G215=0,"Out of stock",IF(AND(N215&lt;&gt;"",N215&lt;0),"Expired",IF(AND(N215&lt;&gt;"",N215&lt;=ExpiryWarningDays),"Use soon",IF(AND(Q215&lt;&gt;"",G215&lt;Q215),"Low stock","In stock")))))</f>
        <v>0</v>
      </c>
      <c r="X215" s="31">
        <f>IF(B215="","",IF(W215="Expired","Expired - bin it and log it on the Food Waste tab",IF(W215="Use soon","Use soon - plan a meal with it",IF(W215="Out of stock",IF(T215="Yes","Missing - staple has run out","Add - restock when convenient"),IF(W215="Low stock","Check - running low",IF(S215&lt;0,"Check - the plan needs more than you have","OK"))))))</f>
        <v>0</v>
      </c>
    </row>
    <row r="216" spans="1:24">
      <c r="A216" s="39">
        <f>IF(B216="","",PantryPrefix&amp;TEXT(ROW()-4,"0000"))</f>
        <v>0</v>
      </c>
      <c r="C216" s="17">
        <f>IF(B216="","",IFERROR(INDEX(Ingredients!$C$5:$C$304,MATCH(B216,Ingredients!$B$5:$B$304,0)),"Add to Ingredients"))</f>
        <v>0</v>
      </c>
      <c r="G216" s="45">
        <f>IF(E216="","",IFERROR(E216*INDEX(UnitFactors,MATCH(F216,UnitNames,0)),""))</f>
        <v>0</v>
      </c>
      <c r="H216" s="17">
        <f>IF(F216="","",IFERROR(INDEX(UnitBases,MATCH(F216,UnitNames,0)),"?"))</f>
        <v>0</v>
      </c>
      <c r="L216" s="18">
        <f>IF(B216="","",IFERROR(INDEX(Ingredients!$Z$5:$Z$304,MATCH(B216,Ingredients!$B$5:$B$304,0)),"Add to Ingredients"))</f>
        <v>0</v>
      </c>
      <c r="M216" s="19">
        <f>IF(K216&lt;&gt;"",K216,IF(OR(J216="",L216="",NOT(ISNUMBER(L216))),"",J216+L216))</f>
        <v>0</v>
      </c>
      <c r="N216" s="18">
        <f>IF(M216="","",M216-TODAY())</f>
        <v>0</v>
      </c>
      <c r="O216" s="25">
        <f>IF(B216="","",IFERROR(INDEX(Ingredients!$J$5:$J$304,MATCH(B216,Ingredients!$B$5:$B$304,0)),"Add to Ingredients"))</f>
        <v>0</v>
      </c>
      <c r="P216" s="25">
        <f>IF(OR(G216="",O216="",NOT(ISNUMBER(O216))),"",G216*O216)</f>
        <v>0</v>
      </c>
      <c r="R216" s="45">
        <f>IF(B216="","",IFERROR(INDEX(Ingredients!$AG$5:$AG$304,MATCH(B216,Ingredients!$B$5:$B$304,0)),0))</f>
        <v>0</v>
      </c>
      <c r="S216" s="45">
        <f>IF(G216="","",G216-IF(R216="",0,R216))</f>
        <v>0</v>
      </c>
      <c r="U216" s="18">
        <f>IF(OR(B216="",D216&lt;&gt;"Fridge",NOT(ISNUMBER(N216))),"",COUNTIFS($D$5:$D$304,"Fridge",$N$5:$N$304,"&lt;"&amp;N216)+COUNTIFS($D$5:D216,"Fridge",$N$5:N216,N216))</f>
        <v>0</v>
      </c>
      <c r="V216" s="18">
        <f>IF(OR(B216="",D216&lt;&gt;"Freezer",NOT(ISNUMBER(N216))),"",COUNTIFS($D$5:$D$304,"Freezer",$N$5:$N$304,"&lt;"&amp;N216)+COUNTIFS($D$5:D216,"Freezer",$N$5:N216,N216))</f>
        <v>0</v>
      </c>
      <c r="W216" s="31">
        <f>IF(B216="","",IF(G216=0,"Out of stock",IF(AND(N216&lt;&gt;"",N216&lt;0),"Expired",IF(AND(N216&lt;&gt;"",N216&lt;=ExpiryWarningDays),"Use soon",IF(AND(Q216&lt;&gt;"",G216&lt;Q216),"Low stock","In stock")))))</f>
        <v>0</v>
      </c>
      <c r="X216" s="31">
        <f>IF(B216="","",IF(W216="Expired","Expired - bin it and log it on the Food Waste tab",IF(W216="Use soon","Use soon - plan a meal with it",IF(W216="Out of stock",IF(T216="Yes","Missing - staple has run out","Add - restock when convenient"),IF(W216="Low stock","Check - running low",IF(S216&lt;0,"Check - the plan needs more than you have","OK"))))))</f>
        <v>0</v>
      </c>
    </row>
    <row r="217" spans="1:24">
      <c r="A217" s="39">
        <f>IF(B217="","",PantryPrefix&amp;TEXT(ROW()-4,"0000"))</f>
        <v>0</v>
      </c>
      <c r="C217" s="17">
        <f>IF(B217="","",IFERROR(INDEX(Ingredients!$C$5:$C$304,MATCH(B217,Ingredients!$B$5:$B$304,0)),"Add to Ingredients"))</f>
        <v>0</v>
      </c>
      <c r="G217" s="45">
        <f>IF(E217="","",IFERROR(E217*INDEX(UnitFactors,MATCH(F217,UnitNames,0)),""))</f>
        <v>0</v>
      </c>
      <c r="H217" s="17">
        <f>IF(F217="","",IFERROR(INDEX(UnitBases,MATCH(F217,UnitNames,0)),"?"))</f>
        <v>0</v>
      </c>
      <c r="L217" s="18">
        <f>IF(B217="","",IFERROR(INDEX(Ingredients!$Z$5:$Z$304,MATCH(B217,Ingredients!$B$5:$B$304,0)),"Add to Ingredients"))</f>
        <v>0</v>
      </c>
      <c r="M217" s="19">
        <f>IF(K217&lt;&gt;"",K217,IF(OR(J217="",L217="",NOT(ISNUMBER(L217))),"",J217+L217))</f>
        <v>0</v>
      </c>
      <c r="N217" s="18">
        <f>IF(M217="","",M217-TODAY())</f>
        <v>0</v>
      </c>
      <c r="O217" s="25">
        <f>IF(B217="","",IFERROR(INDEX(Ingredients!$J$5:$J$304,MATCH(B217,Ingredients!$B$5:$B$304,0)),"Add to Ingredients"))</f>
        <v>0</v>
      </c>
      <c r="P217" s="25">
        <f>IF(OR(G217="",O217="",NOT(ISNUMBER(O217))),"",G217*O217)</f>
        <v>0</v>
      </c>
      <c r="R217" s="45">
        <f>IF(B217="","",IFERROR(INDEX(Ingredients!$AG$5:$AG$304,MATCH(B217,Ingredients!$B$5:$B$304,0)),0))</f>
        <v>0</v>
      </c>
      <c r="S217" s="45">
        <f>IF(G217="","",G217-IF(R217="",0,R217))</f>
        <v>0</v>
      </c>
      <c r="U217" s="18">
        <f>IF(OR(B217="",D217&lt;&gt;"Fridge",NOT(ISNUMBER(N217))),"",COUNTIFS($D$5:$D$304,"Fridge",$N$5:$N$304,"&lt;"&amp;N217)+COUNTIFS($D$5:D217,"Fridge",$N$5:N217,N217))</f>
        <v>0</v>
      </c>
      <c r="V217" s="18">
        <f>IF(OR(B217="",D217&lt;&gt;"Freezer",NOT(ISNUMBER(N217))),"",COUNTIFS($D$5:$D$304,"Freezer",$N$5:$N$304,"&lt;"&amp;N217)+COUNTIFS($D$5:D217,"Freezer",$N$5:N217,N217))</f>
        <v>0</v>
      </c>
      <c r="W217" s="31">
        <f>IF(B217="","",IF(G217=0,"Out of stock",IF(AND(N217&lt;&gt;"",N217&lt;0),"Expired",IF(AND(N217&lt;&gt;"",N217&lt;=ExpiryWarningDays),"Use soon",IF(AND(Q217&lt;&gt;"",G217&lt;Q217),"Low stock","In stock")))))</f>
        <v>0</v>
      </c>
      <c r="X217" s="31">
        <f>IF(B217="","",IF(W217="Expired","Expired - bin it and log it on the Food Waste tab",IF(W217="Use soon","Use soon - plan a meal with it",IF(W217="Out of stock",IF(T217="Yes","Missing - staple has run out","Add - restock when convenient"),IF(W217="Low stock","Check - running low",IF(S217&lt;0,"Check - the plan needs more than you have","OK"))))))</f>
        <v>0</v>
      </c>
    </row>
    <row r="218" spans="1:24">
      <c r="A218" s="39">
        <f>IF(B218="","",PantryPrefix&amp;TEXT(ROW()-4,"0000"))</f>
        <v>0</v>
      </c>
      <c r="C218" s="17">
        <f>IF(B218="","",IFERROR(INDEX(Ingredients!$C$5:$C$304,MATCH(B218,Ingredients!$B$5:$B$304,0)),"Add to Ingredients"))</f>
        <v>0</v>
      </c>
      <c r="G218" s="45">
        <f>IF(E218="","",IFERROR(E218*INDEX(UnitFactors,MATCH(F218,UnitNames,0)),""))</f>
        <v>0</v>
      </c>
      <c r="H218" s="17">
        <f>IF(F218="","",IFERROR(INDEX(UnitBases,MATCH(F218,UnitNames,0)),"?"))</f>
        <v>0</v>
      </c>
      <c r="L218" s="18">
        <f>IF(B218="","",IFERROR(INDEX(Ingredients!$Z$5:$Z$304,MATCH(B218,Ingredients!$B$5:$B$304,0)),"Add to Ingredients"))</f>
        <v>0</v>
      </c>
      <c r="M218" s="19">
        <f>IF(K218&lt;&gt;"",K218,IF(OR(J218="",L218="",NOT(ISNUMBER(L218))),"",J218+L218))</f>
        <v>0</v>
      </c>
      <c r="N218" s="18">
        <f>IF(M218="","",M218-TODAY())</f>
        <v>0</v>
      </c>
      <c r="O218" s="25">
        <f>IF(B218="","",IFERROR(INDEX(Ingredients!$J$5:$J$304,MATCH(B218,Ingredients!$B$5:$B$304,0)),"Add to Ingredients"))</f>
        <v>0</v>
      </c>
      <c r="P218" s="25">
        <f>IF(OR(G218="",O218="",NOT(ISNUMBER(O218))),"",G218*O218)</f>
        <v>0</v>
      </c>
      <c r="R218" s="45">
        <f>IF(B218="","",IFERROR(INDEX(Ingredients!$AG$5:$AG$304,MATCH(B218,Ingredients!$B$5:$B$304,0)),0))</f>
        <v>0</v>
      </c>
      <c r="S218" s="45">
        <f>IF(G218="","",G218-IF(R218="",0,R218))</f>
        <v>0</v>
      </c>
      <c r="U218" s="18">
        <f>IF(OR(B218="",D218&lt;&gt;"Fridge",NOT(ISNUMBER(N218))),"",COUNTIFS($D$5:$D$304,"Fridge",$N$5:$N$304,"&lt;"&amp;N218)+COUNTIFS($D$5:D218,"Fridge",$N$5:N218,N218))</f>
        <v>0</v>
      </c>
      <c r="V218" s="18">
        <f>IF(OR(B218="",D218&lt;&gt;"Freezer",NOT(ISNUMBER(N218))),"",COUNTIFS($D$5:$D$304,"Freezer",$N$5:$N$304,"&lt;"&amp;N218)+COUNTIFS($D$5:D218,"Freezer",$N$5:N218,N218))</f>
        <v>0</v>
      </c>
      <c r="W218" s="31">
        <f>IF(B218="","",IF(G218=0,"Out of stock",IF(AND(N218&lt;&gt;"",N218&lt;0),"Expired",IF(AND(N218&lt;&gt;"",N218&lt;=ExpiryWarningDays),"Use soon",IF(AND(Q218&lt;&gt;"",G218&lt;Q218),"Low stock","In stock")))))</f>
        <v>0</v>
      </c>
      <c r="X218" s="31">
        <f>IF(B218="","",IF(W218="Expired","Expired - bin it and log it on the Food Waste tab",IF(W218="Use soon","Use soon - plan a meal with it",IF(W218="Out of stock",IF(T218="Yes","Missing - staple has run out","Add - restock when convenient"),IF(W218="Low stock","Check - running low",IF(S218&lt;0,"Check - the plan needs more than you have","OK"))))))</f>
        <v>0</v>
      </c>
    </row>
    <row r="219" spans="1:24">
      <c r="A219" s="39">
        <f>IF(B219="","",PantryPrefix&amp;TEXT(ROW()-4,"0000"))</f>
        <v>0</v>
      </c>
      <c r="C219" s="17">
        <f>IF(B219="","",IFERROR(INDEX(Ingredients!$C$5:$C$304,MATCH(B219,Ingredients!$B$5:$B$304,0)),"Add to Ingredients"))</f>
        <v>0</v>
      </c>
      <c r="G219" s="45">
        <f>IF(E219="","",IFERROR(E219*INDEX(UnitFactors,MATCH(F219,UnitNames,0)),""))</f>
        <v>0</v>
      </c>
      <c r="H219" s="17">
        <f>IF(F219="","",IFERROR(INDEX(UnitBases,MATCH(F219,UnitNames,0)),"?"))</f>
        <v>0</v>
      </c>
      <c r="L219" s="18">
        <f>IF(B219="","",IFERROR(INDEX(Ingredients!$Z$5:$Z$304,MATCH(B219,Ingredients!$B$5:$B$304,0)),"Add to Ingredients"))</f>
        <v>0</v>
      </c>
      <c r="M219" s="19">
        <f>IF(K219&lt;&gt;"",K219,IF(OR(J219="",L219="",NOT(ISNUMBER(L219))),"",J219+L219))</f>
        <v>0</v>
      </c>
      <c r="N219" s="18">
        <f>IF(M219="","",M219-TODAY())</f>
        <v>0</v>
      </c>
      <c r="O219" s="25">
        <f>IF(B219="","",IFERROR(INDEX(Ingredients!$J$5:$J$304,MATCH(B219,Ingredients!$B$5:$B$304,0)),"Add to Ingredients"))</f>
        <v>0</v>
      </c>
      <c r="P219" s="25">
        <f>IF(OR(G219="",O219="",NOT(ISNUMBER(O219))),"",G219*O219)</f>
        <v>0</v>
      </c>
      <c r="R219" s="45">
        <f>IF(B219="","",IFERROR(INDEX(Ingredients!$AG$5:$AG$304,MATCH(B219,Ingredients!$B$5:$B$304,0)),0))</f>
        <v>0</v>
      </c>
      <c r="S219" s="45">
        <f>IF(G219="","",G219-IF(R219="",0,R219))</f>
        <v>0</v>
      </c>
      <c r="U219" s="18">
        <f>IF(OR(B219="",D219&lt;&gt;"Fridge",NOT(ISNUMBER(N219))),"",COUNTIFS($D$5:$D$304,"Fridge",$N$5:$N$304,"&lt;"&amp;N219)+COUNTIFS($D$5:D219,"Fridge",$N$5:N219,N219))</f>
        <v>0</v>
      </c>
      <c r="V219" s="18">
        <f>IF(OR(B219="",D219&lt;&gt;"Freezer",NOT(ISNUMBER(N219))),"",COUNTIFS($D$5:$D$304,"Freezer",$N$5:$N$304,"&lt;"&amp;N219)+COUNTIFS($D$5:D219,"Freezer",$N$5:N219,N219))</f>
        <v>0</v>
      </c>
      <c r="W219" s="31">
        <f>IF(B219="","",IF(G219=0,"Out of stock",IF(AND(N219&lt;&gt;"",N219&lt;0),"Expired",IF(AND(N219&lt;&gt;"",N219&lt;=ExpiryWarningDays),"Use soon",IF(AND(Q219&lt;&gt;"",G219&lt;Q219),"Low stock","In stock")))))</f>
        <v>0</v>
      </c>
      <c r="X219" s="31">
        <f>IF(B219="","",IF(W219="Expired","Expired - bin it and log it on the Food Waste tab",IF(W219="Use soon","Use soon - plan a meal with it",IF(W219="Out of stock",IF(T219="Yes","Missing - staple has run out","Add - restock when convenient"),IF(W219="Low stock","Check - running low",IF(S219&lt;0,"Check - the plan needs more than you have","OK"))))))</f>
        <v>0</v>
      </c>
    </row>
    <row r="220" spans="1:24">
      <c r="A220" s="39">
        <f>IF(B220="","",PantryPrefix&amp;TEXT(ROW()-4,"0000"))</f>
        <v>0</v>
      </c>
      <c r="C220" s="17">
        <f>IF(B220="","",IFERROR(INDEX(Ingredients!$C$5:$C$304,MATCH(B220,Ingredients!$B$5:$B$304,0)),"Add to Ingredients"))</f>
        <v>0</v>
      </c>
      <c r="G220" s="45">
        <f>IF(E220="","",IFERROR(E220*INDEX(UnitFactors,MATCH(F220,UnitNames,0)),""))</f>
        <v>0</v>
      </c>
      <c r="H220" s="17">
        <f>IF(F220="","",IFERROR(INDEX(UnitBases,MATCH(F220,UnitNames,0)),"?"))</f>
        <v>0</v>
      </c>
      <c r="L220" s="18">
        <f>IF(B220="","",IFERROR(INDEX(Ingredients!$Z$5:$Z$304,MATCH(B220,Ingredients!$B$5:$B$304,0)),"Add to Ingredients"))</f>
        <v>0</v>
      </c>
      <c r="M220" s="19">
        <f>IF(K220&lt;&gt;"",K220,IF(OR(J220="",L220="",NOT(ISNUMBER(L220))),"",J220+L220))</f>
        <v>0</v>
      </c>
      <c r="N220" s="18">
        <f>IF(M220="","",M220-TODAY())</f>
        <v>0</v>
      </c>
      <c r="O220" s="25">
        <f>IF(B220="","",IFERROR(INDEX(Ingredients!$J$5:$J$304,MATCH(B220,Ingredients!$B$5:$B$304,0)),"Add to Ingredients"))</f>
        <v>0</v>
      </c>
      <c r="P220" s="25">
        <f>IF(OR(G220="",O220="",NOT(ISNUMBER(O220))),"",G220*O220)</f>
        <v>0</v>
      </c>
      <c r="R220" s="45">
        <f>IF(B220="","",IFERROR(INDEX(Ingredients!$AG$5:$AG$304,MATCH(B220,Ingredients!$B$5:$B$304,0)),0))</f>
        <v>0</v>
      </c>
      <c r="S220" s="45">
        <f>IF(G220="","",G220-IF(R220="",0,R220))</f>
        <v>0</v>
      </c>
      <c r="U220" s="18">
        <f>IF(OR(B220="",D220&lt;&gt;"Fridge",NOT(ISNUMBER(N220))),"",COUNTIFS($D$5:$D$304,"Fridge",$N$5:$N$304,"&lt;"&amp;N220)+COUNTIFS($D$5:D220,"Fridge",$N$5:N220,N220))</f>
        <v>0</v>
      </c>
      <c r="V220" s="18">
        <f>IF(OR(B220="",D220&lt;&gt;"Freezer",NOT(ISNUMBER(N220))),"",COUNTIFS($D$5:$D$304,"Freezer",$N$5:$N$304,"&lt;"&amp;N220)+COUNTIFS($D$5:D220,"Freezer",$N$5:N220,N220))</f>
        <v>0</v>
      </c>
      <c r="W220" s="31">
        <f>IF(B220="","",IF(G220=0,"Out of stock",IF(AND(N220&lt;&gt;"",N220&lt;0),"Expired",IF(AND(N220&lt;&gt;"",N220&lt;=ExpiryWarningDays),"Use soon",IF(AND(Q220&lt;&gt;"",G220&lt;Q220),"Low stock","In stock")))))</f>
        <v>0</v>
      </c>
      <c r="X220" s="31">
        <f>IF(B220="","",IF(W220="Expired","Expired - bin it and log it on the Food Waste tab",IF(W220="Use soon","Use soon - plan a meal with it",IF(W220="Out of stock",IF(T220="Yes","Missing - staple has run out","Add - restock when convenient"),IF(W220="Low stock","Check - running low",IF(S220&lt;0,"Check - the plan needs more than you have","OK"))))))</f>
        <v>0</v>
      </c>
    </row>
    <row r="221" spans="1:24">
      <c r="A221" s="39">
        <f>IF(B221="","",PantryPrefix&amp;TEXT(ROW()-4,"0000"))</f>
        <v>0</v>
      </c>
      <c r="C221" s="17">
        <f>IF(B221="","",IFERROR(INDEX(Ingredients!$C$5:$C$304,MATCH(B221,Ingredients!$B$5:$B$304,0)),"Add to Ingredients"))</f>
        <v>0</v>
      </c>
      <c r="G221" s="45">
        <f>IF(E221="","",IFERROR(E221*INDEX(UnitFactors,MATCH(F221,UnitNames,0)),""))</f>
        <v>0</v>
      </c>
      <c r="H221" s="17">
        <f>IF(F221="","",IFERROR(INDEX(UnitBases,MATCH(F221,UnitNames,0)),"?"))</f>
        <v>0</v>
      </c>
      <c r="L221" s="18">
        <f>IF(B221="","",IFERROR(INDEX(Ingredients!$Z$5:$Z$304,MATCH(B221,Ingredients!$B$5:$B$304,0)),"Add to Ingredients"))</f>
        <v>0</v>
      </c>
      <c r="M221" s="19">
        <f>IF(K221&lt;&gt;"",K221,IF(OR(J221="",L221="",NOT(ISNUMBER(L221))),"",J221+L221))</f>
        <v>0</v>
      </c>
      <c r="N221" s="18">
        <f>IF(M221="","",M221-TODAY())</f>
        <v>0</v>
      </c>
      <c r="O221" s="25">
        <f>IF(B221="","",IFERROR(INDEX(Ingredients!$J$5:$J$304,MATCH(B221,Ingredients!$B$5:$B$304,0)),"Add to Ingredients"))</f>
        <v>0</v>
      </c>
      <c r="P221" s="25">
        <f>IF(OR(G221="",O221="",NOT(ISNUMBER(O221))),"",G221*O221)</f>
        <v>0</v>
      </c>
      <c r="R221" s="45">
        <f>IF(B221="","",IFERROR(INDEX(Ingredients!$AG$5:$AG$304,MATCH(B221,Ingredients!$B$5:$B$304,0)),0))</f>
        <v>0</v>
      </c>
      <c r="S221" s="45">
        <f>IF(G221="","",G221-IF(R221="",0,R221))</f>
        <v>0</v>
      </c>
      <c r="U221" s="18">
        <f>IF(OR(B221="",D221&lt;&gt;"Fridge",NOT(ISNUMBER(N221))),"",COUNTIFS($D$5:$D$304,"Fridge",$N$5:$N$304,"&lt;"&amp;N221)+COUNTIFS($D$5:D221,"Fridge",$N$5:N221,N221))</f>
        <v>0</v>
      </c>
      <c r="V221" s="18">
        <f>IF(OR(B221="",D221&lt;&gt;"Freezer",NOT(ISNUMBER(N221))),"",COUNTIFS($D$5:$D$304,"Freezer",$N$5:$N$304,"&lt;"&amp;N221)+COUNTIFS($D$5:D221,"Freezer",$N$5:N221,N221))</f>
        <v>0</v>
      </c>
      <c r="W221" s="31">
        <f>IF(B221="","",IF(G221=0,"Out of stock",IF(AND(N221&lt;&gt;"",N221&lt;0),"Expired",IF(AND(N221&lt;&gt;"",N221&lt;=ExpiryWarningDays),"Use soon",IF(AND(Q221&lt;&gt;"",G221&lt;Q221),"Low stock","In stock")))))</f>
        <v>0</v>
      </c>
      <c r="X221" s="31">
        <f>IF(B221="","",IF(W221="Expired","Expired - bin it and log it on the Food Waste tab",IF(W221="Use soon","Use soon - plan a meal with it",IF(W221="Out of stock",IF(T221="Yes","Missing - staple has run out","Add - restock when convenient"),IF(W221="Low stock","Check - running low",IF(S221&lt;0,"Check - the plan needs more than you have","OK"))))))</f>
        <v>0</v>
      </c>
    </row>
    <row r="222" spans="1:24">
      <c r="A222" s="39">
        <f>IF(B222="","",PantryPrefix&amp;TEXT(ROW()-4,"0000"))</f>
        <v>0</v>
      </c>
      <c r="C222" s="17">
        <f>IF(B222="","",IFERROR(INDEX(Ingredients!$C$5:$C$304,MATCH(B222,Ingredients!$B$5:$B$304,0)),"Add to Ingredients"))</f>
        <v>0</v>
      </c>
      <c r="G222" s="45">
        <f>IF(E222="","",IFERROR(E222*INDEX(UnitFactors,MATCH(F222,UnitNames,0)),""))</f>
        <v>0</v>
      </c>
      <c r="H222" s="17">
        <f>IF(F222="","",IFERROR(INDEX(UnitBases,MATCH(F222,UnitNames,0)),"?"))</f>
        <v>0</v>
      </c>
      <c r="L222" s="18">
        <f>IF(B222="","",IFERROR(INDEX(Ingredients!$Z$5:$Z$304,MATCH(B222,Ingredients!$B$5:$B$304,0)),"Add to Ingredients"))</f>
        <v>0</v>
      </c>
      <c r="M222" s="19">
        <f>IF(K222&lt;&gt;"",K222,IF(OR(J222="",L222="",NOT(ISNUMBER(L222))),"",J222+L222))</f>
        <v>0</v>
      </c>
      <c r="N222" s="18">
        <f>IF(M222="","",M222-TODAY())</f>
        <v>0</v>
      </c>
      <c r="O222" s="25">
        <f>IF(B222="","",IFERROR(INDEX(Ingredients!$J$5:$J$304,MATCH(B222,Ingredients!$B$5:$B$304,0)),"Add to Ingredients"))</f>
        <v>0</v>
      </c>
      <c r="P222" s="25">
        <f>IF(OR(G222="",O222="",NOT(ISNUMBER(O222))),"",G222*O222)</f>
        <v>0</v>
      </c>
      <c r="R222" s="45">
        <f>IF(B222="","",IFERROR(INDEX(Ingredients!$AG$5:$AG$304,MATCH(B222,Ingredients!$B$5:$B$304,0)),0))</f>
        <v>0</v>
      </c>
      <c r="S222" s="45">
        <f>IF(G222="","",G222-IF(R222="",0,R222))</f>
        <v>0</v>
      </c>
      <c r="U222" s="18">
        <f>IF(OR(B222="",D222&lt;&gt;"Fridge",NOT(ISNUMBER(N222))),"",COUNTIFS($D$5:$D$304,"Fridge",$N$5:$N$304,"&lt;"&amp;N222)+COUNTIFS($D$5:D222,"Fridge",$N$5:N222,N222))</f>
        <v>0</v>
      </c>
      <c r="V222" s="18">
        <f>IF(OR(B222="",D222&lt;&gt;"Freezer",NOT(ISNUMBER(N222))),"",COUNTIFS($D$5:$D$304,"Freezer",$N$5:$N$304,"&lt;"&amp;N222)+COUNTIFS($D$5:D222,"Freezer",$N$5:N222,N222))</f>
        <v>0</v>
      </c>
      <c r="W222" s="31">
        <f>IF(B222="","",IF(G222=0,"Out of stock",IF(AND(N222&lt;&gt;"",N222&lt;0),"Expired",IF(AND(N222&lt;&gt;"",N222&lt;=ExpiryWarningDays),"Use soon",IF(AND(Q222&lt;&gt;"",G222&lt;Q222),"Low stock","In stock")))))</f>
        <v>0</v>
      </c>
      <c r="X222" s="31">
        <f>IF(B222="","",IF(W222="Expired","Expired - bin it and log it on the Food Waste tab",IF(W222="Use soon","Use soon - plan a meal with it",IF(W222="Out of stock",IF(T222="Yes","Missing - staple has run out","Add - restock when convenient"),IF(W222="Low stock","Check - running low",IF(S222&lt;0,"Check - the plan needs more than you have","OK"))))))</f>
        <v>0</v>
      </c>
    </row>
    <row r="223" spans="1:24">
      <c r="A223" s="39">
        <f>IF(B223="","",PantryPrefix&amp;TEXT(ROW()-4,"0000"))</f>
        <v>0</v>
      </c>
      <c r="C223" s="17">
        <f>IF(B223="","",IFERROR(INDEX(Ingredients!$C$5:$C$304,MATCH(B223,Ingredients!$B$5:$B$304,0)),"Add to Ingredients"))</f>
        <v>0</v>
      </c>
      <c r="G223" s="45">
        <f>IF(E223="","",IFERROR(E223*INDEX(UnitFactors,MATCH(F223,UnitNames,0)),""))</f>
        <v>0</v>
      </c>
      <c r="H223" s="17">
        <f>IF(F223="","",IFERROR(INDEX(UnitBases,MATCH(F223,UnitNames,0)),"?"))</f>
        <v>0</v>
      </c>
      <c r="L223" s="18">
        <f>IF(B223="","",IFERROR(INDEX(Ingredients!$Z$5:$Z$304,MATCH(B223,Ingredients!$B$5:$B$304,0)),"Add to Ingredients"))</f>
        <v>0</v>
      </c>
      <c r="M223" s="19">
        <f>IF(K223&lt;&gt;"",K223,IF(OR(J223="",L223="",NOT(ISNUMBER(L223))),"",J223+L223))</f>
        <v>0</v>
      </c>
      <c r="N223" s="18">
        <f>IF(M223="","",M223-TODAY())</f>
        <v>0</v>
      </c>
      <c r="O223" s="25">
        <f>IF(B223="","",IFERROR(INDEX(Ingredients!$J$5:$J$304,MATCH(B223,Ingredients!$B$5:$B$304,0)),"Add to Ingredients"))</f>
        <v>0</v>
      </c>
      <c r="P223" s="25">
        <f>IF(OR(G223="",O223="",NOT(ISNUMBER(O223))),"",G223*O223)</f>
        <v>0</v>
      </c>
      <c r="R223" s="45">
        <f>IF(B223="","",IFERROR(INDEX(Ingredients!$AG$5:$AG$304,MATCH(B223,Ingredients!$B$5:$B$304,0)),0))</f>
        <v>0</v>
      </c>
      <c r="S223" s="45">
        <f>IF(G223="","",G223-IF(R223="",0,R223))</f>
        <v>0</v>
      </c>
      <c r="U223" s="18">
        <f>IF(OR(B223="",D223&lt;&gt;"Fridge",NOT(ISNUMBER(N223))),"",COUNTIFS($D$5:$D$304,"Fridge",$N$5:$N$304,"&lt;"&amp;N223)+COUNTIFS($D$5:D223,"Fridge",$N$5:N223,N223))</f>
        <v>0</v>
      </c>
      <c r="V223" s="18">
        <f>IF(OR(B223="",D223&lt;&gt;"Freezer",NOT(ISNUMBER(N223))),"",COUNTIFS($D$5:$D$304,"Freezer",$N$5:$N$304,"&lt;"&amp;N223)+COUNTIFS($D$5:D223,"Freezer",$N$5:N223,N223))</f>
        <v>0</v>
      </c>
      <c r="W223" s="31">
        <f>IF(B223="","",IF(G223=0,"Out of stock",IF(AND(N223&lt;&gt;"",N223&lt;0),"Expired",IF(AND(N223&lt;&gt;"",N223&lt;=ExpiryWarningDays),"Use soon",IF(AND(Q223&lt;&gt;"",G223&lt;Q223),"Low stock","In stock")))))</f>
        <v>0</v>
      </c>
      <c r="X223" s="31">
        <f>IF(B223="","",IF(W223="Expired","Expired - bin it and log it on the Food Waste tab",IF(W223="Use soon","Use soon - plan a meal with it",IF(W223="Out of stock",IF(T223="Yes","Missing - staple has run out","Add - restock when convenient"),IF(W223="Low stock","Check - running low",IF(S223&lt;0,"Check - the plan needs more than you have","OK"))))))</f>
        <v>0</v>
      </c>
    </row>
    <row r="224" spans="1:24">
      <c r="A224" s="39">
        <f>IF(B224="","",PantryPrefix&amp;TEXT(ROW()-4,"0000"))</f>
        <v>0</v>
      </c>
      <c r="C224" s="17">
        <f>IF(B224="","",IFERROR(INDEX(Ingredients!$C$5:$C$304,MATCH(B224,Ingredients!$B$5:$B$304,0)),"Add to Ingredients"))</f>
        <v>0</v>
      </c>
      <c r="G224" s="45">
        <f>IF(E224="","",IFERROR(E224*INDEX(UnitFactors,MATCH(F224,UnitNames,0)),""))</f>
        <v>0</v>
      </c>
      <c r="H224" s="17">
        <f>IF(F224="","",IFERROR(INDEX(UnitBases,MATCH(F224,UnitNames,0)),"?"))</f>
        <v>0</v>
      </c>
      <c r="L224" s="18">
        <f>IF(B224="","",IFERROR(INDEX(Ingredients!$Z$5:$Z$304,MATCH(B224,Ingredients!$B$5:$B$304,0)),"Add to Ingredients"))</f>
        <v>0</v>
      </c>
      <c r="M224" s="19">
        <f>IF(K224&lt;&gt;"",K224,IF(OR(J224="",L224="",NOT(ISNUMBER(L224))),"",J224+L224))</f>
        <v>0</v>
      </c>
      <c r="N224" s="18">
        <f>IF(M224="","",M224-TODAY())</f>
        <v>0</v>
      </c>
      <c r="O224" s="25">
        <f>IF(B224="","",IFERROR(INDEX(Ingredients!$J$5:$J$304,MATCH(B224,Ingredients!$B$5:$B$304,0)),"Add to Ingredients"))</f>
        <v>0</v>
      </c>
      <c r="P224" s="25">
        <f>IF(OR(G224="",O224="",NOT(ISNUMBER(O224))),"",G224*O224)</f>
        <v>0</v>
      </c>
      <c r="R224" s="45">
        <f>IF(B224="","",IFERROR(INDEX(Ingredients!$AG$5:$AG$304,MATCH(B224,Ingredients!$B$5:$B$304,0)),0))</f>
        <v>0</v>
      </c>
      <c r="S224" s="45">
        <f>IF(G224="","",G224-IF(R224="",0,R224))</f>
        <v>0</v>
      </c>
      <c r="U224" s="18">
        <f>IF(OR(B224="",D224&lt;&gt;"Fridge",NOT(ISNUMBER(N224))),"",COUNTIFS($D$5:$D$304,"Fridge",$N$5:$N$304,"&lt;"&amp;N224)+COUNTIFS($D$5:D224,"Fridge",$N$5:N224,N224))</f>
        <v>0</v>
      </c>
      <c r="V224" s="18">
        <f>IF(OR(B224="",D224&lt;&gt;"Freezer",NOT(ISNUMBER(N224))),"",COUNTIFS($D$5:$D$304,"Freezer",$N$5:$N$304,"&lt;"&amp;N224)+COUNTIFS($D$5:D224,"Freezer",$N$5:N224,N224))</f>
        <v>0</v>
      </c>
      <c r="W224" s="31">
        <f>IF(B224="","",IF(G224=0,"Out of stock",IF(AND(N224&lt;&gt;"",N224&lt;0),"Expired",IF(AND(N224&lt;&gt;"",N224&lt;=ExpiryWarningDays),"Use soon",IF(AND(Q224&lt;&gt;"",G224&lt;Q224),"Low stock","In stock")))))</f>
        <v>0</v>
      </c>
      <c r="X224" s="31">
        <f>IF(B224="","",IF(W224="Expired","Expired - bin it and log it on the Food Waste tab",IF(W224="Use soon","Use soon - plan a meal with it",IF(W224="Out of stock",IF(T224="Yes","Missing - staple has run out","Add - restock when convenient"),IF(W224="Low stock","Check - running low",IF(S224&lt;0,"Check - the plan needs more than you have","OK"))))))</f>
        <v>0</v>
      </c>
    </row>
    <row r="225" spans="1:24">
      <c r="A225" s="39">
        <f>IF(B225="","",PantryPrefix&amp;TEXT(ROW()-4,"0000"))</f>
        <v>0</v>
      </c>
      <c r="C225" s="17">
        <f>IF(B225="","",IFERROR(INDEX(Ingredients!$C$5:$C$304,MATCH(B225,Ingredients!$B$5:$B$304,0)),"Add to Ingredients"))</f>
        <v>0</v>
      </c>
      <c r="G225" s="45">
        <f>IF(E225="","",IFERROR(E225*INDEX(UnitFactors,MATCH(F225,UnitNames,0)),""))</f>
        <v>0</v>
      </c>
      <c r="H225" s="17">
        <f>IF(F225="","",IFERROR(INDEX(UnitBases,MATCH(F225,UnitNames,0)),"?"))</f>
        <v>0</v>
      </c>
      <c r="L225" s="18">
        <f>IF(B225="","",IFERROR(INDEX(Ingredients!$Z$5:$Z$304,MATCH(B225,Ingredients!$B$5:$B$304,0)),"Add to Ingredients"))</f>
        <v>0</v>
      </c>
      <c r="M225" s="19">
        <f>IF(K225&lt;&gt;"",K225,IF(OR(J225="",L225="",NOT(ISNUMBER(L225))),"",J225+L225))</f>
        <v>0</v>
      </c>
      <c r="N225" s="18">
        <f>IF(M225="","",M225-TODAY())</f>
        <v>0</v>
      </c>
      <c r="O225" s="25">
        <f>IF(B225="","",IFERROR(INDEX(Ingredients!$J$5:$J$304,MATCH(B225,Ingredients!$B$5:$B$304,0)),"Add to Ingredients"))</f>
        <v>0</v>
      </c>
      <c r="P225" s="25">
        <f>IF(OR(G225="",O225="",NOT(ISNUMBER(O225))),"",G225*O225)</f>
        <v>0</v>
      </c>
      <c r="R225" s="45">
        <f>IF(B225="","",IFERROR(INDEX(Ingredients!$AG$5:$AG$304,MATCH(B225,Ingredients!$B$5:$B$304,0)),0))</f>
        <v>0</v>
      </c>
      <c r="S225" s="45">
        <f>IF(G225="","",G225-IF(R225="",0,R225))</f>
        <v>0</v>
      </c>
      <c r="U225" s="18">
        <f>IF(OR(B225="",D225&lt;&gt;"Fridge",NOT(ISNUMBER(N225))),"",COUNTIFS($D$5:$D$304,"Fridge",$N$5:$N$304,"&lt;"&amp;N225)+COUNTIFS($D$5:D225,"Fridge",$N$5:N225,N225))</f>
        <v>0</v>
      </c>
      <c r="V225" s="18">
        <f>IF(OR(B225="",D225&lt;&gt;"Freezer",NOT(ISNUMBER(N225))),"",COUNTIFS($D$5:$D$304,"Freezer",$N$5:$N$304,"&lt;"&amp;N225)+COUNTIFS($D$5:D225,"Freezer",$N$5:N225,N225))</f>
        <v>0</v>
      </c>
      <c r="W225" s="31">
        <f>IF(B225="","",IF(G225=0,"Out of stock",IF(AND(N225&lt;&gt;"",N225&lt;0),"Expired",IF(AND(N225&lt;&gt;"",N225&lt;=ExpiryWarningDays),"Use soon",IF(AND(Q225&lt;&gt;"",G225&lt;Q225),"Low stock","In stock")))))</f>
        <v>0</v>
      </c>
      <c r="X225" s="31">
        <f>IF(B225="","",IF(W225="Expired","Expired - bin it and log it on the Food Waste tab",IF(W225="Use soon","Use soon - plan a meal with it",IF(W225="Out of stock",IF(T225="Yes","Missing - staple has run out","Add - restock when convenient"),IF(W225="Low stock","Check - running low",IF(S225&lt;0,"Check - the plan needs more than you have","OK"))))))</f>
        <v>0</v>
      </c>
    </row>
    <row r="226" spans="1:24">
      <c r="A226" s="39">
        <f>IF(B226="","",PantryPrefix&amp;TEXT(ROW()-4,"0000"))</f>
        <v>0</v>
      </c>
      <c r="C226" s="17">
        <f>IF(B226="","",IFERROR(INDEX(Ingredients!$C$5:$C$304,MATCH(B226,Ingredients!$B$5:$B$304,0)),"Add to Ingredients"))</f>
        <v>0</v>
      </c>
      <c r="G226" s="45">
        <f>IF(E226="","",IFERROR(E226*INDEX(UnitFactors,MATCH(F226,UnitNames,0)),""))</f>
        <v>0</v>
      </c>
      <c r="H226" s="17">
        <f>IF(F226="","",IFERROR(INDEX(UnitBases,MATCH(F226,UnitNames,0)),"?"))</f>
        <v>0</v>
      </c>
      <c r="L226" s="18">
        <f>IF(B226="","",IFERROR(INDEX(Ingredients!$Z$5:$Z$304,MATCH(B226,Ingredients!$B$5:$B$304,0)),"Add to Ingredients"))</f>
        <v>0</v>
      </c>
      <c r="M226" s="19">
        <f>IF(K226&lt;&gt;"",K226,IF(OR(J226="",L226="",NOT(ISNUMBER(L226))),"",J226+L226))</f>
        <v>0</v>
      </c>
      <c r="N226" s="18">
        <f>IF(M226="","",M226-TODAY())</f>
        <v>0</v>
      </c>
      <c r="O226" s="25">
        <f>IF(B226="","",IFERROR(INDEX(Ingredients!$J$5:$J$304,MATCH(B226,Ingredients!$B$5:$B$304,0)),"Add to Ingredients"))</f>
        <v>0</v>
      </c>
      <c r="P226" s="25">
        <f>IF(OR(G226="",O226="",NOT(ISNUMBER(O226))),"",G226*O226)</f>
        <v>0</v>
      </c>
      <c r="R226" s="45">
        <f>IF(B226="","",IFERROR(INDEX(Ingredients!$AG$5:$AG$304,MATCH(B226,Ingredients!$B$5:$B$304,0)),0))</f>
        <v>0</v>
      </c>
      <c r="S226" s="45">
        <f>IF(G226="","",G226-IF(R226="",0,R226))</f>
        <v>0</v>
      </c>
      <c r="U226" s="18">
        <f>IF(OR(B226="",D226&lt;&gt;"Fridge",NOT(ISNUMBER(N226))),"",COUNTIFS($D$5:$D$304,"Fridge",$N$5:$N$304,"&lt;"&amp;N226)+COUNTIFS($D$5:D226,"Fridge",$N$5:N226,N226))</f>
        <v>0</v>
      </c>
      <c r="V226" s="18">
        <f>IF(OR(B226="",D226&lt;&gt;"Freezer",NOT(ISNUMBER(N226))),"",COUNTIFS($D$5:$D$304,"Freezer",$N$5:$N$304,"&lt;"&amp;N226)+COUNTIFS($D$5:D226,"Freezer",$N$5:N226,N226))</f>
        <v>0</v>
      </c>
      <c r="W226" s="31">
        <f>IF(B226="","",IF(G226=0,"Out of stock",IF(AND(N226&lt;&gt;"",N226&lt;0),"Expired",IF(AND(N226&lt;&gt;"",N226&lt;=ExpiryWarningDays),"Use soon",IF(AND(Q226&lt;&gt;"",G226&lt;Q226),"Low stock","In stock")))))</f>
        <v>0</v>
      </c>
      <c r="X226" s="31">
        <f>IF(B226="","",IF(W226="Expired","Expired - bin it and log it on the Food Waste tab",IF(W226="Use soon","Use soon - plan a meal with it",IF(W226="Out of stock",IF(T226="Yes","Missing - staple has run out","Add - restock when convenient"),IF(W226="Low stock","Check - running low",IF(S226&lt;0,"Check - the plan needs more than you have","OK"))))))</f>
        <v>0</v>
      </c>
    </row>
    <row r="227" spans="1:24">
      <c r="A227" s="39">
        <f>IF(B227="","",PantryPrefix&amp;TEXT(ROW()-4,"0000"))</f>
        <v>0</v>
      </c>
      <c r="C227" s="17">
        <f>IF(B227="","",IFERROR(INDEX(Ingredients!$C$5:$C$304,MATCH(B227,Ingredients!$B$5:$B$304,0)),"Add to Ingredients"))</f>
        <v>0</v>
      </c>
      <c r="G227" s="45">
        <f>IF(E227="","",IFERROR(E227*INDEX(UnitFactors,MATCH(F227,UnitNames,0)),""))</f>
        <v>0</v>
      </c>
      <c r="H227" s="17">
        <f>IF(F227="","",IFERROR(INDEX(UnitBases,MATCH(F227,UnitNames,0)),"?"))</f>
        <v>0</v>
      </c>
      <c r="L227" s="18">
        <f>IF(B227="","",IFERROR(INDEX(Ingredients!$Z$5:$Z$304,MATCH(B227,Ingredients!$B$5:$B$304,0)),"Add to Ingredients"))</f>
        <v>0</v>
      </c>
      <c r="M227" s="19">
        <f>IF(K227&lt;&gt;"",K227,IF(OR(J227="",L227="",NOT(ISNUMBER(L227))),"",J227+L227))</f>
        <v>0</v>
      </c>
      <c r="N227" s="18">
        <f>IF(M227="","",M227-TODAY())</f>
        <v>0</v>
      </c>
      <c r="O227" s="25">
        <f>IF(B227="","",IFERROR(INDEX(Ingredients!$J$5:$J$304,MATCH(B227,Ingredients!$B$5:$B$304,0)),"Add to Ingredients"))</f>
        <v>0</v>
      </c>
      <c r="P227" s="25">
        <f>IF(OR(G227="",O227="",NOT(ISNUMBER(O227))),"",G227*O227)</f>
        <v>0</v>
      </c>
      <c r="R227" s="45">
        <f>IF(B227="","",IFERROR(INDEX(Ingredients!$AG$5:$AG$304,MATCH(B227,Ingredients!$B$5:$B$304,0)),0))</f>
        <v>0</v>
      </c>
      <c r="S227" s="45">
        <f>IF(G227="","",G227-IF(R227="",0,R227))</f>
        <v>0</v>
      </c>
      <c r="U227" s="18">
        <f>IF(OR(B227="",D227&lt;&gt;"Fridge",NOT(ISNUMBER(N227))),"",COUNTIFS($D$5:$D$304,"Fridge",$N$5:$N$304,"&lt;"&amp;N227)+COUNTIFS($D$5:D227,"Fridge",$N$5:N227,N227))</f>
        <v>0</v>
      </c>
      <c r="V227" s="18">
        <f>IF(OR(B227="",D227&lt;&gt;"Freezer",NOT(ISNUMBER(N227))),"",COUNTIFS($D$5:$D$304,"Freezer",$N$5:$N$304,"&lt;"&amp;N227)+COUNTIFS($D$5:D227,"Freezer",$N$5:N227,N227))</f>
        <v>0</v>
      </c>
      <c r="W227" s="31">
        <f>IF(B227="","",IF(G227=0,"Out of stock",IF(AND(N227&lt;&gt;"",N227&lt;0),"Expired",IF(AND(N227&lt;&gt;"",N227&lt;=ExpiryWarningDays),"Use soon",IF(AND(Q227&lt;&gt;"",G227&lt;Q227),"Low stock","In stock")))))</f>
        <v>0</v>
      </c>
      <c r="X227" s="31">
        <f>IF(B227="","",IF(W227="Expired","Expired - bin it and log it on the Food Waste tab",IF(W227="Use soon","Use soon - plan a meal with it",IF(W227="Out of stock",IF(T227="Yes","Missing - staple has run out","Add - restock when convenient"),IF(W227="Low stock","Check - running low",IF(S227&lt;0,"Check - the plan needs more than you have","OK"))))))</f>
        <v>0</v>
      </c>
    </row>
    <row r="228" spans="1:24">
      <c r="A228" s="39">
        <f>IF(B228="","",PantryPrefix&amp;TEXT(ROW()-4,"0000"))</f>
        <v>0</v>
      </c>
      <c r="C228" s="17">
        <f>IF(B228="","",IFERROR(INDEX(Ingredients!$C$5:$C$304,MATCH(B228,Ingredients!$B$5:$B$304,0)),"Add to Ingredients"))</f>
        <v>0</v>
      </c>
      <c r="G228" s="45">
        <f>IF(E228="","",IFERROR(E228*INDEX(UnitFactors,MATCH(F228,UnitNames,0)),""))</f>
        <v>0</v>
      </c>
      <c r="H228" s="17">
        <f>IF(F228="","",IFERROR(INDEX(UnitBases,MATCH(F228,UnitNames,0)),"?"))</f>
        <v>0</v>
      </c>
      <c r="L228" s="18">
        <f>IF(B228="","",IFERROR(INDEX(Ingredients!$Z$5:$Z$304,MATCH(B228,Ingredients!$B$5:$B$304,0)),"Add to Ingredients"))</f>
        <v>0</v>
      </c>
      <c r="M228" s="19">
        <f>IF(K228&lt;&gt;"",K228,IF(OR(J228="",L228="",NOT(ISNUMBER(L228))),"",J228+L228))</f>
        <v>0</v>
      </c>
      <c r="N228" s="18">
        <f>IF(M228="","",M228-TODAY())</f>
        <v>0</v>
      </c>
      <c r="O228" s="25">
        <f>IF(B228="","",IFERROR(INDEX(Ingredients!$J$5:$J$304,MATCH(B228,Ingredients!$B$5:$B$304,0)),"Add to Ingredients"))</f>
        <v>0</v>
      </c>
      <c r="P228" s="25">
        <f>IF(OR(G228="",O228="",NOT(ISNUMBER(O228))),"",G228*O228)</f>
        <v>0</v>
      </c>
      <c r="R228" s="45">
        <f>IF(B228="","",IFERROR(INDEX(Ingredients!$AG$5:$AG$304,MATCH(B228,Ingredients!$B$5:$B$304,0)),0))</f>
        <v>0</v>
      </c>
      <c r="S228" s="45">
        <f>IF(G228="","",G228-IF(R228="",0,R228))</f>
        <v>0</v>
      </c>
      <c r="U228" s="18">
        <f>IF(OR(B228="",D228&lt;&gt;"Fridge",NOT(ISNUMBER(N228))),"",COUNTIFS($D$5:$D$304,"Fridge",$N$5:$N$304,"&lt;"&amp;N228)+COUNTIFS($D$5:D228,"Fridge",$N$5:N228,N228))</f>
        <v>0</v>
      </c>
      <c r="V228" s="18">
        <f>IF(OR(B228="",D228&lt;&gt;"Freezer",NOT(ISNUMBER(N228))),"",COUNTIFS($D$5:$D$304,"Freezer",$N$5:$N$304,"&lt;"&amp;N228)+COUNTIFS($D$5:D228,"Freezer",$N$5:N228,N228))</f>
        <v>0</v>
      </c>
      <c r="W228" s="31">
        <f>IF(B228="","",IF(G228=0,"Out of stock",IF(AND(N228&lt;&gt;"",N228&lt;0),"Expired",IF(AND(N228&lt;&gt;"",N228&lt;=ExpiryWarningDays),"Use soon",IF(AND(Q228&lt;&gt;"",G228&lt;Q228),"Low stock","In stock")))))</f>
        <v>0</v>
      </c>
      <c r="X228" s="31">
        <f>IF(B228="","",IF(W228="Expired","Expired - bin it and log it on the Food Waste tab",IF(W228="Use soon","Use soon - plan a meal with it",IF(W228="Out of stock",IF(T228="Yes","Missing - staple has run out","Add - restock when convenient"),IF(W228="Low stock","Check - running low",IF(S228&lt;0,"Check - the plan needs more than you have","OK"))))))</f>
        <v>0</v>
      </c>
    </row>
    <row r="229" spans="1:24">
      <c r="A229" s="39">
        <f>IF(B229="","",PantryPrefix&amp;TEXT(ROW()-4,"0000"))</f>
        <v>0</v>
      </c>
      <c r="C229" s="17">
        <f>IF(B229="","",IFERROR(INDEX(Ingredients!$C$5:$C$304,MATCH(B229,Ingredients!$B$5:$B$304,0)),"Add to Ingredients"))</f>
        <v>0</v>
      </c>
      <c r="G229" s="45">
        <f>IF(E229="","",IFERROR(E229*INDEX(UnitFactors,MATCH(F229,UnitNames,0)),""))</f>
        <v>0</v>
      </c>
      <c r="H229" s="17">
        <f>IF(F229="","",IFERROR(INDEX(UnitBases,MATCH(F229,UnitNames,0)),"?"))</f>
        <v>0</v>
      </c>
      <c r="L229" s="18">
        <f>IF(B229="","",IFERROR(INDEX(Ingredients!$Z$5:$Z$304,MATCH(B229,Ingredients!$B$5:$B$304,0)),"Add to Ingredients"))</f>
        <v>0</v>
      </c>
      <c r="M229" s="19">
        <f>IF(K229&lt;&gt;"",K229,IF(OR(J229="",L229="",NOT(ISNUMBER(L229))),"",J229+L229))</f>
        <v>0</v>
      </c>
      <c r="N229" s="18">
        <f>IF(M229="","",M229-TODAY())</f>
        <v>0</v>
      </c>
      <c r="O229" s="25">
        <f>IF(B229="","",IFERROR(INDEX(Ingredients!$J$5:$J$304,MATCH(B229,Ingredients!$B$5:$B$304,0)),"Add to Ingredients"))</f>
        <v>0</v>
      </c>
      <c r="P229" s="25">
        <f>IF(OR(G229="",O229="",NOT(ISNUMBER(O229))),"",G229*O229)</f>
        <v>0</v>
      </c>
      <c r="R229" s="45">
        <f>IF(B229="","",IFERROR(INDEX(Ingredients!$AG$5:$AG$304,MATCH(B229,Ingredients!$B$5:$B$304,0)),0))</f>
        <v>0</v>
      </c>
      <c r="S229" s="45">
        <f>IF(G229="","",G229-IF(R229="",0,R229))</f>
        <v>0</v>
      </c>
      <c r="U229" s="18">
        <f>IF(OR(B229="",D229&lt;&gt;"Fridge",NOT(ISNUMBER(N229))),"",COUNTIFS($D$5:$D$304,"Fridge",$N$5:$N$304,"&lt;"&amp;N229)+COUNTIFS($D$5:D229,"Fridge",$N$5:N229,N229))</f>
        <v>0</v>
      </c>
      <c r="V229" s="18">
        <f>IF(OR(B229="",D229&lt;&gt;"Freezer",NOT(ISNUMBER(N229))),"",COUNTIFS($D$5:$D$304,"Freezer",$N$5:$N$304,"&lt;"&amp;N229)+COUNTIFS($D$5:D229,"Freezer",$N$5:N229,N229))</f>
        <v>0</v>
      </c>
      <c r="W229" s="31">
        <f>IF(B229="","",IF(G229=0,"Out of stock",IF(AND(N229&lt;&gt;"",N229&lt;0),"Expired",IF(AND(N229&lt;&gt;"",N229&lt;=ExpiryWarningDays),"Use soon",IF(AND(Q229&lt;&gt;"",G229&lt;Q229),"Low stock","In stock")))))</f>
        <v>0</v>
      </c>
      <c r="X229" s="31">
        <f>IF(B229="","",IF(W229="Expired","Expired - bin it and log it on the Food Waste tab",IF(W229="Use soon","Use soon - plan a meal with it",IF(W229="Out of stock",IF(T229="Yes","Missing - staple has run out","Add - restock when convenient"),IF(W229="Low stock","Check - running low",IF(S229&lt;0,"Check - the plan needs more than you have","OK"))))))</f>
        <v>0</v>
      </c>
    </row>
    <row r="230" spans="1:24">
      <c r="A230" s="39">
        <f>IF(B230="","",PantryPrefix&amp;TEXT(ROW()-4,"0000"))</f>
        <v>0</v>
      </c>
      <c r="C230" s="17">
        <f>IF(B230="","",IFERROR(INDEX(Ingredients!$C$5:$C$304,MATCH(B230,Ingredients!$B$5:$B$304,0)),"Add to Ingredients"))</f>
        <v>0</v>
      </c>
      <c r="G230" s="45">
        <f>IF(E230="","",IFERROR(E230*INDEX(UnitFactors,MATCH(F230,UnitNames,0)),""))</f>
        <v>0</v>
      </c>
      <c r="H230" s="17">
        <f>IF(F230="","",IFERROR(INDEX(UnitBases,MATCH(F230,UnitNames,0)),"?"))</f>
        <v>0</v>
      </c>
      <c r="L230" s="18">
        <f>IF(B230="","",IFERROR(INDEX(Ingredients!$Z$5:$Z$304,MATCH(B230,Ingredients!$B$5:$B$304,0)),"Add to Ingredients"))</f>
        <v>0</v>
      </c>
      <c r="M230" s="19">
        <f>IF(K230&lt;&gt;"",K230,IF(OR(J230="",L230="",NOT(ISNUMBER(L230))),"",J230+L230))</f>
        <v>0</v>
      </c>
      <c r="N230" s="18">
        <f>IF(M230="","",M230-TODAY())</f>
        <v>0</v>
      </c>
      <c r="O230" s="25">
        <f>IF(B230="","",IFERROR(INDEX(Ingredients!$J$5:$J$304,MATCH(B230,Ingredients!$B$5:$B$304,0)),"Add to Ingredients"))</f>
        <v>0</v>
      </c>
      <c r="P230" s="25">
        <f>IF(OR(G230="",O230="",NOT(ISNUMBER(O230))),"",G230*O230)</f>
        <v>0</v>
      </c>
      <c r="R230" s="45">
        <f>IF(B230="","",IFERROR(INDEX(Ingredients!$AG$5:$AG$304,MATCH(B230,Ingredients!$B$5:$B$304,0)),0))</f>
        <v>0</v>
      </c>
      <c r="S230" s="45">
        <f>IF(G230="","",G230-IF(R230="",0,R230))</f>
        <v>0</v>
      </c>
      <c r="U230" s="18">
        <f>IF(OR(B230="",D230&lt;&gt;"Fridge",NOT(ISNUMBER(N230))),"",COUNTIFS($D$5:$D$304,"Fridge",$N$5:$N$304,"&lt;"&amp;N230)+COUNTIFS($D$5:D230,"Fridge",$N$5:N230,N230))</f>
        <v>0</v>
      </c>
      <c r="V230" s="18">
        <f>IF(OR(B230="",D230&lt;&gt;"Freezer",NOT(ISNUMBER(N230))),"",COUNTIFS($D$5:$D$304,"Freezer",$N$5:$N$304,"&lt;"&amp;N230)+COUNTIFS($D$5:D230,"Freezer",$N$5:N230,N230))</f>
        <v>0</v>
      </c>
      <c r="W230" s="31">
        <f>IF(B230="","",IF(G230=0,"Out of stock",IF(AND(N230&lt;&gt;"",N230&lt;0),"Expired",IF(AND(N230&lt;&gt;"",N230&lt;=ExpiryWarningDays),"Use soon",IF(AND(Q230&lt;&gt;"",G230&lt;Q230),"Low stock","In stock")))))</f>
        <v>0</v>
      </c>
      <c r="X230" s="31">
        <f>IF(B230="","",IF(W230="Expired","Expired - bin it and log it on the Food Waste tab",IF(W230="Use soon","Use soon - plan a meal with it",IF(W230="Out of stock",IF(T230="Yes","Missing - staple has run out","Add - restock when convenient"),IF(W230="Low stock","Check - running low",IF(S230&lt;0,"Check - the plan needs more than you have","OK"))))))</f>
        <v>0</v>
      </c>
    </row>
    <row r="231" spans="1:24">
      <c r="A231" s="39">
        <f>IF(B231="","",PantryPrefix&amp;TEXT(ROW()-4,"0000"))</f>
        <v>0</v>
      </c>
      <c r="C231" s="17">
        <f>IF(B231="","",IFERROR(INDEX(Ingredients!$C$5:$C$304,MATCH(B231,Ingredients!$B$5:$B$304,0)),"Add to Ingredients"))</f>
        <v>0</v>
      </c>
      <c r="G231" s="45">
        <f>IF(E231="","",IFERROR(E231*INDEX(UnitFactors,MATCH(F231,UnitNames,0)),""))</f>
        <v>0</v>
      </c>
      <c r="H231" s="17">
        <f>IF(F231="","",IFERROR(INDEX(UnitBases,MATCH(F231,UnitNames,0)),"?"))</f>
        <v>0</v>
      </c>
      <c r="L231" s="18">
        <f>IF(B231="","",IFERROR(INDEX(Ingredients!$Z$5:$Z$304,MATCH(B231,Ingredients!$B$5:$B$304,0)),"Add to Ingredients"))</f>
        <v>0</v>
      </c>
      <c r="M231" s="19">
        <f>IF(K231&lt;&gt;"",K231,IF(OR(J231="",L231="",NOT(ISNUMBER(L231))),"",J231+L231))</f>
        <v>0</v>
      </c>
      <c r="N231" s="18">
        <f>IF(M231="","",M231-TODAY())</f>
        <v>0</v>
      </c>
      <c r="O231" s="25">
        <f>IF(B231="","",IFERROR(INDEX(Ingredients!$J$5:$J$304,MATCH(B231,Ingredients!$B$5:$B$304,0)),"Add to Ingredients"))</f>
        <v>0</v>
      </c>
      <c r="P231" s="25">
        <f>IF(OR(G231="",O231="",NOT(ISNUMBER(O231))),"",G231*O231)</f>
        <v>0</v>
      </c>
      <c r="R231" s="45">
        <f>IF(B231="","",IFERROR(INDEX(Ingredients!$AG$5:$AG$304,MATCH(B231,Ingredients!$B$5:$B$304,0)),0))</f>
        <v>0</v>
      </c>
      <c r="S231" s="45">
        <f>IF(G231="","",G231-IF(R231="",0,R231))</f>
        <v>0</v>
      </c>
      <c r="U231" s="18">
        <f>IF(OR(B231="",D231&lt;&gt;"Fridge",NOT(ISNUMBER(N231))),"",COUNTIFS($D$5:$D$304,"Fridge",$N$5:$N$304,"&lt;"&amp;N231)+COUNTIFS($D$5:D231,"Fridge",$N$5:N231,N231))</f>
        <v>0</v>
      </c>
      <c r="V231" s="18">
        <f>IF(OR(B231="",D231&lt;&gt;"Freezer",NOT(ISNUMBER(N231))),"",COUNTIFS($D$5:$D$304,"Freezer",$N$5:$N$304,"&lt;"&amp;N231)+COUNTIFS($D$5:D231,"Freezer",$N$5:N231,N231))</f>
        <v>0</v>
      </c>
      <c r="W231" s="31">
        <f>IF(B231="","",IF(G231=0,"Out of stock",IF(AND(N231&lt;&gt;"",N231&lt;0),"Expired",IF(AND(N231&lt;&gt;"",N231&lt;=ExpiryWarningDays),"Use soon",IF(AND(Q231&lt;&gt;"",G231&lt;Q231),"Low stock","In stock")))))</f>
        <v>0</v>
      </c>
      <c r="X231" s="31">
        <f>IF(B231="","",IF(W231="Expired","Expired - bin it and log it on the Food Waste tab",IF(W231="Use soon","Use soon - plan a meal with it",IF(W231="Out of stock",IF(T231="Yes","Missing - staple has run out","Add - restock when convenient"),IF(W231="Low stock","Check - running low",IF(S231&lt;0,"Check - the plan needs more than you have","OK"))))))</f>
        <v>0</v>
      </c>
    </row>
    <row r="232" spans="1:24">
      <c r="A232" s="39">
        <f>IF(B232="","",PantryPrefix&amp;TEXT(ROW()-4,"0000"))</f>
        <v>0</v>
      </c>
      <c r="C232" s="17">
        <f>IF(B232="","",IFERROR(INDEX(Ingredients!$C$5:$C$304,MATCH(B232,Ingredients!$B$5:$B$304,0)),"Add to Ingredients"))</f>
        <v>0</v>
      </c>
      <c r="G232" s="45">
        <f>IF(E232="","",IFERROR(E232*INDEX(UnitFactors,MATCH(F232,UnitNames,0)),""))</f>
        <v>0</v>
      </c>
      <c r="H232" s="17">
        <f>IF(F232="","",IFERROR(INDEX(UnitBases,MATCH(F232,UnitNames,0)),"?"))</f>
        <v>0</v>
      </c>
      <c r="L232" s="18">
        <f>IF(B232="","",IFERROR(INDEX(Ingredients!$Z$5:$Z$304,MATCH(B232,Ingredients!$B$5:$B$304,0)),"Add to Ingredients"))</f>
        <v>0</v>
      </c>
      <c r="M232" s="19">
        <f>IF(K232&lt;&gt;"",K232,IF(OR(J232="",L232="",NOT(ISNUMBER(L232))),"",J232+L232))</f>
        <v>0</v>
      </c>
      <c r="N232" s="18">
        <f>IF(M232="","",M232-TODAY())</f>
        <v>0</v>
      </c>
      <c r="O232" s="25">
        <f>IF(B232="","",IFERROR(INDEX(Ingredients!$J$5:$J$304,MATCH(B232,Ingredients!$B$5:$B$304,0)),"Add to Ingredients"))</f>
        <v>0</v>
      </c>
      <c r="P232" s="25">
        <f>IF(OR(G232="",O232="",NOT(ISNUMBER(O232))),"",G232*O232)</f>
        <v>0</v>
      </c>
      <c r="R232" s="45">
        <f>IF(B232="","",IFERROR(INDEX(Ingredients!$AG$5:$AG$304,MATCH(B232,Ingredients!$B$5:$B$304,0)),0))</f>
        <v>0</v>
      </c>
      <c r="S232" s="45">
        <f>IF(G232="","",G232-IF(R232="",0,R232))</f>
        <v>0</v>
      </c>
      <c r="U232" s="18">
        <f>IF(OR(B232="",D232&lt;&gt;"Fridge",NOT(ISNUMBER(N232))),"",COUNTIFS($D$5:$D$304,"Fridge",$N$5:$N$304,"&lt;"&amp;N232)+COUNTIFS($D$5:D232,"Fridge",$N$5:N232,N232))</f>
        <v>0</v>
      </c>
      <c r="V232" s="18">
        <f>IF(OR(B232="",D232&lt;&gt;"Freezer",NOT(ISNUMBER(N232))),"",COUNTIFS($D$5:$D$304,"Freezer",$N$5:$N$304,"&lt;"&amp;N232)+COUNTIFS($D$5:D232,"Freezer",$N$5:N232,N232))</f>
        <v>0</v>
      </c>
      <c r="W232" s="31">
        <f>IF(B232="","",IF(G232=0,"Out of stock",IF(AND(N232&lt;&gt;"",N232&lt;0),"Expired",IF(AND(N232&lt;&gt;"",N232&lt;=ExpiryWarningDays),"Use soon",IF(AND(Q232&lt;&gt;"",G232&lt;Q232),"Low stock","In stock")))))</f>
        <v>0</v>
      </c>
      <c r="X232" s="31">
        <f>IF(B232="","",IF(W232="Expired","Expired - bin it and log it on the Food Waste tab",IF(W232="Use soon","Use soon - plan a meal with it",IF(W232="Out of stock",IF(T232="Yes","Missing - staple has run out","Add - restock when convenient"),IF(W232="Low stock","Check - running low",IF(S232&lt;0,"Check - the plan needs more than you have","OK"))))))</f>
        <v>0</v>
      </c>
    </row>
    <row r="233" spans="1:24">
      <c r="A233" s="39">
        <f>IF(B233="","",PantryPrefix&amp;TEXT(ROW()-4,"0000"))</f>
        <v>0</v>
      </c>
      <c r="C233" s="17">
        <f>IF(B233="","",IFERROR(INDEX(Ingredients!$C$5:$C$304,MATCH(B233,Ingredients!$B$5:$B$304,0)),"Add to Ingredients"))</f>
        <v>0</v>
      </c>
      <c r="G233" s="45">
        <f>IF(E233="","",IFERROR(E233*INDEX(UnitFactors,MATCH(F233,UnitNames,0)),""))</f>
        <v>0</v>
      </c>
      <c r="H233" s="17">
        <f>IF(F233="","",IFERROR(INDEX(UnitBases,MATCH(F233,UnitNames,0)),"?"))</f>
        <v>0</v>
      </c>
      <c r="L233" s="18">
        <f>IF(B233="","",IFERROR(INDEX(Ingredients!$Z$5:$Z$304,MATCH(B233,Ingredients!$B$5:$B$304,0)),"Add to Ingredients"))</f>
        <v>0</v>
      </c>
      <c r="M233" s="19">
        <f>IF(K233&lt;&gt;"",K233,IF(OR(J233="",L233="",NOT(ISNUMBER(L233))),"",J233+L233))</f>
        <v>0</v>
      </c>
      <c r="N233" s="18">
        <f>IF(M233="","",M233-TODAY())</f>
        <v>0</v>
      </c>
      <c r="O233" s="25">
        <f>IF(B233="","",IFERROR(INDEX(Ingredients!$J$5:$J$304,MATCH(B233,Ingredients!$B$5:$B$304,0)),"Add to Ingredients"))</f>
        <v>0</v>
      </c>
      <c r="P233" s="25">
        <f>IF(OR(G233="",O233="",NOT(ISNUMBER(O233))),"",G233*O233)</f>
        <v>0</v>
      </c>
      <c r="R233" s="45">
        <f>IF(B233="","",IFERROR(INDEX(Ingredients!$AG$5:$AG$304,MATCH(B233,Ingredients!$B$5:$B$304,0)),0))</f>
        <v>0</v>
      </c>
      <c r="S233" s="45">
        <f>IF(G233="","",G233-IF(R233="",0,R233))</f>
        <v>0</v>
      </c>
      <c r="U233" s="18">
        <f>IF(OR(B233="",D233&lt;&gt;"Fridge",NOT(ISNUMBER(N233))),"",COUNTIFS($D$5:$D$304,"Fridge",$N$5:$N$304,"&lt;"&amp;N233)+COUNTIFS($D$5:D233,"Fridge",$N$5:N233,N233))</f>
        <v>0</v>
      </c>
      <c r="V233" s="18">
        <f>IF(OR(B233="",D233&lt;&gt;"Freezer",NOT(ISNUMBER(N233))),"",COUNTIFS($D$5:$D$304,"Freezer",$N$5:$N$304,"&lt;"&amp;N233)+COUNTIFS($D$5:D233,"Freezer",$N$5:N233,N233))</f>
        <v>0</v>
      </c>
      <c r="W233" s="31">
        <f>IF(B233="","",IF(G233=0,"Out of stock",IF(AND(N233&lt;&gt;"",N233&lt;0),"Expired",IF(AND(N233&lt;&gt;"",N233&lt;=ExpiryWarningDays),"Use soon",IF(AND(Q233&lt;&gt;"",G233&lt;Q233),"Low stock","In stock")))))</f>
        <v>0</v>
      </c>
      <c r="X233" s="31">
        <f>IF(B233="","",IF(W233="Expired","Expired - bin it and log it on the Food Waste tab",IF(W233="Use soon","Use soon - plan a meal with it",IF(W233="Out of stock",IF(T233="Yes","Missing - staple has run out","Add - restock when convenient"),IF(W233="Low stock","Check - running low",IF(S233&lt;0,"Check - the plan needs more than you have","OK"))))))</f>
        <v>0</v>
      </c>
    </row>
    <row r="234" spans="1:24">
      <c r="A234" s="39">
        <f>IF(B234="","",PantryPrefix&amp;TEXT(ROW()-4,"0000"))</f>
        <v>0</v>
      </c>
      <c r="C234" s="17">
        <f>IF(B234="","",IFERROR(INDEX(Ingredients!$C$5:$C$304,MATCH(B234,Ingredients!$B$5:$B$304,0)),"Add to Ingredients"))</f>
        <v>0</v>
      </c>
      <c r="G234" s="45">
        <f>IF(E234="","",IFERROR(E234*INDEX(UnitFactors,MATCH(F234,UnitNames,0)),""))</f>
        <v>0</v>
      </c>
      <c r="H234" s="17">
        <f>IF(F234="","",IFERROR(INDEX(UnitBases,MATCH(F234,UnitNames,0)),"?"))</f>
        <v>0</v>
      </c>
      <c r="L234" s="18">
        <f>IF(B234="","",IFERROR(INDEX(Ingredients!$Z$5:$Z$304,MATCH(B234,Ingredients!$B$5:$B$304,0)),"Add to Ingredients"))</f>
        <v>0</v>
      </c>
      <c r="M234" s="19">
        <f>IF(K234&lt;&gt;"",K234,IF(OR(J234="",L234="",NOT(ISNUMBER(L234))),"",J234+L234))</f>
        <v>0</v>
      </c>
      <c r="N234" s="18">
        <f>IF(M234="","",M234-TODAY())</f>
        <v>0</v>
      </c>
      <c r="O234" s="25">
        <f>IF(B234="","",IFERROR(INDEX(Ingredients!$J$5:$J$304,MATCH(B234,Ingredients!$B$5:$B$304,0)),"Add to Ingredients"))</f>
        <v>0</v>
      </c>
      <c r="P234" s="25">
        <f>IF(OR(G234="",O234="",NOT(ISNUMBER(O234))),"",G234*O234)</f>
        <v>0</v>
      </c>
      <c r="R234" s="45">
        <f>IF(B234="","",IFERROR(INDEX(Ingredients!$AG$5:$AG$304,MATCH(B234,Ingredients!$B$5:$B$304,0)),0))</f>
        <v>0</v>
      </c>
      <c r="S234" s="45">
        <f>IF(G234="","",G234-IF(R234="",0,R234))</f>
        <v>0</v>
      </c>
      <c r="U234" s="18">
        <f>IF(OR(B234="",D234&lt;&gt;"Fridge",NOT(ISNUMBER(N234))),"",COUNTIFS($D$5:$D$304,"Fridge",$N$5:$N$304,"&lt;"&amp;N234)+COUNTIFS($D$5:D234,"Fridge",$N$5:N234,N234))</f>
        <v>0</v>
      </c>
      <c r="V234" s="18">
        <f>IF(OR(B234="",D234&lt;&gt;"Freezer",NOT(ISNUMBER(N234))),"",COUNTIFS($D$5:$D$304,"Freezer",$N$5:$N$304,"&lt;"&amp;N234)+COUNTIFS($D$5:D234,"Freezer",$N$5:N234,N234))</f>
        <v>0</v>
      </c>
      <c r="W234" s="31">
        <f>IF(B234="","",IF(G234=0,"Out of stock",IF(AND(N234&lt;&gt;"",N234&lt;0),"Expired",IF(AND(N234&lt;&gt;"",N234&lt;=ExpiryWarningDays),"Use soon",IF(AND(Q234&lt;&gt;"",G234&lt;Q234),"Low stock","In stock")))))</f>
        <v>0</v>
      </c>
      <c r="X234" s="31">
        <f>IF(B234="","",IF(W234="Expired","Expired - bin it and log it on the Food Waste tab",IF(W234="Use soon","Use soon - plan a meal with it",IF(W234="Out of stock",IF(T234="Yes","Missing - staple has run out","Add - restock when convenient"),IF(W234="Low stock","Check - running low",IF(S234&lt;0,"Check - the plan needs more than you have","OK"))))))</f>
        <v>0</v>
      </c>
    </row>
    <row r="235" spans="1:24">
      <c r="A235" s="39">
        <f>IF(B235="","",PantryPrefix&amp;TEXT(ROW()-4,"0000"))</f>
        <v>0</v>
      </c>
      <c r="C235" s="17">
        <f>IF(B235="","",IFERROR(INDEX(Ingredients!$C$5:$C$304,MATCH(B235,Ingredients!$B$5:$B$304,0)),"Add to Ingredients"))</f>
        <v>0</v>
      </c>
      <c r="G235" s="45">
        <f>IF(E235="","",IFERROR(E235*INDEX(UnitFactors,MATCH(F235,UnitNames,0)),""))</f>
        <v>0</v>
      </c>
      <c r="H235" s="17">
        <f>IF(F235="","",IFERROR(INDEX(UnitBases,MATCH(F235,UnitNames,0)),"?"))</f>
        <v>0</v>
      </c>
      <c r="L235" s="18">
        <f>IF(B235="","",IFERROR(INDEX(Ingredients!$Z$5:$Z$304,MATCH(B235,Ingredients!$B$5:$B$304,0)),"Add to Ingredients"))</f>
        <v>0</v>
      </c>
      <c r="M235" s="19">
        <f>IF(K235&lt;&gt;"",K235,IF(OR(J235="",L235="",NOT(ISNUMBER(L235))),"",J235+L235))</f>
        <v>0</v>
      </c>
      <c r="N235" s="18">
        <f>IF(M235="","",M235-TODAY())</f>
        <v>0</v>
      </c>
      <c r="O235" s="25">
        <f>IF(B235="","",IFERROR(INDEX(Ingredients!$J$5:$J$304,MATCH(B235,Ingredients!$B$5:$B$304,0)),"Add to Ingredients"))</f>
        <v>0</v>
      </c>
      <c r="P235" s="25">
        <f>IF(OR(G235="",O235="",NOT(ISNUMBER(O235))),"",G235*O235)</f>
        <v>0</v>
      </c>
      <c r="R235" s="45">
        <f>IF(B235="","",IFERROR(INDEX(Ingredients!$AG$5:$AG$304,MATCH(B235,Ingredients!$B$5:$B$304,0)),0))</f>
        <v>0</v>
      </c>
      <c r="S235" s="45">
        <f>IF(G235="","",G235-IF(R235="",0,R235))</f>
        <v>0</v>
      </c>
      <c r="U235" s="18">
        <f>IF(OR(B235="",D235&lt;&gt;"Fridge",NOT(ISNUMBER(N235))),"",COUNTIFS($D$5:$D$304,"Fridge",$N$5:$N$304,"&lt;"&amp;N235)+COUNTIFS($D$5:D235,"Fridge",$N$5:N235,N235))</f>
        <v>0</v>
      </c>
      <c r="V235" s="18">
        <f>IF(OR(B235="",D235&lt;&gt;"Freezer",NOT(ISNUMBER(N235))),"",COUNTIFS($D$5:$D$304,"Freezer",$N$5:$N$304,"&lt;"&amp;N235)+COUNTIFS($D$5:D235,"Freezer",$N$5:N235,N235))</f>
        <v>0</v>
      </c>
      <c r="W235" s="31">
        <f>IF(B235="","",IF(G235=0,"Out of stock",IF(AND(N235&lt;&gt;"",N235&lt;0),"Expired",IF(AND(N235&lt;&gt;"",N235&lt;=ExpiryWarningDays),"Use soon",IF(AND(Q235&lt;&gt;"",G235&lt;Q235),"Low stock","In stock")))))</f>
        <v>0</v>
      </c>
      <c r="X235" s="31">
        <f>IF(B235="","",IF(W235="Expired","Expired - bin it and log it on the Food Waste tab",IF(W235="Use soon","Use soon - plan a meal with it",IF(W235="Out of stock",IF(T235="Yes","Missing - staple has run out","Add - restock when convenient"),IF(W235="Low stock","Check - running low",IF(S235&lt;0,"Check - the plan needs more than you have","OK"))))))</f>
        <v>0</v>
      </c>
    </row>
    <row r="236" spans="1:24">
      <c r="A236" s="39">
        <f>IF(B236="","",PantryPrefix&amp;TEXT(ROW()-4,"0000"))</f>
        <v>0</v>
      </c>
      <c r="C236" s="17">
        <f>IF(B236="","",IFERROR(INDEX(Ingredients!$C$5:$C$304,MATCH(B236,Ingredients!$B$5:$B$304,0)),"Add to Ingredients"))</f>
        <v>0</v>
      </c>
      <c r="G236" s="45">
        <f>IF(E236="","",IFERROR(E236*INDEX(UnitFactors,MATCH(F236,UnitNames,0)),""))</f>
        <v>0</v>
      </c>
      <c r="H236" s="17">
        <f>IF(F236="","",IFERROR(INDEX(UnitBases,MATCH(F236,UnitNames,0)),"?"))</f>
        <v>0</v>
      </c>
      <c r="L236" s="18">
        <f>IF(B236="","",IFERROR(INDEX(Ingredients!$Z$5:$Z$304,MATCH(B236,Ingredients!$B$5:$B$304,0)),"Add to Ingredients"))</f>
        <v>0</v>
      </c>
      <c r="M236" s="19">
        <f>IF(K236&lt;&gt;"",K236,IF(OR(J236="",L236="",NOT(ISNUMBER(L236))),"",J236+L236))</f>
        <v>0</v>
      </c>
      <c r="N236" s="18">
        <f>IF(M236="","",M236-TODAY())</f>
        <v>0</v>
      </c>
      <c r="O236" s="25">
        <f>IF(B236="","",IFERROR(INDEX(Ingredients!$J$5:$J$304,MATCH(B236,Ingredients!$B$5:$B$304,0)),"Add to Ingredients"))</f>
        <v>0</v>
      </c>
      <c r="P236" s="25">
        <f>IF(OR(G236="",O236="",NOT(ISNUMBER(O236))),"",G236*O236)</f>
        <v>0</v>
      </c>
      <c r="R236" s="45">
        <f>IF(B236="","",IFERROR(INDEX(Ingredients!$AG$5:$AG$304,MATCH(B236,Ingredients!$B$5:$B$304,0)),0))</f>
        <v>0</v>
      </c>
      <c r="S236" s="45">
        <f>IF(G236="","",G236-IF(R236="",0,R236))</f>
        <v>0</v>
      </c>
      <c r="U236" s="18">
        <f>IF(OR(B236="",D236&lt;&gt;"Fridge",NOT(ISNUMBER(N236))),"",COUNTIFS($D$5:$D$304,"Fridge",$N$5:$N$304,"&lt;"&amp;N236)+COUNTIFS($D$5:D236,"Fridge",$N$5:N236,N236))</f>
        <v>0</v>
      </c>
      <c r="V236" s="18">
        <f>IF(OR(B236="",D236&lt;&gt;"Freezer",NOT(ISNUMBER(N236))),"",COUNTIFS($D$5:$D$304,"Freezer",$N$5:$N$304,"&lt;"&amp;N236)+COUNTIFS($D$5:D236,"Freezer",$N$5:N236,N236))</f>
        <v>0</v>
      </c>
      <c r="W236" s="31">
        <f>IF(B236="","",IF(G236=0,"Out of stock",IF(AND(N236&lt;&gt;"",N236&lt;0),"Expired",IF(AND(N236&lt;&gt;"",N236&lt;=ExpiryWarningDays),"Use soon",IF(AND(Q236&lt;&gt;"",G236&lt;Q236),"Low stock","In stock")))))</f>
        <v>0</v>
      </c>
      <c r="X236" s="31">
        <f>IF(B236="","",IF(W236="Expired","Expired - bin it and log it on the Food Waste tab",IF(W236="Use soon","Use soon - plan a meal with it",IF(W236="Out of stock",IF(T236="Yes","Missing - staple has run out","Add - restock when convenient"),IF(W236="Low stock","Check - running low",IF(S236&lt;0,"Check - the plan needs more than you have","OK"))))))</f>
        <v>0</v>
      </c>
    </row>
    <row r="237" spans="1:24">
      <c r="A237" s="39">
        <f>IF(B237="","",PantryPrefix&amp;TEXT(ROW()-4,"0000"))</f>
        <v>0</v>
      </c>
      <c r="C237" s="17">
        <f>IF(B237="","",IFERROR(INDEX(Ingredients!$C$5:$C$304,MATCH(B237,Ingredients!$B$5:$B$304,0)),"Add to Ingredients"))</f>
        <v>0</v>
      </c>
      <c r="G237" s="45">
        <f>IF(E237="","",IFERROR(E237*INDEX(UnitFactors,MATCH(F237,UnitNames,0)),""))</f>
        <v>0</v>
      </c>
      <c r="H237" s="17">
        <f>IF(F237="","",IFERROR(INDEX(UnitBases,MATCH(F237,UnitNames,0)),"?"))</f>
        <v>0</v>
      </c>
      <c r="L237" s="18">
        <f>IF(B237="","",IFERROR(INDEX(Ingredients!$Z$5:$Z$304,MATCH(B237,Ingredients!$B$5:$B$304,0)),"Add to Ingredients"))</f>
        <v>0</v>
      </c>
      <c r="M237" s="19">
        <f>IF(K237&lt;&gt;"",K237,IF(OR(J237="",L237="",NOT(ISNUMBER(L237))),"",J237+L237))</f>
        <v>0</v>
      </c>
      <c r="N237" s="18">
        <f>IF(M237="","",M237-TODAY())</f>
        <v>0</v>
      </c>
      <c r="O237" s="25">
        <f>IF(B237="","",IFERROR(INDEX(Ingredients!$J$5:$J$304,MATCH(B237,Ingredients!$B$5:$B$304,0)),"Add to Ingredients"))</f>
        <v>0</v>
      </c>
      <c r="P237" s="25">
        <f>IF(OR(G237="",O237="",NOT(ISNUMBER(O237))),"",G237*O237)</f>
        <v>0</v>
      </c>
      <c r="R237" s="45">
        <f>IF(B237="","",IFERROR(INDEX(Ingredients!$AG$5:$AG$304,MATCH(B237,Ingredients!$B$5:$B$304,0)),0))</f>
        <v>0</v>
      </c>
      <c r="S237" s="45">
        <f>IF(G237="","",G237-IF(R237="",0,R237))</f>
        <v>0</v>
      </c>
      <c r="U237" s="18">
        <f>IF(OR(B237="",D237&lt;&gt;"Fridge",NOT(ISNUMBER(N237))),"",COUNTIFS($D$5:$D$304,"Fridge",$N$5:$N$304,"&lt;"&amp;N237)+COUNTIFS($D$5:D237,"Fridge",$N$5:N237,N237))</f>
        <v>0</v>
      </c>
      <c r="V237" s="18">
        <f>IF(OR(B237="",D237&lt;&gt;"Freezer",NOT(ISNUMBER(N237))),"",COUNTIFS($D$5:$D$304,"Freezer",$N$5:$N$304,"&lt;"&amp;N237)+COUNTIFS($D$5:D237,"Freezer",$N$5:N237,N237))</f>
        <v>0</v>
      </c>
      <c r="W237" s="31">
        <f>IF(B237="","",IF(G237=0,"Out of stock",IF(AND(N237&lt;&gt;"",N237&lt;0),"Expired",IF(AND(N237&lt;&gt;"",N237&lt;=ExpiryWarningDays),"Use soon",IF(AND(Q237&lt;&gt;"",G237&lt;Q237),"Low stock","In stock")))))</f>
        <v>0</v>
      </c>
      <c r="X237" s="31">
        <f>IF(B237="","",IF(W237="Expired","Expired - bin it and log it on the Food Waste tab",IF(W237="Use soon","Use soon - plan a meal with it",IF(W237="Out of stock",IF(T237="Yes","Missing - staple has run out","Add - restock when convenient"),IF(W237="Low stock","Check - running low",IF(S237&lt;0,"Check - the plan needs more than you have","OK"))))))</f>
        <v>0</v>
      </c>
    </row>
    <row r="238" spans="1:24">
      <c r="A238" s="39">
        <f>IF(B238="","",PantryPrefix&amp;TEXT(ROW()-4,"0000"))</f>
        <v>0</v>
      </c>
      <c r="C238" s="17">
        <f>IF(B238="","",IFERROR(INDEX(Ingredients!$C$5:$C$304,MATCH(B238,Ingredients!$B$5:$B$304,0)),"Add to Ingredients"))</f>
        <v>0</v>
      </c>
      <c r="G238" s="45">
        <f>IF(E238="","",IFERROR(E238*INDEX(UnitFactors,MATCH(F238,UnitNames,0)),""))</f>
        <v>0</v>
      </c>
      <c r="H238" s="17">
        <f>IF(F238="","",IFERROR(INDEX(UnitBases,MATCH(F238,UnitNames,0)),"?"))</f>
        <v>0</v>
      </c>
      <c r="L238" s="18">
        <f>IF(B238="","",IFERROR(INDEX(Ingredients!$Z$5:$Z$304,MATCH(B238,Ingredients!$B$5:$B$304,0)),"Add to Ingredients"))</f>
        <v>0</v>
      </c>
      <c r="M238" s="19">
        <f>IF(K238&lt;&gt;"",K238,IF(OR(J238="",L238="",NOT(ISNUMBER(L238))),"",J238+L238))</f>
        <v>0</v>
      </c>
      <c r="N238" s="18">
        <f>IF(M238="","",M238-TODAY())</f>
        <v>0</v>
      </c>
      <c r="O238" s="25">
        <f>IF(B238="","",IFERROR(INDEX(Ingredients!$J$5:$J$304,MATCH(B238,Ingredients!$B$5:$B$304,0)),"Add to Ingredients"))</f>
        <v>0</v>
      </c>
      <c r="P238" s="25">
        <f>IF(OR(G238="",O238="",NOT(ISNUMBER(O238))),"",G238*O238)</f>
        <v>0</v>
      </c>
      <c r="R238" s="45">
        <f>IF(B238="","",IFERROR(INDEX(Ingredients!$AG$5:$AG$304,MATCH(B238,Ingredients!$B$5:$B$304,0)),0))</f>
        <v>0</v>
      </c>
      <c r="S238" s="45">
        <f>IF(G238="","",G238-IF(R238="",0,R238))</f>
        <v>0</v>
      </c>
      <c r="U238" s="18">
        <f>IF(OR(B238="",D238&lt;&gt;"Fridge",NOT(ISNUMBER(N238))),"",COUNTIFS($D$5:$D$304,"Fridge",$N$5:$N$304,"&lt;"&amp;N238)+COUNTIFS($D$5:D238,"Fridge",$N$5:N238,N238))</f>
        <v>0</v>
      </c>
      <c r="V238" s="18">
        <f>IF(OR(B238="",D238&lt;&gt;"Freezer",NOT(ISNUMBER(N238))),"",COUNTIFS($D$5:$D$304,"Freezer",$N$5:$N$304,"&lt;"&amp;N238)+COUNTIFS($D$5:D238,"Freezer",$N$5:N238,N238))</f>
        <v>0</v>
      </c>
      <c r="W238" s="31">
        <f>IF(B238="","",IF(G238=0,"Out of stock",IF(AND(N238&lt;&gt;"",N238&lt;0),"Expired",IF(AND(N238&lt;&gt;"",N238&lt;=ExpiryWarningDays),"Use soon",IF(AND(Q238&lt;&gt;"",G238&lt;Q238),"Low stock","In stock")))))</f>
        <v>0</v>
      </c>
      <c r="X238" s="31">
        <f>IF(B238="","",IF(W238="Expired","Expired - bin it and log it on the Food Waste tab",IF(W238="Use soon","Use soon - plan a meal with it",IF(W238="Out of stock",IF(T238="Yes","Missing - staple has run out","Add - restock when convenient"),IF(W238="Low stock","Check - running low",IF(S238&lt;0,"Check - the plan needs more than you have","OK"))))))</f>
        <v>0</v>
      </c>
    </row>
    <row r="239" spans="1:24">
      <c r="A239" s="39">
        <f>IF(B239="","",PantryPrefix&amp;TEXT(ROW()-4,"0000"))</f>
        <v>0</v>
      </c>
      <c r="C239" s="17">
        <f>IF(B239="","",IFERROR(INDEX(Ingredients!$C$5:$C$304,MATCH(B239,Ingredients!$B$5:$B$304,0)),"Add to Ingredients"))</f>
        <v>0</v>
      </c>
      <c r="G239" s="45">
        <f>IF(E239="","",IFERROR(E239*INDEX(UnitFactors,MATCH(F239,UnitNames,0)),""))</f>
        <v>0</v>
      </c>
      <c r="H239" s="17">
        <f>IF(F239="","",IFERROR(INDEX(UnitBases,MATCH(F239,UnitNames,0)),"?"))</f>
        <v>0</v>
      </c>
      <c r="L239" s="18">
        <f>IF(B239="","",IFERROR(INDEX(Ingredients!$Z$5:$Z$304,MATCH(B239,Ingredients!$B$5:$B$304,0)),"Add to Ingredients"))</f>
        <v>0</v>
      </c>
      <c r="M239" s="19">
        <f>IF(K239&lt;&gt;"",K239,IF(OR(J239="",L239="",NOT(ISNUMBER(L239))),"",J239+L239))</f>
        <v>0</v>
      </c>
      <c r="N239" s="18">
        <f>IF(M239="","",M239-TODAY())</f>
        <v>0</v>
      </c>
      <c r="O239" s="25">
        <f>IF(B239="","",IFERROR(INDEX(Ingredients!$J$5:$J$304,MATCH(B239,Ingredients!$B$5:$B$304,0)),"Add to Ingredients"))</f>
        <v>0</v>
      </c>
      <c r="P239" s="25">
        <f>IF(OR(G239="",O239="",NOT(ISNUMBER(O239))),"",G239*O239)</f>
        <v>0</v>
      </c>
      <c r="R239" s="45">
        <f>IF(B239="","",IFERROR(INDEX(Ingredients!$AG$5:$AG$304,MATCH(B239,Ingredients!$B$5:$B$304,0)),0))</f>
        <v>0</v>
      </c>
      <c r="S239" s="45">
        <f>IF(G239="","",G239-IF(R239="",0,R239))</f>
        <v>0</v>
      </c>
      <c r="U239" s="18">
        <f>IF(OR(B239="",D239&lt;&gt;"Fridge",NOT(ISNUMBER(N239))),"",COUNTIFS($D$5:$D$304,"Fridge",$N$5:$N$304,"&lt;"&amp;N239)+COUNTIFS($D$5:D239,"Fridge",$N$5:N239,N239))</f>
        <v>0</v>
      </c>
      <c r="V239" s="18">
        <f>IF(OR(B239="",D239&lt;&gt;"Freezer",NOT(ISNUMBER(N239))),"",COUNTIFS($D$5:$D$304,"Freezer",$N$5:$N$304,"&lt;"&amp;N239)+COUNTIFS($D$5:D239,"Freezer",$N$5:N239,N239))</f>
        <v>0</v>
      </c>
      <c r="W239" s="31">
        <f>IF(B239="","",IF(G239=0,"Out of stock",IF(AND(N239&lt;&gt;"",N239&lt;0),"Expired",IF(AND(N239&lt;&gt;"",N239&lt;=ExpiryWarningDays),"Use soon",IF(AND(Q239&lt;&gt;"",G239&lt;Q239),"Low stock","In stock")))))</f>
        <v>0</v>
      </c>
      <c r="X239" s="31">
        <f>IF(B239="","",IF(W239="Expired","Expired - bin it and log it on the Food Waste tab",IF(W239="Use soon","Use soon - plan a meal with it",IF(W239="Out of stock",IF(T239="Yes","Missing - staple has run out","Add - restock when convenient"),IF(W239="Low stock","Check - running low",IF(S239&lt;0,"Check - the plan needs more than you have","OK"))))))</f>
        <v>0</v>
      </c>
    </row>
    <row r="240" spans="1:24">
      <c r="A240" s="39">
        <f>IF(B240="","",PantryPrefix&amp;TEXT(ROW()-4,"0000"))</f>
        <v>0</v>
      </c>
      <c r="C240" s="17">
        <f>IF(B240="","",IFERROR(INDEX(Ingredients!$C$5:$C$304,MATCH(B240,Ingredients!$B$5:$B$304,0)),"Add to Ingredients"))</f>
        <v>0</v>
      </c>
      <c r="G240" s="45">
        <f>IF(E240="","",IFERROR(E240*INDEX(UnitFactors,MATCH(F240,UnitNames,0)),""))</f>
        <v>0</v>
      </c>
      <c r="H240" s="17">
        <f>IF(F240="","",IFERROR(INDEX(UnitBases,MATCH(F240,UnitNames,0)),"?"))</f>
        <v>0</v>
      </c>
      <c r="L240" s="18">
        <f>IF(B240="","",IFERROR(INDEX(Ingredients!$Z$5:$Z$304,MATCH(B240,Ingredients!$B$5:$B$304,0)),"Add to Ingredients"))</f>
        <v>0</v>
      </c>
      <c r="M240" s="19">
        <f>IF(K240&lt;&gt;"",K240,IF(OR(J240="",L240="",NOT(ISNUMBER(L240))),"",J240+L240))</f>
        <v>0</v>
      </c>
      <c r="N240" s="18">
        <f>IF(M240="","",M240-TODAY())</f>
        <v>0</v>
      </c>
      <c r="O240" s="25">
        <f>IF(B240="","",IFERROR(INDEX(Ingredients!$J$5:$J$304,MATCH(B240,Ingredients!$B$5:$B$304,0)),"Add to Ingredients"))</f>
        <v>0</v>
      </c>
      <c r="P240" s="25">
        <f>IF(OR(G240="",O240="",NOT(ISNUMBER(O240))),"",G240*O240)</f>
        <v>0</v>
      </c>
      <c r="R240" s="45">
        <f>IF(B240="","",IFERROR(INDEX(Ingredients!$AG$5:$AG$304,MATCH(B240,Ingredients!$B$5:$B$304,0)),0))</f>
        <v>0</v>
      </c>
      <c r="S240" s="45">
        <f>IF(G240="","",G240-IF(R240="",0,R240))</f>
        <v>0</v>
      </c>
      <c r="U240" s="18">
        <f>IF(OR(B240="",D240&lt;&gt;"Fridge",NOT(ISNUMBER(N240))),"",COUNTIFS($D$5:$D$304,"Fridge",$N$5:$N$304,"&lt;"&amp;N240)+COUNTIFS($D$5:D240,"Fridge",$N$5:N240,N240))</f>
        <v>0</v>
      </c>
      <c r="V240" s="18">
        <f>IF(OR(B240="",D240&lt;&gt;"Freezer",NOT(ISNUMBER(N240))),"",COUNTIFS($D$5:$D$304,"Freezer",$N$5:$N$304,"&lt;"&amp;N240)+COUNTIFS($D$5:D240,"Freezer",$N$5:N240,N240))</f>
        <v>0</v>
      </c>
      <c r="W240" s="31">
        <f>IF(B240="","",IF(G240=0,"Out of stock",IF(AND(N240&lt;&gt;"",N240&lt;0),"Expired",IF(AND(N240&lt;&gt;"",N240&lt;=ExpiryWarningDays),"Use soon",IF(AND(Q240&lt;&gt;"",G240&lt;Q240),"Low stock","In stock")))))</f>
        <v>0</v>
      </c>
      <c r="X240" s="31">
        <f>IF(B240="","",IF(W240="Expired","Expired - bin it and log it on the Food Waste tab",IF(W240="Use soon","Use soon - plan a meal with it",IF(W240="Out of stock",IF(T240="Yes","Missing - staple has run out","Add - restock when convenient"),IF(W240="Low stock","Check - running low",IF(S240&lt;0,"Check - the plan needs more than you have","OK"))))))</f>
        <v>0</v>
      </c>
    </row>
    <row r="241" spans="1:24">
      <c r="A241" s="39">
        <f>IF(B241="","",PantryPrefix&amp;TEXT(ROW()-4,"0000"))</f>
        <v>0</v>
      </c>
      <c r="C241" s="17">
        <f>IF(B241="","",IFERROR(INDEX(Ingredients!$C$5:$C$304,MATCH(B241,Ingredients!$B$5:$B$304,0)),"Add to Ingredients"))</f>
        <v>0</v>
      </c>
      <c r="G241" s="45">
        <f>IF(E241="","",IFERROR(E241*INDEX(UnitFactors,MATCH(F241,UnitNames,0)),""))</f>
        <v>0</v>
      </c>
      <c r="H241" s="17">
        <f>IF(F241="","",IFERROR(INDEX(UnitBases,MATCH(F241,UnitNames,0)),"?"))</f>
        <v>0</v>
      </c>
      <c r="L241" s="18">
        <f>IF(B241="","",IFERROR(INDEX(Ingredients!$Z$5:$Z$304,MATCH(B241,Ingredients!$B$5:$B$304,0)),"Add to Ingredients"))</f>
        <v>0</v>
      </c>
      <c r="M241" s="19">
        <f>IF(K241&lt;&gt;"",K241,IF(OR(J241="",L241="",NOT(ISNUMBER(L241))),"",J241+L241))</f>
        <v>0</v>
      </c>
      <c r="N241" s="18">
        <f>IF(M241="","",M241-TODAY())</f>
        <v>0</v>
      </c>
      <c r="O241" s="25">
        <f>IF(B241="","",IFERROR(INDEX(Ingredients!$J$5:$J$304,MATCH(B241,Ingredients!$B$5:$B$304,0)),"Add to Ingredients"))</f>
        <v>0</v>
      </c>
      <c r="P241" s="25">
        <f>IF(OR(G241="",O241="",NOT(ISNUMBER(O241))),"",G241*O241)</f>
        <v>0</v>
      </c>
      <c r="R241" s="45">
        <f>IF(B241="","",IFERROR(INDEX(Ingredients!$AG$5:$AG$304,MATCH(B241,Ingredients!$B$5:$B$304,0)),0))</f>
        <v>0</v>
      </c>
      <c r="S241" s="45">
        <f>IF(G241="","",G241-IF(R241="",0,R241))</f>
        <v>0</v>
      </c>
      <c r="U241" s="18">
        <f>IF(OR(B241="",D241&lt;&gt;"Fridge",NOT(ISNUMBER(N241))),"",COUNTIFS($D$5:$D$304,"Fridge",$N$5:$N$304,"&lt;"&amp;N241)+COUNTIFS($D$5:D241,"Fridge",$N$5:N241,N241))</f>
        <v>0</v>
      </c>
      <c r="V241" s="18">
        <f>IF(OR(B241="",D241&lt;&gt;"Freezer",NOT(ISNUMBER(N241))),"",COUNTIFS($D$5:$D$304,"Freezer",$N$5:$N$304,"&lt;"&amp;N241)+COUNTIFS($D$5:D241,"Freezer",$N$5:N241,N241))</f>
        <v>0</v>
      </c>
      <c r="W241" s="31">
        <f>IF(B241="","",IF(G241=0,"Out of stock",IF(AND(N241&lt;&gt;"",N241&lt;0),"Expired",IF(AND(N241&lt;&gt;"",N241&lt;=ExpiryWarningDays),"Use soon",IF(AND(Q241&lt;&gt;"",G241&lt;Q241),"Low stock","In stock")))))</f>
        <v>0</v>
      </c>
      <c r="X241" s="31">
        <f>IF(B241="","",IF(W241="Expired","Expired - bin it and log it on the Food Waste tab",IF(W241="Use soon","Use soon - plan a meal with it",IF(W241="Out of stock",IF(T241="Yes","Missing - staple has run out","Add - restock when convenient"),IF(W241="Low stock","Check - running low",IF(S241&lt;0,"Check - the plan needs more than you have","OK"))))))</f>
        <v>0</v>
      </c>
    </row>
    <row r="242" spans="1:24">
      <c r="A242" s="39">
        <f>IF(B242="","",PantryPrefix&amp;TEXT(ROW()-4,"0000"))</f>
        <v>0</v>
      </c>
      <c r="C242" s="17">
        <f>IF(B242="","",IFERROR(INDEX(Ingredients!$C$5:$C$304,MATCH(B242,Ingredients!$B$5:$B$304,0)),"Add to Ingredients"))</f>
        <v>0</v>
      </c>
      <c r="G242" s="45">
        <f>IF(E242="","",IFERROR(E242*INDEX(UnitFactors,MATCH(F242,UnitNames,0)),""))</f>
        <v>0</v>
      </c>
      <c r="H242" s="17">
        <f>IF(F242="","",IFERROR(INDEX(UnitBases,MATCH(F242,UnitNames,0)),"?"))</f>
        <v>0</v>
      </c>
      <c r="L242" s="18">
        <f>IF(B242="","",IFERROR(INDEX(Ingredients!$Z$5:$Z$304,MATCH(B242,Ingredients!$B$5:$B$304,0)),"Add to Ingredients"))</f>
        <v>0</v>
      </c>
      <c r="M242" s="19">
        <f>IF(K242&lt;&gt;"",K242,IF(OR(J242="",L242="",NOT(ISNUMBER(L242))),"",J242+L242))</f>
        <v>0</v>
      </c>
      <c r="N242" s="18">
        <f>IF(M242="","",M242-TODAY())</f>
        <v>0</v>
      </c>
      <c r="O242" s="25">
        <f>IF(B242="","",IFERROR(INDEX(Ingredients!$J$5:$J$304,MATCH(B242,Ingredients!$B$5:$B$304,0)),"Add to Ingredients"))</f>
        <v>0</v>
      </c>
      <c r="P242" s="25">
        <f>IF(OR(G242="",O242="",NOT(ISNUMBER(O242))),"",G242*O242)</f>
        <v>0</v>
      </c>
      <c r="R242" s="45">
        <f>IF(B242="","",IFERROR(INDEX(Ingredients!$AG$5:$AG$304,MATCH(B242,Ingredients!$B$5:$B$304,0)),0))</f>
        <v>0</v>
      </c>
      <c r="S242" s="45">
        <f>IF(G242="","",G242-IF(R242="",0,R242))</f>
        <v>0</v>
      </c>
      <c r="U242" s="18">
        <f>IF(OR(B242="",D242&lt;&gt;"Fridge",NOT(ISNUMBER(N242))),"",COUNTIFS($D$5:$D$304,"Fridge",$N$5:$N$304,"&lt;"&amp;N242)+COUNTIFS($D$5:D242,"Fridge",$N$5:N242,N242))</f>
        <v>0</v>
      </c>
      <c r="V242" s="18">
        <f>IF(OR(B242="",D242&lt;&gt;"Freezer",NOT(ISNUMBER(N242))),"",COUNTIFS($D$5:$D$304,"Freezer",$N$5:$N$304,"&lt;"&amp;N242)+COUNTIFS($D$5:D242,"Freezer",$N$5:N242,N242))</f>
        <v>0</v>
      </c>
      <c r="W242" s="31">
        <f>IF(B242="","",IF(G242=0,"Out of stock",IF(AND(N242&lt;&gt;"",N242&lt;0),"Expired",IF(AND(N242&lt;&gt;"",N242&lt;=ExpiryWarningDays),"Use soon",IF(AND(Q242&lt;&gt;"",G242&lt;Q242),"Low stock","In stock")))))</f>
        <v>0</v>
      </c>
      <c r="X242" s="31">
        <f>IF(B242="","",IF(W242="Expired","Expired - bin it and log it on the Food Waste tab",IF(W242="Use soon","Use soon - plan a meal with it",IF(W242="Out of stock",IF(T242="Yes","Missing - staple has run out","Add - restock when convenient"),IF(W242="Low stock","Check - running low",IF(S242&lt;0,"Check - the plan needs more than you have","OK"))))))</f>
        <v>0</v>
      </c>
    </row>
    <row r="243" spans="1:24">
      <c r="A243" s="39">
        <f>IF(B243="","",PantryPrefix&amp;TEXT(ROW()-4,"0000"))</f>
        <v>0</v>
      </c>
      <c r="C243" s="17">
        <f>IF(B243="","",IFERROR(INDEX(Ingredients!$C$5:$C$304,MATCH(B243,Ingredients!$B$5:$B$304,0)),"Add to Ingredients"))</f>
        <v>0</v>
      </c>
      <c r="G243" s="45">
        <f>IF(E243="","",IFERROR(E243*INDEX(UnitFactors,MATCH(F243,UnitNames,0)),""))</f>
        <v>0</v>
      </c>
      <c r="H243" s="17">
        <f>IF(F243="","",IFERROR(INDEX(UnitBases,MATCH(F243,UnitNames,0)),"?"))</f>
        <v>0</v>
      </c>
      <c r="L243" s="18">
        <f>IF(B243="","",IFERROR(INDEX(Ingredients!$Z$5:$Z$304,MATCH(B243,Ingredients!$B$5:$B$304,0)),"Add to Ingredients"))</f>
        <v>0</v>
      </c>
      <c r="M243" s="19">
        <f>IF(K243&lt;&gt;"",K243,IF(OR(J243="",L243="",NOT(ISNUMBER(L243))),"",J243+L243))</f>
        <v>0</v>
      </c>
      <c r="N243" s="18">
        <f>IF(M243="","",M243-TODAY())</f>
        <v>0</v>
      </c>
      <c r="O243" s="25">
        <f>IF(B243="","",IFERROR(INDEX(Ingredients!$J$5:$J$304,MATCH(B243,Ingredients!$B$5:$B$304,0)),"Add to Ingredients"))</f>
        <v>0</v>
      </c>
      <c r="P243" s="25">
        <f>IF(OR(G243="",O243="",NOT(ISNUMBER(O243))),"",G243*O243)</f>
        <v>0</v>
      </c>
      <c r="R243" s="45">
        <f>IF(B243="","",IFERROR(INDEX(Ingredients!$AG$5:$AG$304,MATCH(B243,Ingredients!$B$5:$B$304,0)),0))</f>
        <v>0</v>
      </c>
      <c r="S243" s="45">
        <f>IF(G243="","",G243-IF(R243="",0,R243))</f>
        <v>0</v>
      </c>
      <c r="U243" s="18">
        <f>IF(OR(B243="",D243&lt;&gt;"Fridge",NOT(ISNUMBER(N243))),"",COUNTIFS($D$5:$D$304,"Fridge",$N$5:$N$304,"&lt;"&amp;N243)+COUNTIFS($D$5:D243,"Fridge",$N$5:N243,N243))</f>
        <v>0</v>
      </c>
      <c r="V243" s="18">
        <f>IF(OR(B243="",D243&lt;&gt;"Freezer",NOT(ISNUMBER(N243))),"",COUNTIFS($D$5:$D$304,"Freezer",$N$5:$N$304,"&lt;"&amp;N243)+COUNTIFS($D$5:D243,"Freezer",$N$5:N243,N243))</f>
        <v>0</v>
      </c>
      <c r="W243" s="31">
        <f>IF(B243="","",IF(G243=0,"Out of stock",IF(AND(N243&lt;&gt;"",N243&lt;0),"Expired",IF(AND(N243&lt;&gt;"",N243&lt;=ExpiryWarningDays),"Use soon",IF(AND(Q243&lt;&gt;"",G243&lt;Q243),"Low stock","In stock")))))</f>
        <v>0</v>
      </c>
      <c r="X243" s="31">
        <f>IF(B243="","",IF(W243="Expired","Expired - bin it and log it on the Food Waste tab",IF(W243="Use soon","Use soon - plan a meal with it",IF(W243="Out of stock",IF(T243="Yes","Missing - staple has run out","Add - restock when convenient"),IF(W243="Low stock","Check - running low",IF(S243&lt;0,"Check - the plan needs more than you have","OK"))))))</f>
        <v>0</v>
      </c>
    </row>
    <row r="244" spans="1:24">
      <c r="A244" s="39">
        <f>IF(B244="","",PantryPrefix&amp;TEXT(ROW()-4,"0000"))</f>
        <v>0</v>
      </c>
      <c r="C244" s="17">
        <f>IF(B244="","",IFERROR(INDEX(Ingredients!$C$5:$C$304,MATCH(B244,Ingredients!$B$5:$B$304,0)),"Add to Ingredients"))</f>
        <v>0</v>
      </c>
      <c r="G244" s="45">
        <f>IF(E244="","",IFERROR(E244*INDEX(UnitFactors,MATCH(F244,UnitNames,0)),""))</f>
        <v>0</v>
      </c>
      <c r="H244" s="17">
        <f>IF(F244="","",IFERROR(INDEX(UnitBases,MATCH(F244,UnitNames,0)),"?"))</f>
        <v>0</v>
      </c>
      <c r="L244" s="18">
        <f>IF(B244="","",IFERROR(INDEX(Ingredients!$Z$5:$Z$304,MATCH(B244,Ingredients!$B$5:$B$304,0)),"Add to Ingredients"))</f>
        <v>0</v>
      </c>
      <c r="M244" s="19">
        <f>IF(K244&lt;&gt;"",K244,IF(OR(J244="",L244="",NOT(ISNUMBER(L244))),"",J244+L244))</f>
        <v>0</v>
      </c>
      <c r="N244" s="18">
        <f>IF(M244="","",M244-TODAY())</f>
        <v>0</v>
      </c>
      <c r="O244" s="25">
        <f>IF(B244="","",IFERROR(INDEX(Ingredients!$J$5:$J$304,MATCH(B244,Ingredients!$B$5:$B$304,0)),"Add to Ingredients"))</f>
        <v>0</v>
      </c>
      <c r="P244" s="25">
        <f>IF(OR(G244="",O244="",NOT(ISNUMBER(O244))),"",G244*O244)</f>
        <v>0</v>
      </c>
      <c r="R244" s="45">
        <f>IF(B244="","",IFERROR(INDEX(Ingredients!$AG$5:$AG$304,MATCH(B244,Ingredients!$B$5:$B$304,0)),0))</f>
        <v>0</v>
      </c>
      <c r="S244" s="45">
        <f>IF(G244="","",G244-IF(R244="",0,R244))</f>
        <v>0</v>
      </c>
      <c r="U244" s="18">
        <f>IF(OR(B244="",D244&lt;&gt;"Fridge",NOT(ISNUMBER(N244))),"",COUNTIFS($D$5:$D$304,"Fridge",$N$5:$N$304,"&lt;"&amp;N244)+COUNTIFS($D$5:D244,"Fridge",$N$5:N244,N244))</f>
        <v>0</v>
      </c>
      <c r="V244" s="18">
        <f>IF(OR(B244="",D244&lt;&gt;"Freezer",NOT(ISNUMBER(N244))),"",COUNTIFS($D$5:$D$304,"Freezer",$N$5:$N$304,"&lt;"&amp;N244)+COUNTIFS($D$5:D244,"Freezer",$N$5:N244,N244))</f>
        <v>0</v>
      </c>
      <c r="W244" s="31">
        <f>IF(B244="","",IF(G244=0,"Out of stock",IF(AND(N244&lt;&gt;"",N244&lt;0),"Expired",IF(AND(N244&lt;&gt;"",N244&lt;=ExpiryWarningDays),"Use soon",IF(AND(Q244&lt;&gt;"",G244&lt;Q244),"Low stock","In stock")))))</f>
        <v>0</v>
      </c>
      <c r="X244" s="31">
        <f>IF(B244="","",IF(W244="Expired","Expired - bin it and log it on the Food Waste tab",IF(W244="Use soon","Use soon - plan a meal with it",IF(W244="Out of stock",IF(T244="Yes","Missing - staple has run out","Add - restock when convenient"),IF(W244="Low stock","Check - running low",IF(S244&lt;0,"Check - the plan needs more than you have","OK"))))))</f>
        <v>0</v>
      </c>
    </row>
    <row r="245" spans="1:24">
      <c r="A245" s="39">
        <f>IF(B245="","",PantryPrefix&amp;TEXT(ROW()-4,"0000"))</f>
        <v>0</v>
      </c>
      <c r="C245" s="17">
        <f>IF(B245="","",IFERROR(INDEX(Ingredients!$C$5:$C$304,MATCH(B245,Ingredients!$B$5:$B$304,0)),"Add to Ingredients"))</f>
        <v>0</v>
      </c>
      <c r="G245" s="45">
        <f>IF(E245="","",IFERROR(E245*INDEX(UnitFactors,MATCH(F245,UnitNames,0)),""))</f>
        <v>0</v>
      </c>
      <c r="H245" s="17">
        <f>IF(F245="","",IFERROR(INDEX(UnitBases,MATCH(F245,UnitNames,0)),"?"))</f>
        <v>0</v>
      </c>
      <c r="L245" s="18">
        <f>IF(B245="","",IFERROR(INDEX(Ingredients!$Z$5:$Z$304,MATCH(B245,Ingredients!$B$5:$B$304,0)),"Add to Ingredients"))</f>
        <v>0</v>
      </c>
      <c r="M245" s="19">
        <f>IF(K245&lt;&gt;"",K245,IF(OR(J245="",L245="",NOT(ISNUMBER(L245))),"",J245+L245))</f>
        <v>0</v>
      </c>
      <c r="N245" s="18">
        <f>IF(M245="","",M245-TODAY())</f>
        <v>0</v>
      </c>
      <c r="O245" s="25">
        <f>IF(B245="","",IFERROR(INDEX(Ingredients!$J$5:$J$304,MATCH(B245,Ingredients!$B$5:$B$304,0)),"Add to Ingredients"))</f>
        <v>0</v>
      </c>
      <c r="P245" s="25">
        <f>IF(OR(G245="",O245="",NOT(ISNUMBER(O245))),"",G245*O245)</f>
        <v>0</v>
      </c>
      <c r="R245" s="45">
        <f>IF(B245="","",IFERROR(INDEX(Ingredients!$AG$5:$AG$304,MATCH(B245,Ingredients!$B$5:$B$304,0)),0))</f>
        <v>0</v>
      </c>
      <c r="S245" s="45">
        <f>IF(G245="","",G245-IF(R245="",0,R245))</f>
        <v>0</v>
      </c>
      <c r="U245" s="18">
        <f>IF(OR(B245="",D245&lt;&gt;"Fridge",NOT(ISNUMBER(N245))),"",COUNTIFS($D$5:$D$304,"Fridge",$N$5:$N$304,"&lt;"&amp;N245)+COUNTIFS($D$5:D245,"Fridge",$N$5:N245,N245))</f>
        <v>0</v>
      </c>
      <c r="V245" s="18">
        <f>IF(OR(B245="",D245&lt;&gt;"Freezer",NOT(ISNUMBER(N245))),"",COUNTIFS($D$5:$D$304,"Freezer",$N$5:$N$304,"&lt;"&amp;N245)+COUNTIFS($D$5:D245,"Freezer",$N$5:N245,N245))</f>
        <v>0</v>
      </c>
      <c r="W245" s="31">
        <f>IF(B245="","",IF(G245=0,"Out of stock",IF(AND(N245&lt;&gt;"",N245&lt;0),"Expired",IF(AND(N245&lt;&gt;"",N245&lt;=ExpiryWarningDays),"Use soon",IF(AND(Q245&lt;&gt;"",G245&lt;Q245),"Low stock","In stock")))))</f>
        <v>0</v>
      </c>
      <c r="X245" s="31">
        <f>IF(B245="","",IF(W245="Expired","Expired - bin it and log it on the Food Waste tab",IF(W245="Use soon","Use soon - plan a meal with it",IF(W245="Out of stock",IF(T245="Yes","Missing - staple has run out","Add - restock when convenient"),IF(W245="Low stock","Check - running low",IF(S245&lt;0,"Check - the plan needs more than you have","OK"))))))</f>
        <v>0</v>
      </c>
    </row>
    <row r="246" spans="1:24">
      <c r="A246" s="39">
        <f>IF(B246="","",PantryPrefix&amp;TEXT(ROW()-4,"0000"))</f>
        <v>0</v>
      </c>
      <c r="C246" s="17">
        <f>IF(B246="","",IFERROR(INDEX(Ingredients!$C$5:$C$304,MATCH(B246,Ingredients!$B$5:$B$304,0)),"Add to Ingredients"))</f>
        <v>0</v>
      </c>
      <c r="G246" s="45">
        <f>IF(E246="","",IFERROR(E246*INDEX(UnitFactors,MATCH(F246,UnitNames,0)),""))</f>
        <v>0</v>
      </c>
      <c r="H246" s="17">
        <f>IF(F246="","",IFERROR(INDEX(UnitBases,MATCH(F246,UnitNames,0)),"?"))</f>
        <v>0</v>
      </c>
      <c r="L246" s="18">
        <f>IF(B246="","",IFERROR(INDEX(Ingredients!$Z$5:$Z$304,MATCH(B246,Ingredients!$B$5:$B$304,0)),"Add to Ingredients"))</f>
        <v>0</v>
      </c>
      <c r="M246" s="19">
        <f>IF(K246&lt;&gt;"",K246,IF(OR(J246="",L246="",NOT(ISNUMBER(L246))),"",J246+L246))</f>
        <v>0</v>
      </c>
      <c r="N246" s="18">
        <f>IF(M246="","",M246-TODAY())</f>
        <v>0</v>
      </c>
      <c r="O246" s="25">
        <f>IF(B246="","",IFERROR(INDEX(Ingredients!$J$5:$J$304,MATCH(B246,Ingredients!$B$5:$B$304,0)),"Add to Ingredients"))</f>
        <v>0</v>
      </c>
      <c r="P246" s="25">
        <f>IF(OR(G246="",O246="",NOT(ISNUMBER(O246))),"",G246*O246)</f>
        <v>0</v>
      </c>
      <c r="R246" s="45">
        <f>IF(B246="","",IFERROR(INDEX(Ingredients!$AG$5:$AG$304,MATCH(B246,Ingredients!$B$5:$B$304,0)),0))</f>
        <v>0</v>
      </c>
      <c r="S246" s="45">
        <f>IF(G246="","",G246-IF(R246="",0,R246))</f>
        <v>0</v>
      </c>
      <c r="U246" s="18">
        <f>IF(OR(B246="",D246&lt;&gt;"Fridge",NOT(ISNUMBER(N246))),"",COUNTIFS($D$5:$D$304,"Fridge",$N$5:$N$304,"&lt;"&amp;N246)+COUNTIFS($D$5:D246,"Fridge",$N$5:N246,N246))</f>
        <v>0</v>
      </c>
      <c r="V246" s="18">
        <f>IF(OR(B246="",D246&lt;&gt;"Freezer",NOT(ISNUMBER(N246))),"",COUNTIFS($D$5:$D$304,"Freezer",$N$5:$N$304,"&lt;"&amp;N246)+COUNTIFS($D$5:D246,"Freezer",$N$5:N246,N246))</f>
        <v>0</v>
      </c>
      <c r="W246" s="31">
        <f>IF(B246="","",IF(G246=0,"Out of stock",IF(AND(N246&lt;&gt;"",N246&lt;0),"Expired",IF(AND(N246&lt;&gt;"",N246&lt;=ExpiryWarningDays),"Use soon",IF(AND(Q246&lt;&gt;"",G246&lt;Q246),"Low stock","In stock")))))</f>
        <v>0</v>
      </c>
      <c r="X246" s="31">
        <f>IF(B246="","",IF(W246="Expired","Expired - bin it and log it on the Food Waste tab",IF(W246="Use soon","Use soon - plan a meal with it",IF(W246="Out of stock",IF(T246="Yes","Missing - staple has run out","Add - restock when convenient"),IF(W246="Low stock","Check - running low",IF(S246&lt;0,"Check - the plan needs more than you have","OK"))))))</f>
        <v>0</v>
      </c>
    </row>
    <row r="247" spans="1:24">
      <c r="A247" s="39">
        <f>IF(B247="","",PantryPrefix&amp;TEXT(ROW()-4,"0000"))</f>
        <v>0</v>
      </c>
      <c r="C247" s="17">
        <f>IF(B247="","",IFERROR(INDEX(Ingredients!$C$5:$C$304,MATCH(B247,Ingredients!$B$5:$B$304,0)),"Add to Ingredients"))</f>
        <v>0</v>
      </c>
      <c r="G247" s="45">
        <f>IF(E247="","",IFERROR(E247*INDEX(UnitFactors,MATCH(F247,UnitNames,0)),""))</f>
        <v>0</v>
      </c>
      <c r="H247" s="17">
        <f>IF(F247="","",IFERROR(INDEX(UnitBases,MATCH(F247,UnitNames,0)),"?"))</f>
        <v>0</v>
      </c>
      <c r="L247" s="18">
        <f>IF(B247="","",IFERROR(INDEX(Ingredients!$Z$5:$Z$304,MATCH(B247,Ingredients!$B$5:$B$304,0)),"Add to Ingredients"))</f>
        <v>0</v>
      </c>
      <c r="M247" s="19">
        <f>IF(K247&lt;&gt;"",K247,IF(OR(J247="",L247="",NOT(ISNUMBER(L247))),"",J247+L247))</f>
        <v>0</v>
      </c>
      <c r="N247" s="18">
        <f>IF(M247="","",M247-TODAY())</f>
        <v>0</v>
      </c>
      <c r="O247" s="25">
        <f>IF(B247="","",IFERROR(INDEX(Ingredients!$J$5:$J$304,MATCH(B247,Ingredients!$B$5:$B$304,0)),"Add to Ingredients"))</f>
        <v>0</v>
      </c>
      <c r="P247" s="25">
        <f>IF(OR(G247="",O247="",NOT(ISNUMBER(O247))),"",G247*O247)</f>
        <v>0</v>
      </c>
      <c r="R247" s="45">
        <f>IF(B247="","",IFERROR(INDEX(Ingredients!$AG$5:$AG$304,MATCH(B247,Ingredients!$B$5:$B$304,0)),0))</f>
        <v>0</v>
      </c>
      <c r="S247" s="45">
        <f>IF(G247="","",G247-IF(R247="",0,R247))</f>
        <v>0</v>
      </c>
      <c r="U247" s="18">
        <f>IF(OR(B247="",D247&lt;&gt;"Fridge",NOT(ISNUMBER(N247))),"",COUNTIFS($D$5:$D$304,"Fridge",$N$5:$N$304,"&lt;"&amp;N247)+COUNTIFS($D$5:D247,"Fridge",$N$5:N247,N247))</f>
        <v>0</v>
      </c>
      <c r="V247" s="18">
        <f>IF(OR(B247="",D247&lt;&gt;"Freezer",NOT(ISNUMBER(N247))),"",COUNTIFS($D$5:$D$304,"Freezer",$N$5:$N$304,"&lt;"&amp;N247)+COUNTIFS($D$5:D247,"Freezer",$N$5:N247,N247))</f>
        <v>0</v>
      </c>
      <c r="W247" s="31">
        <f>IF(B247="","",IF(G247=0,"Out of stock",IF(AND(N247&lt;&gt;"",N247&lt;0),"Expired",IF(AND(N247&lt;&gt;"",N247&lt;=ExpiryWarningDays),"Use soon",IF(AND(Q247&lt;&gt;"",G247&lt;Q247),"Low stock","In stock")))))</f>
        <v>0</v>
      </c>
      <c r="X247" s="31">
        <f>IF(B247="","",IF(W247="Expired","Expired - bin it and log it on the Food Waste tab",IF(W247="Use soon","Use soon - plan a meal with it",IF(W247="Out of stock",IF(T247="Yes","Missing - staple has run out","Add - restock when convenient"),IF(W247="Low stock","Check - running low",IF(S247&lt;0,"Check - the plan needs more than you have","OK"))))))</f>
        <v>0</v>
      </c>
    </row>
    <row r="248" spans="1:24">
      <c r="A248" s="39">
        <f>IF(B248="","",PantryPrefix&amp;TEXT(ROW()-4,"0000"))</f>
        <v>0</v>
      </c>
      <c r="C248" s="17">
        <f>IF(B248="","",IFERROR(INDEX(Ingredients!$C$5:$C$304,MATCH(B248,Ingredients!$B$5:$B$304,0)),"Add to Ingredients"))</f>
        <v>0</v>
      </c>
      <c r="G248" s="45">
        <f>IF(E248="","",IFERROR(E248*INDEX(UnitFactors,MATCH(F248,UnitNames,0)),""))</f>
        <v>0</v>
      </c>
      <c r="H248" s="17">
        <f>IF(F248="","",IFERROR(INDEX(UnitBases,MATCH(F248,UnitNames,0)),"?"))</f>
        <v>0</v>
      </c>
      <c r="L248" s="18">
        <f>IF(B248="","",IFERROR(INDEX(Ingredients!$Z$5:$Z$304,MATCH(B248,Ingredients!$B$5:$B$304,0)),"Add to Ingredients"))</f>
        <v>0</v>
      </c>
      <c r="M248" s="19">
        <f>IF(K248&lt;&gt;"",K248,IF(OR(J248="",L248="",NOT(ISNUMBER(L248))),"",J248+L248))</f>
        <v>0</v>
      </c>
      <c r="N248" s="18">
        <f>IF(M248="","",M248-TODAY())</f>
        <v>0</v>
      </c>
      <c r="O248" s="25">
        <f>IF(B248="","",IFERROR(INDEX(Ingredients!$J$5:$J$304,MATCH(B248,Ingredients!$B$5:$B$304,0)),"Add to Ingredients"))</f>
        <v>0</v>
      </c>
      <c r="P248" s="25">
        <f>IF(OR(G248="",O248="",NOT(ISNUMBER(O248))),"",G248*O248)</f>
        <v>0</v>
      </c>
      <c r="R248" s="45">
        <f>IF(B248="","",IFERROR(INDEX(Ingredients!$AG$5:$AG$304,MATCH(B248,Ingredients!$B$5:$B$304,0)),0))</f>
        <v>0</v>
      </c>
      <c r="S248" s="45">
        <f>IF(G248="","",G248-IF(R248="",0,R248))</f>
        <v>0</v>
      </c>
      <c r="U248" s="18">
        <f>IF(OR(B248="",D248&lt;&gt;"Fridge",NOT(ISNUMBER(N248))),"",COUNTIFS($D$5:$D$304,"Fridge",$N$5:$N$304,"&lt;"&amp;N248)+COUNTIFS($D$5:D248,"Fridge",$N$5:N248,N248))</f>
        <v>0</v>
      </c>
      <c r="V248" s="18">
        <f>IF(OR(B248="",D248&lt;&gt;"Freezer",NOT(ISNUMBER(N248))),"",COUNTIFS($D$5:$D$304,"Freezer",$N$5:$N$304,"&lt;"&amp;N248)+COUNTIFS($D$5:D248,"Freezer",$N$5:N248,N248))</f>
        <v>0</v>
      </c>
      <c r="W248" s="31">
        <f>IF(B248="","",IF(G248=0,"Out of stock",IF(AND(N248&lt;&gt;"",N248&lt;0),"Expired",IF(AND(N248&lt;&gt;"",N248&lt;=ExpiryWarningDays),"Use soon",IF(AND(Q248&lt;&gt;"",G248&lt;Q248),"Low stock","In stock")))))</f>
        <v>0</v>
      </c>
      <c r="X248" s="31">
        <f>IF(B248="","",IF(W248="Expired","Expired - bin it and log it on the Food Waste tab",IF(W248="Use soon","Use soon - plan a meal with it",IF(W248="Out of stock",IF(T248="Yes","Missing - staple has run out","Add - restock when convenient"),IF(W248="Low stock","Check - running low",IF(S248&lt;0,"Check - the plan needs more than you have","OK"))))))</f>
        <v>0</v>
      </c>
    </row>
    <row r="249" spans="1:24">
      <c r="A249" s="39">
        <f>IF(B249="","",PantryPrefix&amp;TEXT(ROW()-4,"0000"))</f>
        <v>0</v>
      </c>
      <c r="C249" s="17">
        <f>IF(B249="","",IFERROR(INDEX(Ingredients!$C$5:$C$304,MATCH(B249,Ingredients!$B$5:$B$304,0)),"Add to Ingredients"))</f>
        <v>0</v>
      </c>
      <c r="G249" s="45">
        <f>IF(E249="","",IFERROR(E249*INDEX(UnitFactors,MATCH(F249,UnitNames,0)),""))</f>
        <v>0</v>
      </c>
      <c r="H249" s="17">
        <f>IF(F249="","",IFERROR(INDEX(UnitBases,MATCH(F249,UnitNames,0)),"?"))</f>
        <v>0</v>
      </c>
      <c r="L249" s="18">
        <f>IF(B249="","",IFERROR(INDEX(Ingredients!$Z$5:$Z$304,MATCH(B249,Ingredients!$B$5:$B$304,0)),"Add to Ingredients"))</f>
        <v>0</v>
      </c>
      <c r="M249" s="19">
        <f>IF(K249&lt;&gt;"",K249,IF(OR(J249="",L249="",NOT(ISNUMBER(L249))),"",J249+L249))</f>
        <v>0</v>
      </c>
      <c r="N249" s="18">
        <f>IF(M249="","",M249-TODAY())</f>
        <v>0</v>
      </c>
      <c r="O249" s="25">
        <f>IF(B249="","",IFERROR(INDEX(Ingredients!$J$5:$J$304,MATCH(B249,Ingredients!$B$5:$B$304,0)),"Add to Ingredients"))</f>
        <v>0</v>
      </c>
      <c r="P249" s="25">
        <f>IF(OR(G249="",O249="",NOT(ISNUMBER(O249))),"",G249*O249)</f>
        <v>0</v>
      </c>
      <c r="R249" s="45">
        <f>IF(B249="","",IFERROR(INDEX(Ingredients!$AG$5:$AG$304,MATCH(B249,Ingredients!$B$5:$B$304,0)),0))</f>
        <v>0</v>
      </c>
      <c r="S249" s="45">
        <f>IF(G249="","",G249-IF(R249="",0,R249))</f>
        <v>0</v>
      </c>
      <c r="U249" s="18">
        <f>IF(OR(B249="",D249&lt;&gt;"Fridge",NOT(ISNUMBER(N249))),"",COUNTIFS($D$5:$D$304,"Fridge",$N$5:$N$304,"&lt;"&amp;N249)+COUNTIFS($D$5:D249,"Fridge",$N$5:N249,N249))</f>
        <v>0</v>
      </c>
      <c r="V249" s="18">
        <f>IF(OR(B249="",D249&lt;&gt;"Freezer",NOT(ISNUMBER(N249))),"",COUNTIFS($D$5:$D$304,"Freezer",$N$5:$N$304,"&lt;"&amp;N249)+COUNTIFS($D$5:D249,"Freezer",$N$5:N249,N249))</f>
        <v>0</v>
      </c>
      <c r="W249" s="31">
        <f>IF(B249="","",IF(G249=0,"Out of stock",IF(AND(N249&lt;&gt;"",N249&lt;0),"Expired",IF(AND(N249&lt;&gt;"",N249&lt;=ExpiryWarningDays),"Use soon",IF(AND(Q249&lt;&gt;"",G249&lt;Q249),"Low stock","In stock")))))</f>
        <v>0</v>
      </c>
      <c r="X249" s="31">
        <f>IF(B249="","",IF(W249="Expired","Expired - bin it and log it on the Food Waste tab",IF(W249="Use soon","Use soon - plan a meal with it",IF(W249="Out of stock",IF(T249="Yes","Missing - staple has run out","Add - restock when convenient"),IF(W249="Low stock","Check - running low",IF(S249&lt;0,"Check - the plan needs more than you have","OK"))))))</f>
        <v>0</v>
      </c>
    </row>
    <row r="250" spans="1:24">
      <c r="A250" s="39">
        <f>IF(B250="","",PantryPrefix&amp;TEXT(ROW()-4,"0000"))</f>
        <v>0</v>
      </c>
      <c r="C250" s="17">
        <f>IF(B250="","",IFERROR(INDEX(Ingredients!$C$5:$C$304,MATCH(B250,Ingredients!$B$5:$B$304,0)),"Add to Ingredients"))</f>
        <v>0</v>
      </c>
      <c r="G250" s="45">
        <f>IF(E250="","",IFERROR(E250*INDEX(UnitFactors,MATCH(F250,UnitNames,0)),""))</f>
        <v>0</v>
      </c>
      <c r="H250" s="17">
        <f>IF(F250="","",IFERROR(INDEX(UnitBases,MATCH(F250,UnitNames,0)),"?"))</f>
        <v>0</v>
      </c>
      <c r="L250" s="18">
        <f>IF(B250="","",IFERROR(INDEX(Ingredients!$Z$5:$Z$304,MATCH(B250,Ingredients!$B$5:$B$304,0)),"Add to Ingredients"))</f>
        <v>0</v>
      </c>
      <c r="M250" s="19">
        <f>IF(K250&lt;&gt;"",K250,IF(OR(J250="",L250="",NOT(ISNUMBER(L250))),"",J250+L250))</f>
        <v>0</v>
      </c>
      <c r="N250" s="18">
        <f>IF(M250="","",M250-TODAY())</f>
        <v>0</v>
      </c>
      <c r="O250" s="25">
        <f>IF(B250="","",IFERROR(INDEX(Ingredients!$J$5:$J$304,MATCH(B250,Ingredients!$B$5:$B$304,0)),"Add to Ingredients"))</f>
        <v>0</v>
      </c>
      <c r="P250" s="25">
        <f>IF(OR(G250="",O250="",NOT(ISNUMBER(O250))),"",G250*O250)</f>
        <v>0</v>
      </c>
      <c r="R250" s="45">
        <f>IF(B250="","",IFERROR(INDEX(Ingredients!$AG$5:$AG$304,MATCH(B250,Ingredients!$B$5:$B$304,0)),0))</f>
        <v>0</v>
      </c>
      <c r="S250" s="45">
        <f>IF(G250="","",G250-IF(R250="",0,R250))</f>
        <v>0</v>
      </c>
      <c r="U250" s="18">
        <f>IF(OR(B250="",D250&lt;&gt;"Fridge",NOT(ISNUMBER(N250))),"",COUNTIFS($D$5:$D$304,"Fridge",$N$5:$N$304,"&lt;"&amp;N250)+COUNTIFS($D$5:D250,"Fridge",$N$5:N250,N250))</f>
        <v>0</v>
      </c>
      <c r="V250" s="18">
        <f>IF(OR(B250="",D250&lt;&gt;"Freezer",NOT(ISNUMBER(N250))),"",COUNTIFS($D$5:$D$304,"Freezer",$N$5:$N$304,"&lt;"&amp;N250)+COUNTIFS($D$5:D250,"Freezer",$N$5:N250,N250))</f>
        <v>0</v>
      </c>
      <c r="W250" s="31">
        <f>IF(B250="","",IF(G250=0,"Out of stock",IF(AND(N250&lt;&gt;"",N250&lt;0),"Expired",IF(AND(N250&lt;&gt;"",N250&lt;=ExpiryWarningDays),"Use soon",IF(AND(Q250&lt;&gt;"",G250&lt;Q250),"Low stock","In stock")))))</f>
        <v>0</v>
      </c>
      <c r="X250" s="31">
        <f>IF(B250="","",IF(W250="Expired","Expired - bin it and log it on the Food Waste tab",IF(W250="Use soon","Use soon - plan a meal with it",IF(W250="Out of stock",IF(T250="Yes","Missing - staple has run out","Add - restock when convenient"),IF(W250="Low stock","Check - running low",IF(S250&lt;0,"Check - the plan needs more than you have","OK"))))))</f>
        <v>0</v>
      </c>
    </row>
    <row r="251" spans="1:24">
      <c r="A251" s="39">
        <f>IF(B251="","",PantryPrefix&amp;TEXT(ROW()-4,"0000"))</f>
        <v>0</v>
      </c>
      <c r="C251" s="17">
        <f>IF(B251="","",IFERROR(INDEX(Ingredients!$C$5:$C$304,MATCH(B251,Ingredients!$B$5:$B$304,0)),"Add to Ingredients"))</f>
        <v>0</v>
      </c>
      <c r="G251" s="45">
        <f>IF(E251="","",IFERROR(E251*INDEX(UnitFactors,MATCH(F251,UnitNames,0)),""))</f>
        <v>0</v>
      </c>
      <c r="H251" s="17">
        <f>IF(F251="","",IFERROR(INDEX(UnitBases,MATCH(F251,UnitNames,0)),"?"))</f>
        <v>0</v>
      </c>
      <c r="L251" s="18">
        <f>IF(B251="","",IFERROR(INDEX(Ingredients!$Z$5:$Z$304,MATCH(B251,Ingredients!$B$5:$B$304,0)),"Add to Ingredients"))</f>
        <v>0</v>
      </c>
      <c r="M251" s="19">
        <f>IF(K251&lt;&gt;"",K251,IF(OR(J251="",L251="",NOT(ISNUMBER(L251))),"",J251+L251))</f>
        <v>0</v>
      </c>
      <c r="N251" s="18">
        <f>IF(M251="","",M251-TODAY())</f>
        <v>0</v>
      </c>
      <c r="O251" s="25">
        <f>IF(B251="","",IFERROR(INDEX(Ingredients!$J$5:$J$304,MATCH(B251,Ingredients!$B$5:$B$304,0)),"Add to Ingredients"))</f>
        <v>0</v>
      </c>
      <c r="P251" s="25">
        <f>IF(OR(G251="",O251="",NOT(ISNUMBER(O251))),"",G251*O251)</f>
        <v>0</v>
      </c>
      <c r="R251" s="45">
        <f>IF(B251="","",IFERROR(INDEX(Ingredients!$AG$5:$AG$304,MATCH(B251,Ingredients!$B$5:$B$304,0)),0))</f>
        <v>0</v>
      </c>
      <c r="S251" s="45">
        <f>IF(G251="","",G251-IF(R251="",0,R251))</f>
        <v>0</v>
      </c>
      <c r="U251" s="18">
        <f>IF(OR(B251="",D251&lt;&gt;"Fridge",NOT(ISNUMBER(N251))),"",COUNTIFS($D$5:$D$304,"Fridge",$N$5:$N$304,"&lt;"&amp;N251)+COUNTIFS($D$5:D251,"Fridge",$N$5:N251,N251))</f>
        <v>0</v>
      </c>
      <c r="V251" s="18">
        <f>IF(OR(B251="",D251&lt;&gt;"Freezer",NOT(ISNUMBER(N251))),"",COUNTIFS($D$5:$D$304,"Freezer",$N$5:$N$304,"&lt;"&amp;N251)+COUNTIFS($D$5:D251,"Freezer",$N$5:N251,N251))</f>
        <v>0</v>
      </c>
      <c r="W251" s="31">
        <f>IF(B251="","",IF(G251=0,"Out of stock",IF(AND(N251&lt;&gt;"",N251&lt;0),"Expired",IF(AND(N251&lt;&gt;"",N251&lt;=ExpiryWarningDays),"Use soon",IF(AND(Q251&lt;&gt;"",G251&lt;Q251),"Low stock","In stock")))))</f>
        <v>0</v>
      </c>
      <c r="X251" s="31">
        <f>IF(B251="","",IF(W251="Expired","Expired - bin it and log it on the Food Waste tab",IF(W251="Use soon","Use soon - plan a meal with it",IF(W251="Out of stock",IF(T251="Yes","Missing - staple has run out","Add - restock when convenient"),IF(W251="Low stock","Check - running low",IF(S251&lt;0,"Check - the plan needs more than you have","OK"))))))</f>
        <v>0</v>
      </c>
    </row>
    <row r="252" spans="1:24">
      <c r="A252" s="39">
        <f>IF(B252="","",PantryPrefix&amp;TEXT(ROW()-4,"0000"))</f>
        <v>0</v>
      </c>
      <c r="C252" s="17">
        <f>IF(B252="","",IFERROR(INDEX(Ingredients!$C$5:$C$304,MATCH(B252,Ingredients!$B$5:$B$304,0)),"Add to Ingredients"))</f>
        <v>0</v>
      </c>
      <c r="G252" s="45">
        <f>IF(E252="","",IFERROR(E252*INDEX(UnitFactors,MATCH(F252,UnitNames,0)),""))</f>
        <v>0</v>
      </c>
      <c r="H252" s="17">
        <f>IF(F252="","",IFERROR(INDEX(UnitBases,MATCH(F252,UnitNames,0)),"?"))</f>
        <v>0</v>
      </c>
      <c r="L252" s="18">
        <f>IF(B252="","",IFERROR(INDEX(Ingredients!$Z$5:$Z$304,MATCH(B252,Ingredients!$B$5:$B$304,0)),"Add to Ingredients"))</f>
        <v>0</v>
      </c>
      <c r="M252" s="19">
        <f>IF(K252&lt;&gt;"",K252,IF(OR(J252="",L252="",NOT(ISNUMBER(L252))),"",J252+L252))</f>
        <v>0</v>
      </c>
      <c r="N252" s="18">
        <f>IF(M252="","",M252-TODAY())</f>
        <v>0</v>
      </c>
      <c r="O252" s="25">
        <f>IF(B252="","",IFERROR(INDEX(Ingredients!$J$5:$J$304,MATCH(B252,Ingredients!$B$5:$B$304,0)),"Add to Ingredients"))</f>
        <v>0</v>
      </c>
      <c r="P252" s="25">
        <f>IF(OR(G252="",O252="",NOT(ISNUMBER(O252))),"",G252*O252)</f>
        <v>0</v>
      </c>
      <c r="R252" s="45">
        <f>IF(B252="","",IFERROR(INDEX(Ingredients!$AG$5:$AG$304,MATCH(B252,Ingredients!$B$5:$B$304,0)),0))</f>
        <v>0</v>
      </c>
      <c r="S252" s="45">
        <f>IF(G252="","",G252-IF(R252="",0,R252))</f>
        <v>0</v>
      </c>
      <c r="U252" s="18">
        <f>IF(OR(B252="",D252&lt;&gt;"Fridge",NOT(ISNUMBER(N252))),"",COUNTIFS($D$5:$D$304,"Fridge",$N$5:$N$304,"&lt;"&amp;N252)+COUNTIFS($D$5:D252,"Fridge",$N$5:N252,N252))</f>
        <v>0</v>
      </c>
      <c r="V252" s="18">
        <f>IF(OR(B252="",D252&lt;&gt;"Freezer",NOT(ISNUMBER(N252))),"",COUNTIFS($D$5:$D$304,"Freezer",$N$5:$N$304,"&lt;"&amp;N252)+COUNTIFS($D$5:D252,"Freezer",$N$5:N252,N252))</f>
        <v>0</v>
      </c>
      <c r="W252" s="31">
        <f>IF(B252="","",IF(G252=0,"Out of stock",IF(AND(N252&lt;&gt;"",N252&lt;0),"Expired",IF(AND(N252&lt;&gt;"",N252&lt;=ExpiryWarningDays),"Use soon",IF(AND(Q252&lt;&gt;"",G252&lt;Q252),"Low stock","In stock")))))</f>
        <v>0</v>
      </c>
      <c r="X252" s="31">
        <f>IF(B252="","",IF(W252="Expired","Expired - bin it and log it on the Food Waste tab",IF(W252="Use soon","Use soon - plan a meal with it",IF(W252="Out of stock",IF(T252="Yes","Missing - staple has run out","Add - restock when convenient"),IF(W252="Low stock","Check - running low",IF(S252&lt;0,"Check - the plan needs more than you have","OK"))))))</f>
        <v>0</v>
      </c>
    </row>
    <row r="253" spans="1:24">
      <c r="A253" s="39">
        <f>IF(B253="","",PantryPrefix&amp;TEXT(ROW()-4,"0000"))</f>
        <v>0</v>
      </c>
      <c r="C253" s="17">
        <f>IF(B253="","",IFERROR(INDEX(Ingredients!$C$5:$C$304,MATCH(B253,Ingredients!$B$5:$B$304,0)),"Add to Ingredients"))</f>
        <v>0</v>
      </c>
      <c r="G253" s="45">
        <f>IF(E253="","",IFERROR(E253*INDEX(UnitFactors,MATCH(F253,UnitNames,0)),""))</f>
        <v>0</v>
      </c>
      <c r="H253" s="17">
        <f>IF(F253="","",IFERROR(INDEX(UnitBases,MATCH(F253,UnitNames,0)),"?"))</f>
        <v>0</v>
      </c>
      <c r="L253" s="18">
        <f>IF(B253="","",IFERROR(INDEX(Ingredients!$Z$5:$Z$304,MATCH(B253,Ingredients!$B$5:$B$304,0)),"Add to Ingredients"))</f>
        <v>0</v>
      </c>
      <c r="M253" s="19">
        <f>IF(K253&lt;&gt;"",K253,IF(OR(J253="",L253="",NOT(ISNUMBER(L253))),"",J253+L253))</f>
        <v>0</v>
      </c>
      <c r="N253" s="18">
        <f>IF(M253="","",M253-TODAY())</f>
        <v>0</v>
      </c>
      <c r="O253" s="25">
        <f>IF(B253="","",IFERROR(INDEX(Ingredients!$J$5:$J$304,MATCH(B253,Ingredients!$B$5:$B$304,0)),"Add to Ingredients"))</f>
        <v>0</v>
      </c>
      <c r="P253" s="25">
        <f>IF(OR(G253="",O253="",NOT(ISNUMBER(O253))),"",G253*O253)</f>
        <v>0</v>
      </c>
      <c r="R253" s="45">
        <f>IF(B253="","",IFERROR(INDEX(Ingredients!$AG$5:$AG$304,MATCH(B253,Ingredients!$B$5:$B$304,0)),0))</f>
        <v>0</v>
      </c>
      <c r="S253" s="45">
        <f>IF(G253="","",G253-IF(R253="",0,R253))</f>
        <v>0</v>
      </c>
      <c r="U253" s="18">
        <f>IF(OR(B253="",D253&lt;&gt;"Fridge",NOT(ISNUMBER(N253))),"",COUNTIFS($D$5:$D$304,"Fridge",$N$5:$N$304,"&lt;"&amp;N253)+COUNTIFS($D$5:D253,"Fridge",$N$5:N253,N253))</f>
        <v>0</v>
      </c>
      <c r="V253" s="18">
        <f>IF(OR(B253="",D253&lt;&gt;"Freezer",NOT(ISNUMBER(N253))),"",COUNTIFS($D$5:$D$304,"Freezer",$N$5:$N$304,"&lt;"&amp;N253)+COUNTIFS($D$5:D253,"Freezer",$N$5:N253,N253))</f>
        <v>0</v>
      </c>
      <c r="W253" s="31">
        <f>IF(B253="","",IF(G253=0,"Out of stock",IF(AND(N253&lt;&gt;"",N253&lt;0),"Expired",IF(AND(N253&lt;&gt;"",N253&lt;=ExpiryWarningDays),"Use soon",IF(AND(Q253&lt;&gt;"",G253&lt;Q253),"Low stock","In stock")))))</f>
        <v>0</v>
      </c>
      <c r="X253" s="31">
        <f>IF(B253="","",IF(W253="Expired","Expired - bin it and log it on the Food Waste tab",IF(W253="Use soon","Use soon - plan a meal with it",IF(W253="Out of stock",IF(T253="Yes","Missing - staple has run out","Add - restock when convenient"),IF(W253="Low stock","Check - running low",IF(S253&lt;0,"Check - the plan needs more than you have","OK"))))))</f>
        <v>0</v>
      </c>
    </row>
    <row r="254" spans="1:24">
      <c r="A254" s="39">
        <f>IF(B254="","",PantryPrefix&amp;TEXT(ROW()-4,"0000"))</f>
        <v>0</v>
      </c>
      <c r="C254" s="17">
        <f>IF(B254="","",IFERROR(INDEX(Ingredients!$C$5:$C$304,MATCH(B254,Ingredients!$B$5:$B$304,0)),"Add to Ingredients"))</f>
        <v>0</v>
      </c>
      <c r="G254" s="45">
        <f>IF(E254="","",IFERROR(E254*INDEX(UnitFactors,MATCH(F254,UnitNames,0)),""))</f>
        <v>0</v>
      </c>
      <c r="H254" s="17">
        <f>IF(F254="","",IFERROR(INDEX(UnitBases,MATCH(F254,UnitNames,0)),"?"))</f>
        <v>0</v>
      </c>
      <c r="L254" s="18">
        <f>IF(B254="","",IFERROR(INDEX(Ingredients!$Z$5:$Z$304,MATCH(B254,Ingredients!$B$5:$B$304,0)),"Add to Ingredients"))</f>
        <v>0</v>
      </c>
      <c r="M254" s="19">
        <f>IF(K254&lt;&gt;"",K254,IF(OR(J254="",L254="",NOT(ISNUMBER(L254))),"",J254+L254))</f>
        <v>0</v>
      </c>
      <c r="N254" s="18">
        <f>IF(M254="","",M254-TODAY())</f>
        <v>0</v>
      </c>
      <c r="O254" s="25">
        <f>IF(B254="","",IFERROR(INDEX(Ingredients!$J$5:$J$304,MATCH(B254,Ingredients!$B$5:$B$304,0)),"Add to Ingredients"))</f>
        <v>0</v>
      </c>
      <c r="P254" s="25">
        <f>IF(OR(G254="",O254="",NOT(ISNUMBER(O254))),"",G254*O254)</f>
        <v>0</v>
      </c>
      <c r="R254" s="45">
        <f>IF(B254="","",IFERROR(INDEX(Ingredients!$AG$5:$AG$304,MATCH(B254,Ingredients!$B$5:$B$304,0)),0))</f>
        <v>0</v>
      </c>
      <c r="S254" s="45">
        <f>IF(G254="","",G254-IF(R254="",0,R254))</f>
        <v>0</v>
      </c>
      <c r="U254" s="18">
        <f>IF(OR(B254="",D254&lt;&gt;"Fridge",NOT(ISNUMBER(N254))),"",COUNTIFS($D$5:$D$304,"Fridge",$N$5:$N$304,"&lt;"&amp;N254)+COUNTIFS($D$5:D254,"Fridge",$N$5:N254,N254))</f>
        <v>0</v>
      </c>
      <c r="V254" s="18">
        <f>IF(OR(B254="",D254&lt;&gt;"Freezer",NOT(ISNUMBER(N254))),"",COUNTIFS($D$5:$D$304,"Freezer",$N$5:$N$304,"&lt;"&amp;N254)+COUNTIFS($D$5:D254,"Freezer",$N$5:N254,N254))</f>
        <v>0</v>
      </c>
      <c r="W254" s="31">
        <f>IF(B254="","",IF(G254=0,"Out of stock",IF(AND(N254&lt;&gt;"",N254&lt;0),"Expired",IF(AND(N254&lt;&gt;"",N254&lt;=ExpiryWarningDays),"Use soon",IF(AND(Q254&lt;&gt;"",G254&lt;Q254),"Low stock","In stock")))))</f>
        <v>0</v>
      </c>
      <c r="X254" s="31">
        <f>IF(B254="","",IF(W254="Expired","Expired - bin it and log it on the Food Waste tab",IF(W254="Use soon","Use soon - plan a meal with it",IF(W254="Out of stock",IF(T254="Yes","Missing - staple has run out","Add - restock when convenient"),IF(W254="Low stock","Check - running low",IF(S254&lt;0,"Check - the plan needs more than you have","OK"))))))</f>
        <v>0</v>
      </c>
    </row>
    <row r="255" spans="1:24">
      <c r="A255" s="39">
        <f>IF(B255="","",PantryPrefix&amp;TEXT(ROW()-4,"0000"))</f>
        <v>0</v>
      </c>
      <c r="C255" s="17">
        <f>IF(B255="","",IFERROR(INDEX(Ingredients!$C$5:$C$304,MATCH(B255,Ingredients!$B$5:$B$304,0)),"Add to Ingredients"))</f>
        <v>0</v>
      </c>
      <c r="G255" s="45">
        <f>IF(E255="","",IFERROR(E255*INDEX(UnitFactors,MATCH(F255,UnitNames,0)),""))</f>
        <v>0</v>
      </c>
      <c r="H255" s="17">
        <f>IF(F255="","",IFERROR(INDEX(UnitBases,MATCH(F255,UnitNames,0)),"?"))</f>
        <v>0</v>
      </c>
      <c r="L255" s="18">
        <f>IF(B255="","",IFERROR(INDEX(Ingredients!$Z$5:$Z$304,MATCH(B255,Ingredients!$B$5:$B$304,0)),"Add to Ingredients"))</f>
        <v>0</v>
      </c>
      <c r="M255" s="19">
        <f>IF(K255&lt;&gt;"",K255,IF(OR(J255="",L255="",NOT(ISNUMBER(L255))),"",J255+L255))</f>
        <v>0</v>
      </c>
      <c r="N255" s="18">
        <f>IF(M255="","",M255-TODAY())</f>
        <v>0</v>
      </c>
      <c r="O255" s="25">
        <f>IF(B255="","",IFERROR(INDEX(Ingredients!$J$5:$J$304,MATCH(B255,Ingredients!$B$5:$B$304,0)),"Add to Ingredients"))</f>
        <v>0</v>
      </c>
      <c r="P255" s="25">
        <f>IF(OR(G255="",O255="",NOT(ISNUMBER(O255))),"",G255*O255)</f>
        <v>0</v>
      </c>
      <c r="R255" s="45">
        <f>IF(B255="","",IFERROR(INDEX(Ingredients!$AG$5:$AG$304,MATCH(B255,Ingredients!$B$5:$B$304,0)),0))</f>
        <v>0</v>
      </c>
      <c r="S255" s="45">
        <f>IF(G255="","",G255-IF(R255="",0,R255))</f>
        <v>0</v>
      </c>
      <c r="U255" s="18">
        <f>IF(OR(B255="",D255&lt;&gt;"Fridge",NOT(ISNUMBER(N255))),"",COUNTIFS($D$5:$D$304,"Fridge",$N$5:$N$304,"&lt;"&amp;N255)+COUNTIFS($D$5:D255,"Fridge",$N$5:N255,N255))</f>
        <v>0</v>
      </c>
      <c r="V255" s="18">
        <f>IF(OR(B255="",D255&lt;&gt;"Freezer",NOT(ISNUMBER(N255))),"",COUNTIFS($D$5:$D$304,"Freezer",$N$5:$N$304,"&lt;"&amp;N255)+COUNTIFS($D$5:D255,"Freezer",$N$5:N255,N255))</f>
        <v>0</v>
      </c>
      <c r="W255" s="31">
        <f>IF(B255="","",IF(G255=0,"Out of stock",IF(AND(N255&lt;&gt;"",N255&lt;0),"Expired",IF(AND(N255&lt;&gt;"",N255&lt;=ExpiryWarningDays),"Use soon",IF(AND(Q255&lt;&gt;"",G255&lt;Q255),"Low stock","In stock")))))</f>
        <v>0</v>
      </c>
      <c r="X255" s="31">
        <f>IF(B255="","",IF(W255="Expired","Expired - bin it and log it on the Food Waste tab",IF(W255="Use soon","Use soon - plan a meal with it",IF(W255="Out of stock",IF(T255="Yes","Missing - staple has run out","Add - restock when convenient"),IF(W255="Low stock","Check - running low",IF(S255&lt;0,"Check - the plan needs more than you have","OK"))))))</f>
        <v>0</v>
      </c>
    </row>
    <row r="256" spans="1:24">
      <c r="A256" s="39">
        <f>IF(B256="","",PantryPrefix&amp;TEXT(ROW()-4,"0000"))</f>
        <v>0</v>
      </c>
      <c r="C256" s="17">
        <f>IF(B256="","",IFERROR(INDEX(Ingredients!$C$5:$C$304,MATCH(B256,Ingredients!$B$5:$B$304,0)),"Add to Ingredients"))</f>
        <v>0</v>
      </c>
      <c r="G256" s="45">
        <f>IF(E256="","",IFERROR(E256*INDEX(UnitFactors,MATCH(F256,UnitNames,0)),""))</f>
        <v>0</v>
      </c>
      <c r="H256" s="17">
        <f>IF(F256="","",IFERROR(INDEX(UnitBases,MATCH(F256,UnitNames,0)),"?"))</f>
        <v>0</v>
      </c>
      <c r="L256" s="18">
        <f>IF(B256="","",IFERROR(INDEX(Ingredients!$Z$5:$Z$304,MATCH(B256,Ingredients!$B$5:$B$304,0)),"Add to Ingredients"))</f>
        <v>0</v>
      </c>
      <c r="M256" s="19">
        <f>IF(K256&lt;&gt;"",K256,IF(OR(J256="",L256="",NOT(ISNUMBER(L256))),"",J256+L256))</f>
        <v>0</v>
      </c>
      <c r="N256" s="18">
        <f>IF(M256="","",M256-TODAY())</f>
        <v>0</v>
      </c>
      <c r="O256" s="25">
        <f>IF(B256="","",IFERROR(INDEX(Ingredients!$J$5:$J$304,MATCH(B256,Ingredients!$B$5:$B$304,0)),"Add to Ingredients"))</f>
        <v>0</v>
      </c>
      <c r="P256" s="25">
        <f>IF(OR(G256="",O256="",NOT(ISNUMBER(O256))),"",G256*O256)</f>
        <v>0</v>
      </c>
      <c r="R256" s="45">
        <f>IF(B256="","",IFERROR(INDEX(Ingredients!$AG$5:$AG$304,MATCH(B256,Ingredients!$B$5:$B$304,0)),0))</f>
        <v>0</v>
      </c>
      <c r="S256" s="45">
        <f>IF(G256="","",G256-IF(R256="",0,R256))</f>
        <v>0</v>
      </c>
      <c r="U256" s="18">
        <f>IF(OR(B256="",D256&lt;&gt;"Fridge",NOT(ISNUMBER(N256))),"",COUNTIFS($D$5:$D$304,"Fridge",$N$5:$N$304,"&lt;"&amp;N256)+COUNTIFS($D$5:D256,"Fridge",$N$5:N256,N256))</f>
        <v>0</v>
      </c>
      <c r="V256" s="18">
        <f>IF(OR(B256="",D256&lt;&gt;"Freezer",NOT(ISNUMBER(N256))),"",COUNTIFS($D$5:$D$304,"Freezer",$N$5:$N$304,"&lt;"&amp;N256)+COUNTIFS($D$5:D256,"Freezer",$N$5:N256,N256))</f>
        <v>0</v>
      </c>
      <c r="W256" s="31">
        <f>IF(B256="","",IF(G256=0,"Out of stock",IF(AND(N256&lt;&gt;"",N256&lt;0),"Expired",IF(AND(N256&lt;&gt;"",N256&lt;=ExpiryWarningDays),"Use soon",IF(AND(Q256&lt;&gt;"",G256&lt;Q256),"Low stock","In stock")))))</f>
        <v>0</v>
      </c>
      <c r="X256" s="31">
        <f>IF(B256="","",IF(W256="Expired","Expired - bin it and log it on the Food Waste tab",IF(W256="Use soon","Use soon - plan a meal with it",IF(W256="Out of stock",IF(T256="Yes","Missing - staple has run out","Add - restock when convenient"),IF(W256="Low stock","Check - running low",IF(S256&lt;0,"Check - the plan needs more than you have","OK"))))))</f>
        <v>0</v>
      </c>
    </row>
    <row r="257" spans="1:24">
      <c r="A257" s="39">
        <f>IF(B257="","",PantryPrefix&amp;TEXT(ROW()-4,"0000"))</f>
        <v>0</v>
      </c>
      <c r="C257" s="17">
        <f>IF(B257="","",IFERROR(INDEX(Ingredients!$C$5:$C$304,MATCH(B257,Ingredients!$B$5:$B$304,0)),"Add to Ingredients"))</f>
        <v>0</v>
      </c>
      <c r="G257" s="45">
        <f>IF(E257="","",IFERROR(E257*INDEX(UnitFactors,MATCH(F257,UnitNames,0)),""))</f>
        <v>0</v>
      </c>
      <c r="H257" s="17">
        <f>IF(F257="","",IFERROR(INDEX(UnitBases,MATCH(F257,UnitNames,0)),"?"))</f>
        <v>0</v>
      </c>
      <c r="L257" s="18">
        <f>IF(B257="","",IFERROR(INDEX(Ingredients!$Z$5:$Z$304,MATCH(B257,Ingredients!$B$5:$B$304,0)),"Add to Ingredients"))</f>
        <v>0</v>
      </c>
      <c r="M257" s="19">
        <f>IF(K257&lt;&gt;"",K257,IF(OR(J257="",L257="",NOT(ISNUMBER(L257))),"",J257+L257))</f>
        <v>0</v>
      </c>
      <c r="N257" s="18">
        <f>IF(M257="","",M257-TODAY())</f>
        <v>0</v>
      </c>
      <c r="O257" s="25">
        <f>IF(B257="","",IFERROR(INDEX(Ingredients!$J$5:$J$304,MATCH(B257,Ingredients!$B$5:$B$304,0)),"Add to Ingredients"))</f>
        <v>0</v>
      </c>
      <c r="P257" s="25">
        <f>IF(OR(G257="",O257="",NOT(ISNUMBER(O257))),"",G257*O257)</f>
        <v>0</v>
      </c>
      <c r="R257" s="45">
        <f>IF(B257="","",IFERROR(INDEX(Ingredients!$AG$5:$AG$304,MATCH(B257,Ingredients!$B$5:$B$304,0)),0))</f>
        <v>0</v>
      </c>
      <c r="S257" s="45">
        <f>IF(G257="","",G257-IF(R257="",0,R257))</f>
        <v>0</v>
      </c>
      <c r="U257" s="18">
        <f>IF(OR(B257="",D257&lt;&gt;"Fridge",NOT(ISNUMBER(N257))),"",COUNTIFS($D$5:$D$304,"Fridge",$N$5:$N$304,"&lt;"&amp;N257)+COUNTIFS($D$5:D257,"Fridge",$N$5:N257,N257))</f>
        <v>0</v>
      </c>
      <c r="V257" s="18">
        <f>IF(OR(B257="",D257&lt;&gt;"Freezer",NOT(ISNUMBER(N257))),"",COUNTIFS($D$5:$D$304,"Freezer",$N$5:$N$304,"&lt;"&amp;N257)+COUNTIFS($D$5:D257,"Freezer",$N$5:N257,N257))</f>
        <v>0</v>
      </c>
      <c r="W257" s="31">
        <f>IF(B257="","",IF(G257=0,"Out of stock",IF(AND(N257&lt;&gt;"",N257&lt;0),"Expired",IF(AND(N257&lt;&gt;"",N257&lt;=ExpiryWarningDays),"Use soon",IF(AND(Q257&lt;&gt;"",G257&lt;Q257),"Low stock","In stock")))))</f>
        <v>0</v>
      </c>
      <c r="X257" s="31">
        <f>IF(B257="","",IF(W257="Expired","Expired - bin it and log it on the Food Waste tab",IF(W257="Use soon","Use soon - plan a meal with it",IF(W257="Out of stock",IF(T257="Yes","Missing - staple has run out","Add - restock when convenient"),IF(W257="Low stock","Check - running low",IF(S257&lt;0,"Check - the plan needs more than you have","OK"))))))</f>
        <v>0</v>
      </c>
    </row>
    <row r="258" spans="1:24">
      <c r="A258" s="39">
        <f>IF(B258="","",PantryPrefix&amp;TEXT(ROW()-4,"0000"))</f>
        <v>0</v>
      </c>
      <c r="C258" s="17">
        <f>IF(B258="","",IFERROR(INDEX(Ingredients!$C$5:$C$304,MATCH(B258,Ingredients!$B$5:$B$304,0)),"Add to Ingredients"))</f>
        <v>0</v>
      </c>
      <c r="G258" s="45">
        <f>IF(E258="","",IFERROR(E258*INDEX(UnitFactors,MATCH(F258,UnitNames,0)),""))</f>
        <v>0</v>
      </c>
      <c r="H258" s="17">
        <f>IF(F258="","",IFERROR(INDEX(UnitBases,MATCH(F258,UnitNames,0)),"?"))</f>
        <v>0</v>
      </c>
      <c r="L258" s="18">
        <f>IF(B258="","",IFERROR(INDEX(Ingredients!$Z$5:$Z$304,MATCH(B258,Ingredients!$B$5:$B$304,0)),"Add to Ingredients"))</f>
        <v>0</v>
      </c>
      <c r="M258" s="19">
        <f>IF(K258&lt;&gt;"",K258,IF(OR(J258="",L258="",NOT(ISNUMBER(L258))),"",J258+L258))</f>
        <v>0</v>
      </c>
      <c r="N258" s="18">
        <f>IF(M258="","",M258-TODAY())</f>
        <v>0</v>
      </c>
      <c r="O258" s="25">
        <f>IF(B258="","",IFERROR(INDEX(Ingredients!$J$5:$J$304,MATCH(B258,Ingredients!$B$5:$B$304,0)),"Add to Ingredients"))</f>
        <v>0</v>
      </c>
      <c r="P258" s="25">
        <f>IF(OR(G258="",O258="",NOT(ISNUMBER(O258))),"",G258*O258)</f>
        <v>0</v>
      </c>
      <c r="R258" s="45">
        <f>IF(B258="","",IFERROR(INDEX(Ingredients!$AG$5:$AG$304,MATCH(B258,Ingredients!$B$5:$B$304,0)),0))</f>
        <v>0</v>
      </c>
      <c r="S258" s="45">
        <f>IF(G258="","",G258-IF(R258="",0,R258))</f>
        <v>0</v>
      </c>
      <c r="U258" s="18">
        <f>IF(OR(B258="",D258&lt;&gt;"Fridge",NOT(ISNUMBER(N258))),"",COUNTIFS($D$5:$D$304,"Fridge",$N$5:$N$304,"&lt;"&amp;N258)+COUNTIFS($D$5:D258,"Fridge",$N$5:N258,N258))</f>
        <v>0</v>
      </c>
      <c r="V258" s="18">
        <f>IF(OR(B258="",D258&lt;&gt;"Freezer",NOT(ISNUMBER(N258))),"",COUNTIFS($D$5:$D$304,"Freezer",$N$5:$N$304,"&lt;"&amp;N258)+COUNTIFS($D$5:D258,"Freezer",$N$5:N258,N258))</f>
        <v>0</v>
      </c>
      <c r="W258" s="31">
        <f>IF(B258="","",IF(G258=0,"Out of stock",IF(AND(N258&lt;&gt;"",N258&lt;0),"Expired",IF(AND(N258&lt;&gt;"",N258&lt;=ExpiryWarningDays),"Use soon",IF(AND(Q258&lt;&gt;"",G258&lt;Q258),"Low stock","In stock")))))</f>
        <v>0</v>
      </c>
      <c r="X258" s="31">
        <f>IF(B258="","",IF(W258="Expired","Expired - bin it and log it on the Food Waste tab",IF(W258="Use soon","Use soon - plan a meal with it",IF(W258="Out of stock",IF(T258="Yes","Missing - staple has run out","Add - restock when convenient"),IF(W258="Low stock","Check - running low",IF(S258&lt;0,"Check - the plan needs more than you have","OK"))))))</f>
        <v>0</v>
      </c>
    </row>
    <row r="259" spans="1:24">
      <c r="A259" s="39">
        <f>IF(B259="","",PantryPrefix&amp;TEXT(ROW()-4,"0000"))</f>
        <v>0</v>
      </c>
      <c r="C259" s="17">
        <f>IF(B259="","",IFERROR(INDEX(Ingredients!$C$5:$C$304,MATCH(B259,Ingredients!$B$5:$B$304,0)),"Add to Ingredients"))</f>
        <v>0</v>
      </c>
      <c r="G259" s="45">
        <f>IF(E259="","",IFERROR(E259*INDEX(UnitFactors,MATCH(F259,UnitNames,0)),""))</f>
        <v>0</v>
      </c>
      <c r="H259" s="17">
        <f>IF(F259="","",IFERROR(INDEX(UnitBases,MATCH(F259,UnitNames,0)),"?"))</f>
        <v>0</v>
      </c>
      <c r="L259" s="18">
        <f>IF(B259="","",IFERROR(INDEX(Ingredients!$Z$5:$Z$304,MATCH(B259,Ingredients!$B$5:$B$304,0)),"Add to Ingredients"))</f>
        <v>0</v>
      </c>
      <c r="M259" s="19">
        <f>IF(K259&lt;&gt;"",K259,IF(OR(J259="",L259="",NOT(ISNUMBER(L259))),"",J259+L259))</f>
        <v>0</v>
      </c>
      <c r="N259" s="18">
        <f>IF(M259="","",M259-TODAY())</f>
        <v>0</v>
      </c>
      <c r="O259" s="25">
        <f>IF(B259="","",IFERROR(INDEX(Ingredients!$J$5:$J$304,MATCH(B259,Ingredients!$B$5:$B$304,0)),"Add to Ingredients"))</f>
        <v>0</v>
      </c>
      <c r="P259" s="25">
        <f>IF(OR(G259="",O259="",NOT(ISNUMBER(O259))),"",G259*O259)</f>
        <v>0</v>
      </c>
      <c r="R259" s="45">
        <f>IF(B259="","",IFERROR(INDEX(Ingredients!$AG$5:$AG$304,MATCH(B259,Ingredients!$B$5:$B$304,0)),0))</f>
        <v>0</v>
      </c>
      <c r="S259" s="45">
        <f>IF(G259="","",G259-IF(R259="",0,R259))</f>
        <v>0</v>
      </c>
      <c r="U259" s="18">
        <f>IF(OR(B259="",D259&lt;&gt;"Fridge",NOT(ISNUMBER(N259))),"",COUNTIFS($D$5:$D$304,"Fridge",$N$5:$N$304,"&lt;"&amp;N259)+COUNTIFS($D$5:D259,"Fridge",$N$5:N259,N259))</f>
        <v>0</v>
      </c>
      <c r="V259" s="18">
        <f>IF(OR(B259="",D259&lt;&gt;"Freezer",NOT(ISNUMBER(N259))),"",COUNTIFS($D$5:$D$304,"Freezer",$N$5:$N$304,"&lt;"&amp;N259)+COUNTIFS($D$5:D259,"Freezer",$N$5:N259,N259))</f>
        <v>0</v>
      </c>
      <c r="W259" s="31">
        <f>IF(B259="","",IF(G259=0,"Out of stock",IF(AND(N259&lt;&gt;"",N259&lt;0),"Expired",IF(AND(N259&lt;&gt;"",N259&lt;=ExpiryWarningDays),"Use soon",IF(AND(Q259&lt;&gt;"",G259&lt;Q259),"Low stock","In stock")))))</f>
        <v>0</v>
      </c>
      <c r="X259" s="31">
        <f>IF(B259="","",IF(W259="Expired","Expired - bin it and log it on the Food Waste tab",IF(W259="Use soon","Use soon - plan a meal with it",IF(W259="Out of stock",IF(T259="Yes","Missing - staple has run out","Add - restock when convenient"),IF(W259="Low stock","Check - running low",IF(S259&lt;0,"Check - the plan needs more than you have","OK"))))))</f>
        <v>0</v>
      </c>
    </row>
    <row r="260" spans="1:24">
      <c r="A260" s="39">
        <f>IF(B260="","",PantryPrefix&amp;TEXT(ROW()-4,"0000"))</f>
        <v>0</v>
      </c>
      <c r="C260" s="17">
        <f>IF(B260="","",IFERROR(INDEX(Ingredients!$C$5:$C$304,MATCH(B260,Ingredients!$B$5:$B$304,0)),"Add to Ingredients"))</f>
        <v>0</v>
      </c>
      <c r="G260" s="45">
        <f>IF(E260="","",IFERROR(E260*INDEX(UnitFactors,MATCH(F260,UnitNames,0)),""))</f>
        <v>0</v>
      </c>
      <c r="H260" s="17">
        <f>IF(F260="","",IFERROR(INDEX(UnitBases,MATCH(F260,UnitNames,0)),"?"))</f>
        <v>0</v>
      </c>
      <c r="L260" s="18">
        <f>IF(B260="","",IFERROR(INDEX(Ingredients!$Z$5:$Z$304,MATCH(B260,Ingredients!$B$5:$B$304,0)),"Add to Ingredients"))</f>
        <v>0</v>
      </c>
      <c r="M260" s="19">
        <f>IF(K260&lt;&gt;"",K260,IF(OR(J260="",L260="",NOT(ISNUMBER(L260))),"",J260+L260))</f>
        <v>0</v>
      </c>
      <c r="N260" s="18">
        <f>IF(M260="","",M260-TODAY())</f>
        <v>0</v>
      </c>
      <c r="O260" s="25">
        <f>IF(B260="","",IFERROR(INDEX(Ingredients!$J$5:$J$304,MATCH(B260,Ingredients!$B$5:$B$304,0)),"Add to Ingredients"))</f>
        <v>0</v>
      </c>
      <c r="P260" s="25">
        <f>IF(OR(G260="",O260="",NOT(ISNUMBER(O260))),"",G260*O260)</f>
        <v>0</v>
      </c>
      <c r="R260" s="45">
        <f>IF(B260="","",IFERROR(INDEX(Ingredients!$AG$5:$AG$304,MATCH(B260,Ingredients!$B$5:$B$304,0)),0))</f>
        <v>0</v>
      </c>
      <c r="S260" s="45">
        <f>IF(G260="","",G260-IF(R260="",0,R260))</f>
        <v>0</v>
      </c>
      <c r="U260" s="18">
        <f>IF(OR(B260="",D260&lt;&gt;"Fridge",NOT(ISNUMBER(N260))),"",COUNTIFS($D$5:$D$304,"Fridge",$N$5:$N$304,"&lt;"&amp;N260)+COUNTIFS($D$5:D260,"Fridge",$N$5:N260,N260))</f>
        <v>0</v>
      </c>
      <c r="V260" s="18">
        <f>IF(OR(B260="",D260&lt;&gt;"Freezer",NOT(ISNUMBER(N260))),"",COUNTIFS($D$5:$D$304,"Freezer",$N$5:$N$304,"&lt;"&amp;N260)+COUNTIFS($D$5:D260,"Freezer",$N$5:N260,N260))</f>
        <v>0</v>
      </c>
      <c r="W260" s="31">
        <f>IF(B260="","",IF(G260=0,"Out of stock",IF(AND(N260&lt;&gt;"",N260&lt;0),"Expired",IF(AND(N260&lt;&gt;"",N260&lt;=ExpiryWarningDays),"Use soon",IF(AND(Q260&lt;&gt;"",G260&lt;Q260),"Low stock","In stock")))))</f>
        <v>0</v>
      </c>
      <c r="X260" s="31">
        <f>IF(B260="","",IF(W260="Expired","Expired - bin it and log it on the Food Waste tab",IF(W260="Use soon","Use soon - plan a meal with it",IF(W260="Out of stock",IF(T260="Yes","Missing - staple has run out","Add - restock when convenient"),IF(W260="Low stock","Check - running low",IF(S260&lt;0,"Check - the plan needs more than you have","OK"))))))</f>
        <v>0</v>
      </c>
    </row>
    <row r="261" spans="1:24">
      <c r="A261" s="39">
        <f>IF(B261="","",PantryPrefix&amp;TEXT(ROW()-4,"0000"))</f>
        <v>0</v>
      </c>
      <c r="C261" s="17">
        <f>IF(B261="","",IFERROR(INDEX(Ingredients!$C$5:$C$304,MATCH(B261,Ingredients!$B$5:$B$304,0)),"Add to Ingredients"))</f>
        <v>0</v>
      </c>
      <c r="G261" s="45">
        <f>IF(E261="","",IFERROR(E261*INDEX(UnitFactors,MATCH(F261,UnitNames,0)),""))</f>
        <v>0</v>
      </c>
      <c r="H261" s="17">
        <f>IF(F261="","",IFERROR(INDEX(UnitBases,MATCH(F261,UnitNames,0)),"?"))</f>
        <v>0</v>
      </c>
      <c r="L261" s="18">
        <f>IF(B261="","",IFERROR(INDEX(Ingredients!$Z$5:$Z$304,MATCH(B261,Ingredients!$B$5:$B$304,0)),"Add to Ingredients"))</f>
        <v>0</v>
      </c>
      <c r="M261" s="19">
        <f>IF(K261&lt;&gt;"",K261,IF(OR(J261="",L261="",NOT(ISNUMBER(L261))),"",J261+L261))</f>
        <v>0</v>
      </c>
      <c r="N261" s="18">
        <f>IF(M261="","",M261-TODAY())</f>
        <v>0</v>
      </c>
      <c r="O261" s="25">
        <f>IF(B261="","",IFERROR(INDEX(Ingredients!$J$5:$J$304,MATCH(B261,Ingredients!$B$5:$B$304,0)),"Add to Ingredients"))</f>
        <v>0</v>
      </c>
      <c r="P261" s="25">
        <f>IF(OR(G261="",O261="",NOT(ISNUMBER(O261))),"",G261*O261)</f>
        <v>0</v>
      </c>
      <c r="R261" s="45">
        <f>IF(B261="","",IFERROR(INDEX(Ingredients!$AG$5:$AG$304,MATCH(B261,Ingredients!$B$5:$B$304,0)),0))</f>
        <v>0</v>
      </c>
      <c r="S261" s="45">
        <f>IF(G261="","",G261-IF(R261="",0,R261))</f>
        <v>0</v>
      </c>
      <c r="U261" s="18">
        <f>IF(OR(B261="",D261&lt;&gt;"Fridge",NOT(ISNUMBER(N261))),"",COUNTIFS($D$5:$D$304,"Fridge",$N$5:$N$304,"&lt;"&amp;N261)+COUNTIFS($D$5:D261,"Fridge",$N$5:N261,N261))</f>
        <v>0</v>
      </c>
      <c r="V261" s="18">
        <f>IF(OR(B261="",D261&lt;&gt;"Freezer",NOT(ISNUMBER(N261))),"",COUNTIFS($D$5:$D$304,"Freezer",$N$5:$N$304,"&lt;"&amp;N261)+COUNTIFS($D$5:D261,"Freezer",$N$5:N261,N261))</f>
        <v>0</v>
      </c>
      <c r="W261" s="31">
        <f>IF(B261="","",IF(G261=0,"Out of stock",IF(AND(N261&lt;&gt;"",N261&lt;0),"Expired",IF(AND(N261&lt;&gt;"",N261&lt;=ExpiryWarningDays),"Use soon",IF(AND(Q261&lt;&gt;"",G261&lt;Q261),"Low stock","In stock")))))</f>
        <v>0</v>
      </c>
      <c r="X261" s="31">
        <f>IF(B261="","",IF(W261="Expired","Expired - bin it and log it on the Food Waste tab",IF(W261="Use soon","Use soon - plan a meal with it",IF(W261="Out of stock",IF(T261="Yes","Missing - staple has run out","Add - restock when convenient"),IF(W261="Low stock","Check - running low",IF(S261&lt;0,"Check - the plan needs more than you have","OK"))))))</f>
        <v>0</v>
      </c>
    </row>
    <row r="262" spans="1:24">
      <c r="A262" s="39">
        <f>IF(B262="","",PantryPrefix&amp;TEXT(ROW()-4,"0000"))</f>
        <v>0</v>
      </c>
      <c r="C262" s="17">
        <f>IF(B262="","",IFERROR(INDEX(Ingredients!$C$5:$C$304,MATCH(B262,Ingredients!$B$5:$B$304,0)),"Add to Ingredients"))</f>
        <v>0</v>
      </c>
      <c r="G262" s="45">
        <f>IF(E262="","",IFERROR(E262*INDEX(UnitFactors,MATCH(F262,UnitNames,0)),""))</f>
        <v>0</v>
      </c>
      <c r="H262" s="17">
        <f>IF(F262="","",IFERROR(INDEX(UnitBases,MATCH(F262,UnitNames,0)),"?"))</f>
        <v>0</v>
      </c>
      <c r="L262" s="18">
        <f>IF(B262="","",IFERROR(INDEX(Ingredients!$Z$5:$Z$304,MATCH(B262,Ingredients!$B$5:$B$304,0)),"Add to Ingredients"))</f>
        <v>0</v>
      </c>
      <c r="M262" s="19">
        <f>IF(K262&lt;&gt;"",K262,IF(OR(J262="",L262="",NOT(ISNUMBER(L262))),"",J262+L262))</f>
        <v>0</v>
      </c>
      <c r="N262" s="18">
        <f>IF(M262="","",M262-TODAY())</f>
        <v>0</v>
      </c>
      <c r="O262" s="25">
        <f>IF(B262="","",IFERROR(INDEX(Ingredients!$J$5:$J$304,MATCH(B262,Ingredients!$B$5:$B$304,0)),"Add to Ingredients"))</f>
        <v>0</v>
      </c>
      <c r="P262" s="25">
        <f>IF(OR(G262="",O262="",NOT(ISNUMBER(O262))),"",G262*O262)</f>
        <v>0</v>
      </c>
      <c r="R262" s="45">
        <f>IF(B262="","",IFERROR(INDEX(Ingredients!$AG$5:$AG$304,MATCH(B262,Ingredients!$B$5:$B$304,0)),0))</f>
        <v>0</v>
      </c>
      <c r="S262" s="45">
        <f>IF(G262="","",G262-IF(R262="",0,R262))</f>
        <v>0</v>
      </c>
      <c r="U262" s="18">
        <f>IF(OR(B262="",D262&lt;&gt;"Fridge",NOT(ISNUMBER(N262))),"",COUNTIFS($D$5:$D$304,"Fridge",$N$5:$N$304,"&lt;"&amp;N262)+COUNTIFS($D$5:D262,"Fridge",$N$5:N262,N262))</f>
        <v>0</v>
      </c>
      <c r="V262" s="18">
        <f>IF(OR(B262="",D262&lt;&gt;"Freezer",NOT(ISNUMBER(N262))),"",COUNTIFS($D$5:$D$304,"Freezer",$N$5:$N$304,"&lt;"&amp;N262)+COUNTIFS($D$5:D262,"Freezer",$N$5:N262,N262))</f>
        <v>0</v>
      </c>
      <c r="W262" s="31">
        <f>IF(B262="","",IF(G262=0,"Out of stock",IF(AND(N262&lt;&gt;"",N262&lt;0),"Expired",IF(AND(N262&lt;&gt;"",N262&lt;=ExpiryWarningDays),"Use soon",IF(AND(Q262&lt;&gt;"",G262&lt;Q262),"Low stock","In stock")))))</f>
        <v>0</v>
      </c>
      <c r="X262" s="31">
        <f>IF(B262="","",IF(W262="Expired","Expired - bin it and log it on the Food Waste tab",IF(W262="Use soon","Use soon - plan a meal with it",IF(W262="Out of stock",IF(T262="Yes","Missing - staple has run out","Add - restock when convenient"),IF(W262="Low stock","Check - running low",IF(S262&lt;0,"Check - the plan needs more than you have","OK"))))))</f>
        <v>0</v>
      </c>
    </row>
    <row r="263" spans="1:24">
      <c r="A263" s="39">
        <f>IF(B263="","",PantryPrefix&amp;TEXT(ROW()-4,"0000"))</f>
        <v>0</v>
      </c>
      <c r="C263" s="17">
        <f>IF(B263="","",IFERROR(INDEX(Ingredients!$C$5:$C$304,MATCH(B263,Ingredients!$B$5:$B$304,0)),"Add to Ingredients"))</f>
        <v>0</v>
      </c>
      <c r="G263" s="45">
        <f>IF(E263="","",IFERROR(E263*INDEX(UnitFactors,MATCH(F263,UnitNames,0)),""))</f>
        <v>0</v>
      </c>
      <c r="H263" s="17">
        <f>IF(F263="","",IFERROR(INDEX(UnitBases,MATCH(F263,UnitNames,0)),"?"))</f>
        <v>0</v>
      </c>
      <c r="L263" s="18">
        <f>IF(B263="","",IFERROR(INDEX(Ingredients!$Z$5:$Z$304,MATCH(B263,Ingredients!$B$5:$B$304,0)),"Add to Ingredients"))</f>
        <v>0</v>
      </c>
      <c r="M263" s="19">
        <f>IF(K263&lt;&gt;"",K263,IF(OR(J263="",L263="",NOT(ISNUMBER(L263))),"",J263+L263))</f>
        <v>0</v>
      </c>
      <c r="N263" s="18">
        <f>IF(M263="","",M263-TODAY())</f>
        <v>0</v>
      </c>
      <c r="O263" s="25">
        <f>IF(B263="","",IFERROR(INDEX(Ingredients!$J$5:$J$304,MATCH(B263,Ingredients!$B$5:$B$304,0)),"Add to Ingredients"))</f>
        <v>0</v>
      </c>
      <c r="P263" s="25">
        <f>IF(OR(G263="",O263="",NOT(ISNUMBER(O263))),"",G263*O263)</f>
        <v>0</v>
      </c>
      <c r="R263" s="45">
        <f>IF(B263="","",IFERROR(INDEX(Ingredients!$AG$5:$AG$304,MATCH(B263,Ingredients!$B$5:$B$304,0)),0))</f>
        <v>0</v>
      </c>
      <c r="S263" s="45">
        <f>IF(G263="","",G263-IF(R263="",0,R263))</f>
        <v>0</v>
      </c>
      <c r="U263" s="18">
        <f>IF(OR(B263="",D263&lt;&gt;"Fridge",NOT(ISNUMBER(N263))),"",COUNTIFS($D$5:$D$304,"Fridge",$N$5:$N$304,"&lt;"&amp;N263)+COUNTIFS($D$5:D263,"Fridge",$N$5:N263,N263))</f>
        <v>0</v>
      </c>
      <c r="V263" s="18">
        <f>IF(OR(B263="",D263&lt;&gt;"Freezer",NOT(ISNUMBER(N263))),"",COUNTIFS($D$5:$D$304,"Freezer",$N$5:$N$304,"&lt;"&amp;N263)+COUNTIFS($D$5:D263,"Freezer",$N$5:N263,N263))</f>
        <v>0</v>
      </c>
      <c r="W263" s="31">
        <f>IF(B263="","",IF(G263=0,"Out of stock",IF(AND(N263&lt;&gt;"",N263&lt;0),"Expired",IF(AND(N263&lt;&gt;"",N263&lt;=ExpiryWarningDays),"Use soon",IF(AND(Q263&lt;&gt;"",G263&lt;Q263),"Low stock","In stock")))))</f>
        <v>0</v>
      </c>
      <c r="X263" s="31">
        <f>IF(B263="","",IF(W263="Expired","Expired - bin it and log it on the Food Waste tab",IF(W263="Use soon","Use soon - plan a meal with it",IF(W263="Out of stock",IF(T263="Yes","Missing - staple has run out","Add - restock when convenient"),IF(W263="Low stock","Check - running low",IF(S263&lt;0,"Check - the plan needs more than you have","OK"))))))</f>
        <v>0</v>
      </c>
    </row>
    <row r="264" spans="1:24">
      <c r="A264" s="39">
        <f>IF(B264="","",PantryPrefix&amp;TEXT(ROW()-4,"0000"))</f>
        <v>0</v>
      </c>
      <c r="C264" s="17">
        <f>IF(B264="","",IFERROR(INDEX(Ingredients!$C$5:$C$304,MATCH(B264,Ingredients!$B$5:$B$304,0)),"Add to Ingredients"))</f>
        <v>0</v>
      </c>
      <c r="G264" s="45">
        <f>IF(E264="","",IFERROR(E264*INDEX(UnitFactors,MATCH(F264,UnitNames,0)),""))</f>
        <v>0</v>
      </c>
      <c r="H264" s="17">
        <f>IF(F264="","",IFERROR(INDEX(UnitBases,MATCH(F264,UnitNames,0)),"?"))</f>
        <v>0</v>
      </c>
      <c r="L264" s="18">
        <f>IF(B264="","",IFERROR(INDEX(Ingredients!$Z$5:$Z$304,MATCH(B264,Ingredients!$B$5:$B$304,0)),"Add to Ingredients"))</f>
        <v>0</v>
      </c>
      <c r="M264" s="19">
        <f>IF(K264&lt;&gt;"",K264,IF(OR(J264="",L264="",NOT(ISNUMBER(L264))),"",J264+L264))</f>
        <v>0</v>
      </c>
      <c r="N264" s="18">
        <f>IF(M264="","",M264-TODAY())</f>
        <v>0</v>
      </c>
      <c r="O264" s="25">
        <f>IF(B264="","",IFERROR(INDEX(Ingredients!$J$5:$J$304,MATCH(B264,Ingredients!$B$5:$B$304,0)),"Add to Ingredients"))</f>
        <v>0</v>
      </c>
      <c r="P264" s="25">
        <f>IF(OR(G264="",O264="",NOT(ISNUMBER(O264))),"",G264*O264)</f>
        <v>0</v>
      </c>
      <c r="R264" s="45">
        <f>IF(B264="","",IFERROR(INDEX(Ingredients!$AG$5:$AG$304,MATCH(B264,Ingredients!$B$5:$B$304,0)),0))</f>
        <v>0</v>
      </c>
      <c r="S264" s="45">
        <f>IF(G264="","",G264-IF(R264="",0,R264))</f>
        <v>0</v>
      </c>
      <c r="U264" s="18">
        <f>IF(OR(B264="",D264&lt;&gt;"Fridge",NOT(ISNUMBER(N264))),"",COUNTIFS($D$5:$D$304,"Fridge",$N$5:$N$304,"&lt;"&amp;N264)+COUNTIFS($D$5:D264,"Fridge",$N$5:N264,N264))</f>
        <v>0</v>
      </c>
      <c r="V264" s="18">
        <f>IF(OR(B264="",D264&lt;&gt;"Freezer",NOT(ISNUMBER(N264))),"",COUNTIFS($D$5:$D$304,"Freezer",$N$5:$N$304,"&lt;"&amp;N264)+COUNTIFS($D$5:D264,"Freezer",$N$5:N264,N264))</f>
        <v>0</v>
      </c>
      <c r="W264" s="31">
        <f>IF(B264="","",IF(G264=0,"Out of stock",IF(AND(N264&lt;&gt;"",N264&lt;0),"Expired",IF(AND(N264&lt;&gt;"",N264&lt;=ExpiryWarningDays),"Use soon",IF(AND(Q264&lt;&gt;"",G264&lt;Q264),"Low stock","In stock")))))</f>
        <v>0</v>
      </c>
      <c r="X264" s="31">
        <f>IF(B264="","",IF(W264="Expired","Expired - bin it and log it on the Food Waste tab",IF(W264="Use soon","Use soon - plan a meal with it",IF(W264="Out of stock",IF(T264="Yes","Missing - staple has run out","Add - restock when convenient"),IF(W264="Low stock","Check - running low",IF(S264&lt;0,"Check - the plan needs more than you have","OK"))))))</f>
        <v>0</v>
      </c>
    </row>
    <row r="265" spans="1:24">
      <c r="A265" s="39">
        <f>IF(B265="","",PantryPrefix&amp;TEXT(ROW()-4,"0000"))</f>
        <v>0</v>
      </c>
      <c r="C265" s="17">
        <f>IF(B265="","",IFERROR(INDEX(Ingredients!$C$5:$C$304,MATCH(B265,Ingredients!$B$5:$B$304,0)),"Add to Ingredients"))</f>
        <v>0</v>
      </c>
      <c r="G265" s="45">
        <f>IF(E265="","",IFERROR(E265*INDEX(UnitFactors,MATCH(F265,UnitNames,0)),""))</f>
        <v>0</v>
      </c>
      <c r="H265" s="17">
        <f>IF(F265="","",IFERROR(INDEX(UnitBases,MATCH(F265,UnitNames,0)),"?"))</f>
        <v>0</v>
      </c>
      <c r="L265" s="18">
        <f>IF(B265="","",IFERROR(INDEX(Ingredients!$Z$5:$Z$304,MATCH(B265,Ingredients!$B$5:$B$304,0)),"Add to Ingredients"))</f>
        <v>0</v>
      </c>
      <c r="M265" s="19">
        <f>IF(K265&lt;&gt;"",K265,IF(OR(J265="",L265="",NOT(ISNUMBER(L265))),"",J265+L265))</f>
        <v>0</v>
      </c>
      <c r="N265" s="18">
        <f>IF(M265="","",M265-TODAY())</f>
        <v>0</v>
      </c>
      <c r="O265" s="25">
        <f>IF(B265="","",IFERROR(INDEX(Ingredients!$J$5:$J$304,MATCH(B265,Ingredients!$B$5:$B$304,0)),"Add to Ingredients"))</f>
        <v>0</v>
      </c>
      <c r="P265" s="25">
        <f>IF(OR(G265="",O265="",NOT(ISNUMBER(O265))),"",G265*O265)</f>
        <v>0</v>
      </c>
      <c r="R265" s="45">
        <f>IF(B265="","",IFERROR(INDEX(Ingredients!$AG$5:$AG$304,MATCH(B265,Ingredients!$B$5:$B$304,0)),0))</f>
        <v>0</v>
      </c>
      <c r="S265" s="45">
        <f>IF(G265="","",G265-IF(R265="",0,R265))</f>
        <v>0</v>
      </c>
      <c r="U265" s="18">
        <f>IF(OR(B265="",D265&lt;&gt;"Fridge",NOT(ISNUMBER(N265))),"",COUNTIFS($D$5:$D$304,"Fridge",$N$5:$N$304,"&lt;"&amp;N265)+COUNTIFS($D$5:D265,"Fridge",$N$5:N265,N265))</f>
        <v>0</v>
      </c>
      <c r="V265" s="18">
        <f>IF(OR(B265="",D265&lt;&gt;"Freezer",NOT(ISNUMBER(N265))),"",COUNTIFS($D$5:$D$304,"Freezer",$N$5:$N$304,"&lt;"&amp;N265)+COUNTIFS($D$5:D265,"Freezer",$N$5:N265,N265))</f>
        <v>0</v>
      </c>
      <c r="W265" s="31">
        <f>IF(B265="","",IF(G265=0,"Out of stock",IF(AND(N265&lt;&gt;"",N265&lt;0),"Expired",IF(AND(N265&lt;&gt;"",N265&lt;=ExpiryWarningDays),"Use soon",IF(AND(Q265&lt;&gt;"",G265&lt;Q265),"Low stock","In stock")))))</f>
        <v>0</v>
      </c>
      <c r="X265" s="31">
        <f>IF(B265="","",IF(W265="Expired","Expired - bin it and log it on the Food Waste tab",IF(W265="Use soon","Use soon - plan a meal with it",IF(W265="Out of stock",IF(T265="Yes","Missing - staple has run out","Add - restock when convenient"),IF(W265="Low stock","Check - running low",IF(S265&lt;0,"Check - the plan needs more than you have","OK"))))))</f>
        <v>0</v>
      </c>
    </row>
    <row r="266" spans="1:24">
      <c r="A266" s="39">
        <f>IF(B266="","",PantryPrefix&amp;TEXT(ROW()-4,"0000"))</f>
        <v>0</v>
      </c>
      <c r="C266" s="17">
        <f>IF(B266="","",IFERROR(INDEX(Ingredients!$C$5:$C$304,MATCH(B266,Ingredients!$B$5:$B$304,0)),"Add to Ingredients"))</f>
        <v>0</v>
      </c>
      <c r="G266" s="45">
        <f>IF(E266="","",IFERROR(E266*INDEX(UnitFactors,MATCH(F266,UnitNames,0)),""))</f>
        <v>0</v>
      </c>
      <c r="H266" s="17">
        <f>IF(F266="","",IFERROR(INDEX(UnitBases,MATCH(F266,UnitNames,0)),"?"))</f>
        <v>0</v>
      </c>
      <c r="L266" s="18">
        <f>IF(B266="","",IFERROR(INDEX(Ingredients!$Z$5:$Z$304,MATCH(B266,Ingredients!$B$5:$B$304,0)),"Add to Ingredients"))</f>
        <v>0</v>
      </c>
      <c r="M266" s="19">
        <f>IF(K266&lt;&gt;"",K266,IF(OR(J266="",L266="",NOT(ISNUMBER(L266))),"",J266+L266))</f>
        <v>0</v>
      </c>
      <c r="N266" s="18">
        <f>IF(M266="","",M266-TODAY())</f>
        <v>0</v>
      </c>
      <c r="O266" s="25">
        <f>IF(B266="","",IFERROR(INDEX(Ingredients!$J$5:$J$304,MATCH(B266,Ingredients!$B$5:$B$304,0)),"Add to Ingredients"))</f>
        <v>0</v>
      </c>
      <c r="P266" s="25">
        <f>IF(OR(G266="",O266="",NOT(ISNUMBER(O266))),"",G266*O266)</f>
        <v>0</v>
      </c>
      <c r="R266" s="45">
        <f>IF(B266="","",IFERROR(INDEX(Ingredients!$AG$5:$AG$304,MATCH(B266,Ingredients!$B$5:$B$304,0)),0))</f>
        <v>0</v>
      </c>
      <c r="S266" s="45">
        <f>IF(G266="","",G266-IF(R266="",0,R266))</f>
        <v>0</v>
      </c>
      <c r="U266" s="18">
        <f>IF(OR(B266="",D266&lt;&gt;"Fridge",NOT(ISNUMBER(N266))),"",COUNTIFS($D$5:$D$304,"Fridge",$N$5:$N$304,"&lt;"&amp;N266)+COUNTIFS($D$5:D266,"Fridge",$N$5:N266,N266))</f>
        <v>0</v>
      </c>
      <c r="V266" s="18">
        <f>IF(OR(B266="",D266&lt;&gt;"Freezer",NOT(ISNUMBER(N266))),"",COUNTIFS($D$5:$D$304,"Freezer",$N$5:$N$304,"&lt;"&amp;N266)+COUNTIFS($D$5:D266,"Freezer",$N$5:N266,N266))</f>
        <v>0</v>
      </c>
      <c r="W266" s="31">
        <f>IF(B266="","",IF(G266=0,"Out of stock",IF(AND(N266&lt;&gt;"",N266&lt;0),"Expired",IF(AND(N266&lt;&gt;"",N266&lt;=ExpiryWarningDays),"Use soon",IF(AND(Q266&lt;&gt;"",G266&lt;Q266),"Low stock","In stock")))))</f>
        <v>0</v>
      </c>
      <c r="X266" s="31">
        <f>IF(B266="","",IF(W266="Expired","Expired - bin it and log it on the Food Waste tab",IF(W266="Use soon","Use soon - plan a meal with it",IF(W266="Out of stock",IF(T266="Yes","Missing - staple has run out","Add - restock when convenient"),IF(W266="Low stock","Check - running low",IF(S266&lt;0,"Check - the plan needs more than you have","OK"))))))</f>
        <v>0</v>
      </c>
    </row>
    <row r="267" spans="1:24">
      <c r="A267" s="39">
        <f>IF(B267="","",PantryPrefix&amp;TEXT(ROW()-4,"0000"))</f>
        <v>0</v>
      </c>
      <c r="C267" s="17">
        <f>IF(B267="","",IFERROR(INDEX(Ingredients!$C$5:$C$304,MATCH(B267,Ingredients!$B$5:$B$304,0)),"Add to Ingredients"))</f>
        <v>0</v>
      </c>
      <c r="G267" s="45">
        <f>IF(E267="","",IFERROR(E267*INDEX(UnitFactors,MATCH(F267,UnitNames,0)),""))</f>
        <v>0</v>
      </c>
      <c r="H267" s="17">
        <f>IF(F267="","",IFERROR(INDEX(UnitBases,MATCH(F267,UnitNames,0)),"?"))</f>
        <v>0</v>
      </c>
      <c r="L267" s="18">
        <f>IF(B267="","",IFERROR(INDEX(Ingredients!$Z$5:$Z$304,MATCH(B267,Ingredients!$B$5:$B$304,0)),"Add to Ingredients"))</f>
        <v>0</v>
      </c>
      <c r="M267" s="19">
        <f>IF(K267&lt;&gt;"",K267,IF(OR(J267="",L267="",NOT(ISNUMBER(L267))),"",J267+L267))</f>
        <v>0</v>
      </c>
      <c r="N267" s="18">
        <f>IF(M267="","",M267-TODAY())</f>
        <v>0</v>
      </c>
      <c r="O267" s="25">
        <f>IF(B267="","",IFERROR(INDEX(Ingredients!$J$5:$J$304,MATCH(B267,Ingredients!$B$5:$B$304,0)),"Add to Ingredients"))</f>
        <v>0</v>
      </c>
      <c r="P267" s="25">
        <f>IF(OR(G267="",O267="",NOT(ISNUMBER(O267))),"",G267*O267)</f>
        <v>0</v>
      </c>
      <c r="R267" s="45">
        <f>IF(B267="","",IFERROR(INDEX(Ingredients!$AG$5:$AG$304,MATCH(B267,Ingredients!$B$5:$B$304,0)),0))</f>
        <v>0</v>
      </c>
      <c r="S267" s="45">
        <f>IF(G267="","",G267-IF(R267="",0,R267))</f>
        <v>0</v>
      </c>
      <c r="U267" s="18">
        <f>IF(OR(B267="",D267&lt;&gt;"Fridge",NOT(ISNUMBER(N267))),"",COUNTIFS($D$5:$D$304,"Fridge",$N$5:$N$304,"&lt;"&amp;N267)+COUNTIFS($D$5:D267,"Fridge",$N$5:N267,N267))</f>
        <v>0</v>
      </c>
      <c r="V267" s="18">
        <f>IF(OR(B267="",D267&lt;&gt;"Freezer",NOT(ISNUMBER(N267))),"",COUNTIFS($D$5:$D$304,"Freezer",$N$5:$N$304,"&lt;"&amp;N267)+COUNTIFS($D$5:D267,"Freezer",$N$5:N267,N267))</f>
        <v>0</v>
      </c>
      <c r="W267" s="31">
        <f>IF(B267="","",IF(G267=0,"Out of stock",IF(AND(N267&lt;&gt;"",N267&lt;0),"Expired",IF(AND(N267&lt;&gt;"",N267&lt;=ExpiryWarningDays),"Use soon",IF(AND(Q267&lt;&gt;"",G267&lt;Q267),"Low stock","In stock")))))</f>
        <v>0</v>
      </c>
      <c r="X267" s="31">
        <f>IF(B267="","",IF(W267="Expired","Expired - bin it and log it on the Food Waste tab",IF(W267="Use soon","Use soon - plan a meal with it",IF(W267="Out of stock",IF(T267="Yes","Missing - staple has run out","Add - restock when convenient"),IF(W267="Low stock","Check - running low",IF(S267&lt;0,"Check - the plan needs more than you have","OK"))))))</f>
        <v>0</v>
      </c>
    </row>
    <row r="268" spans="1:24">
      <c r="A268" s="39">
        <f>IF(B268="","",PantryPrefix&amp;TEXT(ROW()-4,"0000"))</f>
        <v>0</v>
      </c>
      <c r="C268" s="17">
        <f>IF(B268="","",IFERROR(INDEX(Ingredients!$C$5:$C$304,MATCH(B268,Ingredients!$B$5:$B$304,0)),"Add to Ingredients"))</f>
        <v>0</v>
      </c>
      <c r="G268" s="45">
        <f>IF(E268="","",IFERROR(E268*INDEX(UnitFactors,MATCH(F268,UnitNames,0)),""))</f>
        <v>0</v>
      </c>
      <c r="H268" s="17">
        <f>IF(F268="","",IFERROR(INDEX(UnitBases,MATCH(F268,UnitNames,0)),"?"))</f>
        <v>0</v>
      </c>
      <c r="L268" s="18">
        <f>IF(B268="","",IFERROR(INDEX(Ingredients!$Z$5:$Z$304,MATCH(B268,Ingredients!$B$5:$B$304,0)),"Add to Ingredients"))</f>
        <v>0</v>
      </c>
      <c r="M268" s="19">
        <f>IF(K268&lt;&gt;"",K268,IF(OR(J268="",L268="",NOT(ISNUMBER(L268))),"",J268+L268))</f>
        <v>0</v>
      </c>
      <c r="N268" s="18">
        <f>IF(M268="","",M268-TODAY())</f>
        <v>0</v>
      </c>
      <c r="O268" s="25">
        <f>IF(B268="","",IFERROR(INDEX(Ingredients!$J$5:$J$304,MATCH(B268,Ingredients!$B$5:$B$304,0)),"Add to Ingredients"))</f>
        <v>0</v>
      </c>
      <c r="P268" s="25">
        <f>IF(OR(G268="",O268="",NOT(ISNUMBER(O268))),"",G268*O268)</f>
        <v>0</v>
      </c>
      <c r="R268" s="45">
        <f>IF(B268="","",IFERROR(INDEX(Ingredients!$AG$5:$AG$304,MATCH(B268,Ingredients!$B$5:$B$304,0)),0))</f>
        <v>0</v>
      </c>
      <c r="S268" s="45">
        <f>IF(G268="","",G268-IF(R268="",0,R268))</f>
        <v>0</v>
      </c>
      <c r="U268" s="18">
        <f>IF(OR(B268="",D268&lt;&gt;"Fridge",NOT(ISNUMBER(N268))),"",COUNTIFS($D$5:$D$304,"Fridge",$N$5:$N$304,"&lt;"&amp;N268)+COUNTIFS($D$5:D268,"Fridge",$N$5:N268,N268))</f>
        <v>0</v>
      </c>
      <c r="V268" s="18">
        <f>IF(OR(B268="",D268&lt;&gt;"Freezer",NOT(ISNUMBER(N268))),"",COUNTIFS($D$5:$D$304,"Freezer",$N$5:$N$304,"&lt;"&amp;N268)+COUNTIFS($D$5:D268,"Freezer",$N$5:N268,N268))</f>
        <v>0</v>
      </c>
      <c r="W268" s="31">
        <f>IF(B268="","",IF(G268=0,"Out of stock",IF(AND(N268&lt;&gt;"",N268&lt;0),"Expired",IF(AND(N268&lt;&gt;"",N268&lt;=ExpiryWarningDays),"Use soon",IF(AND(Q268&lt;&gt;"",G268&lt;Q268),"Low stock","In stock")))))</f>
        <v>0</v>
      </c>
      <c r="X268" s="31">
        <f>IF(B268="","",IF(W268="Expired","Expired - bin it and log it on the Food Waste tab",IF(W268="Use soon","Use soon - plan a meal with it",IF(W268="Out of stock",IF(T268="Yes","Missing - staple has run out","Add - restock when convenient"),IF(W268="Low stock","Check - running low",IF(S268&lt;0,"Check - the plan needs more than you have","OK"))))))</f>
        <v>0</v>
      </c>
    </row>
    <row r="269" spans="1:24">
      <c r="A269" s="39">
        <f>IF(B269="","",PantryPrefix&amp;TEXT(ROW()-4,"0000"))</f>
        <v>0</v>
      </c>
      <c r="C269" s="17">
        <f>IF(B269="","",IFERROR(INDEX(Ingredients!$C$5:$C$304,MATCH(B269,Ingredients!$B$5:$B$304,0)),"Add to Ingredients"))</f>
        <v>0</v>
      </c>
      <c r="G269" s="45">
        <f>IF(E269="","",IFERROR(E269*INDEX(UnitFactors,MATCH(F269,UnitNames,0)),""))</f>
        <v>0</v>
      </c>
      <c r="H269" s="17">
        <f>IF(F269="","",IFERROR(INDEX(UnitBases,MATCH(F269,UnitNames,0)),"?"))</f>
        <v>0</v>
      </c>
      <c r="L269" s="18">
        <f>IF(B269="","",IFERROR(INDEX(Ingredients!$Z$5:$Z$304,MATCH(B269,Ingredients!$B$5:$B$304,0)),"Add to Ingredients"))</f>
        <v>0</v>
      </c>
      <c r="M269" s="19">
        <f>IF(K269&lt;&gt;"",K269,IF(OR(J269="",L269="",NOT(ISNUMBER(L269))),"",J269+L269))</f>
        <v>0</v>
      </c>
      <c r="N269" s="18">
        <f>IF(M269="","",M269-TODAY())</f>
        <v>0</v>
      </c>
      <c r="O269" s="25">
        <f>IF(B269="","",IFERROR(INDEX(Ingredients!$J$5:$J$304,MATCH(B269,Ingredients!$B$5:$B$304,0)),"Add to Ingredients"))</f>
        <v>0</v>
      </c>
      <c r="P269" s="25">
        <f>IF(OR(G269="",O269="",NOT(ISNUMBER(O269))),"",G269*O269)</f>
        <v>0</v>
      </c>
      <c r="R269" s="45">
        <f>IF(B269="","",IFERROR(INDEX(Ingredients!$AG$5:$AG$304,MATCH(B269,Ingredients!$B$5:$B$304,0)),0))</f>
        <v>0</v>
      </c>
      <c r="S269" s="45">
        <f>IF(G269="","",G269-IF(R269="",0,R269))</f>
        <v>0</v>
      </c>
      <c r="U269" s="18">
        <f>IF(OR(B269="",D269&lt;&gt;"Fridge",NOT(ISNUMBER(N269))),"",COUNTIFS($D$5:$D$304,"Fridge",$N$5:$N$304,"&lt;"&amp;N269)+COUNTIFS($D$5:D269,"Fridge",$N$5:N269,N269))</f>
        <v>0</v>
      </c>
      <c r="V269" s="18">
        <f>IF(OR(B269="",D269&lt;&gt;"Freezer",NOT(ISNUMBER(N269))),"",COUNTIFS($D$5:$D$304,"Freezer",$N$5:$N$304,"&lt;"&amp;N269)+COUNTIFS($D$5:D269,"Freezer",$N$5:N269,N269))</f>
        <v>0</v>
      </c>
      <c r="W269" s="31">
        <f>IF(B269="","",IF(G269=0,"Out of stock",IF(AND(N269&lt;&gt;"",N269&lt;0),"Expired",IF(AND(N269&lt;&gt;"",N269&lt;=ExpiryWarningDays),"Use soon",IF(AND(Q269&lt;&gt;"",G269&lt;Q269),"Low stock","In stock")))))</f>
        <v>0</v>
      </c>
      <c r="X269" s="31">
        <f>IF(B269="","",IF(W269="Expired","Expired - bin it and log it on the Food Waste tab",IF(W269="Use soon","Use soon - plan a meal with it",IF(W269="Out of stock",IF(T269="Yes","Missing - staple has run out","Add - restock when convenient"),IF(W269="Low stock","Check - running low",IF(S269&lt;0,"Check - the plan needs more than you have","OK"))))))</f>
        <v>0</v>
      </c>
    </row>
    <row r="270" spans="1:24">
      <c r="A270" s="39">
        <f>IF(B270="","",PantryPrefix&amp;TEXT(ROW()-4,"0000"))</f>
        <v>0</v>
      </c>
      <c r="C270" s="17">
        <f>IF(B270="","",IFERROR(INDEX(Ingredients!$C$5:$C$304,MATCH(B270,Ingredients!$B$5:$B$304,0)),"Add to Ingredients"))</f>
        <v>0</v>
      </c>
      <c r="G270" s="45">
        <f>IF(E270="","",IFERROR(E270*INDEX(UnitFactors,MATCH(F270,UnitNames,0)),""))</f>
        <v>0</v>
      </c>
      <c r="H270" s="17">
        <f>IF(F270="","",IFERROR(INDEX(UnitBases,MATCH(F270,UnitNames,0)),"?"))</f>
        <v>0</v>
      </c>
      <c r="L270" s="18">
        <f>IF(B270="","",IFERROR(INDEX(Ingredients!$Z$5:$Z$304,MATCH(B270,Ingredients!$B$5:$B$304,0)),"Add to Ingredients"))</f>
        <v>0</v>
      </c>
      <c r="M270" s="19">
        <f>IF(K270&lt;&gt;"",K270,IF(OR(J270="",L270="",NOT(ISNUMBER(L270))),"",J270+L270))</f>
        <v>0</v>
      </c>
      <c r="N270" s="18">
        <f>IF(M270="","",M270-TODAY())</f>
        <v>0</v>
      </c>
      <c r="O270" s="25">
        <f>IF(B270="","",IFERROR(INDEX(Ingredients!$J$5:$J$304,MATCH(B270,Ingredients!$B$5:$B$304,0)),"Add to Ingredients"))</f>
        <v>0</v>
      </c>
      <c r="P270" s="25">
        <f>IF(OR(G270="",O270="",NOT(ISNUMBER(O270))),"",G270*O270)</f>
        <v>0</v>
      </c>
      <c r="R270" s="45">
        <f>IF(B270="","",IFERROR(INDEX(Ingredients!$AG$5:$AG$304,MATCH(B270,Ingredients!$B$5:$B$304,0)),0))</f>
        <v>0</v>
      </c>
      <c r="S270" s="45">
        <f>IF(G270="","",G270-IF(R270="",0,R270))</f>
        <v>0</v>
      </c>
      <c r="U270" s="18">
        <f>IF(OR(B270="",D270&lt;&gt;"Fridge",NOT(ISNUMBER(N270))),"",COUNTIFS($D$5:$D$304,"Fridge",$N$5:$N$304,"&lt;"&amp;N270)+COUNTIFS($D$5:D270,"Fridge",$N$5:N270,N270))</f>
        <v>0</v>
      </c>
      <c r="V270" s="18">
        <f>IF(OR(B270="",D270&lt;&gt;"Freezer",NOT(ISNUMBER(N270))),"",COUNTIFS($D$5:$D$304,"Freezer",$N$5:$N$304,"&lt;"&amp;N270)+COUNTIFS($D$5:D270,"Freezer",$N$5:N270,N270))</f>
        <v>0</v>
      </c>
      <c r="W270" s="31">
        <f>IF(B270="","",IF(G270=0,"Out of stock",IF(AND(N270&lt;&gt;"",N270&lt;0),"Expired",IF(AND(N270&lt;&gt;"",N270&lt;=ExpiryWarningDays),"Use soon",IF(AND(Q270&lt;&gt;"",G270&lt;Q270),"Low stock","In stock")))))</f>
        <v>0</v>
      </c>
      <c r="X270" s="31">
        <f>IF(B270="","",IF(W270="Expired","Expired - bin it and log it on the Food Waste tab",IF(W270="Use soon","Use soon - plan a meal with it",IF(W270="Out of stock",IF(T270="Yes","Missing - staple has run out","Add - restock when convenient"),IF(W270="Low stock","Check - running low",IF(S270&lt;0,"Check - the plan needs more than you have","OK"))))))</f>
        <v>0</v>
      </c>
    </row>
    <row r="271" spans="1:24">
      <c r="A271" s="39">
        <f>IF(B271="","",PantryPrefix&amp;TEXT(ROW()-4,"0000"))</f>
        <v>0</v>
      </c>
      <c r="C271" s="17">
        <f>IF(B271="","",IFERROR(INDEX(Ingredients!$C$5:$C$304,MATCH(B271,Ingredients!$B$5:$B$304,0)),"Add to Ingredients"))</f>
        <v>0</v>
      </c>
      <c r="G271" s="45">
        <f>IF(E271="","",IFERROR(E271*INDEX(UnitFactors,MATCH(F271,UnitNames,0)),""))</f>
        <v>0</v>
      </c>
      <c r="H271" s="17">
        <f>IF(F271="","",IFERROR(INDEX(UnitBases,MATCH(F271,UnitNames,0)),"?"))</f>
        <v>0</v>
      </c>
      <c r="L271" s="18">
        <f>IF(B271="","",IFERROR(INDEX(Ingredients!$Z$5:$Z$304,MATCH(B271,Ingredients!$B$5:$B$304,0)),"Add to Ingredients"))</f>
        <v>0</v>
      </c>
      <c r="M271" s="19">
        <f>IF(K271&lt;&gt;"",K271,IF(OR(J271="",L271="",NOT(ISNUMBER(L271))),"",J271+L271))</f>
        <v>0</v>
      </c>
      <c r="N271" s="18">
        <f>IF(M271="","",M271-TODAY())</f>
        <v>0</v>
      </c>
      <c r="O271" s="25">
        <f>IF(B271="","",IFERROR(INDEX(Ingredients!$J$5:$J$304,MATCH(B271,Ingredients!$B$5:$B$304,0)),"Add to Ingredients"))</f>
        <v>0</v>
      </c>
      <c r="P271" s="25">
        <f>IF(OR(G271="",O271="",NOT(ISNUMBER(O271))),"",G271*O271)</f>
        <v>0</v>
      </c>
      <c r="R271" s="45">
        <f>IF(B271="","",IFERROR(INDEX(Ingredients!$AG$5:$AG$304,MATCH(B271,Ingredients!$B$5:$B$304,0)),0))</f>
        <v>0</v>
      </c>
      <c r="S271" s="45">
        <f>IF(G271="","",G271-IF(R271="",0,R271))</f>
        <v>0</v>
      </c>
      <c r="U271" s="18">
        <f>IF(OR(B271="",D271&lt;&gt;"Fridge",NOT(ISNUMBER(N271))),"",COUNTIFS($D$5:$D$304,"Fridge",$N$5:$N$304,"&lt;"&amp;N271)+COUNTIFS($D$5:D271,"Fridge",$N$5:N271,N271))</f>
        <v>0</v>
      </c>
      <c r="V271" s="18">
        <f>IF(OR(B271="",D271&lt;&gt;"Freezer",NOT(ISNUMBER(N271))),"",COUNTIFS($D$5:$D$304,"Freezer",$N$5:$N$304,"&lt;"&amp;N271)+COUNTIFS($D$5:D271,"Freezer",$N$5:N271,N271))</f>
        <v>0</v>
      </c>
      <c r="W271" s="31">
        <f>IF(B271="","",IF(G271=0,"Out of stock",IF(AND(N271&lt;&gt;"",N271&lt;0),"Expired",IF(AND(N271&lt;&gt;"",N271&lt;=ExpiryWarningDays),"Use soon",IF(AND(Q271&lt;&gt;"",G271&lt;Q271),"Low stock","In stock")))))</f>
        <v>0</v>
      </c>
      <c r="X271" s="31">
        <f>IF(B271="","",IF(W271="Expired","Expired - bin it and log it on the Food Waste tab",IF(W271="Use soon","Use soon - plan a meal with it",IF(W271="Out of stock",IF(T271="Yes","Missing - staple has run out","Add - restock when convenient"),IF(W271="Low stock","Check - running low",IF(S271&lt;0,"Check - the plan needs more than you have","OK"))))))</f>
        <v>0</v>
      </c>
    </row>
    <row r="272" spans="1:24">
      <c r="A272" s="39">
        <f>IF(B272="","",PantryPrefix&amp;TEXT(ROW()-4,"0000"))</f>
        <v>0</v>
      </c>
      <c r="C272" s="17">
        <f>IF(B272="","",IFERROR(INDEX(Ingredients!$C$5:$C$304,MATCH(B272,Ingredients!$B$5:$B$304,0)),"Add to Ingredients"))</f>
        <v>0</v>
      </c>
      <c r="G272" s="45">
        <f>IF(E272="","",IFERROR(E272*INDEX(UnitFactors,MATCH(F272,UnitNames,0)),""))</f>
        <v>0</v>
      </c>
      <c r="H272" s="17">
        <f>IF(F272="","",IFERROR(INDEX(UnitBases,MATCH(F272,UnitNames,0)),"?"))</f>
        <v>0</v>
      </c>
      <c r="L272" s="18">
        <f>IF(B272="","",IFERROR(INDEX(Ingredients!$Z$5:$Z$304,MATCH(B272,Ingredients!$B$5:$B$304,0)),"Add to Ingredients"))</f>
        <v>0</v>
      </c>
      <c r="M272" s="19">
        <f>IF(K272&lt;&gt;"",K272,IF(OR(J272="",L272="",NOT(ISNUMBER(L272))),"",J272+L272))</f>
        <v>0</v>
      </c>
      <c r="N272" s="18">
        <f>IF(M272="","",M272-TODAY())</f>
        <v>0</v>
      </c>
      <c r="O272" s="25">
        <f>IF(B272="","",IFERROR(INDEX(Ingredients!$J$5:$J$304,MATCH(B272,Ingredients!$B$5:$B$304,0)),"Add to Ingredients"))</f>
        <v>0</v>
      </c>
      <c r="P272" s="25">
        <f>IF(OR(G272="",O272="",NOT(ISNUMBER(O272))),"",G272*O272)</f>
        <v>0</v>
      </c>
      <c r="R272" s="45">
        <f>IF(B272="","",IFERROR(INDEX(Ingredients!$AG$5:$AG$304,MATCH(B272,Ingredients!$B$5:$B$304,0)),0))</f>
        <v>0</v>
      </c>
      <c r="S272" s="45">
        <f>IF(G272="","",G272-IF(R272="",0,R272))</f>
        <v>0</v>
      </c>
      <c r="U272" s="18">
        <f>IF(OR(B272="",D272&lt;&gt;"Fridge",NOT(ISNUMBER(N272))),"",COUNTIFS($D$5:$D$304,"Fridge",$N$5:$N$304,"&lt;"&amp;N272)+COUNTIFS($D$5:D272,"Fridge",$N$5:N272,N272))</f>
        <v>0</v>
      </c>
      <c r="V272" s="18">
        <f>IF(OR(B272="",D272&lt;&gt;"Freezer",NOT(ISNUMBER(N272))),"",COUNTIFS($D$5:$D$304,"Freezer",$N$5:$N$304,"&lt;"&amp;N272)+COUNTIFS($D$5:D272,"Freezer",$N$5:N272,N272))</f>
        <v>0</v>
      </c>
      <c r="W272" s="31">
        <f>IF(B272="","",IF(G272=0,"Out of stock",IF(AND(N272&lt;&gt;"",N272&lt;0),"Expired",IF(AND(N272&lt;&gt;"",N272&lt;=ExpiryWarningDays),"Use soon",IF(AND(Q272&lt;&gt;"",G272&lt;Q272),"Low stock","In stock")))))</f>
        <v>0</v>
      </c>
      <c r="X272" s="31">
        <f>IF(B272="","",IF(W272="Expired","Expired - bin it and log it on the Food Waste tab",IF(W272="Use soon","Use soon - plan a meal with it",IF(W272="Out of stock",IF(T272="Yes","Missing - staple has run out","Add - restock when convenient"),IF(W272="Low stock","Check - running low",IF(S272&lt;0,"Check - the plan needs more than you have","OK"))))))</f>
        <v>0</v>
      </c>
    </row>
    <row r="273" spans="1:24">
      <c r="A273" s="39">
        <f>IF(B273="","",PantryPrefix&amp;TEXT(ROW()-4,"0000"))</f>
        <v>0</v>
      </c>
      <c r="C273" s="17">
        <f>IF(B273="","",IFERROR(INDEX(Ingredients!$C$5:$C$304,MATCH(B273,Ingredients!$B$5:$B$304,0)),"Add to Ingredients"))</f>
        <v>0</v>
      </c>
      <c r="G273" s="45">
        <f>IF(E273="","",IFERROR(E273*INDEX(UnitFactors,MATCH(F273,UnitNames,0)),""))</f>
        <v>0</v>
      </c>
      <c r="H273" s="17">
        <f>IF(F273="","",IFERROR(INDEX(UnitBases,MATCH(F273,UnitNames,0)),"?"))</f>
        <v>0</v>
      </c>
      <c r="L273" s="18">
        <f>IF(B273="","",IFERROR(INDEX(Ingredients!$Z$5:$Z$304,MATCH(B273,Ingredients!$B$5:$B$304,0)),"Add to Ingredients"))</f>
        <v>0</v>
      </c>
      <c r="M273" s="19">
        <f>IF(K273&lt;&gt;"",K273,IF(OR(J273="",L273="",NOT(ISNUMBER(L273))),"",J273+L273))</f>
        <v>0</v>
      </c>
      <c r="N273" s="18">
        <f>IF(M273="","",M273-TODAY())</f>
        <v>0</v>
      </c>
      <c r="O273" s="25">
        <f>IF(B273="","",IFERROR(INDEX(Ingredients!$J$5:$J$304,MATCH(B273,Ingredients!$B$5:$B$304,0)),"Add to Ingredients"))</f>
        <v>0</v>
      </c>
      <c r="P273" s="25">
        <f>IF(OR(G273="",O273="",NOT(ISNUMBER(O273))),"",G273*O273)</f>
        <v>0</v>
      </c>
      <c r="R273" s="45">
        <f>IF(B273="","",IFERROR(INDEX(Ingredients!$AG$5:$AG$304,MATCH(B273,Ingredients!$B$5:$B$304,0)),0))</f>
        <v>0</v>
      </c>
      <c r="S273" s="45">
        <f>IF(G273="","",G273-IF(R273="",0,R273))</f>
        <v>0</v>
      </c>
      <c r="U273" s="18">
        <f>IF(OR(B273="",D273&lt;&gt;"Fridge",NOT(ISNUMBER(N273))),"",COUNTIFS($D$5:$D$304,"Fridge",$N$5:$N$304,"&lt;"&amp;N273)+COUNTIFS($D$5:D273,"Fridge",$N$5:N273,N273))</f>
        <v>0</v>
      </c>
      <c r="V273" s="18">
        <f>IF(OR(B273="",D273&lt;&gt;"Freezer",NOT(ISNUMBER(N273))),"",COUNTIFS($D$5:$D$304,"Freezer",$N$5:$N$304,"&lt;"&amp;N273)+COUNTIFS($D$5:D273,"Freezer",$N$5:N273,N273))</f>
        <v>0</v>
      </c>
      <c r="W273" s="31">
        <f>IF(B273="","",IF(G273=0,"Out of stock",IF(AND(N273&lt;&gt;"",N273&lt;0),"Expired",IF(AND(N273&lt;&gt;"",N273&lt;=ExpiryWarningDays),"Use soon",IF(AND(Q273&lt;&gt;"",G273&lt;Q273),"Low stock","In stock")))))</f>
        <v>0</v>
      </c>
      <c r="X273" s="31">
        <f>IF(B273="","",IF(W273="Expired","Expired - bin it and log it on the Food Waste tab",IF(W273="Use soon","Use soon - plan a meal with it",IF(W273="Out of stock",IF(T273="Yes","Missing - staple has run out","Add - restock when convenient"),IF(W273="Low stock","Check - running low",IF(S273&lt;0,"Check - the plan needs more than you have","OK"))))))</f>
        <v>0</v>
      </c>
    </row>
    <row r="274" spans="1:24">
      <c r="A274" s="39">
        <f>IF(B274="","",PantryPrefix&amp;TEXT(ROW()-4,"0000"))</f>
        <v>0</v>
      </c>
      <c r="C274" s="17">
        <f>IF(B274="","",IFERROR(INDEX(Ingredients!$C$5:$C$304,MATCH(B274,Ingredients!$B$5:$B$304,0)),"Add to Ingredients"))</f>
        <v>0</v>
      </c>
      <c r="G274" s="45">
        <f>IF(E274="","",IFERROR(E274*INDEX(UnitFactors,MATCH(F274,UnitNames,0)),""))</f>
        <v>0</v>
      </c>
      <c r="H274" s="17">
        <f>IF(F274="","",IFERROR(INDEX(UnitBases,MATCH(F274,UnitNames,0)),"?"))</f>
        <v>0</v>
      </c>
      <c r="L274" s="18">
        <f>IF(B274="","",IFERROR(INDEX(Ingredients!$Z$5:$Z$304,MATCH(B274,Ingredients!$B$5:$B$304,0)),"Add to Ingredients"))</f>
        <v>0</v>
      </c>
      <c r="M274" s="19">
        <f>IF(K274&lt;&gt;"",K274,IF(OR(J274="",L274="",NOT(ISNUMBER(L274))),"",J274+L274))</f>
        <v>0</v>
      </c>
      <c r="N274" s="18">
        <f>IF(M274="","",M274-TODAY())</f>
        <v>0</v>
      </c>
      <c r="O274" s="25">
        <f>IF(B274="","",IFERROR(INDEX(Ingredients!$J$5:$J$304,MATCH(B274,Ingredients!$B$5:$B$304,0)),"Add to Ingredients"))</f>
        <v>0</v>
      </c>
      <c r="P274" s="25">
        <f>IF(OR(G274="",O274="",NOT(ISNUMBER(O274))),"",G274*O274)</f>
        <v>0</v>
      </c>
      <c r="R274" s="45">
        <f>IF(B274="","",IFERROR(INDEX(Ingredients!$AG$5:$AG$304,MATCH(B274,Ingredients!$B$5:$B$304,0)),0))</f>
        <v>0</v>
      </c>
      <c r="S274" s="45">
        <f>IF(G274="","",G274-IF(R274="",0,R274))</f>
        <v>0</v>
      </c>
      <c r="U274" s="18">
        <f>IF(OR(B274="",D274&lt;&gt;"Fridge",NOT(ISNUMBER(N274))),"",COUNTIFS($D$5:$D$304,"Fridge",$N$5:$N$304,"&lt;"&amp;N274)+COUNTIFS($D$5:D274,"Fridge",$N$5:N274,N274))</f>
        <v>0</v>
      </c>
      <c r="V274" s="18">
        <f>IF(OR(B274="",D274&lt;&gt;"Freezer",NOT(ISNUMBER(N274))),"",COUNTIFS($D$5:$D$304,"Freezer",$N$5:$N$304,"&lt;"&amp;N274)+COUNTIFS($D$5:D274,"Freezer",$N$5:N274,N274))</f>
        <v>0</v>
      </c>
      <c r="W274" s="31">
        <f>IF(B274="","",IF(G274=0,"Out of stock",IF(AND(N274&lt;&gt;"",N274&lt;0),"Expired",IF(AND(N274&lt;&gt;"",N274&lt;=ExpiryWarningDays),"Use soon",IF(AND(Q274&lt;&gt;"",G274&lt;Q274),"Low stock","In stock")))))</f>
        <v>0</v>
      </c>
      <c r="X274" s="31">
        <f>IF(B274="","",IF(W274="Expired","Expired - bin it and log it on the Food Waste tab",IF(W274="Use soon","Use soon - plan a meal with it",IF(W274="Out of stock",IF(T274="Yes","Missing - staple has run out","Add - restock when convenient"),IF(W274="Low stock","Check - running low",IF(S274&lt;0,"Check - the plan needs more than you have","OK"))))))</f>
        <v>0</v>
      </c>
    </row>
    <row r="275" spans="1:24">
      <c r="A275" s="39">
        <f>IF(B275="","",PantryPrefix&amp;TEXT(ROW()-4,"0000"))</f>
        <v>0</v>
      </c>
      <c r="C275" s="17">
        <f>IF(B275="","",IFERROR(INDEX(Ingredients!$C$5:$C$304,MATCH(B275,Ingredients!$B$5:$B$304,0)),"Add to Ingredients"))</f>
        <v>0</v>
      </c>
      <c r="G275" s="45">
        <f>IF(E275="","",IFERROR(E275*INDEX(UnitFactors,MATCH(F275,UnitNames,0)),""))</f>
        <v>0</v>
      </c>
      <c r="H275" s="17">
        <f>IF(F275="","",IFERROR(INDEX(UnitBases,MATCH(F275,UnitNames,0)),"?"))</f>
        <v>0</v>
      </c>
      <c r="L275" s="18">
        <f>IF(B275="","",IFERROR(INDEX(Ingredients!$Z$5:$Z$304,MATCH(B275,Ingredients!$B$5:$B$304,0)),"Add to Ingredients"))</f>
        <v>0</v>
      </c>
      <c r="M275" s="19">
        <f>IF(K275&lt;&gt;"",K275,IF(OR(J275="",L275="",NOT(ISNUMBER(L275))),"",J275+L275))</f>
        <v>0</v>
      </c>
      <c r="N275" s="18">
        <f>IF(M275="","",M275-TODAY())</f>
        <v>0</v>
      </c>
      <c r="O275" s="25">
        <f>IF(B275="","",IFERROR(INDEX(Ingredients!$J$5:$J$304,MATCH(B275,Ingredients!$B$5:$B$304,0)),"Add to Ingredients"))</f>
        <v>0</v>
      </c>
      <c r="P275" s="25">
        <f>IF(OR(G275="",O275="",NOT(ISNUMBER(O275))),"",G275*O275)</f>
        <v>0</v>
      </c>
      <c r="R275" s="45">
        <f>IF(B275="","",IFERROR(INDEX(Ingredients!$AG$5:$AG$304,MATCH(B275,Ingredients!$B$5:$B$304,0)),0))</f>
        <v>0</v>
      </c>
      <c r="S275" s="45">
        <f>IF(G275="","",G275-IF(R275="",0,R275))</f>
        <v>0</v>
      </c>
      <c r="U275" s="18">
        <f>IF(OR(B275="",D275&lt;&gt;"Fridge",NOT(ISNUMBER(N275))),"",COUNTIFS($D$5:$D$304,"Fridge",$N$5:$N$304,"&lt;"&amp;N275)+COUNTIFS($D$5:D275,"Fridge",$N$5:N275,N275))</f>
        <v>0</v>
      </c>
      <c r="V275" s="18">
        <f>IF(OR(B275="",D275&lt;&gt;"Freezer",NOT(ISNUMBER(N275))),"",COUNTIFS($D$5:$D$304,"Freezer",$N$5:$N$304,"&lt;"&amp;N275)+COUNTIFS($D$5:D275,"Freezer",$N$5:N275,N275))</f>
        <v>0</v>
      </c>
      <c r="W275" s="31">
        <f>IF(B275="","",IF(G275=0,"Out of stock",IF(AND(N275&lt;&gt;"",N275&lt;0),"Expired",IF(AND(N275&lt;&gt;"",N275&lt;=ExpiryWarningDays),"Use soon",IF(AND(Q275&lt;&gt;"",G275&lt;Q275),"Low stock","In stock")))))</f>
        <v>0</v>
      </c>
      <c r="X275" s="31">
        <f>IF(B275="","",IF(W275="Expired","Expired - bin it and log it on the Food Waste tab",IF(W275="Use soon","Use soon - plan a meal with it",IF(W275="Out of stock",IF(T275="Yes","Missing - staple has run out","Add - restock when convenient"),IF(W275="Low stock","Check - running low",IF(S275&lt;0,"Check - the plan needs more than you have","OK"))))))</f>
        <v>0</v>
      </c>
    </row>
    <row r="276" spans="1:24">
      <c r="A276" s="39">
        <f>IF(B276="","",PantryPrefix&amp;TEXT(ROW()-4,"0000"))</f>
        <v>0</v>
      </c>
      <c r="C276" s="17">
        <f>IF(B276="","",IFERROR(INDEX(Ingredients!$C$5:$C$304,MATCH(B276,Ingredients!$B$5:$B$304,0)),"Add to Ingredients"))</f>
        <v>0</v>
      </c>
      <c r="G276" s="45">
        <f>IF(E276="","",IFERROR(E276*INDEX(UnitFactors,MATCH(F276,UnitNames,0)),""))</f>
        <v>0</v>
      </c>
      <c r="H276" s="17">
        <f>IF(F276="","",IFERROR(INDEX(UnitBases,MATCH(F276,UnitNames,0)),"?"))</f>
        <v>0</v>
      </c>
      <c r="L276" s="18">
        <f>IF(B276="","",IFERROR(INDEX(Ingredients!$Z$5:$Z$304,MATCH(B276,Ingredients!$B$5:$B$304,0)),"Add to Ingredients"))</f>
        <v>0</v>
      </c>
      <c r="M276" s="19">
        <f>IF(K276&lt;&gt;"",K276,IF(OR(J276="",L276="",NOT(ISNUMBER(L276))),"",J276+L276))</f>
        <v>0</v>
      </c>
      <c r="N276" s="18">
        <f>IF(M276="","",M276-TODAY())</f>
        <v>0</v>
      </c>
      <c r="O276" s="25">
        <f>IF(B276="","",IFERROR(INDEX(Ingredients!$J$5:$J$304,MATCH(B276,Ingredients!$B$5:$B$304,0)),"Add to Ingredients"))</f>
        <v>0</v>
      </c>
      <c r="P276" s="25">
        <f>IF(OR(G276="",O276="",NOT(ISNUMBER(O276))),"",G276*O276)</f>
        <v>0</v>
      </c>
      <c r="R276" s="45">
        <f>IF(B276="","",IFERROR(INDEX(Ingredients!$AG$5:$AG$304,MATCH(B276,Ingredients!$B$5:$B$304,0)),0))</f>
        <v>0</v>
      </c>
      <c r="S276" s="45">
        <f>IF(G276="","",G276-IF(R276="",0,R276))</f>
        <v>0</v>
      </c>
      <c r="U276" s="18">
        <f>IF(OR(B276="",D276&lt;&gt;"Fridge",NOT(ISNUMBER(N276))),"",COUNTIFS($D$5:$D$304,"Fridge",$N$5:$N$304,"&lt;"&amp;N276)+COUNTIFS($D$5:D276,"Fridge",$N$5:N276,N276))</f>
        <v>0</v>
      </c>
      <c r="V276" s="18">
        <f>IF(OR(B276="",D276&lt;&gt;"Freezer",NOT(ISNUMBER(N276))),"",COUNTIFS($D$5:$D$304,"Freezer",$N$5:$N$304,"&lt;"&amp;N276)+COUNTIFS($D$5:D276,"Freezer",$N$5:N276,N276))</f>
        <v>0</v>
      </c>
      <c r="W276" s="31">
        <f>IF(B276="","",IF(G276=0,"Out of stock",IF(AND(N276&lt;&gt;"",N276&lt;0),"Expired",IF(AND(N276&lt;&gt;"",N276&lt;=ExpiryWarningDays),"Use soon",IF(AND(Q276&lt;&gt;"",G276&lt;Q276),"Low stock","In stock")))))</f>
        <v>0</v>
      </c>
      <c r="X276" s="31">
        <f>IF(B276="","",IF(W276="Expired","Expired - bin it and log it on the Food Waste tab",IF(W276="Use soon","Use soon - plan a meal with it",IF(W276="Out of stock",IF(T276="Yes","Missing - staple has run out","Add - restock when convenient"),IF(W276="Low stock","Check - running low",IF(S276&lt;0,"Check - the plan needs more than you have","OK"))))))</f>
        <v>0</v>
      </c>
    </row>
    <row r="277" spans="1:24">
      <c r="A277" s="39">
        <f>IF(B277="","",PantryPrefix&amp;TEXT(ROW()-4,"0000"))</f>
        <v>0</v>
      </c>
      <c r="C277" s="17">
        <f>IF(B277="","",IFERROR(INDEX(Ingredients!$C$5:$C$304,MATCH(B277,Ingredients!$B$5:$B$304,0)),"Add to Ingredients"))</f>
        <v>0</v>
      </c>
      <c r="G277" s="45">
        <f>IF(E277="","",IFERROR(E277*INDEX(UnitFactors,MATCH(F277,UnitNames,0)),""))</f>
        <v>0</v>
      </c>
      <c r="H277" s="17">
        <f>IF(F277="","",IFERROR(INDEX(UnitBases,MATCH(F277,UnitNames,0)),"?"))</f>
        <v>0</v>
      </c>
      <c r="L277" s="18">
        <f>IF(B277="","",IFERROR(INDEX(Ingredients!$Z$5:$Z$304,MATCH(B277,Ingredients!$B$5:$B$304,0)),"Add to Ingredients"))</f>
        <v>0</v>
      </c>
      <c r="M277" s="19">
        <f>IF(K277&lt;&gt;"",K277,IF(OR(J277="",L277="",NOT(ISNUMBER(L277))),"",J277+L277))</f>
        <v>0</v>
      </c>
      <c r="N277" s="18">
        <f>IF(M277="","",M277-TODAY())</f>
        <v>0</v>
      </c>
      <c r="O277" s="25">
        <f>IF(B277="","",IFERROR(INDEX(Ingredients!$J$5:$J$304,MATCH(B277,Ingredients!$B$5:$B$304,0)),"Add to Ingredients"))</f>
        <v>0</v>
      </c>
      <c r="P277" s="25">
        <f>IF(OR(G277="",O277="",NOT(ISNUMBER(O277))),"",G277*O277)</f>
        <v>0</v>
      </c>
      <c r="R277" s="45">
        <f>IF(B277="","",IFERROR(INDEX(Ingredients!$AG$5:$AG$304,MATCH(B277,Ingredients!$B$5:$B$304,0)),0))</f>
        <v>0</v>
      </c>
      <c r="S277" s="45">
        <f>IF(G277="","",G277-IF(R277="",0,R277))</f>
        <v>0</v>
      </c>
      <c r="U277" s="18">
        <f>IF(OR(B277="",D277&lt;&gt;"Fridge",NOT(ISNUMBER(N277))),"",COUNTIFS($D$5:$D$304,"Fridge",$N$5:$N$304,"&lt;"&amp;N277)+COUNTIFS($D$5:D277,"Fridge",$N$5:N277,N277))</f>
        <v>0</v>
      </c>
      <c r="V277" s="18">
        <f>IF(OR(B277="",D277&lt;&gt;"Freezer",NOT(ISNUMBER(N277))),"",COUNTIFS($D$5:$D$304,"Freezer",$N$5:$N$304,"&lt;"&amp;N277)+COUNTIFS($D$5:D277,"Freezer",$N$5:N277,N277))</f>
        <v>0</v>
      </c>
      <c r="W277" s="31">
        <f>IF(B277="","",IF(G277=0,"Out of stock",IF(AND(N277&lt;&gt;"",N277&lt;0),"Expired",IF(AND(N277&lt;&gt;"",N277&lt;=ExpiryWarningDays),"Use soon",IF(AND(Q277&lt;&gt;"",G277&lt;Q277),"Low stock","In stock")))))</f>
        <v>0</v>
      </c>
      <c r="X277" s="31">
        <f>IF(B277="","",IF(W277="Expired","Expired - bin it and log it on the Food Waste tab",IF(W277="Use soon","Use soon - plan a meal with it",IF(W277="Out of stock",IF(T277="Yes","Missing - staple has run out","Add - restock when convenient"),IF(W277="Low stock","Check - running low",IF(S277&lt;0,"Check - the plan needs more than you have","OK"))))))</f>
        <v>0</v>
      </c>
    </row>
    <row r="278" spans="1:24">
      <c r="A278" s="39">
        <f>IF(B278="","",PantryPrefix&amp;TEXT(ROW()-4,"0000"))</f>
        <v>0</v>
      </c>
      <c r="C278" s="17">
        <f>IF(B278="","",IFERROR(INDEX(Ingredients!$C$5:$C$304,MATCH(B278,Ingredients!$B$5:$B$304,0)),"Add to Ingredients"))</f>
        <v>0</v>
      </c>
      <c r="G278" s="45">
        <f>IF(E278="","",IFERROR(E278*INDEX(UnitFactors,MATCH(F278,UnitNames,0)),""))</f>
        <v>0</v>
      </c>
      <c r="H278" s="17">
        <f>IF(F278="","",IFERROR(INDEX(UnitBases,MATCH(F278,UnitNames,0)),"?"))</f>
        <v>0</v>
      </c>
      <c r="L278" s="18">
        <f>IF(B278="","",IFERROR(INDEX(Ingredients!$Z$5:$Z$304,MATCH(B278,Ingredients!$B$5:$B$304,0)),"Add to Ingredients"))</f>
        <v>0</v>
      </c>
      <c r="M278" s="19">
        <f>IF(K278&lt;&gt;"",K278,IF(OR(J278="",L278="",NOT(ISNUMBER(L278))),"",J278+L278))</f>
        <v>0</v>
      </c>
      <c r="N278" s="18">
        <f>IF(M278="","",M278-TODAY())</f>
        <v>0</v>
      </c>
      <c r="O278" s="25">
        <f>IF(B278="","",IFERROR(INDEX(Ingredients!$J$5:$J$304,MATCH(B278,Ingredients!$B$5:$B$304,0)),"Add to Ingredients"))</f>
        <v>0</v>
      </c>
      <c r="P278" s="25">
        <f>IF(OR(G278="",O278="",NOT(ISNUMBER(O278))),"",G278*O278)</f>
        <v>0</v>
      </c>
      <c r="R278" s="45">
        <f>IF(B278="","",IFERROR(INDEX(Ingredients!$AG$5:$AG$304,MATCH(B278,Ingredients!$B$5:$B$304,0)),0))</f>
        <v>0</v>
      </c>
      <c r="S278" s="45">
        <f>IF(G278="","",G278-IF(R278="",0,R278))</f>
        <v>0</v>
      </c>
      <c r="U278" s="18">
        <f>IF(OR(B278="",D278&lt;&gt;"Fridge",NOT(ISNUMBER(N278))),"",COUNTIFS($D$5:$D$304,"Fridge",$N$5:$N$304,"&lt;"&amp;N278)+COUNTIFS($D$5:D278,"Fridge",$N$5:N278,N278))</f>
        <v>0</v>
      </c>
      <c r="V278" s="18">
        <f>IF(OR(B278="",D278&lt;&gt;"Freezer",NOT(ISNUMBER(N278))),"",COUNTIFS($D$5:$D$304,"Freezer",$N$5:$N$304,"&lt;"&amp;N278)+COUNTIFS($D$5:D278,"Freezer",$N$5:N278,N278))</f>
        <v>0</v>
      </c>
      <c r="W278" s="31">
        <f>IF(B278="","",IF(G278=0,"Out of stock",IF(AND(N278&lt;&gt;"",N278&lt;0),"Expired",IF(AND(N278&lt;&gt;"",N278&lt;=ExpiryWarningDays),"Use soon",IF(AND(Q278&lt;&gt;"",G278&lt;Q278),"Low stock","In stock")))))</f>
        <v>0</v>
      </c>
      <c r="X278" s="31">
        <f>IF(B278="","",IF(W278="Expired","Expired - bin it and log it on the Food Waste tab",IF(W278="Use soon","Use soon - plan a meal with it",IF(W278="Out of stock",IF(T278="Yes","Missing - staple has run out","Add - restock when convenient"),IF(W278="Low stock","Check - running low",IF(S278&lt;0,"Check - the plan needs more than you have","OK"))))))</f>
        <v>0</v>
      </c>
    </row>
    <row r="279" spans="1:24">
      <c r="A279" s="39">
        <f>IF(B279="","",PantryPrefix&amp;TEXT(ROW()-4,"0000"))</f>
        <v>0</v>
      </c>
      <c r="C279" s="17">
        <f>IF(B279="","",IFERROR(INDEX(Ingredients!$C$5:$C$304,MATCH(B279,Ingredients!$B$5:$B$304,0)),"Add to Ingredients"))</f>
        <v>0</v>
      </c>
      <c r="G279" s="45">
        <f>IF(E279="","",IFERROR(E279*INDEX(UnitFactors,MATCH(F279,UnitNames,0)),""))</f>
        <v>0</v>
      </c>
      <c r="H279" s="17">
        <f>IF(F279="","",IFERROR(INDEX(UnitBases,MATCH(F279,UnitNames,0)),"?"))</f>
        <v>0</v>
      </c>
      <c r="L279" s="18">
        <f>IF(B279="","",IFERROR(INDEX(Ingredients!$Z$5:$Z$304,MATCH(B279,Ingredients!$B$5:$B$304,0)),"Add to Ingredients"))</f>
        <v>0</v>
      </c>
      <c r="M279" s="19">
        <f>IF(K279&lt;&gt;"",K279,IF(OR(J279="",L279="",NOT(ISNUMBER(L279))),"",J279+L279))</f>
        <v>0</v>
      </c>
      <c r="N279" s="18">
        <f>IF(M279="","",M279-TODAY())</f>
        <v>0</v>
      </c>
      <c r="O279" s="25">
        <f>IF(B279="","",IFERROR(INDEX(Ingredients!$J$5:$J$304,MATCH(B279,Ingredients!$B$5:$B$304,0)),"Add to Ingredients"))</f>
        <v>0</v>
      </c>
      <c r="P279" s="25">
        <f>IF(OR(G279="",O279="",NOT(ISNUMBER(O279))),"",G279*O279)</f>
        <v>0</v>
      </c>
      <c r="R279" s="45">
        <f>IF(B279="","",IFERROR(INDEX(Ingredients!$AG$5:$AG$304,MATCH(B279,Ingredients!$B$5:$B$304,0)),0))</f>
        <v>0</v>
      </c>
      <c r="S279" s="45">
        <f>IF(G279="","",G279-IF(R279="",0,R279))</f>
        <v>0</v>
      </c>
      <c r="U279" s="18">
        <f>IF(OR(B279="",D279&lt;&gt;"Fridge",NOT(ISNUMBER(N279))),"",COUNTIFS($D$5:$D$304,"Fridge",$N$5:$N$304,"&lt;"&amp;N279)+COUNTIFS($D$5:D279,"Fridge",$N$5:N279,N279))</f>
        <v>0</v>
      </c>
      <c r="V279" s="18">
        <f>IF(OR(B279="",D279&lt;&gt;"Freezer",NOT(ISNUMBER(N279))),"",COUNTIFS($D$5:$D$304,"Freezer",$N$5:$N$304,"&lt;"&amp;N279)+COUNTIFS($D$5:D279,"Freezer",$N$5:N279,N279))</f>
        <v>0</v>
      </c>
      <c r="W279" s="31">
        <f>IF(B279="","",IF(G279=0,"Out of stock",IF(AND(N279&lt;&gt;"",N279&lt;0),"Expired",IF(AND(N279&lt;&gt;"",N279&lt;=ExpiryWarningDays),"Use soon",IF(AND(Q279&lt;&gt;"",G279&lt;Q279),"Low stock","In stock")))))</f>
        <v>0</v>
      </c>
      <c r="X279" s="31">
        <f>IF(B279="","",IF(W279="Expired","Expired - bin it and log it on the Food Waste tab",IF(W279="Use soon","Use soon - plan a meal with it",IF(W279="Out of stock",IF(T279="Yes","Missing - staple has run out","Add - restock when convenient"),IF(W279="Low stock","Check - running low",IF(S279&lt;0,"Check - the plan needs more than you have","OK"))))))</f>
        <v>0</v>
      </c>
    </row>
    <row r="280" spans="1:24">
      <c r="A280" s="39">
        <f>IF(B280="","",PantryPrefix&amp;TEXT(ROW()-4,"0000"))</f>
        <v>0</v>
      </c>
      <c r="C280" s="17">
        <f>IF(B280="","",IFERROR(INDEX(Ingredients!$C$5:$C$304,MATCH(B280,Ingredients!$B$5:$B$304,0)),"Add to Ingredients"))</f>
        <v>0</v>
      </c>
      <c r="G280" s="45">
        <f>IF(E280="","",IFERROR(E280*INDEX(UnitFactors,MATCH(F280,UnitNames,0)),""))</f>
        <v>0</v>
      </c>
      <c r="H280" s="17">
        <f>IF(F280="","",IFERROR(INDEX(UnitBases,MATCH(F280,UnitNames,0)),"?"))</f>
        <v>0</v>
      </c>
      <c r="L280" s="18">
        <f>IF(B280="","",IFERROR(INDEX(Ingredients!$Z$5:$Z$304,MATCH(B280,Ingredients!$B$5:$B$304,0)),"Add to Ingredients"))</f>
        <v>0</v>
      </c>
      <c r="M280" s="19">
        <f>IF(K280&lt;&gt;"",K280,IF(OR(J280="",L280="",NOT(ISNUMBER(L280))),"",J280+L280))</f>
        <v>0</v>
      </c>
      <c r="N280" s="18">
        <f>IF(M280="","",M280-TODAY())</f>
        <v>0</v>
      </c>
      <c r="O280" s="25">
        <f>IF(B280="","",IFERROR(INDEX(Ingredients!$J$5:$J$304,MATCH(B280,Ingredients!$B$5:$B$304,0)),"Add to Ingredients"))</f>
        <v>0</v>
      </c>
      <c r="P280" s="25">
        <f>IF(OR(G280="",O280="",NOT(ISNUMBER(O280))),"",G280*O280)</f>
        <v>0</v>
      </c>
      <c r="R280" s="45">
        <f>IF(B280="","",IFERROR(INDEX(Ingredients!$AG$5:$AG$304,MATCH(B280,Ingredients!$B$5:$B$304,0)),0))</f>
        <v>0</v>
      </c>
      <c r="S280" s="45">
        <f>IF(G280="","",G280-IF(R280="",0,R280))</f>
        <v>0</v>
      </c>
      <c r="U280" s="18">
        <f>IF(OR(B280="",D280&lt;&gt;"Fridge",NOT(ISNUMBER(N280))),"",COUNTIFS($D$5:$D$304,"Fridge",$N$5:$N$304,"&lt;"&amp;N280)+COUNTIFS($D$5:D280,"Fridge",$N$5:N280,N280))</f>
        <v>0</v>
      </c>
      <c r="V280" s="18">
        <f>IF(OR(B280="",D280&lt;&gt;"Freezer",NOT(ISNUMBER(N280))),"",COUNTIFS($D$5:$D$304,"Freezer",$N$5:$N$304,"&lt;"&amp;N280)+COUNTIFS($D$5:D280,"Freezer",$N$5:N280,N280))</f>
        <v>0</v>
      </c>
      <c r="W280" s="31">
        <f>IF(B280="","",IF(G280=0,"Out of stock",IF(AND(N280&lt;&gt;"",N280&lt;0),"Expired",IF(AND(N280&lt;&gt;"",N280&lt;=ExpiryWarningDays),"Use soon",IF(AND(Q280&lt;&gt;"",G280&lt;Q280),"Low stock","In stock")))))</f>
        <v>0</v>
      </c>
      <c r="X280" s="31">
        <f>IF(B280="","",IF(W280="Expired","Expired - bin it and log it on the Food Waste tab",IF(W280="Use soon","Use soon - plan a meal with it",IF(W280="Out of stock",IF(T280="Yes","Missing - staple has run out","Add - restock when convenient"),IF(W280="Low stock","Check - running low",IF(S280&lt;0,"Check - the plan needs more than you have","OK"))))))</f>
        <v>0</v>
      </c>
    </row>
    <row r="281" spans="1:24">
      <c r="A281" s="39">
        <f>IF(B281="","",PantryPrefix&amp;TEXT(ROW()-4,"0000"))</f>
        <v>0</v>
      </c>
      <c r="C281" s="17">
        <f>IF(B281="","",IFERROR(INDEX(Ingredients!$C$5:$C$304,MATCH(B281,Ingredients!$B$5:$B$304,0)),"Add to Ingredients"))</f>
        <v>0</v>
      </c>
      <c r="G281" s="45">
        <f>IF(E281="","",IFERROR(E281*INDEX(UnitFactors,MATCH(F281,UnitNames,0)),""))</f>
        <v>0</v>
      </c>
      <c r="H281" s="17">
        <f>IF(F281="","",IFERROR(INDEX(UnitBases,MATCH(F281,UnitNames,0)),"?"))</f>
        <v>0</v>
      </c>
      <c r="L281" s="18">
        <f>IF(B281="","",IFERROR(INDEX(Ingredients!$Z$5:$Z$304,MATCH(B281,Ingredients!$B$5:$B$304,0)),"Add to Ingredients"))</f>
        <v>0</v>
      </c>
      <c r="M281" s="19">
        <f>IF(K281&lt;&gt;"",K281,IF(OR(J281="",L281="",NOT(ISNUMBER(L281))),"",J281+L281))</f>
        <v>0</v>
      </c>
      <c r="N281" s="18">
        <f>IF(M281="","",M281-TODAY())</f>
        <v>0</v>
      </c>
      <c r="O281" s="25">
        <f>IF(B281="","",IFERROR(INDEX(Ingredients!$J$5:$J$304,MATCH(B281,Ingredients!$B$5:$B$304,0)),"Add to Ingredients"))</f>
        <v>0</v>
      </c>
      <c r="P281" s="25">
        <f>IF(OR(G281="",O281="",NOT(ISNUMBER(O281))),"",G281*O281)</f>
        <v>0</v>
      </c>
      <c r="R281" s="45">
        <f>IF(B281="","",IFERROR(INDEX(Ingredients!$AG$5:$AG$304,MATCH(B281,Ingredients!$B$5:$B$304,0)),0))</f>
        <v>0</v>
      </c>
      <c r="S281" s="45">
        <f>IF(G281="","",G281-IF(R281="",0,R281))</f>
        <v>0</v>
      </c>
      <c r="U281" s="18">
        <f>IF(OR(B281="",D281&lt;&gt;"Fridge",NOT(ISNUMBER(N281))),"",COUNTIFS($D$5:$D$304,"Fridge",$N$5:$N$304,"&lt;"&amp;N281)+COUNTIFS($D$5:D281,"Fridge",$N$5:N281,N281))</f>
        <v>0</v>
      </c>
      <c r="V281" s="18">
        <f>IF(OR(B281="",D281&lt;&gt;"Freezer",NOT(ISNUMBER(N281))),"",COUNTIFS($D$5:$D$304,"Freezer",$N$5:$N$304,"&lt;"&amp;N281)+COUNTIFS($D$5:D281,"Freezer",$N$5:N281,N281))</f>
        <v>0</v>
      </c>
      <c r="W281" s="31">
        <f>IF(B281="","",IF(G281=0,"Out of stock",IF(AND(N281&lt;&gt;"",N281&lt;0),"Expired",IF(AND(N281&lt;&gt;"",N281&lt;=ExpiryWarningDays),"Use soon",IF(AND(Q281&lt;&gt;"",G281&lt;Q281),"Low stock","In stock")))))</f>
        <v>0</v>
      </c>
      <c r="X281" s="31">
        <f>IF(B281="","",IF(W281="Expired","Expired - bin it and log it on the Food Waste tab",IF(W281="Use soon","Use soon - plan a meal with it",IF(W281="Out of stock",IF(T281="Yes","Missing - staple has run out","Add - restock when convenient"),IF(W281="Low stock","Check - running low",IF(S281&lt;0,"Check - the plan needs more than you have","OK"))))))</f>
        <v>0</v>
      </c>
    </row>
    <row r="282" spans="1:24">
      <c r="A282" s="39">
        <f>IF(B282="","",PantryPrefix&amp;TEXT(ROW()-4,"0000"))</f>
        <v>0</v>
      </c>
      <c r="C282" s="17">
        <f>IF(B282="","",IFERROR(INDEX(Ingredients!$C$5:$C$304,MATCH(B282,Ingredients!$B$5:$B$304,0)),"Add to Ingredients"))</f>
        <v>0</v>
      </c>
      <c r="G282" s="45">
        <f>IF(E282="","",IFERROR(E282*INDEX(UnitFactors,MATCH(F282,UnitNames,0)),""))</f>
        <v>0</v>
      </c>
      <c r="H282" s="17">
        <f>IF(F282="","",IFERROR(INDEX(UnitBases,MATCH(F282,UnitNames,0)),"?"))</f>
        <v>0</v>
      </c>
      <c r="L282" s="18">
        <f>IF(B282="","",IFERROR(INDEX(Ingredients!$Z$5:$Z$304,MATCH(B282,Ingredients!$B$5:$B$304,0)),"Add to Ingredients"))</f>
        <v>0</v>
      </c>
      <c r="M282" s="19">
        <f>IF(K282&lt;&gt;"",K282,IF(OR(J282="",L282="",NOT(ISNUMBER(L282))),"",J282+L282))</f>
        <v>0</v>
      </c>
      <c r="N282" s="18">
        <f>IF(M282="","",M282-TODAY())</f>
        <v>0</v>
      </c>
      <c r="O282" s="25">
        <f>IF(B282="","",IFERROR(INDEX(Ingredients!$J$5:$J$304,MATCH(B282,Ingredients!$B$5:$B$304,0)),"Add to Ingredients"))</f>
        <v>0</v>
      </c>
      <c r="P282" s="25">
        <f>IF(OR(G282="",O282="",NOT(ISNUMBER(O282))),"",G282*O282)</f>
        <v>0</v>
      </c>
      <c r="R282" s="45">
        <f>IF(B282="","",IFERROR(INDEX(Ingredients!$AG$5:$AG$304,MATCH(B282,Ingredients!$B$5:$B$304,0)),0))</f>
        <v>0</v>
      </c>
      <c r="S282" s="45">
        <f>IF(G282="","",G282-IF(R282="",0,R282))</f>
        <v>0</v>
      </c>
      <c r="U282" s="18">
        <f>IF(OR(B282="",D282&lt;&gt;"Fridge",NOT(ISNUMBER(N282))),"",COUNTIFS($D$5:$D$304,"Fridge",$N$5:$N$304,"&lt;"&amp;N282)+COUNTIFS($D$5:D282,"Fridge",$N$5:N282,N282))</f>
        <v>0</v>
      </c>
      <c r="V282" s="18">
        <f>IF(OR(B282="",D282&lt;&gt;"Freezer",NOT(ISNUMBER(N282))),"",COUNTIFS($D$5:$D$304,"Freezer",$N$5:$N$304,"&lt;"&amp;N282)+COUNTIFS($D$5:D282,"Freezer",$N$5:N282,N282))</f>
        <v>0</v>
      </c>
      <c r="W282" s="31">
        <f>IF(B282="","",IF(G282=0,"Out of stock",IF(AND(N282&lt;&gt;"",N282&lt;0),"Expired",IF(AND(N282&lt;&gt;"",N282&lt;=ExpiryWarningDays),"Use soon",IF(AND(Q282&lt;&gt;"",G282&lt;Q282),"Low stock","In stock")))))</f>
        <v>0</v>
      </c>
      <c r="X282" s="31">
        <f>IF(B282="","",IF(W282="Expired","Expired - bin it and log it on the Food Waste tab",IF(W282="Use soon","Use soon - plan a meal with it",IF(W282="Out of stock",IF(T282="Yes","Missing - staple has run out","Add - restock when convenient"),IF(W282="Low stock","Check - running low",IF(S282&lt;0,"Check - the plan needs more than you have","OK"))))))</f>
        <v>0</v>
      </c>
    </row>
    <row r="283" spans="1:24">
      <c r="A283" s="39">
        <f>IF(B283="","",PantryPrefix&amp;TEXT(ROW()-4,"0000"))</f>
        <v>0</v>
      </c>
      <c r="C283" s="17">
        <f>IF(B283="","",IFERROR(INDEX(Ingredients!$C$5:$C$304,MATCH(B283,Ingredients!$B$5:$B$304,0)),"Add to Ingredients"))</f>
        <v>0</v>
      </c>
      <c r="G283" s="45">
        <f>IF(E283="","",IFERROR(E283*INDEX(UnitFactors,MATCH(F283,UnitNames,0)),""))</f>
        <v>0</v>
      </c>
      <c r="H283" s="17">
        <f>IF(F283="","",IFERROR(INDEX(UnitBases,MATCH(F283,UnitNames,0)),"?"))</f>
        <v>0</v>
      </c>
      <c r="L283" s="18">
        <f>IF(B283="","",IFERROR(INDEX(Ingredients!$Z$5:$Z$304,MATCH(B283,Ingredients!$B$5:$B$304,0)),"Add to Ingredients"))</f>
        <v>0</v>
      </c>
      <c r="M283" s="19">
        <f>IF(K283&lt;&gt;"",K283,IF(OR(J283="",L283="",NOT(ISNUMBER(L283))),"",J283+L283))</f>
        <v>0</v>
      </c>
      <c r="N283" s="18">
        <f>IF(M283="","",M283-TODAY())</f>
        <v>0</v>
      </c>
      <c r="O283" s="25">
        <f>IF(B283="","",IFERROR(INDEX(Ingredients!$J$5:$J$304,MATCH(B283,Ingredients!$B$5:$B$304,0)),"Add to Ingredients"))</f>
        <v>0</v>
      </c>
      <c r="P283" s="25">
        <f>IF(OR(G283="",O283="",NOT(ISNUMBER(O283))),"",G283*O283)</f>
        <v>0</v>
      </c>
      <c r="R283" s="45">
        <f>IF(B283="","",IFERROR(INDEX(Ingredients!$AG$5:$AG$304,MATCH(B283,Ingredients!$B$5:$B$304,0)),0))</f>
        <v>0</v>
      </c>
      <c r="S283" s="45">
        <f>IF(G283="","",G283-IF(R283="",0,R283))</f>
        <v>0</v>
      </c>
      <c r="U283" s="18">
        <f>IF(OR(B283="",D283&lt;&gt;"Fridge",NOT(ISNUMBER(N283))),"",COUNTIFS($D$5:$D$304,"Fridge",$N$5:$N$304,"&lt;"&amp;N283)+COUNTIFS($D$5:D283,"Fridge",$N$5:N283,N283))</f>
        <v>0</v>
      </c>
      <c r="V283" s="18">
        <f>IF(OR(B283="",D283&lt;&gt;"Freezer",NOT(ISNUMBER(N283))),"",COUNTIFS($D$5:$D$304,"Freezer",$N$5:$N$304,"&lt;"&amp;N283)+COUNTIFS($D$5:D283,"Freezer",$N$5:N283,N283))</f>
        <v>0</v>
      </c>
      <c r="W283" s="31">
        <f>IF(B283="","",IF(G283=0,"Out of stock",IF(AND(N283&lt;&gt;"",N283&lt;0),"Expired",IF(AND(N283&lt;&gt;"",N283&lt;=ExpiryWarningDays),"Use soon",IF(AND(Q283&lt;&gt;"",G283&lt;Q283),"Low stock","In stock")))))</f>
        <v>0</v>
      </c>
      <c r="X283" s="31">
        <f>IF(B283="","",IF(W283="Expired","Expired - bin it and log it on the Food Waste tab",IF(W283="Use soon","Use soon - plan a meal with it",IF(W283="Out of stock",IF(T283="Yes","Missing - staple has run out","Add - restock when convenient"),IF(W283="Low stock","Check - running low",IF(S283&lt;0,"Check - the plan needs more than you have","OK"))))))</f>
        <v>0</v>
      </c>
    </row>
    <row r="284" spans="1:24">
      <c r="A284" s="39">
        <f>IF(B284="","",PantryPrefix&amp;TEXT(ROW()-4,"0000"))</f>
        <v>0</v>
      </c>
      <c r="C284" s="17">
        <f>IF(B284="","",IFERROR(INDEX(Ingredients!$C$5:$C$304,MATCH(B284,Ingredients!$B$5:$B$304,0)),"Add to Ingredients"))</f>
        <v>0</v>
      </c>
      <c r="G284" s="45">
        <f>IF(E284="","",IFERROR(E284*INDEX(UnitFactors,MATCH(F284,UnitNames,0)),""))</f>
        <v>0</v>
      </c>
      <c r="H284" s="17">
        <f>IF(F284="","",IFERROR(INDEX(UnitBases,MATCH(F284,UnitNames,0)),"?"))</f>
        <v>0</v>
      </c>
      <c r="L284" s="18">
        <f>IF(B284="","",IFERROR(INDEX(Ingredients!$Z$5:$Z$304,MATCH(B284,Ingredients!$B$5:$B$304,0)),"Add to Ingredients"))</f>
        <v>0</v>
      </c>
      <c r="M284" s="19">
        <f>IF(K284&lt;&gt;"",K284,IF(OR(J284="",L284="",NOT(ISNUMBER(L284))),"",J284+L284))</f>
        <v>0</v>
      </c>
      <c r="N284" s="18">
        <f>IF(M284="","",M284-TODAY())</f>
        <v>0</v>
      </c>
      <c r="O284" s="25">
        <f>IF(B284="","",IFERROR(INDEX(Ingredients!$J$5:$J$304,MATCH(B284,Ingredients!$B$5:$B$304,0)),"Add to Ingredients"))</f>
        <v>0</v>
      </c>
      <c r="P284" s="25">
        <f>IF(OR(G284="",O284="",NOT(ISNUMBER(O284))),"",G284*O284)</f>
        <v>0</v>
      </c>
      <c r="R284" s="45">
        <f>IF(B284="","",IFERROR(INDEX(Ingredients!$AG$5:$AG$304,MATCH(B284,Ingredients!$B$5:$B$304,0)),0))</f>
        <v>0</v>
      </c>
      <c r="S284" s="45">
        <f>IF(G284="","",G284-IF(R284="",0,R284))</f>
        <v>0</v>
      </c>
      <c r="U284" s="18">
        <f>IF(OR(B284="",D284&lt;&gt;"Fridge",NOT(ISNUMBER(N284))),"",COUNTIFS($D$5:$D$304,"Fridge",$N$5:$N$304,"&lt;"&amp;N284)+COUNTIFS($D$5:D284,"Fridge",$N$5:N284,N284))</f>
        <v>0</v>
      </c>
      <c r="V284" s="18">
        <f>IF(OR(B284="",D284&lt;&gt;"Freezer",NOT(ISNUMBER(N284))),"",COUNTIFS($D$5:$D$304,"Freezer",$N$5:$N$304,"&lt;"&amp;N284)+COUNTIFS($D$5:D284,"Freezer",$N$5:N284,N284))</f>
        <v>0</v>
      </c>
      <c r="W284" s="31">
        <f>IF(B284="","",IF(G284=0,"Out of stock",IF(AND(N284&lt;&gt;"",N284&lt;0),"Expired",IF(AND(N284&lt;&gt;"",N284&lt;=ExpiryWarningDays),"Use soon",IF(AND(Q284&lt;&gt;"",G284&lt;Q284),"Low stock","In stock")))))</f>
        <v>0</v>
      </c>
      <c r="X284" s="31">
        <f>IF(B284="","",IF(W284="Expired","Expired - bin it and log it on the Food Waste tab",IF(W284="Use soon","Use soon - plan a meal with it",IF(W284="Out of stock",IF(T284="Yes","Missing - staple has run out","Add - restock when convenient"),IF(W284="Low stock","Check - running low",IF(S284&lt;0,"Check - the plan needs more than you have","OK"))))))</f>
        <v>0</v>
      </c>
    </row>
    <row r="285" spans="1:24">
      <c r="A285" s="39">
        <f>IF(B285="","",PantryPrefix&amp;TEXT(ROW()-4,"0000"))</f>
        <v>0</v>
      </c>
      <c r="C285" s="17">
        <f>IF(B285="","",IFERROR(INDEX(Ingredients!$C$5:$C$304,MATCH(B285,Ingredients!$B$5:$B$304,0)),"Add to Ingredients"))</f>
        <v>0</v>
      </c>
      <c r="G285" s="45">
        <f>IF(E285="","",IFERROR(E285*INDEX(UnitFactors,MATCH(F285,UnitNames,0)),""))</f>
        <v>0</v>
      </c>
      <c r="H285" s="17">
        <f>IF(F285="","",IFERROR(INDEX(UnitBases,MATCH(F285,UnitNames,0)),"?"))</f>
        <v>0</v>
      </c>
      <c r="L285" s="18">
        <f>IF(B285="","",IFERROR(INDEX(Ingredients!$Z$5:$Z$304,MATCH(B285,Ingredients!$B$5:$B$304,0)),"Add to Ingredients"))</f>
        <v>0</v>
      </c>
      <c r="M285" s="19">
        <f>IF(K285&lt;&gt;"",K285,IF(OR(J285="",L285="",NOT(ISNUMBER(L285))),"",J285+L285))</f>
        <v>0</v>
      </c>
      <c r="N285" s="18">
        <f>IF(M285="","",M285-TODAY())</f>
        <v>0</v>
      </c>
      <c r="O285" s="25">
        <f>IF(B285="","",IFERROR(INDEX(Ingredients!$J$5:$J$304,MATCH(B285,Ingredients!$B$5:$B$304,0)),"Add to Ingredients"))</f>
        <v>0</v>
      </c>
      <c r="P285" s="25">
        <f>IF(OR(G285="",O285="",NOT(ISNUMBER(O285))),"",G285*O285)</f>
        <v>0</v>
      </c>
      <c r="R285" s="45">
        <f>IF(B285="","",IFERROR(INDEX(Ingredients!$AG$5:$AG$304,MATCH(B285,Ingredients!$B$5:$B$304,0)),0))</f>
        <v>0</v>
      </c>
      <c r="S285" s="45">
        <f>IF(G285="","",G285-IF(R285="",0,R285))</f>
        <v>0</v>
      </c>
      <c r="U285" s="18">
        <f>IF(OR(B285="",D285&lt;&gt;"Fridge",NOT(ISNUMBER(N285))),"",COUNTIFS($D$5:$D$304,"Fridge",$N$5:$N$304,"&lt;"&amp;N285)+COUNTIFS($D$5:D285,"Fridge",$N$5:N285,N285))</f>
        <v>0</v>
      </c>
      <c r="V285" s="18">
        <f>IF(OR(B285="",D285&lt;&gt;"Freezer",NOT(ISNUMBER(N285))),"",COUNTIFS($D$5:$D$304,"Freezer",$N$5:$N$304,"&lt;"&amp;N285)+COUNTIFS($D$5:D285,"Freezer",$N$5:N285,N285))</f>
        <v>0</v>
      </c>
      <c r="W285" s="31">
        <f>IF(B285="","",IF(G285=0,"Out of stock",IF(AND(N285&lt;&gt;"",N285&lt;0),"Expired",IF(AND(N285&lt;&gt;"",N285&lt;=ExpiryWarningDays),"Use soon",IF(AND(Q285&lt;&gt;"",G285&lt;Q285),"Low stock","In stock")))))</f>
        <v>0</v>
      </c>
      <c r="X285" s="31">
        <f>IF(B285="","",IF(W285="Expired","Expired - bin it and log it on the Food Waste tab",IF(W285="Use soon","Use soon - plan a meal with it",IF(W285="Out of stock",IF(T285="Yes","Missing - staple has run out","Add - restock when convenient"),IF(W285="Low stock","Check - running low",IF(S285&lt;0,"Check - the plan needs more than you have","OK"))))))</f>
        <v>0</v>
      </c>
    </row>
    <row r="286" spans="1:24">
      <c r="A286" s="39">
        <f>IF(B286="","",PantryPrefix&amp;TEXT(ROW()-4,"0000"))</f>
        <v>0</v>
      </c>
      <c r="C286" s="17">
        <f>IF(B286="","",IFERROR(INDEX(Ingredients!$C$5:$C$304,MATCH(B286,Ingredients!$B$5:$B$304,0)),"Add to Ingredients"))</f>
        <v>0</v>
      </c>
      <c r="G286" s="45">
        <f>IF(E286="","",IFERROR(E286*INDEX(UnitFactors,MATCH(F286,UnitNames,0)),""))</f>
        <v>0</v>
      </c>
      <c r="H286" s="17">
        <f>IF(F286="","",IFERROR(INDEX(UnitBases,MATCH(F286,UnitNames,0)),"?"))</f>
        <v>0</v>
      </c>
      <c r="L286" s="18">
        <f>IF(B286="","",IFERROR(INDEX(Ingredients!$Z$5:$Z$304,MATCH(B286,Ingredients!$B$5:$B$304,0)),"Add to Ingredients"))</f>
        <v>0</v>
      </c>
      <c r="M286" s="19">
        <f>IF(K286&lt;&gt;"",K286,IF(OR(J286="",L286="",NOT(ISNUMBER(L286))),"",J286+L286))</f>
        <v>0</v>
      </c>
      <c r="N286" s="18">
        <f>IF(M286="","",M286-TODAY())</f>
        <v>0</v>
      </c>
      <c r="O286" s="25">
        <f>IF(B286="","",IFERROR(INDEX(Ingredients!$J$5:$J$304,MATCH(B286,Ingredients!$B$5:$B$304,0)),"Add to Ingredients"))</f>
        <v>0</v>
      </c>
      <c r="P286" s="25">
        <f>IF(OR(G286="",O286="",NOT(ISNUMBER(O286))),"",G286*O286)</f>
        <v>0</v>
      </c>
      <c r="R286" s="45">
        <f>IF(B286="","",IFERROR(INDEX(Ingredients!$AG$5:$AG$304,MATCH(B286,Ingredients!$B$5:$B$304,0)),0))</f>
        <v>0</v>
      </c>
      <c r="S286" s="45">
        <f>IF(G286="","",G286-IF(R286="",0,R286))</f>
        <v>0</v>
      </c>
      <c r="U286" s="18">
        <f>IF(OR(B286="",D286&lt;&gt;"Fridge",NOT(ISNUMBER(N286))),"",COUNTIFS($D$5:$D$304,"Fridge",$N$5:$N$304,"&lt;"&amp;N286)+COUNTIFS($D$5:D286,"Fridge",$N$5:N286,N286))</f>
        <v>0</v>
      </c>
      <c r="V286" s="18">
        <f>IF(OR(B286="",D286&lt;&gt;"Freezer",NOT(ISNUMBER(N286))),"",COUNTIFS($D$5:$D$304,"Freezer",$N$5:$N$304,"&lt;"&amp;N286)+COUNTIFS($D$5:D286,"Freezer",$N$5:N286,N286))</f>
        <v>0</v>
      </c>
      <c r="W286" s="31">
        <f>IF(B286="","",IF(G286=0,"Out of stock",IF(AND(N286&lt;&gt;"",N286&lt;0),"Expired",IF(AND(N286&lt;&gt;"",N286&lt;=ExpiryWarningDays),"Use soon",IF(AND(Q286&lt;&gt;"",G286&lt;Q286),"Low stock","In stock")))))</f>
        <v>0</v>
      </c>
      <c r="X286" s="31">
        <f>IF(B286="","",IF(W286="Expired","Expired - bin it and log it on the Food Waste tab",IF(W286="Use soon","Use soon - plan a meal with it",IF(W286="Out of stock",IF(T286="Yes","Missing - staple has run out","Add - restock when convenient"),IF(W286="Low stock","Check - running low",IF(S286&lt;0,"Check - the plan needs more than you have","OK"))))))</f>
        <v>0</v>
      </c>
    </row>
    <row r="287" spans="1:24">
      <c r="A287" s="39">
        <f>IF(B287="","",PantryPrefix&amp;TEXT(ROW()-4,"0000"))</f>
        <v>0</v>
      </c>
      <c r="C287" s="17">
        <f>IF(B287="","",IFERROR(INDEX(Ingredients!$C$5:$C$304,MATCH(B287,Ingredients!$B$5:$B$304,0)),"Add to Ingredients"))</f>
        <v>0</v>
      </c>
      <c r="G287" s="45">
        <f>IF(E287="","",IFERROR(E287*INDEX(UnitFactors,MATCH(F287,UnitNames,0)),""))</f>
        <v>0</v>
      </c>
      <c r="H287" s="17">
        <f>IF(F287="","",IFERROR(INDEX(UnitBases,MATCH(F287,UnitNames,0)),"?"))</f>
        <v>0</v>
      </c>
      <c r="L287" s="18">
        <f>IF(B287="","",IFERROR(INDEX(Ingredients!$Z$5:$Z$304,MATCH(B287,Ingredients!$B$5:$B$304,0)),"Add to Ingredients"))</f>
        <v>0</v>
      </c>
      <c r="M287" s="19">
        <f>IF(K287&lt;&gt;"",K287,IF(OR(J287="",L287="",NOT(ISNUMBER(L287))),"",J287+L287))</f>
        <v>0</v>
      </c>
      <c r="N287" s="18">
        <f>IF(M287="","",M287-TODAY())</f>
        <v>0</v>
      </c>
      <c r="O287" s="25">
        <f>IF(B287="","",IFERROR(INDEX(Ingredients!$J$5:$J$304,MATCH(B287,Ingredients!$B$5:$B$304,0)),"Add to Ingredients"))</f>
        <v>0</v>
      </c>
      <c r="P287" s="25">
        <f>IF(OR(G287="",O287="",NOT(ISNUMBER(O287))),"",G287*O287)</f>
        <v>0</v>
      </c>
      <c r="R287" s="45">
        <f>IF(B287="","",IFERROR(INDEX(Ingredients!$AG$5:$AG$304,MATCH(B287,Ingredients!$B$5:$B$304,0)),0))</f>
        <v>0</v>
      </c>
      <c r="S287" s="45">
        <f>IF(G287="","",G287-IF(R287="",0,R287))</f>
        <v>0</v>
      </c>
      <c r="U287" s="18">
        <f>IF(OR(B287="",D287&lt;&gt;"Fridge",NOT(ISNUMBER(N287))),"",COUNTIFS($D$5:$D$304,"Fridge",$N$5:$N$304,"&lt;"&amp;N287)+COUNTIFS($D$5:D287,"Fridge",$N$5:N287,N287))</f>
        <v>0</v>
      </c>
      <c r="V287" s="18">
        <f>IF(OR(B287="",D287&lt;&gt;"Freezer",NOT(ISNUMBER(N287))),"",COUNTIFS($D$5:$D$304,"Freezer",$N$5:$N$304,"&lt;"&amp;N287)+COUNTIFS($D$5:D287,"Freezer",$N$5:N287,N287))</f>
        <v>0</v>
      </c>
      <c r="W287" s="31">
        <f>IF(B287="","",IF(G287=0,"Out of stock",IF(AND(N287&lt;&gt;"",N287&lt;0),"Expired",IF(AND(N287&lt;&gt;"",N287&lt;=ExpiryWarningDays),"Use soon",IF(AND(Q287&lt;&gt;"",G287&lt;Q287),"Low stock","In stock")))))</f>
        <v>0</v>
      </c>
      <c r="X287" s="31">
        <f>IF(B287="","",IF(W287="Expired","Expired - bin it and log it on the Food Waste tab",IF(W287="Use soon","Use soon - plan a meal with it",IF(W287="Out of stock",IF(T287="Yes","Missing - staple has run out","Add - restock when convenient"),IF(W287="Low stock","Check - running low",IF(S287&lt;0,"Check - the plan needs more than you have","OK"))))))</f>
        <v>0</v>
      </c>
    </row>
    <row r="288" spans="1:24">
      <c r="A288" s="39">
        <f>IF(B288="","",PantryPrefix&amp;TEXT(ROW()-4,"0000"))</f>
        <v>0</v>
      </c>
      <c r="C288" s="17">
        <f>IF(B288="","",IFERROR(INDEX(Ingredients!$C$5:$C$304,MATCH(B288,Ingredients!$B$5:$B$304,0)),"Add to Ingredients"))</f>
        <v>0</v>
      </c>
      <c r="G288" s="45">
        <f>IF(E288="","",IFERROR(E288*INDEX(UnitFactors,MATCH(F288,UnitNames,0)),""))</f>
        <v>0</v>
      </c>
      <c r="H288" s="17">
        <f>IF(F288="","",IFERROR(INDEX(UnitBases,MATCH(F288,UnitNames,0)),"?"))</f>
        <v>0</v>
      </c>
      <c r="L288" s="18">
        <f>IF(B288="","",IFERROR(INDEX(Ingredients!$Z$5:$Z$304,MATCH(B288,Ingredients!$B$5:$B$304,0)),"Add to Ingredients"))</f>
        <v>0</v>
      </c>
      <c r="M288" s="19">
        <f>IF(K288&lt;&gt;"",K288,IF(OR(J288="",L288="",NOT(ISNUMBER(L288))),"",J288+L288))</f>
        <v>0</v>
      </c>
      <c r="N288" s="18">
        <f>IF(M288="","",M288-TODAY())</f>
        <v>0</v>
      </c>
      <c r="O288" s="25">
        <f>IF(B288="","",IFERROR(INDEX(Ingredients!$J$5:$J$304,MATCH(B288,Ingredients!$B$5:$B$304,0)),"Add to Ingredients"))</f>
        <v>0</v>
      </c>
      <c r="P288" s="25">
        <f>IF(OR(G288="",O288="",NOT(ISNUMBER(O288))),"",G288*O288)</f>
        <v>0</v>
      </c>
      <c r="R288" s="45">
        <f>IF(B288="","",IFERROR(INDEX(Ingredients!$AG$5:$AG$304,MATCH(B288,Ingredients!$B$5:$B$304,0)),0))</f>
        <v>0</v>
      </c>
      <c r="S288" s="45">
        <f>IF(G288="","",G288-IF(R288="",0,R288))</f>
        <v>0</v>
      </c>
      <c r="U288" s="18">
        <f>IF(OR(B288="",D288&lt;&gt;"Fridge",NOT(ISNUMBER(N288))),"",COUNTIFS($D$5:$D$304,"Fridge",$N$5:$N$304,"&lt;"&amp;N288)+COUNTIFS($D$5:D288,"Fridge",$N$5:N288,N288))</f>
        <v>0</v>
      </c>
      <c r="V288" s="18">
        <f>IF(OR(B288="",D288&lt;&gt;"Freezer",NOT(ISNUMBER(N288))),"",COUNTIFS($D$5:$D$304,"Freezer",$N$5:$N$304,"&lt;"&amp;N288)+COUNTIFS($D$5:D288,"Freezer",$N$5:N288,N288))</f>
        <v>0</v>
      </c>
      <c r="W288" s="31">
        <f>IF(B288="","",IF(G288=0,"Out of stock",IF(AND(N288&lt;&gt;"",N288&lt;0),"Expired",IF(AND(N288&lt;&gt;"",N288&lt;=ExpiryWarningDays),"Use soon",IF(AND(Q288&lt;&gt;"",G288&lt;Q288),"Low stock","In stock")))))</f>
        <v>0</v>
      </c>
      <c r="X288" s="31">
        <f>IF(B288="","",IF(W288="Expired","Expired - bin it and log it on the Food Waste tab",IF(W288="Use soon","Use soon - plan a meal with it",IF(W288="Out of stock",IF(T288="Yes","Missing - staple has run out","Add - restock when convenient"),IF(W288="Low stock","Check - running low",IF(S288&lt;0,"Check - the plan needs more than you have","OK"))))))</f>
        <v>0</v>
      </c>
    </row>
    <row r="289" spans="1:24">
      <c r="A289" s="39">
        <f>IF(B289="","",PantryPrefix&amp;TEXT(ROW()-4,"0000"))</f>
        <v>0</v>
      </c>
      <c r="C289" s="17">
        <f>IF(B289="","",IFERROR(INDEX(Ingredients!$C$5:$C$304,MATCH(B289,Ingredients!$B$5:$B$304,0)),"Add to Ingredients"))</f>
        <v>0</v>
      </c>
      <c r="G289" s="45">
        <f>IF(E289="","",IFERROR(E289*INDEX(UnitFactors,MATCH(F289,UnitNames,0)),""))</f>
        <v>0</v>
      </c>
      <c r="H289" s="17">
        <f>IF(F289="","",IFERROR(INDEX(UnitBases,MATCH(F289,UnitNames,0)),"?"))</f>
        <v>0</v>
      </c>
      <c r="L289" s="18">
        <f>IF(B289="","",IFERROR(INDEX(Ingredients!$Z$5:$Z$304,MATCH(B289,Ingredients!$B$5:$B$304,0)),"Add to Ingredients"))</f>
        <v>0</v>
      </c>
      <c r="M289" s="19">
        <f>IF(K289&lt;&gt;"",K289,IF(OR(J289="",L289="",NOT(ISNUMBER(L289))),"",J289+L289))</f>
        <v>0</v>
      </c>
      <c r="N289" s="18">
        <f>IF(M289="","",M289-TODAY())</f>
        <v>0</v>
      </c>
      <c r="O289" s="25">
        <f>IF(B289="","",IFERROR(INDEX(Ingredients!$J$5:$J$304,MATCH(B289,Ingredients!$B$5:$B$304,0)),"Add to Ingredients"))</f>
        <v>0</v>
      </c>
      <c r="P289" s="25">
        <f>IF(OR(G289="",O289="",NOT(ISNUMBER(O289))),"",G289*O289)</f>
        <v>0</v>
      </c>
      <c r="R289" s="45">
        <f>IF(B289="","",IFERROR(INDEX(Ingredients!$AG$5:$AG$304,MATCH(B289,Ingredients!$B$5:$B$304,0)),0))</f>
        <v>0</v>
      </c>
      <c r="S289" s="45">
        <f>IF(G289="","",G289-IF(R289="",0,R289))</f>
        <v>0</v>
      </c>
      <c r="U289" s="18">
        <f>IF(OR(B289="",D289&lt;&gt;"Fridge",NOT(ISNUMBER(N289))),"",COUNTIFS($D$5:$D$304,"Fridge",$N$5:$N$304,"&lt;"&amp;N289)+COUNTIFS($D$5:D289,"Fridge",$N$5:N289,N289))</f>
        <v>0</v>
      </c>
      <c r="V289" s="18">
        <f>IF(OR(B289="",D289&lt;&gt;"Freezer",NOT(ISNUMBER(N289))),"",COUNTIFS($D$5:$D$304,"Freezer",$N$5:$N$304,"&lt;"&amp;N289)+COUNTIFS($D$5:D289,"Freezer",$N$5:N289,N289))</f>
        <v>0</v>
      </c>
      <c r="W289" s="31">
        <f>IF(B289="","",IF(G289=0,"Out of stock",IF(AND(N289&lt;&gt;"",N289&lt;0),"Expired",IF(AND(N289&lt;&gt;"",N289&lt;=ExpiryWarningDays),"Use soon",IF(AND(Q289&lt;&gt;"",G289&lt;Q289),"Low stock","In stock")))))</f>
        <v>0</v>
      </c>
      <c r="X289" s="31">
        <f>IF(B289="","",IF(W289="Expired","Expired - bin it and log it on the Food Waste tab",IF(W289="Use soon","Use soon - plan a meal with it",IF(W289="Out of stock",IF(T289="Yes","Missing - staple has run out","Add - restock when convenient"),IF(W289="Low stock","Check - running low",IF(S289&lt;0,"Check - the plan needs more than you have","OK"))))))</f>
        <v>0</v>
      </c>
    </row>
    <row r="290" spans="1:24">
      <c r="A290" s="39">
        <f>IF(B290="","",PantryPrefix&amp;TEXT(ROW()-4,"0000"))</f>
        <v>0</v>
      </c>
      <c r="C290" s="17">
        <f>IF(B290="","",IFERROR(INDEX(Ingredients!$C$5:$C$304,MATCH(B290,Ingredients!$B$5:$B$304,0)),"Add to Ingredients"))</f>
        <v>0</v>
      </c>
      <c r="G290" s="45">
        <f>IF(E290="","",IFERROR(E290*INDEX(UnitFactors,MATCH(F290,UnitNames,0)),""))</f>
        <v>0</v>
      </c>
      <c r="H290" s="17">
        <f>IF(F290="","",IFERROR(INDEX(UnitBases,MATCH(F290,UnitNames,0)),"?"))</f>
        <v>0</v>
      </c>
      <c r="L290" s="18">
        <f>IF(B290="","",IFERROR(INDEX(Ingredients!$Z$5:$Z$304,MATCH(B290,Ingredients!$B$5:$B$304,0)),"Add to Ingredients"))</f>
        <v>0</v>
      </c>
      <c r="M290" s="19">
        <f>IF(K290&lt;&gt;"",K290,IF(OR(J290="",L290="",NOT(ISNUMBER(L290))),"",J290+L290))</f>
        <v>0</v>
      </c>
      <c r="N290" s="18">
        <f>IF(M290="","",M290-TODAY())</f>
        <v>0</v>
      </c>
      <c r="O290" s="25">
        <f>IF(B290="","",IFERROR(INDEX(Ingredients!$J$5:$J$304,MATCH(B290,Ingredients!$B$5:$B$304,0)),"Add to Ingredients"))</f>
        <v>0</v>
      </c>
      <c r="P290" s="25">
        <f>IF(OR(G290="",O290="",NOT(ISNUMBER(O290))),"",G290*O290)</f>
        <v>0</v>
      </c>
      <c r="R290" s="45">
        <f>IF(B290="","",IFERROR(INDEX(Ingredients!$AG$5:$AG$304,MATCH(B290,Ingredients!$B$5:$B$304,0)),0))</f>
        <v>0</v>
      </c>
      <c r="S290" s="45">
        <f>IF(G290="","",G290-IF(R290="",0,R290))</f>
        <v>0</v>
      </c>
      <c r="U290" s="18">
        <f>IF(OR(B290="",D290&lt;&gt;"Fridge",NOT(ISNUMBER(N290))),"",COUNTIFS($D$5:$D$304,"Fridge",$N$5:$N$304,"&lt;"&amp;N290)+COUNTIFS($D$5:D290,"Fridge",$N$5:N290,N290))</f>
        <v>0</v>
      </c>
      <c r="V290" s="18">
        <f>IF(OR(B290="",D290&lt;&gt;"Freezer",NOT(ISNUMBER(N290))),"",COUNTIFS($D$5:$D$304,"Freezer",$N$5:$N$304,"&lt;"&amp;N290)+COUNTIFS($D$5:D290,"Freezer",$N$5:N290,N290))</f>
        <v>0</v>
      </c>
      <c r="W290" s="31">
        <f>IF(B290="","",IF(G290=0,"Out of stock",IF(AND(N290&lt;&gt;"",N290&lt;0),"Expired",IF(AND(N290&lt;&gt;"",N290&lt;=ExpiryWarningDays),"Use soon",IF(AND(Q290&lt;&gt;"",G290&lt;Q290),"Low stock","In stock")))))</f>
        <v>0</v>
      </c>
      <c r="X290" s="31">
        <f>IF(B290="","",IF(W290="Expired","Expired - bin it and log it on the Food Waste tab",IF(W290="Use soon","Use soon - plan a meal with it",IF(W290="Out of stock",IF(T290="Yes","Missing - staple has run out","Add - restock when convenient"),IF(W290="Low stock","Check - running low",IF(S290&lt;0,"Check - the plan needs more than you have","OK"))))))</f>
        <v>0</v>
      </c>
    </row>
    <row r="291" spans="1:24">
      <c r="A291" s="39">
        <f>IF(B291="","",PantryPrefix&amp;TEXT(ROW()-4,"0000"))</f>
        <v>0</v>
      </c>
      <c r="C291" s="17">
        <f>IF(B291="","",IFERROR(INDEX(Ingredients!$C$5:$C$304,MATCH(B291,Ingredients!$B$5:$B$304,0)),"Add to Ingredients"))</f>
        <v>0</v>
      </c>
      <c r="G291" s="45">
        <f>IF(E291="","",IFERROR(E291*INDEX(UnitFactors,MATCH(F291,UnitNames,0)),""))</f>
        <v>0</v>
      </c>
      <c r="H291" s="17">
        <f>IF(F291="","",IFERROR(INDEX(UnitBases,MATCH(F291,UnitNames,0)),"?"))</f>
        <v>0</v>
      </c>
      <c r="L291" s="18">
        <f>IF(B291="","",IFERROR(INDEX(Ingredients!$Z$5:$Z$304,MATCH(B291,Ingredients!$B$5:$B$304,0)),"Add to Ingredients"))</f>
        <v>0</v>
      </c>
      <c r="M291" s="19">
        <f>IF(K291&lt;&gt;"",K291,IF(OR(J291="",L291="",NOT(ISNUMBER(L291))),"",J291+L291))</f>
        <v>0</v>
      </c>
      <c r="N291" s="18">
        <f>IF(M291="","",M291-TODAY())</f>
        <v>0</v>
      </c>
      <c r="O291" s="25">
        <f>IF(B291="","",IFERROR(INDEX(Ingredients!$J$5:$J$304,MATCH(B291,Ingredients!$B$5:$B$304,0)),"Add to Ingredients"))</f>
        <v>0</v>
      </c>
      <c r="P291" s="25">
        <f>IF(OR(G291="",O291="",NOT(ISNUMBER(O291))),"",G291*O291)</f>
        <v>0</v>
      </c>
      <c r="R291" s="45">
        <f>IF(B291="","",IFERROR(INDEX(Ingredients!$AG$5:$AG$304,MATCH(B291,Ingredients!$B$5:$B$304,0)),0))</f>
        <v>0</v>
      </c>
      <c r="S291" s="45">
        <f>IF(G291="","",G291-IF(R291="",0,R291))</f>
        <v>0</v>
      </c>
      <c r="U291" s="18">
        <f>IF(OR(B291="",D291&lt;&gt;"Fridge",NOT(ISNUMBER(N291))),"",COUNTIFS($D$5:$D$304,"Fridge",$N$5:$N$304,"&lt;"&amp;N291)+COUNTIFS($D$5:D291,"Fridge",$N$5:N291,N291))</f>
        <v>0</v>
      </c>
      <c r="V291" s="18">
        <f>IF(OR(B291="",D291&lt;&gt;"Freezer",NOT(ISNUMBER(N291))),"",COUNTIFS($D$5:$D$304,"Freezer",$N$5:$N$304,"&lt;"&amp;N291)+COUNTIFS($D$5:D291,"Freezer",$N$5:N291,N291))</f>
        <v>0</v>
      </c>
      <c r="W291" s="31">
        <f>IF(B291="","",IF(G291=0,"Out of stock",IF(AND(N291&lt;&gt;"",N291&lt;0),"Expired",IF(AND(N291&lt;&gt;"",N291&lt;=ExpiryWarningDays),"Use soon",IF(AND(Q291&lt;&gt;"",G291&lt;Q291),"Low stock","In stock")))))</f>
        <v>0</v>
      </c>
      <c r="X291" s="31">
        <f>IF(B291="","",IF(W291="Expired","Expired - bin it and log it on the Food Waste tab",IF(W291="Use soon","Use soon - plan a meal with it",IF(W291="Out of stock",IF(T291="Yes","Missing - staple has run out","Add - restock when convenient"),IF(W291="Low stock","Check - running low",IF(S291&lt;0,"Check - the plan needs more than you have","OK"))))))</f>
        <v>0</v>
      </c>
    </row>
    <row r="292" spans="1:24">
      <c r="A292" s="39">
        <f>IF(B292="","",PantryPrefix&amp;TEXT(ROW()-4,"0000"))</f>
        <v>0</v>
      </c>
      <c r="C292" s="17">
        <f>IF(B292="","",IFERROR(INDEX(Ingredients!$C$5:$C$304,MATCH(B292,Ingredients!$B$5:$B$304,0)),"Add to Ingredients"))</f>
        <v>0</v>
      </c>
      <c r="G292" s="45">
        <f>IF(E292="","",IFERROR(E292*INDEX(UnitFactors,MATCH(F292,UnitNames,0)),""))</f>
        <v>0</v>
      </c>
      <c r="H292" s="17">
        <f>IF(F292="","",IFERROR(INDEX(UnitBases,MATCH(F292,UnitNames,0)),"?"))</f>
        <v>0</v>
      </c>
      <c r="L292" s="18">
        <f>IF(B292="","",IFERROR(INDEX(Ingredients!$Z$5:$Z$304,MATCH(B292,Ingredients!$B$5:$B$304,0)),"Add to Ingredients"))</f>
        <v>0</v>
      </c>
      <c r="M292" s="19">
        <f>IF(K292&lt;&gt;"",K292,IF(OR(J292="",L292="",NOT(ISNUMBER(L292))),"",J292+L292))</f>
        <v>0</v>
      </c>
      <c r="N292" s="18">
        <f>IF(M292="","",M292-TODAY())</f>
        <v>0</v>
      </c>
      <c r="O292" s="25">
        <f>IF(B292="","",IFERROR(INDEX(Ingredients!$J$5:$J$304,MATCH(B292,Ingredients!$B$5:$B$304,0)),"Add to Ingredients"))</f>
        <v>0</v>
      </c>
      <c r="P292" s="25">
        <f>IF(OR(G292="",O292="",NOT(ISNUMBER(O292))),"",G292*O292)</f>
        <v>0</v>
      </c>
      <c r="R292" s="45">
        <f>IF(B292="","",IFERROR(INDEX(Ingredients!$AG$5:$AG$304,MATCH(B292,Ingredients!$B$5:$B$304,0)),0))</f>
        <v>0</v>
      </c>
      <c r="S292" s="45">
        <f>IF(G292="","",G292-IF(R292="",0,R292))</f>
        <v>0</v>
      </c>
      <c r="U292" s="18">
        <f>IF(OR(B292="",D292&lt;&gt;"Fridge",NOT(ISNUMBER(N292))),"",COUNTIFS($D$5:$D$304,"Fridge",$N$5:$N$304,"&lt;"&amp;N292)+COUNTIFS($D$5:D292,"Fridge",$N$5:N292,N292))</f>
        <v>0</v>
      </c>
      <c r="V292" s="18">
        <f>IF(OR(B292="",D292&lt;&gt;"Freezer",NOT(ISNUMBER(N292))),"",COUNTIFS($D$5:$D$304,"Freezer",$N$5:$N$304,"&lt;"&amp;N292)+COUNTIFS($D$5:D292,"Freezer",$N$5:N292,N292))</f>
        <v>0</v>
      </c>
      <c r="W292" s="31">
        <f>IF(B292="","",IF(G292=0,"Out of stock",IF(AND(N292&lt;&gt;"",N292&lt;0),"Expired",IF(AND(N292&lt;&gt;"",N292&lt;=ExpiryWarningDays),"Use soon",IF(AND(Q292&lt;&gt;"",G292&lt;Q292),"Low stock","In stock")))))</f>
        <v>0</v>
      </c>
      <c r="X292" s="31">
        <f>IF(B292="","",IF(W292="Expired","Expired - bin it and log it on the Food Waste tab",IF(W292="Use soon","Use soon - plan a meal with it",IF(W292="Out of stock",IF(T292="Yes","Missing - staple has run out","Add - restock when convenient"),IF(W292="Low stock","Check - running low",IF(S292&lt;0,"Check - the plan needs more than you have","OK"))))))</f>
        <v>0</v>
      </c>
    </row>
    <row r="293" spans="1:24">
      <c r="A293" s="39">
        <f>IF(B293="","",PantryPrefix&amp;TEXT(ROW()-4,"0000"))</f>
        <v>0</v>
      </c>
      <c r="C293" s="17">
        <f>IF(B293="","",IFERROR(INDEX(Ingredients!$C$5:$C$304,MATCH(B293,Ingredients!$B$5:$B$304,0)),"Add to Ingredients"))</f>
        <v>0</v>
      </c>
      <c r="G293" s="45">
        <f>IF(E293="","",IFERROR(E293*INDEX(UnitFactors,MATCH(F293,UnitNames,0)),""))</f>
        <v>0</v>
      </c>
      <c r="H293" s="17">
        <f>IF(F293="","",IFERROR(INDEX(UnitBases,MATCH(F293,UnitNames,0)),"?"))</f>
        <v>0</v>
      </c>
      <c r="L293" s="18">
        <f>IF(B293="","",IFERROR(INDEX(Ingredients!$Z$5:$Z$304,MATCH(B293,Ingredients!$B$5:$B$304,0)),"Add to Ingredients"))</f>
        <v>0</v>
      </c>
      <c r="M293" s="19">
        <f>IF(K293&lt;&gt;"",K293,IF(OR(J293="",L293="",NOT(ISNUMBER(L293))),"",J293+L293))</f>
        <v>0</v>
      </c>
      <c r="N293" s="18">
        <f>IF(M293="","",M293-TODAY())</f>
        <v>0</v>
      </c>
      <c r="O293" s="25">
        <f>IF(B293="","",IFERROR(INDEX(Ingredients!$J$5:$J$304,MATCH(B293,Ingredients!$B$5:$B$304,0)),"Add to Ingredients"))</f>
        <v>0</v>
      </c>
      <c r="P293" s="25">
        <f>IF(OR(G293="",O293="",NOT(ISNUMBER(O293))),"",G293*O293)</f>
        <v>0</v>
      </c>
      <c r="R293" s="45">
        <f>IF(B293="","",IFERROR(INDEX(Ingredients!$AG$5:$AG$304,MATCH(B293,Ingredients!$B$5:$B$304,0)),0))</f>
        <v>0</v>
      </c>
      <c r="S293" s="45">
        <f>IF(G293="","",G293-IF(R293="",0,R293))</f>
        <v>0</v>
      </c>
      <c r="U293" s="18">
        <f>IF(OR(B293="",D293&lt;&gt;"Fridge",NOT(ISNUMBER(N293))),"",COUNTIFS($D$5:$D$304,"Fridge",$N$5:$N$304,"&lt;"&amp;N293)+COUNTIFS($D$5:D293,"Fridge",$N$5:N293,N293))</f>
        <v>0</v>
      </c>
      <c r="V293" s="18">
        <f>IF(OR(B293="",D293&lt;&gt;"Freezer",NOT(ISNUMBER(N293))),"",COUNTIFS($D$5:$D$304,"Freezer",$N$5:$N$304,"&lt;"&amp;N293)+COUNTIFS($D$5:D293,"Freezer",$N$5:N293,N293))</f>
        <v>0</v>
      </c>
      <c r="W293" s="31">
        <f>IF(B293="","",IF(G293=0,"Out of stock",IF(AND(N293&lt;&gt;"",N293&lt;0),"Expired",IF(AND(N293&lt;&gt;"",N293&lt;=ExpiryWarningDays),"Use soon",IF(AND(Q293&lt;&gt;"",G293&lt;Q293),"Low stock","In stock")))))</f>
        <v>0</v>
      </c>
      <c r="X293" s="31">
        <f>IF(B293="","",IF(W293="Expired","Expired - bin it and log it on the Food Waste tab",IF(W293="Use soon","Use soon - plan a meal with it",IF(W293="Out of stock",IF(T293="Yes","Missing - staple has run out","Add - restock when convenient"),IF(W293="Low stock","Check - running low",IF(S293&lt;0,"Check - the plan needs more than you have","OK"))))))</f>
        <v>0</v>
      </c>
    </row>
    <row r="294" spans="1:24">
      <c r="A294" s="39">
        <f>IF(B294="","",PantryPrefix&amp;TEXT(ROW()-4,"0000"))</f>
        <v>0</v>
      </c>
      <c r="C294" s="17">
        <f>IF(B294="","",IFERROR(INDEX(Ingredients!$C$5:$C$304,MATCH(B294,Ingredients!$B$5:$B$304,0)),"Add to Ingredients"))</f>
        <v>0</v>
      </c>
      <c r="G294" s="45">
        <f>IF(E294="","",IFERROR(E294*INDEX(UnitFactors,MATCH(F294,UnitNames,0)),""))</f>
        <v>0</v>
      </c>
      <c r="H294" s="17">
        <f>IF(F294="","",IFERROR(INDEX(UnitBases,MATCH(F294,UnitNames,0)),"?"))</f>
        <v>0</v>
      </c>
      <c r="L294" s="18">
        <f>IF(B294="","",IFERROR(INDEX(Ingredients!$Z$5:$Z$304,MATCH(B294,Ingredients!$B$5:$B$304,0)),"Add to Ingredients"))</f>
        <v>0</v>
      </c>
      <c r="M294" s="19">
        <f>IF(K294&lt;&gt;"",K294,IF(OR(J294="",L294="",NOT(ISNUMBER(L294))),"",J294+L294))</f>
        <v>0</v>
      </c>
      <c r="N294" s="18">
        <f>IF(M294="","",M294-TODAY())</f>
        <v>0</v>
      </c>
      <c r="O294" s="25">
        <f>IF(B294="","",IFERROR(INDEX(Ingredients!$J$5:$J$304,MATCH(B294,Ingredients!$B$5:$B$304,0)),"Add to Ingredients"))</f>
        <v>0</v>
      </c>
      <c r="P294" s="25">
        <f>IF(OR(G294="",O294="",NOT(ISNUMBER(O294))),"",G294*O294)</f>
        <v>0</v>
      </c>
      <c r="R294" s="45">
        <f>IF(B294="","",IFERROR(INDEX(Ingredients!$AG$5:$AG$304,MATCH(B294,Ingredients!$B$5:$B$304,0)),0))</f>
        <v>0</v>
      </c>
      <c r="S294" s="45">
        <f>IF(G294="","",G294-IF(R294="",0,R294))</f>
        <v>0</v>
      </c>
      <c r="U294" s="18">
        <f>IF(OR(B294="",D294&lt;&gt;"Fridge",NOT(ISNUMBER(N294))),"",COUNTIFS($D$5:$D$304,"Fridge",$N$5:$N$304,"&lt;"&amp;N294)+COUNTIFS($D$5:D294,"Fridge",$N$5:N294,N294))</f>
        <v>0</v>
      </c>
      <c r="V294" s="18">
        <f>IF(OR(B294="",D294&lt;&gt;"Freezer",NOT(ISNUMBER(N294))),"",COUNTIFS($D$5:$D$304,"Freezer",$N$5:$N$304,"&lt;"&amp;N294)+COUNTIFS($D$5:D294,"Freezer",$N$5:N294,N294))</f>
        <v>0</v>
      </c>
      <c r="W294" s="31">
        <f>IF(B294="","",IF(G294=0,"Out of stock",IF(AND(N294&lt;&gt;"",N294&lt;0),"Expired",IF(AND(N294&lt;&gt;"",N294&lt;=ExpiryWarningDays),"Use soon",IF(AND(Q294&lt;&gt;"",G294&lt;Q294),"Low stock","In stock")))))</f>
        <v>0</v>
      </c>
      <c r="X294" s="31">
        <f>IF(B294="","",IF(W294="Expired","Expired - bin it and log it on the Food Waste tab",IF(W294="Use soon","Use soon - plan a meal with it",IF(W294="Out of stock",IF(T294="Yes","Missing - staple has run out","Add - restock when convenient"),IF(W294="Low stock","Check - running low",IF(S294&lt;0,"Check - the plan needs more than you have","OK"))))))</f>
        <v>0</v>
      </c>
    </row>
    <row r="295" spans="1:24">
      <c r="A295" s="39">
        <f>IF(B295="","",PantryPrefix&amp;TEXT(ROW()-4,"0000"))</f>
        <v>0</v>
      </c>
      <c r="C295" s="17">
        <f>IF(B295="","",IFERROR(INDEX(Ingredients!$C$5:$C$304,MATCH(B295,Ingredients!$B$5:$B$304,0)),"Add to Ingredients"))</f>
        <v>0</v>
      </c>
      <c r="G295" s="45">
        <f>IF(E295="","",IFERROR(E295*INDEX(UnitFactors,MATCH(F295,UnitNames,0)),""))</f>
        <v>0</v>
      </c>
      <c r="H295" s="17">
        <f>IF(F295="","",IFERROR(INDEX(UnitBases,MATCH(F295,UnitNames,0)),"?"))</f>
        <v>0</v>
      </c>
      <c r="L295" s="18">
        <f>IF(B295="","",IFERROR(INDEX(Ingredients!$Z$5:$Z$304,MATCH(B295,Ingredients!$B$5:$B$304,0)),"Add to Ingredients"))</f>
        <v>0</v>
      </c>
      <c r="M295" s="19">
        <f>IF(K295&lt;&gt;"",K295,IF(OR(J295="",L295="",NOT(ISNUMBER(L295))),"",J295+L295))</f>
        <v>0</v>
      </c>
      <c r="N295" s="18">
        <f>IF(M295="","",M295-TODAY())</f>
        <v>0</v>
      </c>
      <c r="O295" s="25">
        <f>IF(B295="","",IFERROR(INDEX(Ingredients!$J$5:$J$304,MATCH(B295,Ingredients!$B$5:$B$304,0)),"Add to Ingredients"))</f>
        <v>0</v>
      </c>
      <c r="P295" s="25">
        <f>IF(OR(G295="",O295="",NOT(ISNUMBER(O295))),"",G295*O295)</f>
        <v>0</v>
      </c>
      <c r="R295" s="45">
        <f>IF(B295="","",IFERROR(INDEX(Ingredients!$AG$5:$AG$304,MATCH(B295,Ingredients!$B$5:$B$304,0)),0))</f>
        <v>0</v>
      </c>
      <c r="S295" s="45">
        <f>IF(G295="","",G295-IF(R295="",0,R295))</f>
        <v>0</v>
      </c>
      <c r="U295" s="18">
        <f>IF(OR(B295="",D295&lt;&gt;"Fridge",NOT(ISNUMBER(N295))),"",COUNTIFS($D$5:$D$304,"Fridge",$N$5:$N$304,"&lt;"&amp;N295)+COUNTIFS($D$5:D295,"Fridge",$N$5:N295,N295))</f>
        <v>0</v>
      </c>
      <c r="V295" s="18">
        <f>IF(OR(B295="",D295&lt;&gt;"Freezer",NOT(ISNUMBER(N295))),"",COUNTIFS($D$5:$D$304,"Freezer",$N$5:$N$304,"&lt;"&amp;N295)+COUNTIFS($D$5:D295,"Freezer",$N$5:N295,N295))</f>
        <v>0</v>
      </c>
      <c r="W295" s="31">
        <f>IF(B295="","",IF(G295=0,"Out of stock",IF(AND(N295&lt;&gt;"",N295&lt;0),"Expired",IF(AND(N295&lt;&gt;"",N295&lt;=ExpiryWarningDays),"Use soon",IF(AND(Q295&lt;&gt;"",G295&lt;Q295),"Low stock","In stock")))))</f>
        <v>0</v>
      </c>
      <c r="X295" s="31">
        <f>IF(B295="","",IF(W295="Expired","Expired - bin it and log it on the Food Waste tab",IF(W295="Use soon","Use soon - plan a meal with it",IF(W295="Out of stock",IF(T295="Yes","Missing - staple has run out","Add - restock when convenient"),IF(W295="Low stock","Check - running low",IF(S295&lt;0,"Check - the plan needs more than you have","OK"))))))</f>
        <v>0</v>
      </c>
    </row>
    <row r="296" spans="1:24">
      <c r="A296" s="39">
        <f>IF(B296="","",PantryPrefix&amp;TEXT(ROW()-4,"0000"))</f>
        <v>0</v>
      </c>
      <c r="C296" s="17">
        <f>IF(B296="","",IFERROR(INDEX(Ingredients!$C$5:$C$304,MATCH(B296,Ingredients!$B$5:$B$304,0)),"Add to Ingredients"))</f>
        <v>0</v>
      </c>
      <c r="G296" s="45">
        <f>IF(E296="","",IFERROR(E296*INDEX(UnitFactors,MATCH(F296,UnitNames,0)),""))</f>
        <v>0</v>
      </c>
      <c r="H296" s="17">
        <f>IF(F296="","",IFERROR(INDEX(UnitBases,MATCH(F296,UnitNames,0)),"?"))</f>
        <v>0</v>
      </c>
      <c r="L296" s="18">
        <f>IF(B296="","",IFERROR(INDEX(Ingredients!$Z$5:$Z$304,MATCH(B296,Ingredients!$B$5:$B$304,0)),"Add to Ingredients"))</f>
        <v>0</v>
      </c>
      <c r="M296" s="19">
        <f>IF(K296&lt;&gt;"",K296,IF(OR(J296="",L296="",NOT(ISNUMBER(L296))),"",J296+L296))</f>
        <v>0</v>
      </c>
      <c r="N296" s="18">
        <f>IF(M296="","",M296-TODAY())</f>
        <v>0</v>
      </c>
      <c r="O296" s="25">
        <f>IF(B296="","",IFERROR(INDEX(Ingredients!$J$5:$J$304,MATCH(B296,Ingredients!$B$5:$B$304,0)),"Add to Ingredients"))</f>
        <v>0</v>
      </c>
      <c r="P296" s="25">
        <f>IF(OR(G296="",O296="",NOT(ISNUMBER(O296))),"",G296*O296)</f>
        <v>0</v>
      </c>
      <c r="R296" s="45">
        <f>IF(B296="","",IFERROR(INDEX(Ingredients!$AG$5:$AG$304,MATCH(B296,Ingredients!$B$5:$B$304,0)),0))</f>
        <v>0</v>
      </c>
      <c r="S296" s="45">
        <f>IF(G296="","",G296-IF(R296="",0,R296))</f>
        <v>0</v>
      </c>
      <c r="U296" s="18">
        <f>IF(OR(B296="",D296&lt;&gt;"Fridge",NOT(ISNUMBER(N296))),"",COUNTIFS($D$5:$D$304,"Fridge",$N$5:$N$304,"&lt;"&amp;N296)+COUNTIFS($D$5:D296,"Fridge",$N$5:N296,N296))</f>
        <v>0</v>
      </c>
      <c r="V296" s="18">
        <f>IF(OR(B296="",D296&lt;&gt;"Freezer",NOT(ISNUMBER(N296))),"",COUNTIFS($D$5:$D$304,"Freezer",$N$5:$N$304,"&lt;"&amp;N296)+COUNTIFS($D$5:D296,"Freezer",$N$5:N296,N296))</f>
        <v>0</v>
      </c>
      <c r="W296" s="31">
        <f>IF(B296="","",IF(G296=0,"Out of stock",IF(AND(N296&lt;&gt;"",N296&lt;0),"Expired",IF(AND(N296&lt;&gt;"",N296&lt;=ExpiryWarningDays),"Use soon",IF(AND(Q296&lt;&gt;"",G296&lt;Q296),"Low stock","In stock")))))</f>
        <v>0</v>
      </c>
      <c r="X296" s="31">
        <f>IF(B296="","",IF(W296="Expired","Expired - bin it and log it on the Food Waste tab",IF(W296="Use soon","Use soon - plan a meal with it",IF(W296="Out of stock",IF(T296="Yes","Missing - staple has run out","Add - restock when convenient"),IF(W296="Low stock","Check - running low",IF(S296&lt;0,"Check - the plan needs more than you have","OK"))))))</f>
        <v>0</v>
      </c>
    </row>
    <row r="297" spans="1:24">
      <c r="A297" s="39">
        <f>IF(B297="","",PantryPrefix&amp;TEXT(ROW()-4,"0000"))</f>
        <v>0</v>
      </c>
      <c r="C297" s="17">
        <f>IF(B297="","",IFERROR(INDEX(Ingredients!$C$5:$C$304,MATCH(B297,Ingredients!$B$5:$B$304,0)),"Add to Ingredients"))</f>
        <v>0</v>
      </c>
      <c r="G297" s="45">
        <f>IF(E297="","",IFERROR(E297*INDEX(UnitFactors,MATCH(F297,UnitNames,0)),""))</f>
        <v>0</v>
      </c>
      <c r="H297" s="17">
        <f>IF(F297="","",IFERROR(INDEX(UnitBases,MATCH(F297,UnitNames,0)),"?"))</f>
        <v>0</v>
      </c>
      <c r="L297" s="18">
        <f>IF(B297="","",IFERROR(INDEX(Ingredients!$Z$5:$Z$304,MATCH(B297,Ingredients!$B$5:$B$304,0)),"Add to Ingredients"))</f>
        <v>0</v>
      </c>
      <c r="M297" s="19">
        <f>IF(K297&lt;&gt;"",K297,IF(OR(J297="",L297="",NOT(ISNUMBER(L297))),"",J297+L297))</f>
        <v>0</v>
      </c>
      <c r="N297" s="18">
        <f>IF(M297="","",M297-TODAY())</f>
        <v>0</v>
      </c>
      <c r="O297" s="25">
        <f>IF(B297="","",IFERROR(INDEX(Ingredients!$J$5:$J$304,MATCH(B297,Ingredients!$B$5:$B$304,0)),"Add to Ingredients"))</f>
        <v>0</v>
      </c>
      <c r="P297" s="25">
        <f>IF(OR(G297="",O297="",NOT(ISNUMBER(O297))),"",G297*O297)</f>
        <v>0</v>
      </c>
      <c r="R297" s="45">
        <f>IF(B297="","",IFERROR(INDEX(Ingredients!$AG$5:$AG$304,MATCH(B297,Ingredients!$B$5:$B$304,0)),0))</f>
        <v>0</v>
      </c>
      <c r="S297" s="45">
        <f>IF(G297="","",G297-IF(R297="",0,R297))</f>
        <v>0</v>
      </c>
      <c r="U297" s="18">
        <f>IF(OR(B297="",D297&lt;&gt;"Fridge",NOT(ISNUMBER(N297))),"",COUNTIFS($D$5:$D$304,"Fridge",$N$5:$N$304,"&lt;"&amp;N297)+COUNTIFS($D$5:D297,"Fridge",$N$5:N297,N297))</f>
        <v>0</v>
      </c>
      <c r="V297" s="18">
        <f>IF(OR(B297="",D297&lt;&gt;"Freezer",NOT(ISNUMBER(N297))),"",COUNTIFS($D$5:$D$304,"Freezer",$N$5:$N$304,"&lt;"&amp;N297)+COUNTIFS($D$5:D297,"Freezer",$N$5:N297,N297))</f>
        <v>0</v>
      </c>
      <c r="W297" s="31">
        <f>IF(B297="","",IF(G297=0,"Out of stock",IF(AND(N297&lt;&gt;"",N297&lt;0),"Expired",IF(AND(N297&lt;&gt;"",N297&lt;=ExpiryWarningDays),"Use soon",IF(AND(Q297&lt;&gt;"",G297&lt;Q297),"Low stock","In stock")))))</f>
        <v>0</v>
      </c>
      <c r="X297" s="31">
        <f>IF(B297="","",IF(W297="Expired","Expired - bin it and log it on the Food Waste tab",IF(W297="Use soon","Use soon - plan a meal with it",IF(W297="Out of stock",IF(T297="Yes","Missing - staple has run out","Add - restock when convenient"),IF(W297="Low stock","Check - running low",IF(S297&lt;0,"Check - the plan needs more than you have","OK"))))))</f>
        <v>0</v>
      </c>
    </row>
    <row r="298" spans="1:24">
      <c r="A298" s="39">
        <f>IF(B298="","",PantryPrefix&amp;TEXT(ROW()-4,"0000"))</f>
        <v>0</v>
      </c>
      <c r="C298" s="17">
        <f>IF(B298="","",IFERROR(INDEX(Ingredients!$C$5:$C$304,MATCH(B298,Ingredients!$B$5:$B$304,0)),"Add to Ingredients"))</f>
        <v>0</v>
      </c>
      <c r="G298" s="45">
        <f>IF(E298="","",IFERROR(E298*INDEX(UnitFactors,MATCH(F298,UnitNames,0)),""))</f>
        <v>0</v>
      </c>
      <c r="H298" s="17">
        <f>IF(F298="","",IFERROR(INDEX(UnitBases,MATCH(F298,UnitNames,0)),"?"))</f>
        <v>0</v>
      </c>
      <c r="L298" s="18">
        <f>IF(B298="","",IFERROR(INDEX(Ingredients!$Z$5:$Z$304,MATCH(B298,Ingredients!$B$5:$B$304,0)),"Add to Ingredients"))</f>
        <v>0</v>
      </c>
      <c r="M298" s="19">
        <f>IF(K298&lt;&gt;"",K298,IF(OR(J298="",L298="",NOT(ISNUMBER(L298))),"",J298+L298))</f>
        <v>0</v>
      </c>
      <c r="N298" s="18">
        <f>IF(M298="","",M298-TODAY())</f>
        <v>0</v>
      </c>
      <c r="O298" s="25">
        <f>IF(B298="","",IFERROR(INDEX(Ingredients!$J$5:$J$304,MATCH(B298,Ingredients!$B$5:$B$304,0)),"Add to Ingredients"))</f>
        <v>0</v>
      </c>
      <c r="P298" s="25">
        <f>IF(OR(G298="",O298="",NOT(ISNUMBER(O298))),"",G298*O298)</f>
        <v>0</v>
      </c>
      <c r="R298" s="45">
        <f>IF(B298="","",IFERROR(INDEX(Ingredients!$AG$5:$AG$304,MATCH(B298,Ingredients!$B$5:$B$304,0)),0))</f>
        <v>0</v>
      </c>
      <c r="S298" s="45">
        <f>IF(G298="","",G298-IF(R298="",0,R298))</f>
        <v>0</v>
      </c>
      <c r="U298" s="18">
        <f>IF(OR(B298="",D298&lt;&gt;"Fridge",NOT(ISNUMBER(N298))),"",COUNTIFS($D$5:$D$304,"Fridge",$N$5:$N$304,"&lt;"&amp;N298)+COUNTIFS($D$5:D298,"Fridge",$N$5:N298,N298))</f>
        <v>0</v>
      </c>
      <c r="V298" s="18">
        <f>IF(OR(B298="",D298&lt;&gt;"Freezer",NOT(ISNUMBER(N298))),"",COUNTIFS($D$5:$D$304,"Freezer",$N$5:$N$304,"&lt;"&amp;N298)+COUNTIFS($D$5:D298,"Freezer",$N$5:N298,N298))</f>
        <v>0</v>
      </c>
      <c r="W298" s="31">
        <f>IF(B298="","",IF(G298=0,"Out of stock",IF(AND(N298&lt;&gt;"",N298&lt;0),"Expired",IF(AND(N298&lt;&gt;"",N298&lt;=ExpiryWarningDays),"Use soon",IF(AND(Q298&lt;&gt;"",G298&lt;Q298),"Low stock","In stock")))))</f>
        <v>0</v>
      </c>
      <c r="X298" s="31">
        <f>IF(B298="","",IF(W298="Expired","Expired - bin it and log it on the Food Waste tab",IF(W298="Use soon","Use soon - plan a meal with it",IF(W298="Out of stock",IF(T298="Yes","Missing - staple has run out","Add - restock when convenient"),IF(W298="Low stock","Check - running low",IF(S298&lt;0,"Check - the plan needs more than you have","OK"))))))</f>
        <v>0</v>
      </c>
    </row>
    <row r="299" spans="1:24">
      <c r="A299" s="39">
        <f>IF(B299="","",PantryPrefix&amp;TEXT(ROW()-4,"0000"))</f>
        <v>0</v>
      </c>
      <c r="C299" s="17">
        <f>IF(B299="","",IFERROR(INDEX(Ingredients!$C$5:$C$304,MATCH(B299,Ingredients!$B$5:$B$304,0)),"Add to Ingredients"))</f>
        <v>0</v>
      </c>
      <c r="G299" s="45">
        <f>IF(E299="","",IFERROR(E299*INDEX(UnitFactors,MATCH(F299,UnitNames,0)),""))</f>
        <v>0</v>
      </c>
      <c r="H299" s="17">
        <f>IF(F299="","",IFERROR(INDEX(UnitBases,MATCH(F299,UnitNames,0)),"?"))</f>
        <v>0</v>
      </c>
      <c r="L299" s="18">
        <f>IF(B299="","",IFERROR(INDEX(Ingredients!$Z$5:$Z$304,MATCH(B299,Ingredients!$B$5:$B$304,0)),"Add to Ingredients"))</f>
        <v>0</v>
      </c>
      <c r="M299" s="19">
        <f>IF(K299&lt;&gt;"",K299,IF(OR(J299="",L299="",NOT(ISNUMBER(L299))),"",J299+L299))</f>
        <v>0</v>
      </c>
      <c r="N299" s="18">
        <f>IF(M299="","",M299-TODAY())</f>
        <v>0</v>
      </c>
      <c r="O299" s="25">
        <f>IF(B299="","",IFERROR(INDEX(Ingredients!$J$5:$J$304,MATCH(B299,Ingredients!$B$5:$B$304,0)),"Add to Ingredients"))</f>
        <v>0</v>
      </c>
      <c r="P299" s="25">
        <f>IF(OR(G299="",O299="",NOT(ISNUMBER(O299))),"",G299*O299)</f>
        <v>0</v>
      </c>
      <c r="R299" s="45">
        <f>IF(B299="","",IFERROR(INDEX(Ingredients!$AG$5:$AG$304,MATCH(B299,Ingredients!$B$5:$B$304,0)),0))</f>
        <v>0</v>
      </c>
      <c r="S299" s="45">
        <f>IF(G299="","",G299-IF(R299="",0,R299))</f>
        <v>0</v>
      </c>
      <c r="U299" s="18">
        <f>IF(OR(B299="",D299&lt;&gt;"Fridge",NOT(ISNUMBER(N299))),"",COUNTIFS($D$5:$D$304,"Fridge",$N$5:$N$304,"&lt;"&amp;N299)+COUNTIFS($D$5:D299,"Fridge",$N$5:N299,N299))</f>
        <v>0</v>
      </c>
      <c r="V299" s="18">
        <f>IF(OR(B299="",D299&lt;&gt;"Freezer",NOT(ISNUMBER(N299))),"",COUNTIFS($D$5:$D$304,"Freezer",$N$5:$N$304,"&lt;"&amp;N299)+COUNTIFS($D$5:D299,"Freezer",$N$5:N299,N299))</f>
        <v>0</v>
      </c>
      <c r="W299" s="31">
        <f>IF(B299="","",IF(G299=0,"Out of stock",IF(AND(N299&lt;&gt;"",N299&lt;0),"Expired",IF(AND(N299&lt;&gt;"",N299&lt;=ExpiryWarningDays),"Use soon",IF(AND(Q299&lt;&gt;"",G299&lt;Q299),"Low stock","In stock")))))</f>
        <v>0</v>
      </c>
      <c r="X299" s="31">
        <f>IF(B299="","",IF(W299="Expired","Expired - bin it and log it on the Food Waste tab",IF(W299="Use soon","Use soon - plan a meal with it",IF(W299="Out of stock",IF(T299="Yes","Missing - staple has run out","Add - restock when convenient"),IF(W299="Low stock","Check - running low",IF(S299&lt;0,"Check - the plan needs more than you have","OK"))))))</f>
        <v>0</v>
      </c>
    </row>
    <row r="300" spans="1:24">
      <c r="A300" s="39">
        <f>IF(B300="","",PantryPrefix&amp;TEXT(ROW()-4,"0000"))</f>
        <v>0</v>
      </c>
      <c r="C300" s="17">
        <f>IF(B300="","",IFERROR(INDEX(Ingredients!$C$5:$C$304,MATCH(B300,Ingredients!$B$5:$B$304,0)),"Add to Ingredients"))</f>
        <v>0</v>
      </c>
      <c r="G300" s="45">
        <f>IF(E300="","",IFERROR(E300*INDEX(UnitFactors,MATCH(F300,UnitNames,0)),""))</f>
        <v>0</v>
      </c>
      <c r="H300" s="17">
        <f>IF(F300="","",IFERROR(INDEX(UnitBases,MATCH(F300,UnitNames,0)),"?"))</f>
        <v>0</v>
      </c>
      <c r="L300" s="18">
        <f>IF(B300="","",IFERROR(INDEX(Ingredients!$Z$5:$Z$304,MATCH(B300,Ingredients!$B$5:$B$304,0)),"Add to Ingredients"))</f>
        <v>0</v>
      </c>
      <c r="M300" s="19">
        <f>IF(K300&lt;&gt;"",K300,IF(OR(J300="",L300="",NOT(ISNUMBER(L300))),"",J300+L300))</f>
        <v>0</v>
      </c>
      <c r="N300" s="18">
        <f>IF(M300="","",M300-TODAY())</f>
        <v>0</v>
      </c>
      <c r="O300" s="25">
        <f>IF(B300="","",IFERROR(INDEX(Ingredients!$J$5:$J$304,MATCH(B300,Ingredients!$B$5:$B$304,0)),"Add to Ingredients"))</f>
        <v>0</v>
      </c>
      <c r="P300" s="25">
        <f>IF(OR(G300="",O300="",NOT(ISNUMBER(O300))),"",G300*O300)</f>
        <v>0</v>
      </c>
      <c r="R300" s="45">
        <f>IF(B300="","",IFERROR(INDEX(Ingredients!$AG$5:$AG$304,MATCH(B300,Ingredients!$B$5:$B$304,0)),0))</f>
        <v>0</v>
      </c>
      <c r="S300" s="45">
        <f>IF(G300="","",G300-IF(R300="",0,R300))</f>
        <v>0</v>
      </c>
      <c r="U300" s="18">
        <f>IF(OR(B300="",D300&lt;&gt;"Fridge",NOT(ISNUMBER(N300))),"",COUNTIFS($D$5:$D$304,"Fridge",$N$5:$N$304,"&lt;"&amp;N300)+COUNTIFS($D$5:D300,"Fridge",$N$5:N300,N300))</f>
        <v>0</v>
      </c>
      <c r="V300" s="18">
        <f>IF(OR(B300="",D300&lt;&gt;"Freezer",NOT(ISNUMBER(N300))),"",COUNTIFS($D$5:$D$304,"Freezer",$N$5:$N$304,"&lt;"&amp;N300)+COUNTIFS($D$5:D300,"Freezer",$N$5:N300,N300))</f>
        <v>0</v>
      </c>
      <c r="W300" s="31">
        <f>IF(B300="","",IF(G300=0,"Out of stock",IF(AND(N300&lt;&gt;"",N300&lt;0),"Expired",IF(AND(N300&lt;&gt;"",N300&lt;=ExpiryWarningDays),"Use soon",IF(AND(Q300&lt;&gt;"",G300&lt;Q300),"Low stock","In stock")))))</f>
        <v>0</v>
      </c>
      <c r="X300" s="31">
        <f>IF(B300="","",IF(W300="Expired","Expired - bin it and log it on the Food Waste tab",IF(W300="Use soon","Use soon - plan a meal with it",IF(W300="Out of stock",IF(T300="Yes","Missing - staple has run out","Add - restock when convenient"),IF(W300="Low stock","Check - running low",IF(S300&lt;0,"Check - the plan needs more than you have","OK"))))))</f>
        <v>0</v>
      </c>
    </row>
    <row r="301" spans="1:24">
      <c r="A301" s="39">
        <f>IF(B301="","",PantryPrefix&amp;TEXT(ROW()-4,"0000"))</f>
        <v>0</v>
      </c>
      <c r="C301" s="17">
        <f>IF(B301="","",IFERROR(INDEX(Ingredients!$C$5:$C$304,MATCH(B301,Ingredients!$B$5:$B$304,0)),"Add to Ingredients"))</f>
        <v>0</v>
      </c>
      <c r="G301" s="45">
        <f>IF(E301="","",IFERROR(E301*INDEX(UnitFactors,MATCH(F301,UnitNames,0)),""))</f>
        <v>0</v>
      </c>
      <c r="H301" s="17">
        <f>IF(F301="","",IFERROR(INDEX(UnitBases,MATCH(F301,UnitNames,0)),"?"))</f>
        <v>0</v>
      </c>
      <c r="L301" s="18">
        <f>IF(B301="","",IFERROR(INDEX(Ingredients!$Z$5:$Z$304,MATCH(B301,Ingredients!$B$5:$B$304,0)),"Add to Ingredients"))</f>
        <v>0</v>
      </c>
      <c r="M301" s="19">
        <f>IF(K301&lt;&gt;"",K301,IF(OR(J301="",L301="",NOT(ISNUMBER(L301))),"",J301+L301))</f>
        <v>0</v>
      </c>
      <c r="N301" s="18">
        <f>IF(M301="","",M301-TODAY())</f>
        <v>0</v>
      </c>
      <c r="O301" s="25">
        <f>IF(B301="","",IFERROR(INDEX(Ingredients!$J$5:$J$304,MATCH(B301,Ingredients!$B$5:$B$304,0)),"Add to Ingredients"))</f>
        <v>0</v>
      </c>
      <c r="P301" s="25">
        <f>IF(OR(G301="",O301="",NOT(ISNUMBER(O301))),"",G301*O301)</f>
        <v>0</v>
      </c>
      <c r="R301" s="45">
        <f>IF(B301="","",IFERROR(INDEX(Ingredients!$AG$5:$AG$304,MATCH(B301,Ingredients!$B$5:$B$304,0)),0))</f>
        <v>0</v>
      </c>
      <c r="S301" s="45">
        <f>IF(G301="","",G301-IF(R301="",0,R301))</f>
        <v>0</v>
      </c>
      <c r="U301" s="18">
        <f>IF(OR(B301="",D301&lt;&gt;"Fridge",NOT(ISNUMBER(N301))),"",COUNTIFS($D$5:$D$304,"Fridge",$N$5:$N$304,"&lt;"&amp;N301)+COUNTIFS($D$5:D301,"Fridge",$N$5:N301,N301))</f>
        <v>0</v>
      </c>
      <c r="V301" s="18">
        <f>IF(OR(B301="",D301&lt;&gt;"Freezer",NOT(ISNUMBER(N301))),"",COUNTIFS($D$5:$D$304,"Freezer",$N$5:$N$304,"&lt;"&amp;N301)+COUNTIFS($D$5:D301,"Freezer",$N$5:N301,N301))</f>
        <v>0</v>
      </c>
      <c r="W301" s="31">
        <f>IF(B301="","",IF(G301=0,"Out of stock",IF(AND(N301&lt;&gt;"",N301&lt;0),"Expired",IF(AND(N301&lt;&gt;"",N301&lt;=ExpiryWarningDays),"Use soon",IF(AND(Q301&lt;&gt;"",G301&lt;Q301),"Low stock","In stock")))))</f>
        <v>0</v>
      </c>
      <c r="X301" s="31">
        <f>IF(B301="","",IF(W301="Expired","Expired - bin it and log it on the Food Waste tab",IF(W301="Use soon","Use soon - plan a meal with it",IF(W301="Out of stock",IF(T301="Yes","Missing - staple has run out","Add - restock when convenient"),IF(W301="Low stock","Check - running low",IF(S301&lt;0,"Check - the plan needs more than you have","OK"))))))</f>
        <v>0</v>
      </c>
    </row>
    <row r="302" spans="1:24">
      <c r="A302" s="39">
        <f>IF(B302="","",PantryPrefix&amp;TEXT(ROW()-4,"0000"))</f>
        <v>0</v>
      </c>
      <c r="C302" s="17">
        <f>IF(B302="","",IFERROR(INDEX(Ingredients!$C$5:$C$304,MATCH(B302,Ingredients!$B$5:$B$304,0)),"Add to Ingredients"))</f>
        <v>0</v>
      </c>
      <c r="G302" s="45">
        <f>IF(E302="","",IFERROR(E302*INDEX(UnitFactors,MATCH(F302,UnitNames,0)),""))</f>
        <v>0</v>
      </c>
      <c r="H302" s="17">
        <f>IF(F302="","",IFERROR(INDEX(UnitBases,MATCH(F302,UnitNames,0)),"?"))</f>
        <v>0</v>
      </c>
      <c r="L302" s="18">
        <f>IF(B302="","",IFERROR(INDEX(Ingredients!$Z$5:$Z$304,MATCH(B302,Ingredients!$B$5:$B$304,0)),"Add to Ingredients"))</f>
        <v>0</v>
      </c>
      <c r="M302" s="19">
        <f>IF(K302&lt;&gt;"",K302,IF(OR(J302="",L302="",NOT(ISNUMBER(L302))),"",J302+L302))</f>
        <v>0</v>
      </c>
      <c r="N302" s="18">
        <f>IF(M302="","",M302-TODAY())</f>
        <v>0</v>
      </c>
      <c r="O302" s="25">
        <f>IF(B302="","",IFERROR(INDEX(Ingredients!$J$5:$J$304,MATCH(B302,Ingredients!$B$5:$B$304,0)),"Add to Ingredients"))</f>
        <v>0</v>
      </c>
      <c r="P302" s="25">
        <f>IF(OR(G302="",O302="",NOT(ISNUMBER(O302))),"",G302*O302)</f>
        <v>0</v>
      </c>
      <c r="R302" s="45">
        <f>IF(B302="","",IFERROR(INDEX(Ingredients!$AG$5:$AG$304,MATCH(B302,Ingredients!$B$5:$B$304,0)),0))</f>
        <v>0</v>
      </c>
      <c r="S302" s="45">
        <f>IF(G302="","",G302-IF(R302="",0,R302))</f>
        <v>0</v>
      </c>
      <c r="U302" s="18">
        <f>IF(OR(B302="",D302&lt;&gt;"Fridge",NOT(ISNUMBER(N302))),"",COUNTIFS($D$5:$D$304,"Fridge",$N$5:$N$304,"&lt;"&amp;N302)+COUNTIFS($D$5:D302,"Fridge",$N$5:N302,N302))</f>
        <v>0</v>
      </c>
      <c r="V302" s="18">
        <f>IF(OR(B302="",D302&lt;&gt;"Freezer",NOT(ISNUMBER(N302))),"",COUNTIFS($D$5:$D$304,"Freezer",$N$5:$N$304,"&lt;"&amp;N302)+COUNTIFS($D$5:D302,"Freezer",$N$5:N302,N302))</f>
        <v>0</v>
      </c>
      <c r="W302" s="31">
        <f>IF(B302="","",IF(G302=0,"Out of stock",IF(AND(N302&lt;&gt;"",N302&lt;0),"Expired",IF(AND(N302&lt;&gt;"",N302&lt;=ExpiryWarningDays),"Use soon",IF(AND(Q302&lt;&gt;"",G302&lt;Q302),"Low stock","In stock")))))</f>
        <v>0</v>
      </c>
      <c r="X302" s="31">
        <f>IF(B302="","",IF(W302="Expired","Expired - bin it and log it on the Food Waste tab",IF(W302="Use soon","Use soon - plan a meal with it",IF(W302="Out of stock",IF(T302="Yes","Missing - staple has run out","Add - restock when convenient"),IF(W302="Low stock","Check - running low",IF(S302&lt;0,"Check - the plan needs more than you have","OK"))))))</f>
        <v>0</v>
      </c>
    </row>
    <row r="303" spans="1:24">
      <c r="A303" s="39">
        <f>IF(B303="","",PantryPrefix&amp;TEXT(ROW()-4,"0000"))</f>
        <v>0</v>
      </c>
      <c r="C303" s="17">
        <f>IF(B303="","",IFERROR(INDEX(Ingredients!$C$5:$C$304,MATCH(B303,Ingredients!$B$5:$B$304,0)),"Add to Ingredients"))</f>
        <v>0</v>
      </c>
      <c r="G303" s="45">
        <f>IF(E303="","",IFERROR(E303*INDEX(UnitFactors,MATCH(F303,UnitNames,0)),""))</f>
        <v>0</v>
      </c>
      <c r="H303" s="17">
        <f>IF(F303="","",IFERROR(INDEX(UnitBases,MATCH(F303,UnitNames,0)),"?"))</f>
        <v>0</v>
      </c>
      <c r="L303" s="18">
        <f>IF(B303="","",IFERROR(INDEX(Ingredients!$Z$5:$Z$304,MATCH(B303,Ingredients!$B$5:$B$304,0)),"Add to Ingredients"))</f>
        <v>0</v>
      </c>
      <c r="M303" s="19">
        <f>IF(K303&lt;&gt;"",K303,IF(OR(J303="",L303="",NOT(ISNUMBER(L303))),"",J303+L303))</f>
        <v>0</v>
      </c>
      <c r="N303" s="18">
        <f>IF(M303="","",M303-TODAY())</f>
        <v>0</v>
      </c>
      <c r="O303" s="25">
        <f>IF(B303="","",IFERROR(INDEX(Ingredients!$J$5:$J$304,MATCH(B303,Ingredients!$B$5:$B$304,0)),"Add to Ingredients"))</f>
        <v>0</v>
      </c>
      <c r="P303" s="25">
        <f>IF(OR(G303="",O303="",NOT(ISNUMBER(O303))),"",G303*O303)</f>
        <v>0</v>
      </c>
      <c r="R303" s="45">
        <f>IF(B303="","",IFERROR(INDEX(Ingredients!$AG$5:$AG$304,MATCH(B303,Ingredients!$B$5:$B$304,0)),0))</f>
        <v>0</v>
      </c>
      <c r="S303" s="45">
        <f>IF(G303="","",G303-IF(R303="",0,R303))</f>
        <v>0</v>
      </c>
      <c r="U303" s="18">
        <f>IF(OR(B303="",D303&lt;&gt;"Fridge",NOT(ISNUMBER(N303))),"",COUNTIFS($D$5:$D$304,"Fridge",$N$5:$N$304,"&lt;"&amp;N303)+COUNTIFS($D$5:D303,"Fridge",$N$5:N303,N303))</f>
        <v>0</v>
      </c>
      <c r="V303" s="18">
        <f>IF(OR(B303="",D303&lt;&gt;"Freezer",NOT(ISNUMBER(N303))),"",COUNTIFS($D$5:$D$304,"Freezer",$N$5:$N$304,"&lt;"&amp;N303)+COUNTIFS($D$5:D303,"Freezer",$N$5:N303,N303))</f>
        <v>0</v>
      </c>
      <c r="W303" s="31">
        <f>IF(B303="","",IF(G303=0,"Out of stock",IF(AND(N303&lt;&gt;"",N303&lt;0),"Expired",IF(AND(N303&lt;&gt;"",N303&lt;=ExpiryWarningDays),"Use soon",IF(AND(Q303&lt;&gt;"",G303&lt;Q303),"Low stock","In stock")))))</f>
        <v>0</v>
      </c>
      <c r="X303" s="31">
        <f>IF(B303="","",IF(W303="Expired","Expired - bin it and log it on the Food Waste tab",IF(W303="Use soon","Use soon - plan a meal with it",IF(W303="Out of stock",IF(T303="Yes","Missing - staple has run out","Add - restock when convenient"),IF(W303="Low stock","Check - running low",IF(S303&lt;0,"Check - the plan needs more than you have","OK"))))))</f>
        <v>0</v>
      </c>
    </row>
    <row r="304" spans="1:24">
      <c r="A304" s="39">
        <f>IF(B304="","",PantryPrefix&amp;TEXT(ROW()-4,"0000"))</f>
        <v>0</v>
      </c>
      <c r="C304" s="17">
        <f>IF(B304="","",IFERROR(INDEX(Ingredients!$C$5:$C$304,MATCH(B304,Ingredients!$B$5:$B$304,0)),"Add to Ingredients"))</f>
        <v>0</v>
      </c>
      <c r="G304" s="45">
        <f>IF(E304="","",IFERROR(E304*INDEX(UnitFactors,MATCH(F304,UnitNames,0)),""))</f>
        <v>0</v>
      </c>
      <c r="H304" s="17">
        <f>IF(F304="","",IFERROR(INDEX(UnitBases,MATCH(F304,UnitNames,0)),"?"))</f>
        <v>0</v>
      </c>
      <c r="L304" s="18">
        <f>IF(B304="","",IFERROR(INDEX(Ingredients!$Z$5:$Z$304,MATCH(B304,Ingredients!$B$5:$B$304,0)),"Add to Ingredients"))</f>
        <v>0</v>
      </c>
      <c r="M304" s="19">
        <f>IF(K304&lt;&gt;"",K304,IF(OR(J304="",L304="",NOT(ISNUMBER(L304))),"",J304+L304))</f>
        <v>0</v>
      </c>
      <c r="N304" s="18">
        <f>IF(M304="","",M304-TODAY())</f>
        <v>0</v>
      </c>
      <c r="O304" s="25">
        <f>IF(B304="","",IFERROR(INDEX(Ingredients!$J$5:$J$304,MATCH(B304,Ingredients!$B$5:$B$304,0)),"Add to Ingredients"))</f>
        <v>0</v>
      </c>
      <c r="P304" s="25">
        <f>IF(OR(G304="",O304="",NOT(ISNUMBER(O304))),"",G304*O304)</f>
        <v>0</v>
      </c>
      <c r="R304" s="45">
        <f>IF(B304="","",IFERROR(INDEX(Ingredients!$AG$5:$AG$304,MATCH(B304,Ingredients!$B$5:$B$304,0)),0))</f>
        <v>0</v>
      </c>
      <c r="S304" s="45">
        <f>IF(G304="","",G304-IF(R304="",0,R304))</f>
        <v>0</v>
      </c>
      <c r="U304" s="18">
        <f>IF(OR(B304="",D304&lt;&gt;"Fridge",NOT(ISNUMBER(N304))),"",COUNTIFS($D$5:$D$304,"Fridge",$N$5:$N$304,"&lt;"&amp;N304)+COUNTIFS($D$5:D304,"Fridge",$N$5:N304,N304))</f>
        <v>0</v>
      </c>
      <c r="V304" s="18">
        <f>IF(OR(B304="",D304&lt;&gt;"Freezer",NOT(ISNUMBER(N304))),"",COUNTIFS($D$5:$D$304,"Freezer",$N$5:$N$304,"&lt;"&amp;N304)+COUNTIFS($D$5:D304,"Freezer",$N$5:N304,N304))</f>
        <v>0</v>
      </c>
      <c r="W304" s="31">
        <f>IF(B304="","",IF(G304=0,"Out of stock",IF(AND(N304&lt;&gt;"",N304&lt;0),"Expired",IF(AND(N304&lt;&gt;"",N304&lt;=ExpiryWarningDays),"Use soon",IF(AND(Q304&lt;&gt;"",G304&lt;Q304),"Low stock","In stock")))))</f>
        <v>0</v>
      </c>
      <c r="X304" s="31">
        <f>IF(B304="","",IF(W304="Expired","Expired - bin it and log it on the Food Waste tab",IF(W304="Use soon","Use soon - plan a meal with it",IF(W304="Out of stock",IF(T304="Yes","Missing - staple has run out","Add - restock when convenient"),IF(W304="Low stock","Check - running low",IF(S304&lt;0,"Check - the plan needs more than you have","OK"))))))</f>
        <v>0</v>
      </c>
    </row>
    <row r="306" spans="1:25" ht="20" customHeight="1">
      <c r="A306" s="7" t="s">
        <v>1112</v>
      </c>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26" customHeight="1">
      <c r="A307" s="8" t="s">
        <v>1113</v>
      </c>
      <c r="B307" s="9" t="s">
        <v>1002</v>
      </c>
      <c r="C307" s="9" t="s">
        <v>517</v>
      </c>
      <c r="D307" s="9" t="s">
        <v>1114</v>
      </c>
      <c r="E307" s="9" t="s">
        <v>1115</v>
      </c>
      <c r="F307" s="9" t="s">
        <v>465</v>
      </c>
      <c r="G307" s="9" t="s">
        <v>128</v>
      </c>
    </row>
    <row r="308" spans="1:25">
      <c r="A308" s="18">
        <f>COUNTIF(Pantry!$B$5:$B$304,"&lt;&gt;")</f>
        <v>0</v>
      </c>
      <c r="B308" s="25">
        <f>SUM(Pantry!$P$5:$P$304)</f>
        <v>0</v>
      </c>
      <c r="C308" s="18">
        <f>COUNTIF(Pantry!$W$5:$W$304,"Expired")</f>
        <v>0</v>
      </c>
      <c r="D308" s="18">
        <f>COUNTIF(Pantry!$W$5:$W$304,"Use soon")</f>
        <v>0</v>
      </c>
      <c r="E308" s="18">
        <f>COUNTIF(Pantry!$W$5:$W$304,"Low stock")</f>
        <v>0</v>
      </c>
      <c r="F308" s="18">
        <f>COUNTIF(Pantry!$W$5:$W$304,"Out of stock")</f>
        <v>0</v>
      </c>
      <c r="G308" s="18">
        <f>COUNTIFS(Pantry!$T$5:$T$304,"Yes",Pantry!$W$5:$W$304,"&lt;&gt;In stock")</f>
        <v>0</v>
      </c>
    </row>
    <row r="310" spans="1:25" ht="28" customHeight="1">
      <c r="A310" s="6" t="s">
        <v>1116</v>
      </c>
      <c r="B310" s="6"/>
      <c r="C310" s="6"/>
      <c r="D310" s="6"/>
      <c r="E310" s="6"/>
      <c r="F310" s="6"/>
      <c r="G310" s="6"/>
      <c r="H310" s="6"/>
      <c r="I310" s="6"/>
      <c r="J310" s="6"/>
      <c r="K310" s="6"/>
      <c r="L310" s="6"/>
      <c r="M310" s="6"/>
      <c r="N310" s="6"/>
      <c r="O310" s="6"/>
      <c r="P310" s="6"/>
      <c r="Q310" s="6"/>
      <c r="R310" s="6"/>
      <c r="S310" s="6"/>
      <c r="T310" s="6"/>
      <c r="U310" s="6"/>
      <c r="V310" s="6"/>
      <c r="W310" s="6"/>
      <c r="X310" s="6"/>
      <c r="Y310" s="6"/>
    </row>
  </sheetData>
  <sheetProtection password="EC7C" sheet="1" objects="1" scenarios="1" formatCells="0" formatColumns="0" formatRows="0" insertRows="0" insertHyperlinks="0" deleteRows="0" autoFilter="0"/>
  <autoFilter ref="A4:Y304"/>
  <mergeCells count="15">
    <mergeCell ref="A1:V1"/>
    <mergeCell ref="W1:Y1"/>
    <mergeCell ref="A2:Y2"/>
    <mergeCell ref="A3:B3"/>
    <mergeCell ref="C3:D3"/>
    <mergeCell ref="E3:F3"/>
    <mergeCell ref="G3:H3"/>
    <mergeCell ref="I3:J3"/>
    <mergeCell ref="K3:L3"/>
    <mergeCell ref="M3:N3"/>
    <mergeCell ref="O3:P3"/>
    <mergeCell ref="Q3:R3"/>
    <mergeCell ref="S3:Y3"/>
    <mergeCell ref="A306:Y306"/>
    <mergeCell ref="A310:Y310"/>
  </mergeCells>
  <conditionalFormatting sqref="N5:N304">
    <cfRule type="cellIs" dxfId="2" priority="1" operator="lessThan">
      <formula>0</formula>
    </cfRule>
    <cfRule type="cellIs" dxfId="0" priority="2" operator="between">
      <formula>0</formula>
      <formula>ExpiryWarningDays</formula>
    </cfRule>
    <cfRule type="cellIs" dxfId="1" priority="3" operator="greaterThan">
      <formula>ExpiryWarningDays</formula>
    </cfRule>
  </conditionalFormatting>
  <conditionalFormatting sqref="S5:S304">
    <cfRule type="cellIs" dxfId="0" priority="4" operator="lessThan">
      <formula>0</formula>
    </cfRule>
  </conditionalFormatting>
  <conditionalFormatting sqref="W5:W304">
    <cfRule type="containsText" dxfId="1" priority="5" operator="containsText" text="Prepared">
      <formula>NOT(ISERROR(SEARCH("Prepared",W5)))</formula>
    </cfRule>
    <cfRule type="containsText" dxfId="1" priority="6" operator="containsText" text="Cooked">
      <formula>NOT(ISERROR(SEARCH("Cooked",W5)))</formula>
    </cfRule>
    <cfRule type="containsText" dxfId="1" priority="7" operator="containsText" text="Eaten">
      <formula>NOT(ISERROR(SEARCH("Eaten",W5)))</formula>
    </cfRule>
    <cfRule type="containsText" dxfId="1" priority="8" operator="containsText" text="Bought">
      <formula>NOT(ISERROR(SEARCH("Bought",W5)))</formula>
    </cfRule>
    <cfRule type="containsText" dxfId="1" priority="9" operator="containsText" text="Purchased">
      <formula>NOT(ISERROR(SEARCH("Purchased",W5)))</formula>
    </cfRule>
    <cfRule type="containsText" dxfId="1" priority="10" operator="containsText" text="Done">
      <formula>NOT(ISERROR(SEARCH("Done",W5)))</formula>
    </cfRule>
    <cfRule type="containsText" dxfId="1" priority="11" operator="containsText" text="Complete">
      <formula>NOT(ISERROR(SEARCH("Complete",W5)))</formula>
    </cfRule>
    <cfRule type="containsText" dxfId="1" priority="12" operator="containsText" text="In stock">
      <formula>NOT(ISERROR(SEARCH("In stock",W5)))</formula>
    </cfRule>
    <cfRule type="containsText" dxfId="1" priority="13" operator="containsText" text="Yes">
      <formula>NOT(ISERROR(SEARCH("Yes",W5)))</formula>
    </cfRule>
    <cfRule type="containsText" dxfId="4" priority="14" operator="containsText" text="Planned">
      <formula>NOT(ISERROR(SEARCH("Planned",W5)))</formula>
    </cfRule>
    <cfRule type="containsText" dxfId="4" priority="15" operator="containsText" text="Scheduled">
      <formula>NOT(ISERROR(SEARCH("Scheduled",W5)))</formula>
    </cfRule>
    <cfRule type="containsText" dxfId="4" priority="16" operator="containsText" text="Shopping">
      <formula>NOT(ISERROR(SEARCH("Shopping",W5)))</formula>
    </cfRule>
    <cfRule type="containsText" dxfId="4" priority="17" operator="containsText" text="On the list">
      <formula>NOT(ISERROR(SEARCH("On the list",W5)))</formula>
    </cfRule>
    <cfRule type="containsText" dxfId="4" priority="18" operator="containsText" text="Prepping">
      <formula>NOT(ISERROR(SEARCH("Prepping",W5)))</formula>
    </cfRule>
    <cfRule type="containsText" dxfId="4" priority="19" operator="containsText" text="Frozen">
      <formula>NOT(ISERROR(SEARCH("Frozen",W5)))</formula>
    </cfRule>
    <cfRule type="containsText" dxfId="0" priority="20" operator="containsText" text="To do">
      <formula>NOT(ISERROR(SEARCH("To do",W5)))</formula>
    </cfRule>
    <cfRule type="containsText" dxfId="0" priority="21" operator="containsText" text="Not started">
      <formula>NOT(ISERROR(SEARCH("Not started",W5)))</formula>
    </cfRule>
    <cfRule type="containsText" dxfId="0" priority="22" operator="containsText" text="Low stock">
      <formula>NOT(ISERROR(SEARCH("Low stock",W5)))</formula>
    </cfRule>
    <cfRule type="containsText" dxfId="0" priority="23" operator="containsText" text="Use soon">
      <formula>NOT(ISERROR(SEARCH("Use soon",W5)))</formula>
    </cfRule>
    <cfRule type="containsText" dxfId="0" priority="24" operator="containsText" text="Defrosting">
      <formula>NOT(ISERROR(SEARCH("Defrosting",W5)))</formula>
    </cfRule>
    <cfRule type="containsText" dxfId="0" priority="25" operator="containsText" text="Substituted">
      <formula>NOT(ISERROR(SEARCH("Substituted",W5)))</formula>
    </cfRule>
    <cfRule type="containsText" dxfId="2" priority="26" operator="containsText" text="Out of stock">
      <formula>NOT(ISERROR(SEARCH("Out of stock",W5)))</formula>
    </cfRule>
    <cfRule type="containsText" dxfId="2" priority="27" operator="containsText" text="Expired">
      <formula>NOT(ISERROR(SEARCH("Expired",W5)))</formula>
    </cfRule>
    <cfRule type="containsText" dxfId="2" priority="28" operator="containsText" text="Skipped">
      <formula>NOT(ISERROR(SEARCH("Skipped",W5)))</formula>
    </cfRule>
    <cfRule type="containsText" dxfId="2" priority="29" operator="containsText" text="Binned">
      <formula>NOT(ISERROR(SEARCH("Binned",W5)))</formula>
    </cfRule>
    <cfRule type="containsText" dxfId="2" priority="30" operator="containsText" text="Wasted">
      <formula>NOT(ISERROR(SEARCH("Wasted",W5)))</formula>
    </cfRule>
    <cfRule type="containsText" dxfId="2" priority="31" operator="containsText" text="Cancelled">
      <formula>NOT(ISERROR(SEARCH("Cancelled",W5)))</formula>
    </cfRule>
    <cfRule type="containsText" dxfId="3" priority="32" operator="containsText" text="Archived">
      <formula>NOT(ISERROR(SEARCH("Archived",W5)))</formula>
    </cfRule>
    <cfRule type="containsText" dxfId="3" priority="33" operator="containsText" text="Not needed">
      <formula>NOT(ISERROR(SEARCH("Not needed",W5)))</formula>
    </cfRule>
  </conditionalFormatting>
  <conditionalFormatting sqref="X5:X304">
    <cfRule type="beginsWith" dxfId="1" priority="34" operator="beginsWith" text="OK">
      <formula>LEFT(X5,2)="OK"</formula>
    </cfRule>
    <cfRule type="containsText" dxfId="2" priority="35" operator="containsText" text="Overdue">
      <formula>NOT(ISERROR(SEARCH("Overdue",X5)))</formula>
    </cfRule>
    <cfRule type="containsText" dxfId="2" priority="36" operator="containsText" text="Late">
      <formula>NOT(ISERROR(SEARCH("Late",X5)))</formula>
    </cfRule>
    <cfRule type="containsText" dxfId="2" priority="37" operator="containsText" text="Missing">
      <formula>NOT(ISERROR(SEARCH("Missing",X5)))</formula>
    </cfRule>
    <cfRule type="containsText" dxfId="2" priority="38" operator="containsText" text="Conflict">
      <formula>NOT(ISERROR(SEARCH("Conflict",X5)))</formula>
    </cfRule>
    <cfRule type="containsText" dxfId="2" priority="39" operator="containsText" text="Expired">
      <formula>NOT(ISERROR(SEARCH("Expired",X5)))</formula>
    </cfRule>
    <cfRule type="containsText" dxfId="2" priority="40" operator="containsText" text="Duplicate">
      <formula>NOT(ISERROR(SEARCH("Duplicate",X5)))</formula>
    </cfRule>
    <cfRule type="containsText" dxfId="0" priority="41" operator="containsText" text="Action">
      <formula>NOT(ISERROR(SEARCH("Action",X5)))</formula>
    </cfRule>
    <cfRule type="containsText" dxfId="0" priority="42" operator="containsText" text="Due">
      <formula>NOT(ISERROR(SEARCH("Due",X5)))</formula>
    </cfRule>
    <cfRule type="containsText" dxfId="0" priority="43" operator="containsText" text="Check">
      <formula>NOT(ISERROR(SEARCH("Check",X5)))</formula>
    </cfRule>
    <cfRule type="containsText" dxfId="0" priority="44" operator="containsText" text="Add">
      <formula>NOT(ISERROR(SEARCH("Add",X5)))</formula>
    </cfRule>
    <cfRule type="containsText" dxfId="4" priority="45" operator="containsText" text="Today">
      <formula>NOT(ISERROR(SEARCH("Today",X5)))</formula>
    </cfRule>
    <cfRule type="containsText" dxfId="4" priority="46" operator="containsText" text="Upcoming">
      <formula>NOT(ISERROR(SEARCH("Upcoming",X5)))</formula>
    </cfRule>
  </conditionalFormatting>
  <dataValidations count="9">
    <dataValidation type="list" allowBlank="1" showInputMessage="1" showErrorMessage="1" promptTitle="Ingredient" prompt="Choose from the Ingredients tab so the grocery list can match it. Add anything new there first." sqref="B5:B304">
      <formula1>IngredientNames</formula1>
    </dataValidation>
    <dataValidation type="list" allowBlank="1" showInputMessage="1" showErrorMessage="1" promptTitle="Where it lives" prompt="Cupboard, Fridge, Freezer, Spice rack... The fridge and freezer tab filters on this." sqref="D5:D304">
      <formula1>StorageList</formula1>
    </dataValidation>
    <dataValidation type="decimal" allowBlank="1" showInputMessage="1" showErrorMessage="1" errorTitle="Check the value" error="Enter a number between 0 and 100000." promptTitle="How much is left" prompt="Update it when you notice, not every meal. Even a rough number beats no number." sqref="E5:E304">
      <formula1>0</formula1>
      <formula2>100000</formula2>
    </dataValidation>
    <dataValidation type="list" allowBlank="1" showInputMessage="1" showErrorMessage="1" sqref="F5:F304">
      <formula1>UnitList</formula1>
    </dataValidation>
    <dataValidation type="list" allowBlank="1" showInputMessage="1" showErrorMessage="1" sqref="I5:I304">
      <formula1>YesNoList</formula1>
    </dataValidation>
    <dataValidation type="date" allowBlank="1" showInputMessage="1" showErrorMessage="1" errorTitle="Check the date" error="Enter a real date between 2000 and 2100." sqref="J5:J304">
      <formula1>36526</formula1>
      <formula2>73415</formula2>
    </dataValidation>
    <dataValidation type="date" allowBlank="1" showInputMessage="1" showErrorMessage="1" errorTitle="Check the date" error="Enter a real date between 2000 and 2100." promptTitle="Use by" prompt="Leave it blank and the workbook estimates one from the shelf life on the Ingredients tab." sqref="K5:K304">
      <formula1>36526</formula1>
      <formula2>73415</formula2>
    </dataValidation>
    <dataValidation type="decimal" allowBlank="1" showInputMessage="1" showErrorMessage="1" errorTitle="Check the value" error="Enter a number between 0 and 100000." promptTitle="Keep at least" prompt="Your re-order level. Below this it is flagged as low stock - the staples list uses it." sqref="Q5:Q304">
      <formula1>0</formula1>
      <formula2>100000</formula2>
    </dataValidation>
    <dataValidation type="list" allowBlank="1" showInputMessage="1" showErrorMessage="1" promptTitle="Staple?" prompt="Things you never want to run out of." sqref="T5:T3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&amp;L&amp;"Calibri,Bold"&amp;12&amp;C&amp;"Calibri,Bold"&amp;11Pantry&amp;R&amp;"Calibri,Italic"&amp;9Automated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E2EFE6"/>
    <pageSetUpPr fitToPage="1"/>
  </sheetPr>
  <dimension ref="A1:S1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39" customWidth="1"/>
    <col min="2" max="2" width="24.7109375" style="32" customWidth="1"/>
    <col min="3" max="3" width="15.7109375" style="17" customWidth="1"/>
    <col min="4" max="4" width="8.7109375" style="17" customWidth="1"/>
    <col min="5" max="5" width="11.7109375" style="38" customWidth="1"/>
    <col min="6" max="6" width="11.7109375" style="45" customWidth="1"/>
    <col min="7" max="7" width="10.7109375" style="45" customWidth="1"/>
    <col min="8" max="8" width="10.7109375" style="38" customWidth="1"/>
    <col min="9" max="9" width="10.7109375" style="45" customWidth="1"/>
    <col min="10" max="10" width="11.7109375" style="19" customWidth="1"/>
    <col min="11" max="11" width="10.7109375" style="45" hidden="1" customWidth="1"/>
    <col min="12" max="12" width="10.7109375" style="25" hidden="1" customWidth="1"/>
    <col min="13" max="13" width="10.7109375" style="45" customWidth="1"/>
    <col min="14" max="14" width="11.7109375" style="25" customWidth="1"/>
    <col min="15" max="15" width="16.7109375" style="17" customWidth="1"/>
    <col min="16" max="16" width="11.7109375" style="40" customWidth="1"/>
    <col min="17" max="17" width="13.7109375" style="31" customWidth="1"/>
    <col min="18" max="18" width="24.7109375" style="31" customWidth="1"/>
    <col min="19" max="19" width="24.7109375" style="43" customWidth="1"/>
    <col min="1" max="1" width="15.7109375" customWidth="1"/>
    <col min="2" max="2" width="12.7109375" customWidth="1"/>
    <col min="3" max="3" width="13.7109375" customWidth="1"/>
    <col min="4" max="4" width="20.7109375" customWidth="1"/>
    <col min="5" max="5" width="26.7109375" customWidth="1"/>
  </cols>
  <sheetData>
    <row r="1" spans="1:19" ht="34" customHeight="1">
      <c r="A1" s="2" t="s">
        <v>1117</v>
      </c>
      <c r="B1" s="2"/>
      <c r="C1" s="2"/>
      <c r="D1" s="2"/>
      <c r="E1" s="2"/>
      <c r="F1" s="2"/>
      <c r="G1" s="2"/>
      <c r="H1" s="2"/>
      <c r="I1" s="2"/>
      <c r="J1" s="2"/>
      <c r="K1" s="2"/>
      <c r="L1" s="2"/>
      <c r="M1" s="2"/>
      <c r="N1" s="2"/>
      <c r="O1" s="2"/>
      <c r="P1" s="2"/>
      <c r="Q1" s="3" t="s">
        <v>1</v>
      </c>
      <c r="R1" s="3"/>
      <c r="S1" s="3"/>
    </row>
    <row r="2" spans="1:19" ht="18" customHeight="1">
      <c r="A2" s="4" t="s">
        <v>1118</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704</v>
      </c>
      <c r="N3" s="5"/>
      <c r="O3" s="5" t="s">
        <v>705</v>
      </c>
      <c r="P3" s="5"/>
      <c r="Q3" s="5" t="s">
        <v>706</v>
      </c>
      <c r="R3" s="5"/>
      <c r="S3" s="28" t="s">
        <v>157</v>
      </c>
    </row>
    <row r="4" spans="1:19" ht="30" customHeight="1">
      <c r="A4" s="8" t="s">
        <v>708</v>
      </c>
      <c r="B4" s="8" t="s">
        <v>1119</v>
      </c>
      <c r="C4" s="9" t="s">
        <v>763</v>
      </c>
      <c r="D4" s="9" t="s">
        <v>664</v>
      </c>
      <c r="E4" s="9" t="s">
        <v>1120</v>
      </c>
      <c r="F4" s="9" t="s">
        <v>1121</v>
      </c>
      <c r="G4" s="9" t="s">
        <v>1122</v>
      </c>
      <c r="H4" s="9" t="s">
        <v>1123</v>
      </c>
      <c r="I4" s="9" t="s">
        <v>1124</v>
      </c>
      <c r="J4" s="9" t="s">
        <v>1125</v>
      </c>
      <c r="K4" s="9" t="s">
        <v>983</v>
      </c>
      <c r="L4" s="9" t="s">
        <v>984</v>
      </c>
      <c r="M4" s="9" t="s">
        <v>1063</v>
      </c>
      <c r="N4" s="9" t="s">
        <v>1126</v>
      </c>
      <c r="O4" s="9" t="s">
        <v>1127</v>
      </c>
      <c r="P4" s="9" t="s">
        <v>1128</v>
      </c>
      <c r="Q4" s="9" t="s">
        <v>728</v>
      </c>
      <c r="R4" s="9" t="s">
        <v>729</v>
      </c>
      <c r="S4" s="9" t="s">
        <v>730</v>
      </c>
    </row>
    <row r="5" spans="1:19">
      <c r="A5" s="39">
        <f>IF(B5="","","STP-"&amp;TEXT(ROW()-4,"000"))</f>
        <v>0</v>
      </c>
      <c r="B5" s="32" t="s">
        <v>923</v>
      </c>
      <c r="C5" s="17">
        <f>IF(B5="","",IFERROR(INDEX(Ingredients!$C$5:$C$304,MATCH(B5,Ingredients!$B$5:$B$304,0)),"Add to Ingredients"))</f>
        <v>0</v>
      </c>
      <c r="D5" s="17">
        <f>IF(B5="","",IFERROR(INDEX(Ingredients!$G$5:$G$304,MATCH(B5,Ingredients!$B$5:$B$304,0)),"Add to Ingredients"))</f>
        <v>0</v>
      </c>
      <c r="E5" s="38">
        <v>1000</v>
      </c>
      <c r="F5" s="45">
        <f>IF(B5="","",IFERROR(INDEX(Ingredients!$AD$5:$AD$304,MATCH(B5,Ingredients!$B$5:$B$304,0)),0))</f>
        <v>0</v>
      </c>
      <c r="G5" s="45">
        <f>IF(OR(E5="",F5=""),"",MAX(0,E5-F5))</f>
        <v>0</v>
      </c>
      <c r="H5" s="38">
        <v>250</v>
      </c>
      <c r="I5" s="45">
        <f>IF(OR(H5="",H5=0,F5=""),"",F5/H5)</f>
        <v>0</v>
      </c>
      <c r="J5" s="19">
        <f>IF(I5="","",TODAY()+ROUND(I5*7,0))</f>
        <v>0</v>
      </c>
      <c r="K5" s="45">
        <f>IF(B5="","",IFERROR(INDEX(Ingredients!$H$5:$H$304,MATCH(B5,Ingredients!$B$5:$B$304,0)),"Add to Ingredients"))</f>
        <v>0</v>
      </c>
      <c r="L5" s="25">
        <f>IF(B5="","",IFERROR(INDEX(Ingredients!$I$5:$I$304,MATCH(B5,Ingredients!$B$5:$B$304,0)),"Add to Ingredients"))</f>
        <v>0</v>
      </c>
      <c r="M5" s="45">
        <f>IF(OR(G5="",G5=0,K5="",NOT(ISNUMBER(K5)),K5=0),"",ROUNDUP(G5/K5,0))</f>
        <v>0</v>
      </c>
      <c r="N5" s="25">
        <f>IF(OR(M5="",L5="",NOT(ISNUMBER(L5))),"",M5*L5)</f>
        <v>0</v>
      </c>
      <c r="O5" s="17">
        <f>IF(B5="","",IFERROR(INDEX(Ingredients!$E$5:$E$304,MATCH(B5,Ingredients!$B$5:$B$304,0)),"Add to Ingredients"))</f>
        <v>0</v>
      </c>
      <c r="P5" s="40" t="s">
        <v>311</v>
      </c>
      <c r="Q5" s="31">
        <f>IF(B5="","",IF(F5=0,"Out of stock",IF(AND(E5&lt;&gt;"",F5&lt;E5),"Low stock","In stock")))</f>
        <v>0</v>
      </c>
      <c r="R5" s="31">
        <f>IF(B5="","",IF(Q5="Out of stock","Missing - add it to the list",IF(AND(I5&lt;&gt;"",I5&lt;1),"Due - less than a week left",IF(Q5="Low stock","Check - below your par level","OK"))))</f>
        <v>0</v>
      </c>
      <c r="S5" s="43" t="s">
        <v>157</v>
      </c>
    </row>
    <row r="6" spans="1:19">
      <c r="A6" s="39">
        <f>IF(B6="","","STP-"&amp;TEXT(ROW()-4,"000"))</f>
        <v>0</v>
      </c>
      <c r="B6" s="32" t="s">
        <v>906</v>
      </c>
      <c r="C6" s="17">
        <f>IF(B6="","",IFERROR(INDEX(Ingredients!$C$5:$C$304,MATCH(B6,Ingredients!$B$5:$B$304,0)),"Add to Ingredients"))</f>
        <v>0</v>
      </c>
      <c r="D6" s="17">
        <f>IF(B6="","",IFERROR(INDEX(Ingredients!$G$5:$G$304,MATCH(B6,Ingredients!$B$5:$B$304,0)),"Add to Ingredients"))</f>
        <v>0</v>
      </c>
      <c r="E6" s="38">
        <v>1000</v>
      </c>
      <c r="F6" s="45">
        <f>IF(B6="","",IFERROR(INDEX(Ingredients!$AD$5:$AD$304,MATCH(B6,Ingredients!$B$5:$B$304,0)),0))</f>
        <v>0</v>
      </c>
      <c r="G6" s="45">
        <f>IF(OR(E6="",F6=""),"",MAX(0,E6-F6))</f>
        <v>0</v>
      </c>
      <c r="H6" s="38">
        <v>400</v>
      </c>
      <c r="I6" s="45">
        <f>IF(OR(H6="",H6=0,F6=""),"",F6/H6)</f>
        <v>0</v>
      </c>
      <c r="J6" s="19">
        <f>IF(I6="","",TODAY()+ROUND(I6*7,0))</f>
        <v>0</v>
      </c>
      <c r="K6" s="45">
        <f>IF(B6="","",IFERROR(INDEX(Ingredients!$H$5:$H$304,MATCH(B6,Ingredients!$B$5:$B$304,0)),"Add to Ingredients"))</f>
        <v>0</v>
      </c>
      <c r="L6" s="25">
        <f>IF(B6="","",IFERROR(INDEX(Ingredients!$I$5:$I$304,MATCH(B6,Ingredients!$B$5:$B$304,0)),"Add to Ingredients"))</f>
        <v>0</v>
      </c>
      <c r="M6" s="45">
        <f>IF(OR(G6="",G6=0,K6="",NOT(ISNUMBER(K6)),K6=0),"",ROUNDUP(G6/K6,0))</f>
        <v>0</v>
      </c>
      <c r="N6" s="25">
        <f>IF(OR(M6="",L6="",NOT(ISNUMBER(L6))),"",M6*L6)</f>
        <v>0</v>
      </c>
      <c r="O6" s="17">
        <f>IF(B6="","",IFERROR(INDEX(Ingredients!$E$5:$E$304,MATCH(B6,Ingredients!$B$5:$B$304,0)),"Add to Ingredients"))</f>
        <v>0</v>
      </c>
      <c r="P6" s="40" t="s">
        <v>311</v>
      </c>
      <c r="Q6" s="31">
        <f>IF(B6="","",IF(F6=0,"Out of stock",IF(AND(E6&lt;&gt;"",F6&lt;E6),"Low stock","In stock")))</f>
        <v>0</v>
      </c>
      <c r="R6" s="31">
        <f>IF(B6="","",IF(Q6="Out of stock","Missing - add it to the list",IF(AND(I6&lt;&gt;"",I6&lt;1),"Due - less than a week left",IF(Q6="Low stock","Check - below your par level","OK"))))</f>
        <v>0</v>
      </c>
      <c r="S6" s="43" t="s">
        <v>157</v>
      </c>
    </row>
    <row r="7" spans="1:19">
      <c r="A7" s="39">
        <f>IF(B7="","","STP-"&amp;TEXT(ROW()-4,"000"))</f>
        <v>0</v>
      </c>
      <c r="B7" s="32" t="s">
        <v>905</v>
      </c>
      <c r="C7" s="17">
        <f>IF(B7="","",IFERROR(INDEX(Ingredients!$C$5:$C$304,MATCH(B7,Ingredients!$B$5:$B$304,0)),"Add to Ingredients"))</f>
        <v>0</v>
      </c>
      <c r="D7" s="17">
        <f>IF(B7="","",IFERROR(INDEX(Ingredients!$G$5:$G$304,MATCH(B7,Ingredients!$B$5:$B$304,0)),"Add to Ingredients"))</f>
        <v>0</v>
      </c>
      <c r="E7" s="38">
        <v>1600</v>
      </c>
      <c r="F7" s="45">
        <f>IF(B7="","",IFERROR(INDEX(Ingredients!$AD$5:$AD$304,MATCH(B7,Ingredients!$B$5:$B$304,0)),0))</f>
        <v>0</v>
      </c>
      <c r="G7" s="45">
        <f>IF(OR(E7="",F7=""),"",MAX(0,E7-F7))</f>
        <v>0</v>
      </c>
      <c r="H7" s="38">
        <v>400</v>
      </c>
      <c r="I7" s="45">
        <f>IF(OR(H7="",H7=0,F7=""),"",F7/H7)</f>
        <v>0</v>
      </c>
      <c r="J7" s="19">
        <f>IF(I7="","",TODAY()+ROUND(I7*7,0))</f>
        <v>0</v>
      </c>
      <c r="K7" s="45">
        <f>IF(B7="","",IFERROR(INDEX(Ingredients!$H$5:$H$304,MATCH(B7,Ingredients!$B$5:$B$304,0)),"Add to Ingredients"))</f>
        <v>0</v>
      </c>
      <c r="L7" s="25">
        <f>IF(B7="","",IFERROR(INDEX(Ingredients!$I$5:$I$304,MATCH(B7,Ingredients!$B$5:$B$304,0)),"Add to Ingredients"))</f>
        <v>0</v>
      </c>
      <c r="M7" s="45">
        <f>IF(OR(G7="",G7=0,K7="",NOT(ISNUMBER(K7)),K7=0),"",ROUNDUP(G7/K7,0))</f>
        <v>0</v>
      </c>
      <c r="N7" s="25">
        <f>IF(OR(M7="",L7="",NOT(ISNUMBER(L7))),"",M7*L7)</f>
        <v>0</v>
      </c>
      <c r="O7" s="17">
        <f>IF(B7="","",IFERROR(INDEX(Ingredients!$E$5:$E$304,MATCH(B7,Ingredients!$B$5:$B$304,0)),"Add to Ingredients"))</f>
        <v>0</v>
      </c>
      <c r="P7" s="40" t="s">
        <v>311</v>
      </c>
      <c r="Q7" s="31">
        <f>IF(B7="","",IF(F7=0,"Out of stock",IF(AND(E7&lt;&gt;"",F7&lt;E7),"Low stock","In stock")))</f>
        <v>0</v>
      </c>
      <c r="R7" s="31">
        <f>IF(B7="","",IF(Q7="Out of stock","Missing - add it to the list",IF(AND(I7&lt;&gt;"",I7&lt;1),"Due - less than a week left",IF(Q7="Low stock","Check - below your par level","OK"))))</f>
        <v>0</v>
      </c>
      <c r="S7" s="43" t="s">
        <v>157</v>
      </c>
    </row>
    <row r="8" spans="1:19">
      <c r="A8" s="39">
        <f>IF(B8="","","STP-"&amp;TEXT(ROW()-4,"000"))</f>
        <v>0</v>
      </c>
      <c r="B8" s="32" t="s">
        <v>896</v>
      </c>
      <c r="C8" s="17">
        <f>IF(B8="","",IFERROR(INDEX(Ingredients!$C$5:$C$304,MATCH(B8,Ingredients!$B$5:$B$304,0)),"Add to Ingredients"))</f>
        <v>0</v>
      </c>
      <c r="D8" s="17">
        <f>IF(B8="","",IFERROR(INDEX(Ingredients!$G$5:$G$304,MATCH(B8,Ingredients!$B$5:$B$304,0)),"Add to Ingredients"))</f>
        <v>0</v>
      </c>
      <c r="E8" s="38">
        <v>500</v>
      </c>
      <c r="F8" s="45">
        <f>IF(B8="","",IFERROR(INDEX(Ingredients!$AD$5:$AD$304,MATCH(B8,Ingredients!$B$5:$B$304,0)),0))</f>
        <v>0</v>
      </c>
      <c r="G8" s="45">
        <f>IF(OR(E8="",F8=""),"",MAX(0,E8-F8))</f>
        <v>0</v>
      </c>
      <c r="H8" s="38">
        <v>120</v>
      </c>
      <c r="I8" s="45">
        <f>IF(OR(H8="",H8=0,F8=""),"",F8/H8)</f>
        <v>0</v>
      </c>
      <c r="J8" s="19">
        <f>IF(I8="","",TODAY()+ROUND(I8*7,0))</f>
        <v>0</v>
      </c>
      <c r="K8" s="45">
        <f>IF(B8="","",IFERROR(INDEX(Ingredients!$H$5:$H$304,MATCH(B8,Ingredients!$B$5:$B$304,0)),"Add to Ingredients"))</f>
        <v>0</v>
      </c>
      <c r="L8" s="25">
        <f>IF(B8="","",IFERROR(INDEX(Ingredients!$I$5:$I$304,MATCH(B8,Ingredients!$B$5:$B$304,0)),"Add to Ingredients"))</f>
        <v>0</v>
      </c>
      <c r="M8" s="45">
        <f>IF(OR(G8="",G8=0,K8="",NOT(ISNUMBER(K8)),K8=0),"",ROUNDUP(G8/K8,0))</f>
        <v>0</v>
      </c>
      <c r="N8" s="25">
        <f>IF(OR(M8="",L8="",NOT(ISNUMBER(L8))),"",M8*L8)</f>
        <v>0</v>
      </c>
      <c r="O8" s="17">
        <f>IF(B8="","",IFERROR(INDEX(Ingredients!$E$5:$E$304,MATCH(B8,Ingredients!$B$5:$B$304,0)),"Add to Ingredients"))</f>
        <v>0</v>
      </c>
      <c r="P8" s="40" t="s">
        <v>312</v>
      </c>
      <c r="Q8" s="31">
        <f>IF(B8="","",IF(F8=0,"Out of stock",IF(AND(E8&lt;&gt;"",F8&lt;E8),"Low stock","In stock")))</f>
        <v>0</v>
      </c>
      <c r="R8" s="31">
        <f>IF(B8="","",IF(Q8="Out of stock","Missing - add it to the list",IF(AND(I8&lt;&gt;"",I8&lt;1),"Due - less than a week left",IF(Q8="Low stock","Check - below your par level","OK"))))</f>
        <v>0</v>
      </c>
      <c r="S8" s="43" t="s">
        <v>157</v>
      </c>
    </row>
    <row r="9" spans="1:19">
      <c r="A9" s="39">
        <f>IF(B9="","","STP-"&amp;TEXT(ROW()-4,"000"))</f>
        <v>0</v>
      </c>
      <c r="B9" s="32" t="s">
        <v>936</v>
      </c>
      <c r="C9" s="17">
        <f>IF(B9="","",IFERROR(INDEX(Ingredients!$C$5:$C$304,MATCH(B9,Ingredients!$B$5:$B$304,0)),"Add to Ingredients"))</f>
        <v>0</v>
      </c>
      <c r="D9" s="17">
        <f>IF(B9="","",IFERROR(INDEX(Ingredients!$G$5:$G$304,MATCH(B9,Ingredients!$B$5:$B$304,0)),"Add to Ingredients"))</f>
        <v>0</v>
      </c>
      <c r="E9" s="38">
        <v>10</v>
      </c>
      <c r="F9" s="45">
        <f>IF(B9="","",IFERROR(INDEX(Ingredients!$AD$5:$AD$304,MATCH(B9,Ingredients!$B$5:$B$304,0)),0))</f>
        <v>0</v>
      </c>
      <c r="G9" s="45">
        <f>IF(OR(E9="",F9=""),"",MAX(0,E9-F9))</f>
        <v>0</v>
      </c>
      <c r="H9" s="38">
        <v>3</v>
      </c>
      <c r="I9" s="45">
        <f>IF(OR(H9="",H9=0,F9=""),"",F9/H9)</f>
        <v>0</v>
      </c>
      <c r="J9" s="19">
        <f>IF(I9="","",TODAY()+ROUND(I9*7,0))</f>
        <v>0</v>
      </c>
      <c r="K9" s="45">
        <f>IF(B9="","",IFERROR(INDEX(Ingredients!$H$5:$H$304,MATCH(B9,Ingredients!$B$5:$B$304,0)),"Add to Ingredients"))</f>
        <v>0</v>
      </c>
      <c r="L9" s="25">
        <f>IF(B9="","",IFERROR(INDEX(Ingredients!$I$5:$I$304,MATCH(B9,Ingredients!$B$5:$B$304,0)),"Add to Ingredients"))</f>
        <v>0</v>
      </c>
      <c r="M9" s="45">
        <f>IF(OR(G9="",G9=0,K9="",NOT(ISNUMBER(K9)),K9=0),"",ROUNDUP(G9/K9,0))</f>
        <v>0</v>
      </c>
      <c r="N9" s="25">
        <f>IF(OR(M9="",L9="",NOT(ISNUMBER(L9))),"",M9*L9)</f>
        <v>0</v>
      </c>
      <c r="O9" s="17">
        <f>IF(B9="","",IFERROR(INDEX(Ingredients!$E$5:$E$304,MATCH(B9,Ingredients!$B$5:$B$304,0)),"Add to Ingredients"))</f>
        <v>0</v>
      </c>
      <c r="P9" s="40" t="s">
        <v>312</v>
      </c>
      <c r="Q9" s="31">
        <f>IF(B9="","",IF(F9=0,"Out of stock",IF(AND(E9&lt;&gt;"",F9&lt;E9),"Low stock","In stock")))</f>
        <v>0</v>
      </c>
      <c r="R9" s="31">
        <f>IF(B9="","",IF(Q9="Out of stock","Missing - add it to the list",IF(AND(I9&lt;&gt;"",I9&lt;1),"Due - less than a week left",IF(Q9="Low stock","Check - below your par level","OK"))))</f>
        <v>0</v>
      </c>
      <c r="S9" s="43" t="s">
        <v>157</v>
      </c>
    </row>
    <row r="10" spans="1:19">
      <c r="A10" s="39">
        <f>IF(B10="","","STP-"&amp;TEXT(ROW()-4,"000"))</f>
        <v>0</v>
      </c>
      <c r="B10" s="32" t="s">
        <v>951</v>
      </c>
      <c r="C10" s="17">
        <f>IF(B10="","",IFERROR(INDEX(Ingredients!$C$5:$C$304,MATCH(B10,Ingredients!$B$5:$B$304,0)),"Add to Ingredients"))</f>
        <v>0</v>
      </c>
      <c r="D10" s="17">
        <f>IF(B10="","",IFERROR(INDEX(Ingredients!$G$5:$G$304,MATCH(B10,Ingredients!$B$5:$B$304,0)),"Add to Ingredients"))</f>
        <v>0</v>
      </c>
      <c r="E10" s="38">
        <v>1000</v>
      </c>
      <c r="F10" s="45">
        <f>IF(B10="","",IFERROR(INDEX(Ingredients!$AD$5:$AD$304,MATCH(B10,Ingredients!$B$5:$B$304,0)),0))</f>
        <v>0</v>
      </c>
      <c r="G10" s="45">
        <f>IF(OR(E10="",F10=""),"",MAX(0,E10-F10))</f>
        <v>0</v>
      </c>
      <c r="H10" s="38">
        <v>150</v>
      </c>
      <c r="I10" s="45">
        <f>IF(OR(H10="",H10=0,F10=""),"",F10/H10)</f>
        <v>0</v>
      </c>
      <c r="J10" s="19">
        <f>IF(I10="","",TODAY()+ROUND(I10*7,0))</f>
        <v>0</v>
      </c>
      <c r="K10" s="45">
        <f>IF(B10="","",IFERROR(INDEX(Ingredients!$H$5:$H$304,MATCH(B10,Ingredients!$B$5:$B$304,0)),"Add to Ingredients"))</f>
        <v>0</v>
      </c>
      <c r="L10" s="25">
        <f>IF(B10="","",IFERROR(INDEX(Ingredients!$I$5:$I$304,MATCH(B10,Ingredients!$B$5:$B$304,0)),"Add to Ingredients"))</f>
        <v>0</v>
      </c>
      <c r="M10" s="45">
        <f>IF(OR(G10="",G10=0,K10="",NOT(ISNUMBER(K10)),K10=0),"",ROUNDUP(G10/K10,0))</f>
        <v>0</v>
      </c>
      <c r="N10" s="25">
        <f>IF(OR(M10="",L10="",NOT(ISNUMBER(L10))),"",M10*L10)</f>
        <v>0</v>
      </c>
      <c r="O10" s="17">
        <f>IF(B10="","",IFERROR(INDEX(Ingredients!$E$5:$E$304,MATCH(B10,Ingredients!$B$5:$B$304,0)),"Add to Ingredients"))</f>
        <v>0</v>
      </c>
      <c r="P10" s="40" t="s">
        <v>311</v>
      </c>
      <c r="Q10" s="31">
        <f>IF(B10="","",IF(F10=0,"Out of stock",IF(AND(E10&lt;&gt;"",F10&lt;E10),"Low stock","In stock")))</f>
        <v>0</v>
      </c>
      <c r="R10" s="31">
        <f>IF(B10="","",IF(Q10="Out of stock","Missing - add it to the list",IF(AND(I10&lt;&gt;"",I10&lt;1),"Due - less than a week left",IF(Q10="Low stock","Check - below your par level","OK"))))</f>
        <v>0</v>
      </c>
      <c r="S10" s="43" t="s">
        <v>157</v>
      </c>
    </row>
    <row r="11" spans="1:19">
      <c r="A11" s="39">
        <f>IF(B11="","","STP-"&amp;TEXT(ROW()-4,"000"))</f>
        <v>0</v>
      </c>
      <c r="B11" s="32" t="s">
        <v>943</v>
      </c>
      <c r="C11" s="17">
        <f>IF(B11="","",IFERROR(INDEX(Ingredients!$C$5:$C$304,MATCH(B11,Ingredients!$B$5:$B$304,0)),"Add to Ingredients"))</f>
        <v>0</v>
      </c>
      <c r="D11" s="17">
        <f>IF(B11="","",IFERROR(INDEX(Ingredients!$G$5:$G$304,MATCH(B11,Ingredients!$B$5:$B$304,0)),"Add to Ingredients"))</f>
        <v>0</v>
      </c>
      <c r="E11" s="38">
        <v>1000</v>
      </c>
      <c r="F11" s="45">
        <f>IF(B11="","",IFERROR(INDEX(Ingredients!$AD$5:$AD$304,MATCH(B11,Ingredients!$B$5:$B$304,0)),0))</f>
        <v>0</v>
      </c>
      <c r="G11" s="45">
        <f>IF(OR(E11="",F11=""),"",MAX(0,E11-F11))</f>
        <v>0</v>
      </c>
      <c r="H11" s="38">
        <v>350</v>
      </c>
      <c r="I11" s="45">
        <f>IF(OR(H11="",H11=0,F11=""),"",F11/H11)</f>
        <v>0</v>
      </c>
      <c r="J11" s="19">
        <f>IF(I11="","",TODAY()+ROUND(I11*7,0))</f>
        <v>0</v>
      </c>
      <c r="K11" s="45">
        <f>IF(B11="","",IFERROR(INDEX(Ingredients!$H$5:$H$304,MATCH(B11,Ingredients!$B$5:$B$304,0)),"Add to Ingredients"))</f>
        <v>0</v>
      </c>
      <c r="L11" s="25">
        <f>IF(B11="","",IFERROR(INDEX(Ingredients!$I$5:$I$304,MATCH(B11,Ingredients!$B$5:$B$304,0)),"Add to Ingredients"))</f>
        <v>0</v>
      </c>
      <c r="M11" s="45">
        <f>IF(OR(G11="",G11=0,K11="",NOT(ISNUMBER(K11)),K11=0),"",ROUNDUP(G11/K11,0))</f>
        <v>0</v>
      </c>
      <c r="N11" s="25">
        <f>IF(OR(M11="",L11="",NOT(ISNUMBER(L11))),"",M11*L11)</f>
        <v>0</v>
      </c>
      <c r="O11" s="17">
        <f>IF(B11="","",IFERROR(INDEX(Ingredients!$E$5:$E$304,MATCH(B11,Ingredients!$B$5:$B$304,0)),"Add to Ingredients"))</f>
        <v>0</v>
      </c>
      <c r="P11" s="40" t="s">
        <v>311</v>
      </c>
      <c r="Q11" s="31">
        <f>IF(B11="","",IF(F11=0,"Out of stock",IF(AND(E11&lt;&gt;"",F11&lt;E11),"Low stock","In stock")))</f>
        <v>0</v>
      </c>
      <c r="R11" s="31">
        <f>IF(B11="","",IF(Q11="Out of stock","Missing - add it to the list",IF(AND(I11&lt;&gt;"",I11&lt;1),"Due - less than a week left",IF(Q11="Low stock","Check - below your par level","OK"))))</f>
        <v>0</v>
      </c>
      <c r="S11" s="43" t="s">
        <v>157</v>
      </c>
    </row>
    <row r="12" spans="1:19">
      <c r="A12" s="39">
        <f>IF(B12="","","STP-"&amp;TEXT(ROW()-4,"000"))</f>
        <v>0</v>
      </c>
      <c r="B12" s="32" t="s">
        <v>404</v>
      </c>
      <c r="C12" s="17">
        <f>IF(B12="","",IFERROR(INDEX(Ingredients!$C$5:$C$304,MATCH(B12,Ingredients!$B$5:$B$304,0)),"Add to Ingredients"))</f>
        <v>0</v>
      </c>
      <c r="D12" s="17">
        <f>IF(B12="","",IFERROR(INDEX(Ingredients!$G$5:$G$304,MATCH(B12,Ingredients!$B$5:$B$304,0)),"Add to Ingredients"))</f>
        <v>0</v>
      </c>
      <c r="E12" s="38">
        <v>2000</v>
      </c>
      <c r="F12" s="45">
        <f>IF(B12="","",IFERROR(INDEX(Ingredients!$AD$5:$AD$304,MATCH(B12,Ingredients!$B$5:$B$304,0)),0))</f>
        <v>0</v>
      </c>
      <c r="G12" s="45">
        <f>IF(OR(E12="",F12=""),"",MAX(0,E12-F12))</f>
        <v>0</v>
      </c>
      <c r="H12" s="38">
        <v>1800</v>
      </c>
      <c r="I12" s="45">
        <f>IF(OR(H12="",H12=0,F12=""),"",F12/H12)</f>
        <v>0</v>
      </c>
      <c r="J12" s="19">
        <f>IF(I12="","",TODAY()+ROUND(I12*7,0))</f>
        <v>0</v>
      </c>
      <c r="K12" s="45">
        <f>IF(B12="","",IFERROR(INDEX(Ingredients!$H$5:$H$304,MATCH(B12,Ingredients!$B$5:$B$304,0)),"Add to Ingredients"))</f>
        <v>0</v>
      </c>
      <c r="L12" s="25">
        <f>IF(B12="","",IFERROR(INDEX(Ingredients!$I$5:$I$304,MATCH(B12,Ingredients!$B$5:$B$304,0)),"Add to Ingredients"))</f>
        <v>0</v>
      </c>
      <c r="M12" s="45">
        <f>IF(OR(G12="",G12=0,K12="",NOT(ISNUMBER(K12)),K12=0),"",ROUNDUP(G12/K12,0))</f>
        <v>0</v>
      </c>
      <c r="N12" s="25">
        <f>IF(OR(M12="",L12="",NOT(ISNUMBER(L12))),"",M12*L12)</f>
        <v>0</v>
      </c>
      <c r="O12" s="17">
        <f>IF(B12="","",IFERROR(INDEX(Ingredients!$E$5:$E$304,MATCH(B12,Ingredients!$B$5:$B$304,0)),"Add to Ingredients"))</f>
        <v>0</v>
      </c>
      <c r="P12" s="40" t="s">
        <v>311</v>
      </c>
      <c r="Q12" s="31">
        <f>IF(B12="","",IF(F12=0,"Out of stock",IF(AND(E12&lt;&gt;"",F12&lt;E12),"Low stock","In stock")))</f>
        <v>0</v>
      </c>
      <c r="R12" s="31">
        <f>IF(B12="","",IF(Q12="Out of stock","Missing - add it to the list",IF(AND(I12&lt;&gt;"",I12&lt;1),"Due - less than a week left",IF(Q12="Low stock","Check - below your par level","OK"))))</f>
        <v>0</v>
      </c>
      <c r="S12" s="43" t="s">
        <v>157</v>
      </c>
    </row>
    <row r="13" spans="1:19">
      <c r="A13" s="39">
        <f>IF(B13="","","STP-"&amp;TEXT(ROW()-4,"000"))</f>
        <v>0</v>
      </c>
      <c r="B13" s="32" t="s">
        <v>937</v>
      </c>
      <c r="C13" s="17">
        <f>IF(B13="","",IFERROR(INDEX(Ingredients!$C$5:$C$304,MATCH(B13,Ingredients!$B$5:$B$304,0)),"Add to Ingredients"))</f>
        <v>0</v>
      </c>
      <c r="D13" s="17">
        <f>IF(B13="","",IFERROR(INDEX(Ingredients!$G$5:$G$304,MATCH(B13,Ingredients!$B$5:$B$304,0)),"Add to Ingredients"))</f>
        <v>0</v>
      </c>
      <c r="E13" s="38">
        <v>250</v>
      </c>
      <c r="F13" s="45">
        <f>IF(B13="","",IFERROR(INDEX(Ingredients!$AD$5:$AD$304,MATCH(B13,Ingredients!$B$5:$B$304,0)),0))</f>
        <v>0</v>
      </c>
      <c r="G13" s="45">
        <f>IF(OR(E13="",F13=""),"",MAX(0,E13-F13))</f>
        <v>0</v>
      </c>
      <c r="H13" s="38">
        <v>80</v>
      </c>
      <c r="I13" s="45">
        <f>IF(OR(H13="",H13=0,F13=""),"",F13/H13)</f>
        <v>0</v>
      </c>
      <c r="J13" s="19">
        <f>IF(I13="","",TODAY()+ROUND(I13*7,0))</f>
        <v>0</v>
      </c>
      <c r="K13" s="45">
        <f>IF(B13="","",IFERROR(INDEX(Ingredients!$H$5:$H$304,MATCH(B13,Ingredients!$B$5:$B$304,0)),"Add to Ingredients"))</f>
        <v>0</v>
      </c>
      <c r="L13" s="25">
        <f>IF(B13="","",IFERROR(INDEX(Ingredients!$I$5:$I$304,MATCH(B13,Ingredients!$B$5:$B$304,0)),"Add to Ingredients"))</f>
        <v>0</v>
      </c>
      <c r="M13" s="45">
        <f>IF(OR(G13="",G13=0,K13="",NOT(ISNUMBER(K13)),K13=0),"",ROUNDUP(G13/K13,0))</f>
        <v>0</v>
      </c>
      <c r="N13" s="25">
        <f>IF(OR(M13="",L13="",NOT(ISNUMBER(L13))),"",M13*L13)</f>
        <v>0</v>
      </c>
      <c r="O13" s="17">
        <f>IF(B13="","",IFERROR(INDEX(Ingredients!$E$5:$E$304,MATCH(B13,Ingredients!$B$5:$B$304,0)),"Add to Ingredients"))</f>
        <v>0</v>
      </c>
      <c r="P13" s="40" t="s">
        <v>312</v>
      </c>
      <c r="Q13" s="31">
        <f>IF(B13="","",IF(F13=0,"Out of stock",IF(AND(E13&lt;&gt;"",F13&lt;E13),"Low stock","In stock")))</f>
        <v>0</v>
      </c>
      <c r="R13" s="31">
        <f>IF(B13="","",IF(Q13="Out of stock","Missing - add it to the list",IF(AND(I13&lt;&gt;"",I13&lt;1),"Due - less than a week left",IF(Q13="Low stock","Check - below your par level","OK"))))</f>
        <v>0</v>
      </c>
      <c r="S13" s="43" t="s">
        <v>157</v>
      </c>
    </row>
    <row r="14" spans="1:19">
      <c r="A14" s="39">
        <f>IF(B14="","","STP-"&amp;TEXT(ROW()-4,"000"))</f>
        <v>0</v>
      </c>
      <c r="B14" s="32" t="s">
        <v>401</v>
      </c>
      <c r="C14" s="17">
        <f>IF(B14="","",IFERROR(INDEX(Ingredients!$C$5:$C$304,MATCH(B14,Ingredients!$B$5:$B$304,0)),"Add to Ingredients"))</f>
        <v>0</v>
      </c>
      <c r="D14" s="17">
        <f>IF(B14="","",IFERROR(INDEX(Ingredients!$G$5:$G$304,MATCH(B14,Ingredients!$B$5:$B$304,0)),"Add to Ingredients"))</f>
        <v>0</v>
      </c>
      <c r="E14" s="38">
        <v>12</v>
      </c>
      <c r="F14" s="45">
        <f>IF(B14="","",IFERROR(INDEX(Ingredients!$AD$5:$AD$304,MATCH(B14,Ingredients!$B$5:$B$304,0)),0))</f>
        <v>0</v>
      </c>
      <c r="G14" s="45">
        <f>IF(OR(E14="",F14=""),"",MAX(0,E14-F14))</f>
        <v>0</v>
      </c>
      <c r="H14" s="38">
        <v>8</v>
      </c>
      <c r="I14" s="45">
        <f>IF(OR(H14="",H14=0,F14=""),"",F14/H14)</f>
        <v>0</v>
      </c>
      <c r="J14" s="19">
        <f>IF(I14="","",TODAY()+ROUND(I14*7,0))</f>
        <v>0</v>
      </c>
      <c r="K14" s="45">
        <f>IF(B14="","",IFERROR(INDEX(Ingredients!$H$5:$H$304,MATCH(B14,Ingredients!$B$5:$B$304,0)),"Add to Ingredients"))</f>
        <v>0</v>
      </c>
      <c r="L14" s="25">
        <f>IF(B14="","",IFERROR(INDEX(Ingredients!$I$5:$I$304,MATCH(B14,Ingredients!$B$5:$B$304,0)),"Add to Ingredients"))</f>
        <v>0</v>
      </c>
      <c r="M14" s="45">
        <f>IF(OR(G14="",G14=0,K14="",NOT(ISNUMBER(K14)),K14=0),"",ROUNDUP(G14/K14,0))</f>
        <v>0</v>
      </c>
      <c r="N14" s="25">
        <f>IF(OR(M14="",L14="",NOT(ISNUMBER(L14))),"",M14*L14)</f>
        <v>0</v>
      </c>
      <c r="O14" s="17">
        <f>IF(B14="","",IFERROR(INDEX(Ingredients!$E$5:$E$304,MATCH(B14,Ingredients!$B$5:$B$304,0)),"Add to Ingredients"))</f>
        <v>0</v>
      </c>
      <c r="P14" s="40" t="s">
        <v>312</v>
      </c>
      <c r="Q14" s="31">
        <f>IF(B14="","",IF(F14=0,"Out of stock",IF(AND(E14&lt;&gt;"",F14&lt;E14),"Low stock","In stock")))</f>
        <v>0</v>
      </c>
      <c r="R14" s="31">
        <f>IF(B14="","",IF(Q14="Out of stock","Missing - add it to the list",IF(AND(I14&lt;&gt;"",I14&lt;1),"Due - less than a week left",IF(Q14="Low stock","Check - below your par level","OK"))))</f>
        <v>0</v>
      </c>
      <c r="S14" s="43" t="s">
        <v>157</v>
      </c>
    </row>
    <row r="15" spans="1:19">
      <c r="A15" s="39">
        <f>IF(B15="","","STP-"&amp;TEXT(ROW()-4,"000"))</f>
        <v>0</v>
      </c>
      <c r="B15" s="32" t="s">
        <v>921</v>
      </c>
      <c r="C15" s="17">
        <f>IF(B15="","",IFERROR(INDEX(Ingredients!$C$5:$C$304,MATCH(B15,Ingredients!$B$5:$B$304,0)),"Add to Ingredients"))</f>
        <v>0</v>
      </c>
      <c r="D15" s="17">
        <f>IF(B15="","",IFERROR(INDEX(Ingredients!$G$5:$G$304,MATCH(B15,Ingredients!$B$5:$B$304,0)),"Add to Ingredients"))</f>
        <v>0</v>
      </c>
      <c r="E15" s="38">
        <v>1200</v>
      </c>
      <c r="F15" s="45">
        <f>IF(B15="","",IFERROR(INDEX(Ingredients!$AD$5:$AD$304,MATCH(B15,Ingredients!$B$5:$B$304,0)),0))</f>
        <v>0</v>
      </c>
      <c r="G15" s="45">
        <f>IF(OR(E15="",F15=""),"",MAX(0,E15-F15))</f>
        <v>0</v>
      </c>
      <c r="H15" s="38">
        <v>300</v>
      </c>
      <c r="I15" s="45">
        <f>IF(OR(H15="",H15=0,F15=""),"",F15/H15)</f>
        <v>0</v>
      </c>
      <c r="J15" s="19">
        <f>IF(I15="","",TODAY()+ROUND(I15*7,0))</f>
        <v>0</v>
      </c>
      <c r="K15" s="45">
        <f>IF(B15="","",IFERROR(INDEX(Ingredients!$H$5:$H$304,MATCH(B15,Ingredients!$B$5:$B$304,0)),"Add to Ingredients"))</f>
        <v>0</v>
      </c>
      <c r="L15" s="25">
        <f>IF(B15="","",IFERROR(INDEX(Ingredients!$I$5:$I$304,MATCH(B15,Ingredients!$B$5:$B$304,0)),"Add to Ingredients"))</f>
        <v>0</v>
      </c>
      <c r="M15" s="45">
        <f>IF(OR(G15="",G15=0,K15="",NOT(ISNUMBER(K15)),K15=0),"",ROUNDUP(G15/K15,0))</f>
        <v>0</v>
      </c>
      <c r="N15" s="25">
        <f>IF(OR(M15="",L15="",NOT(ISNUMBER(L15))),"",M15*L15)</f>
        <v>0</v>
      </c>
      <c r="O15" s="17">
        <f>IF(B15="","",IFERROR(INDEX(Ingredients!$E$5:$E$304,MATCH(B15,Ingredients!$B$5:$B$304,0)),"Add to Ingredients"))</f>
        <v>0</v>
      </c>
      <c r="P15" s="40" t="s">
        <v>311</v>
      </c>
      <c r="Q15" s="31">
        <f>IF(B15="","",IF(F15=0,"Out of stock",IF(AND(E15&lt;&gt;"",F15&lt;E15),"Low stock","In stock")))</f>
        <v>0</v>
      </c>
      <c r="R15" s="31">
        <f>IF(B15="","",IF(Q15="Out of stock","Missing - add it to the list",IF(AND(I15&lt;&gt;"",I15&lt;1),"Due - less than a week left",IF(Q15="Low stock","Check - below your par level","OK"))))</f>
        <v>0</v>
      </c>
      <c r="S15" s="43" t="s">
        <v>157</v>
      </c>
    </row>
    <row r="16" spans="1:19">
      <c r="A16" s="39">
        <f>IF(B16="","","STP-"&amp;TEXT(ROW()-4,"000"))</f>
        <v>0</v>
      </c>
      <c r="B16" s="32" t="s">
        <v>909</v>
      </c>
      <c r="C16" s="17">
        <f>IF(B16="","",IFERROR(INDEX(Ingredients!$C$5:$C$304,MATCH(B16,Ingredients!$B$5:$B$304,0)),"Add to Ingredients"))</f>
        <v>0</v>
      </c>
      <c r="D16" s="17">
        <f>IF(B16="","",IFERROR(INDEX(Ingredients!$G$5:$G$304,MATCH(B16,Ingredients!$B$5:$B$304,0)),"Add to Ingredients"))</f>
        <v>0</v>
      </c>
      <c r="E16" s="38">
        <v>500</v>
      </c>
      <c r="F16" s="45">
        <f>IF(B16="","",IFERROR(INDEX(Ingredients!$AD$5:$AD$304,MATCH(B16,Ingredients!$B$5:$B$304,0)),0))</f>
        <v>0</v>
      </c>
      <c r="G16" s="45">
        <f>IF(OR(E16="",F16=""),"",MAX(0,E16-F16))</f>
        <v>0</v>
      </c>
      <c r="H16" s="38">
        <v>150</v>
      </c>
      <c r="I16" s="45">
        <f>IF(OR(H16="",H16=0,F16=""),"",F16/H16)</f>
        <v>0</v>
      </c>
      <c r="J16" s="19">
        <f>IF(I16="","",TODAY()+ROUND(I16*7,0))</f>
        <v>0</v>
      </c>
      <c r="K16" s="45">
        <f>IF(B16="","",IFERROR(INDEX(Ingredients!$H$5:$H$304,MATCH(B16,Ingredients!$B$5:$B$304,0)),"Add to Ingredients"))</f>
        <v>0</v>
      </c>
      <c r="L16" s="25">
        <f>IF(B16="","",IFERROR(INDEX(Ingredients!$I$5:$I$304,MATCH(B16,Ingredients!$B$5:$B$304,0)),"Add to Ingredients"))</f>
        <v>0</v>
      </c>
      <c r="M16" s="45">
        <f>IF(OR(G16="",G16=0,K16="",NOT(ISNUMBER(K16)),K16=0),"",ROUNDUP(G16/K16,0))</f>
        <v>0</v>
      </c>
      <c r="N16" s="25">
        <f>IF(OR(M16="",L16="",NOT(ISNUMBER(L16))),"",M16*L16)</f>
        <v>0</v>
      </c>
      <c r="O16" s="17">
        <f>IF(B16="","",IFERROR(INDEX(Ingredients!$E$5:$E$304,MATCH(B16,Ingredients!$B$5:$B$304,0)),"Add to Ingredients"))</f>
        <v>0</v>
      </c>
      <c r="P16" s="40" t="s">
        <v>312</v>
      </c>
      <c r="Q16" s="31">
        <f>IF(B16="","",IF(F16=0,"Out of stock",IF(AND(E16&lt;&gt;"",F16&lt;E16),"Low stock","In stock")))</f>
        <v>0</v>
      </c>
      <c r="R16" s="31">
        <f>IF(B16="","",IF(Q16="Out of stock","Missing - add it to the list",IF(AND(I16&lt;&gt;"",I16&lt;1),"Due - less than a week left",IF(Q16="Low stock","Check - below your par level","OK"))))</f>
        <v>0</v>
      </c>
      <c r="S16" s="43" t="s">
        <v>157</v>
      </c>
    </row>
    <row r="17" spans="1:19">
      <c r="A17" s="39">
        <f>IF(B17="","","STP-"&amp;TEXT(ROW()-4,"000"))</f>
        <v>0</v>
      </c>
      <c r="B17" s="32" t="s">
        <v>935</v>
      </c>
      <c r="C17" s="17">
        <f>IF(B17="","",IFERROR(INDEX(Ingredients!$C$5:$C$304,MATCH(B17,Ingredients!$B$5:$B$304,0)),"Add to Ingredients"))</f>
        <v>0</v>
      </c>
      <c r="D17" s="17">
        <f>IF(B17="","",IFERROR(INDEX(Ingredients!$G$5:$G$304,MATCH(B17,Ingredients!$B$5:$B$304,0)),"Add to Ingredients"))</f>
        <v>0</v>
      </c>
      <c r="E17" s="38">
        <v>900</v>
      </c>
      <c r="F17" s="45">
        <f>IF(B17="","",IFERROR(INDEX(Ingredients!$AD$5:$AD$304,MATCH(B17,Ingredients!$B$5:$B$304,0)),0))</f>
        <v>0</v>
      </c>
      <c r="G17" s="45">
        <f>IF(OR(E17="",F17=""),"",MAX(0,E17-F17))</f>
        <v>0</v>
      </c>
      <c r="H17" s="38">
        <v>200</v>
      </c>
      <c r="I17" s="45">
        <f>IF(OR(H17="",H17=0,F17=""),"",F17/H17)</f>
        <v>0</v>
      </c>
      <c r="J17" s="19">
        <f>IF(I17="","",TODAY()+ROUND(I17*7,0))</f>
        <v>0</v>
      </c>
      <c r="K17" s="45">
        <f>IF(B17="","",IFERROR(INDEX(Ingredients!$H$5:$H$304,MATCH(B17,Ingredients!$B$5:$B$304,0)),"Add to Ingredients"))</f>
        <v>0</v>
      </c>
      <c r="L17" s="25">
        <f>IF(B17="","",IFERROR(INDEX(Ingredients!$I$5:$I$304,MATCH(B17,Ingredients!$B$5:$B$304,0)),"Add to Ingredients"))</f>
        <v>0</v>
      </c>
      <c r="M17" s="45">
        <f>IF(OR(G17="",G17=0,K17="",NOT(ISNUMBER(K17)),K17=0),"",ROUNDUP(G17/K17,0))</f>
        <v>0</v>
      </c>
      <c r="N17" s="25">
        <f>IF(OR(M17="",L17="",NOT(ISNUMBER(L17))),"",M17*L17)</f>
        <v>0</v>
      </c>
      <c r="O17" s="17">
        <f>IF(B17="","",IFERROR(INDEX(Ingredients!$E$5:$E$304,MATCH(B17,Ingredients!$B$5:$B$304,0)),"Add to Ingredients"))</f>
        <v>0</v>
      </c>
      <c r="P17" s="40" t="s">
        <v>312</v>
      </c>
      <c r="Q17" s="31">
        <f>IF(B17="","",IF(F17=0,"Out of stock",IF(AND(E17&lt;&gt;"",F17&lt;E17),"Low stock","In stock")))</f>
        <v>0</v>
      </c>
      <c r="R17" s="31">
        <f>IF(B17="","",IF(Q17="Out of stock","Missing - add it to the list",IF(AND(I17&lt;&gt;"",I17&lt;1),"Due - less than a week left",IF(Q17="Low stock","Check - below your par level","OK"))))</f>
        <v>0</v>
      </c>
      <c r="S17" s="43" t="s">
        <v>157</v>
      </c>
    </row>
    <row r="18" spans="1:19">
      <c r="A18" s="39">
        <f>IF(B18="","","STP-"&amp;TEXT(ROW()-4,"000"))</f>
        <v>0</v>
      </c>
      <c r="B18" s="32" t="s">
        <v>940</v>
      </c>
      <c r="C18" s="17">
        <f>IF(B18="","",IFERROR(INDEX(Ingredients!$C$5:$C$304,MATCH(B18,Ingredients!$B$5:$B$304,0)),"Add to Ingredients"))</f>
        <v>0</v>
      </c>
      <c r="D18" s="17">
        <f>IF(B18="","",IFERROR(INDEX(Ingredients!$G$5:$G$304,MATCH(B18,Ingredients!$B$5:$B$304,0)),"Add to Ingredients"))</f>
        <v>0</v>
      </c>
      <c r="E18" s="38">
        <v>250</v>
      </c>
      <c r="F18" s="45">
        <f>IF(B18="","",IFERROR(INDEX(Ingredients!$AD$5:$AD$304,MATCH(B18,Ingredients!$B$5:$B$304,0)),0))</f>
        <v>0</v>
      </c>
      <c r="G18" s="45">
        <f>IF(OR(E18="",F18=""),"",MAX(0,E18-F18))</f>
        <v>0</v>
      </c>
      <c r="H18" s="38">
        <v>40</v>
      </c>
      <c r="I18" s="45">
        <f>IF(OR(H18="",H18=0,F18=""),"",F18/H18)</f>
        <v>0</v>
      </c>
      <c r="J18" s="19">
        <f>IF(I18="","",TODAY()+ROUND(I18*7,0))</f>
        <v>0</v>
      </c>
      <c r="K18" s="45">
        <f>IF(B18="","",IFERROR(INDEX(Ingredients!$H$5:$H$304,MATCH(B18,Ingredients!$B$5:$B$304,0)),"Add to Ingredients"))</f>
        <v>0</v>
      </c>
      <c r="L18" s="25">
        <f>IF(B18="","",IFERROR(INDEX(Ingredients!$I$5:$I$304,MATCH(B18,Ingredients!$B$5:$B$304,0)),"Add to Ingredients"))</f>
        <v>0</v>
      </c>
      <c r="M18" s="45">
        <f>IF(OR(G18="",G18=0,K18="",NOT(ISNUMBER(K18)),K18=0),"",ROUNDUP(G18/K18,0))</f>
        <v>0</v>
      </c>
      <c r="N18" s="25">
        <f>IF(OR(M18="",L18="",NOT(ISNUMBER(L18))),"",M18*L18)</f>
        <v>0</v>
      </c>
      <c r="O18" s="17">
        <f>IF(B18="","",IFERROR(INDEX(Ingredients!$E$5:$E$304,MATCH(B18,Ingredients!$B$5:$B$304,0)),"Add to Ingredients"))</f>
        <v>0</v>
      </c>
      <c r="P18" s="40" t="s">
        <v>312</v>
      </c>
      <c r="Q18" s="31">
        <f>IF(B18="","",IF(F18=0,"Out of stock",IF(AND(E18&lt;&gt;"",F18&lt;E18),"Low stock","In stock")))</f>
        <v>0</v>
      </c>
      <c r="R18" s="31">
        <f>IF(B18="","",IF(Q18="Out of stock","Missing - add it to the list",IF(AND(I18&lt;&gt;"",I18&lt;1),"Due - less than a week left",IF(Q18="Low stock","Check - below your par level","OK"))))</f>
        <v>0</v>
      </c>
      <c r="S18" s="43" t="s">
        <v>157</v>
      </c>
    </row>
    <row r="19" spans="1:19">
      <c r="A19" s="39">
        <f>IF(B19="","","STP-"&amp;TEXT(ROW()-4,"000"))</f>
        <v>0</v>
      </c>
      <c r="B19" s="32" t="s">
        <v>941</v>
      </c>
      <c r="C19" s="17">
        <f>IF(B19="","",IFERROR(INDEX(Ingredients!$C$5:$C$304,MATCH(B19,Ingredients!$B$5:$B$304,0)),"Add to Ingredients"))</f>
        <v>0</v>
      </c>
      <c r="D19" s="17">
        <f>IF(B19="","",IFERROR(INDEX(Ingredients!$G$5:$G$304,MATCH(B19,Ingredients!$B$5:$B$304,0)),"Add to Ingredients"))</f>
        <v>0</v>
      </c>
      <c r="E19" s="38">
        <v>340</v>
      </c>
      <c r="F19" s="45">
        <f>IF(B19="","",IFERROR(INDEX(Ingredients!$AD$5:$AD$304,MATCH(B19,Ingredients!$B$5:$B$304,0)),0))</f>
        <v>0</v>
      </c>
      <c r="G19" s="45">
        <f>IF(OR(E19="",F19=""),"",MAX(0,E19-F19))</f>
        <v>0</v>
      </c>
      <c r="H19" s="38">
        <v>40</v>
      </c>
      <c r="I19" s="45">
        <f>IF(OR(H19="",H19=0,F19=""),"",F19/H19)</f>
        <v>0</v>
      </c>
      <c r="J19" s="19">
        <f>IF(I19="","",TODAY()+ROUND(I19*7,0))</f>
        <v>0</v>
      </c>
      <c r="K19" s="45">
        <f>IF(B19="","",IFERROR(INDEX(Ingredients!$H$5:$H$304,MATCH(B19,Ingredients!$B$5:$B$304,0)),"Add to Ingredients"))</f>
        <v>0</v>
      </c>
      <c r="L19" s="25">
        <f>IF(B19="","",IFERROR(INDEX(Ingredients!$I$5:$I$304,MATCH(B19,Ingredients!$B$5:$B$304,0)),"Add to Ingredients"))</f>
        <v>0</v>
      </c>
      <c r="M19" s="45">
        <f>IF(OR(G19="",G19=0,K19="",NOT(ISNUMBER(K19)),K19=0),"",ROUNDUP(G19/K19,0))</f>
        <v>0</v>
      </c>
      <c r="N19" s="25">
        <f>IF(OR(M19="",L19="",NOT(ISNUMBER(L19))),"",M19*L19)</f>
        <v>0</v>
      </c>
      <c r="O19" s="17">
        <f>IF(B19="","",IFERROR(INDEX(Ingredients!$E$5:$E$304,MATCH(B19,Ingredients!$B$5:$B$304,0)),"Add to Ingredients"))</f>
        <v>0</v>
      </c>
      <c r="P19" s="40" t="s">
        <v>312</v>
      </c>
      <c r="Q19" s="31">
        <f>IF(B19="","",IF(F19=0,"Out of stock",IF(AND(E19&lt;&gt;"",F19&lt;E19),"Low stock","In stock")))</f>
        <v>0</v>
      </c>
      <c r="R19" s="31">
        <f>IF(B19="","",IF(Q19="Out of stock","Missing - add it to the list",IF(AND(I19&lt;&gt;"",I19&lt;1),"Due - less than a week left",IF(Q19="Low stock","Check - below your par level","OK"))))</f>
        <v>0</v>
      </c>
      <c r="S19" s="43" t="s">
        <v>157</v>
      </c>
    </row>
    <row r="20" spans="1:19">
      <c r="A20" s="39">
        <f>IF(B20="","","STP-"&amp;TEXT(ROW()-4,"000"))</f>
        <v>0</v>
      </c>
      <c r="C20" s="17">
        <f>IF(B20="","",IFERROR(INDEX(Ingredients!$C$5:$C$304,MATCH(B20,Ingredients!$B$5:$B$304,0)),"Add to Ingredients"))</f>
        <v>0</v>
      </c>
      <c r="D20" s="17">
        <f>IF(B20="","",IFERROR(INDEX(Ingredients!$G$5:$G$304,MATCH(B20,Ingredients!$B$5:$B$304,0)),"Add to Ingredients"))</f>
        <v>0</v>
      </c>
      <c r="F20" s="45">
        <f>IF(B20="","",IFERROR(INDEX(Ingredients!$AD$5:$AD$304,MATCH(B20,Ingredients!$B$5:$B$304,0)),0))</f>
        <v>0</v>
      </c>
      <c r="G20" s="45">
        <f>IF(OR(E20="",F20=""),"",MAX(0,E20-F20))</f>
        <v>0</v>
      </c>
      <c r="I20" s="45">
        <f>IF(OR(H20="",H20=0,F20=""),"",F20/H20)</f>
        <v>0</v>
      </c>
      <c r="J20" s="19">
        <f>IF(I20="","",TODAY()+ROUND(I20*7,0))</f>
        <v>0</v>
      </c>
      <c r="K20" s="45">
        <f>IF(B20="","",IFERROR(INDEX(Ingredients!$H$5:$H$304,MATCH(B20,Ingredients!$B$5:$B$304,0)),"Add to Ingredients"))</f>
        <v>0</v>
      </c>
      <c r="L20" s="25">
        <f>IF(B20="","",IFERROR(INDEX(Ingredients!$I$5:$I$304,MATCH(B20,Ingredients!$B$5:$B$304,0)),"Add to Ingredients"))</f>
        <v>0</v>
      </c>
      <c r="M20" s="45">
        <f>IF(OR(G20="",G20=0,K20="",NOT(ISNUMBER(K20)),K20=0),"",ROUNDUP(G20/K20,0))</f>
        <v>0</v>
      </c>
      <c r="N20" s="25">
        <f>IF(OR(M20="",L20="",NOT(ISNUMBER(L20))),"",M20*L20)</f>
        <v>0</v>
      </c>
      <c r="O20" s="17">
        <f>IF(B20="","",IFERROR(INDEX(Ingredients!$E$5:$E$304,MATCH(B20,Ingredients!$B$5:$B$304,0)),"Add to Ingredients"))</f>
        <v>0</v>
      </c>
      <c r="Q20" s="31">
        <f>IF(B20="","",IF(F20=0,"Out of stock",IF(AND(E20&lt;&gt;"",F20&lt;E20),"Low stock","In stock")))</f>
        <v>0</v>
      </c>
      <c r="R20" s="31">
        <f>IF(B20="","",IF(Q20="Out of stock","Missing - add it to the list",IF(AND(I20&lt;&gt;"",I20&lt;1),"Due - less than a week left",IF(Q20="Low stock","Check - below your par level","OK"))))</f>
        <v>0</v>
      </c>
    </row>
    <row r="21" spans="1:19">
      <c r="A21" s="39">
        <f>IF(B21="","","STP-"&amp;TEXT(ROW()-4,"000"))</f>
        <v>0</v>
      </c>
      <c r="C21" s="17">
        <f>IF(B21="","",IFERROR(INDEX(Ingredients!$C$5:$C$304,MATCH(B21,Ingredients!$B$5:$B$304,0)),"Add to Ingredients"))</f>
        <v>0</v>
      </c>
      <c r="D21" s="17">
        <f>IF(B21="","",IFERROR(INDEX(Ingredients!$G$5:$G$304,MATCH(B21,Ingredients!$B$5:$B$304,0)),"Add to Ingredients"))</f>
        <v>0</v>
      </c>
      <c r="F21" s="45">
        <f>IF(B21="","",IFERROR(INDEX(Ingredients!$AD$5:$AD$304,MATCH(B21,Ingredients!$B$5:$B$304,0)),0))</f>
        <v>0</v>
      </c>
      <c r="G21" s="45">
        <f>IF(OR(E21="",F21=""),"",MAX(0,E21-F21))</f>
        <v>0</v>
      </c>
      <c r="I21" s="45">
        <f>IF(OR(H21="",H21=0,F21=""),"",F21/H21)</f>
        <v>0</v>
      </c>
      <c r="J21" s="19">
        <f>IF(I21="","",TODAY()+ROUND(I21*7,0))</f>
        <v>0</v>
      </c>
      <c r="K21" s="45">
        <f>IF(B21="","",IFERROR(INDEX(Ingredients!$H$5:$H$304,MATCH(B21,Ingredients!$B$5:$B$304,0)),"Add to Ingredients"))</f>
        <v>0</v>
      </c>
      <c r="L21" s="25">
        <f>IF(B21="","",IFERROR(INDEX(Ingredients!$I$5:$I$304,MATCH(B21,Ingredients!$B$5:$B$304,0)),"Add to Ingredients"))</f>
        <v>0</v>
      </c>
      <c r="M21" s="45">
        <f>IF(OR(G21="",G21=0,K21="",NOT(ISNUMBER(K21)),K21=0),"",ROUNDUP(G21/K21,0))</f>
        <v>0</v>
      </c>
      <c r="N21" s="25">
        <f>IF(OR(M21="",L21="",NOT(ISNUMBER(L21))),"",M21*L21)</f>
        <v>0</v>
      </c>
      <c r="O21" s="17">
        <f>IF(B21="","",IFERROR(INDEX(Ingredients!$E$5:$E$304,MATCH(B21,Ingredients!$B$5:$B$304,0)),"Add to Ingredients"))</f>
        <v>0</v>
      </c>
      <c r="Q21" s="31">
        <f>IF(B21="","",IF(F21=0,"Out of stock",IF(AND(E21&lt;&gt;"",F21&lt;E21),"Low stock","In stock")))</f>
        <v>0</v>
      </c>
      <c r="R21" s="31">
        <f>IF(B21="","",IF(Q21="Out of stock","Missing - add it to the list",IF(AND(I21&lt;&gt;"",I21&lt;1),"Due - less than a week left",IF(Q21="Low stock","Check - below your par level","OK"))))</f>
        <v>0</v>
      </c>
    </row>
    <row r="22" spans="1:19">
      <c r="A22" s="39">
        <f>IF(B22="","","STP-"&amp;TEXT(ROW()-4,"000"))</f>
        <v>0</v>
      </c>
      <c r="C22" s="17">
        <f>IF(B22="","",IFERROR(INDEX(Ingredients!$C$5:$C$304,MATCH(B22,Ingredients!$B$5:$B$304,0)),"Add to Ingredients"))</f>
        <v>0</v>
      </c>
      <c r="D22" s="17">
        <f>IF(B22="","",IFERROR(INDEX(Ingredients!$G$5:$G$304,MATCH(B22,Ingredients!$B$5:$B$304,0)),"Add to Ingredients"))</f>
        <v>0</v>
      </c>
      <c r="F22" s="45">
        <f>IF(B22="","",IFERROR(INDEX(Ingredients!$AD$5:$AD$304,MATCH(B22,Ingredients!$B$5:$B$304,0)),0))</f>
        <v>0</v>
      </c>
      <c r="G22" s="45">
        <f>IF(OR(E22="",F22=""),"",MAX(0,E22-F22))</f>
        <v>0</v>
      </c>
      <c r="I22" s="45">
        <f>IF(OR(H22="",H22=0,F22=""),"",F22/H22)</f>
        <v>0</v>
      </c>
      <c r="J22" s="19">
        <f>IF(I22="","",TODAY()+ROUND(I22*7,0))</f>
        <v>0</v>
      </c>
      <c r="K22" s="45">
        <f>IF(B22="","",IFERROR(INDEX(Ingredients!$H$5:$H$304,MATCH(B22,Ingredients!$B$5:$B$304,0)),"Add to Ingredients"))</f>
        <v>0</v>
      </c>
      <c r="L22" s="25">
        <f>IF(B22="","",IFERROR(INDEX(Ingredients!$I$5:$I$304,MATCH(B22,Ingredients!$B$5:$B$304,0)),"Add to Ingredients"))</f>
        <v>0</v>
      </c>
      <c r="M22" s="45">
        <f>IF(OR(G22="",G22=0,K22="",NOT(ISNUMBER(K22)),K22=0),"",ROUNDUP(G22/K22,0))</f>
        <v>0</v>
      </c>
      <c r="N22" s="25">
        <f>IF(OR(M22="",L22="",NOT(ISNUMBER(L22))),"",M22*L22)</f>
        <v>0</v>
      </c>
      <c r="O22" s="17">
        <f>IF(B22="","",IFERROR(INDEX(Ingredients!$E$5:$E$304,MATCH(B22,Ingredients!$B$5:$B$304,0)),"Add to Ingredients"))</f>
        <v>0</v>
      </c>
      <c r="Q22" s="31">
        <f>IF(B22="","",IF(F22=0,"Out of stock",IF(AND(E22&lt;&gt;"",F22&lt;E22),"Low stock","In stock")))</f>
        <v>0</v>
      </c>
      <c r="R22" s="31">
        <f>IF(B22="","",IF(Q22="Out of stock","Missing - add it to the list",IF(AND(I22&lt;&gt;"",I22&lt;1),"Due - less than a week left",IF(Q22="Low stock","Check - below your par level","OK"))))</f>
        <v>0</v>
      </c>
    </row>
    <row r="23" spans="1:19">
      <c r="A23" s="39">
        <f>IF(B23="","","STP-"&amp;TEXT(ROW()-4,"000"))</f>
        <v>0</v>
      </c>
      <c r="C23" s="17">
        <f>IF(B23="","",IFERROR(INDEX(Ingredients!$C$5:$C$304,MATCH(B23,Ingredients!$B$5:$B$304,0)),"Add to Ingredients"))</f>
        <v>0</v>
      </c>
      <c r="D23" s="17">
        <f>IF(B23="","",IFERROR(INDEX(Ingredients!$G$5:$G$304,MATCH(B23,Ingredients!$B$5:$B$304,0)),"Add to Ingredients"))</f>
        <v>0</v>
      </c>
      <c r="F23" s="45">
        <f>IF(B23="","",IFERROR(INDEX(Ingredients!$AD$5:$AD$304,MATCH(B23,Ingredients!$B$5:$B$304,0)),0))</f>
        <v>0</v>
      </c>
      <c r="G23" s="45">
        <f>IF(OR(E23="",F23=""),"",MAX(0,E23-F23))</f>
        <v>0</v>
      </c>
      <c r="I23" s="45">
        <f>IF(OR(H23="",H23=0,F23=""),"",F23/H23)</f>
        <v>0</v>
      </c>
      <c r="J23" s="19">
        <f>IF(I23="","",TODAY()+ROUND(I23*7,0))</f>
        <v>0</v>
      </c>
      <c r="K23" s="45">
        <f>IF(B23="","",IFERROR(INDEX(Ingredients!$H$5:$H$304,MATCH(B23,Ingredients!$B$5:$B$304,0)),"Add to Ingredients"))</f>
        <v>0</v>
      </c>
      <c r="L23" s="25">
        <f>IF(B23="","",IFERROR(INDEX(Ingredients!$I$5:$I$304,MATCH(B23,Ingredients!$B$5:$B$304,0)),"Add to Ingredients"))</f>
        <v>0</v>
      </c>
      <c r="M23" s="45">
        <f>IF(OR(G23="",G23=0,K23="",NOT(ISNUMBER(K23)),K23=0),"",ROUNDUP(G23/K23,0))</f>
        <v>0</v>
      </c>
      <c r="N23" s="25">
        <f>IF(OR(M23="",L23="",NOT(ISNUMBER(L23))),"",M23*L23)</f>
        <v>0</v>
      </c>
      <c r="O23" s="17">
        <f>IF(B23="","",IFERROR(INDEX(Ingredients!$E$5:$E$304,MATCH(B23,Ingredients!$B$5:$B$304,0)),"Add to Ingredients"))</f>
        <v>0</v>
      </c>
      <c r="Q23" s="31">
        <f>IF(B23="","",IF(F23=0,"Out of stock",IF(AND(E23&lt;&gt;"",F23&lt;E23),"Low stock","In stock")))</f>
        <v>0</v>
      </c>
      <c r="R23" s="31">
        <f>IF(B23="","",IF(Q23="Out of stock","Missing - add it to the list",IF(AND(I23&lt;&gt;"",I23&lt;1),"Due - less than a week left",IF(Q23="Low stock","Check - below your par level","OK"))))</f>
        <v>0</v>
      </c>
    </row>
    <row r="24" spans="1:19">
      <c r="A24" s="39">
        <f>IF(B24="","","STP-"&amp;TEXT(ROW()-4,"000"))</f>
        <v>0</v>
      </c>
      <c r="C24" s="17">
        <f>IF(B24="","",IFERROR(INDEX(Ingredients!$C$5:$C$304,MATCH(B24,Ingredients!$B$5:$B$304,0)),"Add to Ingredients"))</f>
        <v>0</v>
      </c>
      <c r="D24" s="17">
        <f>IF(B24="","",IFERROR(INDEX(Ingredients!$G$5:$G$304,MATCH(B24,Ingredients!$B$5:$B$304,0)),"Add to Ingredients"))</f>
        <v>0</v>
      </c>
      <c r="F24" s="45">
        <f>IF(B24="","",IFERROR(INDEX(Ingredients!$AD$5:$AD$304,MATCH(B24,Ingredients!$B$5:$B$304,0)),0))</f>
        <v>0</v>
      </c>
      <c r="G24" s="45">
        <f>IF(OR(E24="",F24=""),"",MAX(0,E24-F24))</f>
        <v>0</v>
      </c>
      <c r="I24" s="45">
        <f>IF(OR(H24="",H24=0,F24=""),"",F24/H24)</f>
        <v>0</v>
      </c>
      <c r="J24" s="19">
        <f>IF(I24="","",TODAY()+ROUND(I24*7,0))</f>
        <v>0</v>
      </c>
      <c r="K24" s="45">
        <f>IF(B24="","",IFERROR(INDEX(Ingredients!$H$5:$H$304,MATCH(B24,Ingredients!$B$5:$B$304,0)),"Add to Ingredients"))</f>
        <v>0</v>
      </c>
      <c r="L24" s="25">
        <f>IF(B24="","",IFERROR(INDEX(Ingredients!$I$5:$I$304,MATCH(B24,Ingredients!$B$5:$B$304,0)),"Add to Ingredients"))</f>
        <v>0</v>
      </c>
      <c r="M24" s="45">
        <f>IF(OR(G24="",G24=0,K24="",NOT(ISNUMBER(K24)),K24=0),"",ROUNDUP(G24/K24,0))</f>
        <v>0</v>
      </c>
      <c r="N24" s="25">
        <f>IF(OR(M24="",L24="",NOT(ISNUMBER(L24))),"",M24*L24)</f>
        <v>0</v>
      </c>
      <c r="O24" s="17">
        <f>IF(B24="","",IFERROR(INDEX(Ingredients!$E$5:$E$304,MATCH(B24,Ingredients!$B$5:$B$304,0)),"Add to Ingredients"))</f>
        <v>0</v>
      </c>
      <c r="Q24" s="31">
        <f>IF(B24="","",IF(F24=0,"Out of stock",IF(AND(E24&lt;&gt;"",F24&lt;E24),"Low stock","In stock")))</f>
        <v>0</v>
      </c>
      <c r="R24" s="31">
        <f>IF(B24="","",IF(Q24="Out of stock","Missing - add it to the list",IF(AND(I24&lt;&gt;"",I24&lt;1),"Due - less than a week left",IF(Q24="Low stock","Check - below your par level","OK"))))</f>
        <v>0</v>
      </c>
    </row>
    <row r="25" spans="1:19">
      <c r="A25" s="39">
        <f>IF(B25="","","STP-"&amp;TEXT(ROW()-4,"000"))</f>
        <v>0</v>
      </c>
      <c r="C25" s="17">
        <f>IF(B25="","",IFERROR(INDEX(Ingredients!$C$5:$C$304,MATCH(B25,Ingredients!$B$5:$B$304,0)),"Add to Ingredients"))</f>
        <v>0</v>
      </c>
      <c r="D25" s="17">
        <f>IF(B25="","",IFERROR(INDEX(Ingredients!$G$5:$G$304,MATCH(B25,Ingredients!$B$5:$B$304,0)),"Add to Ingredients"))</f>
        <v>0</v>
      </c>
      <c r="F25" s="45">
        <f>IF(B25="","",IFERROR(INDEX(Ingredients!$AD$5:$AD$304,MATCH(B25,Ingredients!$B$5:$B$304,0)),0))</f>
        <v>0</v>
      </c>
      <c r="G25" s="45">
        <f>IF(OR(E25="",F25=""),"",MAX(0,E25-F25))</f>
        <v>0</v>
      </c>
      <c r="I25" s="45">
        <f>IF(OR(H25="",H25=0,F25=""),"",F25/H25)</f>
        <v>0</v>
      </c>
      <c r="J25" s="19">
        <f>IF(I25="","",TODAY()+ROUND(I25*7,0))</f>
        <v>0</v>
      </c>
      <c r="K25" s="45">
        <f>IF(B25="","",IFERROR(INDEX(Ingredients!$H$5:$H$304,MATCH(B25,Ingredients!$B$5:$B$304,0)),"Add to Ingredients"))</f>
        <v>0</v>
      </c>
      <c r="L25" s="25">
        <f>IF(B25="","",IFERROR(INDEX(Ingredients!$I$5:$I$304,MATCH(B25,Ingredients!$B$5:$B$304,0)),"Add to Ingredients"))</f>
        <v>0</v>
      </c>
      <c r="M25" s="45">
        <f>IF(OR(G25="",G25=0,K25="",NOT(ISNUMBER(K25)),K25=0),"",ROUNDUP(G25/K25,0))</f>
        <v>0</v>
      </c>
      <c r="N25" s="25">
        <f>IF(OR(M25="",L25="",NOT(ISNUMBER(L25))),"",M25*L25)</f>
        <v>0</v>
      </c>
      <c r="O25" s="17">
        <f>IF(B25="","",IFERROR(INDEX(Ingredients!$E$5:$E$304,MATCH(B25,Ingredients!$B$5:$B$304,0)),"Add to Ingredients"))</f>
        <v>0</v>
      </c>
      <c r="Q25" s="31">
        <f>IF(B25="","",IF(F25=0,"Out of stock",IF(AND(E25&lt;&gt;"",F25&lt;E25),"Low stock","In stock")))</f>
        <v>0</v>
      </c>
      <c r="R25" s="31">
        <f>IF(B25="","",IF(Q25="Out of stock","Missing - add it to the list",IF(AND(I25&lt;&gt;"",I25&lt;1),"Due - less than a week left",IF(Q25="Low stock","Check - below your par level","OK"))))</f>
        <v>0</v>
      </c>
    </row>
    <row r="26" spans="1:19">
      <c r="A26" s="39">
        <f>IF(B26="","","STP-"&amp;TEXT(ROW()-4,"000"))</f>
        <v>0</v>
      </c>
      <c r="C26" s="17">
        <f>IF(B26="","",IFERROR(INDEX(Ingredients!$C$5:$C$304,MATCH(B26,Ingredients!$B$5:$B$304,0)),"Add to Ingredients"))</f>
        <v>0</v>
      </c>
      <c r="D26" s="17">
        <f>IF(B26="","",IFERROR(INDEX(Ingredients!$G$5:$G$304,MATCH(B26,Ingredients!$B$5:$B$304,0)),"Add to Ingredients"))</f>
        <v>0</v>
      </c>
      <c r="F26" s="45">
        <f>IF(B26="","",IFERROR(INDEX(Ingredients!$AD$5:$AD$304,MATCH(B26,Ingredients!$B$5:$B$304,0)),0))</f>
        <v>0</v>
      </c>
      <c r="G26" s="45">
        <f>IF(OR(E26="",F26=""),"",MAX(0,E26-F26))</f>
        <v>0</v>
      </c>
      <c r="I26" s="45">
        <f>IF(OR(H26="",H26=0,F26=""),"",F26/H26)</f>
        <v>0</v>
      </c>
      <c r="J26" s="19">
        <f>IF(I26="","",TODAY()+ROUND(I26*7,0))</f>
        <v>0</v>
      </c>
      <c r="K26" s="45">
        <f>IF(B26="","",IFERROR(INDEX(Ingredients!$H$5:$H$304,MATCH(B26,Ingredients!$B$5:$B$304,0)),"Add to Ingredients"))</f>
        <v>0</v>
      </c>
      <c r="L26" s="25">
        <f>IF(B26="","",IFERROR(INDEX(Ingredients!$I$5:$I$304,MATCH(B26,Ingredients!$B$5:$B$304,0)),"Add to Ingredients"))</f>
        <v>0</v>
      </c>
      <c r="M26" s="45">
        <f>IF(OR(G26="",G26=0,K26="",NOT(ISNUMBER(K26)),K26=0),"",ROUNDUP(G26/K26,0))</f>
        <v>0</v>
      </c>
      <c r="N26" s="25">
        <f>IF(OR(M26="",L26="",NOT(ISNUMBER(L26))),"",M26*L26)</f>
        <v>0</v>
      </c>
      <c r="O26" s="17">
        <f>IF(B26="","",IFERROR(INDEX(Ingredients!$E$5:$E$304,MATCH(B26,Ingredients!$B$5:$B$304,0)),"Add to Ingredients"))</f>
        <v>0</v>
      </c>
      <c r="Q26" s="31">
        <f>IF(B26="","",IF(F26=0,"Out of stock",IF(AND(E26&lt;&gt;"",F26&lt;E26),"Low stock","In stock")))</f>
        <v>0</v>
      </c>
      <c r="R26" s="31">
        <f>IF(B26="","",IF(Q26="Out of stock","Missing - add it to the list",IF(AND(I26&lt;&gt;"",I26&lt;1),"Due - less than a week left",IF(Q26="Low stock","Check - below your par level","OK"))))</f>
        <v>0</v>
      </c>
    </row>
    <row r="27" spans="1:19">
      <c r="A27" s="39">
        <f>IF(B27="","","STP-"&amp;TEXT(ROW()-4,"000"))</f>
        <v>0</v>
      </c>
      <c r="C27" s="17">
        <f>IF(B27="","",IFERROR(INDEX(Ingredients!$C$5:$C$304,MATCH(B27,Ingredients!$B$5:$B$304,0)),"Add to Ingredients"))</f>
        <v>0</v>
      </c>
      <c r="D27" s="17">
        <f>IF(B27="","",IFERROR(INDEX(Ingredients!$G$5:$G$304,MATCH(B27,Ingredients!$B$5:$B$304,0)),"Add to Ingredients"))</f>
        <v>0</v>
      </c>
      <c r="F27" s="45">
        <f>IF(B27="","",IFERROR(INDEX(Ingredients!$AD$5:$AD$304,MATCH(B27,Ingredients!$B$5:$B$304,0)),0))</f>
        <v>0</v>
      </c>
      <c r="G27" s="45">
        <f>IF(OR(E27="",F27=""),"",MAX(0,E27-F27))</f>
        <v>0</v>
      </c>
      <c r="I27" s="45">
        <f>IF(OR(H27="",H27=0,F27=""),"",F27/H27)</f>
        <v>0</v>
      </c>
      <c r="J27" s="19">
        <f>IF(I27="","",TODAY()+ROUND(I27*7,0))</f>
        <v>0</v>
      </c>
      <c r="K27" s="45">
        <f>IF(B27="","",IFERROR(INDEX(Ingredients!$H$5:$H$304,MATCH(B27,Ingredients!$B$5:$B$304,0)),"Add to Ingredients"))</f>
        <v>0</v>
      </c>
      <c r="L27" s="25">
        <f>IF(B27="","",IFERROR(INDEX(Ingredients!$I$5:$I$304,MATCH(B27,Ingredients!$B$5:$B$304,0)),"Add to Ingredients"))</f>
        <v>0</v>
      </c>
      <c r="M27" s="45">
        <f>IF(OR(G27="",G27=0,K27="",NOT(ISNUMBER(K27)),K27=0),"",ROUNDUP(G27/K27,0))</f>
        <v>0</v>
      </c>
      <c r="N27" s="25">
        <f>IF(OR(M27="",L27="",NOT(ISNUMBER(L27))),"",M27*L27)</f>
        <v>0</v>
      </c>
      <c r="O27" s="17">
        <f>IF(B27="","",IFERROR(INDEX(Ingredients!$E$5:$E$304,MATCH(B27,Ingredients!$B$5:$B$304,0)),"Add to Ingredients"))</f>
        <v>0</v>
      </c>
      <c r="Q27" s="31">
        <f>IF(B27="","",IF(F27=0,"Out of stock",IF(AND(E27&lt;&gt;"",F27&lt;E27),"Low stock","In stock")))</f>
        <v>0</v>
      </c>
      <c r="R27" s="31">
        <f>IF(B27="","",IF(Q27="Out of stock","Missing - add it to the list",IF(AND(I27&lt;&gt;"",I27&lt;1),"Due - less than a week left",IF(Q27="Low stock","Check - below your par level","OK"))))</f>
        <v>0</v>
      </c>
    </row>
    <row r="28" spans="1:19">
      <c r="A28" s="39">
        <f>IF(B28="","","STP-"&amp;TEXT(ROW()-4,"000"))</f>
        <v>0</v>
      </c>
      <c r="C28" s="17">
        <f>IF(B28="","",IFERROR(INDEX(Ingredients!$C$5:$C$304,MATCH(B28,Ingredients!$B$5:$B$304,0)),"Add to Ingredients"))</f>
        <v>0</v>
      </c>
      <c r="D28" s="17">
        <f>IF(B28="","",IFERROR(INDEX(Ingredients!$G$5:$G$304,MATCH(B28,Ingredients!$B$5:$B$304,0)),"Add to Ingredients"))</f>
        <v>0</v>
      </c>
      <c r="F28" s="45">
        <f>IF(B28="","",IFERROR(INDEX(Ingredients!$AD$5:$AD$304,MATCH(B28,Ingredients!$B$5:$B$304,0)),0))</f>
        <v>0</v>
      </c>
      <c r="G28" s="45">
        <f>IF(OR(E28="",F28=""),"",MAX(0,E28-F28))</f>
        <v>0</v>
      </c>
      <c r="I28" s="45">
        <f>IF(OR(H28="",H28=0,F28=""),"",F28/H28)</f>
        <v>0</v>
      </c>
      <c r="J28" s="19">
        <f>IF(I28="","",TODAY()+ROUND(I28*7,0))</f>
        <v>0</v>
      </c>
      <c r="K28" s="45">
        <f>IF(B28="","",IFERROR(INDEX(Ingredients!$H$5:$H$304,MATCH(B28,Ingredients!$B$5:$B$304,0)),"Add to Ingredients"))</f>
        <v>0</v>
      </c>
      <c r="L28" s="25">
        <f>IF(B28="","",IFERROR(INDEX(Ingredients!$I$5:$I$304,MATCH(B28,Ingredients!$B$5:$B$304,0)),"Add to Ingredients"))</f>
        <v>0</v>
      </c>
      <c r="M28" s="45">
        <f>IF(OR(G28="",G28=0,K28="",NOT(ISNUMBER(K28)),K28=0),"",ROUNDUP(G28/K28,0))</f>
        <v>0</v>
      </c>
      <c r="N28" s="25">
        <f>IF(OR(M28="",L28="",NOT(ISNUMBER(L28))),"",M28*L28)</f>
        <v>0</v>
      </c>
      <c r="O28" s="17">
        <f>IF(B28="","",IFERROR(INDEX(Ingredients!$E$5:$E$304,MATCH(B28,Ingredients!$B$5:$B$304,0)),"Add to Ingredients"))</f>
        <v>0</v>
      </c>
      <c r="Q28" s="31">
        <f>IF(B28="","",IF(F28=0,"Out of stock",IF(AND(E28&lt;&gt;"",F28&lt;E28),"Low stock","In stock")))</f>
        <v>0</v>
      </c>
      <c r="R28" s="31">
        <f>IF(B28="","",IF(Q28="Out of stock","Missing - add it to the list",IF(AND(I28&lt;&gt;"",I28&lt;1),"Due - less than a week left",IF(Q28="Low stock","Check - below your par level","OK"))))</f>
        <v>0</v>
      </c>
    </row>
    <row r="29" spans="1:19">
      <c r="A29" s="39">
        <f>IF(B29="","","STP-"&amp;TEXT(ROW()-4,"000"))</f>
        <v>0</v>
      </c>
      <c r="C29" s="17">
        <f>IF(B29="","",IFERROR(INDEX(Ingredients!$C$5:$C$304,MATCH(B29,Ingredients!$B$5:$B$304,0)),"Add to Ingredients"))</f>
        <v>0</v>
      </c>
      <c r="D29" s="17">
        <f>IF(B29="","",IFERROR(INDEX(Ingredients!$G$5:$G$304,MATCH(B29,Ingredients!$B$5:$B$304,0)),"Add to Ingredients"))</f>
        <v>0</v>
      </c>
      <c r="F29" s="45">
        <f>IF(B29="","",IFERROR(INDEX(Ingredients!$AD$5:$AD$304,MATCH(B29,Ingredients!$B$5:$B$304,0)),0))</f>
        <v>0</v>
      </c>
      <c r="G29" s="45">
        <f>IF(OR(E29="",F29=""),"",MAX(0,E29-F29))</f>
        <v>0</v>
      </c>
      <c r="I29" s="45">
        <f>IF(OR(H29="",H29=0,F29=""),"",F29/H29)</f>
        <v>0</v>
      </c>
      <c r="J29" s="19">
        <f>IF(I29="","",TODAY()+ROUND(I29*7,0))</f>
        <v>0</v>
      </c>
      <c r="K29" s="45">
        <f>IF(B29="","",IFERROR(INDEX(Ingredients!$H$5:$H$304,MATCH(B29,Ingredients!$B$5:$B$304,0)),"Add to Ingredients"))</f>
        <v>0</v>
      </c>
      <c r="L29" s="25">
        <f>IF(B29="","",IFERROR(INDEX(Ingredients!$I$5:$I$304,MATCH(B29,Ingredients!$B$5:$B$304,0)),"Add to Ingredients"))</f>
        <v>0</v>
      </c>
      <c r="M29" s="45">
        <f>IF(OR(G29="",G29=0,K29="",NOT(ISNUMBER(K29)),K29=0),"",ROUNDUP(G29/K29,0))</f>
        <v>0</v>
      </c>
      <c r="N29" s="25">
        <f>IF(OR(M29="",L29="",NOT(ISNUMBER(L29))),"",M29*L29)</f>
        <v>0</v>
      </c>
      <c r="O29" s="17">
        <f>IF(B29="","",IFERROR(INDEX(Ingredients!$E$5:$E$304,MATCH(B29,Ingredients!$B$5:$B$304,0)),"Add to Ingredients"))</f>
        <v>0</v>
      </c>
      <c r="Q29" s="31">
        <f>IF(B29="","",IF(F29=0,"Out of stock",IF(AND(E29&lt;&gt;"",F29&lt;E29),"Low stock","In stock")))</f>
        <v>0</v>
      </c>
      <c r="R29" s="31">
        <f>IF(B29="","",IF(Q29="Out of stock","Missing - add it to the list",IF(AND(I29&lt;&gt;"",I29&lt;1),"Due - less than a week left",IF(Q29="Low stock","Check - below your par level","OK"))))</f>
        <v>0</v>
      </c>
    </row>
    <row r="30" spans="1:19">
      <c r="A30" s="39">
        <f>IF(B30="","","STP-"&amp;TEXT(ROW()-4,"000"))</f>
        <v>0</v>
      </c>
      <c r="C30" s="17">
        <f>IF(B30="","",IFERROR(INDEX(Ingredients!$C$5:$C$304,MATCH(B30,Ingredients!$B$5:$B$304,0)),"Add to Ingredients"))</f>
        <v>0</v>
      </c>
      <c r="D30" s="17">
        <f>IF(B30="","",IFERROR(INDEX(Ingredients!$G$5:$G$304,MATCH(B30,Ingredients!$B$5:$B$304,0)),"Add to Ingredients"))</f>
        <v>0</v>
      </c>
      <c r="F30" s="45">
        <f>IF(B30="","",IFERROR(INDEX(Ingredients!$AD$5:$AD$304,MATCH(B30,Ingredients!$B$5:$B$304,0)),0))</f>
        <v>0</v>
      </c>
      <c r="G30" s="45">
        <f>IF(OR(E30="",F30=""),"",MAX(0,E30-F30))</f>
        <v>0</v>
      </c>
      <c r="I30" s="45">
        <f>IF(OR(H30="",H30=0,F30=""),"",F30/H30)</f>
        <v>0</v>
      </c>
      <c r="J30" s="19">
        <f>IF(I30="","",TODAY()+ROUND(I30*7,0))</f>
        <v>0</v>
      </c>
      <c r="K30" s="45">
        <f>IF(B30="","",IFERROR(INDEX(Ingredients!$H$5:$H$304,MATCH(B30,Ingredients!$B$5:$B$304,0)),"Add to Ingredients"))</f>
        <v>0</v>
      </c>
      <c r="L30" s="25">
        <f>IF(B30="","",IFERROR(INDEX(Ingredients!$I$5:$I$304,MATCH(B30,Ingredients!$B$5:$B$304,0)),"Add to Ingredients"))</f>
        <v>0</v>
      </c>
      <c r="M30" s="45">
        <f>IF(OR(G30="",G30=0,K30="",NOT(ISNUMBER(K30)),K30=0),"",ROUNDUP(G30/K30,0))</f>
        <v>0</v>
      </c>
      <c r="N30" s="25">
        <f>IF(OR(M30="",L30="",NOT(ISNUMBER(L30))),"",M30*L30)</f>
        <v>0</v>
      </c>
      <c r="O30" s="17">
        <f>IF(B30="","",IFERROR(INDEX(Ingredients!$E$5:$E$304,MATCH(B30,Ingredients!$B$5:$B$304,0)),"Add to Ingredients"))</f>
        <v>0</v>
      </c>
      <c r="Q30" s="31">
        <f>IF(B30="","",IF(F30=0,"Out of stock",IF(AND(E30&lt;&gt;"",F30&lt;E30),"Low stock","In stock")))</f>
        <v>0</v>
      </c>
      <c r="R30" s="31">
        <f>IF(B30="","",IF(Q30="Out of stock","Missing - add it to the list",IF(AND(I30&lt;&gt;"",I30&lt;1),"Due - less than a week left",IF(Q30="Low stock","Check - below your par level","OK"))))</f>
        <v>0</v>
      </c>
    </row>
    <row r="31" spans="1:19">
      <c r="A31" s="39">
        <f>IF(B31="","","STP-"&amp;TEXT(ROW()-4,"000"))</f>
        <v>0</v>
      </c>
      <c r="C31" s="17">
        <f>IF(B31="","",IFERROR(INDEX(Ingredients!$C$5:$C$304,MATCH(B31,Ingredients!$B$5:$B$304,0)),"Add to Ingredients"))</f>
        <v>0</v>
      </c>
      <c r="D31" s="17">
        <f>IF(B31="","",IFERROR(INDEX(Ingredients!$G$5:$G$304,MATCH(B31,Ingredients!$B$5:$B$304,0)),"Add to Ingredients"))</f>
        <v>0</v>
      </c>
      <c r="F31" s="45">
        <f>IF(B31="","",IFERROR(INDEX(Ingredients!$AD$5:$AD$304,MATCH(B31,Ingredients!$B$5:$B$304,0)),0))</f>
        <v>0</v>
      </c>
      <c r="G31" s="45">
        <f>IF(OR(E31="",F31=""),"",MAX(0,E31-F31))</f>
        <v>0</v>
      </c>
      <c r="I31" s="45">
        <f>IF(OR(H31="",H31=0,F31=""),"",F31/H31)</f>
        <v>0</v>
      </c>
      <c r="J31" s="19">
        <f>IF(I31="","",TODAY()+ROUND(I31*7,0))</f>
        <v>0</v>
      </c>
      <c r="K31" s="45">
        <f>IF(B31="","",IFERROR(INDEX(Ingredients!$H$5:$H$304,MATCH(B31,Ingredients!$B$5:$B$304,0)),"Add to Ingredients"))</f>
        <v>0</v>
      </c>
      <c r="L31" s="25">
        <f>IF(B31="","",IFERROR(INDEX(Ingredients!$I$5:$I$304,MATCH(B31,Ingredients!$B$5:$B$304,0)),"Add to Ingredients"))</f>
        <v>0</v>
      </c>
      <c r="M31" s="45">
        <f>IF(OR(G31="",G31=0,K31="",NOT(ISNUMBER(K31)),K31=0),"",ROUNDUP(G31/K31,0))</f>
        <v>0</v>
      </c>
      <c r="N31" s="25">
        <f>IF(OR(M31="",L31="",NOT(ISNUMBER(L31))),"",M31*L31)</f>
        <v>0</v>
      </c>
      <c r="O31" s="17">
        <f>IF(B31="","",IFERROR(INDEX(Ingredients!$E$5:$E$304,MATCH(B31,Ingredients!$B$5:$B$304,0)),"Add to Ingredients"))</f>
        <v>0</v>
      </c>
      <c r="Q31" s="31">
        <f>IF(B31="","",IF(F31=0,"Out of stock",IF(AND(E31&lt;&gt;"",F31&lt;E31),"Low stock","In stock")))</f>
        <v>0</v>
      </c>
      <c r="R31" s="31">
        <f>IF(B31="","",IF(Q31="Out of stock","Missing - add it to the list",IF(AND(I31&lt;&gt;"",I31&lt;1),"Due - less than a week left",IF(Q31="Low stock","Check - below your par level","OK"))))</f>
        <v>0</v>
      </c>
    </row>
    <row r="32" spans="1:19">
      <c r="A32" s="39">
        <f>IF(B32="","","STP-"&amp;TEXT(ROW()-4,"000"))</f>
        <v>0</v>
      </c>
      <c r="C32" s="17">
        <f>IF(B32="","",IFERROR(INDEX(Ingredients!$C$5:$C$304,MATCH(B32,Ingredients!$B$5:$B$304,0)),"Add to Ingredients"))</f>
        <v>0</v>
      </c>
      <c r="D32" s="17">
        <f>IF(B32="","",IFERROR(INDEX(Ingredients!$G$5:$G$304,MATCH(B32,Ingredients!$B$5:$B$304,0)),"Add to Ingredients"))</f>
        <v>0</v>
      </c>
      <c r="F32" s="45">
        <f>IF(B32="","",IFERROR(INDEX(Ingredients!$AD$5:$AD$304,MATCH(B32,Ingredients!$B$5:$B$304,0)),0))</f>
        <v>0</v>
      </c>
      <c r="G32" s="45">
        <f>IF(OR(E32="",F32=""),"",MAX(0,E32-F32))</f>
        <v>0</v>
      </c>
      <c r="I32" s="45">
        <f>IF(OR(H32="",H32=0,F32=""),"",F32/H32)</f>
        <v>0</v>
      </c>
      <c r="J32" s="19">
        <f>IF(I32="","",TODAY()+ROUND(I32*7,0))</f>
        <v>0</v>
      </c>
      <c r="K32" s="45">
        <f>IF(B32="","",IFERROR(INDEX(Ingredients!$H$5:$H$304,MATCH(B32,Ingredients!$B$5:$B$304,0)),"Add to Ingredients"))</f>
        <v>0</v>
      </c>
      <c r="L32" s="25">
        <f>IF(B32="","",IFERROR(INDEX(Ingredients!$I$5:$I$304,MATCH(B32,Ingredients!$B$5:$B$304,0)),"Add to Ingredients"))</f>
        <v>0</v>
      </c>
      <c r="M32" s="45">
        <f>IF(OR(G32="",G32=0,K32="",NOT(ISNUMBER(K32)),K32=0),"",ROUNDUP(G32/K32,0))</f>
        <v>0</v>
      </c>
      <c r="N32" s="25">
        <f>IF(OR(M32="",L32="",NOT(ISNUMBER(L32))),"",M32*L32)</f>
        <v>0</v>
      </c>
      <c r="O32" s="17">
        <f>IF(B32="","",IFERROR(INDEX(Ingredients!$E$5:$E$304,MATCH(B32,Ingredients!$B$5:$B$304,0)),"Add to Ingredients"))</f>
        <v>0</v>
      </c>
      <c r="Q32" s="31">
        <f>IF(B32="","",IF(F32=0,"Out of stock",IF(AND(E32&lt;&gt;"",F32&lt;E32),"Low stock","In stock")))</f>
        <v>0</v>
      </c>
      <c r="R32" s="31">
        <f>IF(B32="","",IF(Q32="Out of stock","Missing - add it to the list",IF(AND(I32&lt;&gt;"",I32&lt;1),"Due - less than a week left",IF(Q32="Low stock","Check - below your par level","OK"))))</f>
        <v>0</v>
      </c>
    </row>
    <row r="33" spans="1:18">
      <c r="A33" s="39">
        <f>IF(B33="","","STP-"&amp;TEXT(ROW()-4,"000"))</f>
        <v>0</v>
      </c>
      <c r="C33" s="17">
        <f>IF(B33="","",IFERROR(INDEX(Ingredients!$C$5:$C$304,MATCH(B33,Ingredients!$B$5:$B$304,0)),"Add to Ingredients"))</f>
        <v>0</v>
      </c>
      <c r="D33" s="17">
        <f>IF(B33="","",IFERROR(INDEX(Ingredients!$G$5:$G$304,MATCH(B33,Ingredients!$B$5:$B$304,0)),"Add to Ingredients"))</f>
        <v>0</v>
      </c>
      <c r="F33" s="45">
        <f>IF(B33="","",IFERROR(INDEX(Ingredients!$AD$5:$AD$304,MATCH(B33,Ingredients!$B$5:$B$304,0)),0))</f>
        <v>0</v>
      </c>
      <c r="G33" s="45">
        <f>IF(OR(E33="",F33=""),"",MAX(0,E33-F33))</f>
        <v>0</v>
      </c>
      <c r="I33" s="45">
        <f>IF(OR(H33="",H33=0,F33=""),"",F33/H33)</f>
        <v>0</v>
      </c>
      <c r="J33" s="19">
        <f>IF(I33="","",TODAY()+ROUND(I33*7,0))</f>
        <v>0</v>
      </c>
      <c r="K33" s="45">
        <f>IF(B33="","",IFERROR(INDEX(Ingredients!$H$5:$H$304,MATCH(B33,Ingredients!$B$5:$B$304,0)),"Add to Ingredients"))</f>
        <v>0</v>
      </c>
      <c r="L33" s="25">
        <f>IF(B33="","",IFERROR(INDEX(Ingredients!$I$5:$I$304,MATCH(B33,Ingredients!$B$5:$B$304,0)),"Add to Ingredients"))</f>
        <v>0</v>
      </c>
      <c r="M33" s="45">
        <f>IF(OR(G33="",G33=0,K33="",NOT(ISNUMBER(K33)),K33=0),"",ROUNDUP(G33/K33,0))</f>
        <v>0</v>
      </c>
      <c r="N33" s="25">
        <f>IF(OR(M33="",L33="",NOT(ISNUMBER(L33))),"",M33*L33)</f>
        <v>0</v>
      </c>
      <c r="O33" s="17">
        <f>IF(B33="","",IFERROR(INDEX(Ingredients!$E$5:$E$304,MATCH(B33,Ingredients!$B$5:$B$304,0)),"Add to Ingredients"))</f>
        <v>0</v>
      </c>
      <c r="Q33" s="31">
        <f>IF(B33="","",IF(F33=0,"Out of stock",IF(AND(E33&lt;&gt;"",F33&lt;E33),"Low stock","In stock")))</f>
        <v>0</v>
      </c>
      <c r="R33" s="31">
        <f>IF(B33="","",IF(Q33="Out of stock","Missing - add it to the list",IF(AND(I33&lt;&gt;"",I33&lt;1),"Due - less than a week left",IF(Q33="Low stock","Check - below your par level","OK"))))</f>
        <v>0</v>
      </c>
    </row>
    <row r="34" spans="1:18">
      <c r="A34" s="39">
        <f>IF(B34="","","STP-"&amp;TEXT(ROW()-4,"000"))</f>
        <v>0</v>
      </c>
      <c r="C34" s="17">
        <f>IF(B34="","",IFERROR(INDEX(Ingredients!$C$5:$C$304,MATCH(B34,Ingredients!$B$5:$B$304,0)),"Add to Ingredients"))</f>
        <v>0</v>
      </c>
      <c r="D34" s="17">
        <f>IF(B34="","",IFERROR(INDEX(Ingredients!$G$5:$G$304,MATCH(B34,Ingredients!$B$5:$B$304,0)),"Add to Ingredients"))</f>
        <v>0</v>
      </c>
      <c r="F34" s="45">
        <f>IF(B34="","",IFERROR(INDEX(Ingredients!$AD$5:$AD$304,MATCH(B34,Ingredients!$B$5:$B$304,0)),0))</f>
        <v>0</v>
      </c>
      <c r="G34" s="45">
        <f>IF(OR(E34="",F34=""),"",MAX(0,E34-F34))</f>
        <v>0</v>
      </c>
      <c r="I34" s="45">
        <f>IF(OR(H34="",H34=0,F34=""),"",F34/H34)</f>
        <v>0</v>
      </c>
      <c r="J34" s="19">
        <f>IF(I34="","",TODAY()+ROUND(I34*7,0))</f>
        <v>0</v>
      </c>
      <c r="K34" s="45">
        <f>IF(B34="","",IFERROR(INDEX(Ingredients!$H$5:$H$304,MATCH(B34,Ingredients!$B$5:$B$304,0)),"Add to Ingredients"))</f>
        <v>0</v>
      </c>
      <c r="L34" s="25">
        <f>IF(B34="","",IFERROR(INDEX(Ingredients!$I$5:$I$304,MATCH(B34,Ingredients!$B$5:$B$304,0)),"Add to Ingredients"))</f>
        <v>0</v>
      </c>
      <c r="M34" s="45">
        <f>IF(OR(G34="",G34=0,K34="",NOT(ISNUMBER(K34)),K34=0),"",ROUNDUP(G34/K34,0))</f>
        <v>0</v>
      </c>
      <c r="N34" s="25">
        <f>IF(OR(M34="",L34="",NOT(ISNUMBER(L34))),"",M34*L34)</f>
        <v>0</v>
      </c>
      <c r="O34" s="17">
        <f>IF(B34="","",IFERROR(INDEX(Ingredients!$E$5:$E$304,MATCH(B34,Ingredients!$B$5:$B$304,0)),"Add to Ingredients"))</f>
        <v>0</v>
      </c>
      <c r="Q34" s="31">
        <f>IF(B34="","",IF(F34=0,"Out of stock",IF(AND(E34&lt;&gt;"",F34&lt;E34),"Low stock","In stock")))</f>
        <v>0</v>
      </c>
      <c r="R34" s="31">
        <f>IF(B34="","",IF(Q34="Out of stock","Missing - add it to the list",IF(AND(I34&lt;&gt;"",I34&lt;1),"Due - less than a week left",IF(Q34="Low stock","Check - below your par level","OK"))))</f>
        <v>0</v>
      </c>
    </row>
    <row r="35" spans="1:18">
      <c r="A35" s="39">
        <f>IF(B35="","","STP-"&amp;TEXT(ROW()-4,"000"))</f>
        <v>0</v>
      </c>
      <c r="C35" s="17">
        <f>IF(B35="","",IFERROR(INDEX(Ingredients!$C$5:$C$304,MATCH(B35,Ingredients!$B$5:$B$304,0)),"Add to Ingredients"))</f>
        <v>0</v>
      </c>
      <c r="D35" s="17">
        <f>IF(B35="","",IFERROR(INDEX(Ingredients!$G$5:$G$304,MATCH(B35,Ingredients!$B$5:$B$304,0)),"Add to Ingredients"))</f>
        <v>0</v>
      </c>
      <c r="F35" s="45">
        <f>IF(B35="","",IFERROR(INDEX(Ingredients!$AD$5:$AD$304,MATCH(B35,Ingredients!$B$5:$B$304,0)),0))</f>
        <v>0</v>
      </c>
      <c r="G35" s="45">
        <f>IF(OR(E35="",F35=""),"",MAX(0,E35-F35))</f>
        <v>0</v>
      </c>
      <c r="I35" s="45">
        <f>IF(OR(H35="",H35=0,F35=""),"",F35/H35)</f>
        <v>0</v>
      </c>
      <c r="J35" s="19">
        <f>IF(I35="","",TODAY()+ROUND(I35*7,0))</f>
        <v>0</v>
      </c>
      <c r="K35" s="45">
        <f>IF(B35="","",IFERROR(INDEX(Ingredients!$H$5:$H$304,MATCH(B35,Ingredients!$B$5:$B$304,0)),"Add to Ingredients"))</f>
        <v>0</v>
      </c>
      <c r="L35" s="25">
        <f>IF(B35="","",IFERROR(INDEX(Ingredients!$I$5:$I$304,MATCH(B35,Ingredients!$B$5:$B$304,0)),"Add to Ingredients"))</f>
        <v>0</v>
      </c>
      <c r="M35" s="45">
        <f>IF(OR(G35="",G35=0,K35="",NOT(ISNUMBER(K35)),K35=0),"",ROUNDUP(G35/K35,0))</f>
        <v>0</v>
      </c>
      <c r="N35" s="25">
        <f>IF(OR(M35="",L35="",NOT(ISNUMBER(L35))),"",M35*L35)</f>
        <v>0</v>
      </c>
      <c r="O35" s="17">
        <f>IF(B35="","",IFERROR(INDEX(Ingredients!$E$5:$E$304,MATCH(B35,Ingredients!$B$5:$B$304,0)),"Add to Ingredients"))</f>
        <v>0</v>
      </c>
      <c r="Q35" s="31">
        <f>IF(B35="","",IF(F35=0,"Out of stock",IF(AND(E35&lt;&gt;"",F35&lt;E35),"Low stock","In stock")))</f>
        <v>0</v>
      </c>
      <c r="R35" s="31">
        <f>IF(B35="","",IF(Q35="Out of stock","Missing - add it to the list",IF(AND(I35&lt;&gt;"",I35&lt;1),"Due - less than a week left",IF(Q35="Low stock","Check - below your par level","OK"))))</f>
        <v>0</v>
      </c>
    </row>
    <row r="36" spans="1:18">
      <c r="A36" s="39">
        <f>IF(B36="","","STP-"&amp;TEXT(ROW()-4,"000"))</f>
        <v>0</v>
      </c>
      <c r="C36" s="17">
        <f>IF(B36="","",IFERROR(INDEX(Ingredients!$C$5:$C$304,MATCH(B36,Ingredients!$B$5:$B$304,0)),"Add to Ingredients"))</f>
        <v>0</v>
      </c>
      <c r="D36" s="17">
        <f>IF(B36="","",IFERROR(INDEX(Ingredients!$G$5:$G$304,MATCH(B36,Ingredients!$B$5:$B$304,0)),"Add to Ingredients"))</f>
        <v>0</v>
      </c>
      <c r="F36" s="45">
        <f>IF(B36="","",IFERROR(INDEX(Ingredients!$AD$5:$AD$304,MATCH(B36,Ingredients!$B$5:$B$304,0)),0))</f>
        <v>0</v>
      </c>
      <c r="G36" s="45">
        <f>IF(OR(E36="",F36=""),"",MAX(0,E36-F36))</f>
        <v>0</v>
      </c>
      <c r="I36" s="45">
        <f>IF(OR(H36="",H36=0,F36=""),"",F36/H36)</f>
        <v>0</v>
      </c>
      <c r="J36" s="19">
        <f>IF(I36="","",TODAY()+ROUND(I36*7,0))</f>
        <v>0</v>
      </c>
      <c r="K36" s="45">
        <f>IF(B36="","",IFERROR(INDEX(Ingredients!$H$5:$H$304,MATCH(B36,Ingredients!$B$5:$B$304,0)),"Add to Ingredients"))</f>
        <v>0</v>
      </c>
      <c r="L36" s="25">
        <f>IF(B36="","",IFERROR(INDEX(Ingredients!$I$5:$I$304,MATCH(B36,Ingredients!$B$5:$B$304,0)),"Add to Ingredients"))</f>
        <v>0</v>
      </c>
      <c r="M36" s="45">
        <f>IF(OR(G36="",G36=0,K36="",NOT(ISNUMBER(K36)),K36=0),"",ROUNDUP(G36/K36,0))</f>
        <v>0</v>
      </c>
      <c r="N36" s="25">
        <f>IF(OR(M36="",L36="",NOT(ISNUMBER(L36))),"",M36*L36)</f>
        <v>0</v>
      </c>
      <c r="O36" s="17">
        <f>IF(B36="","",IFERROR(INDEX(Ingredients!$E$5:$E$304,MATCH(B36,Ingredients!$B$5:$B$304,0)),"Add to Ingredients"))</f>
        <v>0</v>
      </c>
      <c r="Q36" s="31">
        <f>IF(B36="","",IF(F36=0,"Out of stock",IF(AND(E36&lt;&gt;"",F36&lt;E36),"Low stock","In stock")))</f>
        <v>0</v>
      </c>
      <c r="R36" s="31">
        <f>IF(B36="","",IF(Q36="Out of stock","Missing - add it to the list",IF(AND(I36&lt;&gt;"",I36&lt;1),"Due - less than a week left",IF(Q36="Low stock","Check - below your par level","OK"))))</f>
        <v>0</v>
      </c>
    </row>
    <row r="37" spans="1:18">
      <c r="A37" s="39">
        <f>IF(B37="","","STP-"&amp;TEXT(ROW()-4,"000"))</f>
        <v>0</v>
      </c>
      <c r="C37" s="17">
        <f>IF(B37="","",IFERROR(INDEX(Ingredients!$C$5:$C$304,MATCH(B37,Ingredients!$B$5:$B$304,0)),"Add to Ingredients"))</f>
        <v>0</v>
      </c>
      <c r="D37" s="17">
        <f>IF(B37="","",IFERROR(INDEX(Ingredients!$G$5:$G$304,MATCH(B37,Ingredients!$B$5:$B$304,0)),"Add to Ingredients"))</f>
        <v>0</v>
      </c>
      <c r="F37" s="45">
        <f>IF(B37="","",IFERROR(INDEX(Ingredients!$AD$5:$AD$304,MATCH(B37,Ingredients!$B$5:$B$304,0)),0))</f>
        <v>0</v>
      </c>
      <c r="G37" s="45">
        <f>IF(OR(E37="",F37=""),"",MAX(0,E37-F37))</f>
        <v>0</v>
      </c>
      <c r="I37" s="45">
        <f>IF(OR(H37="",H37=0,F37=""),"",F37/H37)</f>
        <v>0</v>
      </c>
      <c r="J37" s="19">
        <f>IF(I37="","",TODAY()+ROUND(I37*7,0))</f>
        <v>0</v>
      </c>
      <c r="K37" s="45">
        <f>IF(B37="","",IFERROR(INDEX(Ingredients!$H$5:$H$304,MATCH(B37,Ingredients!$B$5:$B$304,0)),"Add to Ingredients"))</f>
        <v>0</v>
      </c>
      <c r="L37" s="25">
        <f>IF(B37="","",IFERROR(INDEX(Ingredients!$I$5:$I$304,MATCH(B37,Ingredients!$B$5:$B$304,0)),"Add to Ingredients"))</f>
        <v>0</v>
      </c>
      <c r="M37" s="45">
        <f>IF(OR(G37="",G37=0,K37="",NOT(ISNUMBER(K37)),K37=0),"",ROUNDUP(G37/K37,0))</f>
        <v>0</v>
      </c>
      <c r="N37" s="25">
        <f>IF(OR(M37="",L37="",NOT(ISNUMBER(L37))),"",M37*L37)</f>
        <v>0</v>
      </c>
      <c r="O37" s="17">
        <f>IF(B37="","",IFERROR(INDEX(Ingredients!$E$5:$E$304,MATCH(B37,Ingredients!$B$5:$B$304,0)),"Add to Ingredients"))</f>
        <v>0</v>
      </c>
      <c r="Q37" s="31">
        <f>IF(B37="","",IF(F37=0,"Out of stock",IF(AND(E37&lt;&gt;"",F37&lt;E37),"Low stock","In stock")))</f>
        <v>0</v>
      </c>
      <c r="R37" s="31">
        <f>IF(B37="","",IF(Q37="Out of stock","Missing - add it to the list",IF(AND(I37&lt;&gt;"",I37&lt;1),"Due - less than a week left",IF(Q37="Low stock","Check - below your par level","OK"))))</f>
        <v>0</v>
      </c>
    </row>
    <row r="38" spans="1:18">
      <c r="A38" s="39">
        <f>IF(B38="","","STP-"&amp;TEXT(ROW()-4,"000"))</f>
        <v>0</v>
      </c>
      <c r="C38" s="17">
        <f>IF(B38="","",IFERROR(INDEX(Ingredients!$C$5:$C$304,MATCH(B38,Ingredients!$B$5:$B$304,0)),"Add to Ingredients"))</f>
        <v>0</v>
      </c>
      <c r="D38" s="17">
        <f>IF(B38="","",IFERROR(INDEX(Ingredients!$G$5:$G$304,MATCH(B38,Ingredients!$B$5:$B$304,0)),"Add to Ingredients"))</f>
        <v>0</v>
      </c>
      <c r="F38" s="45">
        <f>IF(B38="","",IFERROR(INDEX(Ingredients!$AD$5:$AD$304,MATCH(B38,Ingredients!$B$5:$B$304,0)),0))</f>
        <v>0</v>
      </c>
      <c r="G38" s="45">
        <f>IF(OR(E38="",F38=""),"",MAX(0,E38-F38))</f>
        <v>0</v>
      </c>
      <c r="I38" s="45">
        <f>IF(OR(H38="",H38=0,F38=""),"",F38/H38)</f>
        <v>0</v>
      </c>
      <c r="J38" s="19">
        <f>IF(I38="","",TODAY()+ROUND(I38*7,0))</f>
        <v>0</v>
      </c>
      <c r="K38" s="45">
        <f>IF(B38="","",IFERROR(INDEX(Ingredients!$H$5:$H$304,MATCH(B38,Ingredients!$B$5:$B$304,0)),"Add to Ingredients"))</f>
        <v>0</v>
      </c>
      <c r="L38" s="25">
        <f>IF(B38="","",IFERROR(INDEX(Ingredients!$I$5:$I$304,MATCH(B38,Ingredients!$B$5:$B$304,0)),"Add to Ingredients"))</f>
        <v>0</v>
      </c>
      <c r="M38" s="45">
        <f>IF(OR(G38="",G38=0,K38="",NOT(ISNUMBER(K38)),K38=0),"",ROUNDUP(G38/K38,0))</f>
        <v>0</v>
      </c>
      <c r="N38" s="25">
        <f>IF(OR(M38="",L38="",NOT(ISNUMBER(L38))),"",M38*L38)</f>
        <v>0</v>
      </c>
      <c r="O38" s="17">
        <f>IF(B38="","",IFERROR(INDEX(Ingredients!$E$5:$E$304,MATCH(B38,Ingredients!$B$5:$B$304,0)),"Add to Ingredients"))</f>
        <v>0</v>
      </c>
      <c r="Q38" s="31">
        <f>IF(B38="","",IF(F38=0,"Out of stock",IF(AND(E38&lt;&gt;"",F38&lt;E38),"Low stock","In stock")))</f>
        <v>0</v>
      </c>
      <c r="R38" s="31">
        <f>IF(B38="","",IF(Q38="Out of stock","Missing - add it to the list",IF(AND(I38&lt;&gt;"",I38&lt;1),"Due - less than a week left",IF(Q38="Low stock","Check - below your par level","OK"))))</f>
        <v>0</v>
      </c>
    </row>
    <row r="39" spans="1:18">
      <c r="A39" s="39">
        <f>IF(B39="","","STP-"&amp;TEXT(ROW()-4,"000"))</f>
        <v>0</v>
      </c>
      <c r="C39" s="17">
        <f>IF(B39="","",IFERROR(INDEX(Ingredients!$C$5:$C$304,MATCH(B39,Ingredients!$B$5:$B$304,0)),"Add to Ingredients"))</f>
        <v>0</v>
      </c>
      <c r="D39" s="17">
        <f>IF(B39="","",IFERROR(INDEX(Ingredients!$G$5:$G$304,MATCH(B39,Ingredients!$B$5:$B$304,0)),"Add to Ingredients"))</f>
        <v>0</v>
      </c>
      <c r="F39" s="45">
        <f>IF(B39="","",IFERROR(INDEX(Ingredients!$AD$5:$AD$304,MATCH(B39,Ingredients!$B$5:$B$304,0)),0))</f>
        <v>0</v>
      </c>
      <c r="G39" s="45">
        <f>IF(OR(E39="",F39=""),"",MAX(0,E39-F39))</f>
        <v>0</v>
      </c>
      <c r="I39" s="45">
        <f>IF(OR(H39="",H39=0,F39=""),"",F39/H39)</f>
        <v>0</v>
      </c>
      <c r="J39" s="19">
        <f>IF(I39="","",TODAY()+ROUND(I39*7,0))</f>
        <v>0</v>
      </c>
      <c r="K39" s="45">
        <f>IF(B39="","",IFERROR(INDEX(Ingredients!$H$5:$H$304,MATCH(B39,Ingredients!$B$5:$B$304,0)),"Add to Ingredients"))</f>
        <v>0</v>
      </c>
      <c r="L39" s="25">
        <f>IF(B39="","",IFERROR(INDEX(Ingredients!$I$5:$I$304,MATCH(B39,Ingredients!$B$5:$B$304,0)),"Add to Ingredients"))</f>
        <v>0</v>
      </c>
      <c r="M39" s="45">
        <f>IF(OR(G39="",G39=0,K39="",NOT(ISNUMBER(K39)),K39=0),"",ROUNDUP(G39/K39,0))</f>
        <v>0</v>
      </c>
      <c r="N39" s="25">
        <f>IF(OR(M39="",L39="",NOT(ISNUMBER(L39))),"",M39*L39)</f>
        <v>0</v>
      </c>
      <c r="O39" s="17">
        <f>IF(B39="","",IFERROR(INDEX(Ingredients!$E$5:$E$304,MATCH(B39,Ingredients!$B$5:$B$304,0)),"Add to Ingredients"))</f>
        <v>0</v>
      </c>
      <c r="Q39" s="31">
        <f>IF(B39="","",IF(F39=0,"Out of stock",IF(AND(E39&lt;&gt;"",F39&lt;E39),"Low stock","In stock")))</f>
        <v>0</v>
      </c>
      <c r="R39" s="31">
        <f>IF(B39="","",IF(Q39="Out of stock","Missing - add it to the list",IF(AND(I39&lt;&gt;"",I39&lt;1),"Due - less than a week left",IF(Q39="Low stock","Check - below your par level","OK"))))</f>
        <v>0</v>
      </c>
    </row>
    <row r="40" spans="1:18">
      <c r="A40" s="39">
        <f>IF(B40="","","STP-"&amp;TEXT(ROW()-4,"000"))</f>
        <v>0</v>
      </c>
      <c r="C40" s="17">
        <f>IF(B40="","",IFERROR(INDEX(Ingredients!$C$5:$C$304,MATCH(B40,Ingredients!$B$5:$B$304,0)),"Add to Ingredients"))</f>
        <v>0</v>
      </c>
      <c r="D40" s="17">
        <f>IF(B40="","",IFERROR(INDEX(Ingredients!$G$5:$G$304,MATCH(B40,Ingredients!$B$5:$B$304,0)),"Add to Ingredients"))</f>
        <v>0</v>
      </c>
      <c r="F40" s="45">
        <f>IF(B40="","",IFERROR(INDEX(Ingredients!$AD$5:$AD$304,MATCH(B40,Ingredients!$B$5:$B$304,0)),0))</f>
        <v>0</v>
      </c>
      <c r="G40" s="45">
        <f>IF(OR(E40="",F40=""),"",MAX(0,E40-F40))</f>
        <v>0</v>
      </c>
      <c r="I40" s="45">
        <f>IF(OR(H40="",H40=0,F40=""),"",F40/H40)</f>
        <v>0</v>
      </c>
      <c r="J40" s="19">
        <f>IF(I40="","",TODAY()+ROUND(I40*7,0))</f>
        <v>0</v>
      </c>
      <c r="K40" s="45">
        <f>IF(B40="","",IFERROR(INDEX(Ingredients!$H$5:$H$304,MATCH(B40,Ingredients!$B$5:$B$304,0)),"Add to Ingredients"))</f>
        <v>0</v>
      </c>
      <c r="L40" s="25">
        <f>IF(B40="","",IFERROR(INDEX(Ingredients!$I$5:$I$304,MATCH(B40,Ingredients!$B$5:$B$304,0)),"Add to Ingredients"))</f>
        <v>0</v>
      </c>
      <c r="M40" s="45">
        <f>IF(OR(G40="",G40=0,K40="",NOT(ISNUMBER(K40)),K40=0),"",ROUNDUP(G40/K40,0))</f>
        <v>0</v>
      </c>
      <c r="N40" s="25">
        <f>IF(OR(M40="",L40="",NOT(ISNUMBER(L40))),"",M40*L40)</f>
        <v>0</v>
      </c>
      <c r="O40" s="17">
        <f>IF(B40="","",IFERROR(INDEX(Ingredients!$E$5:$E$304,MATCH(B40,Ingredients!$B$5:$B$304,0)),"Add to Ingredients"))</f>
        <v>0</v>
      </c>
      <c r="Q40" s="31">
        <f>IF(B40="","",IF(F40=0,"Out of stock",IF(AND(E40&lt;&gt;"",F40&lt;E40),"Low stock","In stock")))</f>
        <v>0</v>
      </c>
      <c r="R40" s="31">
        <f>IF(B40="","",IF(Q40="Out of stock","Missing - add it to the list",IF(AND(I40&lt;&gt;"",I40&lt;1),"Due - less than a week left",IF(Q40="Low stock","Check - below your par level","OK"))))</f>
        <v>0</v>
      </c>
    </row>
    <row r="41" spans="1:18">
      <c r="A41" s="39">
        <f>IF(B41="","","STP-"&amp;TEXT(ROW()-4,"000"))</f>
        <v>0</v>
      </c>
      <c r="C41" s="17">
        <f>IF(B41="","",IFERROR(INDEX(Ingredients!$C$5:$C$304,MATCH(B41,Ingredients!$B$5:$B$304,0)),"Add to Ingredients"))</f>
        <v>0</v>
      </c>
      <c r="D41" s="17">
        <f>IF(B41="","",IFERROR(INDEX(Ingredients!$G$5:$G$304,MATCH(B41,Ingredients!$B$5:$B$304,0)),"Add to Ingredients"))</f>
        <v>0</v>
      </c>
      <c r="F41" s="45">
        <f>IF(B41="","",IFERROR(INDEX(Ingredients!$AD$5:$AD$304,MATCH(B41,Ingredients!$B$5:$B$304,0)),0))</f>
        <v>0</v>
      </c>
      <c r="G41" s="45">
        <f>IF(OR(E41="",F41=""),"",MAX(0,E41-F41))</f>
        <v>0</v>
      </c>
      <c r="I41" s="45">
        <f>IF(OR(H41="",H41=0,F41=""),"",F41/H41)</f>
        <v>0</v>
      </c>
      <c r="J41" s="19">
        <f>IF(I41="","",TODAY()+ROUND(I41*7,0))</f>
        <v>0</v>
      </c>
      <c r="K41" s="45">
        <f>IF(B41="","",IFERROR(INDEX(Ingredients!$H$5:$H$304,MATCH(B41,Ingredients!$B$5:$B$304,0)),"Add to Ingredients"))</f>
        <v>0</v>
      </c>
      <c r="L41" s="25">
        <f>IF(B41="","",IFERROR(INDEX(Ingredients!$I$5:$I$304,MATCH(B41,Ingredients!$B$5:$B$304,0)),"Add to Ingredients"))</f>
        <v>0</v>
      </c>
      <c r="M41" s="45">
        <f>IF(OR(G41="",G41=0,K41="",NOT(ISNUMBER(K41)),K41=0),"",ROUNDUP(G41/K41,0))</f>
        <v>0</v>
      </c>
      <c r="N41" s="25">
        <f>IF(OR(M41="",L41="",NOT(ISNUMBER(L41))),"",M41*L41)</f>
        <v>0</v>
      </c>
      <c r="O41" s="17">
        <f>IF(B41="","",IFERROR(INDEX(Ingredients!$E$5:$E$304,MATCH(B41,Ingredients!$B$5:$B$304,0)),"Add to Ingredients"))</f>
        <v>0</v>
      </c>
      <c r="Q41" s="31">
        <f>IF(B41="","",IF(F41=0,"Out of stock",IF(AND(E41&lt;&gt;"",F41&lt;E41),"Low stock","In stock")))</f>
        <v>0</v>
      </c>
      <c r="R41" s="31">
        <f>IF(B41="","",IF(Q41="Out of stock","Missing - add it to the list",IF(AND(I41&lt;&gt;"",I41&lt;1),"Due - less than a week left",IF(Q41="Low stock","Check - below your par level","OK"))))</f>
        <v>0</v>
      </c>
    </row>
    <row r="42" spans="1:18">
      <c r="A42" s="39">
        <f>IF(B42="","","STP-"&amp;TEXT(ROW()-4,"000"))</f>
        <v>0</v>
      </c>
      <c r="C42" s="17">
        <f>IF(B42="","",IFERROR(INDEX(Ingredients!$C$5:$C$304,MATCH(B42,Ingredients!$B$5:$B$304,0)),"Add to Ingredients"))</f>
        <v>0</v>
      </c>
      <c r="D42" s="17">
        <f>IF(B42="","",IFERROR(INDEX(Ingredients!$G$5:$G$304,MATCH(B42,Ingredients!$B$5:$B$304,0)),"Add to Ingredients"))</f>
        <v>0</v>
      </c>
      <c r="F42" s="45">
        <f>IF(B42="","",IFERROR(INDEX(Ingredients!$AD$5:$AD$304,MATCH(B42,Ingredients!$B$5:$B$304,0)),0))</f>
        <v>0</v>
      </c>
      <c r="G42" s="45">
        <f>IF(OR(E42="",F42=""),"",MAX(0,E42-F42))</f>
        <v>0</v>
      </c>
      <c r="I42" s="45">
        <f>IF(OR(H42="",H42=0,F42=""),"",F42/H42)</f>
        <v>0</v>
      </c>
      <c r="J42" s="19">
        <f>IF(I42="","",TODAY()+ROUND(I42*7,0))</f>
        <v>0</v>
      </c>
      <c r="K42" s="45">
        <f>IF(B42="","",IFERROR(INDEX(Ingredients!$H$5:$H$304,MATCH(B42,Ingredients!$B$5:$B$304,0)),"Add to Ingredients"))</f>
        <v>0</v>
      </c>
      <c r="L42" s="25">
        <f>IF(B42="","",IFERROR(INDEX(Ingredients!$I$5:$I$304,MATCH(B42,Ingredients!$B$5:$B$304,0)),"Add to Ingredients"))</f>
        <v>0</v>
      </c>
      <c r="M42" s="45">
        <f>IF(OR(G42="",G42=0,K42="",NOT(ISNUMBER(K42)),K42=0),"",ROUNDUP(G42/K42,0))</f>
        <v>0</v>
      </c>
      <c r="N42" s="25">
        <f>IF(OR(M42="",L42="",NOT(ISNUMBER(L42))),"",M42*L42)</f>
        <v>0</v>
      </c>
      <c r="O42" s="17">
        <f>IF(B42="","",IFERROR(INDEX(Ingredients!$E$5:$E$304,MATCH(B42,Ingredients!$B$5:$B$304,0)),"Add to Ingredients"))</f>
        <v>0</v>
      </c>
      <c r="Q42" s="31">
        <f>IF(B42="","",IF(F42=0,"Out of stock",IF(AND(E42&lt;&gt;"",F42&lt;E42),"Low stock","In stock")))</f>
        <v>0</v>
      </c>
      <c r="R42" s="31">
        <f>IF(B42="","",IF(Q42="Out of stock","Missing - add it to the list",IF(AND(I42&lt;&gt;"",I42&lt;1),"Due - less than a week left",IF(Q42="Low stock","Check - below your par level","OK"))))</f>
        <v>0</v>
      </c>
    </row>
    <row r="43" spans="1:18">
      <c r="A43" s="39">
        <f>IF(B43="","","STP-"&amp;TEXT(ROW()-4,"000"))</f>
        <v>0</v>
      </c>
      <c r="C43" s="17">
        <f>IF(B43="","",IFERROR(INDEX(Ingredients!$C$5:$C$304,MATCH(B43,Ingredients!$B$5:$B$304,0)),"Add to Ingredients"))</f>
        <v>0</v>
      </c>
      <c r="D43" s="17">
        <f>IF(B43="","",IFERROR(INDEX(Ingredients!$G$5:$G$304,MATCH(B43,Ingredients!$B$5:$B$304,0)),"Add to Ingredients"))</f>
        <v>0</v>
      </c>
      <c r="F43" s="45">
        <f>IF(B43="","",IFERROR(INDEX(Ingredients!$AD$5:$AD$304,MATCH(B43,Ingredients!$B$5:$B$304,0)),0))</f>
        <v>0</v>
      </c>
      <c r="G43" s="45">
        <f>IF(OR(E43="",F43=""),"",MAX(0,E43-F43))</f>
        <v>0</v>
      </c>
      <c r="I43" s="45">
        <f>IF(OR(H43="",H43=0,F43=""),"",F43/H43)</f>
        <v>0</v>
      </c>
      <c r="J43" s="19">
        <f>IF(I43="","",TODAY()+ROUND(I43*7,0))</f>
        <v>0</v>
      </c>
      <c r="K43" s="45">
        <f>IF(B43="","",IFERROR(INDEX(Ingredients!$H$5:$H$304,MATCH(B43,Ingredients!$B$5:$B$304,0)),"Add to Ingredients"))</f>
        <v>0</v>
      </c>
      <c r="L43" s="25">
        <f>IF(B43="","",IFERROR(INDEX(Ingredients!$I$5:$I$304,MATCH(B43,Ingredients!$B$5:$B$304,0)),"Add to Ingredients"))</f>
        <v>0</v>
      </c>
      <c r="M43" s="45">
        <f>IF(OR(G43="",G43=0,K43="",NOT(ISNUMBER(K43)),K43=0),"",ROUNDUP(G43/K43,0))</f>
        <v>0</v>
      </c>
      <c r="N43" s="25">
        <f>IF(OR(M43="",L43="",NOT(ISNUMBER(L43))),"",M43*L43)</f>
        <v>0</v>
      </c>
      <c r="O43" s="17">
        <f>IF(B43="","",IFERROR(INDEX(Ingredients!$E$5:$E$304,MATCH(B43,Ingredients!$B$5:$B$304,0)),"Add to Ingredients"))</f>
        <v>0</v>
      </c>
      <c r="Q43" s="31">
        <f>IF(B43="","",IF(F43=0,"Out of stock",IF(AND(E43&lt;&gt;"",F43&lt;E43),"Low stock","In stock")))</f>
        <v>0</v>
      </c>
      <c r="R43" s="31">
        <f>IF(B43="","",IF(Q43="Out of stock","Missing - add it to the list",IF(AND(I43&lt;&gt;"",I43&lt;1),"Due - less than a week left",IF(Q43="Low stock","Check - below your par level","OK"))))</f>
        <v>0</v>
      </c>
    </row>
    <row r="44" spans="1:18">
      <c r="A44" s="39">
        <f>IF(B44="","","STP-"&amp;TEXT(ROW()-4,"000"))</f>
        <v>0</v>
      </c>
      <c r="C44" s="17">
        <f>IF(B44="","",IFERROR(INDEX(Ingredients!$C$5:$C$304,MATCH(B44,Ingredients!$B$5:$B$304,0)),"Add to Ingredients"))</f>
        <v>0</v>
      </c>
      <c r="D44" s="17">
        <f>IF(B44="","",IFERROR(INDEX(Ingredients!$G$5:$G$304,MATCH(B44,Ingredients!$B$5:$B$304,0)),"Add to Ingredients"))</f>
        <v>0</v>
      </c>
      <c r="F44" s="45">
        <f>IF(B44="","",IFERROR(INDEX(Ingredients!$AD$5:$AD$304,MATCH(B44,Ingredients!$B$5:$B$304,0)),0))</f>
        <v>0</v>
      </c>
      <c r="G44" s="45">
        <f>IF(OR(E44="",F44=""),"",MAX(0,E44-F44))</f>
        <v>0</v>
      </c>
      <c r="I44" s="45">
        <f>IF(OR(H44="",H44=0,F44=""),"",F44/H44)</f>
        <v>0</v>
      </c>
      <c r="J44" s="19">
        <f>IF(I44="","",TODAY()+ROUND(I44*7,0))</f>
        <v>0</v>
      </c>
      <c r="K44" s="45">
        <f>IF(B44="","",IFERROR(INDEX(Ingredients!$H$5:$H$304,MATCH(B44,Ingredients!$B$5:$B$304,0)),"Add to Ingredients"))</f>
        <v>0</v>
      </c>
      <c r="L44" s="25">
        <f>IF(B44="","",IFERROR(INDEX(Ingredients!$I$5:$I$304,MATCH(B44,Ingredients!$B$5:$B$304,0)),"Add to Ingredients"))</f>
        <v>0</v>
      </c>
      <c r="M44" s="45">
        <f>IF(OR(G44="",G44=0,K44="",NOT(ISNUMBER(K44)),K44=0),"",ROUNDUP(G44/K44,0))</f>
        <v>0</v>
      </c>
      <c r="N44" s="25">
        <f>IF(OR(M44="",L44="",NOT(ISNUMBER(L44))),"",M44*L44)</f>
        <v>0</v>
      </c>
      <c r="O44" s="17">
        <f>IF(B44="","",IFERROR(INDEX(Ingredients!$E$5:$E$304,MATCH(B44,Ingredients!$B$5:$B$304,0)),"Add to Ingredients"))</f>
        <v>0</v>
      </c>
      <c r="Q44" s="31">
        <f>IF(B44="","",IF(F44=0,"Out of stock",IF(AND(E44&lt;&gt;"",F44&lt;E44),"Low stock","In stock")))</f>
        <v>0</v>
      </c>
      <c r="R44" s="31">
        <f>IF(B44="","",IF(Q44="Out of stock","Missing - add it to the list",IF(AND(I44&lt;&gt;"",I44&lt;1),"Due - less than a week left",IF(Q44="Low stock","Check - below your par level","OK"))))</f>
        <v>0</v>
      </c>
    </row>
    <row r="45" spans="1:18">
      <c r="A45" s="39">
        <f>IF(B45="","","STP-"&amp;TEXT(ROW()-4,"000"))</f>
        <v>0</v>
      </c>
      <c r="C45" s="17">
        <f>IF(B45="","",IFERROR(INDEX(Ingredients!$C$5:$C$304,MATCH(B45,Ingredients!$B$5:$B$304,0)),"Add to Ingredients"))</f>
        <v>0</v>
      </c>
      <c r="D45" s="17">
        <f>IF(B45="","",IFERROR(INDEX(Ingredients!$G$5:$G$304,MATCH(B45,Ingredients!$B$5:$B$304,0)),"Add to Ingredients"))</f>
        <v>0</v>
      </c>
      <c r="F45" s="45">
        <f>IF(B45="","",IFERROR(INDEX(Ingredients!$AD$5:$AD$304,MATCH(B45,Ingredients!$B$5:$B$304,0)),0))</f>
        <v>0</v>
      </c>
      <c r="G45" s="45">
        <f>IF(OR(E45="",F45=""),"",MAX(0,E45-F45))</f>
        <v>0</v>
      </c>
      <c r="I45" s="45">
        <f>IF(OR(H45="",H45=0,F45=""),"",F45/H45)</f>
        <v>0</v>
      </c>
      <c r="J45" s="19">
        <f>IF(I45="","",TODAY()+ROUND(I45*7,0))</f>
        <v>0</v>
      </c>
      <c r="K45" s="45">
        <f>IF(B45="","",IFERROR(INDEX(Ingredients!$H$5:$H$304,MATCH(B45,Ingredients!$B$5:$B$304,0)),"Add to Ingredients"))</f>
        <v>0</v>
      </c>
      <c r="L45" s="25">
        <f>IF(B45="","",IFERROR(INDEX(Ingredients!$I$5:$I$304,MATCH(B45,Ingredients!$B$5:$B$304,0)),"Add to Ingredients"))</f>
        <v>0</v>
      </c>
      <c r="M45" s="45">
        <f>IF(OR(G45="",G45=0,K45="",NOT(ISNUMBER(K45)),K45=0),"",ROUNDUP(G45/K45,0))</f>
        <v>0</v>
      </c>
      <c r="N45" s="25">
        <f>IF(OR(M45="",L45="",NOT(ISNUMBER(L45))),"",M45*L45)</f>
        <v>0</v>
      </c>
      <c r="O45" s="17">
        <f>IF(B45="","",IFERROR(INDEX(Ingredients!$E$5:$E$304,MATCH(B45,Ingredients!$B$5:$B$304,0)),"Add to Ingredients"))</f>
        <v>0</v>
      </c>
      <c r="Q45" s="31">
        <f>IF(B45="","",IF(F45=0,"Out of stock",IF(AND(E45&lt;&gt;"",F45&lt;E45),"Low stock","In stock")))</f>
        <v>0</v>
      </c>
      <c r="R45" s="31">
        <f>IF(B45="","",IF(Q45="Out of stock","Missing - add it to the list",IF(AND(I45&lt;&gt;"",I45&lt;1),"Due - less than a week left",IF(Q45="Low stock","Check - below your par level","OK"))))</f>
        <v>0</v>
      </c>
    </row>
    <row r="46" spans="1:18">
      <c r="A46" s="39">
        <f>IF(B46="","","STP-"&amp;TEXT(ROW()-4,"000"))</f>
        <v>0</v>
      </c>
      <c r="C46" s="17">
        <f>IF(B46="","",IFERROR(INDEX(Ingredients!$C$5:$C$304,MATCH(B46,Ingredients!$B$5:$B$304,0)),"Add to Ingredients"))</f>
        <v>0</v>
      </c>
      <c r="D46" s="17">
        <f>IF(B46="","",IFERROR(INDEX(Ingredients!$G$5:$G$304,MATCH(B46,Ingredients!$B$5:$B$304,0)),"Add to Ingredients"))</f>
        <v>0</v>
      </c>
      <c r="F46" s="45">
        <f>IF(B46="","",IFERROR(INDEX(Ingredients!$AD$5:$AD$304,MATCH(B46,Ingredients!$B$5:$B$304,0)),0))</f>
        <v>0</v>
      </c>
      <c r="G46" s="45">
        <f>IF(OR(E46="",F46=""),"",MAX(0,E46-F46))</f>
        <v>0</v>
      </c>
      <c r="I46" s="45">
        <f>IF(OR(H46="",H46=0,F46=""),"",F46/H46)</f>
        <v>0</v>
      </c>
      <c r="J46" s="19">
        <f>IF(I46="","",TODAY()+ROUND(I46*7,0))</f>
        <v>0</v>
      </c>
      <c r="K46" s="45">
        <f>IF(B46="","",IFERROR(INDEX(Ingredients!$H$5:$H$304,MATCH(B46,Ingredients!$B$5:$B$304,0)),"Add to Ingredients"))</f>
        <v>0</v>
      </c>
      <c r="L46" s="25">
        <f>IF(B46="","",IFERROR(INDEX(Ingredients!$I$5:$I$304,MATCH(B46,Ingredients!$B$5:$B$304,0)),"Add to Ingredients"))</f>
        <v>0</v>
      </c>
      <c r="M46" s="45">
        <f>IF(OR(G46="",G46=0,K46="",NOT(ISNUMBER(K46)),K46=0),"",ROUNDUP(G46/K46,0))</f>
        <v>0</v>
      </c>
      <c r="N46" s="25">
        <f>IF(OR(M46="",L46="",NOT(ISNUMBER(L46))),"",M46*L46)</f>
        <v>0</v>
      </c>
      <c r="O46" s="17">
        <f>IF(B46="","",IFERROR(INDEX(Ingredients!$E$5:$E$304,MATCH(B46,Ingredients!$B$5:$B$304,0)),"Add to Ingredients"))</f>
        <v>0</v>
      </c>
      <c r="Q46" s="31">
        <f>IF(B46="","",IF(F46=0,"Out of stock",IF(AND(E46&lt;&gt;"",F46&lt;E46),"Low stock","In stock")))</f>
        <v>0</v>
      </c>
      <c r="R46" s="31">
        <f>IF(B46="","",IF(Q46="Out of stock","Missing - add it to the list",IF(AND(I46&lt;&gt;"",I46&lt;1),"Due - less than a week left",IF(Q46="Low stock","Check - below your par level","OK"))))</f>
        <v>0</v>
      </c>
    </row>
    <row r="47" spans="1:18">
      <c r="A47" s="39">
        <f>IF(B47="","","STP-"&amp;TEXT(ROW()-4,"000"))</f>
        <v>0</v>
      </c>
      <c r="C47" s="17">
        <f>IF(B47="","",IFERROR(INDEX(Ingredients!$C$5:$C$304,MATCH(B47,Ingredients!$B$5:$B$304,0)),"Add to Ingredients"))</f>
        <v>0</v>
      </c>
      <c r="D47" s="17">
        <f>IF(B47="","",IFERROR(INDEX(Ingredients!$G$5:$G$304,MATCH(B47,Ingredients!$B$5:$B$304,0)),"Add to Ingredients"))</f>
        <v>0</v>
      </c>
      <c r="F47" s="45">
        <f>IF(B47="","",IFERROR(INDEX(Ingredients!$AD$5:$AD$304,MATCH(B47,Ingredients!$B$5:$B$304,0)),0))</f>
        <v>0</v>
      </c>
      <c r="G47" s="45">
        <f>IF(OR(E47="",F47=""),"",MAX(0,E47-F47))</f>
        <v>0</v>
      </c>
      <c r="I47" s="45">
        <f>IF(OR(H47="",H47=0,F47=""),"",F47/H47)</f>
        <v>0</v>
      </c>
      <c r="J47" s="19">
        <f>IF(I47="","",TODAY()+ROUND(I47*7,0))</f>
        <v>0</v>
      </c>
      <c r="K47" s="45">
        <f>IF(B47="","",IFERROR(INDEX(Ingredients!$H$5:$H$304,MATCH(B47,Ingredients!$B$5:$B$304,0)),"Add to Ingredients"))</f>
        <v>0</v>
      </c>
      <c r="L47" s="25">
        <f>IF(B47="","",IFERROR(INDEX(Ingredients!$I$5:$I$304,MATCH(B47,Ingredients!$B$5:$B$304,0)),"Add to Ingredients"))</f>
        <v>0</v>
      </c>
      <c r="M47" s="45">
        <f>IF(OR(G47="",G47=0,K47="",NOT(ISNUMBER(K47)),K47=0),"",ROUNDUP(G47/K47,0))</f>
        <v>0</v>
      </c>
      <c r="N47" s="25">
        <f>IF(OR(M47="",L47="",NOT(ISNUMBER(L47))),"",M47*L47)</f>
        <v>0</v>
      </c>
      <c r="O47" s="17">
        <f>IF(B47="","",IFERROR(INDEX(Ingredients!$E$5:$E$304,MATCH(B47,Ingredients!$B$5:$B$304,0)),"Add to Ingredients"))</f>
        <v>0</v>
      </c>
      <c r="Q47" s="31">
        <f>IF(B47="","",IF(F47=0,"Out of stock",IF(AND(E47&lt;&gt;"",F47&lt;E47),"Low stock","In stock")))</f>
        <v>0</v>
      </c>
      <c r="R47" s="31">
        <f>IF(B47="","",IF(Q47="Out of stock","Missing - add it to the list",IF(AND(I47&lt;&gt;"",I47&lt;1),"Due - less than a week left",IF(Q47="Low stock","Check - below your par level","OK"))))</f>
        <v>0</v>
      </c>
    </row>
    <row r="48" spans="1:18">
      <c r="A48" s="39">
        <f>IF(B48="","","STP-"&amp;TEXT(ROW()-4,"000"))</f>
        <v>0</v>
      </c>
      <c r="C48" s="17">
        <f>IF(B48="","",IFERROR(INDEX(Ingredients!$C$5:$C$304,MATCH(B48,Ingredients!$B$5:$B$304,0)),"Add to Ingredients"))</f>
        <v>0</v>
      </c>
      <c r="D48" s="17">
        <f>IF(B48="","",IFERROR(INDEX(Ingredients!$G$5:$G$304,MATCH(B48,Ingredients!$B$5:$B$304,0)),"Add to Ingredients"))</f>
        <v>0</v>
      </c>
      <c r="F48" s="45">
        <f>IF(B48="","",IFERROR(INDEX(Ingredients!$AD$5:$AD$304,MATCH(B48,Ingredients!$B$5:$B$304,0)),0))</f>
        <v>0</v>
      </c>
      <c r="G48" s="45">
        <f>IF(OR(E48="",F48=""),"",MAX(0,E48-F48))</f>
        <v>0</v>
      </c>
      <c r="I48" s="45">
        <f>IF(OR(H48="",H48=0,F48=""),"",F48/H48)</f>
        <v>0</v>
      </c>
      <c r="J48" s="19">
        <f>IF(I48="","",TODAY()+ROUND(I48*7,0))</f>
        <v>0</v>
      </c>
      <c r="K48" s="45">
        <f>IF(B48="","",IFERROR(INDEX(Ingredients!$H$5:$H$304,MATCH(B48,Ingredients!$B$5:$B$304,0)),"Add to Ingredients"))</f>
        <v>0</v>
      </c>
      <c r="L48" s="25">
        <f>IF(B48="","",IFERROR(INDEX(Ingredients!$I$5:$I$304,MATCH(B48,Ingredients!$B$5:$B$304,0)),"Add to Ingredients"))</f>
        <v>0</v>
      </c>
      <c r="M48" s="45">
        <f>IF(OR(G48="",G48=0,K48="",NOT(ISNUMBER(K48)),K48=0),"",ROUNDUP(G48/K48,0))</f>
        <v>0</v>
      </c>
      <c r="N48" s="25">
        <f>IF(OR(M48="",L48="",NOT(ISNUMBER(L48))),"",M48*L48)</f>
        <v>0</v>
      </c>
      <c r="O48" s="17">
        <f>IF(B48="","",IFERROR(INDEX(Ingredients!$E$5:$E$304,MATCH(B48,Ingredients!$B$5:$B$304,0)),"Add to Ingredients"))</f>
        <v>0</v>
      </c>
      <c r="Q48" s="31">
        <f>IF(B48="","",IF(F48=0,"Out of stock",IF(AND(E48&lt;&gt;"",F48&lt;E48),"Low stock","In stock")))</f>
        <v>0</v>
      </c>
      <c r="R48" s="31">
        <f>IF(B48="","",IF(Q48="Out of stock","Missing - add it to the list",IF(AND(I48&lt;&gt;"",I48&lt;1),"Due - less than a week left",IF(Q48="Low stock","Check - below your par level","OK"))))</f>
        <v>0</v>
      </c>
    </row>
    <row r="49" spans="1:18">
      <c r="A49" s="39">
        <f>IF(B49="","","STP-"&amp;TEXT(ROW()-4,"000"))</f>
        <v>0</v>
      </c>
      <c r="C49" s="17">
        <f>IF(B49="","",IFERROR(INDEX(Ingredients!$C$5:$C$304,MATCH(B49,Ingredients!$B$5:$B$304,0)),"Add to Ingredients"))</f>
        <v>0</v>
      </c>
      <c r="D49" s="17">
        <f>IF(B49="","",IFERROR(INDEX(Ingredients!$G$5:$G$304,MATCH(B49,Ingredients!$B$5:$B$304,0)),"Add to Ingredients"))</f>
        <v>0</v>
      </c>
      <c r="F49" s="45">
        <f>IF(B49="","",IFERROR(INDEX(Ingredients!$AD$5:$AD$304,MATCH(B49,Ingredients!$B$5:$B$304,0)),0))</f>
        <v>0</v>
      </c>
      <c r="G49" s="45">
        <f>IF(OR(E49="",F49=""),"",MAX(0,E49-F49))</f>
        <v>0</v>
      </c>
      <c r="I49" s="45">
        <f>IF(OR(H49="",H49=0,F49=""),"",F49/H49)</f>
        <v>0</v>
      </c>
      <c r="J49" s="19">
        <f>IF(I49="","",TODAY()+ROUND(I49*7,0))</f>
        <v>0</v>
      </c>
      <c r="K49" s="45">
        <f>IF(B49="","",IFERROR(INDEX(Ingredients!$H$5:$H$304,MATCH(B49,Ingredients!$B$5:$B$304,0)),"Add to Ingredients"))</f>
        <v>0</v>
      </c>
      <c r="L49" s="25">
        <f>IF(B49="","",IFERROR(INDEX(Ingredients!$I$5:$I$304,MATCH(B49,Ingredients!$B$5:$B$304,0)),"Add to Ingredients"))</f>
        <v>0</v>
      </c>
      <c r="M49" s="45">
        <f>IF(OR(G49="",G49=0,K49="",NOT(ISNUMBER(K49)),K49=0),"",ROUNDUP(G49/K49,0))</f>
        <v>0</v>
      </c>
      <c r="N49" s="25">
        <f>IF(OR(M49="",L49="",NOT(ISNUMBER(L49))),"",M49*L49)</f>
        <v>0</v>
      </c>
      <c r="O49" s="17">
        <f>IF(B49="","",IFERROR(INDEX(Ingredients!$E$5:$E$304,MATCH(B49,Ingredients!$B$5:$B$304,0)),"Add to Ingredients"))</f>
        <v>0</v>
      </c>
      <c r="Q49" s="31">
        <f>IF(B49="","",IF(F49=0,"Out of stock",IF(AND(E49&lt;&gt;"",F49&lt;E49),"Low stock","In stock")))</f>
        <v>0</v>
      </c>
      <c r="R49" s="31">
        <f>IF(B49="","",IF(Q49="Out of stock","Missing - add it to the list",IF(AND(I49&lt;&gt;"",I49&lt;1),"Due - less than a week left",IF(Q49="Low stock","Check - below your par level","OK"))))</f>
        <v>0</v>
      </c>
    </row>
    <row r="50" spans="1:18">
      <c r="A50" s="39">
        <f>IF(B50="","","STP-"&amp;TEXT(ROW()-4,"000"))</f>
        <v>0</v>
      </c>
      <c r="C50" s="17">
        <f>IF(B50="","",IFERROR(INDEX(Ingredients!$C$5:$C$304,MATCH(B50,Ingredients!$B$5:$B$304,0)),"Add to Ingredients"))</f>
        <v>0</v>
      </c>
      <c r="D50" s="17">
        <f>IF(B50="","",IFERROR(INDEX(Ingredients!$G$5:$G$304,MATCH(B50,Ingredients!$B$5:$B$304,0)),"Add to Ingredients"))</f>
        <v>0</v>
      </c>
      <c r="F50" s="45">
        <f>IF(B50="","",IFERROR(INDEX(Ingredients!$AD$5:$AD$304,MATCH(B50,Ingredients!$B$5:$B$304,0)),0))</f>
        <v>0</v>
      </c>
      <c r="G50" s="45">
        <f>IF(OR(E50="",F50=""),"",MAX(0,E50-F50))</f>
        <v>0</v>
      </c>
      <c r="I50" s="45">
        <f>IF(OR(H50="",H50=0,F50=""),"",F50/H50)</f>
        <v>0</v>
      </c>
      <c r="J50" s="19">
        <f>IF(I50="","",TODAY()+ROUND(I50*7,0))</f>
        <v>0</v>
      </c>
      <c r="K50" s="45">
        <f>IF(B50="","",IFERROR(INDEX(Ingredients!$H$5:$H$304,MATCH(B50,Ingredients!$B$5:$B$304,0)),"Add to Ingredients"))</f>
        <v>0</v>
      </c>
      <c r="L50" s="25">
        <f>IF(B50="","",IFERROR(INDEX(Ingredients!$I$5:$I$304,MATCH(B50,Ingredients!$B$5:$B$304,0)),"Add to Ingredients"))</f>
        <v>0</v>
      </c>
      <c r="M50" s="45">
        <f>IF(OR(G50="",G50=0,K50="",NOT(ISNUMBER(K50)),K50=0),"",ROUNDUP(G50/K50,0))</f>
        <v>0</v>
      </c>
      <c r="N50" s="25">
        <f>IF(OR(M50="",L50="",NOT(ISNUMBER(L50))),"",M50*L50)</f>
        <v>0</v>
      </c>
      <c r="O50" s="17">
        <f>IF(B50="","",IFERROR(INDEX(Ingredients!$E$5:$E$304,MATCH(B50,Ingredients!$B$5:$B$304,0)),"Add to Ingredients"))</f>
        <v>0</v>
      </c>
      <c r="Q50" s="31">
        <f>IF(B50="","",IF(F50=0,"Out of stock",IF(AND(E50&lt;&gt;"",F50&lt;E50),"Low stock","In stock")))</f>
        <v>0</v>
      </c>
      <c r="R50" s="31">
        <f>IF(B50="","",IF(Q50="Out of stock","Missing - add it to the list",IF(AND(I50&lt;&gt;"",I50&lt;1),"Due - less than a week left",IF(Q50="Low stock","Check - below your par level","OK"))))</f>
        <v>0</v>
      </c>
    </row>
    <row r="51" spans="1:18">
      <c r="A51" s="39">
        <f>IF(B51="","","STP-"&amp;TEXT(ROW()-4,"000"))</f>
        <v>0</v>
      </c>
      <c r="C51" s="17">
        <f>IF(B51="","",IFERROR(INDEX(Ingredients!$C$5:$C$304,MATCH(B51,Ingredients!$B$5:$B$304,0)),"Add to Ingredients"))</f>
        <v>0</v>
      </c>
      <c r="D51" s="17">
        <f>IF(B51="","",IFERROR(INDEX(Ingredients!$G$5:$G$304,MATCH(B51,Ingredients!$B$5:$B$304,0)),"Add to Ingredients"))</f>
        <v>0</v>
      </c>
      <c r="F51" s="45">
        <f>IF(B51="","",IFERROR(INDEX(Ingredients!$AD$5:$AD$304,MATCH(B51,Ingredients!$B$5:$B$304,0)),0))</f>
        <v>0</v>
      </c>
      <c r="G51" s="45">
        <f>IF(OR(E51="",F51=""),"",MAX(0,E51-F51))</f>
        <v>0</v>
      </c>
      <c r="I51" s="45">
        <f>IF(OR(H51="",H51=0,F51=""),"",F51/H51)</f>
        <v>0</v>
      </c>
      <c r="J51" s="19">
        <f>IF(I51="","",TODAY()+ROUND(I51*7,0))</f>
        <v>0</v>
      </c>
      <c r="K51" s="45">
        <f>IF(B51="","",IFERROR(INDEX(Ingredients!$H$5:$H$304,MATCH(B51,Ingredients!$B$5:$B$304,0)),"Add to Ingredients"))</f>
        <v>0</v>
      </c>
      <c r="L51" s="25">
        <f>IF(B51="","",IFERROR(INDEX(Ingredients!$I$5:$I$304,MATCH(B51,Ingredients!$B$5:$B$304,0)),"Add to Ingredients"))</f>
        <v>0</v>
      </c>
      <c r="M51" s="45">
        <f>IF(OR(G51="",G51=0,K51="",NOT(ISNUMBER(K51)),K51=0),"",ROUNDUP(G51/K51,0))</f>
        <v>0</v>
      </c>
      <c r="N51" s="25">
        <f>IF(OR(M51="",L51="",NOT(ISNUMBER(L51))),"",M51*L51)</f>
        <v>0</v>
      </c>
      <c r="O51" s="17">
        <f>IF(B51="","",IFERROR(INDEX(Ingredients!$E$5:$E$304,MATCH(B51,Ingredients!$B$5:$B$304,0)),"Add to Ingredients"))</f>
        <v>0</v>
      </c>
      <c r="Q51" s="31">
        <f>IF(B51="","",IF(F51=0,"Out of stock",IF(AND(E51&lt;&gt;"",F51&lt;E51),"Low stock","In stock")))</f>
        <v>0</v>
      </c>
      <c r="R51" s="31">
        <f>IF(B51="","",IF(Q51="Out of stock","Missing - add it to the list",IF(AND(I51&lt;&gt;"",I51&lt;1),"Due - less than a week left",IF(Q51="Low stock","Check - below your par level","OK"))))</f>
        <v>0</v>
      </c>
    </row>
    <row r="52" spans="1:18">
      <c r="A52" s="39">
        <f>IF(B52="","","STP-"&amp;TEXT(ROW()-4,"000"))</f>
        <v>0</v>
      </c>
      <c r="C52" s="17">
        <f>IF(B52="","",IFERROR(INDEX(Ingredients!$C$5:$C$304,MATCH(B52,Ingredients!$B$5:$B$304,0)),"Add to Ingredients"))</f>
        <v>0</v>
      </c>
      <c r="D52" s="17">
        <f>IF(B52="","",IFERROR(INDEX(Ingredients!$G$5:$G$304,MATCH(B52,Ingredients!$B$5:$B$304,0)),"Add to Ingredients"))</f>
        <v>0</v>
      </c>
      <c r="F52" s="45">
        <f>IF(B52="","",IFERROR(INDEX(Ingredients!$AD$5:$AD$304,MATCH(B52,Ingredients!$B$5:$B$304,0)),0))</f>
        <v>0</v>
      </c>
      <c r="G52" s="45">
        <f>IF(OR(E52="",F52=""),"",MAX(0,E52-F52))</f>
        <v>0</v>
      </c>
      <c r="I52" s="45">
        <f>IF(OR(H52="",H52=0,F52=""),"",F52/H52)</f>
        <v>0</v>
      </c>
      <c r="J52" s="19">
        <f>IF(I52="","",TODAY()+ROUND(I52*7,0))</f>
        <v>0</v>
      </c>
      <c r="K52" s="45">
        <f>IF(B52="","",IFERROR(INDEX(Ingredients!$H$5:$H$304,MATCH(B52,Ingredients!$B$5:$B$304,0)),"Add to Ingredients"))</f>
        <v>0</v>
      </c>
      <c r="L52" s="25">
        <f>IF(B52="","",IFERROR(INDEX(Ingredients!$I$5:$I$304,MATCH(B52,Ingredients!$B$5:$B$304,0)),"Add to Ingredients"))</f>
        <v>0</v>
      </c>
      <c r="M52" s="45">
        <f>IF(OR(G52="",G52=0,K52="",NOT(ISNUMBER(K52)),K52=0),"",ROUNDUP(G52/K52,0))</f>
        <v>0</v>
      </c>
      <c r="N52" s="25">
        <f>IF(OR(M52="",L52="",NOT(ISNUMBER(L52))),"",M52*L52)</f>
        <v>0</v>
      </c>
      <c r="O52" s="17">
        <f>IF(B52="","",IFERROR(INDEX(Ingredients!$E$5:$E$304,MATCH(B52,Ingredients!$B$5:$B$304,0)),"Add to Ingredients"))</f>
        <v>0</v>
      </c>
      <c r="Q52" s="31">
        <f>IF(B52="","",IF(F52=0,"Out of stock",IF(AND(E52&lt;&gt;"",F52&lt;E52),"Low stock","In stock")))</f>
        <v>0</v>
      </c>
      <c r="R52" s="31">
        <f>IF(B52="","",IF(Q52="Out of stock","Missing - add it to the list",IF(AND(I52&lt;&gt;"",I52&lt;1),"Due - less than a week left",IF(Q52="Low stock","Check - below your par level","OK"))))</f>
        <v>0</v>
      </c>
    </row>
    <row r="53" spans="1:18">
      <c r="A53" s="39">
        <f>IF(B53="","","STP-"&amp;TEXT(ROW()-4,"000"))</f>
        <v>0</v>
      </c>
      <c r="C53" s="17">
        <f>IF(B53="","",IFERROR(INDEX(Ingredients!$C$5:$C$304,MATCH(B53,Ingredients!$B$5:$B$304,0)),"Add to Ingredients"))</f>
        <v>0</v>
      </c>
      <c r="D53" s="17">
        <f>IF(B53="","",IFERROR(INDEX(Ingredients!$G$5:$G$304,MATCH(B53,Ingredients!$B$5:$B$304,0)),"Add to Ingredients"))</f>
        <v>0</v>
      </c>
      <c r="F53" s="45">
        <f>IF(B53="","",IFERROR(INDEX(Ingredients!$AD$5:$AD$304,MATCH(B53,Ingredients!$B$5:$B$304,0)),0))</f>
        <v>0</v>
      </c>
      <c r="G53" s="45">
        <f>IF(OR(E53="",F53=""),"",MAX(0,E53-F53))</f>
        <v>0</v>
      </c>
      <c r="I53" s="45">
        <f>IF(OR(H53="",H53=0,F53=""),"",F53/H53)</f>
        <v>0</v>
      </c>
      <c r="J53" s="19">
        <f>IF(I53="","",TODAY()+ROUND(I53*7,0))</f>
        <v>0</v>
      </c>
      <c r="K53" s="45">
        <f>IF(B53="","",IFERROR(INDEX(Ingredients!$H$5:$H$304,MATCH(B53,Ingredients!$B$5:$B$304,0)),"Add to Ingredients"))</f>
        <v>0</v>
      </c>
      <c r="L53" s="25">
        <f>IF(B53="","",IFERROR(INDEX(Ingredients!$I$5:$I$304,MATCH(B53,Ingredients!$B$5:$B$304,0)),"Add to Ingredients"))</f>
        <v>0</v>
      </c>
      <c r="M53" s="45">
        <f>IF(OR(G53="",G53=0,K53="",NOT(ISNUMBER(K53)),K53=0),"",ROUNDUP(G53/K53,0))</f>
        <v>0</v>
      </c>
      <c r="N53" s="25">
        <f>IF(OR(M53="",L53="",NOT(ISNUMBER(L53))),"",M53*L53)</f>
        <v>0</v>
      </c>
      <c r="O53" s="17">
        <f>IF(B53="","",IFERROR(INDEX(Ingredients!$E$5:$E$304,MATCH(B53,Ingredients!$B$5:$B$304,0)),"Add to Ingredients"))</f>
        <v>0</v>
      </c>
      <c r="Q53" s="31">
        <f>IF(B53="","",IF(F53=0,"Out of stock",IF(AND(E53&lt;&gt;"",F53&lt;E53),"Low stock","In stock")))</f>
        <v>0</v>
      </c>
      <c r="R53" s="31">
        <f>IF(B53="","",IF(Q53="Out of stock","Missing - add it to the list",IF(AND(I53&lt;&gt;"",I53&lt;1),"Due - less than a week left",IF(Q53="Low stock","Check - below your par level","OK"))))</f>
        <v>0</v>
      </c>
    </row>
    <row r="54" spans="1:18">
      <c r="A54" s="39">
        <f>IF(B54="","","STP-"&amp;TEXT(ROW()-4,"000"))</f>
        <v>0</v>
      </c>
      <c r="C54" s="17">
        <f>IF(B54="","",IFERROR(INDEX(Ingredients!$C$5:$C$304,MATCH(B54,Ingredients!$B$5:$B$304,0)),"Add to Ingredients"))</f>
        <v>0</v>
      </c>
      <c r="D54" s="17">
        <f>IF(B54="","",IFERROR(INDEX(Ingredients!$G$5:$G$304,MATCH(B54,Ingredients!$B$5:$B$304,0)),"Add to Ingredients"))</f>
        <v>0</v>
      </c>
      <c r="F54" s="45">
        <f>IF(B54="","",IFERROR(INDEX(Ingredients!$AD$5:$AD$304,MATCH(B54,Ingredients!$B$5:$B$304,0)),0))</f>
        <v>0</v>
      </c>
      <c r="G54" s="45">
        <f>IF(OR(E54="",F54=""),"",MAX(0,E54-F54))</f>
        <v>0</v>
      </c>
      <c r="I54" s="45">
        <f>IF(OR(H54="",H54=0,F54=""),"",F54/H54)</f>
        <v>0</v>
      </c>
      <c r="J54" s="19">
        <f>IF(I54="","",TODAY()+ROUND(I54*7,0))</f>
        <v>0</v>
      </c>
      <c r="K54" s="45">
        <f>IF(B54="","",IFERROR(INDEX(Ingredients!$H$5:$H$304,MATCH(B54,Ingredients!$B$5:$B$304,0)),"Add to Ingredients"))</f>
        <v>0</v>
      </c>
      <c r="L54" s="25">
        <f>IF(B54="","",IFERROR(INDEX(Ingredients!$I$5:$I$304,MATCH(B54,Ingredients!$B$5:$B$304,0)),"Add to Ingredients"))</f>
        <v>0</v>
      </c>
      <c r="M54" s="45">
        <f>IF(OR(G54="",G54=0,K54="",NOT(ISNUMBER(K54)),K54=0),"",ROUNDUP(G54/K54,0))</f>
        <v>0</v>
      </c>
      <c r="N54" s="25">
        <f>IF(OR(M54="",L54="",NOT(ISNUMBER(L54))),"",M54*L54)</f>
        <v>0</v>
      </c>
      <c r="O54" s="17">
        <f>IF(B54="","",IFERROR(INDEX(Ingredients!$E$5:$E$304,MATCH(B54,Ingredients!$B$5:$B$304,0)),"Add to Ingredients"))</f>
        <v>0</v>
      </c>
      <c r="Q54" s="31">
        <f>IF(B54="","",IF(F54=0,"Out of stock",IF(AND(E54&lt;&gt;"",F54&lt;E54),"Low stock","In stock")))</f>
        <v>0</v>
      </c>
      <c r="R54" s="31">
        <f>IF(B54="","",IF(Q54="Out of stock","Missing - add it to the list",IF(AND(I54&lt;&gt;"",I54&lt;1),"Due - less than a week left",IF(Q54="Low stock","Check - below your par level","OK"))))</f>
        <v>0</v>
      </c>
    </row>
    <row r="55" spans="1:18">
      <c r="A55" s="39">
        <f>IF(B55="","","STP-"&amp;TEXT(ROW()-4,"000"))</f>
        <v>0</v>
      </c>
      <c r="C55" s="17">
        <f>IF(B55="","",IFERROR(INDEX(Ingredients!$C$5:$C$304,MATCH(B55,Ingredients!$B$5:$B$304,0)),"Add to Ingredients"))</f>
        <v>0</v>
      </c>
      <c r="D55" s="17">
        <f>IF(B55="","",IFERROR(INDEX(Ingredients!$G$5:$G$304,MATCH(B55,Ingredients!$B$5:$B$304,0)),"Add to Ingredients"))</f>
        <v>0</v>
      </c>
      <c r="F55" s="45">
        <f>IF(B55="","",IFERROR(INDEX(Ingredients!$AD$5:$AD$304,MATCH(B55,Ingredients!$B$5:$B$304,0)),0))</f>
        <v>0</v>
      </c>
      <c r="G55" s="45">
        <f>IF(OR(E55="",F55=""),"",MAX(0,E55-F55))</f>
        <v>0</v>
      </c>
      <c r="I55" s="45">
        <f>IF(OR(H55="",H55=0,F55=""),"",F55/H55)</f>
        <v>0</v>
      </c>
      <c r="J55" s="19">
        <f>IF(I55="","",TODAY()+ROUND(I55*7,0))</f>
        <v>0</v>
      </c>
      <c r="K55" s="45">
        <f>IF(B55="","",IFERROR(INDEX(Ingredients!$H$5:$H$304,MATCH(B55,Ingredients!$B$5:$B$304,0)),"Add to Ingredients"))</f>
        <v>0</v>
      </c>
      <c r="L55" s="25">
        <f>IF(B55="","",IFERROR(INDEX(Ingredients!$I$5:$I$304,MATCH(B55,Ingredients!$B$5:$B$304,0)),"Add to Ingredients"))</f>
        <v>0</v>
      </c>
      <c r="M55" s="45">
        <f>IF(OR(G55="",G55=0,K55="",NOT(ISNUMBER(K55)),K55=0),"",ROUNDUP(G55/K55,0))</f>
        <v>0</v>
      </c>
      <c r="N55" s="25">
        <f>IF(OR(M55="",L55="",NOT(ISNUMBER(L55))),"",M55*L55)</f>
        <v>0</v>
      </c>
      <c r="O55" s="17">
        <f>IF(B55="","",IFERROR(INDEX(Ingredients!$E$5:$E$304,MATCH(B55,Ingredients!$B$5:$B$304,0)),"Add to Ingredients"))</f>
        <v>0</v>
      </c>
      <c r="Q55" s="31">
        <f>IF(B55="","",IF(F55=0,"Out of stock",IF(AND(E55&lt;&gt;"",F55&lt;E55),"Low stock","In stock")))</f>
        <v>0</v>
      </c>
      <c r="R55" s="31">
        <f>IF(B55="","",IF(Q55="Out of stock","Missing - add it to the list",IF(AND(I55&lt;&gt;"",I55&lt;1),"Due - less than a week left",IF(Q55="Low stock","Check - below your par level","OK"))))</f>
        <v>0</v>
      </c>
    </row>
    <row r="56" spans="1:18">
      <c r="A56" s="39">
        <f>IF(B56="","","STP-"&amp;TEXT(ROW()-4,"000"))</f>
        <v>0</v>
      </c>
      <c r="C56" s="17">
        <f>IF(B56="","",IFERROR(INDEX(Ingredients!$C$5:$C$304,MATCH(B56,Ingredients!$B$5:$B$304,0)),"Add to Ingredients"))</f>
        <v>0</v>
      </c>
      <c r="D56" s="17">
        <f>IF(B56="","",IFERROR(INDEX(Ingredients!$G$5:$G$304,MATCH(B56,Ingredients!$B$5:$B$304,0)),"Add to Ingredients"))</f>
        <v>0</v>
      </c>
      <c r="F56" s="45">
        <f>IF(B56="","",IFERROR(INDEX(Ingredients!$AD$5:$AD$304,MATCH(B56,Ingredients!$B$5:$B$304,0)),0))</f>
        <v>0</v>
      </c>
      <c r="G56" s="45">
        <f>IF(OR(E56="",F56=""),"",MAX(0,E56-F56))</f>
        <v>0</v>
      </c>
      <c r="I56" s="45">
        <f>IF(OR(H56="",H56=0,F56=""),"",F56/H56)</f>
        <v>0</v>
      </c>
      <c r="J56" s="19">
        <f>IF(I56="","",TODAY()+ROUND(I56*7,0))</f>
        <v>0</v>
      </c>
      <c r="K56" s="45">
        <f>IF(B56="","",IFERROR(INDEX(Ingredients!$H$5:$H$304,MATCH(B56,Ingredients!$B$5:$B$304,0)),"Add to Ingredients"))</f>
        <v>0</v>
      </c>
      <c r="L56" s="25">
        <f>IF(B56="","",IFERROR(INDEX(Ingredients!$I$5:$I$304,MATCH(B56,Ingredients!$B$5:$B$304,0)),"Add to Ingredients"))</f>
        <v>0</v>
      </c>
      <c r="M56" s="45">
        <f>IF(OR(G56="",G56=0,K56="",NOT(ISNUMBER(K56)),K56=0),"",ROUNDUP(G56/K56,0))</f>
        <v>0</v>
      </c>
      <c r="N56" s="25">
        <f>IF(OR(M56="",L56="",NOT(ISNUMBER(L56))),"",M56*L56)</f>
        <v>0</v>
      </c>
      <c r="O56" s="17">
        <f>IF(B56="","",IFERROR(INDEX(Ingredients!$E$5:$E$304,MATCH(B56,Ingredients!$B$5:$B$304,0)),"Add to Ingredients"))</f>
        <v>0</v>
      </c>
      <c r="Q56" s="31">
        <f>IF(B56="","",IF(F56=0,"Out of stock",IF(AND(E56&lt;&gt;"",F56&lt;E56),"Low stock","In stock")))</f>
        <v>0</v>
      </c>
      <c r="R56" s="31">
        <f>IF(B56="","",IF(Q56="Out of stock","Missing - add it to the list",IF(AND(I56&lt;&gt;"",I56&lt;1),"Due - less than a week left",IF(Q56="Low stock","Check - below your par level","OK"))))</f>
        <v>0</v>
      </c>
    </row>
    <row r="57" spans="1:18">
      <c r="A57" s="39">
        <f>IF(B57="","","STP-"&amp;TEXT(ROW()-4,"000"))</f>
        <v>0</v>
      </c>
      <c r="C57" s="17">
        <f>IF(B57="","",IFERROR(INDEX(Ingredients!$C$5:$C$304,MATCH(B57,Ingredients!$B$5:$B$304,0)),"Add to Ingredients"))</f>
        <v>0</v>
      </c>
      <c r="D57" s="17">
        <f>IF(B57="","",IFERROR(INDEX(Ingredients!$G$5:$G$304,MATCH(B57,Ingredients!$B$5:$B$304,0)),"Add to Ingredients"))</f>
        <v>0</v>
      </c>
      <c r="F57" s="45">
        <f>IF(B57="","",IFERROR(INDEX(Ingredients!$AD$5:$AD$304,MATCH(B57,Ingredients!$B$5:$B$304,0)),0))</f>
        <v>0</v>
      </c>
      <c r="G57" s="45">
        <f>IF(OR(E57="",F57=""),"",MAX(0,E57-F57))</f>
        <v>0</v>
      </c>
      <c r="I57" s="45">
        <f>IF(OR(H57="",H57=0,F57=""),"",F57/H57)</f>
        <v>0</v>
      </c>
      <c r="J57" s="19">
        <f>IF(I57="","",TODAY()+ROUND(I57*7,0))</f>
        <v>0</v>
      </c>
      <c r="K57" s="45">
        <f>IF(B57="","",IFERROR(INDEX(Ingredients!$H$5:$H$304,MATCH(B57,Ingredients!$B$5:$B$304,0)),"Add to Ingredients"))</f>
        <v>0</v>
      </c>
      <c r="L57" s="25">
        <f>IF(B57="","",IFERROR(INDEX(Ingredients!$I$5:$I$304,MATCH(B57,Ingredients!$B$5:$B$304,0)),"Add to Ingredients"))</f>
        <v>0</v>
      </c>
      <c r="M57" s="45">
        <f>IF(OR(G57="",G57=0,K57="",NOT(ISNUMBER(K57)),K57=0),"",ROUNDUP(G57/K57,0))</f>
        <v>0</v>
      </c>
      <c r="N57" s="25">
        <f>IF(OR(M57="",L57="",NOT(ISNUMBER(L57))),"",M57*L57)</f>
        <v>0</v>
      </c>
      <c r="O57" s="17">
        <f>IF(B57="","",IFERROR(INDEX(Ingredients!$E$5:$E$304,MATCH(B57,Ingredients!$B$5:$B$304,0)),"Add to Ingredients"))</f>
        <v>0</v>
      </c>
      <c r="Q57" s="31">
        <f>IF(B57="","",IF(F57=0,"Out of stock",IF(AND(E57&lt;&gt;"",F57&lt;E57),"Low stock","In stock")))</f>
        <v>0</v>
      </c>
      <c r="R57" s="31">
        <f>IF(B57="","",IF(Q57="Out of stock","Missing - add it to the list",IF(AND(I57&lt;&gt;"",I57&lt;1),"Due - less than a week left",IF(Q57="Low stock","Check - below your par level","OK"))))</f>
        <v>0</v>
      </c>
    </row>
    <row r="58" spans="1:18">
      <c r="A58" s="39">
        <f>IF(B58="","","STP-"&amp;TEXT(ROW()-4,"000"))</f>
        <v>0</v>
      </c>
      <c r="C58" s="17">
        <f>IF(B58="","",IFERROR(INDEX(Ingredients!$C$5:$C$304,MATCH(B58,Ingredients!$B$5:$B$304,0)),"Add to Ingredients"))</f>
        <v>0</v>
      </c>
      <c r="D58" s="17">
        <f>IF(B58="","",IFERROR(INDEX(Ingredients!$G$5:$G$304,MATCH(B58,Ingredients!$B$5:$B$304,0)),"Add to Ingredients"))</f>
        <v>0</v>
      </c>
      <c r="F58" s="45">
        <f>IF(B58="","",IFERROR(INDEX(Ingredients!$AD$5:$AD$304,MATCH(B58,Ingredients!$B$5:$B$304,0)),0))</f>
        <v>0</v>
      </c>
      <c r="G58" s="45">
        <f>IF(OR(E58="",F58=""),"",MAX(0,E58-F58))</f>
        <v>0</v>
      </c>
      <c r="I58" s="45">
        <f>IF(OR(H58="",H58=0,F58=""),"",F58/H58)</f>
        <v>0</v>
      </c>
      <c r="J58" s="19">
        <f>IF(I58="","",TODAY()+ROUND(I58*7,0))</f>
        <v>0</v>
      </c>
      <c r="K58" s="45">
        <f>IF(B58="","",IFERROR(INDEX(Ingredients!$H$5:$H$304,MATCH(B58,Ingredients!$B$5:$B$304,0)),"Add to Ingredients"))</f>
        <v>0</v>
      </c>
      <c r="L58" s="25">
        <f>IF(B58="","",IFERROR(INDEX(Ingredients!$I$5:$I$304,MATCH(B58,Ingredients!$B$5:$B$304,0)),"Add to Ingredients"))</f>
        <v>0</v>
      </c>
      <c r="M58" s="45">
        <f>IF(OR(G58="",G58=0,K58="",NOT(ISNUMBER(K58)),K58=0),"",ROUNDUP(G58/K58,0))</f>
        <v>0</v>
      </c>
      <c r="N58" s="25">
        <f>IF(OR(M58="",L58="",NOT(ISNUMBER(L58))),"",M58*L58)</f>
        <v>0</v>
      </c>
      <c r="O58" s="17">
        <f>IF(B58="","",IFERROR(INDEX(Ingredients!$E$5:$E$304,MATCH(B58,Ingredients!$B$5:$B$304,0)),"Add to Ingredients"))</f>
        <v>0</v>
      </c>
      <c r="Q58" s="31">
        <f>IF(B58="","",IF(F58=0,"Out of stock",IF(AND(E58&lt;&gt;"",F58&lt;E58),"Low stock","In stock")))</f>
        <v>0</v>
      </c>
      <c r="R58" s="31">
        <f>IF(B58="","",IF(Q58="Out of stock","Missing - add it to the list",IF(AND(I58&lt;&gt;"",I58&lt;1),"Due - less than a week left",IF(Q58="Low stock","Check - below your par level","OK"))))</f>
        <v>0</v>
      </c>
    </row>
    <row r="59" spans="1:18">
      <c r="A59" s="39">
        <f>IF(B59="","","STP-"&amp;TEXT(ROW()-4,"000"))</f>
        <v>0</v>
      </c>
      <c r="C59" s="17">
        <f>IF(B59="","",IFERROR(INDEX(Ingredients!$C$5:$C$304,MATCH(B59,Ingredients!$B$5:$B$304,0)),"Add to Ingredients"))</f>
        <v>0</v>
      </c>
      <c r="D59" s="17">
        <f>IF(B59="","",IFERROR(INDEX(Ingredients!$G$5:$G$304,MATCH(B59,Ingredients!$B$5:$B$304,0)),"Add to Ingredients"))</f>
        <v>0</v>
      </c>
      <c r="F59" s="45">
        <f>IF(B59="","",IFERROR(INDEX(Ingredients!$AD$5:$AD$304,MATCH(B59,Ingredients!$B$5:$B$304,0)),0))</f>
        <v>0</v>
      </c>
      <c r="G59" s="45">
        <f>IF(OR(E59="",F59=""),"",MAX(0,E59-F59))</f>
        <v>0</v>
      </c>
      <c r="I59" s="45">
        <f>IF(OR(H59="",H59=0,F59=""),"",F59/H59)</f>
        <v>0</v>
      </c>
      <c r="J59" s="19">
        <f>IF(I59="","",TODAY()+ROUND(I59*7,0))</f>
        <v>0</v>
      </c>
      <c r="K59" s="45">
        <f>IF(B59="","",IFERROR(INDEX(Ingredients!$H$5:$H$304,MATCH(B59,Ingredients!$B$5:$B$304,0)),"Add to Ingredients"))</f>
        <v>0</v>
      </c>
      <c r="L59" s="25">
        <f>IF(B59="","",IFERROR(INDEX(Ingredients!$I$5:$I$304,MATCH(B59,Ingredients!$B$5:$B$304,0)),"Add to Ingredients"))</f>
        <v>0</v>
      </c>
      <c r="M59" s="45">
        <f>IF(OR(G59="",G59=0,K59="",NOT(ISNUMBER(K59)),K59=0),"",ROUNDUP(G59/K59,0))</f>
        <v>0</v>
      </c>
      <c r="N59" s="25">
        <f>IF(OR(M59="",L59="",NOT(ISNUMBER(L59))),"",M59*L59)</f>
        <v>0</v>
      </c>
      <c r="O59" s="17">
        <f>IF(B59="","",IFERROR(INDEX(Ingredients!$E$5:$E$304,MATCH(B59,Ingredients!$B$5:$B$304,0)),"Add to Ingredients"))</f>
        <v>0</v>
      </c>
      <c r="Q59" s="31">
        <f>IF(B59="","",IF(F59=0,"Out of stock",IF(AND(E59&lt;&gt;"",F59&lt;E59),"Low stock","In stock")))</f>
        <v>0</v>
      </c>
      <c r="R59" s="31">
        <f>IF(B59="","",IF(Q59="Out of stock","Missing - add it to the list",IF(AND(I59&lt;&gt;"",I59&lt;1),"Due - less than a week left",IF(Q59="Low stock","Check - below your par level","OK"))))</f>
        <v>0</v>
      </c>
    </row>
    <row r="60" spans="1:18">
      <c r="A60" s="39">
        <f>IF(B60="","","STP-"&amp;TEXT(ROW()-4,"000"))</f>
        <v>0</v>
      </c>
      <c r="C60" s="17">
        <f>IF(B60="","",IFERROR(INDEX(Ingredients!$C$5:$C$304,MATCH(B60,Ingredients!$B$5:$B$304,0)),"Add to Ingredients"))</f>
        <v>0</v>
      </c>
      <c r="D60" s="17">
        <f>IF(B60="","",IFERROR(INDEX(Ingredients!$G$5:$G$304,MATCH(B60,Ingredients!$B$5:$B$304,0)),"Add to Ingredients"))</f>
        <v>0</v>
      </c>
      <c r="F60" s="45">
        <f>IF(B60="","",IFERROR(INDEX(Ingredients!$AD$5:$AD$304,MATCH(B60,Ingredients!$B$5:$B$304,0)),0))</f>
        <v>0</v>
      </c>
      <c r="G60" s="45">
        <f>IF(OR(E60="",F60=""),"",MAX(0,E60-F60))</f>
        <v>0</v>
      </c>
      <c r="I60" s="45">
        <f>IF(OR(H60="",H60=0,F60=""),"",F60/H60)</f>
        <v>0</v>
      </c>
      <c r="J60" s="19">
        <f>IF(I60="","",TODAY()+ROUND(I60*7,0))</f>
        <v>0</v>
      </c>
      <c r="K60" s="45">
        <f>IF(B60="","",IFERROR(INDEX(Ingredients!$H$5:$H$304,MATCH(B60,Ingredients!$B$5:$B$304,0)),"Add to Ingredients"))</f>
        <v>0</v>
      </c>
      <c r="L60" s="25">
        <f>IF(B60="","",IFERROR(INDEX(Ingredients!$I$5:$I$304,MATCH(B60,Ingredients!$B$5:$B$304,0)),"Add to Ingredients"))</f>
        <v>0</v>
      </c>
      <c r="M60" s="45">
        <f>IF(OR(G60="",G60=0,K60="",NOT(ISNUMBER(K60)),K60=0),"",ROUNDUP(G60/K60,0))</f>
        <v>0</v>
      </c>
      <c r="N60" s="25">
        <f>IF(OR(M60="",L60="",NOT(ISNUMBER(L60))),"",M60*L60)</f>
        <v>0</v>
      </c>
      <c r="O60" s="17">
        <f>IF(B60="","",IFERROR(INDEX(Ingredients!$E$5:$E$304,MATCH(B60,Ingredients!$B$5:$B$304,0)),"Add to Ingredients"))</f>
        <v>0</v>
      </c>
      <c r="Q60" s="31">
        <f>IF(B60="","",IF(F60=0,"Out of stock",IF(AND(E60&lt;&gt;"",F60&lt;E60),"Low stock","In stock")))</f>
        <v>0</v>
      </c>
      <c r="R60" s="31">
        <f>IF(B60="","",IF(Q60="Out of stock","Missing - add it to the list",IF(AND(I60&lt;&gt;"",I60&lt;1),"Due - less than a week left",IF(Q60="Low stock","Check - below your par level","OK"))))</f>
        <v>0</v>
      </c>
    </row>
    <row r="61" spans="1:18">
      <c r="A61" s="39">
        <f>IF(B61="","","STP-"&amp;TEXT(ROW()-4,"000"))</f>
        <v>0</v>
      </c>
      <c r="C61" s="17">
        <f>IF(B61="","",IFERROR(INDEX(Ingredients!$C$5:$C$304,MATCH(B61,Ingredients!$B$5:$B$304,0)),"Add to Ingredients"))</f>
        <v>0</v>
      </c>
      <c r="D61" s="17">
        <f>IF(B61="","",IFERROR(INDEX(Ingredients!$G$5:$G$304,MATCH(B61,Ingredients!$B$5:$B$304,0)),"Add to Ingredients"))</f>
        <v>0</v>
      </c>
      <c r="F61" s="45">
        <f>IF(B61="","",IFERROR(INDEX(Ingredients!$AD$5:$AD$304,MATCH(B61,Ingredients!$B$5:$B$304,0)),0))</f>
        <v>0</v>
      </c>
      <c r="G61" s="45">
        <f>IF(OR(E61="",F61=""),"",MAX(0,E61-F61))</f>
        <v>0</v>
      </c>
      <c r="I61" s="45">
        <f>IF(OR(H61="",H61=0,F61=""),"",F61/H61)</f>
        <v>0</v>
      </c>
      <c r="J61" s="19">
        <f>IF(I61="","",TODAY()+ROUND(I61*7,0))</f>
        <v>0</v>
      </c>
      <c r="K61" s="45">
        <f>IF(B61="","",IFERROR(INDEX(Ingredients!$H$5:$H$304,MATCH(B61,Ingredients!$B$5:$B$304,0)),"Add to Ingredients"))</f>
        <v>0</v>
      </c>
      <c r="L61" s="25">
        <f>IF(B61="","",IFERROR(INDEX(Ingredients!$I$5:$I$304,MATCH(B61,Ingredients!$B$5:$B$304,0)),"Add to Ingredients"))</f>
        <v>0</v>
      </c>
      <c r="M61" s="45">
        <f>IF(OR(G61="",G61=0,K61="",NOT(ISNUMBER(K61)),K61=0),"",ROUNDUP(G61/K61,0))</f>
        <v>0</v>
      </c>
      <c r="N61" s="25">
        <f>IF(OR(M61="",L61="",NOT(ISNUMBER(L61))),"",M61*L61)</f>
        <v>0</v>
      </c>
      <c r="O61" s="17">
        <f>IF(B61="","",IFERROR(INDEX(Ingredients!$E$5:$E$304,MATCH(B61,Ingredients!$B$5:$B$304,0)),"Add to Ingredients"))</f>
        <v>0</v>
      </c>
      <c r="Q61" s="31">
        <f>IF(B61="","",IF(F61=0,"Out of stock",IF(AND(E61&lt;&gt;"",F61&lt;E61),"Low stock","In stock")))</f>
        <v>0</v>
      </c>
      <c r="R61" s="31">
        <f>IF(B61="","",IF(Q61="Out of stock","Missing - add it to the list",IF(AND(I61&lt;&gt;"",I61&lt;1),"Due - less than a week left",IF(Q61="Low stock","Check - below your par level","OK"))))</f>
        <v>0</v>
      </c>
    </row>
    <row r="62" spans="1:18">
      <c r="A62" s="39">
        <f>IF(B62="","","STP-"&amp;TEXT(ROW()-4,"000"))</f>
        <v>0</v>
      </c>
      <c r="C62" s="17">
        <f>IF(B62="","",IFERROR(INDEX(Ingredients!$C$5:$C$304,MATCH(B62,Ingredients!$B$5:$B$304,0)),"Add to Ingredients"))</f>
        <v>0</v>
      </c>
      <c r="D62" s="17">
        <f>IF(B62="","",IFERROR(INDEX(Ingredients!$G$5:$G$304,MATCH(B62,Ingredients!$B$5:$B$304,0)),"Add to Ingredients"))</f>
        <v>0</v>
      </c>
      <c r="F62" s="45">
        <f>IF(B62="","",IFERROR(INDEX(Ingredients!$AD$5:$AD$304,MATCH(B62,Ingredients!$B$5:$B$304,0)),0))</f>
        <v>0</v>
      </c>
      <c r="G62" s="45">
        <f>IF(OR(E62="",F62=""),"",MAX(0,E62-F62))</f>
        <v>0</v>
      </c>
      <c r="I62" s="45">
        <f>IF(OR(H62="",H62=0,F62=""),"",F62/H62)</f>
        <v>0</v>
      </c>
      <c r="J62" s="19">
        <f>IF(I62="","",TODAY()+ROUND(I62*7,0))</f>
        <v>0</v>
      </c>
      <c r="K62" s="45">
        <f>IF(B62="","",IFERROR(INDEX(Ingredients!$H$5:$H$304,MATCH(B62,Ingredients!$B$5:$B$304,0)),"Add to Ingredients"))</f>
        <v>0</v>
      </c>
      <c r="L62" s="25">
        <f>IF(B62="","",IFERROR(INDEX(Ingredients!$I$5:$I$304,MATCH(B62,Ingredients!$B$5:$B$304,0)),"Add to Ingredients"))</f>
        <v>0</v>
      </c>
      <c r="M62" s="45">
        <f>IF(OR(G62="",G62=0,K62="",NOT(ISNUMBER(K62)),K62=0),"",ROUNDUP(G62/K62,0))</f>
        <v>0</v>
      </c>
      <c r="N62" s="25">
        <f>IF(OR(M62="",L62="",NOT(ISNUMBER(L62))),"",M62*L62)</f>
        <v>0</v>
      </c>
      <c r="O62" s="17">
        <f>IF(B62="","",IFERROR(INDEX(Ingredients!$E$5:$E$304,MATCH(B62,Ingredients!$B$5:$B$304,0)),"Add to Ingredients"))</f>
        <v>0</v>
      </c>
      <c r="Q62" s="31">
        <f>IF(B62="","",IF(F62=0,"Out of stock",IF(AND(E62&lt;&gt;"",F62&lt;E62),"Low stock","In stock")))</f>
        <v>0</v>
      </c>
      <c r="R62" s="31">
        <f>IF(B62="","",IF(Q62="Out of stock","Missing - add it to the list",IF(AND(I62&lt;&gt;"",I62&lt;1),"Due - less than a week left",IF(Q62="Low stock","Check - below your par level","OK"))))</f>
        <v>0</v>
      </c>
    </row>
    <row r="63" spans="1:18">
      <c r="A63" s="39">
        <f>IF(B63="","","STP-"&amp;TEXT(ROW()-4,"000"))</f>
        <v>0</v>
      </c>
      <c r="C63" s="17">
        <f>IF(B63="","",IFERROR(INDEX(Ingredients!$C$5:$C$304,MATCH(B63,Ingredients!$B$5:$B$304,0)),"Add to Ingredients"))</f>
        <v>0</v>
      </c>
      <c r="D63" s="17">
        <f>IF(B63="","",IFERROR(INDEX(Ingredients!$G$5:$G$304,MATCH(B63,Ingredients!$B$5:$B$304,0)),"Add to Ingredients"))</f>
        <v>0</v>
      </c>
      <c r="F63" s="45">
        <f>IF(B63="","",IFERROR(INDEX(Ingredients!$AD$5:$AD$304,MATCH(B63,Ingredients!$B$5:$B$304,0)),0))</f>
        <v>0</v>
      </c>
      <c r="G63" s="45">
        <f>IF(OR(E63="",F63=""),"",MAX(0,E63-F63))</f>
        <v>0</v>
      </c>
      <c r="I63" s="45">
        <f>IF(OR(H63="",H63=0,F63=""),"",F63/H63)</f>
        <v>0</v>
      </c>
      <c r="J63" s="19">
        <f>IF(I63="","",TODAY()+ROUND(I63*7,0))</f>
        <v>0</v>
      </c>
      <c r="K63" s="45">
        <f>IF(B63="","",IFERROR(INDEX(Ingredients!$H$5:$H$304,MATCH(B63,Ingredients!$B$5:$B$304,0)),"Add to Ingredients"))</f>
        <v>0</v>
      </c>
      <c r="L63" s="25">
        <f>IF(B63="","",IFERROR(INDEX(Ingredients!$I$5:$I$304,MATCH(B63,Ingredients!$B$5:$B$304,0)),"Add to Ingredients"))</f>
        <v>0</v>
      </c>
      <c r="M63" s="45">
        <f>IF(OR(G63="",G63=0,K63="",NOT(ISNUMBER(K63)),K63=0),"",ROUNDUP(G63/K63,0))</f>
        <v>0</v>
      </c>
      <c r="N63" s="25">
        <f>IF(OR(M63="",L63="",NOT(ISNUMBER(L63))),"",M63*L63)</f>
        <v>0</v>
      </c>
      <c r="O63" s="17">
        <f>IF(B63="","",IFERROR(INDEX(Ingredients!$E$5:$E$304,MATCH(B63,Ingredients!$B$5:$B$304,0)),"Add to Ingredients"))</f>
        <v>0</v>
      </c>
      <c r="Q63" s="31">
        <f>IF(B63="","",IF(F63=0,"Out of stock",IF(AND(E63&lt;&gt;"",F63&lt;E63),"Low stock","In stock")))</f>
        <v>0</v>
      </c>
      <c r="R63" s="31">
        <f>IF(B63="","",IF(Q63="Out of stock","Missing - add it to the list",IF(AND(I63&lt;&gt;"",I63&lt;1),"Due - less than a week left",IF(Q63="Low stock","Check - below your par level","OK"))))</f>
        <v>0</v>
      </c>
    </row>
    <row r="64" spans="1:18">
      <c r="A64" s="39">
        <f>IF(B64="","","STP-"&amp;TEXT(ROW()-4,"000"))</f>
        <v>0</v>
      </c>
      <c r="C64" s="17">
        <f>IF(B64="","",IFERROR(INDEX(Ingredients!$C$5:$C$304,MATCH(B64,Ingredients!$B$5:$B$304,0)),"Add to Ingredients"))</f>
        <v>0</v>
      </c>
      <c r="D64" s="17">
        <f>IF(B64="","",IFERROR(INDEX(Ingredients!$G$5:$G$304,MATCH(B64,Ingredients!$B$5:$B$304,0)),"Add to Ingredients"))</f>
        <v>0</v>
      </c>
      <c r="F64" s="45">
        <f>IF(B64="","",IFERROR(INDEX(Ingredients!$AD$5:$AD$304,MATCH(B64,Ingredients!$B$5:$B$304,0)),0))</f>
        <v>0</v>
      </c>
      <c r="G64" s="45">
        <f>IF(OR(E64="",F64=""),"",MAX(0,E64-F64))</f>
        <v>0</v>
      </c>
      <c r="I64" s="45">
        <f>IF(OR(H64="",H64=0,F64=""),"",F64/H64)</f>
        <v>0</v>
      </c>
      <c r="J64" s="19">
        <f>IF(I64="","",TODAY()+ROUND(I64*7,0))</f>
        <v>0</v>
      </c>
      <c r="K64" s="45">
        <f>IF(B64="","",IFERROR(INDEX(Ingredients!$H$5:$H$304,MATCH(B64,Ingredients!$B$5:$B$304,0)),"Add to Ingredients"))</f>
        <v>0</v>
      </c>
      <c r="L64" s="25">
        <f>IF(B64="","",IFERROR(INDEX(Ingredients!$I$5:$I$304,MATCH(B64,Ingredients!$B$5:$B$304,0)),"Add to Ingredients"))</f>
        <v>0</v>
      </c>
      <c r="M64" s="45">
        <f>IF(OR(G64="",G64=0,K64="",NOT(ISNUMBER(K64)),K64=0),"",ROUNDUP(G64/K64,0))</f>
        <v>0</v>
      </c>
      <c r="N64" s="25">
        <f>IF(OR(M64="",L64="",NOT(ISNUMBER(L64))),"",M64*L64)</f>
        <v>0</v>
      </c>
      <c r="O64" s="17">
        <f>IF(B64="","",IFERROR(INDEX(Ingredients!$E$5:$E$304,MATCH(B64,Ingredients!$B$5:$B$304,0)),"Add to Ingredients"))</f>
        <v>0</v>
      </c>
      <c r="Q64" s="31">
        <f>IF(B64="","",IF(F64=0,"Out of stock",IF(AND(E64&lt;&gt;"",F64&lt;E64),"Low stock","In stock")))</f>
        <v>0</v>
      </c>
      <c r="R64" s="31">
        <f>IF(B64="","",IF(Q64="Out of stock","Missing - add it to the list",IF(AND(I64&lt;&gt;"",I64&lt;1),"Due - less than a week left",IF(Q64="Low stock","Check - below your par level","OK"))))</f>
        <v>0</v>
      </c>
    </row>
    <row r="65" spans="1:18">
      <c r="A65" s="39">
        <f>IF(B65="","","STP-"&amp;TEXT(ROW()-4,"000"))</f>
        <v>0</v>
      </c>
      <c r="C65" s="17">
        <f>IF(B65="","",IFERROR(INDEX(Ingredients!$C$5:$C$304,MATCH(B65,Ingredients!$B$5:$B$304,0)),"Add to Ingredients"))</f>
        <v>0</v>
      </c>
      <c r="D65" s="17">
        <f>IF(B65="","",IFERROR(INDEX(Ingredients!$G$5:$G$304,MATCH(B65,Ingredients!$B$5:$B$304,0)),"Add to Ingredients"))</f>
        <v>0</v>
      </c>
      <c r="F65" s="45">
        <f>IF(B65="","",IFERROR(INDEX(Ingredients!$AD$5:$AD$304,MATCH(B65,Ingredients!$B$5:$B$304,0)),0))</f>
        <v>0</v>
      </c>
      <c r="G65" s="45">
        <f>IF(OR(E65="",F65=""),"",MAX(0,E65-F65))</f>
        <v>0</v>
      </c>
      <c r="I65" s="45">
        <f>IF(OR(H65="",H65=0,F65=""),"",F65/H65)</f>
        <v>0</v>
      </c>
      <c r="J65" s="19">
        <f>IF(I65="","",TODAY()+ROUND(I65*7,0))</f>
        <v>0</v>
      </c>
      <c r="K65" s="45">
        <f>IF(B65="","",IFERROR(INDEX(Ingredients!$H$5:$H$304,MATCH(B65,Ingredients!$B$5:$B$304,0)),"Add to Ingredients"))</f>
        <v>0</v>
      </c>
      <c r="L65" s="25">
        <f>IF(B65="","",IFERROR(INDEX(Ingredients!$I$5:$I$304,MATCH(B65,Ingredients!$B$5:$B$304,0)),"Add to Ingredients"))</f>
        <v>0</v>
      </c>
      <c r="M65" s="45">
        <f>IF(OR(G65="",G65=0,K65="",NOT(ISNUMBER(K65)),K65=0),"",ROUNDUP(G65/K65,0))</f>
        <v>0</v>
      </c>
      <c r="N65" s="25">
        <f>IF(OR(M65="",L65="",NOT(ISNUMBER(L65))),"",M65*L65)</f>
        <v>0</v>
      </c>
      <c r="O65" s="17">
        <f>IF(B65="","",IFERROR(INDEX(Ingredients!$E$5:$E$304,MATCH(B65,Ingredients!$B$5:$B$304,0)),"Add to Ingredients"))</f>
        <v>0</v>
      </c>
      <c r="Q65" s="31">
        <f>IF(B65="","",IF(F65=0,"Out of stock",IF(AND(E65&lt;&gt;"",F65&lt;E65),"Low stock","In stock")))</f>
        <v>0</v>
      </c>
      <c r="R65" s="31">
        <f>IF(B65="","",IF(Q65="Out of stock","Missing - add it to the list",IF(AND(I65&lt;&gt;"",I65&lt;1),"Due - less than a week left",IF(Q65="Low stock","Check - below your par level","OK"))))</f>
        <v>0</v>
      </c>
    </row>
    <row r="66" spans="1:18">
      <c r="A66" s="39">
        <f>IF(B66="","","STP-"&amp;TEXT(ROW()-4,"000"))</f>
        <v>0</v>
      </c>
      <c r="C66" s="17">
        <f>IF(B66="","",IFERROR(INDEX(Ingredients!$C$5:$C$304,MATCH(B66,Ingredients!$B$5:$B$304,0)),"Add to Ingredients"))</f>
        <v>0</v>
      </c>
      <c r="D66" s="17">
        <f>IF(B66="","",IFERROR(INDEX(Ingredients!$G$5:$G$304,MATCH(B66,Ingredients!$B$5:$B$304,0)),"Add to Ingredients"))</f>
        <v>0</v>
      </c>
      <c r="F66" s="45">
        <f>IF(B66="","",IFERROR(INDEX(Ingredients!$AD$5:$AD$304,MATCH(B66,Ingredients!$B$5:$B$304,0)),0))</f>
        <v>0</v>
      </c>
      <c r="G66" s="45">
        <f>IF(OR(E66="",F66=""),"",MAX(0,E66-F66))</f>
        <v>0</v>
      </c>
      <c r="I66" s="45">
        <f>IF(OR(H66="",H66=0,F66=""),"",F66/H66)</f>
        <v>0</v>
      </c>
      <c r="J66" s="19">
        <f>IF(I66="","",TODAY()+ROUND(I66*7,0))</f>
        <v>0</v>
      </c>
      <c r="K66" s="45">
        <f>IF(B66="","",IFERROR(INDEX(Ingredients!$H$5:$H$304,MATCH(B66,Ingredients!$B$5:$B$304,0)),"Add to Ingredients"))</f>
        <v>0</v>
      </c>
      <c r="L66" s="25">
        <f>IF(B66="","",IFERROR(INDEX(Ingredients!$I$5:$I$304,MATCH(B66,Ingredients!$B$5:$B$304,0)),"Add to Ingredients"))</f>
        <v>0</v>
      </c>
      <c r="M66" s="45">
        <f>IF(OR(G66="",G66=0,K66="",NOT(ISNUMBER(K66)),K66=0),"",ROUNDUP(G66/K66,0))</f>
        <v>0</v>
      </c>
      <c r="N66" s="25">
        <f>IF(OR(M66="",L66="",NOT(ISNUMBER(L66))),"",M66*L66)</f>
        <v>0</v>
      </c>
      <c r="O66" s="17">
        <f>IF(B66="","",IFERROR(INDEX(Ingredients!$E$5:$E$304,MATCH(B66,Ingredients!$B$5:$B$304,0)),"Add to Ingredients"))</f>
        <v>0</v>
      </c>
      <c r="Q66" s="31">
        <f>IF(B66="","",IF(F66=0,"Out of stock",IF(AND(E66&lt;&gt;"",F66&lt;E66),"Low stock","In stock")))</f>
        <v>0</v>
      </c>
      <c r="R66" s="31">
        <f>IF(B66="","",IF(Q66="Out of stock","Missing - add it to the list",IF(AND(I66&lt;&gt;"",I66&lt;1),"Due - less than a week left",IF(Q66="Low stock","Check - below your par level","OK"))))</f>
        <v>0</v>
      </c>
    </row>
    <row r="67" spans="1:18">
      <c r="A67" s="39">
        <f>IF(B67="","","STP-"&amp;TEXT(ROW()-4,"000"))</f>
        <v>0</v>
      </c>
      <c r="C67" s="17">
        <f>IF(B67="","",IFERROR(INDEX(Ingredients!$C$5:$C$304,MATCH(B67,Ingredients!$B$5:$B$304,0)),"Add to Ingredients"))</f>
        <v>0</v>
      </c>
      <c r="D67" s="17">
        <f>IF(B67="","",IFERROR(INDEX(Ingredients!$G$5:$G$304,MATCH(B67,Ingredients!$B$5:$B$304,0)),"Add to Ingredients"))</f>
        <v>0</v>
      </c>
      <c r="F67" s="45">
        <f>IF(B67="","",IFERROR(INDEX(Ingredients!$AD$5:$AD$304,MATCH(B67,Ingredients!$B$5:$B$304,0)),0))</f>
        <v>0</v>
      </c>
      <c r="G67" s="45">
        <f>IF(OR(E67="",F67=""),"",MAX(0,E67-F67))</f>
        <v>0</v>
      </c>
      <c r="I67" s="45">
        <f>IF(OR(H67="",H67=0,F67=""),"",F67/H67)</f>
        <v>0</v>
      </c>
      <c r="J67" s="19">
        <f>IF(I67="","",TODAY()+ROUND(I67*7,0))</f>
        <v>0</v>
      </c>
      <c r="K67" s="45">
        <f>IF(B67="","",IFERROR(INDEX(Ingredients!$H$5:$H$304,MATCH(B67,Ingredients!$B$5:$B$304,0)),"Add to Ingredients"))</f>
        <v>0</v>
      </c>
      <c r="L67" s="25">
        <f>IF(B67="","",IFERROR(INDEX(Ingredients!$I$5:$I$304,MATCH(B67,Ingredients!$B$5:$B$304,0)),"Add to Ingredients"))</f>
        <v>0</v>
      </c>
      <c r="M67" s="45">
        <f>IF(OR(G67="",G67=0,K67="",NOT(ISNUMBER(K67)),K67=0),"",ROUNDUP(G67/K67,0))</f>
        <v>0</v>
      </c>
      <c r="N67" s="25">
        <f>IF(OR(M67="",L67="",NOT(ISNUMBER(L67))),"",M67*L67)</f>
        <v>0</v>
      </c>
      <c r="O67" s="17">
        <f>IF(B67="","",IFERROR(INDEX(Ingredients!$E$5:$E$304,MATCH(B67,Ingredients!$B$5:$B$304,0)),"Add to Ingredients"))</f>
        <v>0</v>
      </c>
      <c r="Q67" s="31">
        <f>IF(B67="","",IF(F67=0,"Out of stock",IF(AND(E67&lt;&gt;"",F67&lt;E67),"Low stock","In stock")))</f>
        <v>0</v>
      </c>
      <c r="R67" s="31">
        <f>IF(B67="","",IF(Q67="Out of stock","Missing - add it to the list",IF(AND(I67&lt;&gt;"",I67&lt;1),"Due - less than a week left",IF(Q67="Low stock","Check - below your par level","OK"))))</f>
        <v>0</v>
      </c>
    </row>
    <row r="68" spans="1:18">
      <c r="A68" s="39">
        <f>IF(B68="","","STP-"&amp;TEXT(ROW()-4,"000"))</f>
        <v>0</v>
      </c>
      <c r="C68" s="17">
        <f>IF(B68="","",IFERROR(INDEX(Ingredients!$C$5:$C$304,MATCH(B68,Ingredients!$B$5:$B$304,0)),"Add to Ingredients"))</f>
        <v>0</v>
      </c>
      <c r="D68" s="17">
        <f>IF(B68="","",IFERROR(INDEX(Ingredients!$G$5:$G$304,MATCH(B68,Ingredients!$B$5:$B$304,0)),"Add to Ingredients"))</f>
        <v>0</v>
      </c>
      <c r="F68" s="45">
        <f>IF(B68="","",IFERROR(INDEX(Ingredients!$AD$5:$AD$304,MATCH(B68,Ingredients!$B$5:$B$304,0)),0))</f>
        <v>0</v>
      </c>
      <c r="G68" s="45">
        <f>IF(OR(E68="",F68=""),"",MAX(0,E68-F68))</f>
        <v>0</v>
      </c>
      <c r="I68" s="45">
        <f>IF(OR(H68="",H68=0,F68=""),"",F68/H68)</f>
        <v>0</v>
      </c>
      <c r="J68" s="19">
        <f>IF(I68="","",TODAY()+ROUND(I68*7,0))</f>
        <v>0</v>
      </c>
      <c r="K68" s="45">
        <f>IF(B68="","",IFERROR(INDEX(Ingredients!$H$5:$H$304,MATCH(B68,Ingredients!$B$5:$B$304,0)),"Add to Ingredients"))</f>
        <v>0</v>
      </c>
      <c r="L68" s="25">
        <f>IF(B68="","",IFERROR(INDEX(Ingredients!$I$5:$I$304,MATCH(B68,Ingredients!$B$5:$B$304,0)),"Add to Ingredients"))</f>
        <v>0</v>
      </c>
      <c r="M68" s="45">
        <f>IF(OR(G68="",G68=0,K68="",NOT(ISNUMBER(K68)),K68=0),"",ROUNDUP(G68/K68,0))</f>
        <v>0</v>
      </c>
      <c r="N68" s="25">
        <f>IF(OR(M68="",L68="",NOT(ISNUMBER(L68))),"",M68*L68)</f>
        <v>0</v>
      </c>
      <c r="O68" s="17">
        <f>IF(B68="","",IFERROR(INDEX(Ingredients!$E$5:$E$304,MATCH(B68,Ingredients!$B$5:$B$304,0)),"Add to Ingredients"))</f>
        <v>0</v>
      </c>
      <c r="Q68" s="31">
        <f>IF(B68="","",IF(F68=0,"Out of stock",IF(AND(E68&lt;&gt;"",F68&lt;E68),"Low stock","In stock")))</f>
        <v>0</v>
      </c>
      <c r="R68" s="31">
        <f>IF(B68="","",IF(Q68="Out of stock","Missing - add it to the list",IF(AND(I68&lt;&gt;"",I68&lt;1),"Due - less than a week left",IF(Q68="Low stock","Check - below your par level","OK"))))</f>
        <v>0</v>
      </c>
    </row>
    <row r="69" spans="1:18">
      <c r="A69" s="39">
        <f>IF(B69="","","STP-"&amp;TEXT(ROW()-4,"000"))</f>
        <v>0</v>
      </c>
      <c r="C69" s="17">
        <f>IF(B69="","",IFERROR(INDEX(Ingredients!$C$5:$C$304,MATCH(B69,Ingredients!$B$5:$B$304,0)),"Add to Ingredients"))</f>
        <v>0</v>
      </c>
      <c r="D69" s="17">
        <f>IF(B69="","",IFERROR(INDEX(Ingredients!$G$5:$G$304,MATCH(B69,Ingredients!$B$5:$B$304,0)),"Add to Ingredients"))</f>
        <v>0</v>
      </c>
      <c r="F69" s="45">
        <f>IF(B69="","",IFERROR(INDEX(Ingredients!$AD$5:$AD$304,MATCH(B69,Ingredients!$B$5:$B$304,0)),0))</f>
        <v>0</v>
      </c>
      <c r="G69" s="45">
        <f>IF(OR(E69="",F69=""),"",MAX(0,E69-F69))</f>
        <v>0</v>
      </c>
      <c r="I69" s="45">
        <f>IF(OR(H69="",H69=0,F69=""),"",F69/H69)</f>
        <v>0</v>
      </c>
      <c r="J69" s="19">
        <f>IF(I69="","",TODAY()+ROUND(I69*7,0))</f>
        <v>0</v>
      </c>
      <c r="K69" s="45">
        <f>IF(B69="","",IFERROR(INDEX(Ingredients!$H$5:$H$304,MATCH(B69,Ingredients!$B$5:$B$304,0)),"Add to Ingredients"))</f>
        <v>0</v>
      </c>
      <c r="L69" s="25">
        <f>IF(B69="","",IFERROR(INDEX(Ingredients!$I$5:$I$304,MATCH(B69,Ingredients!$B$5:$B$304,0)),"Add to Ingredients"))</f>
        <v>0</v>
      </c>
      <c r="M69" s="45">
        <f>IF(OR(G69="",G69=0,K69="",NOT(ISNUMBER(K69)),K69=0),"",ROUNDUP(G69/K69,0))</f>
        <v>0</v>
      </c>
      <c r="N69" s="25">
        <f>IF(OR(M69="",L69="",NOT(ISNUMBER(L69))),"",M69*L69)</f>
        <v>0</v>
      </c>
      <c r="O69" s="17">
        <f>IF(B69="","",IFERROR(INDEX(Ingredients!$E$5:$E$304,MATCH(B69,Ingredients!$B$5:$B$304,0)),"Add to Ingredients"))</f>
        <v>0</v>
      </c>
      <c r="Q69" s="31">
        <f>IF(B69="","",IF(F69=0,"Out of stock",IF(AND(E69&lt;&gt;"",F69&lt;E69),"Low stock","In stock")))</f>
        <v>0</v>
      </c>
      <c r="R69" s="31">
        <f>IF(B69="","",IF(Q69="Out of stock","Missing - add it to the list",IF(AND(I69&lt;&gt;"",I69&lt;1),"Due - less than a week left",IF(Q69="Low stock","Check - below your par level","OK"))))</f>
        <v>0</v>
      </c>
    </row>
    <row r="70" spans="1:18">
      <c r="A70" s="39">
        <f>IF(B70="","","STP-"&amp;TEXT(ROW()-4,"000"))</f>
        <v>0</v>
      </c>
      <c r="C70" s="17">
        <f>IF(B70="","",IFERROR(INDEX(Ingredients!$C$5:$C$304,MATCH(B70,Ingredients!$B$5:$B$304,0)),"Add to Ingredients"))</f>
        <v>0</v>
      </c>
      <c r="D70" s="17">
        <f>IF(B70="","",IFERROR(INDEX(Ingredients!$G$5:$G$304,MATCH(B70,Ingredients!$B$5:$B$304,0)),"Add to Ingredients"))</f>
        <v>0</v>
      </c>
      <c r="F70" s="45">
        <f>IF(B70="","",IFERROR(INDEX(Ingredients!$AD$5:$AD$304,MATCH(B70,Ingredients!$B$5:$B$304,0)),0))</f>
        <v>0</v>
      </c>
      <c r="G70" s="45">
        <f>IF(OR(E70="",F70=""),"",MAX(0,E70-F70))</f>
        <v>0</v>
      </c>
      <c r="I70" s="45">
        <f>IF(OR(H70="",H70=0,F70=""),"",F70/H70)</f>
        <v>0</v>
      </c>
      <c r="J70" s="19">
        <f>IF(I70="","",TODAY()+ROUND(I70*7,0))</f>
        <v>0</v>
      </c>
      <c r="K70" s="45">
        <f>IF(B70="","",IFERROR(INDEX(Ingredients!$H$5:$H$304,MATCH(B70,Ingredients!$B$5:$B$304,0)),"Add to Ingredients"))</f>
        <v>0</v>
      </c>
      <c r="L70" s="25">
        <f>IF(B70="","",IFERROR(INDEX(Ingredients!$I$5:$I$304,MATCH(B70,Ingredients!$B$5:$B$304,0)),"Add to Ingredients"))</f>
        <v>0</v>
      </c>
      <c r="M70" s="45">
        <f>IF(OR(G70="",G70=0,K70="",NOT(ISNUMBER(K70)),K70=0),"",ROUNDUP(G70/K70,0))</f>
        <v>0</v>
      </c>
      <c r="N70" s="25">
        <f>IF(OR(M70="",L70="",NOT(ISNUMBER(L70))),"",M70*L70)</f>
        <v>0</v>
      </c>
      <c r="O70" s="17">
        <f>IF(B70="","",IFERROR(INDEX(Ingredients!$E$5:$E$304,MATCH(B70,Ingredients!$B$5:$B$304,0)),"Add to Ingredients"))</f>
        <v>0</v>
      </c>
      <c r="Q70" s="31">
        <f>IF(B70="","",IF(F70=0,"Out of stock",IF(AND(E70&lt;&gt;"",F70&lt;E70),"Low stock","In stock")))</f>
        <v>0</v>
      </c>
      <c r="R70" s="31">
        <f>IF(B70="","",IF(Q70="Out of stock","Missing - add it to the list",IF(AND(I70&lt;&gt;"",I70&lt;1),"Due - less than a week left",IF(Q70="Low stock","Check - below your par level","OK"))))</f>
        <v>0</v>
      </c>
    </row>
    <row r="71" spans="1:18">
      <c r="A71" s="39">
        <f>IF(B71="","","STP-"&amp;TEXT(ROW()-4,"000"))</f>
        <v>0</v>
      </c>
      <c r="C71" s="17">
        <f>IF(B71="","",IFERROR(INDEX(Ingredients!$C$5:$C$304,MATCH(B71,Ingredients!$B$5:$B$304,0)),"Add to Ingredients"))</f>
        <v>0</v>
      </c>
      <c r="D71" s="17">
        <f>IF(B71="","",IFERROR(INDEX(Ingredients!$G$5:$G$304,MATCH(B71,Ingredients!$B$5:$B$304,0)),"Add to Ingredients"))</f>
        <v>0</v>
      </c>
      <c r="F71" s="45">
        <f>IF(B71="","",IFERROR(INDEX(Ingredients!$AD$5:$AD$304,MATCH(B71,Ingredients!$B$5:$B$304,0)),0))</f>
        <v>0</v>
      </c>
      <c r="G71" s="45">
        <f>IF(OR(E71="",F71=""),"",MAX(0,E71-F71))</f>
        <v>0</v>
      </c>
      <c r="I71" s="45">
        <f>IF(OR(H71="",H71=0,F71=""),"",F71/H71)</f>
        <v>0</v>
      </c>
      <c r="J71" s="19">
        <f>IF(I71="","",TODAY()+ROUND(I71*7,0))</f>
        <v>0</v>
      </c>
      <c r="K71" s="45">
        <f>IF(B71="","",IFERROR(INDEX(Ingredients!$H$5:$H$304,MATCH(B71,Ingredients!$B$5:$B$304,0)),"Add to Ingredients"))</f>
        <v>0</v>
      </c>
      <c r="L71" s="25">
        <f>IF(B71="","",IFERROR(INDEX(Ingredients!$I$5:$I$304,MATCH(B71,Ingredients!$B$5:$B$304,0)),"Add to Ingredients"))</f>
        <v>0</v>
      </c>
      <c r="M71" s="45">
        <f>IF(OR(G71="",G71=0,K71="",NOT(ISNUMBER(K71)),K71=0),"",ROUNDUP(G71/K71,0))</f>
        <v>0</v>
      </c>
      <c r="N71" s="25">
        <f>IF(OR(M71="",L71="",NOT(ISNUMBER(L71))),"",M71*L71)</f>
        <v>0</v>
      </c>
      <c r="O71" s="17">
        <f>IF(B71="","",IFERROR(INDEX(Ingredients!$E$5:$E$304,MATCH(B71,Ingredients!$B$5:$B$304,0)),"Add to Ingredients"))</f>
        <v>0</v>
      </c>
      <c r="Q71" s="31">
        <f>IF(B71="","",IF(F71=0,"Out of stock",IF(AND(E71&lt;&gt;"",F71&lt;E71),"Low stock","In stock")))</f>
        <v>0</v>
      </c>
      <c r="R71" s="31">
        <f>IF(B71="","",IF(Q71="Out of stock","Missing - add it to the list",IF(AND(I71&lt;&gt;"",I71&lt;1),"Due - less than a week left",IF(Q71="Low stock","Check - below your par level","OK"))))</f>
        <v>0</v>
      </c>
    </row>
    <row r="72" spans="1:18">
      <c r="A72" s="39">
        <f>IF(B72="","","STP-"&amp;TEXT(ROW()-4,"000"))</f>
        <v>0</v>
      </c>
      <c r="C72" s="17">
        <f>IF(B72="","",IFERROR(INDEX(Ingredients!$C$5:$C$304,MATCH(B72,Ingredients!$B$5:$B$304,0)),"Add to Ingredients"))</f>
        <v>0</v>
      </c>
      <c r="D72" s="17">
        <f>IF(B72="","",IFERROR(INDEX(Ingredients!$G$5:$G$304,MATCH(B72,Ingredients!$B$5:$B$304,0)),"Add to Ingredients"))</f>
        <v>0</v>
      </c>
      <c r="F72" s="45">
        <f>IF(B72="","",IFERROR(INDEX(Ingredients!$AD$5:$AD$304,MATCH(B72,Ingredients!$B$5:$B$304,0)),0))</f>
        <v>0</v>
      </c>
      <c r="G72" s="45">
        <f>IF(OR(E72="",F72=""),"",MAX(0,E72-F72))</f>
        <v>0</v>
      </c>
      <c r="I72" s="45">
        <f>IF(OR(H72="",H72=0,F72=""),"",F72/H72)</f>
        <v>0</v>
      </c>
      <c r="J72" s="19">
        <f>IF(I72="","",TODAY()+ROUND(I72*7,0))</f>
        <v>0</v>
      </c>
      <c r="K72" s="45">
        <f>IF(B72="","",IFERROR(INDEX(Ingredients!$H$5:$H$304,MATCH(B72,Ingredients!$B$5:$B$304,0)),"Add to Ingredients"))</f>
        <v>0</v>
      </c>
      <c r="L72" s="25">
        <f>IF(B72="","",IFERROR(INDEX(Ingredients!$I$5:$I$304,MATCH(B72,Ingredients!$B$5:$B$304,0)),"Add to Ingredients"))</f>
        <v>0</v>
      </c>
      <c r="M72" s="45">
        <f>IF(OR(G72="",G72=0,K72="",NOT(ISNUMBER(K72)),K72=0),"",ROUNDUP(G72/K72,0))</f>
        <v>0</v>
      </c>
      <c r="N72" s="25">
        <f>IF(OR(M72="",L72="",NOT(ISNUMBER(L72))),"",M72*L72)</f>
        <v>0</v>
      </c>
      <c r="O72" s="17">
        <f>IF(B72="","",IFERROR(INDEX(Ingredients!$E$5:$E$304,MATCH(B72,Ingredients!$B$5:$B$304,0)),"Add to Ingredients"))</f>
        <v>0</v>
      </c>
      <c r="Q72" s="31">
        <f>IF(B72="","",IF(F72=0,"Out of stock",IF(AND(E72&lt;&gt;"",F72&lt;E72),"Low stock","In stock")))</f>
        <v>0</v>
      </c>
      <c r="R72" s="31">
        <f>IF(B72="","",IF(Q72="Out of stock","Missing - add it to the list",IF(AND(I72&lt;&gt;"",I72&lt;1),"Due - less than a week left",IF(Q72="Low stock","Check - below your par level","OK"))))</f>
        <v>0</v>
      </c>
    </row>
    <row r="73" spans="1:18">
      <c r="A73" s="39">
        <f>IF(B73="","","STP-"&amp;TEXT(ROW()-4,"000"))</f>
        <v>0</v>
      </c>
      <c r="C73" s="17">
        <f>IF(B73="","",IFERROR(INDEX(Ingredients!$C$5:$C$304,MATCH(B73,Ingredients!$B$5:$B$304,0)),"Add to Ingredients"))</f>
        <v>0</v>
      </c>
      <c r="D73" s="17">
        <f>IF(B73="","",IFERROR(INDEX(Ingredients!$G$5:$G$304,MATCH(B73,Ingredients!$B$5:$B$304,0)),"Add to Ingredients"))</f>
        <v>0</v>
      </c>
      <c r="F73" s="45">
        <f>IF(B73="","",IFERROR(INDEX(Ingredients!$AD$5:$AD$304,MATCH(B73,Ingredients!$B$5:$B$304,0)),0))</f>
        <v>0</v>
      </c>
      <c r="G73" s="45">
        <f>IF(OR(E73="",F73=""),"",MAX(0,E73-F73))</f>
        <v>0</v>
      </c>
      <c r="I73" s="45">
        <f>IF(OR(H73="",H73=0,F73=""),"",F73/H73)</f>
        <v>0</v>
      </c>
      <c r="J73" s="19">
        <f>IF(I73="","",TODAY()+ROUND(I73*7,0))</f>
        <v>0</v>
      </c>
      <c r="K73" s="45">
        <f>IF(B73="","",IFERROR(INDEX(Ingredients!$H$5:$H$304,MATCH(B73,Ingredients!$B$5:$B$304,0)),"Add to Ingredients"))</f>
        <v>0</v>
      </c>
      <c r="L73" s="25">
        <f>IF(B73="","",IFERROR(INDEX(Ingredients!$I$5:$I$304,MATCH(B73,Ingredients!$B$5:$B$304,0)),"Add to Ingredients"))</f>
        <v>0</v>
      </c>
      <c r="M73" s="45">
        <f>IF(OR(G73="",G73=0,K73="",NOT(ISNUMBER(K73)),K73=0),"",ROUNDUP(G73/K73,0))</f>
        <v>0</v>
      </c>
      <c r="N73" s="25">
        <f>IF(OR(M73="",L73="",NOT(ISNUMBER(L73))),"",M73*L73)</f>
        <v>0</v>
      </c>
      <c r="O73" s="17">
        <f>IF(B73="","",IFERROR(INDEX(Ingredients!$E$5:$E$304,MATCH(B73,Ingredients!$B$5:$B$304,0)),"Add to Ingredients"))</f>
        <v>0</v>
      </c>
      <c r="Q73" s="31">
        <f>IF(B73="","",IF(F73=0,"Out of stock",IF(AND(E73&lt;&gt;"",F73&lt;E73),"Low stock","In stock")))</f>
        <v>0</v>
      </c>
      <c r="R73" s="31">
        <f>IF(B73="","",IF(Q73="Out of stock","Missing - add it to the list",IF(AND(I73&lt;&gt;"",I73&lt;1),"Due - less than a week left",IF(Q73="Low stock","Check - below your par level","OK"))))</f>
        <v>0</v>
      </c>
    </row>
    <row r="74" spans="1:18">
      <c r="A74" s="39">
        <f>IF(B74="","","STP-"&amp;TEXT(ROW()-4,"000"))</f>
        <v>0</v>
      </c>
      <c r="C74" s="17">
        <f>IF(B74="","",IFERROR(INDEX(Ingredients!$C$5:$C$304,MATCH(B74,Ingredients!$B$5:$B$304,0)),"Add to Ingredients"))</f>
        <v>0</v>
      </c>
      <c r="D74" s="17">
        <f>IF(B74="","",IFERROR(INDEX(Ingredients!$G$5:$G$304,MATCH(B74,Ingredients!$B$5:$B$304,0)),"Add to Ingredients"))</f>
        <v>0</v>
      </c>
      <c r="F74" s="45">
        <f>IF(B74="","",IFERROR(INDEX(Ingredients!$AD$5:$AD$304,MATCH(B74,Ingredients!$B$5:$B$304,0)),0))</f>
        <v>0</v>
      </c>
      <c r="G74" s="45">
        <f>IF(OR(E74="",F74=""),"",MAX(0,E74-F74))</f>
        <v>0</v>
      </c>
      <c r="I74" s="45">
        <f>IF(OR(H74="",H74=0,F74=""),"",F74/H74)</f>
        <v>0</v>
      </c>
      <c r="J74" s="19">
        <f>IF(I74="","",TODAY()+ROUND(I74*7,0))</f>
        <v>0</v>
      </c>
      <c r="K74" s="45">
        <f>IF(B74="","",IFERROR(INDEX(Ingredients!$H$5:$H$304,MATCH(B74,Ingredients!$B$5:$B$304,0)),"Add to Ingredients"))</f>
        <v>0</v>
      </c>
      <c r="L74" s="25">
        <f>IF(B74="","",IFERROR(INDEX(Ingredients!$I$5:$I$304,MATCH(B74,Ingredients!$B$5:$B$304,0)),"Add to Ingredients"))</f>
        <v>0</v>
      </c>
      <c r="M74" s="45">
        <f>IF(OR(G74="",G74=0,K74="",NOT(ISNUMBER(K74)),K74=0),"",ROUNDUP(G74/K74,0))</f>
        <v>0</v>
      </c>
      <c r="N74" s="25">
        <f>IF(OR(M74="",L74="",NOT(ISNUMBER(L74))),"",M74*L74)</f>
        <v>0</v>
      </c>
      <c r="O74" s="17">
        <f>IF(B74="","",IFERROR(INDEX(Ingredients!$E$5:$E$304,MATCH(B74,Ingredients!$B$5:$B$304,0)),"Add to Ingredients"))</f>
        <v>0</v>
      </c>
      <c r="Q74" s="31">
        <f>IF(B74="","",IF(F74=0,"Out of stock",IF(AND(E74&lt;&gt;"",F74&lt;E74),"Low stock","In stock")))</f>
        <v>0</v>
      </c>
      <c r="R74" s="31">
        <f>IF(B74="","",IF(Q74="Out of stock","Missing - add it to the list",IF(AND(I74&lt;&gt;"",I74&lt;1),"Due - less than a week left",IF(Q74="Low stock","Check - below your par level","OK"))))</f>
        <v>0</v>
      </c>
    </row>
    <row r="75" spans="1:18">
      <c r="A75" s="39">
        <f>IF(B75="","","STP-"&amp;TEXT(ROW()-4,"000"))</f>
        <v>0</v>
      </c>
      <c r="C75" s="17">
        <f>IF(B75="","",IFERROR(INDEX(Ingredients!$C$5:$C$304,MATCH(B75,Ingredients!$B$5:$B$304,0)),"Add to Ingredients"))</f>
        <v>0</v>
      </c>
      <c r="D75" s="17">
        <f>IF(B75="","",IFERROR(INDEX(Ingredients!$G$5:$G$304,MATCH(B75,Ingredients!$B$5:$B$304,0)),"Add to Ingredients"))</f>
        <v>0</v>
      </c>
      <c r="F75" s="45">
        <f>IF(B75="","",IFERROR(INDEX(Ingredients!$AD$5:$AD$304,MATCH(B75,Ingredients!$B$5:$B$304,0)),0))</f>
        <v>0</v>
      </c>
      <c r="G75" s="45">
        <f>IF(OR(E75="",F75=""),"",MAX(0,E75-F75))</f>
        <v>0</v>
      </c>
      <c r="I75" s="45">
        <f>IF(OR(H75="",H75=0,F75=""),"",F75/H75)</f>
        <v>0</v>
      </c>
      <c r="J75" s="19">
        <f>IF(I75="","",TODAY()+ROUND(I75*7,0))</f>
        <v>0</v>
      </c>
      <c r="K75" s="45">
        <f>IF(B75="","",IFERROR(INDEX(Ingredients!$H$5:$H$304,MATCH(B75,Ingredients!$B$5:$B$304,0)),"Add to Ingredients"))</f>
        <v>0</v>
      </c>
      <c r="L75" s="25">
        <f>IF(B75="","",IFERROR(INDEX(Ingredients!$I$5:$I$304,MATCH(B75,Ingredients!$B$5:$B$304,0)),"Add to Ingredients"))</f>
        <v>0</v>
      </c>
      <c r="M75" s="45">
        <f>IF(OR(G75="",G75=0,K75="",NOT(ISNUMBER(K75)),K75=0),"",ROUNDUP(G75/K75,0))</f>
        <v>0</v>
      </c>
      <c r="N75" s="25">
        <f>IF(OR(M75="",L75="",NOT(ISNUMBER(L75))),"",M75*L75)</f>
        <v>0</v>
      </c>
      <c r="O75" s="17">
        <f>IF(B75="","",IFERROR(INDEX(Ingredients!$E$5:$E$304,MATCH(B75,Ingredients!$B$5:$B$304,0)),"Add to Ingredients"))</f>
        <v>0</v>
      </c>
      <c r="Q75" s="31">
        <f>IF(B75="","",IF(F75=0,"Out of stock",IF(AND(E75&lt;&gt;"",F75&lt;E75),"Low stock","In stock")))</f>
        <v>0</v>
      </c>
      <c r="R75" s="31">
        <f>IF(B75="","",IF(Q75="Out of stock","Missing - add it to the list",IF(AND(I75&lt;&gt;"",I75&lt;1),"Due - less than a week left",IF(Q75="Low stock","Check - below your par level","OK"))))</f>
        <v>0</v>
      </c>
    </row>
    <row r="76" spans="1:18">
      <c r="A76" s="39">
        <f>IF(B76="","","STP-"&amp;TEXT(ROW()-4,"000"))</f>
        <v>0</v>
      </c>
      <c r="C76" s="17">
        <f>IF(B76="","",IFERROR(INDEX(Ingredients!$C$5:$C$304,MATCH(B76,Ingredients!$B$5:$B$304,0)),"Add to Ingredients"))</f>
        <v>0</v>
      </c>
      <c r="D76" s="17">
        <f>IF(B76="","",IFERROR(INDEX(Ingredients!$G$5:$G$304,MATCH(B76,Ingredients!$B$5:$B$304,0)),"Add to Ingredients"))</f>
        <v>0</v>
      </c>
      <c r="F76" s="45">
        <f>IF(B76="","",IFERROR(INDEX(Ingredients!$AD$5:$AD$304,MATCH(B76,Ingredients!$B$5:$B$304,0)),0))</f>
        <v>0</v>
      </c>
      <c r="G76" s="45">
        <f>IF(OR(E76="",F76=""),"",MAX(0,E76-F76))</f>
        <v>0</v>
      </c>
      <c r="I76" s="45">
        <f>IF(OR(H76="",H76=0,F76=""),"",F76/H76)</f>
        <v>0</v>
      </c>
      <c r="J76" s="19">
        <f>IF(I76="","",TODAY()+ROUND(I76*7,0))</f>
        <v>0</v>
      </c>
      <c r="K76" s="45">
        <f>IF(B76="","",IFERROR(INDEX(Ingredients!$H$5:$H$304,MATCH(B76,Ingredients!$B$5:$B$304,0)),"Add to Ingredients"))</f>
        <v>0</v>
      </c>
      <c r="L76" s="25">
        <f>IF(B76="","",IFERROR(INDEX(Ingredients!$I$5:$I$304,MATCH(B76,Ingredients!$B$5:$B$304,0)),"Add to Ingredients"))</f>
        <v>0</v>
      </c>
      <c r="M76" s="45">
        <f>IF(OR(G76="",G76=0,K76="",NOT(ISNUMBER(K76)),K76=0),"",ROUNDUP(G76/K76,0))</f>
        <v>0</v>
      </c>
      <c r="N76" s="25">
        <f>IF(OR(M76="",L76="",NOT(ISNUMBER(L76))),"",M76*L76)</f>
        <v>0</v>
      </c>
      <c r="O76" s="17">
        <f>IF(B76="","",IFERROR(INDEX(Ingredients!$E$5:$E$304,MATCH(B76,Ingredients!$B$5:$B$304,0)),"Add to Ingredients"))</f>
        <v>0</v>
      </c>
      <c r="Q76" s="31">
        <f>IF(B76="","",IF(F76=0,"Out of stock",IF(AND(E76&lt;&gt;"",F76&lt;E76),"Low stock","In stock")))</f>
        <v>0</v>
      </c>
      <c r="R76" s="31">
        <f>IF(B76="","",IF(Q76="Out of stock","Missing - add it to the list",IF(AND(I76&lt;&gt;"",I76&lt;1),"Due - less than a week left",IF(Q76="Low stock","Check - below your par level","OK"))))</f>
        <v>0</v>
      </c>
    </row>
    <row r="77" spans="1:18">
      <c r="A77" s="39">
        <f>IF(B77="","","STP-"&amp;TEXT(ROW()-4,"000"))</f>
        <v>0</v>
      </c>
      <c r="C77" s="17">
        <f>IF(B77="","",IFERROR(INDEX(Ingredients!$C$5:$C$304,MATCH(B77,Ingredients!$B$5:$B$304,0)),"Add to Ingredients"))</f>
        <v>0</v>
      </c>
      <c r="D77" s="17">
        <f>IF(B77="","",IFERROR(INDEX(Ingredients!$G$5:$G$304,MATCH(B77,Ingredients!$B$5:$B$304,0)),"Add to Ingredients"))</f>
        <v>0</v>
      </c>
      <c r="F77" s="45">
        <f>IF(B77="","",IFERROR(INDEX(Ingredients!$AD$5:$AD$304,MATCH(B77,Ingredients!$B$5:$B$304,0)),0))</f>
        <v>0</v>
      </c>
      <c r="G77" s="45">
        <f>IF(OR(E77="",F77=""),"",MAX(0,E77-F77))</f>
        <v>0</v>
      </c>
      <c r="I77" s="45">
        <f>IF(OR(H77="",H77=0,F77=""),"",F77/H77)</f>
        <v>0</v>
      </c>
      <c r="J77" s="19">
        <f>IF(I77="","",TODAY()+ROUND(I77*7,0))</f>
        <v>0</v>
      </c>
      <c r="K77" s="45">
        <f>IF(B77="","",IFERROR(INDEX(Ingredients!$H$5:$H$304,MATCH(B77,Ingredients!$B$5:$B$304,0)),"Add to Ingredients"))</f>
        <v>0</v>
      </c>
      <c r="L77" s="25">
        <f>IF(B77="","",IFERROR(INDEX(Ingredients!$I$5:$I$304,MATCH(B77,Ingredients!$B$5:$B$304,0)),"Add to Ingredients"))</f>
        <v>0</v>
      </c>
      <c r="M77" s="45">
        <f>IF(OR(G77="",G77=0,K77="",NOT(ISNUMBER(K77)),K77=0),"",ROUNDUP(G77/K77,0))</f>
        <v>0</v>
      </c>
      <c r="N77" s="25">
        <f>IF(OR(M77="",L77="",NOT(ISNUMBER(L77))),"",M77*L77)</f>
        <v>0</v>
      </c>
      <c r="O77" s="17">
        <f>IF(B77="","",IFERROR(INDEX(Ingredients!$E$5:$E$304,MATCH(B77,Ingredients!$B$5:$B$304,0)),"Add to Ingredients"))</f>
        <v>0</v>
      </c>
      <c r="Q77" s="31">
        <f>IF(B77="","",IF(F77=0,"Out of stock",IF(AND(E77&lt;&gt;"",F77&lt;E77),"Low stock","In stock")))</f>
        <v>0</v>
      </c>
      <c r="R77" s="31">
        <f>IF(B77="","",IF(Q77="Out of stock","Missing - add it to the list",IF(AND(I77&lt;&gt;"",I77&lt;1),"Due - less than a week left",IF(Q77="Low stock","Check - below your par level","OK"))))</f>
        <v>0</v>
      </c>
    </row>
    <row r="78" spans="1:18">
      <c r="A78" s="39">
        <f>IF(B78="","","STP-"&amp;TEXT(ROW()-4,"000"))</f>
        <v>0</v>
      </c>
      <c r="C78" s="17">
        <f>IF(B78="","",IFERROR(INDEX(Ingredients!$C$5:$C$304,MATCH(B78,Ingredients!$B$5:$B$304,0)),"Add to Ingredients"))</f>
        <v>0</v>
      </c>
      <c r="D78" s="17">
        <f>IF(B78="","",IFERROR(INDEX(Ingredients!$G$5:$G$304,MATCH(B78,Ingredients!$B$5:$B$304,0)),"Add to Ingredients"))</f>
        <v>0</v>
      </c>
      <c r="F78" s="45">
        <f>IF(B78="","",IFERROR(INDEX(Ingredients!$AD$5:$AD$304,MATCH(B78,Ingredients!$B$5:$B$304,0)),0))</f>
        <v>0</v>
      </c>
      <c r="G78" s="45">
        <f>IF(OR(E78="",F78=""),"",MAX(0,E78-F78))</f>
        <v>0</v>
      </c>
      <c r="I78" s="45">
        <f>IF(OR(H78="",H78=0,F78=""),"",F78/H78)</f>
        <v>0</v>
      </c>
      <c r="J78" s="19">
        <f>IF(I78="","",TODAY()+ROUND(I78*7,0))</f>
        <v>0</v>
      </c>
      <c r="K78" s="45">
        <f>IF(B78="","",IFERROR(INDEX(Ingredients!$H$5:$H$304,MATCH(B78,Ingredients!$B$5:$B$304,0)),"Add to Ingredients"))</f>
        <v>0</v>
      </c>
      <c r="L78" s="25">
        <f>IF(B78="","",IFERROR(INDEX(Ingredients!$I$5:$I$304,MATCH(B78,Ingredients!$B$5:$B$304,0)),"Add to Ingredients"))</f>
        <v>0</v>
      </c>
      <c r="M78" s="45">
        <f>IF(OR(G78="",G78=0,K78="",NOT(ISNUMBER(K78)),K78=0),"",ROUNDUP(G78/K78,0))</f>
        <v>0</v>
      </c>
      <c r="N78" s="25">
        <f>IF(OR(M78="",L78="",NOT(ISNUMBER(L78))),"",M78*L78)</f>
        <v>0</v>
      </c>
      <c r="O78" s="17">
        <f>IF(B78="","",IFERROR(INDEX(Ingredients!$E$5:$E$304,MATCH(B78,Ingredients!$B$5:$B$304,0)),"Add to Ingredients"))</f>
        <v>0</v>
      </c>
      <c r="Q78" s="31">
        <f>IF(B78="","",IF(F78=0,"Out of stock",IF(AND(E78&lt;&gt;"",F78&lt;E78),"Low stock","In stock")))</f>
        <v>0</v>
      </c>
      <c r="R78" s="31">
        <f>IF(B78="","",IF(Q78="Out of stock","Missing - add it to the list",IF(AND(I78&lt;&gt;"",I78&lt;1),"Due - less than a week left",IF(Q78="Low stock","Check - below your par level","OK"))))</f>
        <v>0</v>
      </c>
    </row>
    <row r="79" spans="1:18">
      <c r="A79" s="39">
        <f>IF(B79="","","STP-"&amp;TEXT(ROW()-4,"000"))</f>
        <v>0</v>
      </c>
      <c r="C79" s="17">
        <f>IF(B79="","",IFERROR(INDEX(Ingredients!$C$5:$C$304,MATCH(B79,Ingredients!$B$5:$B$304,0)),"Add to Ingredients"))</f>
        <v>0</v>
      </c>
      <c r="D79" s="17">
        <f>IF(B79="","",IFERROR(INDEX(Ingredients!$G$5:$G$304,MATCH(B79,Ingredients!$B$5:$B$304,0)),"Add to Ingredients"))</f>
        <v>0</v>
      </c>
      <c r="F79" s="45">
        <f>IF(B79="","",IFERROR(INDEX(Ingredients!$AD$5:$AD$304,MATCH(B79,Ingredients!$B$5:$B$304,0)),0))</f>
        <v>0</v>
      </c>
      <c r="G79" s="45">
        <f>IF(OR(E79="",F79=""),"",MAX(0,E79-F79))</f>
        <v>0</v>
      </c>
      <c r="I79" s="45">
        <f>IF(OR(H79="",H79=0,F79=""),"",F79/H79)</f>
        <v>0</v>
      </c>
      <c r="J79" s="19">
        <f>IF(I79="","",TODAY()+ROUND(I79*7,0))</f>
        <v>0</v>
      </c>
      <c r="K79" s="45">
        <f>IF(B79="","",IFERROR(INDEX(Ingredients!$H$5:$H$304,MATCH(B79,Ingredients!$B$5:$B$304,0)),"Add to Ingredients"))</f>
        <v>0</v>
      </c>
      <c r="L79" s="25">
        <f>IF(B79="","",IFERROR(INDEX(Ingredients!$I$5:$I$304,MATCH(B79,Ingredients!$B$5:$B$304,0)),"Add to Ingredients"))</f>
        <v>0</v>
      </c>
      <c r="M79" s="45">
        <f>IF(OR(G79="",G79=0,K79="",NOT(ISNUMBER(K79)),K79=0),"",ROUNDUP(G79/K79,0))</f>
        <v>0</v>
      </c>
      <c r="N79" s="25">
        <f>IF(OR(M79="",L79="",NOT(ISNUMBER(L79))),"",M79*L79)</f>
        <v>0</v>
      </c>
      <c r="O79" s="17">
        <f>IF(B79="","",IFERROR(INDEX(Ingredients!$E$5:$E$304,MATCH(B79,Ingredients!$B$5:$B$304,0)),"Add to Ingredients"))</f>
        <v>0</v>
      </c>
      <c r="Q79" s="31">
        <f>IF(B79="","",IF(F79=0,"Out of stock",IF(AND(E79&lt;&gt;"",F79&lt;E79),"Low stock","In stock")))</f>
        <v>0</v>
      </c>
      <c r="R79" s="31">
        <f>IF(B79="","",IF(Q79="Out of stock","Missing - add it to the list",IF(AND(I79&lt;&gt;"",I79&lt;1),"Due - less than a week left",IF(Q79="Low stock","Check - below your par level","OK"))))</f>
        <v>0</v>
      </c>
    </row>
    <row r="80" spans="1:18">
      <c r="A80" s="39">
        <f>IF(B80="","","STP-"&amp;TEXT(ROW()-4,"000"))</f>
        <v>0</v>
      </c>
      <c r="C80" s="17">
        <f>IF(B80="","",IFERROR(INDEX(Ingredients!$C$5:$C$304,MATCH(B80,Ingredients!$B$5:$B$304,0)),"Add to Ingredients"))</f>
        <v>0</v>
      </c>
      <c r="D80" s="17">
        <f>IF(B80="","",IFERROR(INDEX(Ingredients!$G$5:$G$304,MATCH(B80,Ingredients!$B$5:$B$304,0)),"Add to Ingredients"))</f>
        <v>0</v>
      </c>
      <c r="F80" s="45">
        <f>IF(B80="","",IFERROR(INDEX(Ingredients!$AD$5:$AD$304,MATCH(B80,Ingredients!$B$5:$B$304,0)),0))</f>
        <v>0</v>
      </c>
      <c r="G80" s="45">
        <f>IF(OR(E80="",F80=""),"",MAX(0,E80-F80))</f>
        <v>0</v>
      </c>
      <c r="I80" s="45">
        <f>IF(OR(H80="",H80=0,F80=""),"",F80/H80)</f>
        <v>0</v>
      </c>
      <c r="J80" s="19">
        <f>IF(I80="","",TODAY()+ROUND(I80*7,0))</f>
        <v>0</v>
      </c>
      <c r="K80" s="45">
        <f>IF(B80="","",IFERROR(INDEX(Ingredients!$H$5:$H$304,MATCH(B80,Ingredients!$B$5:$B$304,0)),"Add to Ingredients"))</f>
        <v>0</v>
      </c>
      <c r="L80" s="25">
        <f>IF(B80="","",IFERROR(INDEX(Ingredients!$I$5:$I$304,MATCH(B80,Ingredients!$B$5:$B$304,0)),"Add to Ingredients"))</f>
        <v>0</v>
      </c>
      <c r="M80" s="45">
        <f>IF(OR(G80="",G80=0,K80="",NOT(ISNUMBER(K80)),K80=0),"",ROUNDUP(G80/K80,0))</f>
        <v>0</v>
      </c>
      <c r="N80" s="25">
        <f>IF(OR(M80="",L80="",NOT(ISNUMBER(L80))),"",M80*L80)</f>
        <v>0</v>
      </c>
      <c r="O80" s="17">
        <f>IF(B80="","",IFERROR(INDEX(Ingredients!$E$5:$E$304,MATCH(B80,Ingredients!$B$5:$B$304,0)),"Add to Ingredients"))</f>
        <v>0</v>
      </c>
      <c r="Q80" s="31">
        <f>IF(B80="","",IF(F80=0,"Out of stock",IF(AND(E80&lt;&gt;"",F80&lt;E80),"Low stock","In stock")))</f>
        <v>0</v>
      </c>
      <c r="R80" s="31">
        <f>IF(B80="","",IF(Q80="Out of stock","Missing - add it to the list",IF(AND(I80&lt;&gt;"",I80&lt;1),"Due - less than a week left",IF(Q80="Low stock","Check - below your par level","OK"))))</f>
        <v>0</v>
      </c>
    </row>
    <row r="81" spans="1:18">
      <c r="A81" s="39">
        <f>IF(B81="","","STP-"&amp;TEXT(ROW()-4,"000"))</f>
        <v>0</v>
      </c>
      <c r="C81" s="17">
        <f>IF(B81="","",IFERROR(INDEX(Ingredients!$C$5:$C$304,MATCH(B81,Ingredients!$B$5:$B$304,0)),"Add to Ingredients"))</f>
        <v>0</v>
      </c>
      <c r="D81" s="17">
        <f>IF(B81="","",IFERROR(INDEX(Ingredients!$G$5:$G$304,MATCH(B81,Ingredients!$B$5:$B$304,0)),"Add to Ingredients"))</f>
        <v>0</v>
      </c>
      <c r="F81" s="45">
        <f>IF(B81="","",IFERROR(INDEX(Ingredients!$AD$5:$AD$304,MATCH(B81,Ingredients!$B$5:$B$304,0)),0))</f>
        <v>0</v>
      </c>
      <c r="G81" s="45">
        <f>IF(OR(E81="",F81=""),"",MAX(0,E81-F81))</f>
        <v>0</v>
      </c>
      <c r="I81" s="45">
        <f>IF(OR(H81="",H81=0,F81=""),"",F81/H81)</f>
        <v>0</v>
      </c>
      <c r="J81" s="19">
        <f>IF(I81="","",TODAY()+ROUND(I81*7,0))</f>
        <v>0</v>
      </c>
      <c r="K81" s="45">
        <f>IF(B81="","",IFERROR(INDEX(Ingredients!$H$5:$H$304,MATCH(B81,Ingredients!$B$5:$B$304,0)),"Add to Ingredients"))</f>
        <v>0</v>
      </c>
      <c r="L81" s="25">
        <f>IF(B81="","",IFERROR(INDEX(Ingredients!$I$5:$I$304,MATCH(B81,Ingredients!$B$5:$B$304,0)),"Add to Ingredients"))</f>
        <v>0</v>
      </c>
      <c r="M81" s="45">
        <f>IF(OR(G81="",G81=0,K81="",NOT(ISNUMBER(K81)),K81=0),"",ROUNDUP(G81/K81,0))</f>
        <v>0</v>
      </c>
      <c r="N81" s="25">
        <f>IF(OR(M81="",L81="",NOT(ISNUMBER(L81))),"",M81*L81)</f>
        <v>0</v>
      </c>
      <c r="O81" s="17">
        <f>IF(B81="","",IFERROR(INDEX(Ingredients!$E$5:$E$304,MATCH(B81,Ingredients!$B$5:$B$304,0)),"Add to Ingredients"))</f>
        <v>0</v>
      </c>
      <c r="Q81" s="31">
        <f>IF(B81="","",IF(F81=0,"Out of stock",IF(AND(E81&lt;&gt;"",F81&lt;E81),"Low stock","In stock")))</f>
        <v>0</v>
      </c>
      <c r="R81" s="31">
        <f>IF(B81="","",IF(Q81="Out of stock","Missing - add it to the list",IF(AND(I81&lt;&gt;"",I81&lt;1),"Due - less than a week left",IF(Q81="Low stock","Check - below your par level","OK"))))</f>
        <v>0</v>
      </c>
    </row>
    <row r="82" spans="1:18">
      <c r="A82" s="39">
        <f>IF(B82="","","STP-"&amp;TEXT(ROW()-4,"000"))</f>
        <v>0</v>
      </c>
      <c r="C82" s="17">
        <f>IF(B82="","",IFERROR(INDEX(Ingredients!$C$5:$C$304,MATCH(B82,Ingredients!$B$5:$B$304,0)),"Add to Ingredients"))</f>
        <v>0</v>
      </c>
      <c r="D82" s="17">
        <f>IF(B82="","",IFERROR(INDEX(Ingredients!$G$5:$G$304,MATCH(B82,Ingredients!$B$5:$B$304,0)),"Add to Ingredients"))</f>
        <v>0</v>
      </c>
      <c r="F82" s="45">
        <f>IF(B82="","",IFERROR(INDEX(Ingredients!$AD$5:$AD$304,MATCH(B82,Ingredients!$B$5:$B$304,0)),0))</f>
        <v>0</v>
      </c>
      <c r="G82" s="45">
        <f>IF(OR(E82="",F82=""),"",MAX(0,E82-F82))</f>
        <v>0</v>
      </c>
      <c r="I82" s="45">
        <f>IF(OR(H82="",H82=0,F82=""),"",F82/H82)</f>
        <v>0</v>
      </c>
      <c r="J82" s="19">
        <f>IF(I82="","",TODAY()+ROUND(I82*7,0))</f>
        <v>0</v>
      </c>
      <c r="K82" s="45">
        <f>IF(B82="","",IFERROR(INDEX(Ingredients!$H$5:$H$304,MATCH(B82,Ingredients!$B$5:$B$304,0)),"Add to Ingredients"))</f>
        <v>0</v>
      </c>
      <c r="L82" s="25">
        <f>IF(B82="","",IFERROR(INDEX(Ingredients!$I$5:$I$304,MATCH(B82,Ingredients!$B$5:$B$304,0)),"Add to Ingredients"))</f>
        <v>0</v>
      </c>
      <c r="M82" s="45">
        <f>IF(OR(G82="",G82=0,K82="",NOT(ISNUMBER(K82)),K82=0),"",ROUNDUP(G82/K82,0))</f>
        <v>0</v>
      </c>
      <c r="N82" s="25">
        <f>IF(OR(M82="",L82="",NOT(ISNUMBER(L82))),"",M82*L82)</f>
        <v>0</v>
      </c>
      <c r="O82" s="17">
        <f>IF(B82="","",IFERROR(INDEX(Ingredients!$E$5:$E$304,MATCH(B82,Ingredients!$B$5:$B$304,0)),"Add to Ingredients"))</f>
        <v>0</v>
      </c>
      <c r="Q82" s="31">
        <f>IF(B82="","",IF(F82=0,"Out of stock",IF(AND(E82&lt;&gt;"",F82&lt;E82),"Low stock","In stock")))</f>
        <v>0</v>
      </c>
      <c r="R82" s="31">
        <f>IF(B82="","",IF(Q82="Out of stock","Missing - add it to the list",IF(AND(I82&lt;&gt;"",I82&lt;1),"Due - less than a week left",IF(Q82="Low stock","Check - below your par level","OK"))))</f>
        <v>0</v>
      </c>
    </row>
    <row r="83" spans="1:18">
      <c r="A83" s="39">
        <f>IF(B83="","","STP-"&amp;TEXT(ROW()-4,"000"))</f>
        <v>0</v>
      </c>
      <c r="C83" s="17">
        <f>IF(B83="","",IFERROR(INDEX(Ingredients!$C$5:$C$304,MATCH(B83,Ingredients!$B$5:$B$304,0)),"Add to Ingredients"))</f>
        <v>0</v>
      </c>
      <c r="D83" s="17">
        <f>IF(B83="","",IFERROR(INDEX(Ingredients!$G$5:$G$304,MATCH(B83,Ingredients!$B$5:$B$304,0)),"Add to Ingredients"))</f>
        <v>0</v>
      </c>
      <c r="F83" s="45">
        <f>IF(B83="","",IFERROR(INDEX(Ingredients!$AD$5:$AD$304,MATCH(B83,Ingredients!$B$5:$B$304,0)),0))</f>
        <v>0</v>
      </c>
      <c r="G83" s="45">
        <f>IF(OR(E83="",F83=""),"",MAX(0,E83-F83))</f>
        <v>0</v>
      </c>
      <c r="I83" s="45">
        <f>IF(OR(H83="",H83=0,F83=""),"",F83/H83)</f>
        <v>0</v>
      </c>
      <c r="J83" s="19">
        <f>IF(I83="","",TODAY()+ROUND(I83*7,0))</f>
        <v>0</v>
      </c>
      <c r="K83" s="45">
        <f>IF(B83="","",IFERROR(INDEX(Ingredients!$H$5:$H$304,MATCH(B83,Ingredients!$B$5:$B$304,0)),"Add to Ingredients"))</f>
        <v>0</v>
      </c>
      <c r="L83" s="25">
        <f>IF(B83="","",IFERROR(INDEX(Ingredients!$I$5:$I$304,MATCH(B83,Ingredients!$B$5:$B$304,0)),"Add to Ingredients"))</f>
        <v>0</v>
      </c>
      <c r="M83" s="45">
        <f>IF(OR(G83="",G83=0,K83="",NOT(ISNUMBER(K83)),K83=0),"",ROUNDUP(G83/K83,0))</f>
        <v>0</v>
      </c>
      <c r="N83" s="25">
        <f>IF(OR(M83="",L83="",NOT(ISNUMBER(L83))),"",M83*L83)</f>
        <v>0</v>
      </c>
      <c r="O83" s="17">
        <f>IF(B83="","",IFERROR(INDEX(Ingredients!$E$5:$E$304,MATCH(B83,Ingredients!$B$5:$B$304,0)),"Add to Ingredients"))</f>
        <v>0</v>
      </c>
      <c r="Q83" s="31">
        <f>IF(B83="","",IF(F83=0,"Out of stock",IF(AND(E83&lt;&gt;"",F83&lt;E83),"Low stock","In stock")))</f>
        <v>0</v>
      </c>
      <c r="R83" s="31">
        <f>IF(B83="","",IF(Q83="Out of stock","Missing - add it to the list",IF(AND(I83&lt;&gt;"",I83&lt;1),"Due - less than a week left",IF(Q83="Low stock","Check - below your par level","OK"))))</f>
        <v>0</v>
      </c>
    </row>
    <row r="84" spans="1:18">
      <c r="A84" s="39">
        <f>IF(B84="","","STP-"&amp;TEXT(ROW()-4,"000"))</f>
        <v>0</v>
      </c>
      <c r="C84" s="17">
        <f>IF(B84="","",IFERROR(INDEX(Ingredients!$C$5:$C$304,MATCH(B84,Ingredients!$B$5:$B$304,0)),"Add to Ingredients"))</f>
        <v>0</v>
      </c>
      <c r="D84" s="17">
        <f>IF(B84="","",IFERROR(INDEX(Ingredients!$G$5:$G$304,MATCH(B84,Ingredients!$B$5:$B$304,0)),"Add to Ingredients"))</f>
        <v>0</v>
      </c>
      <c r="F84" s="45">
        <f>IF(B84="","",IFERROR(INDEX(Ingredients!$AD$5:$AD$304,MATCH(B84,Ingredients!$B$5:$B$304,0)),0))</f>
        <v>0</v>
      </c>
      <c r="G84" s="45">
        <f>IF(OR(E84="",F84=""),"",MAX(0,E84-F84))</f>
        <v>0</v>
      </c>
      <c r="I84" s="45">
        <f>IF(OR(H84="",H84=0,F84=""),"",F84/H84)</f>
        <v>0</v>
      </c>
      <c r="J84" s="19">
        <f>IF(I84="","",TODAY()+ROUND(I84*7,0))</f>
        <v>0</v>
      </c>
      <c r="K84" s="45">
        <f>IF(B84="","",IFERROR(INDEX(Ingredients!$H$5:$H$304,MATCH(B84,Ingredients!$B$5:$B$304,0)),"Add to Ingredients"))</f>
        <v>0</v>
      </c>
      <c r="L84" s="25">
        <f>IF(B84="","",IFERROR(INDEX(Ingredients!$I$5:$I$304,MATCH(B84,Ingredients!$B$5:$B$304,0)),"Add to Ingredients"))</f>
        <v>0</v>
      </c>
      <c r="M84" s="45">
        <f>IF(OR(G84="",G84=0,K84="",NOT(ISNUMBER(K84)),K84=0),"",ROUNDUP(G84/K84,0))</f>
        <v>0</v>
      </c>
      <c r="N84" s="25">
        <f>IF(OR(M84="",L84="",NOT(ISNUMBER(L84))),"",M84*L84)</f>
        <v>0</v>
      </c>
      <c r="O84" s="17">
        <f>IF(B84="","",IFERROR(INDEX(Ingredients!$E$5:$E$304,MATCH(B84,Ingredients!$B$5:$B$304,0)),"Add to Ingredients"))</f>
        <v>0</v>
      </c>
      <c r="Q84" s="31">
        <f>IF(B84="","",IF(F84=0,"Out of stock",IF(AND(E84&lt;&gt;"",F84&lt;E84),"Low stock","In stock")))</f>
        <v>0</v>
      </c>
      <c r="R84" s="31">
        <f>IF(B84="","",IF(Q84="Out of stock","Missing - add it to the list",IF(AND(I84&lt;&gt;"",I84&lt;1),"Due - less than a week left",IF(Q84="Low stock","Check - below your par level","OK"))))</f>
        <v>0</v>
      </c>
    </row>
    <row r="85" spans="1:18">
      <c r="A85" s="39">
        <f>IF(B85="","","STP-"&amp;TEXT(ROW()-4,"000"))</f>
        <v>0</v>
      </c>
      <c r="C85" s="17">
        <f>IF(B85="","",IFERROR(INDEX(Ingredients!$C$5:$C$304,MATCH(B85,Ingredients!$B$5:$B$304,0)),"Add to Ingredients"))</f>
        <v>0</v>
      </c>
      <c r="D85" s="17">
        <f>IF(B85="","",IFERROR(INDEX(Ingredients!$G$5:$G$304,MATCH(B85,Ingredients!$B$5:$B$304,0)),"Add to Ingredients"))</f>
        <v>0</v>
      </c>
      <c r="F85" s="45">
        <f>IF(B85="","",IFERROR(INDEX(Ingredients!$AD$5:$AD$304,MATCH(B85,Ingredients!$B$5:$B$304,0)),0))</f>
        <v>0</v>
      </c>
      <c r="G85" s="45">
        <f>IF(OR(E85="",F85=""),"",MAX(0,E85-F85))</f>
        <v>0</v>
      </c>
      <c r="I85" s="45">
        <f>IF(OR(H85="",H85=0,F85=""),"",F85/H85)</f>
        <v>0</v>
      </c>
      <c r="J85" s="19">
        <f>IF(I85="","",TODAY()+ROUND(I85*7,0))</f>
        <v>0</v>
      </c>
      <c r="K85" s="45">
        <f>IF(B85="","",IFERROR(INDEX(Ingredients!$H$5:$H$304,MATCH(B85,Ingredients!$B$5:$B$304,0)),"Add to Ingredients"))</f>
        <v>0</v>
      </c>
      <c r="L85" s="25">
        <f>IF(B85="","",IFERROR(INDEX(Ingredients!$I$5:$I$304,MATCH(B85,Ingredients!$B$5:$B$304,0)),"Add to Ingredients"))</f>
        <v>0</v>
      </c>
      <c r="M85" s="45">
        <f>IF(OR(G85="",G85=0,K85="",NOT(ISNUMBER(K85)),K85=0),"",ROUNDUP(G85/K85,0))</f>
        <v>0</v>
      </c>
      <c r="N85" s="25">
        <f>IF(OR(M85="",L85="",NOT(ISNUMBER(L85))),"",M85*L85)</f>
        <v>0</v>
      </c>
      <c r="O85" s="17">
        <f>IF(B85="","",IFERROR(INDEX(Ingredients!$E$5:$E$304,MATCH(B85,Ingredients!$B$5:$B$304,0)),"Add to Ingredients"))</f>
        <v>0</v>
      </c>
      <c r="Q85" s="31">
        <f>IF(B85="","",IF(F85=0,"Out of stock",IF(AND(E85&lt;&gt;"",F85&lt;E85),"Low stock","In stock")))</f>
        <v>0</v>
      </c>
      <c r="R85" s="31">
        <f>IF(B85="","",IF(Q85="Out of stock","Missing - add it to the list",IF(AND(I85&lt;&gt;"",I85&lt;1),"Due - less than a week left",IF(Q85="Low stock","Check - below your par level","OK"))))</f>
        <v>0</v>
      </c>
    </row>
    <row r="86" spans="1:18">
      <c r="A86" s="39">
        <f>IF(B86="","","STP-"&amp;TEXT(ROW()-4,"000"))</f>
        <v>0</v>
      </c>
      <c r="C86" s="17">
        <f>IF(B86="","",IFERROR(INDEX(Ingredients!$C$5:$C$304,MATCH(B86,Ingredients!$B$5:$B$304,0)),"Add to Ingredients"))</f>
        <v>0</v>
      </c>
      <c r="D86" s="17">
        <f>IF(B86="","",IFERROR(INDEX(Ingredients!$G$5:$G$304,MATCH(B86,Ingredients!$B$5:$B$304,0)),"Add to Ingredients"))</f>
        <v>0</v>
      </c>
      <c r="F86" s="45">
        <f>IF(B86="","",IFERROR(INDEX(Ingredients!$AD$5:$AD$304,MATCH(B86,Ingredients!$B$5:$B$304,0)),0))</f>
        <v>0</v>
      </c>
      <c r="G86" s="45">
        <f>IF(OR(E86="",F86=""),"",MAX(0,E86-F86))</f>
        <v>0</v>
      </c>
      <c r="I86" s="45">
        <f>IF(OR(H86="",H86=0,F86=""),"",F86/H86)</f>
        <v>0</v>
      </c>
      <c r="J86" s="19">
        <f>IF(I86="","",TODAY()+ROUND(I86*7,0))</f>
        <v>0</v>
      </c>
      <c r="K86" s="45">
        <f>IF(B86="","",IFERROR(INDEX(Ingredients!$H$5:$H$304,MATCH(B86,Ingredients!$B$5:$B$304,0)),"Add to Ingredients"))</f>
        <v>0</v>
      </c>
      <c r="L86" s="25">
        <f>IF(B86="","",IFERROR(INDEX(Ingredients!$I$5:$I$304,MATCH(B86,Ingredients!$B$5:$B$304,0)),"Add to Ingredients"))</f>
        <v>0</v>
      </c>
      <c r="M86" s="45">
        <f>IF(OR(G86="",G86=0,K86="",NOT(ISNUMBER(K86)),K86=0),"",ROUNDUP(G86/K86,0))</f>
        <v>0</v>
      </c>
      <c r="N86" s="25">
        <f>IF(OR(M86="",L86="",NOT(ISNUMBER(L86))),"",M86*L86)</f>
        <v>0</v>
      </c>
      <c r="O86" s="17">
        <f>IF(B86="","",IFERROR(INDEX(Ingredients!$E$5:$E$304,MATCH(B86,Ingredients!$B$5:$B$304,0)),"Add to Ingredients"))</f>
        <v>0</v>
      </c>
      <c r="Q86" s="31">
        <f>IF(B86="","",IF(F86=0,"Out of stock",IF(AND(E86&lt;&gt;"",F86&lt;E86),"Low stock","In stock")))</f>
        <v>0</v>
      </c>
      <c r="R86" s="31">
        <f>IF(B86="","",IF(Q86="Out of stock","Missing - add it to the list",IF(AND(I86&lt;&gt;"",I86&lt;1),"Due - less than a week left",IF(Q86="Low stock","Check - below your par level","OK"))))</f>
        <v>0</v>
      </c>
    </row>
    <row r="87" spans="1:18">
      <c r="A87" s="39">
        <f>IF(B87="","","STP-"&amp;TEXT(ROW()-4,"000"))</f>
        <v>0</v>
      </c>
      <c r="C87" s="17">
        <f>IF(B87="","",IFERROR(INDEX(Ingredients!$C$5:$C$304,MATCH(B87,Ingredients!$B$5:$B$304,0)),"Add to Ingredients"))</f>
        <v>0</v>
      </c>
      <c r="D87" s="17">
        <f>IF(B87="","",IFERROR(INDEX(Ingredients!$G$5:$G$304,MATCH(B87,Ingredients!$B$5:$B$304,0)),"Add to Ingredients"))</f>
        <v>0</v>
      </c>
      <c r="F87" s="45">
        <f>IF(B87="","",IFERROR(INDEX(Ingredients!$AD$5:$AD$304,MATCH(B87,Ingredients!$B$5:$B$304,0)),0))</f>
        <v>0</v>
      </c>
      <c r="G87" s="45">
        <f>IF(OR(E87="",F87=""),"",MAX(0,E87-F87))</f>
        <v>0</v>
      </c>
      <c r="I87" s="45">
        <f>IF(OR(H87="",H87=0,F87=""),"",F87/H87)</f>
        <v>0</v>
      </c>
      <c r="J87" s="19">
        <f>IF(I87="","",TODAY()+ROUND(I87*7,0))</f>
        <v>0</v>
      </c>
      <c r="K87" s="45">
        <f>IF(B87="","",IFERROR(INDEX(Ingredients!$H$5:$H$304,MATCH(B87,Ingredients!$B$5:$B$304,0)),"Add to Ingredients"))</f>
        <v>0</v>
      </c>
      <c r="L87" s="25">
        <f>IF(B87="","",IFERROR(INDEX(Ingredients!$I$5:$I$304,MATCH(B87,Ingredients!$B$5:$B$304,0)),"Add to Ingredients"))</f>
        <v>0</v>
      </c>
      <c r="M87" s="45">
        <f>IF(OR(G87="",G87=0,K87="",NOT(ISNUMBER(K87)),K87=0),"",ROUNDUP(G87/K87,0))</f>
        <v>0</v>
      </c>
      <c r="N87" s="25">
        <f>IF(OR(M87="",L87="",NOT(ISNUMBER(L87))),"",M87*L87)</f>
        <v>0</v>
      </c>
      <c r="O87" s="17">
        <f>IF(B87="","",IFERROR(INDEX(Ingredients!$E$5:$E$304,MATCH(B87,Ingredients!$B$5:$B$304,0)),"Add to Ingredients"))</f>
        <v>0</v>
      </c>
      <c r="Q87" s="31">
        <f>IF(B87="","",IF(F87=0,"Out of stock",IF(AND(E87&lt;&gt;"",F87&lt;E87),"Low stock","In stock")))</f>
        <v>0</v>
      </c>
      <c r="R87" s="31">
        <f>IF(B87="","",IF(Q87="Out of stock","Missing - add it to the list",IF(AND(I87&lt;&gt;"",I87&lt;1),"Due - less than a week left",IF(Q87="Low stock","Check - below your par level","OK"))))</f>
        <v>0</v>
      </c>
    </row>
    <row r="88" spans="1:18">
      <c r="A88" s="39">
        <f>IF(B88="","","STP-"&amp;TEXT(ROW()-4,"000"))</f>
        <v>0</v>
      </c>
      <c r="C88" s="17">
        <f>IF(B88="","",IFERROR(INDEX(Ingredients!$C$5:$C$304,MATCH(B88,Ingredients!$B$5:$B$304,0)),"Add to Ingredients"))</f>
        <v>0</v>
      </c>
      <c r="D88" s="17">
        <f>IF(B88="","",IFERROR(INDEX(Ingredients!$G$5:$G$304,MATCH(B88,Ingredients!$B$5:$B$304,0)),"Add to Ingredients"))</f>
        <v>0</v>
      </c>
      <c r="F88" s="45">
        <f>IF(B88="","",IFERROR(INDEX(Ingredients!$AD$5:$AD$304,MATCH(B88,Ingredients!$B$5:$B$304,0)),0))</f>
        <v>0</v>
      </c>
      <c r="G88" s="45">
        <f>IF(OR(E88="",F88=""),"",MAX(0,E88-F88))</f>
        <v>0</v>
      </c>
      <c r="I88" s="45">
        <f>IF(OR(H88="",H88=0,F88=""),"",F88/H88)</f>
        <v>0</v>
      </c>
      <c r="J88" s="19">
        <f>IF(I88="","",TODAY()+ROUND(I88*7,0))</f>
        <v>0</v>
      </c>
      <c r="K88" s="45">
        <f>IF(B88="","",IFERROR(INDEX(Ingredients!$H$5:$H$304,MATCH(B88,Ingredients!$B$5:$B$304,0)),"Add to Ingredients"))</f>
        <v>0</v>
      </c>
      <c r="L88" s="25">
        <f>IF(B88="","",IFERROR(INDEX(Ingredients!$I$5:$I$304,MATCH(B88,Ingredients!$B$5:$B$304,0)),"Add to Ingredients"))</f>
        <v>0</v>
      </c>
      <c r="M88" s="45">
        <f>IF(OR(G88="",G88=0,K88="",NOT(ISNUMBER(K88)),K88=0),"",ROUNDUP(G88/K88,0))</f>
        <v>0</v>
      </c>
      <c r="N88" s="25">
        <f>IF(OR(M88="",L88="",NOT(ISNUMBER(L88))),"",M88*L88)</f>
        <v>0</v>
      </c>
      <c r="O88" s="17">
        <f>IF(B88="","",IFERROR(INDEX(Ingredients!$E$5:$E$304,MATCH(B88,Ingredients!$B$5:$B$304,0)),"Add to Ingredients"))</f>
        <v>0</v>
      </c>
      <c r="Q88" s="31">
        <f>IF(B88="","",IF(F88=0,"Out of stock",IF(AND(E88&lt;&gt;"",F88&lt;E88),"Low stock","In stock")))</f>
        <v>0</v>
      </c>
      <c r="R88" s="31">
        <f>IF(B88="","",IF(Q88="Out of stock","Missing - add it to the list",IF(AND(I88&lt;&gt;"",I88&lt;1),"Due - less than a week left",IF(Q88="Low stock","Check - below your par level","OK"))))</f>
        <v>0</v>
      </c>
    </row>
    <row r="89" spans="1:18">
      <c r="A89" s="39">
        <f>IF(B89="","","STP-"&amp;TEXT(ROW()-4,"000"))</f>
        <v>0</v>
      </c>
      <c r="C89" s="17">
        <f>IF(B89="","",IFERROR(INDEX(Ingredients!$C$5:$C$304,MATCH(B89,Ingredients!$B$5:$B$304,0)),"Add to Ingredients"))</f>
        <v>0</v>
      </c>
      <c r="D89" s="17">
        <f>IF(B89="","",IFERROR(INDEX(Ingredients!$G$5:$G$304,MATCH(B89,Ingredients!$B$5:$B$304,0)),"Add to Ingredients"))</f>
        <v>0</v>
      </c>
      <c r="F89" s="45">
        <f>IF(B89="","",IFERROR(INDEX(Ingredients!$AD$5:$AD$304,MATCH(B89,Ingredients!$B$5:$B$304,0)),0))</f>
        <v>0</v>
      </c>
      <c r="G89" s="45">
        <f>IF(OR(E89="",F89=""),"",MAX(0,E89-F89))</f>
        <v>0</v>
      </c>
      <c r="I89" s="45">
        <f>IF(OR(H89="",H89=0,F89=""),"",F89/H89)</f>
        <v>0</v>
      </c>
      <c r="J89" s="19">
        <f>IF(I89="","",TODAY()+ROUND(I89*7,0))</f>
        <v>0</v>
      </c>
      <c r="K89" s="45">
        <f>IF(B89="","",IFERROR(INDEX(Ingredients!$H$5:$H$304,MATCH(B89,Ingredients!$B$5:$B$304,0)),"Add to Ingredients"))</f>
        <v>0</v>
      </c>
      <c r="L89" s="25">
        <f>IF(B89="","",IFERROR(INDEX(Ingredients!$I$5:$I$304,MATCH(B89,Ingredients!$B$5:$B$304,0)),"Add to Ingredients"))</f>
        <v>0</v>
      </c>
      <c r="M89" s="45">
        <f>IF(OR(G89="",G89=0,K89="",NOT(ISNUMBER(K89)),K89=0),"",ROUNDUP(G89/K89,0))</f>
        <v>0</v>
      </c>
      <c r="N89" s="25">
        <f>IF(OR(M89="",L89="",NOT(ISNUMBER(L89))),"",M89*L89)</f>
        <v>0</v>
      </c>
      <c r="O89" s="17">
        <f>IF(B89="","",IFERROR(INDEX(Ingredients!$E$5:$E$304,MATCH(B89,Ingredients!$B$5:$B$304,0)),"Add to Ingredients"))</f>
        <v>0</v>
      </c>
      <c r="Q89" s="31">
        <f>IF(B89="","",IF(F89=0,"Out of stock",IF(AND(E89&lt;&gt;"",F89&lt;E89),"Low stock","In stock")))</f>
        <v>0</v>
      </c>
      <c r="R89" s="31">
        <f>IF(B89="","",IF(Q89="Out of stock","Missing - add it to the list",IF(AND(I89&lt;&gt;"",I89&lt;1),"Due - less than a week left",IF(Q89="Low stock","Check - below your par level","OK"))))</f>
        <v>0</v>
      </c>
    </row>
    <row r="90" spans="1:18">
      <c r="A90" s="39">
        <f>IF(B90="","","STP-"&amp;TEXT(ROW()-4,"000"))</f>
        <v>0</v>
      </c>
      <c r="C90" s="17">
        <f>IF(B90="","",IFERROR(INDEX(Ingredients!$C$5:$C$304,MATCH(B90,Ingredients!$B$5:$B$304,0)),"Add to Ingredients"))</f>
        <v>0</v>
      </c>
      <c r="D90" s="17">
        <f>IF(B90="","",IFERROR(INDEX(Ingredients!$G$5:$G$304,MATCH(B90,Ingredients!$B$5:$B$304,0)),"Add to Ingredients"))</f>
        <v>0</v>
      </c>
      <c r="F90" s="45">
        <f>IF(B90="","",IFERROR(INDEX(Ingredients!$AD$5:$AD$304,MATCH(B90,Ingredients!$B$5:$B$304,0)),0))</f>
        <v>0</v>
      </c>
      <c r="G90" s="45">
        <f>IF(OR(E90="",F90=""),"",MAX(0,E90-F90))</f>
        <v>0</v>
      </c>
      <c r="I90" s="45">
        <f>IF(OR(H90="",H90=0,F90=""),"",F90/H90)</f>
        <v>0</v>
      </c>
      <c r="J90" s="19">
        <f>IF(I90="","",TODAY()+ROUND(I90*7,0))</f>
        <v>0</v>
      </c>
      <c r="K90" s="45">
        <f>IF(B90="","",IFERROR(INDEX(Ingredients!$H$5:$H$304,MATCH(B90,Ingredients!$B$5:$B$304,0)),"Add to Ingredients"))</f>
        <v>0</v>
      </c>
      <c r="L90" s="25">
        <f>IF(B90="","",IFERROR(INDEX(Ingredients!$I$5:$I$304,MATCH(B90,Ingredients!$B$5:$B$304,0)),"Add to Ingredients"))</f>
        <v>0</v>
      </c>
      <c r="M90" s="45">
        <f>IF(OR(G90="",G90=0,K90="",NOT(ISNUMBER(K90)),K90=0),"",ROUNDUP(G90/K90,0))</f>
        <v>0</v>
      </c>
      <c r="N90" s="25">
        <f>IF(OR(M90="",L90="",NOT(ISNUMBER(L90))),"",M90*L90)</f>
        <v>0</v>
      </c>
      <c r="O90" s="17">
        <f>IF(B90="","",IFERROR(INDEX(Ingredients!$E$5:$E$304,MATCH(B90,Ingredients!$B$5:$B$304,0)),"Add to Ingredients"))</f>
        <v>0</v>
      </c>
      <c r="Q90" s="31">
        <f>IF(B90="","",IF(F90=0,"Out of stock",IF(AND(E90&lt;&gt;"",F90&lt;E90),"Low stock","In stock")))</f>
        <v>0</v>
      </c>
      <c r="R90" s="31">
        <f>IF(B90="","",IF(Q90="Out of stock","Missing - add it to the list",IF(AND(I90&lt;&gt;"",I90&lt;1),"Due - less than a week left",IF(Q90="Low stock","Check - below your par level","OK"))))</f>
        <v>0</v>
      </c>
    </row>
    <row r="91" spans="1:18">
      <c r="A91" s="39">
        <f>IF(B91="","","STP-"&amp;TEXT(ROW()-4,"000"))</f>
        <v>0</v>
      </c>
      <c r="C91" s="17">
        <f>IF(B91="","",IFERROR(INDEX(Ingredients!$C$5:$C$304,MATCH(B91,Ingredients!$B$5:$B$304,0)),"Add to Ingredients"))</f>
        <v>0</v>
      </c>
      <c r="D91" s="17">
        <f>IF(B91="","",IFERROR(INDEX(Ingredients!$G$5:$G$304,MATCH(B91,Ingredients!$B$5:$B$304,0)),"Add to Ingredients"))</f>
        <v>0</v>
      </c>
      <c r="F91" s="45">
        <f>IF(B91="","",IFERROR(INDEX(Ingredients!$AD$5:$AD$304,MATCH(B91,Ingredients!$B$5:$B$304,0)),0))</f>
        <v>0</v>
      </c>
      <c r="G91" s="45">
        <f>IF(OR(E91="",F91=""),"",MAX(0,E91-F91))</f>
        <v>0</v>
      </c>
      <c r="I91" s="45">
        <f>IF(OR(H91="",H91=0,F91=""),"",F91/H91)</f>
        <v>0</v>
      </c>
      <c r="J91" s="19">
        <f>IF(I91="","",TODAY()+ROUND(I91*7,0))</f>
        <v>0</v>
      </c>
      <c r="K91" s="45">
        <f>IF(B91="","",IFERROR(INDEX(Ingredients!$H$5:$H$304,MATCH(B91,Ingredients!$B$5:$B$304,0)),"Add to Ingredients"))</f>
        <v>0</v>
      </c>
      <c r="L91" s="25">
        <f>IF(B91="","",IFERROR(INDEX(Ingredients!$I$5:$I$304,MATCH(B91,Ingredients!$B$5:$B$304,0)),"Add to Ingredients"))</f>
        <v>0</v>
      </c>
      <c r="M91" s="45">
        <f>IF(OR(G91="",G91=0,K91="",NOT(ISNUMBER(K91)),K91=0),"",ROUNDUP(G91/K91,0))</f>
        <v>0</v>
      </c>
      <c r="N91" s="25">
        <f>IF(OR(M91="",L91="",NOT(ISNUMBER(L91))),"",M91*L91)</f>
        <v>0</v>
      </c>
      <c r="O91" s="17">
        <f>IF(B91="","",IFERROR(INDEX(Ingredients!$E$5:$E$304,MATCH(B91,Ingredients!$B$5:$B$304,0)),"Add to Ingredients"))</f>
        <v>0</v>
      </c>
      <c r="Q91" s="31">
        <f>IF(B91="","",IF(F91=0,"Out of stock",IF(AND(E91&lt;&gt;"",F91&lt;E91),"Low stock","In stock")))</f>
        <v>0</v>
      </c>
      <c r="R91" s="31">
        <f>IF(B91="","",IF(Q91="Out of stock","Missing - add it to the list",IF(AND(I91&lt;&gt;"",I91&lt;1),"Due - less than a week left",IF(Q91="Low stock","Check - below your par level","OK"))))</f>
        <v>0</v>
      </c>
    </row>
    <row r="92" spans="1:18">
      <c r="A92" s="39">
        <f>IF(B92="","","STP-"&amp;TEXT(ROW()-4,"000"))</f>
        <v>0</v>
      </c>
      <c r="C92" s="17">
        <f>IF(B92="","",IFERROR(INDEX(Ingredients!$C$5:$C$304,MATCH(B92,Ingredients!$B$5:$B$304,0)),"Add to Ingredients"))</f>
        <v>0</v>
      </c>
      <c r="D92" s="17">
        <f>IF(B92="","",IFERROR(INDEX(Ingredients!$G$5:$G$304,MATCH(B92,Ingredients!$B$5:$B$304,0)),"Add to Ingredients"))</f>
        <v>0</v>
      </c>
      <c r="F92" s="45">
        <f>IF(B92="","",IFERROR(INDEX(Ingredients!$AD$5:$AD$304,MATCH(B92,Ingredients!$B$5:$B$304,0)),0))</f>
        <v>0</v>
      </c>
      <c r="G92" s="45">
        <f>IF(OR(E92="",F92=""),"",MAX(0,E92-F92))</f>
        <v>0</v>
      </c>
      <c r="I92" s="45">
        <f>IF(OR(H92="",H92=0,F92=""),"",F92/H92)</f>
        <v>0</v>
      </c>
      <c r="J92" s="19">
        <f>IF(I92="","",TODAY()+ROUND(I92*7,0))</f>
        <v>0</v>
      </c>
      <c r="K92" s="45">
        <f>IF(B92="","",IFERROR(INDEX(Ingredients!$H$5:$H$304,MATCH(B92,Ingredients!$B$5:$B$304,0)),"Add to Ingredients"))</f>
        <v>0</v>
      </c>
      <c r="L92" s="25">
        <f>IF(B92="","",IFERROR(INDEX(Ingredients!$I$5:$I$304,MATCH(B92,Ingredients!$B$5:$B$304,0)),"Add to Ingredients"))</f>
        <v>0</v>
      </c>
      <c r="M92" s="45">
        <f>IF(OR(G92="",G92=0,K92="",NOT(ISNUMBER(K92)),K92=0),"",ROUNDUP(G92/K92,0))</f>
        <v>0</v>
      </c>
      <c r="N92" s="25">
        <f>IF(OR(M92="",L92="",NOT(ISNUMBER(L92))),"",M92*L92)</f>
        <v>0</v>
      </c>
      <c r="O92" s="17">
        <f>IF(B92="","",IFERROR(INDEX(Ingredients!$E$5:$E$304,MATCH(B92,Ingredients!$B$5:$B$304,0)),"Add to Ingredients"))</f>
        <v>0</v>
      </c>
      <c r="Q92" s="31">
        <f>IF(B92="","",IF(F92=0,"Out of stock",IF(AND(E92&lt;&gt;"",F92&lt;E92),"Low stock","In stock")))</f>
        <v>0</v>
      </c>
      <c r="R92" s="31">
        <f>IF(B92="","",IF(Q92="Out of stock","Missing - add it to the list",IF(AND(I92&lt;&gt;"",I92&lt;1),"Due - less than a week left",IF(Q92="Low stock","Check - below your par level","OK"))))</f>
        <v>0</v>
      </c>
    </row>
    <row r="93" spans="1:18">
      <c r="A93" s="39">
        <f>IF(B93="","","STP-"&amp;TEXT(ROW()-4,"000"))</f>
        <v>0</v>
      </c>
      <c r="C93" s="17">
        <f>IF(B93="","",IFERROR(INDEX(Ingredients!$C$5:$C$304,MATCH(B93,Ingredients!$B$5:$B$304,0)),"Add to Ingredients"))</f>
        <v>0</v>
      </c>
      <c r="D93" s="17">
        <f>IF(B93="","",IFERROR(INDEX(Ingredients!$G$5:$G$304,MATCH(B93,Ingredients!$B$5:$B$304,0)),"Add to Ingredients"))</f>
        <v>0</v>
      </c>
      <c r="F93" s="45">
        <f>IF(B93="","",IFERROR(INDEX(Ingredients!$AD$5:$AD$304,MATCH(B93,Ingredients!$B$5:$B$304,0)),0))</f>
        <v>0</v>
      </c>
      <c r="G93" s="45">
        <f>IF(OR(E93="",F93=""),"",MAX(0,E93-F93))</f>
        <v>0</v>
      </c>
      <c r="I93" s="45">
        <f>IF(OR(H93="",H93=0,F93=""),"",F93/H93)</f>
        <v>0</v>
      </c>
      <c r="J93" s="19">
        <f>IF(I93="","",TODAY()+ROUND(I93*7,0))</f>
        <v>0</v>
      </c>
      <c r="K93" s="45">
        <f>IF(B93="","",IFERROR(INDEX(Ingredients!$H$5:$H$304,MATCH(B93,Ingredients!$B$5:$B$304,0)),"Add to Ingredients"))</f>
        <v>0</v>
      </c>
      <c r="L93" s="25">
        <f>IF(B93="","",IFERROR(INDEX(Ingredients!$I$5:$I$304,MATCH(B93,Ingredients!$B$5:$B$304,0)),"Add to Ingredients"))</f>
        <v>0</v>
      </c>
      <c r="M93" s="45">
        <f>IF(OR(G93="",G93=0,K93="",NOT(ISNUMBER(K93)),K93=0),"",ROUNDUP(G93/K93,0))</f>
        <v>0</v>
      </c>
      <c r="N93" s="25">
        <f>IF(OR(M93="",L93="",NOT(ISNUMBER(L93))),"",M93*L93)</f>
        <v>0</v>
      </c>
      <c r="O93" s="17">
        <f>IF(B93="","",IFERROR(INDEX(Ingredients!$E$5:$E$304,MATCH(B93,Ingredients!$B$5:$B$304,0)),"Add to Ingredients"))</f>
        <v>0</v>
      </c>
      <c r="Q93" s="31">
        <f>IF(B93="","",IF(F93=0,"Out of stock",IF(AND(E93&lt;&gt;"",F93&lt;E93),"Low stock","In stock")))</f>
        <v>0</v>
      </c>
      <c r="R93" s="31">
        <f>IF(B93="","",IF(Q93="Out of stock","Missing - add it to the list",IF(AND(I93&lt;&gt;"",I93&lt;1),"Due - less than a week left",IF(Q93="Low stock","Check - below your par level","OK"))))</f>
        <v>0</v>
      </c>
    </row>
    <row r="94" spans="1:18">
      <c r="A94" s="39">
        <f>IF(B94="","","STP-"&amp;TEXT(ROW()-4,"000"))</f>
        <v>0</v>
      </c>
      <c r="C94" s="17">
        <f>IF(B94="","",IFERROR(INDEX(Ingredients!$C$5:$C$304,MATCH(B94,Ingredients!$B$5:$B$304,0)),"Add to Ingredients"))</f>
        <v>0</v>
      </c>
      <c r="D94" s="17">
        <f>IF(B94="","",IFERROR(INDEX(Ingredients!$G$5:$G$304,MATCH(B94,Ingredients!$B$5:$B$304,0)),"Add to Ingredients"))</f>
        <v>0</v>
      </c>
      <c r="F94" s="45">
        <f>IF(B94="","",IFERROR(INDEX(Ingredients!$AD$5:$AD$304,MATCH(B94,Ingredients!$B$5:$B$304,0)),0))</f>
        <v>0</v>
      </c>
      <c r="G94" s="45">
        <f>IF(OR(E94="",F94=""),"",MAX(0,E94-F94))</f>
        <v>0</v>
      </c>
      <c r="I94" s="45">
        <f>IF(OR(H94="",H94=0,F94=""),"",F94/H94)</f>
        <v>0</v>
      </c>
      <c r="J94" s="19">
        <f>IF(I94="","",TODAY()+ROUND(I94*7,0))</f>
        <v>0</v>
      </c>
      <c r="K94" s="45">
        <f>IF(B94="","",IFERROR(INDEX(Ingredients!$H$5:$H$304,MATCH(B94,Ingredients!$B$5:$B$304,0)),"Add to Ingredients"))</f>
        <v>0</v>
      </c>
      <c r="L94" s="25">
        <f>IF(B94="","",IFERROR(INDEX(Ingredients!$I$5:$I$304,MATCH(B94,Ingredients!$B$5:$B$304,0)),"Add to Ingredients"))</f>
        <v>0</v>
      </c>
      <c r="M94" s="45">
        <f>IF(OR(G94="",G94=0,K94="",NOT(ISNUMBER(K94)),K94=0),"",ROUNDUP(G94/K94,0))</f>
        <v>0</v>
      </c>
      <c r="N94" s="25">
        <f>IF(OR(M94="",L94="",NOT(ISNUMBER(L94))),"",M94*L94)</f>
        <v>0</v>
      </c>
      <c r="O94" s="17">
        <f>IF(B94="","",IFERROR(INDEX(Ingredients!$E$5:$E$304,MATCH(B94,Ingredients!$B$5:$B$304,0)),"Add to Ingredients"))</f>
        <v>0</v>
      </c>
      <c r="Q94" s="31">
        <f>IF(B94="","",IF(F94=0,"Out of stock",IF(AND(E94&lt;&gt;"",F94&lt;E94),"Low stock","In stock")))</f>
        <v>0</v>
      </c>
      <c r="R94" s="31">
        <f>IF(B94="","",IF(Q94="Out of stock","Missing - add it to the list",IF(AND(I94&lt;&gt;"",I94&lt;1),"Due - less than a week left",IF(Q94="Low stock","Check - below your par level","OK"))))</f>
        <v>0</v>
      </c>
    </row>
    <row r="95" spans="1:18">
      <c r="A95" s="39">
        <f>IF(B95="","","STP-"&amp;TEXT(ROW()-4,"000"))</f>
        <v>0</v>
      </c>
      <c r="C95" s="17">
        <f>IF(B95="","",IFERROR(INDEX(Ingredients!$C$5:$C$304,MATCH(B95,Ingredients!$B$5:$B$304,0)),"Add to Ingredients"))</f>
        <v>0</v>
      </c>
      <c r="D95" s="17">
        <f>IF(B95="","",IFERROR(INDEX(Ingredients!$G$5:$G$304,MATCH(B95,Ingredients!$B$5:$B$304,0)),"Add to Ingredients"))</f>
        <v>0</v>
      </c>
      <c r="F95" s="45">
        <f>IF(B95="","",IFERROR(INDEX(Ingredients!$AD$5:$AD$304,MATCH(B95,Ingredients!$B$5:$B$304,0)),0))</f>
        <v>0</v>
      </c>
      <c r="G95" s="45">
        <f>IF(OR(E95="",F95=""),"",MAX(0,E95-F95))</f>
        <v>0</v>
      </c>
      <c r="I95" s="45">
        <f>IF(OR(H95="",H95=0,F95=""),"",F95/H95)</f>
        <v>0</v>
      </c>
      <c r="J95" s="19">
        <f>IF(I95="","",TODAY()+ROUND(I95*7,0))</f>
        <v>0</v>
      </c>
      <c r="K95" s="45">
        <f>IF(B95="","",IFERROR(INDEX(Ingredients!$H$5:$H$304,MATCH(B95,Ingredients!$B$5:$B$304,0)),"Add to Ingredients"))</f>
        <v>0</v>
      </c>
      <c r="L95" s="25">
        <f>IF(B95="","",IFERROR(INDEX(Ingredients!$I$5:$I$304,MATCH(B95,Ingredients!$B$5:$B$304,0)),"Add to Ingredients"))</f>
        <v>0</v>
      </c>
      <c r="M95" s="45">
        <f>IF(OR(G95="",G95=0,K95="",NOT(ISNUMBER(K95)),K95=0),"",ROUNDUP(G95/K95,0))</f>
        <v>0</v>
      </c>
      <c r="N95" s="25">
        <f>IF(OR(M95="",L95="",NOT(ISNUMBER(L95))),"",M95*L95)</f>
        <v>0</v>
      </c>
      <c r="O95" s="17">
        <f>IF(B95="","",IFERROR(INDEX(Ingredients!$E$5:$E$304,MATCH(B95,Ingredients!$B$5:$B$304,0)),"Add to Ingredients"))</f>
        <v>0</v>
      </c>
      <c r="Q95" s="31">
        <f>IF(B95="","",IF(F95=0,"Out of stock",IF(AND(E95&lt;&gt;"",F95&lt;E95),"Low stock","In stock")))</f>
        <v>0</v>
      </c>
      <c r="R95" s="31">
        <f>IF(B95="","",IF(Q95="Out of stock","Missing - add it to the list",IF(AND(I95&lt;&gt;"",I95&lt;1),"Due - less than a week left",IF(Q95="Low stock","Check - below your par level","OK"))))</f>
        <v>0</v>
      </c>
    </row>
    <row r="96" spans="1:18">
      <c r="A96" s="39">
        <f>IF(B96="","","STP-"&amp;TEXT(ROW()-4,"000"))</f>
        <v>0</v>
      </c>
      <c r="C96" s="17">
        <f>IF(B96="","",IFERROR(INDEX(Ingredients!$C$5:$C$304,MATCH(B96,Ingredients!$B$5:$B$304,0)),"Add to Ingredients"))</f>
        <v>0</v>
      </c>
      <c r="D96" s="17">
        <f>IF(B96="","",IFERROR(INDEX(Ingredients!$G$5:$G$304,MATCH(B96,Ingredients!$B$5:$B$304,0)),"Add to Ingredients"))</f>
        <v>0</v>
      </c>
      <c r="F96" s="45">
        <f>IF(B96="","",IFERROR(INDEX(Ingredients!$AD$5:$AD$304,MATCH(B96,Ingredients!$B$5:$B$304,0)),0))</f>
        <v>0</v>
      </c>
      <c r="G96" s="45">
        <f>IF(OR(E96="",F96=""),"",MAX(0,E96-F96))</f>
        <v>0</v>
      </c>
      <c r="I96" s="45">
        <f>IF(OR(H96="",H96=0,F96=""),"",F96/H96)</f>
        <v>0</v>
      </c>
      <c r="J96" s="19">
        <f>IF(I96="","",TODAY()+ROUND(I96*7,0))</f>
        <v>0</v>
      </c>
      <c r="K96" s="45">
        <f>IF(B96="","",IFERROR(INDEX(Ingredients!$H$5:$H$304,MATCH(B96,Ingredients!$B$5:$B$304,0)),"Add to Ingredients"))</f>
        <v>0</v>
      </c>
      <c r="L96" s="25">
        <f>IF(B96="","",IFERROR(INDEX(Ingredients!$I$5:$I$304,MATCH(B96,Ingredients!$B$5:$B$304,0)),"Add to Ingredients"))</f>
        <v>0</v>
      </c>
      <c r="M96" s="45">
        <f>IF(OR(G96="",G96=0,K96="",NOT(ISNUMBER(K96)),K96=0),"",ROUNDUP(G96/K96,0))</f>
        <v>0</v>
      </c>
      <c r="N96" s="25">
        <f>IF(OR(M96="",L96="",NOT(ISNUMBER(L96))),"",M96*L96)</f>
        <v>0</v>
      </c>
      <c r="O96" s="17">
        <f>IF(B96="","",IFERROR(INDEX(Ingredients!$E$5:$E$304,MATCH(B96,Ingredients!$B$5:$B$304,0)),"Add to Ingredients"))</f>
        <v>0</v>
      </c>
      <c r="Q96" s="31">
        <f>IF(B96="","",IF(F96=0,"Out of stock",IF(AND(E96&lt;&gt;"",F96&lt;E96),"Low stock","In stock")))</f>
        <v>0</v>
      </c>
      <c r="R96" s="31">
        <f>IF(B96="","",IF(Q96="Out of stock","Missing - add it to the list",IF(AND(I96&lt;&gt;"",I96&lt;1),"Due - less than a week left",IF(Q96="Low stock","Check - below your par level","OK"))))</f>
        <v>0</v>
      </c>
    </row>
    <row r="97" spans="1:19">
      <c r="A97" s="39">
        <f>IF(B97="","","STP-"&amp;TEXT(ROW()-4,"000"))</f>
        <v>0</v>
      </c>
      <c r="C97" s="17">
        <f>IF(B97="","",IFERROR(INDEX(Ingredients!$C$5:$C$304,MATCH(B97,Ingredients!$B$5:$B$304,0)),"Add to Ingredients"))</f>
        <v>0</v>
      </c>
      <c r="D97" s="17">
        <f>IF(B97="","",IFERROR(INDEX(Ingredients!$G$5:$G$304,MATCH(B97,Ingredients!$B$5:$B$304,0)),"Add to Ingredients"))</f>
        <v>0</v>
      </c>
      <c r="F97" s="45">
        <f>IF(B97="","",IFERROR(INDEX(Ingredients!$AD$5:$AD$304,MATCH(B97,Ingredients!$B$5:$B$304,0)),0))</f>
        <v>0</v>
      </c>
      <c r="G97" s="45">
        <f>IF(OR(E97="",F97=""),"",MAX(0,E97-F97))</f>
        <v>0</v>
      </c>
      <c r="I97" s="45">
        <f>IF(OR(H97="",H97=0,F97=""),"",F97/H97)</f>
        <v>0</v>
      </c>
      <c r="J97" s="19">
        <f>IF(I97="","",TODAY()+ROUND(I97*7,0))</f>
        <v>0</v>
      </c>
      <c r="K97" s="45">
        <f>IF(B97="","",IFERROR(INDEX(Ingredients!$H$5:$H$304,MATCH(B97,Ingredients!$B$5:$B$304,0)),"Add to Ingredients"))</f>
        <v>0</v>
      </c>
      <c r="L97" s="25">
        <f>IF(B97="","",IFERROR(INDEX(Ingredients!$I$5:$I$304,MATCH(B97,Ingredients!$B$5:$B$304,0)),"Add to Ingredients"))</f>
        <v>0</v>
      </c>
      <c r="M97" s="45">
        <f>IF(OR(G97="",G97=0,K97="",NOT(ISNUMBER(K97)),K97=0),"",ROUNDUP(G97/K97,0))</f>
        <v>0</v>
      </c>
      <c r="N97" s="25">
        <f>IF(OR(M97="",L97="",NOT(ISNUMBER(L97))),"",M97*L97)</f>
        <v>0</v>
      </c>
      <c r="O97" s="17">
        <f>IF(B97="","",IFERROR(INDEX(Ingredients!$E$5:$E$304,MATCH(B97,Ingredients!$B$5:$B$304,0)),"Add to Ingredients"))</f>
        <v>0</v>
      </c>
      <c r="Q97" s="31">
        <f>IF(B97="","",IF(F97=0,"Out of stock",IF(AND(E97&lt;&gt;"",F97&lt;E97),"Low stock","In stock")))</f>
        <v>0</v>
      </c>
      <c r="R97" s="31">
        <f>IF(B97="","",IF(Q97="Out of stock","Missing - add it to the list",IF(AND(I97&lt;&gt;"",I97&lt;1),"Due - less than a week left",IF(Q97="Low stock","Check - below your par level","OK"))))</f>
        <v>0</v>
      </c>
    </row>
    <row r="98" spans="1:19">
      <c r="A98" s="39">
        <f>IF(B98="","","STP-"&amp;TEXT(ROW()-4,"000"))</f>
        <v>0</v>
      </c>
      <c r="C98" s="17">
        <f>IF(B98="","",IFERROR(INDEX(Ingredients!$C$5:$C$304,MATCH(B98,Ingredients!$B$5:$B$304,0)),"Add to Ingredients"))</f>
        <v>0</v>
      </c>
      <c r="D98" s="17">
        <f>IF(B98="","",IFERROR(INDEX(Ingredients!$G$5:$G$304,MATCH(B98,Ingredients!$B$5:$B$304,0)),"Add to Ingredients"))</f>
        <v>0</v>
      </c>
      <c r="F98" s="45">
        <f>IF(B98="","",IFERROR(INDEX(Ingredients!$AD$5:$AD$304,MATCH(B98,Ingredients!$B$5:$B$304,0)),0))</f>
        <v>0</v>
      </c>
      <c r="G98" s="45">
        <f>IF(OR(E98="",F98=""),"",MAX(0,E98-F98))</f>
        <v>0</v>
      </c>
      <c r="I98" s="45">
        <f>IF(OR(H98="",H98=0,F98=""),"",F98/H98)</f>
        <v>0</v>
      </c>
      <c r="J98" s="19">
        <f>IF(I98="","",TODAY()+ROUND(I98*7,0))</f>
        <v>0</v>
      </c>
      <c r="K98" s="45">
        <f>IF(B98="","",IFERROR(INDEX(Ingredients!$H$5:$H$304,MATCH(B98,Ingredients!$B$5:$B$304,0)),"Add to Ingredients"))</f>
        <v>0</v>
      </c>
      <c r="L98" s="25">
        <f>IF(B98="","",IFERROR(INDEX(Ingredients!$I$5:$I$304,MATCH(B98,Ingredients!$B$5:$B$304,0)),"Add to Ingredients"))</f>
        <v>0</v>
      </c>
      <c r="M98" s="45">
        <f>IF(OR(G98="",G98=0,K98="",NOT(ISNUMBER(K98)),K98=0),"",ROUNDUP(G98/K98,0))</f>
        <v>0</v>
      </c>
      <c r="N98" s="25">
        <f>IF(OR(M98="",L98="",NOT(ISNUMBER(L98))),"",M98*L98)</f>
        <v>0</v>
      </c>
      <c r="O98" s="17">
        <f>IF(B98="","",IFERROR(INDEX(Ingredients!$E$5:$E$304,MATCH(B98,Ingredients!$B$5:$B$304,0)),"Add to Ingredients"))</f>
        <v>0</v>
      </c>
      <c r="Q98" s="31">
        <f>IF(B98="","",IF(F98=0,"Out of stock",IF(AND(E98&lt;&gt;"",F98&lt;E98),"Low stock","In stock")))</f>
        <v>0</v>
      </c>
      <c r="R98" s="31">
        <f>IF(B98="","",IF(Q98="Out of stock","Missing - add it to the list",IF(AND(I98&lt;&gt;"",I98&lt;1),"Due - less than a week left",IF(Q98="Low stock","Check - below your par level","OK"))))</f>
        <v>0</v>
      </c>
    </row>
    <row r="99" spans="1:19">
      <c r="A99" s="39">
        <f>IF(B99="","","STP-"&amp;TEXT(ROW()-4,"000"))</f>
        <v>0</v>
      </c>
      <c r="C99" s="17">
        <f>IF(B99="","",IFERROR(INDEX(Ingredients!$C$5:$C$304,MATCH(B99,Ingredients!$B$5:$B$304,0)),"Add to Ingredients"))</f>
        <v>0</v>
      </c>
      <c r="D99" s="17">
        <f>IF(B99="","",IFERROR(INDEX(Ingredients!$G$5:$G$304,MATCH(B99,Ingredients!$B$5:$B$304,0)),"Add to Ingredients"))</f>
        <v>0</v>
      </c>
      <c r="F99" s="45">
        <f>IF(B99="","",IFERROR(INDEX(Ingredients!$AD$5:$AD$304,MATCH(B99,Ingredients!$B$5:$B$304,0)),0))</f>
        <v>0</v>
      </c>
      <c r="G99" s="45">
        <f>IF(OR(E99="",F99=""),"",MAX(0,E99-F99))</f>
        <v>0</v>
      </c>
      <c r="I99" s="45">
        <f>IF(OR(H99="",H99=0,F99=""),"",F99/H99)</f>
        <v>0</v>
      </c>
      <c r="J99" s="19">
        <f>IF(I99="","",TODAY()+ROUND(I99*7,0))</f>
        <v>0</v>
      </c>
      <c r="K99" s="45">
        <f>IF(B99="","",IFERROR(INDEX(Ingredients!$H$5:$H$304,MATCH(B99,Ingredients!$B$5:$B$304,0)),"Add to Ingredients"))</f>
        <v>0</v>
      </c>
      <c r="L99" s="25">
        <f>IF(B99="","",IFERROR(INDEX(Ingredients!$I$5:$I$304,MATCH(B99,Ingredients!$B$5:$B$304,0)),"Add to Ingredients"))</f>
        <v>0</v>
      </c>
      <c r="M99" s="45">
        <f>IF(OR(G99="",G99=0,K99="",NOT(ISNUMBER(K99)),K99=0),"",ROUNDUP(G99/K99,0))</f>
        <v>0</v>
      </c>
      <c r="N99" s="25">
        <f>IF(OR(M99="",L99="",NOT(ISNUMBER(L99))),"",M99*L99)</f>
        <v>0</v>
      </c>
      <c r="O99" s="17">
        <f>IF(B99="","",IFERROR(INDEX(Ingredients!$E$5:$E$304,MATCH(B99,Ingredients!$B$5:$B$304,0)),"Add to Ingredients"))</f>
        <v>0</v>
      </c>
      <c r="Q99" s="31">
        <f>IF(B99="","",IF(F99=0,"Out of stock",IF(AND(E99&lt;&gt;"",F99&lt;E99),"Low stock","In stock")))</f>
        <v>0</v>
      </c>
      <c r="R99" s="31">
        <f>IF(B99="","",IF(Q99="Out of stock","Missing - add it to the list",IF(AND(I99&lt;&gt;"",I99&lt;1),"Due - less than a week left",IF(Q99="Low stock","Check - below your par level","OK"))))</f>
        <v>0</v>
      </c>
    </row>
    <row r="100" spans="1:19">
      <c r="A100" s="39">
        <f>IF(B100="","","STP-"&amp;TEXT(ROW()-4,"000"))</f>
        <v>0</v>
      </c>
      <c r="C100" s="17">
        <f>IF(B100="","",IFERROR(INDEX(Ingredients!$C$5:$C$304,MATCH(B100,Ingredients!$B$5:$B$304,0)),"Add to Ingredients"))</f>
        <v>0</v>
      </c>
      <c r="D100" s="17">
        <f>IF(B100="","",IFERROR(INDEX(Ingredients!$G$5:$G$304,MATCH(B100,Ingredients!$B$5:$B$304,0)),"Add to Ingredients"))</f>
        <v>0</v>
      </c>
      <c r="F100" s="45">
        <f>IF(B100="","",IFERROR(INDEX(Ingredients!$AD$5:$AD$304,MATCH(B100,Ingredients!$B$5:$B$304,0)),0))</f>
        <v>0</v>
      </c>
      <c r="G100" s="45">
        <f>IF(OR(E100="",F100=""),"",MAX(0,E100-F100))</f>
        <v>0</v>
      </c>
      <c r="I100" s="45">
        <f>IF(OR(H100="",H100=0,F100=""),"",F100/H100)</f>
        <v>0</v>
      </c>
      <c r="J100" s="19">
        <f>IF(I100="","",TODAY()+ROUND(I100*7,0))</f>
        <v>0</v>
      </c>
      <c r="K100" s="45">
        <f>IF(B100="","",IFERROR(INDEX(Ingredients!$H$5:$H$304,MATCH(B100,Ingredients!$B$5:$B$304,0)),"Add to Ingredients"))</f>
        <v>0</v>
      </c>
      <c r="L100" s="25">
        <f>IF(B100="","",IFERROR(INDEX(Ingredients!$I$5:$I$304,MATCH(B100,Ingredients!$B$5:$B$304,0)),"Add to Ingredients"))</f>
        <v>0</v>
      </c>
      <c r="M100" s="45">
        <f>IF(OR(G100="",G100=0,K100="",NOT(ISNUMBER(K100)),K100=0),"",ROUNDUP(G100/K100,0))</f>
        <v>0</v>
      </c>
      <c r="N100" s="25">
        <f>IF(OR(M100="",L100="",NOT(ISNUMBER(L100))),"",M100*L100)</f>
        <v>0</v>
      </c>
      <c r="O100" s="17">
        <f>IF(B100="","",IFERROR(INDEX(Ingredients!$E$5:$E$304,MATCH(B100,Ingredients!$B$5:$B$304,0)),"Add to Ingredients"))</f>
        <v>0</v>
      </c>
      <c r="Q100" s="31">
        <f>IF(B100="","",IF(F100=0,"Out of stock",IF(AND(E100&lt;&gt;"",F100&lt;E100),"Low stock","In stock")))</f>
        <v>0</v>
      </c>
      <c r="R100" s="31">
        <f>IF(B100="","",IF(Q100="Out of stock","Missing - add it to the list",IF(AND(I100&lt;&gt;"",I100&lt;1),"Due - less than a week left",IF(Q100="Low stock","Check - below your par level","OK"))))</f>
        <v>0</v>
      </c>
    </row>
    <row r="101" spans="1:19">
      <c r="A101" s="39">
        <f>IF(B101="","","STP-"&amp;TEXT(ROW()-4,"000"))</f>
        <v>0</v>
      </c>
      <c r="C101" s="17">
        <f>IF(B101="","",IFERROR(INDEX(Ingredients!$C$5:$C$304,MATCH(B101,Ingredients!$B$5:$B$304,0)),"Add to Ingredients"))</f>
        <v>0</v>
      </c>
      <c r="D101" s="17">
        <f>IF(B101="","",IFERROR(INDEX(Ingredients!$G$5:$G$304,MATCH(B101,Ingredients!$B$5:$B$304,0)),"Add to Ingredients"))</f>
        <v>0</v>
      </c>
      <c r="F101" s="45">
        <f>IF(B101="","",IFERROR(INDEX(Ingredients!$AD$5:$AD$304,MATCH(B101,Ingredients!$B$5:$B$304,0)),0))</f>
        <v>0</v>
      </c>
      <c r="G101" s="45">
        <f>IF(OR(E101="",F101=""),"",MAX(0,E101-F101))</f>
        <v>0</v>
      </c>
      <c r="I101" s="45">
        <f>IF(OR(H101="",H101=0,F101=""),"",F101/H101)</f>
        <v>0</v>
      </c>
      <c r="J101" s="19">
        <f>IF(I101="","",TODAY()+ROUND(I101*7,0))</f>
        <v>0</v>
      </c>
      <c r="K101" s="45">
        <f>IF(B101="","",IFERROR(INDEX(Ingredients!$H$5:$H$304,MATCH(B101,Ingredients!$B$5:$B$304,0)),"Add to Ingredients"))</f>
        <v>0</v>
      </c>
      <c r="L101" s="25">
        <f>IF(B101="","",IFERROR(INDEX(Ingredients!$I$5:$I$304,MATCH(B101,Ingredients!$B$5:$B$304,0)),"Add to Ingredients"))</f>
        <v>0</v>
      </c>
      <c r="M101" s="45">
        <f>IF(OR(G101="",G101=0,K101="",NOT(ISNUMBER(K101)),K101=0),"",ROUNDUP(G101/K101,0))</f>
        <v>0</v>
      </c>
      <c r="N101" s="25">
        <f>IF(OR(M101="",L101="",NOT(ISNUMBER(L101))),"",M101*L101)</f>
        <v>0</v>
      </c>
      <c r="O101" s="17">
        <f>IF(B101="","",IFERROR(INDEX(Ingredients!$E$5:$E$304,MATCH(B101,Ingredients!$B$5:$B$304,0)),"Add to Ingredients"))</f>
        <v>0</v>
      </c>
      <c r="Q101" s="31">
        <f>IF(B101="","",IF(F101=0,"Out of stock",IF(AND(E101&lt;&gt;"",F101&lt;E101),"Low stock","In stock")))</f>
        <v>0</v>
      </c>
      <c r="R101" s="31">
        <f>IF(B101="","",IF(Q101="Out of stock","Missing - add it to the list",IF(AND(I101&lt;&gt;"",I101&lt;1),"Due - less than a week left",IF(Q101="Low stock","Check - below your par level","OK"))))</f>
        <v>0</v>
      </c>
    </row>
    <row r="102" spans="1:19">
      <c r="A102" s="39">
        <f>IF(B102="","","STP-"&amp;TEXT(ROW()-4,"000"))</f>
        <v>0</v>
      </c>
      <c r="C102" s="17">
        <f>IF(B102="","",IFERROR(INDEX(Ingredients!$C$5:$C$304,MATCH(B102,Ingredients!$B$5:$B$304,0)),"Add to Ingredients"))</f>
        <v>0</v>
      </c>
      <c r="D102" s="17">
        <f>IF(B102="","",IFERROR(INDEX(Ingredients!$G$5:$G$304,MATCH(B102,Ingredients!$B$5:$B$304,0)),"Add to Ingredients"))</f>
        <v>0</v>
      </c>
      <c r="F102" s="45">
        <f>IF(B102="","",IFERROR(INDEX(Ingredients!$AD$5:$AD$304,MATCH(B102,Ingredients!$B$5:$B$304,0)),0))</f>
        <v>0</v>
      </c>
      <c r="G102" s="45">
        <f>IF(OR(E102="",F102=""),"",MAX(0,E102-F102))</f>
        <v>0</v>
      </c>
      <c r="I102" s="45">
        <f>IF(OR(H102="",H102=0,F102=""),"",F102/H102)</f>
        <v>0</v>
      </c>
      <c r="J102" s="19">
        <f>IF(I102="","",TODAY()+ROUND(I102*7,0))</f>
        <v>0</v>
      </c>
      <c r="K102" s="45">
        <f>IF(B102="","",IFERROR(INDEX(Ingredients!$H$5:$H$304,MATCH(B102,Ingredients!$B$5:$B$304,0)),"Add to Ingredients"))</f>
        <v>0</v>
      </c>
      <c r="L102" s="25">
        <f>IF(B102="","",IFERROR(INDEX(Ingredients!$I$5:$I$304,MATCH(B102,Ingredients!$B$5:$B$304,0)),"Add to Ingredients"))</f>
        <v>0</v>
      </c>
      <c r="M102" s="45">
        <f>IF(OR(G102="",G102=0,K102="",NOT(ISNUMBER(K102)),K102=0),"",ROUNDUP(G102/K102,0))</f>
        <v>0</v>
      </c>
      <c r="N102" s="25">
        <f>IF(OR(M102="",L102="",NOT(ISNUMBER(L102))),"",M102*L102)</f>
        <v>0</v>
      </c>
      <c r="O102" s="17">
        <f>IF(B102="","",IFERROR(INDEX(Ingredients!$E$5:$E$304,MATCH(B102,Ingredients!$B$5:$B$304,0)),"Add to Ingredients"))</f>
        <v>0</v>
      </c>
      <c r="Q102" s="31">
        <f>IF(B102="","",IF(F102=0,"Out of stock",IF(AND(E102&lt;&gt;"",F102&lt;E102),"Low stock","In stock")))</f>
        <v>0</v>
      </c>
      <c r="R102" s="31">
        <f>IF(B102="","",IF(Q102="Out of stock","Missing - add it to the list",IF(AND(I102&lt;&gt;"",I102&lt;1),"Due - less than a week left",IF(Q102="Low stock","Check - below your par level","OK"))))</f>
        <v>0</v>
      </c>
    </row>
    <row r="103" spans="1:19">
      <c r="A103" s="39">
        <f>IF(B103="","","STP-"&amp;TEXT(ROW()-4,"000"))</f>
        <v>0</v>
      </c>
      <c r="C103" s="17">
        <f>IF(B103="","",IFERROR(INDEX(Ingredients!$C$5:$C$304,MATCH(B103,Ingredients!$B$5:$B$304,0)),"Add to Ingredients"))</f>
        <v>0</v>
      </c>
      <c r="D103" s="17">
        <f>IF(B103="","",IFERROR(INDEX(Ingredients!$G$5:$G$304,MATCH(B103,Ingredients!$B$5:$B$304,0)),"Add to Ingredients"))</f>
        <v>0</v>
      </c>
      <c r="F103" s="45">
        <f>IF(B103="","",IFERROR(INDEX(Ingredients!$AD$5:$AD$304,MATCH(B103,Ingredients!$B$5:$B$304,0)),0))</f>
        <v>0</v>
      </c>
      <c r="G103" s="45">
        <f>IF(OR(E103="",F103=""),"",MAX(0,E103-F103))</f>
        <v>0</v>
      </c>
      <c r="I103" s="45">
        <f>IF(OR(H103="",H103=0,F103=""),"",F103/H103)</f>
        <v>0</v>
      </c>
      <c r="J103" s="19">
        <f>IF(I103="","",TODAY()+ROUND(I103*7,0))</f>
        <v>0</v>
      </c>
      <c r="K103" s="45">
        <f>IF(B103="","",IFERROR(INDEX(Ingredients!$H$5:$H$304,MATCH(B103,Ingredients!$B$5:$B$304,0)),"Add to Ingredients"))</f>
        <v>0</v>
      </c>
      <c r="L103" s="25">
        <f>IF(B103="","",IFERROR(INDEX(Ingredients!$I$5:$I$304,MATCH(B103,Ingredients!$B$5:$B$304,0)),"Add to Ingredients"))</f>
        <v>0</v>
      </c>
      <c r="M103" s="45">
        <f>IF(OR(G103="",G103=0,K103="",NOT(ISNUMBER(K103)),K103=0),"",ROUNDUP(G103/K103,0))</f>
        <v>0</v>
      </c>
      <c r="N103" s="25">
        <f>IF(OR(M103="",L103="",NOT(ISNUMBER(L103))),"",M103*L103)</f>
        <v>0</v>
      </c>
      <c r="O103" s="17">
        <f>IF(B103="","",IFERROR(INDEX(Ingredients!$E$5:$E$304,MATCH(B103,Ingredients!$B$5:$B$304,0)),"Add to Ingredients"))</f>
        <v>0</v>
      </c>
      <c r="Q103" s="31">
        <f>IF(B103="","",IF(F103=0,"Out of stock",IF(AND(E103&lt;&gt;"",F103&lt;E103),"Low stock","In stock")))</f>
        <v>0</v>
      </c>
      <c r="R103" s="31">
        <f>IF(B103="","",IF(Q103="Out of stock","Missing - add it to the list",IF(AND(I103&lt;&gt;"",I103&lt;1),"Due - less than a week left",IF(Q103="Low stock","Check - below your par level","OK"))))</f>
        <v>0</v>
      </c>
    </row>
    <row r="104" spans="1:19">
      <c r="A104" s="39">
        <f>IF(B104="","","STP-"&amp;TEXT(ROW()-4,"000"))</f>
        <v>0</v>
      </c>
      <c r="C104" s="17">
        <f>IF(B104="","",IFERROR(INDEX(Ingredients!$C$5:$C$304,MATCH(B104,Ingredients!$B$5:$B$304,0)),"Add to Ingredients"))</f>
        <v>0</v>
      </c>
      <c r="D104" s="17">
        <f>IF(B104="","",IFERROR(INDEX(Ingredients!$G$5:$G$304,MATCH(B104,Ingredients!$B$5:$B$304,0)),"Add to Ingredients"))</f>
        <v>0</v>
      </c>
      <c r="F104" s="45">
        <f>IF(B104="","",IFERROR(INDEX(Ingredients!$AD$5:$AD$304,MATCH(B104,Ingredients!$B$5:$B$304,0)),0))</f>
        <v>0</v>
      </c>
      <c r="G104" s="45">
        <f>IF(OR(E104="",F104=""),"",MAX(0,E104-F104))</f>
        <v>0</v>
      </c>
      <c r="I104" s="45">
        <f>IF(OR(H104="",H104=0,F104=""),"",F104/H104)</f>
        <v>0</v>
      </c>
      <c r="J104" s="19">
        <f>IF(I104="","",TODAY()+ROUND(I104*7,0))</f>
        <v>0</v>
      </c>
      <c r="K104" s="45">
        <f>IF(B104="","",IFERROR(INDEX(Ingredients!$H$5:$H$304,MATCH(B104,Ingredients!$B$5:$B$304,0)),"Add to Ingredients"))</f>
        <v>0</v>
      </c>
      <c r="L104" s="25">
        <f>IF(B104="","",IFERROR(INDEX(Ingredients!$I$5:$I$304,MATCH(B104,Ingredients!$B$5:$B$304,0)),"Add to Ingredients"))</f>
        <v>0</v>
      </c>
      <c r="M104" s="45">
        <f>IF(OR(G104="",G104=0,K104="",NOT(ISNUMBER(K104)),K104=0),"",ROUNDUP(G104/K104,0))</f>
        <v>0</v>
      </c>
      <c r="N104" s="25">
        <f>IF(OR(M104="",L104="",NOT(ISNUMBER(L104))),"",M104*L104)</f>
        <v>0</v>
      </c>
      <c r="O104" s="17">
        <f>IF(B104="","",IFERROR(INDEX(Ingredients!$E$5:$E$304,MATCH(B104,Ingredients!$B$5:$B$304,0)),"Add to Ingredients"))</f>
        <v>0</v>
      </c>
      <c r="Q104" s="31">
        <f>IF(B104="","",IF(F104=0,"Out of stock",IF(AND(E104&lt;&gt;"",F104&lt;E104),"Low stock","In stock")))</f>
        <v>0</v>
      </c>
      <c r="R104" s="31">
        <f>IF(B104="","",IF(Q104="Out of stock","Missing - add it to the list",IF(AND(I104&lt;&gt;"",I104&lt;1),"Due - less than a week left",IF(Q104="Low stock","Check - below your par level","OK"))))</f>
        <v>0</v>
      </c>
    </row>
    <row r="106" spans="1:19" ht="20" customHeight="1">
      <c r="A106" s="7" t="s">
        <v>1129</v>
      </c>
      <c r="B106" s="7"/>
      <c r="C106" s="7"/>
      <c r="D106" s="7"/>
      <c r="E106" s="7"/>
      <c r="F106" s="7"/>
      <c r="G106" s="7"/>
      <c r="H106" s="7"/>
      <c r="I106" s="7"/>
      <c r="J106" s="7"/>
      <c r="K106" s="7"/>
      <c r="L106" s="7"/>
      <c r="M106" s="7"/>
      <c r="N106" s="7"/>
      <c r="O106" s="7"/>
      <c r="P106" s="7"/>
      <c r="Q106" s="7"/>
      <c r="R106" s="7"/>
      <c r="S106" s="7"/>
    </row>
    <row r="107" spans="1:19" ht="26" customHeight="1">
      <c r="A107" s="8" t="s">
        <v>1130</v>
      </c>
      <c r="B107" s="9" t="s">
        <v>1131</v>
      </c>
      <c r="C107" s="9" t="s">
        <v>465</v>
      </c>
      <c r="D107" s="9" t="s">
        <v>1132</v>
      </c>
      <c r="E107" s="9" t="s">
        <v>1133</v>
      </c>
    </row>
    <row r="108" spans="1:19">
      <c r="A108" s="18">
        <f>COUNTIF(Staples!$B$5:$B$104,"&lt;&gt;")</f>
        <v>0</v>
      </c>
      <c r="B108" s="18">
        <f>COUNTIF(Staples!$Q$5:$Q$104,"Low stock")</f>
        <v>0</v>
      </c>
      <c r="C108" s="18">
        <f>COUNTIF(Staples!$Q$5:$Q$104,"Out of stock")</f>
        <v>0</v>
      </c>
      <c r="D108" s="18">
        <f>COUNTIFS(Staples!$I$5:$I$104,"&lt;1",Staples!$I$5:$I$104,"&gt;=0")</f>
        <v>0</v>
      </c>
      <c r="E108" s="25">
        <f>SUM(Staples!$N$5:$N$104)</f>
        <v>0</v>
      </c>
    </row>
  </sheetData>
  <sheetProtection password="EC7C" sheet="1" objects="1" scenarios="1" formatCells="0" formatColumns="0" formatRows="0" insertRows="0" insertHyperlinks="0" deleteRows="0" autoFilter="0"/>
  <autoFilter ref="A4:S104"/>
  <mergeCells count="13">
    <mergeCell ref="A1:P1"/>
    <mergeCell ref="Q1:S1"/>
    <mergeCell ref="A2:S2"/>
    <mergeCell ref="A3:B3"/>
    <mergeCell ref="C3:D3"/>
    <mergeCell ref="E3:F3"/>
    <mergeCell ref="G3:H3"/>
    <mergeCell ref="I3:J3"/>
    <mergeCell ref="K3:L3"/>
    <mergeCell ref="M3:N3"/>
    <mergeCell ref="O3:P3"/>
    <mergeCell ref="Q3:R3"/>
    <mergeCell ref="A106:S106"/>
  </mergeCells>
  <conditionalFormatting sqref="G5:G104">
    <cfRule type="cellIs" dxfId="0" priority="1" operator="greaterThan">
      <formula>0</formula>
    </cfRule>
  </conditionalFormatting>
  <conditionalFormatting sqref="I5:I104">
    <cfRule type="cellIs" dxfId="2" priority="2" operator="lessThan">
      <formula>1</formula>
    </cfRule>
    <cfRule type="cellIs" dxfId="0" priority="3" operator="between">
      <formula>1</formula>
      <formula>2</formula>
    </cfRule>
  </conditionalFormatting>
  <conditionalFormatting sqref="Q5:Q104">
    <cfRule type="containsText" dxfId="1" priority="4" operator="containsText" text="Prepared">
      <formula>NOT(ISERROR(SEARCH("Prepared",Q5)))</formula>
    </cfRule>
    <cfRule type="containsText" dxfId="1" priority="5" operator="containsText" text="Cooked">
      <formula>NOT(ISERROR(SEARCH("Cooked",Q5)))</formula>
    </cfRule>
    <cfRule type="containsText" dxfId="1" priority="6" operator="containsText" text="Eaten">
      <formula>NOT(ISERROR(SEARCH("Eaten",Q5)))</formula>
    </cfRule>
    <cfRule type="containsText" dxfId="1" priority="7" operator="containsText" text="Bought">
      <formula>NOT(ISERROR(SEARCH("Bought",Q5)))</formula>
    </cfRule>
    <cfRule type="containsText" dxfId="1" priority="8" operator="containsText" text="Purchased">
      <formula>NOT(ISERROR(SEARCH("Purchased",Q5)))</formula>
    </cfRule>
    <cfRule type="containsText" dxfId="1" priority="9" operator="containsText" text="Done">
      <formula>NOT(ISERROR(SEARCH("Done",Q5)))</formula>
    </cfRule>
    <cfRule type="containsText" dxfId="1" priority="10" operator="containsText" text="Complete">
      <formula>NOT(ISERROR(SEARCH("Complete",Q5)))</formula>
    </cfRule>
    <cfRule type="containsText" dxfId="1" priority="11" operator="containsText" text="In stock">
      <formula>NOT(ISERROR(SEARCH("In stock",Q5)))</formula>
    </cfRule>
    <cfRule type="containsText" dxfId="1" priority="12" operator="containsText" text="Yes">
      <formula>NOT(ISERROR(SEARCH("Yes",Q5)))</formula>
    </cfRule>
    <cfRule type="containsText" dxfId="4" priority="13" operator="containsText" text="Planned">
      <formula>NOT(ISERROR(SEARCH("Planned",Q5)))</formula>
    </cfRule>
    <cfRule type="containsText" dxfId="4" priority="14" operator="containsText" text="Scheduled">
      <formula>NOT(ISERROR(SEARCH("Scheduled",Q5)))</formula>
    </cfRule>
    <cfRule type="containsText" dxfId="4" priority="15" operator="containsText" text="Shopping">
      <formula>NOT(ISERROR(SEARCH("Shopping",Q5)))</formula>
    </cfRule>
    <cfRule type="containsText" dxfId="4" priority="16" operator="containsText" text="On the list">
      <formula>NOT(ISERROR(SEARCH("On the list",Q5)))</formula>
    </cfRule>
    <cfRule type="containsText" dxfId="4" priority="17" operator="containsText" text="Prepping">
      <formula>NOT(ISERROR(SEARCH("Prepping",Q5)))</formula>
    </cfRule>
    <cfRule type="containsText" dxfId="4" priority="18" operator="containsText" text="Frozen">
      <formula>NOT(ISERROR(SEARCH("Frozen",Q5)))</formula>
    </cfRule>
    <cfRule type="containsText" dxfId="0" priority="19" operator="containsText" text="To do">
      <formula>NOT(ISERROR(SEARCH("To do",Q5)))</formula>
    </cfRule>
    <cfRule type="containsText" dxfId="0" priority="20" operator="containsText" text="Not started">
      <formula>NOT(ISERROR(SEARCH("Not started",Q5)))</formula>
    </cfRule>
    <cfRule type="containsText" dxfId="0" priority="21" operator="containsText" text="Low stock">
      <formula>NOT(ISERROR(SEARCH("Low stock",Q5)))</formula>
    </cfRule>
    <cfRule type="containsText" dxfId="0" priority="22" operator="containsText" text="Use soon">
      <formula>NOT(ISERROR(SEARCH("Use soon",Q5)))</formula>
    </cfRule>
    <cfRule type="containsText" dxfId="0" priority="23" operator="containsText" text="Defrosting">
      <formula>NOT(ISERROR(SEARCH("Defrosting",Q5)))</formula>
    </cfRule>
    <cfRule type="containsText" dxfId="0" priority="24" operator="containsText" text="Substituted">
      <formula>NOT(ISERROR(SEARCH("Substituted",Q5)))</formula>
    </cfRule>
    <cfRule type="containsText" dxfId="2" priority="25" operator="containsText" text="Out of stock">
      <formula>NOT(ISERROR(SEARCH("Out of stock",Q5)))</formula>
    </cfRule>
    <cfRule type="containsText" dxfId="2" priority="26" operator="containsText" text="Expired">
      <formula>NOT(ISERROR(SEARCH("Expired",Q5)))</formula>
    </cfRule>
    <cfRule type="containsText" dxfId="2" priority="27" operator="containsText" text="Skipped">
      <formula>NOT(ISERROR(SEARCH("Skipped",Q5)))</formula>
    </cfRule>
    <cfRule type="containsText" dxfId="2" priority="28" operator="containsText" text="Binned">
      <formula>NOT(ISERROR(SEARCH("Binned",Q5)))</formula>
    </cfRule>
    <cfRule type="containsText" dxfId="2" priority="29" operator="containsText" text="Wasted">
      <formula>NOT(ISERROR(SEARCH("Wasted",Q5)))</formula>
    </cfRule>
    <cfRule type="containsText" dxfId="2" priority="30" operator="containsText" text="Cancelled">
      <formula>NOT(ISERROR(SEARCH("Cancelled",Q5)))</formula>
    </cfRule>
    <cfRule type="containsText" dxfId="3" priority="31" operator="containsText" text="Archived">
      <formula>NOT(ISERROR(SEARCH("Archived",Q5)))</formula>
    </cfRule>
    <cfRule type="containsText" dxfId="3" priority="32" operator="containsText" text="Not needed">
      <formula>NOT(ISERROR(SEARCH("Not needed",Q5)))</formula>
    </cfRule>
  </conditionalFormatting>
  <conditionalFormatting sqref="R5:R104">
    <cfRule type="beginsWith" dxfId="1" priority="33" operator="beginsWith" text="OK">
      <formula>LEFT(R5,2)="OK"</formula>
    </cfRule>
    <cfRule type="containsText" dxfId="2" priority="34" operator="containsText" text="Overdue">
      <formula>NOT(ISERROR(SEARCH("Overdue",R5)))</formula>
    </cfRule>
    <cfRule type="containsText" dxfId="2" priority="35" operator="containsText" text="Late">
      <formula>NOT(ISERROR(SEARCH("Late",R5)))</formula>
    </cfRule>
    <cfRule type="containsText" dxfId="2" priority="36" operator="containsText" text="Missing">
      <formula>NOT(ISERROR(SEARCH("Missing",R5)))</formula>
    </cfRule>
    <cfRule type="containsText" dxfId="2" priority="37" operator="containsText" text="Conflict">
      <formula>NOT(ISERROR(SEARCH("Conflict",R5)))</formula>
    </cfRule>
    <cfRule type="containsText" dxfId="2" priority="38" operator="containsText" text="Expired">
      <formula>NOT(ISERROR(SEARCH("Expired",R5)))</formula>
    </cfRule>
    <cfRule type="containsText" dxfId="2" priority="39" operator="containsText" text="Duplicate">
      <formula>NOT(ISERROR(SEARCH("Duplicate",R5)))</formula>
    </cfRule>
    <cfRule type="containsText" dxfId="0" priority="40" operator="containsText" text="Action">
      <formula>NOT(ISERROR(SEARCH("Action",R5)))</formula>
    </cfRule>
    <cfRule type="containsText" dxfId="0" priority="41" operator="containsText" text="Due">
      <formula>NOT(ISERROR(SEARCH("Due",R5)))</formula>
    </cfRule>
    <cfRule type="containsText" dxfId="0" priority="42" operator="containsText" text="Check">
      <formula>NOT(ISERROR(SEARCH("Check",R5)))</formula>
    </cfRule>
    <cfRule type="containsText" dxfId="0" priority="43" operator="containsText" text="Add">
      <formula>NOT(ISERROR(SEARCH("Add",R5)))</formula>
    </cfRule>
    <cfRule type="containsText" dxfId="4" priority="44" operator="containsText" text="Today">
      <formula>NOT(ISERROR(SEARCH("Today",R5)))</formula>
    </cfRule>
    <cfRule type="containsText" dxfId="4" priority="45" operator="containsText" text="Upcoming">
      <formula>NOT(ISERROR(SEARCH("Upcoming",R5)))</formula>
    </cfRule>
  </conditionalFormatting>
  <dataValidations count="4">
    <dataValidation type="list" allowBlank="1" showInputMessage="1" showErrorMessage="1" sqref="B5:B104">
      <formula1>IngredientNames</formula1>
    </dataValidation>
    <dataValidation type="decimal" allowBlank="1" showInputMessage="1" showErrorMessage="1" errorTitle="Check the value" error="Enter a number between 0 and 100000." promptTitle="Always keep" prompt="Your par level: the amount you want on the shelf at all times, in base units." sqref="E5:E104">
      <formula1>0</formula1>
      <formula2>100000</formula2>
    </dataValidation>
    <dataValidation type="decimal" allowBlank="1" showInputMessage="1" showErrorMessage="1" errorTitle="Check the value" error="Enter a number between 0 and 100000." promptTitle="Used a week" prompt="Roughly how much the house gets through in a week. A guess is fine - it only drives the countdown." sqref="H5:H104">
      <formula1>0</formula1>
      <formula2>100000</formula2>
    </dataValidation>
    <dataValidation type="list" allowBlank="1" showInputMessage="1" showErrorMessage="1" promptTitle="Worth buying big?" prompt="Only if you have the space and it does not go off - bulk buying something you bin is not a saving." sqref="P5:P1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&amp;L&amp;"Calibri,Bold"&amp;12&amp;C&amp;"Calibri,Bold"&amp;11Staples&amp;R&amp;"Calibri,Italic"&amp;9Automated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E2EFE6"/>
    <pageSetUpPr fitToPage="1"/>
  </sheetPr>
  <dimension ref="A1:S12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26.7109375" style="32" customWidth="1"/>
    <col min="3" max="3" width="11.7109375" style="32" customWidth="1"/>
    <col min="4" max="4" width="22.7109375" style="17" hidden="1" customWidth="1"/>
    <col min="5" max="5" width="11.7109375" style="15" customWidth="1"/>
    <col min="6" max="6" width="10.7109375" style="38" customWidth="1"/>
    <col min="7" max="7" width="12.7109375" style="32" customWidth="1"/>
    <col min="8" max="8" width="14.7109375" style="32" customWidth="1"/>
    <col min="9" max="9" width="10.7109375" style="18" hidden="1" customWidth="1"/>
    <col min="10" max="10" width="11.7109375" style="19" customWidth="1"/>
    <col min="11" max="11" width="9.7109375" style="18" customWidth="1"/>
    <col min="12" max="12" width="11.7109375" style="25" hidden="1" customWidth="1"/>
    <col min="13" max="13" width="11.7109375" style="25" customWidth="1"/>
    <col min="14" max="14" width="11.7109375" style="15" customWidth="1"/>
    <col min="15" max="15" width="14.7109375" style="32" customWidth="1"/>
    <col min="16" max="16" width="9.7109375" style="18" hidden="1" customWidth="1"/>
    <col min="17" max="17" width="13.7109375" style="42" customWidth="1"/>
    <col min="18" max="18" width="26.7109375" style="31" customWidth="1"/>
    <col min="19" max="19" width="22.7109375" style="43" customWidth="1"/>
    <col min="1" max="1" width="18.7109375" customWidth="1"/>
    <col min="2" max="2" width="12.7109375" customWidth="1"/>
    <col min="3" max="3" width="19.7109375" customWidth="1"/>
    <col min="4" max="4" width="16.7109375" customWidth="1"/>
    <col min="5" max="5" width="13.7109375" customWidth="1"/>
    <col min="6" max="6" width="13.7109375" customWidth="1"/>
    <col min="7" max="7" width="24.7109375" customWidth="1"/>
  </cols>
  <sheetData>
    <row r="1" spans="1:19" ht="34" customHeight="1">
      <c r="A1" s="2" t="s">
        <v>1134</v>
      </c>
      <c r="B1" s="2"/>
      <c r="C1" s="2"/>
      <c r="D1" s="2"/>
      <c r="E1" s="2"/>
      <c r="F1" s="2"/>
      <c r="G1" s="2"/>
      <c r="H1" s="2"/>
      <c r="I1" s="2"/>
      <c r="J1" s="2"/>
      <c r="K1" s="2"/>
      <c r="L1" s="2"/>
      <c r="M1" s="2"/>
      <c r="N1" s="2"/>
      <c r="O1" s="2"/>
      <c r="P1" s="2"/>
      <c r="Q1" s="3" t="s">
        <v>1</v>
      </c>
      <c r="R1" s="3"/>
      <c r="S1" s="3"/>
    </row>
    <row r="2" spans="1:19" ht="18" customHeight="1">
      <c r="A2" s="4" t="s">
        <v>1135</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704</v>
      </c>
      <c r="N3" s="5"/>
      <c r="O3" s="5" t="s">
        <v>705</v>
      </c>
      <c r="P3" s="5"/>
      <c r="Q3" s="5" t="s">
        <v>706</v>
      </c>
      <c r="R3" s="5"/>
      <c r="S3" s="28" t="s">
        <v>157</v>
      </c>
    </row>
    <row r="4" spans="1:19" ht="30" customHeight="1">
      <c r="A4" s="8" t="s">
        <v>708</v>
      </c>
      <c r="B4" s="8" t="s">
        <v>765</v>
      </c>
      <c r="C4" s="9" t="s">
        <v>1136</v>
      </c>
      <c r="D4" s="9" t="s">
        <v>762</v>
      </c>
      <c r="E4" s="9" t="s">
        <v>1137</v>
      </c>
      <c r="F4" s="9" t="s">
        <v>1138</v>
      </c>
      <c r="G4" s="9" t="s">
        <v>1139</v>
      </c>
      <c r="H4" s="9" t="s">
        <v>450</v>
      </c>
      <c r="I4" s="9" t="s">
        <v>1140</v>
      </c>
      <c r="J4" s="9" t="s">
        <v>1141</v>
      </c>
      <c r="K4" s="9" t="s">
        <v>1103</v>
      </c>
      <c r="L4" s="9" t="s">
        <v>1142</v>
      </c>
      <c r="M4" s="9" t="s">
        <v>1143</v>
      </c>
      <c r="N4" s="9" t="s">
        <v>1144</v>
      </c>
      <c r="O4" s="9" t="s">
        <v>1145</v>
      </c>
      <c r="P4" s="9" t="s">
        <v>1146</v>
      </c>
      <c r="Q4" s="9" t="s">
        <v>728</v>
      </c>
      <c r="R4" s="9" t="s">
        <v>1147</v>
      </c>
      <c r="S4" s="9" t="s">
        <v>730</v>
      </c>
    </row>
    <row r="5" spans="1:19">
      <c r="A5" s="39">
        <f>IF(B5="","",LeftoverPrefix&amp;TEXT(ROW()-4,"0000"))</f>
        <v>0</v>
      </c>
      <c r="B5" s="32" t="s">
        <v>1148</v>
      </c>
      <c r="C5" s="32" t="s">
        <v>898</v>
      </c>
      <c r="D5" s="17">
        <f>IF(C5="","",IFERROR(INDEX(Recipes!$B$5:$B$204,MATCH(C5,Recipes!$A$5:$A$204,0)),"Not found"))</f>
        <v>0</v>
      </c>
      <c r="E5" s="15">
        <v>46304</v>
      </c>
      <c r="F5" s="38">
        <v>3</v>
      </c>
      <c r="G5" s="32" t="s">
        <v>444</v>
      </c>
      <c r="H5" s="32" t="s">
        <v>451</v>
      </c>
      <c r="I5" s="18">
        <f>IF(G5="","",IF(G5="Freezer",FreezerDays,LeftoverDays))</f>
        <v>0</v>
      </c>
      <c r="J5" s="19">
        <f>IF(OR(E5="",I5=""),"",E5+I5)</f>
        <v>0</v>
      </c>
      <c r="K5" s="18">
        <f>IF(J5="","",J5-TODAY())</f>
        <v>0</v>
      </c>
      <c r="L5" s="25">
        <f>IF(C5="","",IFERROR(INDEX(Recipes!$AD$5:$AD$204,MATCH(C5,Recipes!$A$5:$A$204,0)),"Not found"))</f>
        <v>0</v>
      </c>
      <c r="M5" s="25">
        <f>IF(OR(F5="",L5="",NOT(ISNUMBER(L5))),"",F5*L5)</f>
        <v>0</v>
      </c>
      <c r="N5" s="15">
        <v>46307</v>
      </c>
      <c r="O5" s="32" t="s">
        <v>736</v>
      </c>
      <c r="P5" s="18">
        <f>IF(OR(B5="",Q5="Eaten",Q5="Binned",NOT(ISNUMBER(K5))),"",COUNTIFS($Q$5:$Q$124,"&lt;&gt;Eaten",$Q$5:$Q$124,"&lt;&gt;Binned",$K$5:$K$124,"&lt;"&amp;K5)+COUNTIFS($Q$5:Q5,"&lt;&gt;Eaten",$Q$5:Q5,"&lt;&gt;Binned",$K$5:K5,K5))</f>
        <v>0</v>
      </c>
      <c r="Q5" s="42" t="s">
        <v>317</v>
      </c>
      <c r="R5" s="31">
        <f>IF(B5="","",IF(Q5="Eaten","OK - eaten",IF(Q5="Binned","Wasted - log the cost",IF(Q5="Frozen","OK - in the freezer",IF(AND(K5&lt;&gt;"",K5&lt;0),"Expired - check before eating",IF(AND(K5&lt;&gt;"",K5&lt;=1),"Today - eat it now","OK"))))))</f>
        <v>0</v>
      </c>
      <c r="S5" s="43" t="s">
        <v>157</v>
      </c>
    </row>
    <row r="6" spans="1:19">
      <c r="A6" s="39">
        <f>IF(B6="","",LeftoverPrefix&amp;TEXT(ROW()-4,"0000"))</f>
        <v>0</v>
      </c>
      <c r="B6" s="32" t="s">
        <v>1149</v>
      </c>
      <c r="C6" s="32" t="s">
        <v>933</v>
      </c>
      <c r="D6" s="17">
        <f>IF(C6="","",IFERROR(INDEX(Recipes!$B$5:$B$204,MATCH(C6,Recipes!$A$5:$A$204,0)),"Not found"))</f>
        <v>0</v>
      </c>
      <c r="E6" s="15">
        <v>46305</v>
      </c>
      <c r="F6" s="38">
        <v>2</v>
      </c>
      <c r="G6" s="32" t="s">
        <v>444</v>
      </c>
      <c r="H6" s="32" t="s">
        <v>451</v>
      </c>
      <c r="I6" s="18">
        <f>IF(G6="","",IF(G6="Freezer",FreezerDays,LeftoverDays))</f>
        <v>0</v>
      </c>
      <c r="J6" s="19">
        <f>IF(OR(E6="",I6=""),"",E6+I6)</f>
        <v>0</v>
      </c>
      <c r="K6" s="18">
        <f>IF(J6="","",J6-TODAY())</f>
        <v>0</v>
      </c>
      <c r="L6" s="25">
        <f>IF(C6="","",IFERROR(INDEX(Recipes!$AD$5:$AD$204,MATCH(C6,Recipes!$A$5:$A$204,0)),"Not found"))</f>
        <v>0</v>
      </c>
      <c r="M6" s="25">
        <f>IF(OR(F6="",L6="",NOT(ISNUMBER(L6))),"",F6*L6)</f>
        <v>0</v>
      </c>
      <c r="O6" s="32" t="s">
        <v>157</v>
      </c>
      <c r="P6" s="18">
        <f>IF(OR(B6="",Q6="Eaten",Q6="Binned",NOT(ISNUMBER(K6))),"",COUNTIFS($Q$5:$Q$124,"&lt;&gt;Eaten",$Q$5:$Q$124,"&lt;&gt;Binned",$K$5:$K$124,"&lt;"&amp;K6)+COUNTIFS($Q$5:Q6,"&lt;&gt;Eaten",$Q$5:Q6,"&lt;&gt;Binned",$K$5:K6,K6))</f>
        <v>0</v>
      </c>
      <c r="Q6" s="42" t="s">
        <v>511</v>
      </c>
      <c r="R6" s="31">
        <f>IF(B6="","",IF(Q6="Eaten","OK - eaten",IF(Q6="Binned","Wasted - log the cost",IF(Q6="Frozen","OK - in the freezer",IF(AND(K6&lt;&gt;"",K6&lt;0),"Expired - check before eating",IF(AND(K6&lt;&gt;"",K6&lt;=1),"Today - eat it now","OK"))))))</f>
        <v>0</v>
      </c>
      <c r="S6" s="43" t="s">
        <v>157</v>
      </c>
    </row>
    <row r="7" spans="1:19">
      <c r="A7" s="39">
        <f>IF(B7="","",LeftoverPrefix&amp;TEXT(ROW()-4,"0000"))</f>
        <v>0</v>
      </c>
      <c r="B7" s="32" t="s">
        <v>1150</v>
      </c>
      <c r="C7" s="32" t="s">
        <v>929</v>
      </c>
      <c r="D7" s="17">
        <f>IF(C7="","",IFERROR(INDEX(Recipes!$B$5:$B$204,MATCH(C7,Recipes!$A$5:$A$204,0)),"Not found"))</f>
        <v>0</v>
      </c>
      <c r="E7" s="15">
        <v>46300</v>
      </c>
      <c r="F7" s="38">
        <v>4</v>
      </c>
      <c r="G7" s="32" t="s">
        <v>445</v>
      </c>
      <c r="H7" s="32" t="s">
        <v>453</v>
      </c>
      <c r="I7" s="18">
        <f>IF(G7="","",IF(G7="Freezer",FreezerDays,LeftoverDays))</f>
        <v>0</v>
      </c>
      <c r="J7" s="19">
        <f>IF(OR(E7="",I7=""),"",E7+I7)</f>
        <v>0</v>
      </c>
      <c r="K7" s="18">
        <f>IF(J7="","",J7-TODAY())</f>
        <v>0</v>
      </c>
      <c r="L7" s="25">
        <f>IF(C7="","",IFERROR(INDEX(Recipes!$AD$5:$AD$204,MATCH(C7,Recipes!$A$5:$A$204,0)),"Not found"))</f>
        <v>0</v>
      </c>
      <c r="M7" s="25">
        <f>IF(OR(F7="",L7="",NOT(ISNUMBER(L7))),"",F7*L7)</f>
        <v>0</v>
      </c>
      <c r="O7" s="32" t="s">
        <v>157</v>
      </c>
      <c r="P7" s="18">
        <f>IF(OR(B7="",Q7="Eaten",Q7="Binned",NOT(ISNUMBER(K7))),"",COUNTIFS($Q$5:$Q$124,"&lt;&gt;Eaten",$Q$5:$Q$124,"&lt;&gt;Binned",$K$5:$K$124,"&lt;"&amp;K7)+COUNTIFS($Q$5:Q7,"&lt;&gt;Eaten",$Q$5:Q7,"&lt;&gt;Binned",$K$5:K7,K7))</f>
        <v>0</v>
      </c>
      <c r="Q7" s="42" t="s">
        <v>418</v>
      </c>
      <c r="R7" s="31">
        <f>IF(B7="","",IF(Q7="Eaten","OK - eaten",IF(Q7="Binned","Wasted - log the cost",IF(Q7="Frozen","OK - in the freezer",IF(AND(K7&lt;&gt;"",K7&lt;0),"Expired - check before eating",IF(AND(K7&lt;&gt;"",K7&lt;=1),"Today - eat it now","OK"))))))</f>
        <v>0</v>
      </c>
      <c r="S7" s="43" t="s">
        <v>1151</v>
      </c>
    </row>
    <row r="8" spans="1:19">
      <c r="A8" s="39">
        <f>IF(B8="","",LeftoverPrefix&amp;TEXT(ROW()-4,"0000"))</f>
        <v>0</v>
      </c>
      <c r="B8" s="32" t="s">
        <v>1152</v>
      </c>
      <c r="C8" s="32" t="s">
        <v>908</v>
      </c>
      <c r="D8" s="17">
        <f>IF(C8="","",IFERROR(INDEX(Recipes!$B$5:$B$204,MATCH(C8,Recipes!$A$5:$A$204,0)),"Not found"))</f>
        <v>0</v>
      </c>
      <c r="E8" s="15">
        <v>46303</v>
      </c>
      <c r="F8" s="38">
        <v>2</v>
      </c>
      <c r="G8" s="32" t="s">
        <v>444</v>
      </c>
      <c r="H8" s="32" t="s">
        <v>451</v>
      </c>
      <c r="I8" s="18">
        <f>IF(G8="","",IF(G8="Freezer",FreezerDays,LeftoverDays))</f>
        <v>0</v>
      </c>
      <c r="J8" s="19">
        <f>IF(OR(E8="",I8=""),"",E8+I8)</f>
        <v>0</v>
      </c>
      <c r="K8" s="18">
        <f>IF(J8="","",J8-TODAY())</f>
        <v>0</v>
      </c>
      <c r="L8" s="25">
        <f>IF(C8="","",IFERROR(INDEX(Recipes!$AD$5:$AD$204,MATCH(C8,Recipes!$A$5:$A$204,0)),"Not found"))</f>
        <v>0</v>
      </c>
      <c r="M8" s="25">
        <f>IF(OR(F8="",L8="",NOT(ISNUMBER(L8))),"",F8*L8)</f>
        <v>0</v>
      </c>
      <c r="O8" s="32" t="s">
        <v>157</v>
      </c>
      <c r="P8" s="18">
        <f>IF(OR(B8="",Q8="Eaten",Q8="Binned",NOT(ISNUMBER(K8))),"",COUNTIFS($Q$5:$Q$124,"&lt;&gt;Eaten",$Q$5:$Q$124,"&lt;&gt;Binned",$K$5:$K$124,"&lt;"&amp;K8)+COUNTIFS($Q$5:Q8,"&lt;&gt;Eaten",$Q$5:Q8,"&lt;&gt;Binned",$K$5:K8,K8))</f>
        <v>0</v>
      </c>
      <c r="Q8" s="42" t="s">
        <v>319</v>
      </c>
      <c r="R8" s="31">
        <f>IF(B8="","",IF(Q8="Eaten","OK - eaten",IF(Q8="Binned","Wasted - log the cost",IF(Q8="Frozen","OK - in the freezer",IF(AND(K8&lt;&gt;"",K8&lt;0),"Expired - check before eating",IF(AND(K8&lt;&gt;"",K8&lt;=1),"Today - eat it now","OK"))))))</f>
        <v>0</v>
      </c>
      <c r="S8" s="43" t="s">
        <v>157</v>
      </c>
    </row>
    <row r="9" spans="1:19">
      <c r="A9" s="39">
        <f>IF(B9="","",LeftoverPrefix&amp;TEXT(ROW()-4,"0000"))</f>
        <v>0</v>
      </c>
      <c r="B9" s="32" t="s">
        <v>1153</v>
      </c>
      <c r="D9" s="17">
        <f>IF(C9="","",IFERROR(INDEX(Recipes!$B$5:$B$204,MATCH(C9,Recipes!$A$5:$A$204,0)),"Not found"))</f>
        <v>0</v>
      </c>
      <c r="E9" s="15">
        <v>46302</v>
      </c>
      <c r="F9" s="38">
        <v>1</v>
      </c>
      <c r="G9" s="32" t="s">
        <v>444</v>
      </c>
      <c r="H9" s="32" t="s">
        <v>451</v>
      </c>
      <c r="I9" s="18">
        <f>IF(G9="","",IF(G9="Freezer",FreezerDays,LeftoverDays))</f>
        <v>0</v>
      </c>
      <c r="J9" s="19">
        <f>IF(OR(E9="",I9=""),"",E9+I9)</f>
        <v>0</v>
      </c>
      <c r="K9" s="18">
        <f>IF(J9="","",J9-TODAY())</f>
        <v>0</v>
      </c>
      <c r="L9" s="25">
        <f>IF(C9="","",IFERROR(INDEX(Recipes!$AD$5:$AD$204,MATCH(C9,Recipes!$A$5:$A$204,0)),"Not found"))</f>
        <v>0</v>
      </c>
      <c r="M9" s="25">
        <f>IF(OR(F9="",L9="",NOT(ISNUMBER(L9))),"",F9*L9)</f>
        <v>0</v>
      </c>
      <c r="O9" s="32" t="s">
        <v>157</v>
      </c>
      <c r="P9" s="18">
        <f>IF(OR(B9="",Q9="Eaten",Q9="Binned",NOT(ISNUMBER(K9))),"",COUNTIFS($Q$5:$Q$124,"&lt;&gt;Eaten",$Q$5:$Q$124,"&lt;&gt;Binned",$K$5:$K$124,"&lt;"&amp;K9)+COUNTIFS($Q$5:Q9,"&lt;&gt;Eaten",$Q$5:Q9,"&lt;&gt;Binned",$K$5:K9,K9))</f>
        <v>0</v>
      </c>
      <c r="Q9" s="42" t="s">
        <v>514</v>
      </c>
      <c r="R9" s="31">
        <f>IF(B9="","",IF(Q9="Eaten","OK - eaten",IF(Q9="Binned","Wasted - log the cost",IF(Q9="Frozen","OK - in the freezer",IF(AND(K9&lt;&gt;"",K9&lt;0),"Expired - check before eating",IF(AND(K9&lt;&gt;"",K9&lt;=1),"Today - eat it now","OK"))))))</f>
        <v>0</v>
      </c>
      <c r="S9" s="43" t="s">
        <v>157</v>
      </c>
    </row>
    <row r="10" spans="1:19">
      <c r="A10" s="39">
        <f>IF(B10="","",LeftoverPrefix&amp;TEXT(ROW()-4,"0000"))</f>
        <v>0</v>
      </c>
      <c r="B10" s="32" t="s">
        <v>864</v>
      </c>
      <c r="C10" s="32" t="s">
        <v>966</v>
      </c>
      <c r="D10" s="17">
        <f>IF(C10="","",IFERROR(INDEX(Recipes!$B$5:$B$204,MATCH(C10,Recipes!$A$5:$A$204,0)),"Not found"))</f>
        <v>0</v>
      </c>
      <c r="E10" s="15">
        <v>46304</v>
      </c>
      <c r="F10" s="38">
        <v>3</v>
      </c>
      <c r="G10" s="32" t="s">
        <v>444</v>
      </c>
      <c r="H10" s="32" t="s">
        <v>451</v>
      </c>
      <c r="I10" s="18">
        <f>IF(G10="","",IF(G10="Freezer",FreezerDays,LeftoverDays))</f>
        <v>0</v>
      </c>
      <c r="J10" s="19">
        <f>IF(OR(E10="",I10=""),"",E10+I10)</f>
        <v>0</v>
      </c>
      <c r="K10" s="18">
        <f>IF(J10="","",J10-TODAY())</f>
        <v>0</v>
      </c>
      <c r="L10" s="25">
        <f>IF(C10="","",IFERROR(INDEX(Recipes!$AD$5:$AD$204,MATCH(C10,Recipes!$A$5:$A$204,0)),"Not found"))</f>
        <v>0</v>
      </c>
      <c r="M10" s="25">
        <f>IF(OR(F10="",L10="",NOT(ISNUMBER(L10))),"",F10*L10)</f>
        <v>0</v>
      </c>
      <c r="O10" s="32" t="s">
        <v>157</v>
      </c>
      <c r="P10" s="18">
        <f>IF(OR(B10="",Q10="Eaten",Q10="Binned",NOT(ISNUMBER(K10))),"",COUNTIFS($Q$5:$Q$124,"&lt;&gt;Eaten",$Q$5:$Q$124,"&lt;&gt;Binned",$K$5:$K$124,"&lt;"&amp;K10)+COUNTIFS($Q$5:Q10,"&lt;&gt;Eaten",$Q$5:Q10,"&lt;&gt;Binned",$K$5:K10,K10))</f>
        <v>0</v>
      </c>
      <c r="Q10" s="42" t="s">
        <v>319</v>
      </c>
      <c r="R10" s="31">
        <f>IF(B10="","",IF(Q10="Eaten","OK - eaten",IF(Q10="Binned","Wasted - log the cost",IF(Q10="Frozen","OK - in the freezer",IF(AND(K10&lt;&gt;"",K10&lt;0),"Expired - check before eating",IF(AND(K10&lt;&gt;"",K10&lt;=1),"Today - eat it now","OK"))))))</f>
        <v>0</v>
      </c>
      <c r="S10" s="43" t="s">
        <v>157</v>
      </c>
    </row>
    <row r="11" spans="1:19">
      <c r="A11" s="39">
        <f>IF(B11="","",LeftoverPrefix&amp;TEXT(ROW()-4,"0000"))</f>
        <v>0</v>
      </c>
      <c r="B11" s="32" t="s">
        <v>1154</v>
      </c>
      <c r="C11" s="32" t="s">
        <v>887</v>
      </c>
      <c r="D11" s="17">
        <f>IF(C11="","",IFERROR(INDEX(Recipes!$B$5:$B$204,MATCH(C11,Recipes!$A$5:$A$204,0)),"Not found"))</f>
        <v>0</v>
      </c>
      <c r="E11" s="15">
        <v>46305</v>
      </c>
      <c r="F11" s="38">
        <v>2</v>
      </c>
      <c r="G11" s="32" t="s">
        <v>444</v>
      </c>
      <c r="H11" s="32" t="s">
        <v>451</v>
      </c>
      <c r="I11" s="18">
        <f>IF(G11="","",IF(G11="Freezer",FreezerDays,LeftoverDays))</f>
        <v>0</v>
      </c>
      <c r="J11" s="19">
        <f>IF(OR(E11="",I11=""),"",E11+I11)</f>
        <v>0</v>
      </c>
      <c r="K11" s="18">
        <f>IF(J11="","",J11-TODAY())</f>
        <v>0</v>
      </c>
      <c r="L11" s="25">
        <f>IF(C11="","",IFERROR(INDEX(Recipes!$AD$5:$AD$204,MATCH(C11,Recipes!$A$5:$A$204,0)),"Not found"))</f>
        <v>0</v>
      </c>
      <c r="M11" s="25">
        <f>IF(OR(F11="",L11="",NOT(ISNUMBER(L11))),"",F11*L11)</f>
        <v>0</v>
      </c>
      <c r="N11" s="15">
        <v>46307</v>
      </c>
      <c r="O11" s="32" t="s">
        <v>736</v>
      </c>
      <c r="P11" s="18">
        <f>IF(OR(B11="",Q11="Eaten",Q11="Binned",NOT(ISNUMBER(K11))),"",COUNTIFS($Q$5:$Q$124,"&lt;&gt;Eaten",$Q$5:$Q$124,"&lt;&gt;Binned",$K$5:$K$124,"&lt;"&amp;K11)+COUNTIFS($Q$5:Q11,"&lt;&gt;Eaten",$Q$5:Q11,"&lt;&gt;Binned",$K$5:K11,K11))</f>
        <v>0</v>
      </c>
      <c r="Q11" s="42" t="s">
        <v>317</v>
      </c>
      <c r="R11" s="31">
        <f>IF(B11="","",IF(Q11="Eaten","OK - eaten",IF(Q11="Binned","Wasted - log the cost",IF(Q11="Frozen","OK - in the freezer",IF(AND(K11&lt;&gt;"",K11&lt;0),"Expired - check before eating",IF(AND(K11&lt;&gt;"",K11&lt;=1),"Today - eat it now","OK"))))))</f>
        <v>0</v>
      </c>
      <c r="S11" s="43" t="s">
        <v>157</v>
      </c>
    </row>
    <row r="12" spans="1:19">
      <c r="A12" s="39">
        <f>IF(B12="","",LeftoverPrefix&amp;TEXT(ROW()-4,"0000"))</f>
        <v>0</v>
      </c>
      <c r="B12" s="32" t="s">
        <v>327</v>
      </c>
      <c r="C12" s="32" t="s">
        <v>961</v>
      </c>
      <c r="D12" s="17">
        <f>IF(C12="","",IFERROR(INDEX(Recipes!$B$5:$B$204,MATCH(C12,Recipes!$A$5:$A$204,0)),"Not found"))</f>
        <v>0</v>
      </c>
      <c r="E12" s="15">
        <v>46301</v>
      </c>
      <c r="F12" s="38">
        <v>2</v>
      </c>
      <c r="G12" s="32" t="s">
        <v>445</v>
      </c>
      <c r="H12" s="32" t="s">
        <v>453</v>
      </c>
      <c r="I12" s="18">
        <f>IF(G12="","",IF(G12="Freezer",FreezerDays,LeftoverDays))</f>
        <v>0</v>
      </c>
      <c r="J12" s="19">
        <f>IF(OR(E12="",I12=""),"",E12+I12)</f>
        <v>0</v>
      </c>
      <c r="K12" s="18">
        <f>IF(J12="","",J12-TODAY())</f>
        <v>0</v>
      </c>
      <c r="L12" s="25">
        <f>IF(C12="","",IFERROR(INDEX(Recipes!$AD$5:$AD$204,MATCH(C12,Recipes!$A$5:$A$204,0)),"Not found"))</f>
        <v>0</v>
      </c>
      <c r="M12" s="25">
        <f>IF(OR(F12="",L12="",NOT(ISNUMBER(L12))),"",F12*L12)</f>
        <v>0</v>
      </c>
      <c r="O12" s="32" t="s">
        <v>157</v>
      </c>
      <c r="P12" s="18">
        <f>IF(OR(B12="",Q12="Eaten",Q12="Binned",NOT(ISNUMBER(K12))),"",COUNTIFS($Q$5:$Q$124,"&lt;&gt;Eaten",$Q$5:$Q$124,"&lt;&gt;Binned",$K$5:$K$124,"&lt;"&amp;K12)+COUNTIFS($Q$5:Q12,"&lt;&gt;Eaten",$Q$5:Q12,"&lt;&gt;Binned",$K$5:K12,K12))</f>
        <v>0</v>
      </c>
      <c r="Q12" s="42" t="s">
        <v>418</v>
      </c>
      <c r="R12" s="31">
        <f>IF(B12="","",IF(Q12="Eaten","OK - eaten",IF(Q12="Binned","Wasted - log the cost",IF(Q12="Frozen","OK - in the freezer",IF(AND(K12&lt;&gt;"",K12&lt;0),"Expired - check before eating",IF(AND(K12&lt;&gt;"",K12&lt;=1),"Today - eat it now","OK"))))))</f>
        <v>0</v>
      </c>
      <c r="S12" s="43" t="s">
        <v>1151</v>
      </c>
    </row>
    <row r="13" spans="1:19">
      <c r="A13" s="39">
        <f>IF(B13="","",LeftoverPrefix&amp;TEXT(ROW()-4,"0000"))</f>
        <v>0</v>
      </c>
      <c r="D13" s="17">
        <f>IF(C13="","",IFERROR(INDEX(Recipes!$B$5:$B$204,MATCH(C13,Recipes!$A$5:$A$204,0)),"Not found"))</f>
        <v>0</v>
      </c>
      <c r="I13" s="18">
        <f>IF(G13="","",IF(G13="Freezer",FreezerDays,LeftoverDays))</f>
        <v>0</v>
      </c>
      <c r="J13" s="19">
        <f>IF(OR(E13="",I13=""),"",E13+I13)</f>
        <v>0</v>
      </c>
      <c r="K13" s="18">
        <f>IF(J13="","",J13-TODAY())</f>
        <v>0</v>
      </c>
      <c r="L13" s="25">
        <f>IF(C13="","",IFERROR(INDEX(Recipes!$AD$5:$AD$204,MATCH(C13,Recipes!$A$5:$A$204,0)),"Not found"))</f>
        <v>0</v>
      </c>
      <c r="M13" s="25">
        <f>IF(OR(F13="",L13="",NOT(ISNUMBER(L13))),"",F13*L13)</f>
        <v>0</v>
      </c>
      <c r="P13" s="18">
        <f>IF(OR(B13="",Q13="Eaten",Q13="Binned",NOT(ISNUMBER(K13))),"",COUNTIFS($Q$5:$Q$124,"&lt;&gt;Eaten",$Q$5:$Q$124,"&lt;&gt;Binned",$K$5:$K$124,"&lt;"&amp;K13)+COUNTIFS($Q$5:Q13,"&lt;&gt;Eaten",$Q$5:Q13,"&lt;&gt;Binned",$K$5:K13,K13))</f>
        <v>0</v>
      </c>
      <c r="R13" s="31">
        <f>IF(B13="","",IF(Q13="Eaten","OK - eaten",IF(Q13="Binned","Wasted - log the cost",IF(Q13="Frozen","OK - in the freezer",IF(AND(K13&lt;&gt;"",K13&lt;0),"Expired - check before eating",IF(AND(K13&lt;&gt;"",K13&lt;=1),"Today - eat it now","OK"))))))</f>
        <v>0</v>
      </c>
    </row>
    <row r="14" spans="1:19">
      <c r="A14" s="39">
        <f>IF(B14="","",LeftoverPrefix&amp;TEXT(ROW()-4,"0000"))</f>
        <v>0</v>
      </c>
      <c r="D14" s="17">
        <f>IF(C14="","",IFERROR(INDEX(Recipes!$B$5:$B$204,MATCH(C14,Recipes!$A$5:$A$204,0)),"Not found"))</f>
        <v>0</v>
      </c>
      <c r="I14" s="18">
        <f>IF(G14="","",IF(G14="Freezer",FreezerDays,LeftoverDays))</f>
        <v>0</v>
      </c>
      <c r="J14" s="19">
        <f>IF(OR(E14="",I14=""),"",E14+I14)</f>
        <v>0</v>
      </c>
      <c r="K14" s="18">
        <f>IF(J14="","",J14-TODAY())</f>
        <v>0</v>
      </c>
      <c r="L14" s="25">
        <f>IF(C14="","",IFERROR(INDEX(Recipes!$AD$5:$AD$204,MATCH(C14,Recipes!$A$5:$A$204,0)),"Not found"))</f>
        <v>0</v>
      </c>
      <c r="M14" s="25">
        <f>IF(OR(F14="",L14="",NOT(ISNUMBER(L14))),"",F14*L14)</f>
        <v>0</v>
      </c>
      <c r="P14" s="18">
        <f>IF(OR(B14="",Q14="Eaten",Q14="Binned",NOT(ISNUMBER(K14))),"",COUNTIFS($Q$5:$Q$124,"&lt;&gt;Eaten",$Q$5:$Q$124,"&lt;&gt;Binned",$K$5:$K$124,"&lt;"&amp;K14)+COUNTIFS($Q$5:Q14,"&lt;&gt;Eaten",$Q$5:Q14,"&lt;&gt;Binned",$K$5:K14,K14))</f>
        <v>0</v>
      </c>
      <c r="R14" s="31">
        <f>IF(B14="","",IF(Q14="Eaten","OK - eaten",IF(Q14="Binned","Wasted - log the cost",IF(Q14="Frozen","OK - in the freezer",IF(AND(K14&lt;&gt;"",K14&lt;0),"Expired - check before eating",IF(AND(K14&lt;&gt;"",K14&lt;=1),"Today - eat it now","OK"))))))</f>
        <v>0</v>
      </c>
    </row>
    <row r="15" spans="1:19">
      <c r="A15" s="39">
        <f>IF(B15="","",LeftoverPrefix&amp;TEXT(ROW()-4,"0000"))</f>
        <v>0</v>
      </c>
      <c r="D15" s="17">
        <f>IF(C15="","",IFERROR(INDEX(Recipes!$B$5:$B$204,MATCH(C15,Recipes!$A$5:$A$204,0)),"Not found"))</f>
        <v>0</v>
      </c>
      <c r="I15" s="18">
        <f>IF(G15="","",IF(G15="Freezer",FreezerDays,LeftoverDays))</f>
        <v>0</v>
      </c>
      <c r="J15" s="19">
        <f>IF(OR(E15="",I15=""),"",E15+I15)</f>
        <v>0</v>
      </c>
      <c r="K15" s="18">
        <f>IF(J15="","",J15-TODAY())</f>
        <v>0</v>
      </c>
      <c r="L15" s="25">
        <f>IF(C15="","",IFERROR(INDEX(Recipes!$AD$5:$AD$204,MATCH(C15,Recipes!$A$5:$A$204,0)),"Not found"))</f>
        <v>0</v>
      </c>
      <c r="M15" s="25">
        <f>IF(OR(F15="",L15="",NOT(ISNUMBER(L15))),"",F15*L15)</f>
        <v>0</v>
      </c>
      <c r="P15" s="18">
        <f>IF(OR(B15="",Q15="Eaten",Q15="Binned",NOT(ISNUMBER(K15))),"",COUNTIFS($Q$5:$Q$124,"&lt;&gt;Eaten",$Q$5:$Q$124,"&lt;&gt;Binned",$K$5:$K$124,"&lt;"&amp;K15)+COUNTIFS($Q$5:Q15,"&lt;&gt;Eaten",$Q$5:Q15,"&lt;&gt;Binned",$K$5:K15,K15))</f>
        <v>0</v>
      </c>
      <c r="R15" s="31">
        <f>IF(B15="","",IF(Q15="Eaten","OK - eaten",IF(Q15="Binned","Wasted - log the cost",IF(Q15="Frozen","OK - in the freezer",IF(AND(K15&lt;&gt;"",K15&lt;0),"Expired - check before eating",IF(AND(K15&lt;&gt;"",K15&lt;=1),"Today - eat it now","OK"))))))</f>
        <v>0</v>
      </c>
    </row>
    <row r="16" spans="1:19">
      <c r="A16" s="39">
        <f>IF(B16="","",LeftoverPrefix&amp;TEXT(ROW()-4,"0000"))</f>
        <v>0</v>
      </c>
      <c r="D16" s="17">
        <f>IF(C16="","",IFERROR(INDEX(Recipes!$B$5:$B$204,MATCH(C16,Recipes!$A$5:$A$204,0)),"Not found"))</f>
        <v>0</v>
      </c>
      <c r="I16" s="18">
        <f>IF(G16="","",IF(G16="Freezer",FreezerDays,LeftoverDays))</f>
        <v>0</v>
      </c>
      <c r="J16" s="19">
        <f>IF(OR(E16="",I16=""),"",E16+I16)</f>
        <v>0</v>
      </c>
      <c r="K16" s="18">
        <f>IF(J16="","",J16-TODAY())</f>
        <v>0</v>
      </c>
      <c r="L16" s="25">
        <f>IF(C16="","",IFERROR(INDEX(Recipes!$AD$5:$AD$204,MATCH(C16,Recipes!$A$5:$A$204,0)),"Not found"))</f>
        <v>0</v>
      </c>
      <c r="M16" s="25">
        <f>IF(OR(F16="",L16="",NOT(ISNUMBER(L16))),"",F16*L16)</f>
        <v>0</v>
      </c>
      <c r="P16" s="18">
        <f>IF(OR(B16="",Q16="Eaten",Q16="Binned",NOT(ISNUMBER(K16))),"",COUNTIFS($Q$5:$Q$124,"&lt;&gt;Eaten",$Q$5:$Q$124,"&lt;&gt;Binned",$K$5:$K$124,"&lt;"&amp;K16)+COUNTIFS($Q$5:Q16,"&lt;&gt;Eaten",$Q$5:Q16,"&lt;&gt;Binned",$K$5:K16,K16))</f>
        <v>0</v>
      </c>
      <c r="R16" s="31">
        <f>IF(B16="","",IF(Q16="Eaten","OK - eaten",IF(Q16="Binned","Wasted - log the cost",IF(Q16="Frozen","OK - in the freezer",IF(AND(K16&lt;&gt;"",K16&lt;0),"Expired - check before eating",IF(AND(K16&lt;&gt;"",K16&lt;=1),"Today - eat it now","OK"))))))</f>
        <v>0</v>
      </c>
    </row>
    <row r="17" spans="1:18">
      <c r="A17" s="39">
        <f>IF(B17="","",LeftoverPrefix&amp;TEXT(ROW()-4,"0000"))</f>
        <v>0</v>
      </c>
      <c r="D17" s="17">
        <f>IF(C17="","",IFERROR(INDEX(Recipes!$B$5:$B$204,MATCH(C17,Recipes!$A$5:$A$204,0)),"Not found"))</f>
        <v>0</v>
      </c>
      <c r="I17" s="18">
        <f>IF(G17="","",IF(G17="Freezer",FreezerDays,LeftoverDays))</f>
        <v>0</v>
      </c>
      <c r="J17" s="19">
        <f>IF(OR(E17="",I17=""),"",E17+I17)</f>
        <v>0</v>
      </c>
      <c r="K17" s="18">
        <f>IF(J17="","",J17-TODAY())</f>
        <v>0</v>
      </c>
      <c r="L17" s="25">
        <f>IF(C17="","",IFERROR(INDEX(Recipes!$AD$5:$AD$204,MATCH(C17,Recipes!$A$5:$A$204,0)),"Not found"))</f>
        <v>0</v>
      </c>
      <c r="M17" s="25">
        <f>IF(OR(F17="",L17="",NOT(ISNUMBER(L17))),"",F17*L17)</f>
        <v>0</v>
      </c>
      <c r="P17" s="18">
        <f>IF(OR(B17="",Q17="Eaten",Q17="Binned",NOT(ISNUMBER(K17))),"",COUNTIFS($Q$5:$Q$124,"&lt;&gt;Eaten",$Q$5:$Q$124,"&lt;&gt;Binned",$K$5:$K$124,"&lt;"&amp;K17)+COUNTIFS($Q$5:Q17,"&lt;&gt;Eaten",$Q$5:Q17,"&lt;&gt;Binned",$K$5:K17,K17))</f>
        <v>0</v>
      </c>
      <c r="R17" s="31">
        <f>IF(B17="","",IF(Q17="Eaten","OK - eaten",IF(Q17="Binned","Wasted - log the cost",IF(Q17="Frozen","OK - in the freezer",IF(AND(K17&lt;&gt;"",K17&lt;0),"Expired - check before eating",IF(AND(K17&lt;&gt;"",K17&lt;=1),"Today - eat it now","OK"))))))</f>
        <v>0</v>
      </c>
    </row>
    <row r="18" spans="1:18">
      <c r="A18" s="39">
        <f>IF(B18="","",LeftoverPrefix&amp;TEXT(ROW()-4,"0000"))</f>
        <v>0</v>
      </c>
      <c r="D18" s="17">
        <f>IF(C18="","",IFERROR(INDEX(Recipes!$B$5:$B$204,MATCH(C18,Recipes!$A$5:$A$204,0)),"Not found"))</f>
        <v>0</v>
      </c>
      <c r="I18" s="18">
        <f>IF(G18="","",IF(G18="Freezer",FreezerDays,LeftoverDays))</f>
        <v>0</v>
      </c>
      <c r="J18" s="19">
        <f>IF(OR(E18="",I18=""),"",E18+I18)</f>
        <v>0</v>
      </c>
      <c r="K18" s="18">
        <f>IF(J18="","",J18-TODAY())</f>
        <v>0</v>
      </c>
      <c r="L18" s="25">
        <f>IF(C18="","",IFERROR(INDEX(Recipes!$AD$5:$AD$204,MATCH(C18,Recipes!$A$5:$A$204,0)),"Not found"))</f>
        <v>0</v>
      </c>
      <c r="M18" s="25">
        <f>IF(OR(F18="",L18="",NOT(ISNUMBER(L18))),"",F18*L18)</f>
        <v>0</v>
      </c>
      <c r="P18" s="18">
        <f>IF(OR(B18="",Q18="Eaten",Q18="Binned",NOT(ISNUMBER(K18))),"",COUNTIFS($Q$5:$Q$124,"&lt;&gt;Eaten",$Q$5:$Q$124,"&lt;&gt;Binned",$K$5:$K$124,"&lt;"&amp;K18)+COUNTIFS($Q$5:Q18,"&lt;&gt;Eaten",$Q$5:Q18,"&lt;&gt;Binned",$K$5:K18,K18))</f>
        <v>0</v>
      </c>
      <c r="R18" s="31">
        <f>IF(B18="","",IF(Q18="Eaten","OK - eaten",IF(Q18="Binned","Wasted - log the cost",IF(Q18="Frozen","OK - in the freezer",IF(AND(K18&lt;&gt;"",K18&lt;0),"Expired - check before eating",IF(AND(K18&lt;&gt;"",K18&lt;=1),"Today - eat it now","OK"))))))</f>
        <v>0</v>
      </c>
    </row>
    <row r="19" spans="1:18">
      <c r="A19" s="39">
        <f>IF(B19="","",LeftoverPrefix&amp;TEXT(ROW()-4,"0000"))</f>
        <v>0</v>
      </c>
      <c r="D19" s="17">
        <f>IF(C19="","",IFERROR(INDEX(Recipes!$B$5:$B$204,MATCH(C19,Recipes!$A$5:$A$204,0)),"Not found"))</f>
        <v>0</v>
      </c>
      <c r="I19" s="18">
        <f>IF(G19="","",IF(G19="Freezer",FreezerDays,LeftoverDays))</f>
        <v>0</v>
      </c>
      <c r="J19" s="19">
        <f>IF(OR(E19="",I19=""),"",E19+I19)</f>
        <v>0</v>
      </c>
      <c r="K19" s="18">
        <f>IF(J19="","",J19-TODAY())</f>
        <v>0</v>
      </c>
      <c r="L19" s="25">
        <f>IF(C19="","",IFERROR(INDEX(Recipes!$AD$5:$AD$204,MATCH(C19,Recipes!$A$5:$A$204,0)),"Not found"))</f>
        <v>0</v>
      </c>
      <c r="M19" s="25">
        <f>IF(OR(F19="",L19="",NOT(ISNUMBER(L19))),"",F19*L19)</f>
        <v>0</v>
      </c>
      <c r="P19" s="18">
        <f>IF(OR(B19="",Q19="Eaten",Q19="Binned",NOT(ISNUMBER(K19))),"",COUNTIFS($Q$5:$Q$124,"&lt;&gt;Eaten",$Q$5:$Q$124,"&lt;&gt;Binned",$K$5:$K$124,"&lt;"&amp;K19)+COUNTIFS($Q$5:Q19,"&lt;&gt;Eaten",$Q$5:Q19,"&lt;&gt;Binned",$K$5:K19,K19))</f>
        <v>0</v>
      </c>
      <c r="R19" s="31">
        <f>IF(B19="","",IF(Q19="Eaten","OK - eaten",IF(Q19="Binned","Wasted - log the cost",IF(Q19="Frozen","OK - in the freezer",IF(AND(K19&lt;&gt;"",K19&lt;0),"Expired - check before eating",IF(AND(K19&lt;&gt;"",K19&lt;=1),"Today - eat it now","OK"))))))</f>
        <v>0</v>
      </c>
    </row>
    <row r="20" spans="1:18">
      <c r="A20" s="39">
        <f>IF(B20="","",LeftoverPrefix&amp;TEXT(ROW()-4,"0000"))</f>
        <v>0</v>
      </c>
      <c r="D20" s="17">
        <f>IF(C20="","",IFERROR(INDEX(Recipes!$B$5:$B$204,MATCH(C20,Recipes!$A$5:$A$204,0)),"Not found"))</f>
        <v>0</v>
      </c>
      <c r="I20" s="18">
        <f>IF(G20="","",IF(G20="Freezer",FreezerDays,LeftoverDays))</f>
        <v>0</v>
      </c>
      <c r="J20" s="19">
        <f>IF(OR(E20="",I20=""),"",E20+I20)</f>
        <v>0</v>
      </c>
      <c r="K20" s="18">
        <f>IF(J20="","",J20-TODAY())</f>
        <v>0</v>
      </c>
      <c r="L20" s="25">
        <f>IF(C20="","",IFERROR(INDEX(Recipes!$AD$5:$AD$204,MATCH(C20,Recipes!$A$5:$A$204,0)),"Not found"))</f>
        <v>0</v>
      </c>
      <c r="M20" s="25">
        <f>IF(OR(F20="",L20="",NOT(ISNUMBER(L20))),"",F20*L20)</f>
        <v>0</v>
      </c>
      <c r="P20" s="18">
        <f>IF(OR(B20="",Q20="Eaten",Q20="Binned",NOT(ISNUMBER(K20))),"",COUNTIFS($Q$5:$Q$124,"&lt;&gt;Eaten",$Q$5:$Q$124,"&lt;&gt;Binned",$K$5:$K$124,"&lt;"&amp;K20)+COUNTIFS($Q$5:Q20,"&lt;&gt;Eaten",$Q$5:Q20,"&lt;&gt;Binned",$K$5:K20,K20))</f>
        <v>0</v>
      </c>
      <c r="R20" s="31">
        <f>IF(B20="","",IF(Q20="Eaten","OK - eaten",IF(Q20="Binned","Wasted - log the cost",IF(Q20="Frozen","OK - in the freezer",IF(AND(K20&lt;&gt;"",K20&lt;0),"Expired - check before eating",IF(AND(K20&lt;&gt;"",K20&lt;=1),"Today - eat it now","OK"))))))</f>
        <v>0</v>
      </c>
    </row>
    <row r="21" spans="1:18">
      <c r="A21" s="39">
        <f>IF(B21="","",LeftoverPrefix&amp;TEXT(ROW()-4,"0000"))</f>
        <v>0</v>
      </c>
      <c r="D21" s="17">
        <f>IF(C21="","",IFERROR(INDEX(Recipes!$B$5:$B$204,MATCH(C21,Recipes!$A$5:$A$204,0)),"Not found"))</f>
        <v>0</v>
      </c>
      <c r="I21" s="18">
        <f>IF(G21="","",IF(G21="Freezer",FreezerDays,LeftoverDays))</f>
        <v>0</v>
      </c>
      <c r="J21" s="19">
        <f>IF(OR(E21="",I21=""),"",E21+I21)</f>
        <v>0</v>
      </c>
      <c r="K21" s="18">
        <f>IF(J21="","",J21-TODAY())</f>
        <v>0</v>
      </c>
      <c r="L21" s="25">
        <f>IF(C21="","",IFERROR(INDEX(Recipes!$AD$5:$AD$204,MATCH(C21,Recipes!$A$5:$A$204,0)),"Not found"))</f>
        <v>0</v>
      </c>
      <c r="M21" s="25">
        <f>IF(OR(F21="",L21="",NOT(ISNUMBER(L21))),"",F21*L21)</f>
        <v>0</v>
      </c>
      <c r="P21" s="18">
        <f>IF(OR(B21="",Q21="Eaten",Q21="Binned",NOT(ISNUMBER(K21))),"",COUNTIFS($Q$5:$Q$124,"&lt;&gt;Eaten",$Q$5:$Q$124,"&lt;&gt;Binned",$K$5:$K$124,"&lt;"&amp;K21)+COUNTIFS($Q$5:Q21,"&lt;&gt;Eaten",$Q$5:Q21,"&lt;&gt;Binned",$K$5:K21,K21))</f>
        <v>0</v>
      </c>
      <c r="R21" s="31">
        <f>IF(B21="","",IF(Q21="Eaten","OK - eaten",IF(Q21="Binned","Wasted - log the cost",IF(Q21="Frozen","OK - in the freezer",IF(AND(K21&lt;&gt;"",K21&lt;0),"Expired - check before eating",IF(AND(K21&lt;&gt;"",K21&lt;=1),"Today - eat it now","OK"))))))</f>
        <v>0</v>
      </c>
    </row>
    <row r="22" spans="1:18">
      <c r="A22" s="39">
        <f>IF(B22="","",LeftoverPrefix&amp;TEXT(ROW()-4,"0000"))</f>
        <v>0</v>
      </c>
      <c r="D22" s="17">
        <f>IF(C22="","",IFERROR(INDEX(Recipes!$B$5:$B$204,MATCH(C22,Recipes!$A$5:$A$204,0)),"Not found"))</f>
        <v>0</v>
      </c>
      <c r="I22" s="18">
        <f>IF(G22="","",IF(G22="Freezer",FreezerDays,LeftoverDays))</f>
        <v>0</v>
      </c>
      <c r="J22" s="19">
        <f>IF(OR(E22="",I22=""),"",E22+I22)</f>
        <v>0</v>
      </c>
      <c r="K22" s="18">
        <f>IF(J22="","",J22-TODAY())</f>
        <v>0</v>
      </c>
      <c r="L22" s="25">
        <f>IF(C22="","",IFERROR(INDEX(Recipes!$AD$5:$AD$204,MATCH(C22,Recipes!$A$5:$A$204,0)),"Not found"))</f>
        <v>0</v>
      </c>
      <c r="M22" s="25">
        <f>IF(OR(F22="",L22="",NOT(ISNUMBER(L22))),"",F22*L22)</f>
        <v>0</v>
      </c>
      <c r="P22" s="18">
        <f>IF(OR(B22="",Q22="Eaten",Q22="Binned",NOT(ISNUMBER(K22))),"",COUNTIFS($Q$5:$Q$124,"&lt;&gt;Eaten",$Q$5:$Q$124,"&lt;&gt;Binned",$K$5:$K$124,"&lt;"&amp;K22)+COUNTIFS($Q$5:Q22,"&lt;&gt;Eaten",$Q$5:Q22,"&lt;&gt;Binned",$K$5:K22,K22))</f>
        <v>0</v>
      </c>
      <c r="R22" s="31">
        <f>IF(B22="","",IF(Q22="Eaten","OK - eaten",IF(Q22="Binned","Wasted - log the cost",IF(Q22="Frozen","OK - in the freezer",IF(AND(K22&lt;&gt;"",K22&lt;0),"Expired - check before eating",IF(AND(K22&lt;&gt;"",K22&lt;=1),"Today - eat it now","OK"))))))</f>
        <v>0</v>
      </c>
    </row>
    <row r="23" spans="1:18">
      <c r="A23" s="39">
        <f>IF(B23="","",LeftoverPrefix&amp;TEXT(ROW()-4,"0000"))</f>
        <v>0</v>
      </c>
      <c r="D23" s="17">
        <f>IF(C23="","",IFERROR(INDEX(Recipes!$B$5:$B$204,MATCH(C23,Recipes!$A$5:$A$204,0)),"Not found"))</f>
        <v>0</v>
      </c>
      <c r="I23" s="18">
        <f>IF(G23="","",IF(G23="Freezer",FreezerDays,LeftoverDays))</f>
        <v>0</v>
      </c>
      <c r="J23" s="19">
        <f>IF(OR(E23="",I23=""),"",E23+I23)</f>
        <v>0</v>
      </c>
      <c r="K23" s="18">
        <f>IF(J23="","",J23-TODAY())</f>
        <v>0</v>
      </c>
      <c r="L23" s="25">
        <f>IF(C23="","",IFERROR(INDEX(Recipes!$AD$5:$AD$204,MATCH(C23,Recipes!$A$5:$A$204,0)),"Not found"))</f>
        <v>0</v>
      </c>
      <c r="M23" s="25">
        <f>IF(OR(F23="",L23="",NOT(ISNUMBER(L23))),"",F23*L23)</f>
        <v>0</v>
      </c>
      <c r="P23" s="18">
        <f>IF(OR(B23="",Q23="Eaten",Q23="Binned",NOT(ISNUMBER(K23))),"",COUNTIFS($Q$5:$Q$124,"&lt;&gt;Eaten",$Q$5:$Q$124,"&lt;&gt;Binned",$K$5:$K$124,"&lt;"&amp;K23)+COUNTIFS($Q$5:Q23,"&lt;&gt;Eaten",$Q$5:Q23,"&lt;&gt;Binned",$K$5:K23,K23))</f>
        <v>0</v>
      </c>
      <c r="R23" s="31">
        <f>IF(B23="","",IF(Q23="Eaten","OK - eaten",IF(Q23="Binned","Wasted - log the cost",IF(Q23="Frozen","OK - in the freezer",IF(AND(K23&lt;&gt;"",K23&lt;0),"Expired - check before eating",IF(AND(K23&lt;&gt;"",K23&lt;=1),"Today - eat it now","OK"))))))</f>
        <v>0</v>
      </c>
    </row>
    <row r="24" spans="1:18">
      <c r="A24" s="39">
        <f>IF(B24="","",LeftoverPrefix&amp;TEXT(ROW()-4,"0000"))</f>
        <v>0</v>
      </c>
      <c r="D24" s="17">
        <f>IF(C24="","",IFERROR(INDEX(Recipes!$B$5:$B$204,MATCH(C24,Recipes!$A$5:$A$204,0)),"Not found"))</f>
        <v>0</v>
      </c>
      <c r="I24" s="18">
        <f>IF(G24="","",IF(G24="Freezer",FreezerDays,LeftoverDays))</f>
        <v>0</v>
      </c>
      <c r="J24" s="19">
        <f>IF(OR(E24="",I24=""),"",E24+I24)</f>
        <v>0</v>
      </c>
      <c r="K24" s="18">
        <f>IF(J24="","",J24-TODAY())</f>
        <v>0</v>
      </c>
      <c r="L24" s="25">
        <f>IF(C24="","",IFERROR(INDEX(Recipes!$AD$5:$AD$204,MATCH(C24,Recipes!$A$5:$A$204,0)),"Not found"))</f>
        <v>0</v>
      </c>
      <c r="M24" s="25">
        <f>IF(OR(F24="",L24="",NOT(ISNUMBER(L24))),"",F24*L24)</f>
        <v>0</v>
      </c>
      <c r="P24" s="18">
        <f>IF(OR(B24="",Q24="Eaten",Q24="Binned",NOT(ISNUMBER(K24))),"",COUNTIFS($Q$5:$Q$124,"&lt;&gt;Eaten",$Q$5:$Q$124,"&lt;&gt;Binned",$K$5:$K$124,"&lt;"&amp;K24)+COUNTIFS($Q$5:Q24,"&lt;&gt;Eaten",$Q$5:Q24,"&lt;&gt;Binned",$K$5:K24,K24))</f>
        <v>0</v>
      </c>
      <c r="R24" s="31">
        <f>IF(B24="","",IF(Q24="Eaten","OK - eaten",IF(Q24="Binned","Wasted - log the cost",IF(Q24="Frozen","OK - in the freezer",IF(AND(K24&lt;&gt;"",K24&lt;0),"Expired - check before eating",IF(AND(K24&lt;&gt;"",K24&lt;=1),"Today - eat it now","OK"))))))</f>
        <v>0</v>
      </c>
    </row>
    <row r="25" spans="1:18">
      <c r="A25" s="39">
        <f>IF(B25="","",LeftoverPrefix&amp;TEXT(ROW()-4,"0000"))</f>
        <v>0</v>
      </c>
      <c r="D25" s="17">
        <f>IF(C25="","",IFERROR(INDEX(Recipes!$B$5:$B$204,MATCH(C25,Recipes!$A$5:$A$204,0)),"Not found"))</f>
        <v>0</v>
      </c>
      <c r="I25" s="18">
        <f>IF(G25="","",IF(G25="Freezer",FreezerDays,LeftoverDays))</f>
        <v>0</v>
      </c>
      <c r="J25" s="19">
        <f>IF(OR(E25="",I25=""),"",E25+I25)</f>
        <v>0</v>
      </c>
      <c r="K25" s="18">
        <f>IF(J25="","",J25-TODAY())</f>
        <v>0</v>
      </c>
      <c r="L25" s="25">
        <f>IF(C25="","",IFERROR(INDEX(Recipes!$AD$5:$AD$204,MATCH(C25,Recipes!$A$5:$A$204,0)),"Not found"))</f>
        <v>0</v>
      </c>
      <c r="M25" s="25">
        <f>IF(OR(F25="",L25="",NOT(ISNUMBER(L25))),"",F25*L25)</f>
        <v>0</v>
      </c>
      <c r="P25" s="18">
        <f>IF(OR(B25="",Q25="Eaten",Q25="Binned",NOT(ISNUMBER(K25))),"",COUNTIFS($Q$5:$Q$124,"&lt;&gt;Eaten",$Q$5:$Q$124,"&lt;&gt;Binned",$K$5:$K$124,"&lt;"&amp;K25)+COUNTIFS($Q$5:Q25,"&lt;&gt;Eaten",$Q$5:Q25,"&lt;&gt;Binned",$K$5:K25,K25))</f>
        <v>0</v>
      </c>
      <c r="R25" s="31">
        <f>IF(B25="","",IF(Q25="Eaten","OK - eaten",IF(Q25="Binned","Wasted - log the cost",IF(Q25="Frozen","OK - in the freezer",IF(AND(K25&lt;&gt;"",K25&lt;0),"Expired - check before eating",IF(AND(K25&lt;&gt;"",K25&lt;=1),"Today - eat it now","OK"))))))</f>
        <v>0</v>
      </c>
    </row>
    <row r="26" spans="1:18">
      <c r="A26" s="39">
        <f>IF(B26="","",LeftoverPrefix&amp;TEXT(ROW()-4,"0000"))</f>
        <v>0</v>
      </c>
      <c r="D26" s="17">
        <f>IF(C26="","",IFERROR(INDEX(Recipes!$B$5:$B$204,MATCH(C26,Recipes!$A$5:$A$204,0)),"Not found"))</f>
        <v>0</v>
      </c>
      <c r="I26" s="18">
        <f>IF(G26="","",IF(G26="Freezer",FreezerDays,LeftoverDays))</f>
        <v>0</v>
      </c>
      <c r="J26" s="19">
        <f>IF(OR(E26="",I26=""),"",E26+I26)</f>
        <v>0</v>
      </c>
      <c r="K26" s="18">
        <f>IF(J26="","",J26-TODAY())</f>
        <v>0</v>
      </c>
      <c r="L26" s="25">
        <f>IF(C26="","",IFERROR(INDEX(Recipes!$AD$5:$AD$204,MATCH(C26,Recipes!$A$5:$A$204,0)),"Not found"))</f>
        <v>0</v>
      </c>
      <c r="M26" s="25">
        <f>IF(OR(F26="",L26="",NOT(ISNUMBER(L26))),"",F26*L26)</f>
        <v>0</v>
      </c>
      <c r="P26" s="18">
        <f>IF(OR(B26="",Q26="Eaten",Q26="Binned",NOT(ISNUMBER(K26))),"",COUNTIFS($Q$5:$Q$124,"&lt;&gt;Eaten",$Q$5:$Q$124,"&lt;&gt;Binned",$K$5:$K$124,"&lt;"&amp;K26)+COUNTIFS($Q$5:Q26,"&lt;&gt;Eaten",$Q$5:Q26,"&lt;&gt;Binned",$K$5:K26,K26))</f>
        <v>0</v>
      </c>
      <c r="R26" s="31">
        <f>IF(B26="","",IF(Q26="Eaten","OK - eaten",IF(Q26="Binned","Wasted - log the cost",IF(Q26="Frozen","OK - in the freezer",IF(AND(K26&lt;&gt;"",K26&lt;0),"Expired - check before eating",IF(AND(K26&lt;&gt;"",K26&lt;=1),"Today - eat it now","OK"))))))</f>
        <v>0</v>
      </c>
    </row>
    <row r="27" spans="1:18">
      <c r="A27" s="39">
        <f>IF(B27="","",LeftoverPrefix&amp;TEXT(ROW()-4,"0000"))</f>
        <v>0</v>
      </c>
      <c r="D27" s="17">
        <f>IF(C27="","",IFERROR(INDEX(Recipes!$B$5:$B$204,MATCH(C27,Recipes!$A$5:$A$204,0)),"Not found"))</f>
        <v>0</v>
      </c>
      <c r="I27" s="18">
        <f>IF(G27="","",IF(G27="Freezer",FreezerDays,LeftoverDays))</f>
        <v>0</v>
      </c>
      <c r="J27" s="19">
        <f>IF(OR(E27="",I27=""),"",E27+I27)</f>
        <v>0</v>
      </c>
      <c r="K27" s="18">
        <f>IF(J27="","",J27-TODAY())</f>
        <v>0</v>
      </c>
      <c r="L27" s="25">
        <f>IF(C27="","",IFERROR(INDEX(Recipes!$AD$5:$AD$204,MATCH(C27,Recipes!$A$5:$A$204,0)),"Not found"))</f>
        <v>0</v>
      </c>
      <c r="M27" s="25">
        <f>IF(OR(F27="",L27="",NOT(ISNUMBER(L27))),"",F27*L27)</f>
        <v>0</v>
      </c>
      <c r="P27" s="18">
        <f>IF(OR(B27="",Q27="Eaten",Q27="Binned",NOT(ISNUMBER(K27))),"",COUNTIFS($Q$5:$Q$124,"&lt;&gt;Eaten",$Q$5:$Q$124,"&lt;&gt;Binned",$K$5:$K$124,"&lt;"&amp;K27)+COUNTIFS($Q$5:Q27,"&lt;&gt;Eaten",$Q$5:Q27,"&lt;&gt;Binned",$K$5:K27,K27))</f>
        <v>0</v>
      </c>
      <c r="R27" s="31">
        <f>IF(B27="","",IF(Q27="Eaten","OK - eaten",IF(Q27="Binned","Wasted - log the cost",IF(Q27="Frozen","OK - in the freezer",IF(AND(K27&lt;&gt;"",K27&lt;0),"Expired - check before eating",IF(AND(K27&lt;&gt;"",K27&lt;=1),"Today - eat it now","OK"))))))</f>
        <v>0</v>
      </c>
    </row>
    <row r="28" spans="1:18">
      <c r="A28" s="39">
        <f>IF(B28="","",LeftoverPrefix&amp;TEXT(ROW()-4,"0000"))</f>
        <v>0</v>
      </c>
      <c r="D28" s="17">
        <f>IF(C28="","",IFERROR(INDEX(Recipes!$B$5:$B$204,MATCH(C28,Recipes!$A$5:$A$204,0)),"Not found"))</f>
        <v>0</v>
      </c>
      <c r="I28" s="18">
        <f>IF(G28="","",IF(G28="Freezer",FreezerDays,LeftoverDays))</f>
        <v>0</v>
      </c>
      <c r="J28" s="19">
        <f>IF(OR(E28="",I28=""),"",E28+I28)</f>
        <v>0</v>
      </c>
      <c r="K28" s="18">
        <f>IF(J28="","",J28-TODAY())</f>
        <v>0</v>
      </c>
      <c r="L28" s="25">
        <f>IF(C28="","",IFERROR(INDEX(Recipes!$AD$5:$AD$204,MATCH(C28,Recipes!$A$5:$A$204,0)),"Not found"))</f>
        <v>0</v>
      </c>
      <c r="M28" s="25">
        <f>IF(OR(F28="",L28="",NOT(ISNUMBER(L28))),"",F28*L28)</f>
        <v>0</v>
      </c>
      <c r="P28" s="18">
        <f>IF(OR(B28="",Q28="Eaten",Q28="Binned",NOT(ISNUMBER(K28))),"",COUNTIFS($Q$5:$Q$124,"&lt;&gt;Eaten",$Q$5:$Q$124,"&lt;&gt;Binned",$K$5:$K$124,"&lt;"&amp;K28)+COUNTIFS($Q$5:Q28,"&lt;&gt;Eaten",$Q$5:Q28,"&lt;&gt;Binned",$K$5:K28,K28))</f>
        <v>0</v>
      </c>
      <c r="R28" s="31">
        <f>IF(B28="","",IF(Q28="Eaten","OK - eaten",IF(Q28="Binned","Wasted - log the cost",IF(Q28="Frozen","OK - in the freezer",IF(AND(K28&lt;&gt;"",K28&lt;0),"Expired - check before eating",IF(AND(K28&lt;&gt;"",K28&lt;=1),"Today - eat it now","OK"))))))</f>
        <v>0</v>
      </c>
    </row>
    <row r="29" spans="1:18">
      <c r="A29" s="39">
        <f>IF(B29="","",LeftoverPrefix&amp;TEXT(ROW()-4,"0000"))</f>
        <v>0</v>
      </c>
      <c r="D29" s="17">
        <f>IF(C29="","",IFERROR(INDEX(Recipes!$B$5:$B$204,MATCH(C29,Recipes!$A$5:$A$204,0)),"Not found"))</f>
        <v>0</v>
      </c>
      <c r="I29" s="18">
        <f>IF(G29="","",IF(G29="Freezer",FreezerDays,LeftoverDays))</f>
        <v>0</v>
      </c>
      <c r="J29" s="19">
        <f>IF(OR(E29="",I29=""),"",E29+I29)</f>
        <v>0</v>
      </c>
      <c r="K29" s="18">
        <f>IF(J29="","",J29-TODAY())</f>
        <v>0</v>
      </c>
      <c r="L29" s="25">
        <f>IF(C29="","",IFERROR(INDEX(Recipes!$AD$5:$AD$204,MATCH(C29,Recipes!$A$5:$A$204,0)),"Not found"))</f>
        <v>0</v>
      </c>
      <c r="M29" s="25">
        <f>IF(OR(F29="",L29="",NOT(ISNUMBER(L29))),"",F29*L29)</f>
        <v>0</v>
      </c>
      <c r="P29" s="18">
        <f>IF(OR(B29="",Q29="Eaten",Q29="Binned",NOT(ISNUMBER(K29))),"",COUNTIFS($Q$5:$Q$124,"&lt;&gt;Eaten",$Q$5:$Q$124,"&lt;&gt;Binned",$K$5:$K$124,"&lt;"&amp;K29)+COUNTIFS($Q$5:Q29,"&lt;&gt;Eaten",$Q$5:Q29,"&lt;&gt;Binned",$K$5:K29,K29))</f>
        <v>0</v>
      </c>
      <c r="R29" s="31">
        <f>IF(B29="","",IF(Q29="Eaten","OK - eaten",IF(Q29="Binned","Wasted - log the cost",IF(Q29="Frozen","OK - in the freezer",IF(AND(K29&lt;&gt;"",K29&lt;0),"Expired - check before eating",IF(AND(K29&lt;&gt;"",K29&lt;=1),"Today - eat it now","OK"))))))</f>
        <v>0</v>
      </c>
    </row>
    <row r="30" spans="1:18">
      <c r="A30" s="39">
        <f>IF(B30="","",LeftoverPrefix&amp;TEXT(ROW()-4,"0000"))</f>
        <v>0</v>
      </c>
      <c r="D30" s="17">
        <f>IF(C30="","",IFERROR(INDEX(Recipes!$B$5:$B$204,MATCH(C30,Recipes!$A$5:$A$204,0)),"Not found"))</f>
        <v>0</v>
      </c>
      <c r="I30" s="18">
        <f>IF(G30="","",IF(G30="Freezer",FreezerDays,LeftoverDays))</f>
        <v>0</v>
      </c>
      <c r="J30" s="19">
        <f>IF(OR(E30="",I30=""),"",E30+I30)</f>
        <v>0</v>
      </c>
      <c r="K30" s="18">
        <f>IF(J30="","",J30-TODAY())</f>
        <v>0</v>
      </c>
      <c r="L30" s="25">
        <f>IF(C30="","",IFERROR(INDEX(Recipes!$AD$5:$AD$204,MATCH(C30,Recipes!$A$5:$A$204,0)),"Not found"))</f>
        <v>0</v>
      </c>
      <c r="M30" s="25">
        <f>IF(OR(F30="",L30="",NOT(ISNUMBER(L30))),"",F30*L30)</f>
        <v>0</v>
      </c>
      <c r="P30" s="18">
        <f>IF(OR(B30="",Q30="Eaten",Q30="Binned",NOT(ISNUMBER(K30))),"",COUNTIFS($Q$5:$Q$124,"&lt;&gt;Eaten",$Q$5:$Q$124,"&lt;&gt;Binned",$K$5:$K$124,"&lt;"&amp;K30)+COUNTIFS($Q$5:Q30,"&lt;&gt;Eaten",$Q$5:Q30,"&lt;&gt;Binned",$K$5:K30,K30))</f>
        <v>0</v>
      </c>
      <c r="R30" s="31">
        <f>IF(B30="","",IF(Q30="Eaten","OK - eaten",IF(Q30="Binned","Wasted - log the cost",IF(Q30="Frozen","OK - in the freezer",IF(AND(K30&lt;&gt;"",K30&lt;0),"Expired - check before eating",IF(AND(K30&lt;&gt;"",K30&lt;=1),"Today - eat it now","OK"))))))</f>
        <v>0</v>
      </c>
    </row>
    <row r="31" spans="1:18">
      <c r="A31" s="39">
        <f>IF(B31="","",LeftoverPrefix&amp;TEXT(ROW()-4,"0000"))</f>
        <v>0</v>
      </c>
      <c r="D31" s="17">
        <f>IF(C31="","",IFERROR(INDEX(Recipes!$B$5:$B$204,MATCH(C31,Recipes!$A$5:$A$204,0)),"Not found"))</f>
        <v>0</v>
      </c>
      <c r="I31" s="18">
        <f>IF(G31="","",IF(G31="Freezer",FreezerDays,LeftoverDays))</f>
        <v>0</v>
      </c>
      <c r="J31" s="19">
        <f>IF(OR(E31="",I31=""),"",E31+I31)</f>
        <v>0</v>
      </c>
      <c r="K31" s="18">
        <f>IF(J31="","",J31-TODAY())</f>
        <v>0</v>
      </c>
      <c r="L31" s="25">
        <f>IF(C31="","",IFERROR(INDEX(Recipes!$AD$5:$AD$204,MATCH(C31,Recipes!$A$5:$A$204,0)),"Not found"))</f>
        <v>0</v>
      </c>
      <c r="M31" s="25">
        <f>IF(OR(F31="",L31="",NOT(ISNUMBER(L31))),"",F31*L31)</f>
        <v>0</v>
      </c>
      <c r="P31" s="18">
        <f>IF(OR(B31="",Q31="Eaten",Q31="Binned",NOT(ISNUMBER(K31))),"",COUNTIFS($Q$5:$Q$124,"&lt;&gt;Eaten",$Q$5:$Q$124,"&lt;&gt;Binned",$K$5:$K$124,"&lt;"&amp;K31)+COUNTIFS($Q$5:Q31,"&lt;&gt;Eaten",$Q$5:Q31,"&lt;&gt;Binned",$K$5:K31,K31))</f>
        <v>0</v>
      </c>
      <c r="R31" s="31">
        <f>IF(B31="","",IF(Q31="Eaten","OK - eaten",IF(Q31="Binned","Wasted - log the cost",IF(Q31="Frozen","OK - in the freezer",IF(AND(K31&lt;&gt;"",K31&lt;0),"Expired - check before eating",IF(AND(K31&lt;&gt;"",K31&lt;=1),"Today - eat it now","OK"))))))</f>
        <v>0</v>
      </c>
    </row>
    <row r="32" spans="1:18">
      <c r="A32" s="39">
        <f>IF(B32="","",LeftoverPrefix&amp;TEXT(ROW()-4,"0000"))</f>
        <v>0</v>
      </c>
      <c r="D32" s="17">
        <f>IF(C32="","",IFERROR(INDEX(Recipes!$B$5:$B$204,MATCH(C32,Recipes!$A$5:$A$204,0)),"Not found"))</f>
        <v>0</v>
      </c>
      <c r="I32" s="18">
        <f>IF(G32="","",IF(G32="Freezer",FreezerDays,LeftoverDays))</f>
        <v>0</v>
      </c>
      <c r="J32" s="19">
        <f>IF(OR(E32="",I32=""),"",E32+I32)</f>
        <v>0</v>
      </c>
      <c r="K32" s="18">
        <f>IF(J32="","",J32-TODAY())</f>
        <v>0</v>
      </c>
      <c r="L32" s="25">
        <f>IF(C32="","",IFERROR(INDEX(Recipes!$AD$5:$AD$204,MATCH(C32,Recipes!$A$5:$A$204,0)),"Not found"))</f>
        <v>0</v>
      </c>
      <c r="M32" s="25">
        <f>IF(OR(F32="",L32="",NOT(ISNUMBER(L32))),"",F32*L32)</f>
        <v>0</v>
      </c>
      <c r="P32" s="18">
        <f>IF(OR(B32="",Q32="Eaten",Q32="Binned",NOT(ISNUMBER(K32))),"",COUNTIFS($Q$5:$Q$124,"&lt;&gt;Eaten",$Q$5:$Q$124,"&lt;&gt;Binned",$K$5:$K$124,"&lt;"&amp;K32)+COUNTIFS($Q$5:Q32,"&lt;&gt;Eaten",$Q$5:Q32,"&lt;&gt;Binned",$K$5:K32,K32))</f>
        <v>0</v>
      </c>
      <c r="R32" s="31">
        <f>IF(B32="","",IF(Q32="Eaten","OK - eaten",IF(Q32="Binned","Wasted - log the cost",IF(Q32="Frozen","OK - in the freezer",IF(AND(K32&lt;&gt;"",K32&lt;0),"Expired - check before eating",IF(AND(K32&lt;&gt;"",K32&lt;=1),"Today - eat it now","OK"))))))</f>
        <v>0</v>
      </c>
    </row>
    <row r="33" spans="1:18">
      <c r="A33" s="39">
        <f>IF(B33="","",LeftoverPrefix&amp;TEXT(ROW()-4,"0000"))</f>
        <v>0</v>
      </c>
      <c r="D33" s="17">
        <f>IF(C33="","",IFERROR(INDEX(Recipes!$B$5:$B$204,MATCH(C33,Recipes!$A$5:$A$204,0)),"Not found"))</f>
        <v>0</v>
      </c>
      <c r="I33" s="18">
        <f>IF(G33="","",IF(G33="Freezer",FreezerDays,LeftoverDays))</f>
        <v>0</v>
      </c>
      <c r="J33" s="19">
        <f>IF(OR(E33="",I33=""),"",E33+I33)</f>
        <v>0</v>
      </c>
      <c r="K33" s="18">
        <f>IF(J33="","",J33-TODAY())</f>
        <v>0</v>
      </c>
      <c r="L33" s="25">
        <f>IF(C33="","",IFERROR(INDEX(Recipes!$AD$5:$AD$204,MATCH(C33,Recipes!$A$5:$A$204,0)),"Not found"))</f>
        <v>0</v>
      </c>
      <c r="M33" s="25">
        <f>IF(OR(F33="",L33="",NOT(ISNUMBER(L33))),"",F33*L33)</f>
        <v>0</v>
      </c>
      <c r="P33" s="18">
        <f>IF(OR(B33="",Q33="Eaten",Q33="Binned",NOT(ISNUMBER(K33))),"",COUNTIFS($Q$5:$Q$124,"&lt;&gt;Eaten",$Q$5:$Q$124,"&lt;&gt;Binned",$K$5:$K$124,"&lt;"&amp;K33)+COUNTIFS($Q$5:Q33,"&lt;&gt;Eaten",$Q$5:Q33,"&lt;&gt;Binned",$K$5:K33,K33))</f>
        <v>0</v>
      </c>
      <c r="R33" s="31">
        <f>IF(B33="","",IF(Q33="Eaten","OK - eaten",IF(Q33="Binned","Wasted - log the cost",IF(Q33="Frozen","OK - in the freezer",IF(AND(K33&lt;&gt;"",K33&lt;0),"Expired - check before eating",IF(AND(K33&lt;&gt;"",K33&lt;=1),"Today - eat it now","OK"))))))</f>
        <v>0</v>
      </c>
    </row>
    <row r="34" spans="1:18">
      <c r="A34" s="39">
        <f>IF(B34="","",LeftoverPrefix&amp;TEXT(ROW()-4,"0000"))</f>
        <v>0</v>
      </c>
      <c r="D34" s="17">
        <f>IF(C34="","",IFERROR(INDEX(Recipes!$B$5:$B$204,MATCH(C34,Recipes!$A$5:$A$204,0)),"Not found"))</f>
        <v>0</v>
      </c>
      <c r="I34" s="18">
        <f>IF(G34="","",IF(G34="Freezer",FreezerDays,LeftoverDays))</f>
        <v>0</v>
      </c>
      <c r="J34" s="19">
        <f>IF(OR(E34="",I34=""),"",E34+I34)</f>
        <v>0</v>
      </c>
      <c r="K34" s="18">
        <f>IF(J34="","",J34-TODAY())</f>
        <v>0</v>
      </c>
      <c r="L34" s="25">
        <f>IF(C34="","",IFERROR(INDEX(Recipes!$AD$5:$AD$204,MATCH(C34,Recipes!$A$5:$A$204,0)),"Not found"))</f>
        <v>0</v>
      </c>
      <c r="M34" s="25">
        <f>IF(OR(F34="",L34="",NOT(ISNUMBER(L34))),"",F34*L34)</f>
        <v>0</v>
      </c>
      <c r="P34" s="18">
        <f>IF(OR(B34="",Q34="Eaten",Q34="Binned",NOT(ISNUMBER(K34))),"",COUNTIFS($Q$5:$Q$124,"&lt;&gt;Eaten",$Q$5:$Q$124,"&lt;&gt;Binned",$K$5:$K$124,"&lt;"&amp;K34)+COUNTIFS($Q$5:Q34,"&lt;&gt;Eaten",$Q$5:Q34,"&lt;&gt;Binned",$K$5:K34,K34))</f>
        <v>0</v>
      </c>
      <c r="R34" s="31">
        <f>IF(B34="","",IF(Q34="Eaten","OK - eaten",IF(Q34="Binned","Wasted - log the cost",IF(Q34="Frozen","OK - in the freezer",IF(AND(K34&lt;&gt;"",K34&lt;0),"Expired - check before eating",IF(AND(K34&lt;&gt;"",K34&lt;=1),"Today - eat it now","OK"))))))</f>
        <v>0</v>
      </c>
    </row>
    <row r="35" spans="1:18">
      <c r="A35" s="39">
        <f>IF(B35="","",LeftoverPrefix&amp;TEXT(ROW()-4,"0000"))</f>
        <v>0</v>
      </c>
      <c r="D35" s="17">
        <f>IF(C35="","",IFERROR(INDEX(Recipes!$B$5:$B$204,MATCH(C35,Recipes!$A$5:$A$204,0)),"Not found"))</f>
        <v>0</v>
      </c>
      <c r="I35" s="18">
        <f>IF(G35="","",IF(G35="Freezer",FreezerDays,LeftoverDays))</f>
        <v>0</v>
      </c>
      <c r="J35" s="19">
        <f>IF(OR(E35="",I35=""),"",E35+I35)</f>
        <v>0</v>
      </c>
      <c r="K35" s="18">
        <f>IF(J35="","",J35-TODAY())</f>
        <v>0</v>
      </c>
      <c r="L35" s="25">
        <f>IF(C35="","",IFERROR(INDEX(Recipes!$AD$5:$AD$204,MATCH(C35,Recipes!$A$5:$A$204,0)),"Not found"))</f>
        <v>0</v>
      </c>
      <c r="M35" s="25">
        <f>IF(OR(F35="",L35="",NOT(ISNUMBER(L35))),"",F35*L35)</f>
        <v>0</v>
      </c>
      <c r="P35" s="18">
        <f>IF(OR(B35="",Q35="Eaten",Q35="Binned",NOT(ISNUMBER(K35))),"",COUNTIFS($Q$5:$Q$124,"&lt;&gt;Eaten",$Q$5:$Q$124,"&lt;&gt;Binned",$K$5:$K$124,"&lt;"&amp;K35)+COUNTIFS($Q$5:Q35,"&lt;&gt;Eaten",$Q$5:Q35,"&lt;&gt;Binned",$K$5:K35,K35))</f>
        <v>0</v>
      </c>
      <c r="R35" s="31">
        <f>IF(B35="","",IF(Q35="Eaten","OK - eaten",IF(Q35="Binned","Wasted - log the cost",IF(Q35="Frozen","OK - in the freezer",IF(AND(K35&lt;&gt;"",K35&lt;0),"Expired - check before eating",IF(AND(K35&lt;&gt;"",K35&lt;=1),"Today - eat it now","OK"))))))</f>
        <v>0</v>
      </c>
    </row>
    <row r="36" spans="1:18">
      <c r="A36" s="39">
        <f>IF(B36="","",LeftoverPrefix&amp;TEXT(ROW()-4,"0000"))</f>
        <v>0</v>
      </c>
      <c r="D36" s="17">
        <f>IF(C36="","",IFERROR(INDEX(Recipes!$B$5:$B$204,MATCH(C36,Recipes!$A$5:$A$204,0)),"Not found"))</f>
        <v>0</v>
      </c>
      <c r="I36" s="18">
        <f>IF(G36="","",IF(G36="Freezer",FreezerDays,LeftoverDays))</f>
        <v>0</v>
      </c>
      <c r="J36" s="19">
        <f>IF(OR(E36="",I36=""),"",E36+I36)</f>
        <v>0</v>
      </c>
      <c r="K36" s="18">
        <f>IF(J36="","",J36-TODAY())</f>
        <v>0</v>
      </c>
      <c r="L36" s="25">
        <f>IF(C36="","",IFERROR(INDEX(Recipes!$AD$5:$AD$204,MATCH(C36,Recipes!$A$5:$A$204,0)),"Not found"))</f>
        <v>0</v>
      </c>
      <c r="M36" s="25">
        <f>IF(OR(F36="",L36="",NOT(ISNUMBER(L36))),"",F36*L36)</f>
        <v>0</v>
      </c>
      <c r="P36" s="18">
        <f>IF(OR(B36="",Q36="Eaten",Q36="Binned",NOT(ISNUMBER(K36))),"",COUNTIFS($Q$5:$Q$124,"&lt;&gt;Eaten",$Q$5:$Q$124,"&lt;&gt;Binned",$K$5:$K$124,"&lt;"&amp;K36)+COUNTIFS($Q$5:Q36,"&lt;&gt;Eaten",$Q$5:Q36,"&lt;&gt;Binned",$K$5:K36,K36))</f>
        <v>0</v>
      </c>
      <c r="R36" s="31">
        <f>IF(B36="","",IF(Q36="Eaten","OK - eaten",IF(Q36="Binned","Wasted - log the cost",IF(Q36="Frozen","OK - in the freezer",IF(AND(K36&lt;&gt;"",K36&lt;0),"Expired - check before eating",IF(AND(K36&lt;&gt;"",K36&lt;=1),"Today - eat it now","OK"))))))</f>
        <v>0</v>
      </c>
    </row>
    <row r="37" spans="1:18">
      <c r="A37" s="39">
        <f>IF(B37="","",LeftoverPrefix&amp;TEXT(ROW()-4,"0000"))</f>
        <v>0</v>
      </c>
      <c r="D37" s="17">
        <f>IF(C37="","",IFERROR(INDEX(Recipes!$B$5:$B$204,MATCH(C37,Recipes!$A$5:$A$204,0)),"Not found"))</f>
        <v>0</v>
      </c>
      <c r="I37" s="18">
        <f>IF(G37="","",IF(G37="Freezer",FreezerDays,LeftoverDays))</f>
        <v>0</v>
      </c>
      <c r="J37" s="19">
        <f>IF(OR(E37="",I37=""),"",E37+I37)</f>
        <v>0</v>
      </c>
      <c r="K37" s="18">
        <f>IF(J37="","",J37-TODAY())</f>
        <v>0</v>
      </c>
      <c r="L37" s="25">
        <f>IF(C37="","",IFERROR(INDEX(Recipes!$AD$5:$AD$204,MATCH(C37,Recipes!$A$5:$A$204,0)),"Not found"))</f>
        <v>0</v>
      </c>
      <c r="M37" s="25">
        <f>IF(OR(F37="",L37="",NOT(ISNUMBER(L37))),"",F37*L37)</f>
        <v>0</v>
      </c>
      <c r="P37" s="18">
        <f>IF(OR(B37="",Q37="Eaten",Q37="Binned",NOT(ISNUMBER(K37))),"",COUNTIFS($Q$5:$Q$124,"&lt;&gt;Eaten",$Q$5:$Q$124,"&lt;&gt;Binned",$K$5:$K$124,"&lt;"&amp;K37)+COUNTIFS($Q$5:Q37,"&lt;&gt;Eaten",$Q$5:Q37,"&lt;&gt;Binned",$K$5:K37,K37))</f>
        <v>0</v>
      </c>
      <c r="R37" s="31">
        <f>IF(B37="","",IF(Q37="Eaten","OK - eaten",IF(Q37="Binned","Wasted - log the cost",IF(Q37="Frozen","OK - in the freezer",IF(AND(K37&lt;&gt;"",K37&lt;0),"Expired - check before eating",IF(AND(K37&lt;&gt;"",K37&lt;=1),"Today - eat it now","OK"))))))</f>
        <v>0</v>
      </c>
    </row>
    <row r="38" spans="1:18">
      <c r="A38" s="39">
        <f>IF(B38="","",LeftoverPrefix&amp;TEXT(ROW()-4,"0000"))</f>
        <v>0</v>
      </c>
      <c r="D38" s="17">
        <f>IF(C38="","",IFERROR(INDEX(Recipes!$B$5:$B$204,MATCH(C38,Recipes!$A$5:$A$204,0)),"Not found"))</f>
        <v>0</v>
      </c>
      <c r="I38" s="18">
        <f>IF(G38="","",IF(G38="Freezer",FreezerDays,LeftoverDays))</f>
        <v>0</v>
      </c>
      <c r="J38" s="19">
        <f>IF(OR(E38="",I38=""),"",E38+I38)</f>
        <v>0</v>
      </c>
      <c r="K38" s="18">
        <f>IF(J38="","",J38-TODAY())</f>
        <v>0</v>
      </c>
      <c r="L38" s="25">
        <f>IF(C38="","",IFERROR(INDEX(Recipes!$AD$5:$AD$204,MATCH(C38,Recipes!$A$5:$A$204,0)),"Not found"))</f>
        <v>0</v>
      </c>
      <c r="M38" s="25">
        <f>IF(OR(F38="",L38="",NOT(ISNUMBER(L38))),"",F38*L38)</f>
        <v>0</v>
      </c>
      <c r="P38" s="18">
        <f>IF(OR(B38="",Q38="Eaten",Q38="Binned",NOT(ISNUMBER(K38))),"",COUNTIFS($Q$5:$Q$124,"&lt;&gt;Eaten",$Q$5:$Q$124,"&lt;&gt;Binned",$K$5:$K$124,"&lt;"&amp;K38)+COUNTIFS($Q$5:Q38,"&lt;&gt;Eaten",$Q$5:Q38,"&lt;&gt;Binned",$K$5:K38,K38))</f>
        <v>0</v>
      </c>
      <c r="R38" s="31">
        <f>IF(B38="","",IF(Q38="Eaten","OK - eaten",IF(Q38="Binned","Wasted - log the cost",IF(Q38="Frozen","OK - in the freezer",IF(AND(K38&lt;&gt;"",K38&lt;0),"Expired - check before eating",IF(AND(K38&lt;&gt;"",K38&lt;=1),"Today - eat it now","OK"))))))</f>
        <v>0</v>
      </c>
    </row>
    <row r="39" spans="1:18">
      <c r="A39" s="39">
        <f>IF(B39="","",LeftoverPrefix&amp;TEXT(ROW()-4,"0000"))</f>
        <v>0</v>
      </c>
      <c r="D39" s="17">
        <f>IF(C39="","",IFERROR(INDEX(Recipes!$B$5:$B$204,MATCH(C39,Recipes!$A$5:$A$204,0)),"Not found"))</f>
        <v>0</v>
      </c>
      <c r="I39" s="18">
        <f>IF(G39="","",IF(G39="Freezer",FreezerDays,LeftoverDays))</f>
        <v>0</v>
      </c>
      <c r="J39" s="19">
        <f>IF(OR(E39="",I39=""),"",E39+I39)</f>
        <v>0</v>
      </c>
      <c r="K39" s="18">
        <f>IF(J39="","",J39-TODAY())</f>
        <v>0</v>
      </c>
      <c r="L39" s="25">
        <f>IF(C39="","",IFERROR(INDEX(Recipes!$AD$5:$AD$204,MATCH(C39,Recipes!$A$5:$A$204,0)),"Not found"))</f>
        <v>0</v>
      </c>
      <c r="M39" s="25">
        <f>IF(OR(F39="",L39="",NOT(ISNUMBER(L39))),"",F39*L39)</f>
        <v>0</v>
      </c>
      <c r="P39" s="18">
        <f>IF(OR(B39="",Q39="Eaten",Q39="Binned",NOT(ISNUMBER(K39))),"",COUNTIFS($Q$5:$Q$124,"&lt;&gt;Eaten",$Q$5:$Q$124,"&lt;&gt;Binned",$K$5:$K$124,"&lt;"&amp;K39)+COUNTIFS($Q$5:Q39,"&lt;&gt;Eaten",$Q$5:Q39,"&lt;&gt;Binned",$K$5:K39,K39))</f>
        <v>0</v>
      </c>
      <c r="R39" s="31">
        <f>IF(B39="","",IF(Q39="Eaten","OK - eaten",IF(Q39="Binned","Wasted - log the cost",IF(Q39="Frozen","OK - in the freezer",IF(AND(K39&lt;&gt;"",K39&lt;0),"Expired - check before eating",IF(AND(K39&lt;&gt;"",K39&lt;=1),"Today - eat it now","OK"))))))</f>
        <v>0</v>
      </c>
    </row>
    <row r="40" spans="1:18">
      <c r="A40" s="39">
        <f>IF(B40="","",LeftoverPrefix&amp;TEXT(ROW()-4,"0000"))</f>
        <v>0</v>
      </c>
      <c r="D40" s="17">
        <f>IF(C40="","",IFERROR(INDEX(Recipes!$B$5:$B$204,MATCH(C40,Recipes!$A$5:$A$204,0)),"Not found"))</f>
        <v>0</v>
      </c>
      <c r="I40" s="18">
        <f>IF(G40="","",IF(G40="Freezer",FreezerDays,LeftoverDays))</f>
        <v>0</v>
      </c>
      <c r="J40" s="19">
        <f>IF(OR(E40="",I40=""),"",E40+I40)</f>
        <v>0</v>
      </c>
      <c r="K40" s="18">
        <f>IF(J40="","",J40-TODAY())</f>
        <v>0</v>
      </c>
      <c r="L40" s="25">
        <f>IF(C40="","",IFERROR(INDEX(Recipes!$AD$5:$AD$204,MATCH(C40,Recipes!$A$5:$A$204,0)),"Not found"))</f>
        <v>0</v>
      </c>
      <c r="M40" s="25">
        <f>IF(OR(F40="",L40="",NOT(ISNUMBER(L40))),"",F40*L40)</f>
        <v>0</v>
      </c>
      <c r="P40" s="18">
        <f>IF(OR(B40="",Q40="Eaten",Q40="Binned",NOT(ISNUMBER(K40))),"",COUNTIFS($Q$5:$Q$124,"&lt;&gt;Eaten",$Q$5:$Q$124,"&lt;&gt;Binned",$K$5:$K$124,"&lt;"&amp;K40)+COUNTIFS($Q$5:Q40,"&lt;&gt;Eaten",$Q$5:Q40,"&lt;&gt;Binned",$K$5:K40,K40))</f>
        <v>0</v>
      </c>
      <c r="R40" s="31">
        <f>IF(B40="","",IF(Q40="Eaten","OK - eaten",IF(Q40="Binned","Wasted - log the cost",IF(Q40="Frozen","OK - in the freezer",IF(AND(K40&lt;&gt;"",K40&lt;0),"Expired - check before eating",IF(AND(K40&lt;&gt;"",K40&lt;=1),"Today - eat it now","OK"))))))</f>
        <v>0</v>
      </c>
    </row>
    <row r="41" spans="1:18">
      <c r="A41" s="39">
        <f>IF(B41="","",LeftoverPrefix&amp;TEXT(ROW()-4,"0000"))</f>
        <v>0</v>
      </c>
      <c r="D41" s="17">
        <f>IF(C41="","",IFERROR(INDEX(Recipes!$B$5:$B$204,MATCH(C41,Recipes!$A$5:$A$204,0)),"Not found"))</f>
        <v>0</v>
      </c>
      <c r="I41" s="18">
        <f>IF(G41="","",IF(G41="Freezer",FreezerDays,LeftoverDays))</f>
        <v>0</v>
      </c>
      <c r="J41" s="19">
        <f>IF(OR(E41="",I41=""),"",E41+I41)</f>
        <v>0</v>
      </c>
      <c r="K41" s="18">
        <f>IF(J41="","",J41-TODAY())</f>
        <v>0</v>
      </c>
      <c r="L41" s="25">
        <f>IF(C41="","",IFERROR(INDEX(Recipes!$AD$5:$AD$204,MATCH(C41,Recipes!$A$5:$A$204,0)),"Not found"))</f>
        <v>0</v>
      </c>
      <c r="M41" s="25">
        <f>IF(OR(F41="",L41="",NOT(ISNUMBER(L41))),"",F41*L41)</f>
        <v>0</v>
      </c>
      <c r="P41" s="18">
        <f>IF(OR(B41="",Q41="Eaten",Q41="Binned",NOT(ISNUMBER(K41))),"",COUNTIFS($Q$5:$Q$124,"&lt;&gt;Eaten",$Q$5:$Q$124,"&lt;&gt;Binned",$K$5:$K$124,"&lt;"&amp;K41)+COUNTIFS($Q$5:Q41,"&lt;&gt;Eaten",$Q$5:Q41,"&lt;&gt;Binned",$K$5:K41,K41))</f>
        <v>0</v>
      </c>
      <c r="R41" s="31">
        <f>IF(B41="","",IF(Q41="Eaten","OK - eaten",IF(Q41="Binned","Wasted - log the cost",IF(Q41="Frozen","OK - in the freezer",IF(AND(K41&lt;&gt;"",K41&lt;0),"Expired - check before eating",IF(AND(K41&lt;&gt;"",K41&lt;=1),"Today - eat it now","OK"))))))</f>
        <v>0</v>
      </c>
    </row>
    <row r="42" spans="1:18">
      <c r="A42" s="39">
        <f>IF(B42="","",LeftoverPrefix&amp;TEXT(ROW()-4,"0000"))</f>
        <v>0</v>
      </c>
      <c r="D42" s="17">
        <f>IF(C42="","",IFERROR(INDEX(Recipes!$B$5:$B$204,MATCH(C42,Recipes!$A$5:$A$204,0)),"Not found"))</f>
        <v>0</v>
      </c>
      <c r="I42" s="18">
        <f>IF(G42="","",IF(G42="Freezer",FreezerDays,LeftoverDays))</f>
        <v>0</v>
      </c>
      <c r="J42" s="19">
        <f>IF(OR(E42="",I42=""),"",E42+I42)</f>
        <v>0</v>
      </c>
      <c r="K42" s="18">
        <f>IF(J42="","",J42-TODAY())</f>
        <v>0</v>
      </c>
      <c r="L42" s="25">
        <f>IF(C42="","",IFERROR(INDEX(Recipes!$AD$5:$AD$204,MATCH(C42,Recipes!$A$5:$A$204,0)),"Not found"))</f>
        <v>0</v>
      </c>
      <c r="M42" s="25">
        <f>IF(OR(F42="",L42="",NOT(ISNUMBER(L42))),"",F42*L42)</f>
        <v>0</v>
      </c>
      <c r="P42" s="18">
        <f>IF(OR(B42="",Q42="Eaten",Q42="Binned",NOT(ISNUMBER(K42))),"",COUNTIFS($Q$5:$Q$124,"&lt;&gt;Eaten",$Q$5:$Q$124,"&lt;&gt;Binned",$K$5:$K$124,"&lt;"&amp;K42)+COUNTIFS($Q$5:Q42,"&lt;&gt;Eaten",$Q$5:Q42,"&lt;&gt;Binned",$K$5:K42,K42))</f>
        <v>0</v>
      </c>
      <c r="R42" s="31">
        <f>IF(B42="","",IF(Q42="Eaten","OK - eaten",IF(Q42="Binned","Wasted - log the cost",IF(Q42="Frozen","OK - in the freezer",IF(AND(K42&lt;&gt;"",K42&lt;0),"Expired - check before eating",IF(AND(K42&lt;&gt;"",K42&lt;=1),"Today - eat it now","OK"))))))</f>
        <v>0</v>
      </c>
    </row>
    <row r="43" spans="1:18">
      <c r="A43" s="39">
        <f>IF(B43="","",LeftoverPrefix&amp;TEXT(ROW()-4,"0000"))</f>
        <v>0</v>
      </c>
      <c r="D43" s="17">
        <f>IF(C43="","",IFERROR(INDEX(Recipes!$B$5:$B$204,MATCH(C43,Recipes!$A$5:$A$204,0)),"Not found"))</f>
        <v>0</v>
      </c>
      <c r="I43" s="18">
        <f>IF(G43="","",IF(G43="Freezer",FreezerDays,LeftoverDays))</f>
        <v>0</v>
      </c>
      <c r="J43" s="19">
        <f>IF(OR(E43="",I43=""),"",E43+I43)</f>
        <v>0</v>
      </c>
      <c r="K43" s="18">
        <f>IF(J43="","",J43-TODAY())</f>
        <v>0</v>
      </c>
      <c r="L43" s="25">
        <f>IF(C43="","",IFERROR(INDEX(Recipes!$AD$5:$AD$204,MATCH(C43,Recipes!$A$5:$A$204,0)),"Not found"))</f>
        <v>0</v>
      </c>
      <c r="M43" s="25">
        <f>IF(OR(F43="",L43="",NOT(ISNUMBER(L43))),"",F43*L43)</f>
        <v>0</v>
      </c>
      <c r="P43" s="18">
        <f>IF(OR(B43="",Q43="Eaten",Q43="Binned",NOT(ISNUMBER(K43))),"",COUNTIFS($Q$5:$Q$124,"&lt;&gt;Eaten",$Q$5:$Q$124,"&lt;&gt;Binned",$K$5:$K$124,"&lt;"&amp;K43)+COUNTIFS($Q$5:Q43,"&lt;&gt;Eaten",$Q$5:Q43,"&lt;&gt;Binned",$K$5:K43,K43))</f>
        <v>0</v>
      </c>
      <c r="R43" s="31">
        <f>IF(B43="","",IF(Q43="Eaten","OK - eaten",IF(Q43="Binned","Wasted - log the cost",IF(Q43="Frozen","OK - in the freezer",IF(AND(K43&lt;&gt;"",K43&lt;0),"Expired - check before eating",IF(AND(K43&lt;&gt;"",K43&lt;=1),"Today - eat it now","OK"))))))</f>
        <v>0</v>
      </c>
    </row>
    <row r="44" spans="1:18">
      <c r="A44" s="39">
        <f>IF(B44="","",LeftoverPrefix&amp;TEXT(ROW()-4,"0000"))</f>
        <v>0</v>
      </c>
      <c r="D44" s="17">
        <f>IF(C44="","",IFERROR(INDEX(Recipes!$B$5:$B$204,MATCH(C44,Recipes!$A$5:$A$204,0)),"Not found"))</f>
        <v>0</v>
      </c>
      <c r="I44" s="18">
        <f>IF(G44="","",IF(G44="Freezer",FreezerDays,LeftoverDays))</f>
        <v>0</v>
      </c>
      <c r="J44" s="19">
        <f>IF(OR(E44="",I44=""),"",E44+I44)</f>
        <v>0</v>
      </c>
      <c r="K44" s="18">
        <f>IF(J44="","",J44-TODAY())</f>
        <v>0</v>
      </c>
      <c r="L44" s="25">
        <f>IF(C44="","",IFERROR(INDEX(Recipes!$AD$5:$AD$204,MATCH(C44,Recipes!$A$5:$A$204,0)),"Not found"))</f>
        <v>0</v>
      </c>
      <c r="M44" s="25">
        <f>IF(OR(F44="",L44="",NOT(ISNUMBER(L44))),"",F44*L44)</f>
        <v>0</v>
      </c>
      <c r="P44" s="18">
        <f>IF(OR(B44="",Q44="Eaten",Q44="Binned",NOT(ISNUMBER(K44))),"",COUNTIFS($Q$5:$Q$124,"&lt;&gt;Eaten",$Q$5:$Q$124,"&lt;&gt;Binned",$K$5:$K$124,"&lt;"&amp;K44)+COUNTIFS($Q$5:Q44,"&lt;&gt;Eaten",$Q$5:Q44,"&lt;&gt;Binned",$K$5:K44,K44))</f>
        <v>0</v>
      </c>
      <c r="R44" s="31">
        <f>IF(B44="","",IF(Q44="Eaten","OK - eaten",IF(Q44="Binned","Wasted - log the cost",IF(Q44="Frozen","OK - in the freezer",IF(AND(K44&lt;&gt;"",K44&lt;0),"Expired - check before eating",IF(AND(K44&lt;&gt;"",K44&lt;=1),"Today - eat it now","OK"))))))</f>
        <v>0</v>
      </c>
    </row>
    <row r="45" spans="1:18">
      <c r="A45" s="39">
        <f>IF(B45="","",LeftoverPrefix&amp;TEXT(ROW()-4,"0000"))</f>
        <v>0</v>
      </c>
      <c r="D45" s="17">
        <f>IF(C45="","",IFERROR(INDEX(Recipes!$B$5:$B$204,MATCH(C45,Recipes!$A$5:$A$204,0)),"Not found"))</f>
        <v>0</v>
      </c>
      <c r="I45" s="18">
        <f>IF(G45="","",IF(G45="Freezer",FreezerDays,LeftoverDays))</f>
        <v>0</v>
      </c>
      <c r="J45" s="19">
        <f>IF(OR(E45="",I45=""),"",E45+I45)</f>
        <v>0</v>
      </c>
      <c r="K45" s="18">
        <f>IF(J45="","",J45-TODAY())</f>
        <v>0</v>
      </c>
      <c r="L45" s="25">
        <f>IF(C45="","",IFERROR(INDEX(Recipes!$AD$5:$AD$204,MATCH(C45,Recipes!$A$5:$A$204,0)),"Not found"))</f>
        <v>0</v>
      </c>
      <c r="M45" s="25">
        <f>IF(OR(F45="",L45="",NOT(ISNUMBER(L45))),"",F45*L45)</f>
        <v>0</v>
      </c>
      <c r="P45" s="18">
        <f>IF(OR(B45="",Q45="Eaten",Q45="Binned",NOT(ISNUMBER(K45))),"",COUNTIFS($Q$5:$Q$124,"&lt;&gt;Eaten",$Q$5:$Q$124,"&lt;&gt;Binned",$K$5:$K$124,"&lt;"&amp;K45)+COUNTIFS($Q$5:Q45,"&lt;&gt;Eaten",$Q$5:Q45,"&lt;&gt;Binned",$K$5:K45,K45))</f>
        <v>0</v>
      </c>
      <c r="R45" s="31">
        <f>IF(B45="","",IF(Q45="Eaten","OK - eaten",IF(Q45="Binned","Wasted - log the cost",IF(Q45="Frozen","OK - in the freezer",IF(AND(K45&lt;&gt;"",K45&lt;0),"Expired - check before eating",IF(AND(K45&lt;&gt;"",K45&lt;=1),"Today - eat it now","OK"))))))</f>
        <v>0</v>
      </c>
    </row>
    <row r="46" spans="1:18">
      <c r="A46" s="39">
        <f>IF(B46="","",LeftoverPrefix&amp;TEXT(ROW()-4,"0000"))</f>
        <v>0</v>
      </c>
      <c r="D46" s="17">
        <f>IF(C46="","",IFERROR(INDEX(Recipes!$B$5:$B$204,MATCH(C46,Recipes!$A$5:$A$204,0)),"Not found"))</f>
        <v>0</v>
      </c>
      <c r="I46" s="18">
        <f>IF(G46="","",IF(G46="Freezer",FreezerDays,LeftoverDays))</f>
        <v>0</v>
      </c>
      <c r="J46" s="19">
        <f>IF(OR(E46="",I46=""),"",E46+I46)</f>
        <v>0</v>
      </c>
      <c r="K46" s="18">
        <f>IF(J46="","",J46-TODAY())</f>
        <v>0</v>
      </c>
      <c r="L46" s="25">
        <f>IF(C46="","",IFERROR(INDEX(Recipes!$AD$5:$AD$204,MATCH(C46,Recipes!$A$5:$A$204,0)),"Not found"))</f>
        <v>0</v>
      </c>
      <c r="M46" s="25">
        <f>IF(OR(F46="",L46="",NOT(ISNUMBER(L46))),"",F46*L46)</f>
        <v>0</v>
      </c>
      <c r="P46" s="18">
        <f>IF(OR(B46="",Q46="Eaten",Q46="Binned",NOT(ISNUMBER(K46))),"",COUNTIFS($Q$5:$Q$124,"&lt;&gt;Eaten",$Q$5:$Q$124,"&lt;&gt;Binned",$K$5:$K$124,"&lt;"&amp;K46)+COUNTIFS($Q$5:Q46,"&lt;&gt;Eaten",$Q$5:Q46,"&lt;&gt;Binned",$K$5:K46,K46))</f>
        <v>0</v>
      </c>
      <c r="R46" s="31">
        <f>IF(B46="","",IF(Q46="Eaten","OK - eaten",IF(Q46="Binned","Wasted - log the cost",IF(Q46="Frozen","OK - in the freezer",IF(AND(K46&lt;&gt;"",K46&lt;0),"Expired - check before eating",IF(AND(K46&lt;&gt;"",K46&lt;=1),"Today - eat it now","OK"))))))</f>
        <v>0</v>
      </c>
    </row>
    <row r="47" spans="1:18">
      <c r="A47" s="39">
        <f>IF(B47="","",LeftoverPrefix&amp;TEXT(ROW()-4,"0000"))</f>
        <v>0</v>
      </c>
      <c r="D47" s="17">
        <f>IF(C47="","",IFERROR(INDEX(Recipes!$B$5:$B$204,MATCH(C47,Recipes!$A$5:$A$204,0)),"Not found"))</f>
        <v>0</v>
      </c>
      <c r="I47" s="18">
        <f>IF(G47="","",IF(G47="Freezer",FreezerDays,LeftoverDays))</f>
        <v>0</v>
      </c>
      <c r="J47" s="19">
        <f>IF(OR(E47="",I47=""),"",E47+I47)</f>
        <v>0</v>
      </c>
      <c r="K47" s="18">
        <f>IF(J47="","",J47-TODAY())</f>
        <v>0</v>
      </c>
      <c r="L47" s="25">
        <f>IF(C47="","",IFERROR(INDEX(Recipes!$AD$5:$AD$204,MATCH(C47,Recipes!$A$5:$A$204,0)),"Not found"))</f>
        <v>0</v>
      </c>
      <c r="M47" s="25">
        <f>IF(OR(F47="",L47="",NOT(ISNUMBER(L47))),"",F47*L47)</f>
        <v>0</v>
      </c>
      <c r="P47" s="18">
        <f>IF(OR(B47="",Q47="Eaten",Q47="Binned",NOT(ISNUMBER(K47))),"",COUNTIFS($Q$5:$Q$124,"&lt;&gt;Eaten",$Q$5:$Q$124,"&lt;&gt;Binned",$K$5:$K$124,"&lt;"&amp;K47)+COUNTIFS($Q$5:Q47,"&lt;&gt;Eaten",$Q$5:Q47,"&lt;&gt;Binned",$K$5:K47,K47))</f>
        <v>0</v>
      </c>
      <c r="R47" s="31">
        <f>IF(B47="","",IF(Q47="Eaten","OK - eaten",IF(Q47="Binned","Wasted - log the cost",IF(Q47="Frozen","OK - in the freezer",IF(AND(K47&lt;&gt;"",K47&lt;0),"Expired - check before eating",IF(AND(K47&lt;&gt;"",K47&lt;=1),"Today - eat it now","OK"))))))</f>
        <v>0</v>
      </c>
    </row>
    <row r="48" spans="1:18">
      <c r="A48" s="39">
        <f>IF(B48="","",LeftoverPrefix&amp;TEXT(ROW()-4,"0000"))</f>
        <v>0</v>
      </c>
      <c r="D48" s="17">
        <f>IF(C48="","",IFERROR(INDEX(Recipes!$B$5:$B$204,MATCH(C48,Recipes!$A$5:$A$204,0)),"Not found"))</f>
        <v>0</v>
      </c>
      <c r="I48" s="18">
        <f>IF(G48="","",IF(G48="Freezer",FreezerDays,LeftoverDays))</f>
        <v>0</v>
      </c>
      <c r="J48" s="19">
        <f>IF(OR(E48="",I48=""),"",E48+I48)</f>
        <v>0</v>
      </c>
      <c r="K48" s="18">
        <f>IF(J48="","",J48-TODAY())</f>
        <v>0</v>
      </c>
      <c r="L48" s="25">
        <f>IF(C48="","",IFERROR(INDEX(Recipes!$AD$5:$AD$204,MATCH(C48,Recipes!$A$5:$A$204,0)),"Not found"))</f>
        <v>0</v>
      </c>
      <c r="M48" s="25">
        <f>IF(OR(F48="",L48="",NOT(ISNUMBER(L48))),"",F48*L48)</f>
        <v>0</v>
      </c>
      <c r="P48" s="18">
        <f>IF(OR(B48="",Q48="Eaten",Q48="Binned",NOT(ISNUMBER(K48))),"",COUNTIFS($Q$5:$Q$124,"&lt;&gt;Eaten",$Q$5:$Q$124,"&lt;&gt;Binned",$K$5:$K$124,"&lt;"&amp;K48)+COUNTIFS($Q$5:Q48,"&lt;&gt;Eaten",$Q$5:Q48,"&lt;&gt;Binned",$K$5:K48,K48))</f>
        <v>0</v>
      </c>
      <c r="R48" s="31">
        <f>IF(B48="","",IF(Q48="Eaten","OK - eaten",IF(Q48="Binned","Wasted - log the cost",IF(Q48="Frozen","OK - in the freezer",IF(AND(K48&lt;&gt;"",K48&lt;0),"Expired - check before eating",IF(AND(K48&lt;&gt;"",K48&lt;=1),"Today - eat it now","OK"))))))</f>
        <v>0</v>
      </c>
    </row>
    <row r="49" spans="1:18">
      <c r="A49" s="39">
        <f>IF(B49="","",LeftoverPrefix&amp;TEXT(ROW()-4,"0000"))</f>
        <v>0</v>
      </c>
      <c r="D49" s="17">
        <f>IF(C49="","",IFERROR(INDEX(Recipes!$B$5:$B$204,MATCH(C49,Recipes!$A$5:$A$204,0)),"Not found"))</f>
        <v>0</v>
      </c>
      <c r="I49" s="18">
        <f>IF(G49="","",IF(G49="Freezer",FreezerDays,LeftoverDays))</f>
        <v>0</v>
      </c>
      <c r="J49" s="19">
        <f>IF(OR(E49="",I49=""),"",E49+I49)</f>
        <v>0</v>
      </c>
      <c r="K49" s="18">
        <f>IF(J49="","",J49-TODAY())</f>
        <v>0</v>
      </c>
      <c r="L49" s="25">
        <f>IF(C49="","",IFERROR(INDEX(Recipes!$AD$5:$AD$204,MATCH(C49,Recipes!$A$5:$A$204,0)),"Not found"))</f>
        <v>0</v>
      </c>
      <c r="M49" s="25">
        <f>IF(OR(F49="",L49="",NOT(ISNUMBER(L49))),"",F49*L49)</f>
        <v>0</v>
      </c>
      <c r="P49" s="18">
        <f>IF(OR(B49="",Q49="Eaten",Q49="Binned",NOT(ISNUMBER(K49))),"",COUNTIFS($Q$5:$Q$124,"&lt;&gt;Eaten",$Q$5:$Q$124,"&lt;&gt;Binned",$K$5:$K$124,"&lt;"&amp;K49)+COUNTIFS($Q$5:Q49,"&lt;&gt;Eaten",$Q$5:Q49,"&lt;&gt;Binned",$K$5:K49,K49))</f>
        <v>0</v>
      </c>
      <c r="R49" s="31">
        <f>IF(B49="","",IF(Q49="Eaten","OK - eaten",IF(Q49="Binned","Wasted - log the cost",IF(Q49="Frozen","OK - in the freezer",IF(AND(K49&lt;&gt;"",K49&lt;0),"Expired - check before eating",IF(AND(K49&lt;&gt;"",K49&lt;=1),"Today - eat it now","OK"))))))</f>
        <v>0</v>
      </c>
    </row>
    <row r="50" spans="1:18">
      <c r="A50" s="39">
        <f>IF(B50="","",LeftoverPrefix&amp;TEXT(ROW()-4,"0000"))</f>
        <v>0</v>
      </c>
      <c r="D50" s="17">
        <f>IF(C50="","",IFERROR(INDEX(Recipes!$B$5:$B$204,MATCH(C50,Recipes!$A$5:$A$204,0)),"Not found"))</f>
        <v>0</v>
      </c>
      <c r="I50" s="18">
        <f>IF(G50="","",IF(G50="Freezer",FreezerDays,LeftoverDays))</f>
        <v>0</v>
      </c>
      <c r="J50" s="19">
        <f>IF(OR(E50="",I50=""),"",E50+I50)</f>
        <v>0</v>
      </c>
      <c r="K50" s="18">
        <f>IF(J50="","",J50-TODAY())</f>
        <v>0</v>
      </c>
      <c r="L50" s="25">
        <f>IF(C50="","",IFERROR(INDEX(Recipes!$AD$5:$AD$204,MATCH(C50,Recipes!$A$5:$A$204,0)),"Not found"))</f>
        <v>0</v>
      </c>
      <c r="M50" s="25">
        <f>IF(OR(F50="",L50="",NOT(ISNUMBER(L50))),"",F50*L50)</f>
        <v>0</v>
      </c>
      <c r="P50" s="18">
        <f>IF(OR(B50="",Q50="Eaten",Q50="Binned",NOT(ISNUMBER(K50))),"",COUNTIFS($Q$5:$Q$124,"&lt;&gt;Eaten",$Q$5:$Q$124,"&lt;&gt;Binned",$K$5:$K$124,"&lt;"&amp;K50)+COUNTIFS($Q$5:Q50,"&lt;&gt;Eaten",$Q$5:Q50,"&lt;&gt;Binned",$K$5:K50,K50))</f>
        <v>0</v>
      </c>
      <c r="R50" s="31">
        <f>IF(B50="","",IF(Q50="Eaten","OK - eaten",IF(Q50="Binned","Wasted - log the cost",IF(Q50="Frozen","OK - in the freezer",IF(AND(K50&lt;&gt;"",K50&lt;0),"Expired - check before eating",IF(AND(K50&lt;&gt;"",K50&lt;=1),"Today - eat it now","OK"))))))</f>
        <v>0</v>
      </c>
    </row>
    <row r="51" spans="1:18">
      <c r="A51" s="39">
        <f>IF(B51="","",LeftoverPrefix&amp;TEXT(ROW()-4,"0000"))</f>
        <v>0</v>
      </c>
      <c r="D51" s="17">
        <f>IF(C51="","",IFERROR(INDEX(Recipes!$B$5:$B$204,MATCH(C51,Recipes!$A$5:$A$204,0)),"Not found"))</f>
        <v>0</v>
      </c>
      <c r="I51" s="18">
        <f>IF(G51="","",IF(G51="Freezer",FreezerDays,LeftoverDays))</f>
        <v>0</v>
      </c>
      <c r="J51" s="19">
        <f>IF(OR(E51="",I51=""),"",E51+I51)</f>
        <v>0</v>
      </c>
      <c r="K51" s="18">
        <f>IF(J51="","",J51-TODAY())</f>
        <v>0</v>
      </c>
      <c r="L51" s="25">
        <f>IF(C51="","",IFERROR(INDEX(Recipes!$AD$5:$AD$204,MATCH(C51,Recipes!$A$5:$A$204,0)),"Not found"))</f>
        <v>0</v>
      </c>
      <c r="M51" s="25">
        <f>IF(OR(F51="",L51="",NOT(ISNUMBER(L51))),"",F51*L51)</f>
        <v>0</v>
      </c>
      <c r="P51" s="18">
        <f>IF(OR(B51="",Q51="Eaten",Q51="Binned",NOT(ISNUMBER(K51))),"",COUNTIFS($Q$5:$Q$124,"&lt;&gt;Eaten",$Q$5:$Q$124,"&lt;&gt;Binned",$K$5:$K$124,"&lt;"&amp;K51)+COUNTIFS($Q$5:Q51,"&lt;&gt;Eaten",$Q$5:Q51,"&lt;&gt;Binned",$K$5:K51,K51))</f>
        <v>0</v>
      </c>
      <c r="R51" s="31">
        <f>IF(B51="","",IF(Q51="Eaten","OK - eaten",IF(Q51="Binned","Wasted - log the cost",IF(Q51="Frozen","OK - in the freezer",IF(AND(K51&lt;&gt;"",K51&lt;0),"Expired - check before eating",IF(AND(K51&lt;&gt;"",K51&lt;=1),"Today - eat it now","OK"))))))</f>
        <v>0</v>
      </c>
    </row>
    <row r="52" spans="1:18">
      <c r="A52" s="39">
        <f>IF(B52="","",LeftoverPrefix&amp;TEXT(ROW()-4,"0000"))</f>
        <v>0</v>
      </c>
      <c r="D52" s="17">
        <f>IF(C52="","",IFERROR(INDEX(Recipes!$B$5:$B$204,MATCH(C52,Recipes!$A$5:$A$204,0)),"Not found"))</f>
        <v>0</v>
      </c>
      <c r="I52" s="18">
        <f>IF(G52="","",IF(G52="Freezer",FreezerDays,LeftoverDays))</f>
        <v>0</v>
      </c>
      <c r="J52" s="19">
        <f>IF(OR(E52="",I52=""),"",E52+I52)</f>
        <v>0</v>
      </c>
      <c r="K52" s="18">
        <f>IF(J52="","",J52-TODAY())</f>
        <v>0</v>
      </c>
      <c r="L52" s="25">
        <f>IF(C52="","",IFERROR(INDEX(Recipes!$AD$5:$AD$204,MATCH(C52,Recipes!$A$5:$A$204,0)),"Not found"))</f>
        <v>0</v>
      </c>
      <c r="M52" s="25">
        <f>IF(OR(F52="",L52="",NOT(ISNUMBER(L52))),"",F52*L52)</f>
        <v>0</v>
      </c>
      <c r="P52" s="18">
        <f>IF(OR(B52="",Q52="Eaten",Q52="Binned",NOT(ISNUMBER(K52))),"",COUNTIFS($Q$5:$Q$124,"&lt;&gt;Eaten",$Q$5:$Q$124,"&lt;&gt;Binned",$K$5:$K$124,"&lt;"&amp;K52)+COUNTIFS($Q$5:Q52,"&lt;&gt;Eaten",$Q$5:Q52,"&lt;&gt;Binned",$K$5:K52,K52))</f>
        <v>0</v>
      </c>
      <c r="R52" s="31">
        <f>IF(B52="","",IF(Q52="Eaten","OK - eaten",IF(Q52="Binned","Wasted - log the cost",IF(Q52="Frozen","OK - in the freezer",IF(AND(K52&lt;&gt;"",K52&lt;0),"Expired - check before eating",IF(AND(K52&lt;&gt;"",K52&lt;=1),"Today - eat it now","OK"))))))</f>
        <v>0</v>
      </c>
    </row>
    <row r="53" spans="1:18">
      <c r="A53" s="39">
        <f>IF(B53="","",LeftoverPrefix&amp;TEXT(ROW()-4,"0000"))</f>
        <v>0</v>
      </c>
      <c r="D53" s="17">
        <f>IF(C53="","",IFERROR(INDEX(Recipes!$B$5:$B$204,MATCH(C53,Recipes!$A$5:$A$204,0)),"Not found"))</f>
        <v>0</v>
      </c>
      <c r="I53" s="18">
        <f>IF(G53="","",IF(G53="Freezer",FreezerDays,LeftoverDays))</f>
        <v>0</v>
      </c>
      <c r="J53" s="19">
        <f>IF(OR(E53="",I53=""),"",E53+I53)</f>
        <v>0</v>
      </c>
      <c r="K53" s="18">
        <f>IF(J53="","",J53-TODAY())</f>
        <v>0</v>
      </c>
      <c r="L53" s="25">
        <f>IF(C53="","",IFERROR(INDEX(Recipes!$AD$5:$AD$204,MATCH(C53,Recipes!$A$5:$A$204,0)),"Not found"))</f>
        <v>0</v>
      </c>
      <c r="M53" s="25">
        <f>IF(OR(F53="",L53="",NOT(ISNUMBER(L53))),"",F53*L53)</f>
        <v>0</v>
      </c>
      <c r="P53" s="18">
        <f>IF(OR(B53="",Q53="Eaten",Q53="Binned",NOT(ISNUMBER(K53))),"",COUNTIFS($Q$5:$Q$124,"&lt;&gt;Eaten",$Q$5:$Q$124,"&lt;&gt;Binned",$K$5:$K$124,"&lt;"&amp;K53)+COUNTIFS($Q$5:Q53,"&lt;&gt;Eaten",$Q$5:Q53,"&lt;&gt;Binned",$K$5:K53,K53))</f>
        <v>0</v>
      </c>
      <c r="R53" s="31">
        <f>IF(B53="","",IF(Q53="Eaten","OK - eaten",IF(Q53="Binned","Wasted - log the cost",IF(Q53="Frozen","OK - in the freezer",IF(AND(K53&lt;&gt;"",K53&lt;0),"Expired - check before eating",IF(AND(K53&lt;&gt;"",K53&lt;=1),"Today - eat it now","OK"))))))</f>
        <v>0</v>
      </c>
    </row>
    <row r="54" spans="1:18">
      <c r="A54" s="39">
        <f>IF(B54="","",LeftoverPrefix&amp;TEXT(ROW()-4,"0000"))</f>
        <v>0</v>
      </c>
      <c r="D54" s="17">
        <f>IF(C54="","",IFERROR(INDEX(Recipes!$B$5:$B$204,MATCH(C54,Recipes!$A$5:$A$204,0)),"Not found"))</f>
        <v>0</v>
      </c>
      <c r="I54" s="18">
        <f>IF(G54="","",IF(G54="Freezer",FreezerDays,LeftoverDays))</f>
        <v>0</v>
      </c>
      <c r="J54" s="19">
        <f>IF(OR(E54="",I54=""),"",E54+I54)</f>
        <v>0</v>
      </c>
      <c r="K54" s="18">
        <f>IF(J54="","",J54-TODAY())</f>
        <v>0</v>
      </c>
      <c r="L54" s="25">
        <f>IF(C54="","",IFERROR(INDEX(Recipes!$AD$5:$AD$204,MATCH(C54,Recipes!$A$5:$A$204,0)),"Not found"))</f>
        <v>0</v>
      </c>
      <c r="M54" s="25">
        <f>IF(OR(F54="",L54="",NOT(ISNUMBER(L54))),"",F54*L54)</f>
        <v>0</v>
      </c>
      <c r="P54" s="18">
        <f>IF(OR(B54="",Q54="Eaten",Q54="Binned",NOT(ISNUMBER(K54))),"",COUNTIFS($Q$5:$Q$124,"&lt;&gt;Eaten",$Q$5:$Q$124,"&lt;&gt;Binned",$K$5:$K$124,"&lt;"&amp;K54)+COUNTIFS($Q$5:Q54,"&lt;&gt;Eaten",$Q$5:Q54,"&lt;&gt;Binned",$K$5:K54,K54))</f>
        <v>0</v>
      </c>
      <c r="R54" s="31">
        <f>IF(B54="","",IF(Q54="Eaten","OK - eaten",IF(Q54="Binned","Wasted - log the cost",IF(Q54="Frozen","OK - in the freezer",IF(AND(K54&lt;&gt;"",K54&lt;0),"Expired - check before eating",IF(AND(K54&lt;&gt;"",K54&lt;=1),"Today - eat it now","OK"))))))</f>
        <v>0</v>
      </c>
    </row>
    <row r="55" spans="1:18">
      <c r="A55" s="39">
        <f>IF(B55="","",LeftoverPrefix&amp;TEXT(ROW()-4,"0000"))</f>
        <v>0</v>
      </c>
      <c r="D55" s="17">
        <f>IF(C55="","",IFERROR(INDEX(Recipes!$B$5:$B$204,MATCH(C55,Recipes!$A$5:$A$204,0)),"Not found"))</f>
        <v>0</v>
      </c>
      <c r="I55" s="18">
        <f>IF(G55="","",IF(G55="Freezer",FreezerDays,LeftoverDays))</f>
        <v>0</v>
      </c>
      <c r="J55" s="19">
        <f>IF(OR(E55="",I55=""),"",E55+I55)</f>
        <v>0</v>
      </c>
      <c r="K55" s="18">
        <f>IF(J55="","",J55-TODAY())</f>
        <v>0</v>
      </c>
      <c r="L55" s="25">
        <f>IF(C55="","",IFERROR(INDEX(Recipes!$AD$5:$AD$204,MATCH(C55,Recipes!$A$5:$A$204,0)),"Not found"))</f>
        <v>0</v>
      </c>
      <c r="M55" s="25">
        <f>IF(OR(F55="",L55="",NOT(ISNUMBER(L55))),"",F55*L55)</f>
        <v>0</v>
      </c>
      <c r="P55" s="18">
        <f>IF(OR(B55="",Q55="Eaten",Q55="Binned",NOT(ISNUMBER(K55))),"",COUNTIFS($Q$5:$Q$124,"&lt;&gt;Eaten",$Q$5:$Q$124,"&lt;&gt;Binned",$K$5:$K$124,"&lt;"&amp;K55)+COUNTIFS($Q$5:Q55,"&lt;&gt;Eaten",$Q$5:Q55,"&lt;&gt;Binned",$K$5:K55,K55))</f>
        <v>0</v>
      </c>
      <c r="R55" s="31">
        <f>IF(B55="","",IF(Q55="Eaten","OK - eaten",IF(Q55="Binned","Wasted - log the cost",IF(Q55="Frozen","OK - in the freezer",IF(AND(K55&lt;&gt;"",K55&lt;0),"Expired - check before eating",IF(AND(K55&lt;&gt;"",K55&lt;=1),"Today - eat it now","OK"))))))</f>
        <v>0</v>
      </c>
    </row>
    <row r="56" spans="1:18">
      <c r="A56" s="39">
        <f>IF(B56="","",LeftoverPrefix&amp;TEXT(ROW()-4,"0000"))</f>
        <v>0</v>
      </c>
      <c r="D56" s="17">
        <f>IF(C56="","",IFERROR(INDEX(Recipes!$B$5:$B$204,MATCH(C56,Recipes!$A$5:$A$204,0)),"Not found"))</f>
        <v>0</v>
      </c>
      <c r="I56" s="18">
        <f>IF(G56="","",IF(G56="Freezer",FreezerDays,LeftoverDays))</f>
        <v>0</v>
      </c>
      <c r="J56" s="19">
        <f>IF(OR(E56="",I56=""),"",E56+I56)</f>
        <v>0</v>
      </c>
      <c r="K56" s="18">
        <f>IF(J56="","",J56-TODAY())</f>
        <v>0</v>
      </c>
      <c r="L56" s="25">
        <f>IF(C56="","",IFERROR(INDEX(Recipes!$AD$5:$AD$204,MATCH(C56,Recipes!$A$5:$A$204,0)),"Not found"))</f>
        <v>0</v>
      </c>
      <c r="M56" s="25">
        <f>IF(OR(F56="",L56="",NOT(ISNUMBER(L56))),"",F56*L56)</f>
        <v>0</v>
      </c>
      <c r="P56" s="18">
        <f>IF(OR(B56="",Q56="Eaten",Q56="Binned",NOT(ISNUMBER(K56))),"",COUNTIFS($Q$5:$Q$124,"&lt;&gt;Eaten",$Q$5:$Q$124,"&lt;&gt;Binned",$K$5:$K$124,"&lt;"&amp;K56)+COUNTIFS($Q$5:Q56,"&lt;&gt;Eaten",$Q$5:Q56,"&lt;&gt;Binned",$K$5:K56,K56))</f>
        <v>0</v>
      </c>
      <c r="R56" s="31">
        <f>IF(B56="","",IF(Q56="Eaten","OK - eaten",IF(Q56="Binned","Wasted - log the cost",IF(Q56="Frozen","OK - in the freezer",IF(AND(K56&lt;&gt;"",K56&lt;0),"Expired - check before eating",IF(AND(K56&lt;&gt;"",K56&lt;=1),"Today - eat it now","OK"))))))</f>
        <v>0</v>
      </c>
    </row>
    <row r="57" spans="1:18">
      <c r="A57" s="39">
        <f>IF(B57="","",LeftoverPrefix&amp;TEXT(ROW()-4,"0000"))</f>
        <v>0</v>
      </c>
      <c r="D57" s="17">
        <f>IF(C57="","",IFERROR(INDEX(Recipes!$B$5:$B$204,MATCH(C57,Recipes!$A$5:$A$204,0)),"Not found"))</f>
        <v>0</v>
      </c>
      <c r="I57" s="18">
        <f>IF(G57="","",IF(G57="Freezer",FreezerDays,LeftoverDays))</f>
        <v>0</v>
      </c>
      <c r="J57" s="19">
        <f>IF(OR(E57="",I57=""),"",E57+I57)</f>
        <v>0</v>
      </c>
      <c r="K57" s="18">
        <f>IF(J57="","",J57-TODAY())</f>
        <v>0</v>
      </c>
      <c r="L57" s="25">
        <f>IF(C57="","",IFERROR(INDEX(Recipes!$AD$5:$AD$204,MATCH(C57,Recipes!$A$5:$A$204,0)),"Not found"))</f>
        <v>0</v>
      </c>
      <c r="M57" s="25">
        <f>IF(OR(F57="",L57="",NOT(ISNUMBER(L57))),"",F57*L57)</f>
        <v>0</v>
      </c>
      <c r="P57" s="18">
        <f>IF(OR(B57="",Q57="Eaten",Q57="Binned",NOT(ISNUMBER(K57))),"",COUNTIFS($Q$5:$Q$124,"&lt;&gt;Eaten",$Q$5:$Q$124,"&lt;&gt;Binned",$K$5:$K$124,"&lt;"&amp;K57)+COUNTIFS($Q$5:Q57,"&lt;&gt;Eaten",$Q$5:Q57,"&lt;&gt;Binned",$K$5:K57,K57))</f>
        <v>0</v>
      </c>
      <c r="R57" s="31">
        <f>IF(B57="","",IF(Q57="Eaten","OK - eaten",IF(Q57="Binned","Wasted - log the cost",IF(Q57="Frozen","OK - in the freezer",IF(AND(K57&lt;&gt;"",K57&lt;0),"Expired - check before eating",IF(AND(K57&lt;&gt;"",K57&lt;=1),"Today - eat it now","OK"))))))</f>
        <v>0</v>
      </c>
    </row>
    <row r="58" spans="1:18">
      <c r="A58" s="39">
        <f>IF(B58="","",LeftoverPrefix&amp;TEXT(ROW()-4,"0000"))</f>
        <v>0</v>
      </c>
      <c r="D58" s="17">
        <f>IF(C58="","",IFERROR(INDEX(Recipes!$B$5:$B$204,MATCH(C58,Recipes!$A$5:$A$204,0)),"Not found"))</f>
        <v>0</v>
      </c>
      <c r="I58" s="18">
        <f>IF(G58="","",IF(G58="Freezer",FreezerDays,LeftoverDays))</f>
        <v>0</v>
      </c>
      <c r="J58" s="19">
        <f>IF(OR(E58="",I58=""),"",E58+I58)</f>
        <v>0</v>
      </c>
      <c r="K58" s="18">
        <f>IF(J58="","",J58-TODAY())</f>
        <v>0</v>
      </c>
      <c r="L58" s="25">
        <f>IF(C58="","",IFERROR(INDEX(Recipes!$AD$5:$AD$204,MATCH(C58,Recipes!$A$5:$A$204,0)),"Not found"))</f>
        <v>0</v>
      </c>
      <c r="M58" s="25">
        <f>IF(OR(F58="",L58="",NOT(ISNUMBER(L58))),"",F58*L58)</f>
        <v>0</v>
      </c>
      <c r="P58" s="18">
        <f>IF(OR(B58="",Q58="Eaten",Q58="Binned",NOT(ISNUMBER(K58))),"",COUNTIFS($Q$5:$Q$124,"&lt;&gt;Eaten",$Q$5:$Q$124,"&lt;&gt;Binned",$K$5:$K$124,"&lt;"&amp;K58)+COUNTIFS($Q$5:Q58,"&lt;&gt;Eaten",$Q$5:Q58,"&lt;&gt;Binned",$K$5:K58,K58))</f>
        <v>0</v>
      </c>
      <c r="R58" s="31">
        <f>IF(B58="","",IF(Q58="Eaten","OK - eaten",IF(Q58="Binned","Wasted - log the cost",IF(Q58="Frozen","OK - in the freezer",IF(AND(K58&lt;&gt;"",K58&lt;0),"Expired - check before eating",IF(AND(K58&lt;&gt;"",K58&lt;=1),"Today - eat it now","OK"))))))</f>
        <v>0</v>
      </c>
    </row>
    <row r="59" spans="1:18">
      <c r="A59" s="39">
        <f>IF(B59="","",LeftoverPrefix&amp;TEXT(ROW()-4,"0000"))</f>
        <v>0</v>
      </c>
      <c r="D59" s="17">
        <f>IF(C59="","",IFERROR(INDEX(Recipes!$B$5:$B$204,MATCH(C59,Recipes!$A$5:$A$204,0)),"Not found"))</f>
        <v>0</v>
      </c>
      <c r="I59" s="18">
        <f>IF(G59="","",IF(G59="Freezer",FreezerDays,LeftoverDays))</f>
        <v>0</v>
      </c>
      <c r="J59" s="19">
        <f>IF(OR(E59="",I59=""),"",E59+I59)</f>
        <v>0</v>
      </c>
      <c r="K59" s="18">
        <f>IF(J59="","",J59-TODAY())</f>
        <v>0</v>
      </c>
      <c r="L59" s="25">
        <f>IF(C59="","",IFERROR(INDEX(Recipes!$AD$5:$AD$204,MATCH(C59,Recipes!$A$5:$A$204,0)),"Not found"))</f>
        <v>0</v>
      </c>
      <c r="M59" s="25">
        <f>IF(OR(F59="",L59="",NOT(ISNUMBER(L59))),"",F59*L59)</f>
        <v>0</v>
      </c>
      <c r="P59" s="18">
        <f>IF(OR(B59="",Q59="Eaten",Q59="Binned",NOT(ISNUMBER(K59))),"",COUNTIFS($Q$5:$Q$124,"&lt;&gt;Eaten",$Q$5:$Q$124,"&lt;&gt;Binned",$K$5:$K$124,"&lt;"&amp;K59)+COUNTIFS($Q$5:Q59,"&lt;&gt;Eaten",$Q$5:Q59,"&lt;&gt;Binned",$K$5:K59,K59))</f>
        <v>0</v>
      </c>
      <c r="R59" s="31">
        <f>IF(B59="","",IF(Q59="Eaten","OK - eaten",IF(Q59="Binned","Wasted - log the cost",IF(Q59="Frozen","OK - in the freezer",IF(AND(K59&lt;&gt;"",K59&lt;0),"Expired - check before eating",IF(AND(K59&lt;&gt;"",K59&lt;=1),"Today - eat it now","OK"))))))</f>
        <v>0</v>
      </c>
    </row>
    <row r="60" spans="1:18">
      <c r="A60" s="39">
        <f>IF(B60="","",LeftoverPrefix&amp;TEXT(ROW()-4,"0000"))</f>
        <v>0</v>
      </c>
      <c r="D60" s="17">
        <f>IF(C60="","",IFERROR(INDEX(Recipes!$B$5:$B$204,MATCH(C60,Recipes!$A$5:$A$204,0)),"Not found"))</f>
        <v>0</v>
      </c>
      <c r="I60" s="18">
        <f>IF(G60="","",IF(G60="Freezer",FreezerDays,LeftoverDays))</f>
        <v>0</v>
      </c>
      <c r="J60" s="19">
        <f>IF(OR(E60="",I60=""),"",E60+I60)</f>
        <v>0</v>
      </c>
      <c r="K60" s="18">
        <f>IF(J60="","",J60-TODAY())</f>
        <v>0</v>
      </c>
      <c r="L60" s="25">
        <f>IF(C60="","",IFERROR(INDEX(Recipes!$AD$5:$AD$204,MATCH(C60,Recipes!$A$5:$A$204,0)),"Not found"))</f>
        <v>0</v>
      </c>
      <c r="M60" s="25">
        <f>IF(OR(F60="",L60="",NOT(ISNUMBER(L60))),"",F60*L60)</f>
        <v>0</v>
      </c>
      <c r="P60" s="18">
        <f>IF(OR(B60="",Q60="Eaten",Q60="Binned",NOT(ISNUMBER(K60))),"",COUNTIFS($Q$5:$Q$124,"&lt;&gt;Eaten",$Q$5:$Q$124,"&lt;&gt;Binned",$K$5:$K$124,"&lt;"&amp;K60)+COUNTIFS($Q$5:Q60,"&lt;&gt;Eaten",$Q$5:Q60,"&lt;&gt;Binned",$K$5:K60,K60))</f>
        <v>0</v>
      </c>
      <c r="R60" s="31">
        <f>IF(B60="","",IF(Q60="Eaten","OK - eaten",IF(Q60="Binned","Wasted - log the cost",IF(Q60="Frozen","OK - in the freezer",IF(AND(K60&lt;&gt;"",K60&lt;0),"Expired - check before eating",IF(AND(K60&lt;&gt;"",K60&lt;=1),"Today - eat it now","OK"))))))</f>
        <v>0</v>
      </c>
    </row>
    <row r="61" spans="1:18">
      <c r="A61" s="39">
        <f>IF(B61="","",LeftoverPrefix&amp;TEXT(ROW()-4,"0000"))</f>
        <v>0</v>
      </c>
      <c r="D61" s="17">
        <f>IF(C61="","",IFERROR(INDEX(Recipes!$B$5:$B$204,MATCH(C61,Recipes!$A$5:$A$204,0)),"Not found"))</f>
        <v>0</v>
      </c>
      <c r="I61" s="18">
        <f>IF(G61="","",IF(G61="Freezer",FreezerDays,LeftoverDays))</f>
        <v>0</v>
      </c>
      <c r="J61" s="19">
        <f>IF(OR(E61="",I61=""),"",E61+I61)</f>
        <v>0</v>
      </c>
      <c r="K61" s="18">
        <f>IF(J61="","",J61-TODAY())</f>
        <v>0</v>
      </c>
      <c r="L61" s="25">
        <f>IF(C61="","",IFERROR(INDEX(Recipes!$AD$5:$AD$204,MATCH(C61,Recipes!$A$5:$A$204,0)),"Not found"))</f>
        <v>0</v>
      </c>
      <c r="M61" s="25">
        <f>IF(OR(F61="",L61="",NOT(ISNUMBER(L61))),"",F61*L61)</f>
        <v>0</v>
      </c>
      <c r="P61" s="18">
        <f>IF(OR(B61="",Q61="Eaten",Q61="Binned",NOT(ISNUMBER(K61))),"",COUNTIFS($Q$5:$Q$124,"&lt;&gt;Eaten",$Q$5:$Q$124,"&lt;&gt;Binned",$K$5:$K$124,"&lt;"&amp;K61)+COUNTIFS($Q$5:Q61,"&lt;&gt;Eaten",$Q$5:Q61,"&lt;&gt;Binned",$K$5:K61,K61))</f>
        <v>0</v>
      </c>
      <c r="R61" s="31">
        <f>IF(B61="","",IF(Q61="Eaten","OK - eaten",IF(Q61="Binned","Wasted - log the cost",IF(Q61="Frozen","OK - in the freezer",IF(AND(K61&lt;&gt;"",K61&lt;0),"Expired - check before eating",IF(AND(K61&lt;&gt;"",K61&lt;=1),"Today - eat it now","OK"))))))</f>
        <v>0</v>
      </c>
    </row>
    <row r="62" spans="1:18">
      <c r="A62" s="39">
        <f>IF(B62="","",LeftoverPrefix&amp;TEXT(ROW()-4,"0000"))</f>
        <v>0</v>
      </c>
      <c r="D62" s="17">
        <f>IF(C62="","",IFERROR(INDEX(Recipes!$B$5:$B$204,MATCH(C62,Recipes!$A$5:$A$204,0)),"Not found"))</f>
        <v>0</v>
      </c>
      <c r="I62" s="18">
        <f>IF(G62="","",IF(G62="Freezer",FreezerDays,LeftoverDays))</f>
        <v>0</v>
      </c>
      <c r="J62" s="19">
        <f>IF(OR(E62="",I62=""),"",E62+I62)</f>
        <v>0</v>
      </c>
      <c r="K62" s="18">
        <f>IF(J62="","",J62-TODAY())</f>
        <v>0</v>
      </c>
      <c r="L62" s="25">
        <f>IF(C62="","",IFERROR(INDEX(Recipes!$AD$5:$AD$204,MATCH(C62,Recipes!$A$5:$A$204,0)),"Not found"))</f>
        <v>0</v>
      </c>
      <c r="M62" s="25">
        <f>IF(OR(F62="",L62="",NOT(ISNUMBER(L62))),"",F62*L62)</f>
        <v>0</v>
      </c>
      <c r="P62" s="18">
        <f>IF(OR(B62="",Q62="Eaten",Q62="Binned",NOT(ISNUMBER(K62))),"",COUNTIFS($Q$5:$Q$124,"&lt;&gt;Eaten",$Q$5:$Q$124,"&lt;&gt;Binned",$K$5:$K$124,"&lt;"&amp;K62)+COUNTIFS($Q$5:Q62,"&lt;&gt;Eaten",$Q$5:Q62,"&lt;&gt;Binned",$K$5:K62,K62))</f>
        <v>0</v>
      </c>
      <c r="R62" s="31">
        <f>IF(B62="","",IF(Q62="Eaten","OK - eaten",IF(Q62="Binned","Wasted - log the cost",IF(Q62="Frozen","OK - in the freezer",IF(AND(K62&lt;&gt;"",K62&lt;0),"Expired - check before eating",IF(AND(K62&lt;&gt;"",K62&lt;=1),"Today - eat it now","OK"))))))</f>
        <v>0</v>
      </c>
    </row>
    <row r="63" spans="1:18">
      <c r="A63" s="39">
        <f>IF(B63="","",LeftoverPrefix&amp;TEXT(ROW()-4,"0000"))</f>
        <v>0</v>
      </c>
      <c r="D63" s="17">
        <f>IF(C63="","",IFERROR(INDEX(Recipes!$B$5:$B$204,MATCH(C63,Recipes!$A$5:$A$204,0)),"Not found"))</f>
        <v>0</v>
      </c>
      <c r="I63" s="18">
        <f>IF(G63="","",IF(G63="Freezer",FreezerDays,LeftoverDays))</f>
        <v>0</v>
      </c>
      <c r="J63" s="19">
        <f>IF(OR(E63="",I63=""),"",E63+I63)</f>
        <v>0</v>
      </c>
      <c r="K63" s="18">
        <f>IF(J63="","",J63-TODAY())</f>
        <v>0</v>
      </c>
      <c r="L63" s="25">
        <f>IF(C63="","",IFERROR(INDEX(Recipes!$AD$5:$AD$204,MATCH(C63,Recipes!$A$5:$A$204,0)),"Not found"))</f>
        <v>0</v>
      </c>
      <c r="M63" s="25">
        <f>IF(OR(F63="",L63="",NOT(ISNUMBER(L63))),"",F63*L63)</f>
        <v>0</v>
      </c>
      <c r="P63" s="18">
        <f>IF(OR(B63="",Q63="Eaten",Q63="Binned",NOT(ISNUMBER(K63))),"",COUNTIFS($Q$5:$Q$124,"&lt;&gt;Eaten",$Q$5:$Q$124,"&lt;&gt;Binned",$K$5:$K$124,"&lt;"&amp;K63)+COUNTIFS($Q$5:Q63,"&lt;&gt;Eaten",$Q$5:Q63,"&lt;&gt;Binned",$K$5:K63,K63))</f>
        <v>0</v>
      </c>
      <c r="R63" s="31">
        <f>IF(B63="","",IF(Q63="Eaten","OK - eaten",IF(Q63="Binned","Wasted - log the cost",IF(Q63="Frozen","OK - in the freezer",IF(AND(K63&lt;&gt;"",K63&lt;0),"Expired - check before eating",IF(AND(K63&lt;&gt;"",K63&lt;=1),"Today - eat it now","OK"))))))</f>
        <v>0</v>
      </c>
    </row>
    <row r="64" spans="1:18">
      <c r="A64" s="39">
        <f>IF(B64="","",LeftoverPrefix&amp;TEXT(ROW()-4,"0000"))</f>
        <v>0</v>
      </c>
      <c r="D64" s="17">
        <f>IF(C64="","",IFERROR(INDEX(Recipes!$B$5:$B$204,MATCH(C64,Recipes!$A$5:$A$204,0)),"Not found"))</f>
        <v>0</v>
      </c>
      <c r="I64" s="18">
        <f>IF(G64="","",IF(G64="Freezer",FreezerDays,LeftoverDays))</f>
        <v>0</v>
      </c>
      <c r="J64" s="19">
        <f>IF(OR(E64="",I64=""),"",E64+I64)</f>
        <v>0</v>
      </c>
      <c r="K64" s="18">
        <f>IF(J64="","",J64-TODAY())</f>
        <v>0</v>
      </c>
      <c r="L64" s="25">
        <f>IF(C64="","",IFERROR(INDEX(Recipes!$AD$5:$AD$204,MATCH(C64,Recipes!$A$5:$A$204,0)),"Not found"))</f>
        <v>0</v>
      </c>
      <c r="M64" s="25">
        <f>IF(OR(F64="",L64="",NOT(ISNUMBER(L64))),"",F64*L64)</f>
        <v>0</v>
      </c>
      <c r="P64" s="18">
        <f>IF(OR(B64="",Q64="Eaten",Q64="Binned",NOT(ISNUMBER(K64))),"",COUNTIFS($Q$5:$Q$124,"&lt;&gt;Eaten",$Q$5:$Q$124,"&lt;&gt;Binned",$K$5:$K$124,"&lt;"&amp;K64)+COUNTIFS($Q$5:Q64,"&lt;&gt;Eaten",$Q$5:Q64,"&lt;&gt;Binned",$K$5:K64,K64))</f>
        <v>0</v>
      </c>
      <c r="R64" s="31">
        <f>IF(B64="","",IF(Q64="Eaten","OK - eaten",IF(Q64="Binned","Wasted - log the cost",IF(Q64="Frozen","OK - in the freezer",IF(AND(K64&lt;&gt;"",K64&lt;0),"Expired - check before eating",IF(AND(K64&lt;&gt;"",K64&lt;=1),"Today - eat it now","OK"))))))</f>
        <v>0</v>
      </c>
    </row>
    <row r="65" spans="1:18">
      <c r="A65" s="39">
        <f>IF(B65="","",LeftoverPrefix&amp;TEXT(ROW()-4,"0000"))</f>
        <v>0</v>
      </c>
      <c r="D65" s="17">
        <f>IF(C65="","",IFERROR(INDEX(Recipes!$B$5:$B$204,MATCH(C65,Recipes!$A$5:$A$204,0)),"Not found"))</f>
        <v>0</v>
      </c>
      <c r="I65" s="18">
        <f>IF(G65="","",IF(G65="Freezer",FreezerDays,LeftoverDays))</f>
        <v>0</v>
      </c>
      <c r="J65" s="19">
        <f>IF(OR(E65="",I65=""),"",E65+I65)</f>
        <v>0</v>
      </c>
      <c r="K65" s="18">
        <f>IF(J65="","",J65-TODAY())</f>
        <v>0</v>
      </c>
      <c r="L65" s="25">
        <f>IF(C65="","",IFERROR(INDEX(Recipes!$AD$5:$AD$204,MATCH(C65,Recipes!$A$5:$A$204,0)),"Not found"))</f>
        <v>0</v>
      </c>
      <c r="M65" s="25">
        <f>IF(OR(F65="",L65="",NOT(ISNUMBER(L65))),"",F65*L65)</f>
        <v>0</v>
      </c>
      <c r="P65" s="18">
        <f>IF(OR(B65="",Q65="Eaten",Q65="Binned",NOT(ISNUMBER(K65))),"",COUNTIFS($Q$5:$Q$124,"&lt;&gt;Eaten",$Q$5:$Q$124,"&lt;&gt;Binned",$K$5:$K$124,"&lt;"&amp;K65)+COUNTIFS($Q$5:Q65,"&lt;&gt;Eaten",$Q$5:Q65,"&lt;&gt;Binned",$K$5:K65,K65))</f>
        <v>0</v>
      </c>
      <c r="R65" s="31">
        <f>IF(B65="","",IF(Q65="Eaten","OK - eaten",IF(Q65="Binned","Wasted - log the cost",IF(Q65="Frozen","OK - in the freezer",IF(AND(K65&lt;&gt;"",K65&lt;0),"Expired - check before eating",IF(AND(K65&lt;&gt;"",K65&lt;=1),"Today - eat it now","OK"))))))</f>
        <v>0</v>
      </c>
    </row>
    <row r="66" spans="1:18">
      <c r="A66" s="39">
        <f>IF(B66="","",LeftoverPrefix&amp;TEXT(ROW()-4,"0000"))</f>
        <v>0</v>
      </c>
      <c r="D66" s="17">
        <f>IF(C66="","",IFERROR(INDEX(Recipes!$B$5:$B$204,MATCH(C66,Recipes!$A$5:$A$204,0)),"Not found"))</f>
        <v>0</v>
      </c>
      <c r="I66" s="18">
        <f>IF(G66="","",IF(G66="Freezer",FreezerDays,LeftoverDays))</f>
        <v>0</v>
      </c>
      <c r="J66" s="19">
        <f>IF(OR(E66="",I66=""),"",E66+I66)</f>
        <v>0</v>
      </c>
      <c r="K66" s="18">
        <f>IF(J66="","",J66-TODAY())</f>
        <v>0</v>
      </c>
      <c r="L66" s="25">
        <f>IF(C66="","",IFERROR(INDEX(Recipes!$AD$5:$AD$204,MATCH(C66,Recipes!$A$5:$A$204,0)),"Not found"))</f>
        <v>0</v>
      </c>
      <c r="M66" s="25">
        <f>IF(OR(F66="",L66="",NOT(ISNUMBER(L66))),"",F66*L66)</f>
        <v>0</v>
      </c>
      <c r="P66" s="18">
        <f>IF(OR(B66="",Q66="Eaten",Q66="Binned",NOT(ISNUMBER(K66))),"",COUNTIFS($Q$5:$Q$124,"&lt;&gt;Eaten",$Q$5:$Q$124,"&lt;&gt;Binned",$K$5:$K$124,"&lt;"&amp;K66)+COUNTIFS($Q$5:Q66,"&lt;&gt;Eaten",$Q$5:Q66,"&lt;&gt;Binned",$K$5:K66,K66))</f>
        <v>0</v>
      </c>
      <c r="R66" s="31">
        <f>IF(B66="","",IF(Q66="Eaten","OK - eaten",IF(Q66="Binned","Wasted - log the cost",IF(Q66="Frozen","OK - in the freezer",IF(AND(K66&lt;&gt;"",K66&lt;0),"Expired - check before eating",IF(AND(K66&lt;&gt;"",K66&lt;=1),"Today - eat it now","OK"))))))</f>
        <v>0</v>
      </c>
    </row>
    <row r="67" spans="1:18">
      <c r="A67" s="39">
        <f>IF(B67="","",LeftoverPrefix&amp;TEXT(ROW()-4,"0000"))</f>
        <v>0</v>
      </c>
      <c r="D67" s="17">
        <f>IF(C67="","",IFERROR(INDEX(Recipes!$B$5:$B$204,MATCH(C67,Recipes!$A$5:$A$204,0)),"Not found"))</f>
        <v>0</v>
      </c>
      <c r="I67" s="18">
        <f>IF(G67="","",IF(G67="Freezer",FreezerDays,LeftoverDays))</f>
        <v>0</v>
      </c>
      <c r="J67" s="19">
        <f>IF(OR(E67="",I67=""),"",E67+I67)</f>
        <v>0</v>
      </c>
      <c r="K67" s="18">
        <f>IF(J67="","",J67-TODAY())</f>
        <v>0</v>
      </c>
      <c r="L67" s="25">
        <f>IF(C67="","",IFERROR(INDEX(Recipes!$AD$5:$AD$204,MATCH(C67,Recipes!$A$5:$A$204,0)),"Not found"))</f>
        <v>0</v>
      </c>
      <c r="M67" s="25">
        <f>IF(OR(F67="",L67="",NOT(ISNUMBER(L67))),"",F67*L67)</f>
        <v>0</v>
      </c>
      <c r="P67" s="18">
        <f>IF(OR(B67="",Q67="Eaten",Q67="Binned",NOT(ISNUMBER(K67))),"",COUNTIFS($Q$5:$Q$124,"&lt;&gt;Eaten",$Q$5:$Q$124,"&lt;&gt;Binned",$K$5:$K$124,"&lt;"&amp;K67)+COUNTIFS($Q$5:Q67,"&lt;&gt;Eaten",$Q$5:Q67,"&lt;&gt;Binned",$K$5:K67,K67))</f>
        <v>0</v>
      </c>
      <c r="R67" s="31">
        <f>IF(B67="","",IF(Q67="Eaten","OK - eaten",IF(Q67="Binned","Wasted - log the cost",IF(Q67="Frozen","OK - in the freezer",IF(AND(K67&lt;&gt;"",K67&lt;0),"Expired - check before eating",IF(AND(K67&lt;&gt;"",K67&lt;=1),"Today - eat it now","OK"))))))</f>
        <v>0</v>
      </c>
    </row>
    <row r="68" spans="1:18">
      <c r="A68" s="39">
        <f>IF(B68="","",LeftoverPrefix&amp;TEXT(ROW()-4,"0000"))</f>
        <v>0</v>
      </c>
      <c r="D68" s="17">
        <f>IF(C68="","",IFERROR(INDEX(Recipes!$B$5:$B$204,MATCH(C68,Recipes!$A$5:$A$204,0)),"Not found"))</f>
        <v>0</v>
      </c>
      <c r="I68" s="18">
        <f>IF(G68="","",IF(G68="Freezer",FreezerDays,LeftoverDays))</f>
        <v>0</v>
      </c>
      <c r="J68" s="19">
        <f>IF(OR(E68="",I68=""),"",E68+I68)</f>
        <v>0</v>
      </c>
      <c r="K68" s="18">
        <f>IF(J68="","",J68-TODAY())</f>
        <v>0</v>
      </c>
      <c r="L68" s="25">
        <f>IF(C68="","",IFERROR(INDEX(Recipes!$AD$5:$AD$204,MATCH(C68,Recipes!$A$5:$A$204,0)),"Not found"))</f>
        <v>0</v>
      </c>
      <c r="M68" s="25">
        <f>IF(OR(F68="",L68="",NOT(ISNUMBER(L68))),"",F68*L68)</f>
        <v>0</v>
      </c>
      <c r="P68" s="18">
        <f>IF(OR(B68="",Q68="Eaten",Q68="Binned",NOT(ISNUMBER(K68))),"",COUNTIFS($Q$5:$Q$124,"&lt;&gt;Eaten",$Q$5:$Q$124,"&lt;&gt;Binned",$K$5:$K$124,"&lt;"&amp;K68)+COUNTIFS($Q$5:Q68,"&lt;&gt;Eaten",$Q$5:Q68,"&lt;&gt;Binned",$K$5:K68,K68))</f>
        <v>0</v>
      </c>
      <c r="R68" s="31">
        <f>IF(B68="","",IF(Q68="Eaten","OK - eaten",IF(Q68="Binned","Wasted - log the cost",IF(Q68="Frozen","OK - in the freezer",IF(AND(K68&lt;&gt;"",K68&lt;0),"Expired - check before eating",IF(AND(K68&lt;&gt;"",K68&lt;=1),"Today - eat it now","OK"))))))</f>
        <v>0</v>
      </c>
    </row>
    <row r="69" spans="1:18">
      <c r="A69" s="39">
        <f>IF(B69="","",LeftoverPrefix&amp;TEXT(ROW()-4,"0000"))</f>
        <v>0</v>
      </c>
      <c r="D69" s="17">
        <f>IF(C69="","",IFERROR(INDEX(Recipes!$B$5:$B$204,MATCH(C69,Recipes!$A$5:$A$204,0)),"Not found"))</f>
        <v>0</v>
      </c>
      <c r="I69" s="18">
        <f>IF(G69="","",IF(G69="Freezer",FreezerDays,LeftoverDays))</f>
        <v>0</v>
      </c>
      <c r="J69" s="19">
        <f>IF(OR(E69="",I69=""),"",E69+I69)</f>
        <v>0</v>
      </c>
      <c r="K69" s="18">
        <f>IF(J69="","",J69-TODAY())</f>
        <v>0</v>
      </c>
      <c r="L69" s="25">
        <f>IF(C69="","",IFERROR(INDEX(Recipes!$AD$5:$AD$204,MATCH(C69,Recipes!$A$5:$A$204,0)),"Not found"))</f>
        <v>0</v>
      </c>
      <c r="M69" s="25">
        <f>IF(OR(F69="",L69="",NOT(ISNUMBER(L69))),"",F69*L69)</f>
        <v>0</v>
      </c>
      <c r="P69" s="18">
        <f>IF(OR(B69="",Q69="Eaten",Q69="Binned",NOT(ISNUMBER(K69))),"",COUNTIFS($Q$5:$Q$124,"&lt;&gt;Eaten",$Q$5:$Q$124,"&lt;&gt;Binned",$K$5:$K$124,"&lt;"&amp;K69)+COUNTIFS($Q$5:Q69,"&lt;&gt;Eaten",$Q$5:Q69,"&lt;&gt;Binned",$K$5:K69,K69))</f>
        <v>0</v>
      </c>
      <c r="R69" s="31">
        <f>IF(B69="","",IF(Q69="Eaten","OK - eaten",IF(Q69="Binned","Wasted - log the cost",IF(Q69="Frozen","OK - in the freezer",IF(AND(K69&lt;&gt;"",K69&lt;0),"Expired - check before eating",IF(AND(K69&lt;&gt;"",K69&lt;=1),"Today - eat it now","OK"))))))</f>
        <v>0</v>
      </c>
    </row>
    <row r="70" spans="1:18">
      <c r="A70" s="39">
        <f>IF(B70="","",LeftoverPrefix&amp;TEXT(ROW()-4,"0000"))</f>
        <v>0</v>
      </c>
      <c r="D70" s="17">
        <f>IF(C70="","",IFERROR(INDEX(Recipes!$B$5:$B$204,MATCH(C70,Recipes!$A$5:$A$204,0)),"Not found"))</f>
        <v>0</v>
      </c>
      <c r="I70" s="18">
        <f>IF(G70="","",IF(G70="Freezer",FreezerDays,LeftoverDays))</f>
        <v>0</v>
      </c>
      <c r="J70" s="19">
        <f>IF(OR(E70="",I70=""),"",E70+I70)</f>
        <v>0</v>
      </c>
      <c r="K70" s="18">
        <f>IF(J70="","",J70-TODAY())</f>
        <v>0</v>
      </c>
      <c r="L70" s="25">
        <f>IF(C70="","",IFERROR(INDEX(Recipes!$AD$5:$AD$204,MATCH(C70,Recipes!$A$5:$A$204,0)),"Not found"))</f>
        <v>0</v>
      </c>
      <c r="M70" s="25">
        <f>IF(OR(F70="",L70="",NOT(ISNUMBER(L70))),"",F70*L70)</f>
        <v>0</v>
      </c>
      <c r="P70" s="18">
        <f>IF(OR(B70="",Q70="Eaten",Q70="Binned",NOT(ISNUMBER(K70))),"",COUNTIFS($Q$5:$Q$124,"&lt;&gt;Eaten",$Q$5:$Q$124,"&lt;&gt;Binned",$K$5:$K$124,"&lt;"&amp;K70)+COUNTIFS($Q$5:Q70,"&lt;&gt;Eaten",$Q$5:Q70,"&lt;&gt;Binned",$K$5:K70,K70))</f>
        <v>0</v>
      </c>
      <c r="R70" s="31">
        <f>IF(B70="","",IF(Q70="Eaten","OK - eaten",IF(Q70="Binned","Wasted - log the cost",IF(Q70="Frozen","OK - in the freezer",IF(AND(K70&lt;&gt;"",K70&lt;0),"Expired - check before eating",IF(AND(K70&lt;&gt;"",K70&lt;=1),"Today - eat it now","OK"))))))</f>
        <v>0</v>
      </c>
    </row>
    <row r="71" spans="1:18">
      <c r="A71" s="39">
        <f>IF(B71="","",LeftoverPrefix&amp;TEXT(ROW()-4,"0000"))</f>
        <v>0</v>
      </c>
      <c r="D71" s="17">
        <f>IF(C71="","",IFERROR(INDEX(Recipes!$B$5:$B$204,MATCH(C71,Recipes!$A$5:$A$204,0)),"Not found"))</f>
        <v>0</v>
      </c>
      <c r="I71" s="18">
        <f>IF(G71="","",IF(G71="Freezer",FreezerDays,LeftoverDays))</f>
        <v>0</v>
      </c>
      <c r="J71" s="19">
        <f>IF(OR(E71="",I71=""),"",E71+I71)</f>
        <v>0</v>
      </c>
      <c r="K71" s="18">
        <f>IF(J71="","",J71-TODAY())</f>
        <v>0</v>
      </c>
      <c r="L71" s="25">
        <f>IF(C71="","",IFERROR(INDEX(Recipes!$AD$5:$AD$204,MATCH(C71,Recipes!$A$5:$A$204,0)),"Not found"))</f>
        <v>0</v>
      </c>
      <c r="M71" s="25">
        <f>IF(OR(F71="",L71="",NOT(ISNUMBER(L71))),"",F71*L71)</f>
        <v>0</v>
      </c>
      <c r="P71" s="18">
        <f>IF(OR(B71="",Q71="Eaten",Q71="Binned",NOT(ISNUMBER(K71))),"",COUNTIFS($Q$5:$Q$124,"&lt;&gt;Eaten",$Q$5:$Q$124,"&lt;&gt;Binned",$K$5:$K$124,"&lt;"&amp;K71)+COUNTIFS($Q$5:Q71,"&lt;&gt;Eaten",$Q$5:Q71,"&lt;&gt;Binned",$K$5:K71,K71))</f>
        <v>0</v>
      </c>
      <c r="R71" s="31">
        <f>IF(B71="","",IF(Q71="Eaten","OK - eaten",IF(Q71="Binned","Wasted - log the cost",IF(Q71="Frozen","OK - in the freezer",IF(AND(K71&lt;&gt;"",K71&lt;0),"Expired - check before eating",IF(AND(K71&lt;&gt;"",K71&lt;=1),"Today - eat it now","OK"))))))</f>
        <v>0</v>
      </c>
    </row>
    <row r="72" spans="1:18">
      <c r="A72" s="39">
        <f>IF(B72="","",LeftoverPrefix&amp;TEXT(ROW()-4,"0000"))</f>
        <v>0</v>
      </c>
      <c r="D72" s="17">
        <f>IF(C72="","",IFERROR(INDEX(Recipes!$B$5:$B$204,MATCH(C72,Recipes!$A$5:$A$204,0)),"Not found"))</f>
        <v>0</v>
      </c>
      <c r="I72" s="18">
        <f>IF(G72="","",IF(G72="Freezer",FreezerDays,LeftoverDays))</f>
        <v>0</v>
      </c>
      <c r="J72" s="19">
        <f>IF(OR(E72="",I72=""),"",E72+I72)</f>
        <v>0</v>
      </c>
      <c r="K72" s="18">
        <f>IF(J72="","",J72-TODAY())</f>
        <v>0</v>
      </c>
      <c r="L72" s="25">
        <f>IF(C72="","",IFERROR(INDEX(Recipes!$AD$5:$AD$204,MATCH(C72,Recipes!$A$5:$A$204,0)),"Not found"))</f>
        <v>0</v>
      </c>
      <c r="M72" s="25">
        <f>IF(OR(F72="",L72="",NOT(ISNUMBER(L72))),"",F72*L72)</f>
        <v>0</v>
      </c>
      <c r="P72" s="18">
        <f>IF(OR(B72="",Q72="Eaten",Q72="Binned",NOT(ISNUMBER(K72))),"",COUNTIFS($Q$5:$Q$124,"&lt;&gt;Eaten",$Q$5:$Q$124,"&lt;&gt;Binned",$K$5:$K$124,"&lt;"&amp;K72)+COUNTIFS($Q$5:Q72,"&lt;&gt;Eaten",$Q$5:Q72,"&lt;&gt;Binned",$K$5:K72,K72))</f>
        <v>0</v>
      </c>
      <c r="R72" s="31">
        <f>IF(B72="","",IF(Q72="Eaten","OK - eaten",IF(Q72="Binned","Wasted - log the cost",IF(Q72="Frozen","OK - in the freezer",IF(AND(K72&lt;&gt;"",K72&lt;0),"Expired - check before eating",IF(AND(K72&lt;&gt;"",K72&lt;=1),"Today - eat it now","OK"))))))</f>
        <v>0</v>
      </c>
    </row>
    <row r="73" spans="1:18">
      <c r="A73" s="39">
        <f>IF(B73="","",LeftoverPrefix&amp;TEXT(ROW()-4,"0000"))</f>
        <v>0</v>
      </c>
      <c r="D73" s="17">
        <f>IF(C73="","",IFERROR(INDEX(Recipes!$B$5:$B$204,MATCH(C73,Recipes!$A$5:$A$204,0)),"Not found"))</f>
        <v>0</v>
      </c>
      <c r="I73" s="18">
        <f>IF(G73="","",IF(G73="Freezer",FreezerDays,LeftoverDays))</f>
        <v>0</v>
      </c>
      <c r="J73" s="19">
        <f>IF(OR(E73="",I73=""),"",E73+I73)</f>
        <v>0</v>
      </c>
      <c r="K73" s="18">
        <f>IF(J73="","",J73-TODAY())</f>
        <v>0</v>
      </c>
      <c r="L73" s="25">
        <f>IF(C73="","",IFERROR(INDEX(Recipes!$AD$5:$AD$204,MATCH(C73,Recipes!$A$5:$A$204,0)),"Not found"))</f>
        <v>0</v>
      </c>
      <c r="M73" s="25">
        <f>IF(OR(F73="",L73="",NOT(ISNUMBER(L73))),"",F73*L73)</f>
        <v>0</v>
      </c>
      <c r="P73" s="18">
        <f>IF(OR(B73="",Q73="Eaten",Q73="Binned",NOT(ISNUMBER(K73))),"",COUNTIFS($Q$5:$Q$124,"&lt;&gt;Eaten",$Q$5:$Q$124,"&lt;&gt;Binned",$K$5:$K$124,"&lt;"&amp;K73)+COUNTIFS($Q$5:Q73,"&lt;&gt;Eaten",$Q$5:Q73,"&lt;&gt;Binned",$K$5:K73,K73))</f>
        <v>0</v>
      </c>
      <c r="R73" s="31">
        <f>IF(B73="","",IF(Q73="Eaten","OK - eaten",IF(Q73="Binned","Wasted - log the cost",IF(Q73="Frozen","OK - in the freezer",IF(AND(K73&lt;&gt;"",K73&lt;0),"Expired - check before eating",IF(AND(K73&lt;&gt;"",K73&lt;=1),"Today - eat it now","OK"))))))</f>
        <v>0</v>
      </c>
    </row>
    <row r="74" spans="1:18">
      <c r="A74" s="39">
        <f>IF(B74="","",LeftoverPrefix&amp;TEXT(ROW()-4,"0000"))</f>
        <v>0</v>
      </c>
      <c r="D74" s="17">
        <f>IF(C74="","",IFERROR(INDEX(Recipes!$B$5:$B$204,MATCH(C74,Recipes!$A$5:$A$204,0)),"Not found"))</f>
        <v>0</v>
      </c>
      <c r="I74" s="18">
        <f>IF(G74="","",IF(G74="Freezer",FreezerDays,LeftoverDays))</f>
        <v>0</v>
      </c>
      <c r="J74" s="19">
        <f>IF(OR(E74="",I74=""),"",E74+I74)</f>
        <v>0</v>
      </c>
      <c r="K74" s="18">
        <f>IF(J74="","",J74-TODAY())</f>
        <v>0</v>
      </c>
      <c r="L74" s="25">
        <f>IF(C74="","",IFERROR(INDEX(Recipes!$AD$5:$AD$204,MATCH(C74,Recipes!$A$5:$A$204,0)),"Not found"))</f>
        <v>0</v>
      </c>
      <c r="M74" s="25">
        <f>IF(OR(F74="",L74="",NOT(ISNUMBER(L74))),"",F74*L74)</f>
        <v>0</v>
      </c>
      <c r="P74" s="18">
        <f>IF(OR(B74="",Q74="Eaten",Q74="Binned",NOT(ISNUMBER(K74))),"",COUNTIFS($Q$5:$Q$124,"&lt;&gt;Eaten",$Q$5:$Q$124,"&lt;&gt;Binned",$K$5:$K$124,"&lt;"&amp;K74)+COUNTIFS($Q$5:Q74,"&lt;&gt;Eaten",$Q$5:Q74,"&lt;&gt;Binned",$K$5:K74,K74))</f>
        <v>0</v>
      </c>
      <c r="R74" s="31">
        <f>IF(B74="","",IF(Q74="Eaten","OK - eaten",IF(Q74="Binned","Wasted - log the cost",IF(Q74="Frozen","OK - in the freezer",IF(AND(K74&lt;&gt;"",K74&lt;0),"Expired - check before eating",IF(AND(K74&lt;&gt;"",K74&lt;=1),"Today - eat it now","OK"))))))</f>
        <v>0</v>
      </c>
    </row>
    <row r="75" spans="1:18">
      <c r="A75" s="39">
        <f>IF(B75="","",LeftoverPrefix&amp;TEXT(ROW()-4,"0000"))</f>
        <v>0</v>
      </c>
      <c r="D75" s="17">
        <f>IF(C75="","",IFERROR(INDEX(Recipes!$B$5:$B$204,MATCH(C75,Recipes!$A$5:$A$204,0)),"Not found"))</f>
        <v>0</v>
      </c>
      <c r="I75" s="18">
        <f>IF(G75="","",IF(G75="Freezer",FreezerDays,LeftoverDays))</f>
        <v>0</v>
      </c>
      <c r="J75" s="19">
        <f>IF(OR(E75="",I75=""),"",E75+I75)</f>
        <v>0</v>
      </c>
      <c r="K75" s="18">
        <f>IF(J75="","",J75-TODAY())</f>
        <v>0</v>
      </c>
      <c r="L75" s="25">
        <f>IF(C75="","",IFERROR(INDEX(Recipes!$AD$5:$AD$204,MATCH(C75,Recipes!$A$5:$A$204,0)),"Not found"))</f>
        <v>0</v>
      </c>
      <c r="M75" s="25">
        <f>IF(OR(F75="",L75="",NOT(ISNUMBER(L75))),"",F75*L75)</f>
        <v>0</v>
      </c>
      <c r="P75" s="18">
        <f>IF(OR(B75="",Q75="Eaten",Q75="Binned",NOT(ISNUMBER(K75))),"",COUNTIFS($Q$5:$Q$124,"&lt;&gt;Eaten",$Q$5:$Q$124,"&lt;&gt;Binned",$K$5:$K$124,"&lt;"&amp;K75)+COUNTIFS($Q$5:Q75,"&lt;&gt;Eaten",$Q$5:Q75,"&lt;&gt;Binned",$K$5:K75,K75))</f>
        <v>0</v>
      </c>
      <c r="R75" s="31">
        <f>IF(B75="","",IF(Q75="Eaten","OK - eaten",IF(Q75="Binned","Wasted - log the cost",IF(Q75="Frozen","OK - in the freezer",IF(AND(K75&lt;&gt;"",K75&lt;0),"Expired - check before eating",IF(AND(K75&lt;&gt;"",K75&lt;=1),"Today - eat it now","OK"))))))</f>
        <v>0</v>
      </c>
    </row>
    <row r="76" spans="1:18">
      <c r="A76" s="39">
        <f>IF(B76="","",LeftoverPrefix&amp;TEXT(ROW()-4,"0000"))</f>
        <v>0</v>
      </c>
      <c r="D76" s="17">
        <f>IF(C76="","",IFERROR(INDEX(Recipes!$B$5:$B$204,MATCH(C76,Recipes!$A$5:$A$204,0)),"Not found"))</f>
        <v>0</v>
      </c>
      <c r="I76" s="18">
        <f>IF(G76="","",IF(G76="Freezer",FreezerDays,LeftoverDays))</f>
        <v>0</v>
      </c>
      <c r="J76" s="19">
        <f>IF(OR(E76="",I76=""),"",E76+I76)</f>
        <v>0</v>
      </c>
      <c r="K76" s="18">
        <f>IF(J76="","",J76-TODAY())</f>
        <v>0</v>
      </c>
      <c r="L76" s="25">
        <f>IF(C76="","",IFERROR(INDEX(Recipes!$AD$5:$AD$204,MATCH(C76,Recipes!$A$5:$A$204,0)),"Not found"))</f>
        <v>0</v>
      </c>
      <c r="M76" s="25">
        <f>IF(OR(F76="",L76="",NOT(ISNUMBER(L76))),"",F76*L76)</f>
        <v>0</v>
      </c>
      <c r="P76" s="18">
        <f>IF(OR(B76="",Q76="Eaten",Q76="Binned",NOT(ISNUMBER(K76))),"",COUNTIFS($Q$5:$Q$124,"&lt;&gt;Eaten",$Q$5:$Q$124,"&lt;&gt;Binned",$K$5:$K$124,"&lt;"&amp;K76)+COUNTIFS($Q$5:Q76,"&lt;&gt;Eaten",$Q$5:Q76,"&lt;&gt;Binned",$K$5:K76,K76))</f>
        <v>0</v>
      </c>
      <c r="R76" s="31">
        <f>IF(B76="","",IF(Q76="Eaten","OK - eaten",IF(Q76="Binned","Wasted - log the cost",IF(Q76="Frozen","OK - in the freezer",IF(AND(K76&lt;&gt;"",K76&lt;0),"Expired - check before eating",IF(AND(K76&lt;&gt;"",K76&lt;=1),"Today - eat it now","OK"))))))</f>
        <v>0</v>
      </c>
    </row>
    <row r="77" spans="1:18">
      <c r="A77" s="39">
        <f>IF(B77="","",LeftoverPrefix&amp;TEXT(ROW()-4,"0000"))</f>
        <v>0</v>
      </c>
      <c r="D77" s="17">
        <f>IF(C77="","",IFERROR(INDEX(Recipes!$B$5:$B$204,MATCH(C77,Recipes!$A$5:$A$204,0)),"Not found"))</f>
        <v>0</v>
      </c>
      <c r="I77" s="18">
        <f>IF(G77="","",IF(G77="Freezer",FreezerDays,LeftoverDays))</f>
        <v>0</v>
      </c>
      <c r="J77" s="19">
        <f>IF(OR(E77="",I77=""),"",E77+I77)</f>
        <v>0</v>
      </c>
      <c r="K77" s="18">
        <f>IF(J77="","",J77-TODAY())</f>
        <v>0</v>
      </c>
      <c r="L77" s="25">
        <f>IF(C77="","",IFERROR(INDEX(Recipes!$AD$5:$AD$204,MATCH(C77,Recipes!$A$5:$A$204,0)),"Not found"))</f>
        <v>0</v>
      </c>
      <c r="M77" s="25">
        <f>IF(OR(F77="",L77="",NOT(ISNUMBER(L77))),"",F77*L77)</f>
        <v>0</v>
      </c>
      <c r="P77" s="18">
        <f>IF(OR(B77="",Q77="Eaten",Q77="Binned",NOT(ISNUMBER(K77))),"",COUNTIFS($Q$5:$Q$124,"&lt;&gt;Eaten",$Q$5:$Q$124,"&lt;&gt;Binned",$K$5:$K$124,"&lt;"&amp;K77)+COUNTIFS($Q$5:Q77,"&lt;&gt;Eaten",$Q$5:Q77,"&lt;&gt;Binned",$K$5:K77,K77))</f>
        <v>0</v>
      </c>
      <c r="R77" s="31">
        <f>IF(B77="","",IF(Q77="Eaten","OK - eaten",IF(Q77="Binned","Wasted - log the cost",IF(Q77="Frozen","OK - in the freezer",IF(AND(K77&lt;&gt;"",K77&lt;0),"Expired - check before eating",IF(AND(K77&lt;&gt;"",K77&lt;=1),"Today - eat it now","OK"))))))</f>
        <v>0</v>
      </c>
    </row>
    <row r="78" spans="1:18">
      <c r="A78" s="39">
        <f>IF(B78="","",LeftoverPrefix&amp;TEXT(ROW()-4,"0000"))</f>
        <v>0</v>
      </c>
      <c r="D78" s="17">
        <f>IF(C78="","",IFERROR(INDEX(Recipes!$B$5:$B$204,MATCH(C78,Recipes!$A$5:$A$204,0)),"Not found"))</f>
        <v>0</v>
      </c>
      <c r="I78" s="18">
        <f>IF(G78="","",IF(G78="Freezer",FreezerDays,LeftoverDays))</f>
        <v>0</v>
      </c>
      <c r="J78" s="19">
        <f>IF(OR(E78="",I78=""),"",E78+I78)</f>
        <v>0</v>
      </c>
      <c r="K78" s="18">
        <f>IF(J78="","",J78-TODAY())</f>
        <v>0</v>
      </c>
      <c r="L78" s="25">
        <f>IF(C78="","",IFERROR(INDEX(Recipes!$AD$5:$AD$204,MATCH(C78,Recipes!$A$5:$A$204,0)),"Not found"))</f>
        <v>0</v>
      </c>
      <c r="M78" s="25">
        <f>IF(OR(F78="",L78="",NOT(ISNUMBER(L78))),"",F78*L78)</f>
        <v>0</v>
      </c>
      <c r="P78" s="18">
        <f>IF(OR(B78="",Q78="Eaten",Q78="Binned",NOT(ISNUMBER(K78))),"",COUNTIFS($Q$5:$Q$124,"&lt;&gt;Eaten",$Q$5:$Q$124,"&lt;&gt;Binned",$K$5:$K$124,"&lt;"&amp;K78)+COUNTIFS($Q$5:Q78,"&lt;&gt;Eaten",$Q$5:Q78,"&lt;&gt;Binned",$K$5:K78,K78))</f>
        <v>0</v>
      </c>
      <c r="R78" s="31">
        <f>IF(B78="","",IF(Q78="Eaten","OK - eaten",IF(Q78="Binned","Wasted - log the cost",IF(Q78="Frozen","OK - in the freezer",IF(AND(K78&lt;&gt;"",K78&lt;0),"Expired - check before eating",IF(AND(K78&lt;&gt;"",K78&lt;=1),"Today - eat it now","OK"))))))</f>
        <v>0</v>
      </c>
    </row>
    <row r="79" spans="1:18">
      <c r="A79" s="39">
        <f>IF(B79="","",LeftoverPrefix&amp;TEXT(ROW()-4,"0000"))</f>
        <v>0</v>
      </c>
      <c r="D79" s="17">
        <f>IF(C79="","",IFERROR(INDEX(Recipes!$B$5:$B$204,MATCH(C79,Recipes!$A$5:$A$204,0)),"Not found"))</f>
        <v>0</v>
      </c>
      <c r="I79" s="18">
        <f>IF(G79="","",IF(G79="Freezer",FreezerDays,LeftoverDays))</f>
        <v>0</v>
      </c>
      <c r="J79" s="19">
        <f>IF(OR(E79="",I79=""),"",E79+I79)</f>
        <v>0</v>
      </c>
      <c r="K79" s="18">
        <f>IF(J79="","",J79-TODAY())</f>
        <v>0</v>
      </c>
      <c r="L79" s="25">
        <f>IF(C79="","",IFERROR(INDEX(Recipes!$AD$5:$AD$204,MATCH(C79,Recipes!$A$5:$A$204,0)),"Not found"))</f>
        <v>0</v>
      </c>
      <c r="M79" s="25">
        <f>IF(OR(F79="",L79="",NOT(ISNUMBER(L79))),"",F79*L79)</f>
        <v>0</v>
      </c>
      <c r="P79" s="18">
        <f>IF(OR(B79="",Q79="Eaten",Q79="Binned",NOT(ISNUMBER(K79))),"",COUNTIFS($Q$5:$Q$124,"&lt;&gt;Eaten",$Q$5:$Q$124,"&lt;&gt;Binned",$K$5:$K$124,"&lt;"&amp;K79)+COUNTIFS($Q$5:Q79,"&lt;&gt;Eaten",$Q$5:Q79,"&lt;&gt;Binned",$K$5:K79,K79))</f>
        <v>0</v>
      </c>
      <c r="R79" s="31">
        <f>IF(B79="","",IF(Q79="Eaten","OK - eaten",IF(Q79="Binned","Wasted - log the cost",IF(Q79="Frozen","OK - in the freezer",IF(AND(K79&lt;&gt;"",K79&lt;0),"Expired - check before eating",IF(AND(K79&lt;&gt;"",K79&lt;=1),"Today - eat it now","OK"))))))</f>
        <v>0</v>
      </c>
    </row>
    <row r="80" spans="1:18">
      <c r="A80" s="39">
        <f>IF(B80="","",LeftoverPrefix&amp;TEXT(ROW()-4,"0000"))</f>
        <v>0</v>
      </c>
      <c r="D80" s="17">
        <f>IF(C80="","",IFERROR(INDEX(Recipes!$B$5:$B$204,MATCH(C80,Recipes!$A$5:$A$204,0)),"Not found"))</f>
        <v>0</v>
      </c>
      <c r="I80" s="18">
        <f>IF(G80="","",IF(G80="Freezer",FreezerDays,LeftoverDays))</f>
        <v>0</v>
      </c>
      <c r="J80" s="19">
        <f>IF(OR(E80="",I80=""),"",E80+I80)</f>
        <v>0</v>
      </c>
      <c r="K80" s="18">
        <f>IF(J80="","",J80-TODAY())</f>
        <v>0</v>
      </c>
      <c r="L80" s="25">
        <f>IF(C80="","",IFERROR(INDEX(Recipes!$AD$5:$AD$204,MATCH(C80,Recipes!$A$5:$A$204,0)),"Not found"))</f>
        <v>0</v>
      </c>
      <c r="M80" s="25">
        <f>IF(OR(F80="",L80="",NOT(ISNUMBER(L80))),"",F80*L80)</f>
        <v>0</v>
      </c>
      <c r="P80" s="18">
        <f>IF(OR(B80="",Q80="Eaten",Q80="Binned",NOT(ISNUMBER(K80))),"",COUNTIFS($Q$5:$Q$124,"&lt;&gt;Eaten",$Q$5:$Q$124,"&lt;&gt;Binned",$K$5:$K$124,"&lt;"&amp;K80)+COUNTIFS($Q$5:Q80,"&lt;&gt;Eaten",$Q$5:Q80,"&lt;&gt;Binned",$K$5:K80,K80))</f>
        <v>0</v>
      </c>
      <c r="R80" s="31">
        <f>IF(B80="","",IF(Q80="Eaten","OK - eaten",IF(Q80="Binned","Wasted - log the cost",IF(Q80="Frozen","OK - in the freezer",IF(AND(K80&lt;&gt;"",K80&lt;0),"Expired - check before eating",IF(AND(K80&lt;&gt;"",K80&lt;=1),"Today - eat it now","OK"))))))</f>
        <v>0</v>
      </c>
    </row>
    <row r="81" spans="1:18">
      <c r="A81" s="39">
        <f>IF(B81="","",LeftoverPrefix&amp;TEXT(ROW()-4,"0000"))</f>
        <v>0</v>
      </c>
      <c r="D81" s="17">
        <f>IF(C81="","",IFERROR(INDEX(Recipes!$B$5:$B$204,MATCH(C81,Recipes!$A$5:$A$204,0)),"Not found"))</f>
        <v>0</v>
      </c>
      <c r="I81" s="18">
        <f>IF(G81="","",IF(G81="Freezer",FreezerDays,LeftoverDays))</f>
        <v>0</v>
      </c>
      <c r="J81" s="19">
        <f>IF(OR(E81="",I81=""),"",E81+I81)</f>
        <v>0</v>
      </c>
      <c r="K81" s="18">
        <f>IF(J81="","",J81-TODAY())</f>
        <v>0</v>
      </c>
      <c r="L81" s="25">
        <f>IF(C81="","",IFERROR(INDEX(Recipes!$AD$5:$AD$204,MATCH(C81,Recipes!$A$5:$A$204,0)),"Not found"))</f>
        <v>0</v>
      </c>
      <c r="M81" s="25">
        <f>IF(OR(F81="",L81="",NOT(ISNUMBER(L81))),"",F81*L81)</f>
        <v>0</v>
      </c>
      <c r="P81" s="18">
        <f>IF(OR(B81="",Q81="Eaten",Q81="Binned",NOT(ISNUMBER(K81))),"",COUNTIFS($Q$5:$Q$124,"&lt;&gt;Eaten",$Q$5:$Q$124,"&lt;&gt;Binned",$K$5:$K$124,"&lt;"&amp;K81)+COUNTIFS($Q$5:Q81,"&lt;&gt;Eaten",$Q$5:Q81,"&lt;&gt;Binned",$K$5:K81,K81))</f>
        <v>0</v>
      </c>
      <c r="R81" s="31">
        <f>IF(B81="","",IF(Q81="Eaten","OK - eaten",IF(Q81="Binned","Wasted - log the cost",IF(Q81="Frozen","OK - in the freezer",IF(AND(K81&lt;&gt;"",K81&lt;0),"Expired - check before eating",IF(AND(K81&lt;&gt;"",K81&lt;=1),"Today - eat it now","OK"))))))</f>
        <v>0</v>
      </c>
    </row>
    <row r="82" spans="1:18">
      <c r="A82" s="39">
        <f>IF(B82="","",LeftoverPrefix&amp;TEXT(ROW()-4,"0000"))</f>
        <v>0</v>
      </c>
      <c r="D82" s="17">
        <f>IF(C82="","",IFERROR(INDEX(Recipes!$B$5:$B$204,MATCH(C82,Recipes!$A$5:$A$204,0)),"Not found"))</f>
        <v>0</v>
      </c>
      <c r="I82" s="18">
        <f>IF(G82="","",IF(G82="Freezer",FreezerDays,LeftoverDays))</f>
        <v>0</v>
      </c>
      <c r="J82" s="19">
        <f>IF(OR(E82="",I82=""),"",E82+I82)</f>
        <v>0</v>
      </c>
      <c r="K82" s="18">
        <f>IF(J82="","",J82-TODAY())</f>
        <v>0</v>
      </c>
      <c r="L82" s="25">
        <f>IF(C82="","",IFERROR(INDEX(Recipes!$AD$5:$AD$204,MATCH(C82,Recipes!$A$5:$A$204,0)),"Not found"))</f>
        <v>0</v>
      </c>
      <c r="M82" s="25">
        <f>IF(OR(F82="",L82="",NOT(ISNUMBER(L82))),"",F82*L82)</f>
        <v>0</v>
      </c>
      <c r="P82" s="18">
        <f>IF(OR(B82="",Q82="Eaten",Q82="Binned",NOT(ISNUMBER(K82))),"",COUNTIFS($Q$5:$Q$124,"&lt;&gt;Eaten",$Q$5:$Q$124,"&lt;&gt;Binned",$K$5:$K$124,"&lt;"&amp;K82)+COUNTIFS($Q$5:Q82,"&lt;&gt;Eaten",$Q$5:Q82,"&lt;&gt;Binned",$K$5:K82,K82))</f>
        <v>0</v>
      </c>
      <c r="R82" s="31">
        <f>IF(B82="","",IF(Q82="Eaten","OK - eaten",IF(Q82="Binned","Wasted - log the cost",IF(Q82="Frozen","OK - in the freezer",IF(AND(K82&lt;&gt;"",K82&lt;0),"Expired - check before eating",IF(AND(K82&lt;&gt;"",K82&lt;=1),"Today - eat it now","OK"))))))</f>
        <v>0</v>
      </c>
    </row>
    <row r="83" spans="1:18">
      <c r="A83" s="39">
        <f>IF(B83="","",LeftoverPrefix&amp;TEXT(ROW()-4,"0000"))</f>
        <v>0</v>
      </c>
      <c r="D83" s="17">
        <f>IF(C83="","",IFERROR(INDEX(Recipes!$B$5:$B$204,MATCH(C83,Recipes!$A$5:$A$204,0)),"Not found"))</f>
        <v>0</v>
      </c>
      <c r="I83" s="18">
        <f>IF(G83="","",IF(G83="Freezer",FreezerDays,LeftoverDays))</f>
        <v>0</v>
      </c>
      <c r="J83" s="19">
        <f>IF(OR(E83="",I83=""),"",E83+I83)</f>
        <v>0</v>
      </c>
      <c r="K83" s="18">
        <f>IF(J83="","",J83-TODAY())</f>
        <v>0</v>
      </c>
      <c r="L83" s="25">
        <f>IF(C83="","",IFERROR(INDEX(Recipes!$AD$5:$AD$204,MATCH(C83,Recipes!$A$5:$A$204,0)),"Not found"))</f>
        <v>0</v>
      </c>
      <c r="M83" s="25">
        <f>IF(OR(F83="",L83="",NOT(ISNUMBER(L83))),"",F83*L83)</f>
        <v>0</v>
      </c>
      <c r="P83" s="18">
        <f>IF(OR(B83="",Q83="Eaten",Q83="Binned",NOT(ISNUMBER(K83))),"",COUNTIFS($Q$5:$Q$124,"&lt;&gt;Eaten",$Q$5:$Q$124,"&lt;&gt;Binned",$K$5:$K$124,"&lt;"&amp;K83)+COUNTIFS($Q$5:Q83,"&lt;&gt;Eaten",$Q$5:Q83,"&lt;&gt;Binned",$K$5:K83,K83))</f>
        <v>0</v>
      </c>
      <c r="R83" s="31">
        <f>IF(B83="","",IF(Q83="Eaten","OK - eaten",IF(Q83="Binned","Wasted - log the cost",IF(Q83="Frozen","OK - in the freezer",IF(AND(K83&lt;&gt;"",K83&lt;0),"Expired - check before eating",IF(AND(K83&lt;&gt;"",K83&lt;=1),"Today - eat it now","OK"))))))</f>
        <v>0</v>
      </c>
    </row>
    <row r="84" spans="1:18">
      <c r="A84" s="39">
        <f>IF(B84="","",LeftoverPrefix&amp;TEXT(ROW()-4,"0000"))</f>
        <v>0</v>
      </c>
      <c r="D84" s="17">
        <f>IF(C84="","",IFERROR(INDEX(Recipes!$B$5:$B$204,MATCH(C84,Recipes!$A$5:$A$204,0)),"Not found"))</f>
        <v>0</v>
      </c>
      <c r="I84" s="18">
        <f>IF(G84="","",IF(G84="Freezer",FreezerDays,LeftoverDays))</f>
        <v>0</v>
      </c>
      <c r="J84" s="19">
        <f>IF(OR(E84="",I84=""),"",E84+I84)</f>
        <v>0</v>
      </c>
      <c r="K84" s="18">
        <f>IF(J84="","",J84-TODAY())</f>
        <v>0</v>
      </c>
      <c r="L84" s="25">
        <f>IF(C84="","",IFERROR(INDEX(Recipes!$AD$5:$AD$204,MATCH(C84,Recipes!$A$5:$A$204,0)),"Not found"))</f>
        <v>0</v>
      </c>
      <c r="M84" s="25">
        <f>IF(OR(F84="",L84="",NOT(ISNUMBER(L84))),"",F84*L84)</f>
        <v>0</v>
      </c>
      <c r="P84" s="18">
        <f>IF(OR(B84="",Q84="Eaten",Q84="Binned",NOT(ISNUMBER(K84))),"",COUNTIFS($Q$5:$Q$124,"&lt;&gt;Eaten",$Q$5:$Q$124,"&lt;&gt;Binned",$K$5:$K$124,"&lt;"&amp;K84)+COUNTIFS($Q$5:Q84,"&lt;&gt;Eaten",$Q$5:Q84,"&lt;&gt;Binned",$K$5:K84,K84))</f>
        <v>0</v>
      </c>
      <c r="R84" s="31">
        <f>IF(B84="","",IF(Q84="Eaten","OK - eaten",IF(Q84="Binned","Wasted - log the cost",IF(Q84="Frozen","OK - in the freezer",IF(AND(K84&lt;&gt;"",K84&lt;0),"Expired - check before eating",IF(AND(K84&lt;&gt;"",K84&lt;=1),"Today - eat it now","OK"))))))</f>
        <v>0</v>
      </c>
    </row>
    <row r="85" spans="1:18">
      <c r="A85" s="39">
        <f>IF(B85="","",LeftoverPrefix&amp;TEXT(ROW()-4,"0000"))</f>
        <v>0</v>
      </c>
      <c r="D85" s="17">
        <f>IF(C85="","",IFERROR(INDEX(Recipes!$B$5:$B$204,MATCH(C85,Recipes!$A$5:$A$204,0)),"Not found"))</f>
        <v>0</v>
      </c>
      <c r="I85" s="18">
        <f>IF(G85="","",IF(G85="Freezer",FreezerDays,LeftoverDays))</f>
        <v>0</v>
      </c>
      <c r="J85" s="19">
        <f>IF(OR(E85="",I85=""),"",E85+I85)</f>
        <v>0</v>
      </c>
      <c r="K85" s="18">
        <f>IF(J85="","",J85-TODAY())</f>
        <v>0</v>
      </c>
      <c r="L85" s="25">
        <f>IF(C85="","",IFERROR(INDEX(Recipes!$AD$5:$AD$204,MATCH(C85,Recipes!$A$5:$A$204,0)),"Not found"))</f>
        <v>0</v>
      </c>
      <c r="M85" s="25">
        <f>IF(OR(F85="",L85="",NOT(ISNUMBER(L85))),"",F85*L85)</f>
        <v>0</v>
      </c>
      <c r="P85" s="18">
        <f>IF(OR(B85="",Q85="Eaten",Q85="Binned",NOT(ISNUMBER(K85))),"",COUNTIFS($Q$5:$Q$124,"&lt;&gt;Eaten",$Q$5:$Q$124,"&lt;&gt;Binned",$K$5:$K$124,"&lt;"&amp;K85)+COUNTIFS($Q$5:Q85,"&lt;&gt;Eaten",$Q$5:Q85,"&lt;&gt;Binned",$K$5:K85,K85))</f>
        <v>0</v>
      </c>
      <c r="R85" s="31">
        <f>IF(B85="","",IF(Q85="Eaten","OK - eaten",IF(Q85="Binned","Wasted - log the cost",IF(Q85="Frozen","OK - in the freezer",IF(AND(K85&lt;&gt;"",K85&lt;0),"Expired - check before eating",IF(AND(K85&lt;&gt;"",K85&lt;=1),"Today - eat it now","OK"))))))</f>
        <v>0</v>
      </c>
    </row>
    <row r="86" spans="1:18">
      <c r="A86" s="39">
        <f>IF(B86="","",LeftoverPrefix&amp;TEXT(ROW()-4,"0000"))</f>
        <v>0</v>
      </c>
      <c r="D86" s="17">
        <f>IF(C86="","",IFERROR(INDEX(Recipes!$B$5:$B$204,MATCH(C86,Recipes!$A$5:$A$204,0)),"Not found"))</f>
        <v>0</v>
      </c>
      <c r="I86" s="18">
        <f>IF(G86="","",IF(G86="Freezer",FreezerDays,LeftoverDays))</f>
        <v>0</v>
      </c>
      <c r="J86" s="19">
        <f>IF(OR(E86="",I86=""),"",E86+I86)</f>
        <v>0</v>
      </c>
      <c r="K86" s="18">
        <f>IF(J86="","",J86-TODAY())</f>
        <v>0</v>
      </c>
      <c r="L86" s="25">
        <f>IF(C86="","",IFERROR(INDEX(Recipes!$AD$5:$AD$204,MATCH(C86,Recipes!$A$5:$A$204,0)),"Not found"))</f>
        <v>0</v>
      </c>
      <c r="M86" s="25">
        <f>IF(OR(F86="",L86="",NOT(ISNUMBER(L86))),"",F86*L86)</f>
        <v>0</v>
      </c>
      <c r="P86" s="18">
        <f>IF(OR(B86="",Q86="Eaten",Q86="Binned",NOT(ISNUMBER(K86))),"",COUNTIFS($Q$5:$Q$124,"&lt;&gt;Eaten",$Q$5:$Q$124,"&lt;&gt;Binned",$K$5:$K$124,"&lt;"&amp;K86)+COUNTIFS($Q$5:Q86,"&lt;&gt;Eaten",$Q$5:Q86,"&lt;&gt;Binned",$K$5:K86,K86))</f>
        <v>0</v>
      </c>
      <c r="R86" s="31">
        <f>IF(B86="","",IF(Q86="Eaten","OK - eaten",IF(Q86="Binned","Wasted - log the cost",IF(Q86="Frozen","OK - in the freezer",IF(AND(K86&lt;&gt;"",K86&lt;0),"Expired - check before eating",IF(AND(K86&lt;&gt;"",K86&lt;=1),"Today - eat it now","OK"))))))</f>
        <v>0</v>
      </c>
    </row>
    <row r="87" spans="1:18">
      <c r="A87" s="39">
        <f>IF(B87="","",LeftoverPrefix&amp;TEXT(ROW()-4,"0000"))</f>
        <v>0</v>
      </c>
      <c r="D87" s="17">
        <f>IF(C87="","",IFERROR(INDEX(Recipes!$B$5:$B$204,MATCH(C87,Recipes!$A$5:$A$204,0)),"Not found"))</f>
        <v>0</v>
      </c>
      <c r="I87" s="18">
        <f>IF(G87="","",IF(G87="Freezer",FreezerDays,LeftoverDays))</f>
        <v>0</v>
      </c>
      <c r="J87" s="19">
        <f>IF(OR(E87="",I87=""),"",E87+I87)</f>
        <v>0</v>
      </c>
      <c r="K87" s="18">
        <f>IF(J87="","",J87-TODAY())</f>
        <v>0</v>
      </c>
      <c r="L87" s="25">
        <f>IF(C87="","",IFERROR(INDEX(Recipes!$AD$5:$AD$204,MATCH(C87,Recipes!$A$5:$A$204,0)),"Not found"))</f>
        <v>0</v>
      </c>
      <c r="M87" s="25">
        <f>IF(OR(F87="",L87="",NOT(ISNUMBER(L87))),"",F87*L87)</f>
        <v>0</v>
      </c>
      <c r="P87" s="18">
        <f>IF(OR(B87="",Q87="Eaten",Q87="Binned",NOT(ISNUMBER(K87))),"",COUNTIFS($Q$5:$Q$124,"&lt;&gt;Eaten",$Q$5:$Q$124,"&lt;&gt;Binned",$K$5:$K$124,"&lt;"&amp;K87)+COUNTIFS($Q$5:Q87,"&lt;&gt;Eaten",$Q$5:Q87,"&lt;&gt;Binned",$K$5:K87,K87))</f>
        <v>0</v>
      </c>
      <c r="R87" s="31">
        <f>IF(B87="","",IF(Q87="Eaten","OK - eaten",IF(Q87="Binned","Wasted - log the cost",IF(Q87="Frozen","OK - in the freezer",IF(AND(K87&lt;&gt;"",K87&lt;0),"Expired - check before eating",IF(AND(K87&lt;&gt;"",K87&lt;=1),"Today - eat it now","OK"))))))</f>
        <v>0</v>
      </c>
    </row>
    <row r="88" spans="1:18">
      <c r="A88" s="39">
        <f>IF(B88="","",LeftoverPrefix&amp;TEXT(ROW()-4,"0000"))</f>
        <v>0</v>
      </c>
      <c r="D88" s="17">
        <f>IF(C88="","",IFERROR(INDEX(Recipes!$B$5:$B$204,MATCH(C88,Recipes!$A$5:$A$204,0)),"Not found"))</f>
        <v>0</v>
      </c>
      <c r="I88" s="18">
        <f>IF(G88="","",IF(G88="Freezer",FreezerDays,LeftoverDays))</f>
        <v>0</v>
      </c>
      <c r="J88" s="19">
        <f>IF(OR(E88="",I88=""),"",E88+I88)</f>
        <v>0</v>
      </c>
      <c r="K88" s="18">
        <f>IF(J88="","",J88-TODAY())</f>
        <v>0</v>
      </c>
      <c r="L88" s="25">
        <f>IF(C88="","",IFERROR(INDEX(Recipes!$AD$5:$AD$204,MATCH(C88,Recipes!$A$5:$A$204,0)),"Not found"))</f>
        <v>0</v>
      </c>
      <c r="M88" s="25">
        <f>IF(OR(F88="",L88="",NOT(ISNUMBER(L88))),"",F88*L88)</f>
        <v>0</v>
      </c>
      <c r="P88" s="18">
        <f>IF(OR(B88="",Q88="Eaten",Q88="Binned",NOT(ISNUMBER(K88))),"",COUNTIFS($Q$5:$Q$124,"&lt;&gt;Eaten",$Q$5:$Q$124,"&lt;&gt;Binned",$K$5:$K$124,"&lt;"&amp;K88)+COUNTIFS($Q$5:Q88,"&lt;&gt;Eaten",$Q$5:Q88,"&lt;&gt;Binned",$K$5:K88,K88))</f>
        <v>0</v>
      </c>
      <c r="R88" s="31">
        <f>IF(B88="","",IF(Q88="Eaten","OK - eaten",IF(Q88="Binned","Wasted - log the cost",IF(Q88="Frozen","OK - in the freezer",IF(AND(K88&lt;&gt;"",K88&lt;0),"Expired - check before eating",IF(AND(K88&lt;&gt;"",K88&lt;=1),"Today - eat it now","OK"))))))</f>
        <v>0</v>
      </c>
    </row>
    <row r="89" spans="1:18">
      <c r="A89" s="39">
        <f>IF(B89="","",LeftoverPrefix&amp;TEXT(ROW()-4,"0000"))</f>
        <v>0</v>
      </c>
      <c r="D89" s="17">
        <f>IF(C89="","",IFERROR(INDEX(Recipes!$B$5:$B$204,MATCH(C89,Recipes!$A$5:$A$204,0)),"Not found"))</f>
        <v>0</v>
      </c>
      <c r="I89" s="18">
        <f>IF(G89="","",IF(G89="Freezer",FreezerDays,LeftoverDays))</f>
        <v>0</v>
      </c>
      <c r="J89" s="19">
        <f>IF(OR(E89="",I89=""),"",E89+I89)</f>
        <v>0</v>
      </c>
      <c r="K89" s="18">
        <f>IF(J89="","",J89-TODAY())</f>
        <v>0</v>
      </c>
      <c r="L89" s="25">
        <f>IF(C89="","",IFERROR(INDEX(Recipes!$AD$5:$AD$204,MATCH(C89,Recipes!$A$5:$A$204,0)),"Not found"))</f>
        <v>0</v>
      </c>
      <c r="M89" s="25">
        <f>IF(OR(F89="",L89="",NOT(ISNUMBER(L89))),"",F89*L89)</f>
        <v>0</v>
      </c>
      <c r="P89" s="18">
        <f>IF(OR(B89="",Q89="Eaten",Q89="Binned",NOT(ISNUMBER(K89))),"",COUNTIFS($Q$5:$Q$124,"&lt;&gt;Eaten",$Q$5:$Q$124,"&lt;&gt;Binned",$K$5:$K$124,"&lt;"&amp;K89)+COUNTIFS($Q$5:Q89,"&lt;&gt;Eaten",$Q$5:Q89,"&lt;&gt;Binned",$K$5:K89,K89))</f>
        <v>0</v>
      </c>
      <c r="R89" s="31">
        <f>IF(B89="","",IF(Q89="Eaten","OK - eaten",IF(Q89="Binned","Wasted - log the cost",IF(Q89="Frozen","OK - in the freezer",IF(AND(K89&lt;&gt;"",K89&lt;0),"Expired - check before eating",IF(AND(K89&lt;&gt;"",K89&lt;=1),"Today - eat it now","OK"))))))</f>
        <v>0</v>
      </c>
    </row>
    <row r="90" spans="1:18">
      <c r="A90" s="39">
        <f>IF(B90="","",LeftoverPrefix&amp;TEXT(ROW()-4,"0000"))</f>
        <v>0</v>
      </c>
      <c r="D90" s="17">
        <f>IF(C90="","",IFERROR(INDEX(Recipes!$B$5:$B$204,MATCH(C90,Recipes!$A$5:$A$204,0)),"Not found"))</f>
        <v>0</v>
      </c>
      <c r="I90" s="18">
        <f>IF(G90="","",IF(G90="Freezer",FreezerDays,LeftoverDays))</f>
        <v>0</v>
      </c>
      <c r="J90" s="19">
        <f>IF(OR(E90="",I90=""),"",E90+I90)</f>
        <v>0</v>
      </c>
      <c r="K90" s="18">
        <f>IF(J90="","",J90-TODAY())</f>
        <v>0</v>
      </c>
      <c r="L90" s="25">
        <f>IF(C90="","",IFERROR(INDEX(Recipes!$AD$5:$AD$204,MATCH(C90,Recipes!$A$5:$A$204,0)),"Not found"))</f>
        <v>0</v>
      </c>
      <c r="M90" s="25">
        <f>IF(OR(F90="",L90="",NOT(ISNUMBER(L90))),"",F90*L90)</f>
        <v>0</v>
      </c>
      <c r="P90" s="18">
        <f>IF(OR(B90="",Q90="Eaten",Q90="Binned",NOT(ISNUMBER(K90))),"",COUNTIFS($Q$5:$Q$124,"&lt;&gt;Eaten",$Q$5:$Q$124,"&lt;&gt;Binned",$K$5:$K$124,"&lt;"&amp;K90)+COUNTIFS($Q$5:Q90,"&lt;&gt;Eaten",$Q$5:Q90,"&lt;&gt;Binned",$K$5:K90,K90))</f>
        <v>0</v>
      </c>
      <c r="R90" s="31">
        <f>IF(B90="","",IF(Q90="Eaten","OK - eaten",IF(Q90="Binned","Wasted - log the cost",IF(Q90="Frozen","OK - in the freezer",IF(AND(K90&lt;&gt;"",K90&lt;0),"Expired - check before eating",IF(AND(K90&lt;&gt;"",K90&lt;=1),"Today - eat it now","OK"))))))</f>
        <v>0</v>
      </c>
    </row>
    <row r="91" spans="1:18">
      <c r="A91" s="39">
        <f>IF(B91="","",LeftoverPrefix&amp;TEXT(ROW()-4,"0000"))</f>
        <v>0</v>
      </c>
      <c r="D91" s="17">
        <f>IF(C91="","",IFERROR(INDEX(Recipes!$B$5:$B$204,MATCH(C91,Recipes!$A$5:$A$204,0)),"Not found"))</f>
        <v>0</v>
      </c>
      <c r="I91" s="18">
        <f>IF(G91="","",IF(G91="Freezer",FreezerDays,LeftoverDays))</f>
        <v>0</v>
      </c>
      <c r="J91" s="19">
        <f>IF(OR(E91="",I91=""),"",E91+I91)</f>
        <v>0</v>
      </c>
      <c r="K91" s="18">
        <f>IF(J91="","",J91-TODAY())</f>
        <v>0</v>
      </c>
      <c r="L91" s="25">
        <f>IF(C91="","",IFERROR(INDEX(Recipes!$AD$5:$AD$204,MATCH(C91,Recipes!$A$5:$A$204,0)),"Not found"))</f>
        <v>0</v>
      </c>
      <c r="M91" s="25">
        <f>IF(OR(F91="",L91="",NOT(ISNUMBER(L91))),"",F91*L91)</f>
        <v>0</v>
      </c>
      <c r="P91" s="18">
        <f>IF(OR(B91="",Q91="Eaten",Q91="Binned",NOT(ISNUMBER(K91))),"",COUNTIFS($Q$5:$Q$124,"&lt;&gt;Eaten",$Q$5:$Q$124,"&lt;&gt;Binned",$K$5:$K$124,"&lt;"&amp;K91)+COUNTIFS($Q$5:Q91,"&lt;&gt;Eaten",$Q$5:Q91,"&lt;&gt;Binned",$K$5:K91,K91))</f>
        <v>0</v>
      </c>
      <c r="R91" s="31">
        <f>IF(B91="","",IF(Q91="Eaten","OK - eaten",IF(Q91="Binned","Wasted - log the cost",IF(Q91="Frozen","OK - in the freezer",IF(AND(K91&lt;&gt;"",K91&lt;0),"Expired - check before eating",IF(AND(K91&lt;&gt;"",K91&lt;=1),"Today - eat it now","OK"))))))</f>
        <v>0</v>
      </c>
    </row>
    <row r="92" spans="1:18">
      <c r="A92" s="39">
        <f>IF(B92="","",LeftoverPrefix&amp;TEXT(ROW()-4,"0000"))</f>
        <v>0</v>
      </c>
      <c r="D92" s="17">
        <f>IF(C92="","",IFERROR(INDEX(Recipes!$B$5:$B$204,MATCH(C92,Recipes!$A$5:$A$204,0)),"Not found"))</f>
        <v>0</v>
      </c>
      <c r="I92" s="18">
        <f>IF(G92="","",IF(G92="Freezer",FreezerDays,LeftoverDays))</f>
        <v>0</v>
      </c>
      <c r="J92" s="19">
        <f>IF(OR(E92="",I92=""),"",E92+I92)</f>
        <v>0</v>
      </c>
      <c r="K92" s="18">
        <f>IF(J92="","",J92-TODAY())</f>
        <v>0</v>
      </c>
      <c r="L92" s="25">
        <f>IF(C92="","",IFERROR(INDEX(Recipes!$AD$5:$AD$204,MATCH(C92,Recipes!$A$5:$A$204,0)),"Not found"))</f>
        <v>0</v>
      </c>
      <c r="M92" s="25">
        <f>IF(OR(F92="",L92="",NOT(ISNUMBER(L92))),"",F92*L92)</f>
        <v>0</v>
      </c>
      <c r="P92" s="18">
        <f>IF(OR(B92="",Q92="Eaten",Q92="Binned",NOT(ISNUMBER(K92))),"",COUNTIFS($Q$5:$Q$124,"&lt;&gt;Eaten",$Q$5:$Q$124,"&lt;&gt;Binned",$K$5:$K$124,"&lt;"&amp;K92)+COUNTIFS($Q$5:Q92,"&lt;&gt;Eaten",$Q$5:Q92,"&lt;&gt;Binned",$K$5:K92,K92))</f>
        <v>0</v>
      </c>
      <c r="R92" s="31">
        <f>IF(B92="","",IF(Q92="Eaten","OK - eaten",IF(Q92="Binned","Wasted - log the cost",IF(Q92="Frozen","OK - in the freezer",IF(AND(K92&lt;&gt;"",K92&lt;0),"Expired - check before eating",IF(AND(K92&lt;&gt;"",K92&lt;=1),"Today - eat it now","OK"))))))</f>
        <v>0</v>
      </c>
    </row>
    <row r="93" spans="1:18">
      <c r="A93" s="39">
        <f>IF(B93="","",LeftoverPrefix&amp;TEXT(ROW()-4,"0000"))</f>
        <v>0</v>
      </c>
      <c r="D93" s="17">
        <f>IF(C93="","",IFERROR(INDEX(Recipes!$B$5:$B$204,MATCH(C93,Recipes!$A$5:$A$204,0)),"Not found"))</f>
        <v>0</v>
      </c>
      <c r="I93" s="18">
        <f>IF(G93="","",IF(G93="Freezer",FreezerDays,LeftoverDays))</f>
        <v>0</v>
      </c>
      <c r="J93" s="19">
        <f>IF(OR(E93="",I93=""),"",E93+I93)</f>
        <v>0</v>
      </c>
      <c r="K93" s="18">
        <f>IF(J93="","",J93-TODAY())</f>
        <v>0</v>
      </c>
      <c r="L93" s="25">
        <f>IF(C93="","",IFERROR(INDEX(Recipes!$AD$5:$AD$204,MATCH(C93,Recipes!$A$5:$A$204,0)),"Not found"))</f>
        <v>0</v>
      </c>
      <c r="M93" s="25">
        <f>IF(OR(F93="",L93="",NOT(ISNUMBER(L93))),"",F93*L93)</f>
        <v>0</v>
      </c>
      <c r="P93" s="18">
        <f>IF(OR(B93="",Q93="Eaten",Q93="Binned",NOT(ISNUMBER(K93))),"",COUNTIFS($Q$5:$Q$124,"&lt;&gt;Eaten",$Q$5:$Q$124,"&lt;&gt;Binned",$K$5:$K$124,"&lt;"&amp;K93)+COUNTIFS($Q$5:Q93,"&lt;&gt;Eaten",$Q$5:Q93,"&lt;&gt;Binned",$K$5:K93,K93))</f>
        <v>0</v>
      </c>
      <c r="R93" s="31">
        <f>IF(B93="","",IF(Q93="Eaten","OK - eaten",IF(Q93="Binned","Wasted - log the cost",IF(Q93="Frozen","OK - in the freezer",IF(AND(K93&lt;&gt;"",K93&lt;0),"Expired - check before eating",IF(AND(K93&lt;&gt;"",K93&lt;=1),"Today - eat it now","OK"))))))</f>
        <v>0</v>
      </c>
    </row>
    <row r="94" spans="1:18">
      <c r="A94" s="39">
        <f>IF(B94="","",LeftoverPrefix&amp;TEXT(ROW()-4,"0000"))</f>
        <v>0</v>
      </c>
      <c r="D94" s="17">
        <f>IF(C94="","",IFERROR(INDEX(Recipes!$B$5:$B$204,MATCH(C94,Recipes!$A$5:$A$204,0)),"Not found"))</f>
        <v>0</v>
      </c>
      <c r="I94" s="18">
        <f>IF(G94="","",IF(G94="Freezer",FreezerDays,LeftoverDays))</f>
        <v>0</v>
      </c>
      <c r="J94" s="19">
        <f>IF(OR(E94="",I94=""),"",E94+I94)</f>
        <v>0</v>
      </c>
      <c r="K94" s="18">
        <f>IF(J94="","",J94-TODAY())</f>
        <v>0</v>
      </c>
      <c r="L94" s="25">
        <f>IF(C94="","",IFERROR(INDEX(Recipes!$AD$5:$AD$204,MATCH(C94,Recipes!$A$5:$A$204,0)),"Not found"))</f>
        <v>0</v>
      </c>
      <c r="M94" s="25">
        <f>IF(OR(F94="",L94="",NOT(ISNUMBER(L94))),"",F94*L94)</f>
        <v>0</v>
      </c>
      <c r="P94" s="18">
        <f>IF(OR(B94="",Q94="Eaten",Q94="Binned",NOT(ISNUMBER(K94))),"",COUNTIFS($Q$5:$Q$124,"&lt;&gt;Eaten",$Q$5:$Q$124,"&lt;&gt;Binned",$K$5:$K$124,"&lt;"&amp;K94)+COUNTIFS($Q$5:Q94,"&lt;&gt;Eaten",$Q$5:Q94,"&lt;&gt;Binned",$K$5:K94,K94))</f>
        <v>0</v>
      </c>
      <c r="R94" s="31">
        <f>IF(B94="","",IF(Q94="Eaten","OK - eaten",IF(Q94="Binned","Wasted - log the cost",IF(Q94="Frozen","OK - in the freezer",IF(AND(K94&lt;&gt;"",K94&lt;0),"Expired - check before eating",IF(AND(K94&lt;&gt;"",K94&lt;=1),"Today - eat it now","OK"))))))</f>
        <v>0</v>
      </c>
    </row>
    <row r="95" spans="1:18">
      <c r="A95" s="39">
        <f>IF(B95="","",LeftoverPrefix&amp;TEXT(ROW()-4,"0000"))</f>
        <v>0</v>
      </c>
      <c r="D95" s="17">
        <f>IF(C95="","",IFERROR(INDEX(Recipes!$B$5:$B$204,MATCH(C95,Recipes!$A$5:$A$204,0)),"Not found"))</f>
        <v>0</v>
      </c>
      <c r="I95" s="18">
        <f>IF(G95="","",IF(G95="Freezer",FreezerDays,LeftoverDays))</f>
        <v>0</v>
      </c>
      <c r="J95" s="19">
        <f>IF(OR(E95="",I95=""),"",E95+I95)</f>
        <v>0</v>
      </c>
      <c r="K95" s="18">
        <f>IF(J95="","",J95-TODAY())</f>
        <v>0</v>
      </c>
      <c r="L95" s="25">
        <f>IF(C95="","",IFERROR(INDEX(Recipes!$AD$5:$AD$204,MATCH(C95,Recipes!$A$5:$A$204,0)),"Not found"))</f>
        <v>0</v>
      </c>
      <c r="M95" s="25">
        <f>IF(OR(F95="",L95="",NOT(ISNUMBER(L95))),"",F95*L95)</f>
        <v>0</v>
      </c>
      <c r="P95" s="18">
        <f>IF(OR(B95="",Q95="Eaten",Q95="Binned",NOT(ISNUMBER(K95))),"",COUNTIFS($Q$5:$Q$124,"&lt;&gt;Eaten",$Q$5:$Q$124,"&lt;&gt;Binned",$K$5:$K$124,"&lt;"&amp;K95)+COUNTIFS($Q$5:Q95,"&lt;&gt;Eaten",$Q$5:Q95,"&lt;&gt;Binned",$K$5:K95,K95))</f>
        <v>0</v>
      </c>
      <c r="R95" s="31">
        <f>IF(B95="","",IF(Q95="Eaten","OK - eaten",IF(Q95="Binned","Wasted - log the cost",IF(Q95="Frozen","OK - in the freezer",IF(AND(K95&lt;&gt;"",K95&lt;0),"Expired - check before eating",IF(AND(K95&lt;&gt;"",K95&lt;=1),"Today - eat it now","OK"))))))</f>
        <v>0</v>
      </c>
    </row>
    <row r="96" spans="1:18">
      <c r="A96" s="39">
        <f>IF(B96="","",LeftoverPrefix&amp;TEXT(ROW()-4,"0000"))</f>
        <v>0</v>
      </c>
      <c r="D96" s="17">
        <f>IF(C96="","",IFERROR(INDEX(Recipes!$B$5:$B$204,MATCH(C96,Recipes!$A$5:$A$204,0)),"Not found"))</f>
        <v>0</v>
      </c>
      <c r="I96" s="18">
        <f>IF(G96="","",IF(G96="Freezer",FreezerDays,LeftoverDays))</f>
        <v>0</v>
      </c>
      <c r="J96" s="19">
        <f>IF(OR(E96="",I96=""),"",E96+I96)</f>
        <v>0</v>
      </c>
      <c r="K96" s="18">
        <f>IF(J96="","",J96-TODAY())</f>
        <v>0</v>
      </c>
      <c r="L96" s="25">
        <f>IF(C96="","",IFERROR(INDEX(Recipes!$AD$5:$AD$204,MATCH(C96,Recipes!$A$5:$A$204,0)),"Not found"))</f>
        <v>0</v>
      </c>
      <c r="M96" s="25">
        <f>IF(OR(F96="",L96="",NOT(ISNUMBER(L96))),"",F96*L96)</f>
        <v>0</v>
      </c>
      <c r="P96" s="18">
        <f>IF(OR(B96="",Q96="Eaten",Q96="Binned",NOT(ISNUMBER(K96))),"",COUNTIFS($Q$5:$Q$124,"&lt;&gt;Eaten",$Q$5:$Q$124,"&lt;&gt;Binned",$K$5:$K$124,"&lt;"&amp;K96)+COUNTIFS($Q$5:Q96,"&lt;&gt;Eaten",$Q$5:Q96,"&lt;&gt;Binned",$K$5:K96,K96))</f>
        <v>0</v>
      </c>
      <c r="R96" s="31">
        <f>IF(B96="","",IF(Q96="Eaten","OK - eaten",IF(Q96="Binned","Wasted - log the cost",IF(Q96="Frozen","OK - in the freezer",IF(AND(K96&lt;&gt;"",K96&lt;0),"Expired - check before eating",IF(AND(K96&lt;&gt;"",K96&lt;=1),"Today - eat it now","OK"))))))</f>
        <v>0</v>
      </c>
    </row>
    <row r="97" spans="1:18">
      <c r="A97" s="39">
        <f>IF(B97="","",LeftoverPrefix&amp;TEXT(ROW()-4,"0000"))</f>
        <v>0</v>
      </c>
      <c r="D97" s="17">
        <f>IF(C97="","",IFERROR(INDEX(Recipes!$B$5:$B$204,MATCH(C97,Recipes!$A$5:$A$204,0)),"Not found"))</f>
        <v>0</v>
      </c>
      <c r="I97" s="18">
        <f>IF(G97="","",IF(G97="Freezer",FreezerDays,LeftoverDays))</f>
        <v>0</v>
      </c>
      <c r="J97" s="19">
        <f>IF(OR(E97="",I97=""),"",E97+I97)</f>
        <v>0</v>
      </c>
      <c r="K97" s="18">
        <f>IF(J97="","",J97-TODAY())</f>
        <v>0</v>
      </c>
      <c r="L97" s="25">
        <f>IF(C97="","",IFERROR(INDEX(Recipes!$AD$5:$AD$204,MATCH(C97,Recipes!$A$5:$A$204,0)),"Not found"))</f>
        <v>0</v>
      </c>
      <c r="M97" s="25">
        <f>IF(OR(F97="",L97="",NOT(ISNUMBER(L97))),"",F97*L97)</f>
        <v>0</v>
      </c>
      <c r="P97" s="18">
        <f>IF(OR(B97="",Q97="Eaten",Q97="Binned",NOT(ISNUMBER(K97))),"",COUNTIFS($Q$5:$Q$124,"&lt;&gt;Eaten",$Q$5:$Q$124,"&lt;&gt;Binned",$K$5:$K$124,"&lt;"&amp;K97)+COUNTIFS($Q$5:Q97,"&lt;&gt;Eaten",$Q$5:Q97,"&lt;&gt;Binned",$K$5:K97,K97))</f>
        <v>0</v>
      </c>
      <c r="R97" s="31">
        <f>IF(B97="","",IF(Q97="Eaten","OK - eaten",IF(Q97="Binned","Wasted - log the cost",IF(Q97="Frozen","OK - in the freezer",IF(AND(K97&lt;&gt;"",K97&lt;0),"Expired - check before eating",IF(AND(K97&lt;&gt;"",K97&lt;=1),"Today - eat it now","OK"))))))</f>
        <v>0</v>
      </c>
    </row>
    <row r="98" spans="1:18">
      <c r="A98" s="39">
        <f>IF(B98="","",LeftoverPrefix&amp;TEXT(ROW()-4,"0000"))</f>
        <v>0</v>
      </c>
      <c r="D98" s="17">
        <f>IF(C98="","",IFERROR(INDEX(Recipes!$B$5:$B$204,MATCH(C98,Recipes!$A$5:$A$204,0)),"Not found"))</f>
        <v>0</v>
      </c>
      <c r="I98" s="18">
        <f>IF(G98="","",IF(G98="Freezer",FreezerDays,LeftoverDays))</f>
        <v>0</v>
      </c>
      <c r="J98" s="19">
        <f>IF(OR(E98="",I98=""),"",E98+I98)</f>
        <v>0</v>
      </c>
      <c r="K98" s="18">
        <f>IF(J98="","",J98-TODAY())</f>
        <v>0</v>
      </c>
      <c r="L98" s="25">
        <f>IF(C98="","",IFERROR(INDEX(Recipes!$AD$5:$AD$204,MATCH(C98,Recipes!$A$5:$A$204,0)),"Not found"))</f>
        <v>0</v>
      </c>
      <c r="M98" s="25">
        <f>IF(OR(F98="",L98="",NOT(ISNUMBER(L98))),"",F98*L98)</f>
        <v>0</v>
      </c>
      <c r="P98" s="18">
        <f>IF(OR(B98="",Q98="Eaten",Q98="Binned",NOT(ISNUMBER(K98))),"",COUNTIFS($Q$5:$Q$124,"&lt;&gt;Eaten",$Q$5:$Q$124,"&lt;&gt;Binned",$K$5:$K$124,"&lt;"&amp;K98)+COUNTIFS($Q$5:Q98,"&lt;&gt;Eaten",$Q$5:Q98,"&lt;&gt;Binned",$K$5:K98,K98))</f>
        <v>0</v>
      </c>
      <c r="R98" s="31">
        <f>IF(B98="","",IF(Q98="Eaten","OK - eaten",IF(Q98="Binned","Wasted - log the cost",IF(Q98="Frozen","OK - in the freezer",IF(AND(K98&lt;&gt;"",K98&lt;0),"Expired - check before eating",IF(AND(K98&lt;&gt;"",K98&lt;=1),"Today - eat it now","OK"))))))</f>
        <v>0</v>
      </c>
    </row>
    <row r="99" spans="1:18">
      <c r="A99" s="39">
        <f>IF(B99="","",LeftoverPrefix&amp;TEXT(ROW()-4,"0000"))</f>
        <v>0</v>
      </c>
      <c r="D99" s="17">
        <f>IF(C99="","",IFERROR(INDEX(Recipes!$B$5:$B$204,MATCH(C99,Recipes!$A$5:$A$204,0)),"Not found"))</f>
        <v>0</v>
      </c>
      <c r="I99" s="18">
        <f>IF(G99="","",IF(G99="Freezer",FreezerDays,LeftoverDays))</f>
        <v>0</v>
      </c>
      <c r="J99" s="19">
        <f>IF(OR(E99="",I99=""),"",E99+I99)</f>
        <v>0</v>
      </c>
      <c r="K99" s="18">
        <f>IF(J99="","",J99-TODAY())</f>
        <v>0</v>
      </c>
      <c r="L99" s="25">
        <f>IF(C99="","",IFERROR(INDEX(Recipes!$AD$5:$AD$204,MATCH(C99,Recipes!$A$5:$A$204,0)),"Not found"))</f>
        <v>0</v>
      </c>
      <c r="M99" s="25">
        <f>IF(OR(F99="",L99="",NOT(ISNUMBER(L99))),"",F99*L99)</f>
        <v>0</v>
      </c>
      <c r="P99" s="18">
        <f>IF(OR(B99="",Q99="Eaten",Q99="Binned",NOT(ISNUMBER(K99))),"",COUNTIFS($Q$5:$Q$124,"&lt;&gt;Eaten",$Q$5:$Q$124,"&lt;&gt;Binned",$K$5:$K$124,"&lt;"&amp;K99)+COUNTIFS($Q$5:Q99,"&lt;&gt;Eaten",$Q$5:Q99,"&lt;&gt;Binned",$K$5:K99,K99))</f>
        <v>0</v>
      </c>
      <c r="R99" s="31">
        <f>IF(B99="","",IF(Q99="Eaten","OK - eaten",IF(Q99="Binned","Wasted - log the cost",IF(Q99="Frozen","OK - in the freezer",IF(AND(K99&lt;&gt;"",K99&lt;0),"Expired - check before eating",IF(AND(K99&lt;&gt;"",K99&lt;=1),"Today - eat it now","OK"))))))</f>
        <v>0</v>
      </c>
    </row>
    <row r="100" spans="1:18">
      <c r="A100" s="39">
        <f>IF(B100="","",LeftoverPrefix&amp;TEXT(ROW()-4,"0000"))</f>
        <v>0</v>
      </c>
      <c r="D100" s="17">
        <f>IF(C100="","",IFERROR(INDEX(Recipes!$B$5:$B$204,MATCH(C100,Recipes!$A$5:$A$204,0)),"Not found"))</f>
        <v>0</v>
      </c>
      <c r="I100" s="18">
        <f>IF(G100="","",IF(G100="Freezer",FreezerDays,LeftoverDays))</f>
        <v>0</v>
      </c>
      <c r="J100" s="19">
        <f>IF(OR(E100="",I100=""),"",E100+I100)</f>
        <v>0</v>
      </c>
      <c r="K100" s="18">
        <f>IF(J100="","",J100-TODAY())</f>
        <v>0</v>
      </c>
      <c r="L100" s="25">
        <f>IF(C100="","",IFERROR(INDEX(Recipes!$AD$5:$AD$204,MATCH(C100,Recipes!$A$5:$A$204,0)),"Not found"))</f>
        <v>0</v>
      </c>
      <c r="M100" s="25">
        <f>IF(OR(F100="",L100="",NOT(ISNUMBER(L100))),"",F100*L100)</f>
        <v>0</v>
      </c>
      <c r="P100" s="18">
        <f>IF(OR(B100="",Q100="Eaten",Q100="Binned",NOT(ISNUMBER(K100))),"",COUNTIFS($Q$5:$Q$124,"&lt;&gt;Eaten",$Q$5:$Q$124,"&lt;&gt;Binned",$K$5:$K$124,"&lt;"&amp;K100)+COUNTIFS($Q$5:Q100,"&lt;&gt;Eaten",$Q$5:Q100,"&lt;&gt;Binned",$K$5:K100,K100))</f>
        <v>0</v>
      </c>
      <c r="R100" s="31">
        <f>IF(B100="","",IF(Q100="Eaten","OK - eaten",IF(Q100="Binned","Wasted - log the cost",IF(Q100="Frozen","OK - in the freezer",IF(AND(K100&lt;&gt;"",K100&lt;0),"Expired - check before eating",IF(AND(K100&lt;&gt;"",K100&lt;=1),"Today - eat it now","OK"))))))</f>
        <v>0</v>
      </c>
    </row>
    <row r="101" spans="1:18">
      <c r="A101" s="39">
        <f>IF(B101="","",LeftoverPrefix&amp;TEXT(ROW()-4,"0000"))</f>
        <v>0</v>
      </c>
      <c r="D101" s="17">
        <f>IF(C101="","",IFERROR(INDEX(Recipes!$B$5:$B$204,MATCH(C101,Recipes!$A$5:$A$204,0)),"Not found"))</f>
        <v>0</v>
      </c>
      <c r="I101" s="18">
        <f>IF(G101="","",IF(G101="Freezer",FreezerDays,LeftoverDays))</f>
        <v>0</v>
      </c>
      <c r="J101" s="19">
        <f>IF(OR(E101="",I101=""),"",E101+I101)</f>
        <v>0</v>
      </c>
      <c r="K101" s="18">
        <f>IF(J101="","",J101-TODAY())</f>
        <v>0</v>
      </c>
      <c r="L101" s="25">
        <f>IF(C101="","",IFERROR(INDEX(Recipes!$AD$5:$AD$204,MATCH(C101,Recipes!$A$5:$A$204,0)),"Not found"))</f>
        <v>0</v>
      </c>
      <c r="M101" s="25">
        <f>IF(OR(F101="",L101="",NOT(ISNUMBER(L101))),"",F101*L101)</f>
        <v>0</v>
      </c>
      <c r="P101" s="18">
        <f>IF(OR(B101="",Q101="Eaten",Q101="Binned",NOT(ISNUMBER(K101))),"",COUNTIFS($Q$5:$Q$124,"&lt;&gt;Eaten",$Q$5:$Q$124,"&lt;&gt;Binned",$K$5:$K$124,"&lt;"&amp;K101)+COUNTIFS($Q$5:Q101,"&lt;&gt;Eaten",$Q$5:Q101,"&lt;&gt;Binned",$K$5:K101,K101))</f>
        <v>0</v>
      </c>
      <c r="R101" s="31">
        <f>IF(B101="","",IF(Q101="Eaten","OK - eaten",IF(Q101="Binned","Wasted - log the cost",IF(Q101="Frozen","OK - in the freezer",IF(AND(K101&lt;&gt;"",K101&lt;0),"Expired - check before eating",IF(AND(K101&lt;&gt;"",K101&lt;=1),"Today - eat it now","OK"))))))</f>
        <v>0</v>
      </c>
    </row>
    <row r="102" spans="1:18">
      <c r="A102" s="39">
        <f>IF(B102="","",LeftoverPrefix&amp;TEXT(ROW()-4,"0000"))</f>
        <v>0</v>
      </c>
      <c r="D102" s="17">
        <f>IF(C102="","",IFERROR(INDEX(Recipes!$B$5:$B$204,MATCH(C102,Recipes!$A$5:$A$204,0)),"Not found"))</f>
        <v>0</v>
      </c>
      <c r="I102" s="18">
        <f>IF(G102="","",IF(G102="Freezer",FreezerDays,LeftoverDays))</f>
        <v>0</v>
      </c>
      <c r="J102" s="19">
        <f>IF(OR(E102="",I102=""),"",E102+I102)</f>
        <v>0</v>
      </c>
      <c r="K102" s="18">
        <f>IF(J102="","",J102-TODAY())</f>
        <v>0</v>
      </c>
      <c r="L102" s="25">
        <f>IF(C102="","",IFERROR(INDEX(Recipes!$AD$5:$AD$204,MATCH(C102,Recipes!$A$5:$A$204,0)),"Not found"))</f>
        <v>0</v>
      </c>
      <c r="M102" s="25">
        <f>IF(OR(F102="",L102="",NOT(ISNUMBER(L102))),"",F102*L102)</f>
        <v>0</v>
      </c>
      <c r="P102" s="18">
        <f>IF(OR(B102="",Q102="Eaten",Q102="Binned",NOT(ISNUMBER(K102))),"",COUNTIFS($Q$5:$Q$124,"&lt;&gt;Eaten",$Q$5:$Q$124,"&lt;&gt;Binned",$K$5:$K$124,"&lt;"&amp;K102)+COUNTIFS($Q$5:Q102,"&lt;&gt;Eaten",$Q$5:Q102,"&lt;&gt;Binned",$K$5:K102,K102))</f>
        <v>0</v>
      </c>
      <c r="R102" s="31">
        <f>IF(B102="","",IF(Q102="Eaten","OK - eaten",IF(Q102="Binned","Wasted - log the cost",IF(Q102="Frozen","OK - in the freezer",IF(AND(K102&lt;&gt;"",K102&lt;0),"Expired - check before eating",IF(AND(K102&lt;&gt;"",K102&lt;=1),"Today - eat it now","OK"))))))</f>
        <v>0</v>
      </c>
    </row>
    <row r="103" spans="1:18">
      <c r="A103" s="39">
        <f>IF(B103="","",LeftoverPrefix&amp;TEXT(ROW()-4,"0000"))</f>
        <v>0</v>
      </c>
      <c r="D103" s="17">
        <f>IF(C103="","",IFERROR(INDEX(Recipes!$B$5:$B$204,MATCH(C103,Recipes!$A$5:$A$204,0)),"Not found"))</f>
        <v>0</v>
      </c>
      <c r="I103" s="18">
        <f>IF(G103="","",IF(G103="Freezer",FreezerDays,LeftoverDays))</f>
        <v>0</v>
      </c>
      <c r="J103" s="19">
        <f>IF(OR(E103="",I103=""),"",E103+I103)</f>
        <v>0</v>
      </c>
      <c r="K103" s="18">
        <f>IF(J103="","",J103-TODAY())</f>
        <v>0</v>
      </c>
      <c r="L103" s="25">
        <f>IF(C103="","",IFERROR(INDEX(Recipes!$AD$5:$AD$204,MATCH(C103,Recipes!$A$5:$A$204,0)),"Not found"))</f>
        <v>0</v>
      </c>
      <c r="M103" s="25">
        <f>IF(OR(F103="",L103="",NOT(ISNUMBER(L103))),"",F103*L103)</f>
        <v>0</v>
      </c>
      <c r="P103" s="18">
        <f>IF(OR(B103="",Q103="Eaten",Q103="Binned",NOT(ISNUMBER(K103))),"",COUNTIFS($Q$5:$Q$124,"&lt;&gt;Eaten",$Q$5:$Q$124,"&lt;&gt;Binned",$K$5:$K$124,"&lt;"&amp;K103)+COUNTIFS($Q$5:Q103,"&lt;&gt;Eaten",$Q$5:Q103,"&lt;&gt;Binned",$K$5:K103,K103))</f>
        <v>0</v>
      </c>
      <c r="R103" s="31">
        <f>IF(B103="","",IF(Q103="Eaten","OK - eaten",IF(Q103="Binned","Wasted - log the cost",IF(Q103="Frozen","OK - in the freezer",IF(AND(K103&lt;&gt;"",K103&lt;0),"Expired - check before eating",IF(AND(K103&lt;&gt;"",K103&lt;=1),"Today - eat it now","OK"))))))</f>
        <v>0</v>
      </c>
    </row>
    <row r="104" spans="1:18">
      <c r="A104" s="39">
        <f>IF(B104="","",LeftoverPrefix&amp;TEXT(ROW()-4,"0000"))</f>
        <v>0</v>
      </c>
      <c r="D104" s="17">
        <f>IF(C104="","",IFERROR(INDEX(Recipes!$B$5:$B$204,MATCH(C104,Recipes!$A$5:$A$204,0)),"Not found"))</f>
        <v>0</v>
      </c>
      <c r="I104" s="18">
        <f>IF(G104="","",IF(G104="Freezer",FreezerDays,LeftoverDays))</f>
        <v>0</v>
      </c>
      <c r="J104" s="19">
        <f>IF(OR(E104="",I104=""),"",E104+I104)</f>
        <v>0</v>
      </c>
      <c r="K104" s="18">
        <f>IF(J104="","",J104-TODAY())</f>
        <v>0</v>
      </c>
      <c r="L104" s="25">
        <f>IF(C104="","",IFERROR(INDEX(Recipes!$AD$5:$AD$204,MATCH(C104,Recipes!$A$5:$A$204,0)),"Not found"))</f>
        <v>0</v>
      </c>
      <c r="M104" s="25">
        <f>IF(OR(F104="",L104="",NOT(ISNUMBER(L104))),"",F104*L104)</f>
        <v>0</v>
      </c>
      <c r="P104" s="18">
        <f>IF(OR(B104="",Q104="Eaten",Q104="Binned",NOT(ISNUMBER(K104))),"",COUNTIFS($Q$5:$Q$124,"&lt;&gt;Eaten",$Q$5:$Q$124,"&lt;&gt;Binned",$K$5:$K$124,"&lt;"&amp;K104)+COUNTIFS($Q$5:Q104,"&lt;&gt;Eaten",$Q$5:Q104,"&lt;&gt;Binned",$K$5:K104,K104))</f>
        <v>0</v>
      </c>
      <c r="R104" s="31">
        <f>IF(B104="","",IF(Q104="Eaten","OK - eaten",IF(Q104="Binned","Wasted - log the cost",IF(Q104="Frozen","OK - in the freezer",IF(AND(K104&lt;&gt;"",K104&lt;0),"Expired - check before eating",IF(AND(K104&lt;&gt;"",K104&lt;=1),"Today - eat it now","OK"))))))</f>
        <v>0</v>
      </c>
    </row>
    <row r="105" spans="1:18">
      <c r="A105" s="39">
        <f>IF(B105="","",LeftoverPrefix&amp;TEXT(ROW()-4,"0000"))</f>
        <v>0</v>
      </c>
      <c r="D105" s="17">
        <f>IF(C105="","",IFERROR(INDEX(Recipes!$B$5:$B$204,MATCH(C105,Recipes!$A$5:$A$204,0)),"Not found"))</f>
        <v>0</v>
      </c>
      <c r="I105" s="18">
        <f>IF(G105="","",IF(G105="Freezer",FreezerDays,LeftoverDays))</f>
        <v>0</v>
      </c>
      <c r="J105" s="19">
        <f>IF(OR(E105="",I105=""),"",E105+I105)</f>
        <v>0</v>
      </c>
      <c r="K105" s="18">
        <f>IF(J105="","",J105-TODAY())</f>
        <v>0</v>
      </c>
      <c r="L105" s="25">
        <f>IF(C105="","",IFERROR(INDEX(Recipes!$AD$5:$AD$204,MATCH(C105,Recipes!$A$5:$A$204,0)),"Not found"))</f>
        <v>0</v>
      </c>
      <c r="M105" s="25">
        <f>IF(OR(F105="",L105="",NOT(ISNUMBER(L105))),"",F105*L105)</f>
        <v>0</v>
      </c>
      <c r="P105" s="18">
        <f>IF(OR(B105="",Q105="Eaten",Q105="Binned",NOT(ISNUMBER(K105))),"",COUNTIFS($Q$5:$Q$124,"&lt;&gt;Eaten",$Q$5:$Q$124,"&lt;&gt;Binned",$K$5:$K$124,"&lt;"&amp;K105)+COUNTIFS($Q$5:Q105,"&lt;&gt;Eaten",$Q$5:Q105,"&lt;&gt;Binned",$K$5:K105,K105))</f>
        <v>0</v>
      </c>
      <c r="R105" s="31">
        <f>IF(B105="","",IF(Q105="Eaten","OK - eaten",IF(Q105="Binned","Wasted - log the cost",IF(Q105="Frozen","OK - in the freezer",IF(AND(K105&lt;&gt;"",K105&lt;0),"Expired - check before eating",IF(AND(K105&lt;&gt;"",K105&lt;=1),"Today - eat it now","OK"))))))</f>
        <v>0</v>
      </c>
    </row>
    <row r="106" spans="1:18">
      <c r="A106" s="39">
        <f>IF(B106="","",LeftoverPrefix&amp;TEXT(ROW()-4,"0000"))</f>
        <v>0</v>
      </c>
      <c r="D106" s="17">
        <f>IF(C106="","",IFERROR(INDEX(Recipes!$B$5:$B$204,MATCH(C106,Recipes!$A$5:$A$204,0)),"Not found"))</f>
        <v>0</v>
      </c>
      <c r="I106" s="18">
        <f>IF(G106="","",IF(G106="Freezer",FreezerDays,LeftoverDays))</f>
        <v>0</v>
      </c>
      <c r="J106" s="19">
        <f>IF(OR(E106="",I106=""),"",E106+I106)</f>
        <v>0</v>
      </c>
      <c r="K106" s="18">
        <f>IF(J106="","",J106-TODAY())</f>
        <v>0</v>
      </c>
      <c r="L106" s="25">
        <f>IF(C106="","",IFERROR(INDEX(Recipes!$AD$5:$AD$204,MATCH(C106,Recipes!$A$5:$A$204,0)),"Not found"))</f>
        <v>0</v>
      </c>
      <c r="M106" s="25">
        <f>IF(OR(F106="",L106="",NOT(ISNUMBER(L106))),"",F106*L106)</f>
        <v>0</v>
      </c>
      <c r="P106" s="18">
        <f>IF(OR(B106="",Q106="Eaten",Q106="Binned",NOT(ISNUMBER(K106))),"",COUNTIFS($Q$5:$Q$124,"&lt;&gt;Eaten",$Q$5:$Q$124,"&lt;&gt;Binned",$K$5:$K$124,"&lt;"&amp;K106)+COUNTIFS($Q$5:Q106,"&lt;&gt;Eaten",$Q$5:Q106,"&lt;&gt;Binned",$K$5:K106,K106))</f>
        <v>0</v>
      </c>
      <c r="R106" s="31">
        <f>IF(B106="","",IF(Q106="Eaten","OK - eaten",IF(Q106="Binned","Wasted - log the cost",IF(Q106="Frozen","OK - in the freezer",IF(AND(K106&lt;&gt;"",K106&lt;0),"Expired - check before eating",IF(AND(K106&lt;&gt;"",K106&lt;=1),"Today - eat it now","OK"))))))</f>
        <v>0</v>
      </c>
    </row>
    <row r="107" spans="1:18">
      <c r="A107" s="39">
        <f>IF(B107="","",LeftoverPrefix&amp;TEXT(ROW()-4,"0000"))</f>
        <v>0</v>
      </c>
      <c r="D107" s="17">
        <f>IF(C107="","",IFERROR(INDEX(Recipes!$B$5:$B$204,MATCH(C107,Recipes!$A$5:$A$204,0)),"Not found"))</f>
        <v>0</v>
      </c>
      <c r="I107" s="18">
        <f>IF(G107="","",IF(G107="Freezer",FreezerDays,LeftoverDays))</f>
        <v>0</v>
      </c>
      <c r="J107" s="19">
        <f>IF(OR(E107="",I107=""),"",E107+I107)</f>
        <v>0</v>
      </c>
      <c r="K107" s="18">
        <f>IF(J107="","",J107-TODAY())</f>
        <v>0</v>
      </c>
      <c r="L107" s="25">
        <f>IF(C107="","",IFERROR(INDEX(Recipes!$AD$5:$AD$204,MATCH(C107,Recipes!$A$5:$A$204,0)),"Not found"))</f>
        <v>0</v>
      </c>
      <c r="M107" s="25">
        <f>IF(OR(F107="",L107="",NOT(ISNUMBER(L107))),"",F107*L107)</f>
        <v>0</v>
      </c>
      <c r="P107" s="18">
        <f>IF(OR(B107="",Q107="Eaten",Q107="Binned",NOT(ISNUMBER(K107))),"",COUNTIFS($Q$5:$Q$124,"&lt;&gt;Eaten",$Q$5:$Q$124,"&lt;&gt;Binned",$K$5:$K$124,"&lt;"&amp;K107)+COUNTIFS($Q$5:Q107,"&lt;&gt;Eaten",$Q$5:Q107,"&lt;&gt;Binned",$K$5:K107,K107))</f>
        <v>0</v>
      </c>
      <c r="R107" s="31">
        <f>IF(B107="","",IF(Q107="Eaten","OK - eaten",IF(Q107="Binned","Wasted - log the cost",IF(Q107="Frozen","OK - in the freezer",IF(AND(K107&lt;&gt;"",K107&lt;0),"Expired - check before eating",IF(AND(K107&lt;&gt;"",K107&lt;=1),"Today - eat it now","OK"))))))</f>
        <v>0</v>
      </c>
    </row>
    <row r="108" spans="1:18">
      <c r="A108" s="39">
        <f>IF(B108="","",LeftoverPrefix&amp;TEXT(ROW()-4,"0000"))</f>
        <v>0</v>
      </c>
      <c r="D108" s="17">
        <f>IF(C108="","",IFERROR(INDEX(Recipes!$B$5:$B$204,MATCH(C108,Recipes!$A$5:$A$204,0)),"Not found"))</f>
        <v>0</v>
      </c>
      <c r="I108" s="18">
        <f>IF(G108="","",IF(G108="Freezer",FreezerDays,LeftoverDays))</f>
        <v>0</v>
      </c>
      <c r="J108" s="19">
        <f>IF(OR(E108="",I108=""),"",E108+I108)</f>
        <v>0</v>
      </c>
      <c r="K108" s="18">
        <f>IF(J108="","",J108-TODAY())</f>
        <v>0</v>
      </c>
      <c r="L108" s="25">
        <f>IF(C108="","",IFERROR(INDEX(Recipes!$AD$5:$AD$204,MATCH(C108,Recipes!$A$5:$A$204,0)),"Not found"))</f>
        <v>0</v>
      </c>
      <c r="M108" s="25">
        <f>IF(OR(F108="",L108="",NOT(ISNUMBER(L108))),"",F108*L108)</f>
        <v>0</v>
      </c>
      <c r="P108" s="18">
        <f>IF(OR(B108="",Q108="Eaten",Q108="Binned",NOT(ISNUMBER(K108))),"",COUNTIFS($Q$5:$Q$124,"&lt;&gt;Eaten",$Q$5:$Q$124,"&lt;&gt;Binned",$K$5:$K$124,"&lt;"&amp;K108)+COUNTIFS($Q$5:Q108,"&lt;&gt;Eaten",$Q$5:Q108,"&lt;&gt;Binned",$K$5:K108,K108))</f>
        <v>0</v>
      </c>
      <c r="R108" s="31">
        <f>IF(B108="","",IF(Q108="Eaten","OK - eaten",IF(Q108="Binned","Wasted - log the cost",IF(Q108="Frozen","OK - in the freezer",IF(AND(K108&lt;&gt;"",K108&lt;0),"Expired - check before eating",IF(AND(K108&lt;&gt;"",K108&lt;=1),"Today - eat it now","OK"))))))</f>
        <v>0</v>
      </c>
    </row>
    <row r="109" spans="1:18">
      <c r="A109" s="39">
        <f>IF(B109="","",LeftoverPrefix&amp;TEXT(ROW()-4,"0000"))</f>
        <v>0</v>
      </c>
      <c r="D109" s="17">
        <f>IF(C109="","",IFERROR(INDEX(Recipes!$B$5:$B$204,MATCH(C109,Recipes!$A$5:$A$204,0)),"Not found"))</f>
        <v>0</v>
      </c>
      <c r="I109" s="18">
        <f>IF(G109="","",IF(G109="Freezer",FreezerDays,LeftoverDays))</f>
        <v>0</v>
      </c>
      <c r="J109" s="19">
        <f>IF(OR(E109="",I109=""),"",E109+I109)</f>
        <v>0</v>
      </c>
      <c r="K109" s="18">
        <f>IF(J109="","",J109-TODAY())</f>
        <v>0</v>
      </c>
      <c r="L109" s="25">
        <f>IF(C109="","",IFERROR(INDEX(Recipes!$AD$5:$AD$204,MATCH(C109,Recipes!$A$5:$A$204,0)),"Not found"))</f>
        <v>0</v>
      </c>
      <c r="M109" s="25">
        <f>IF(OR(F109="",L109="",NOT(ISNUMBER(L109))),"",F109*L109)</f>
        <v>0</v>
      </c>
      <c r="P109" s="18">
        <f>IF(OR(B109="",Q109="Eaten",Q109="Binned",NOT(ISNUMBER(K109))),"",COUNTIFS($Q$5:$Q$124,"&lt;&gt;Eaten",$Q$5:$Q$124,"&lt;&gt;Binned",$K$5:$K$124,"&lt;"&amp;K109)+COUNTIFS($Q$5:Q109,"&lt;&gt;Eaten",$Q$5:Q109,"&lt;&gt;Binned",$K$5:K109,K109))</f>
        <v>0</v>
      </c>
      <c r="R109" s="31">
        <f>IF(B109="","",IF(Q109="Eaten","OK - eaten",IF(Q109="Binned","Wasted - log the cost",IF(Q109="Frozen","OK - in the freezer",IF(AND(K109&lt;&gt;"",K109&lt;0),"Expired - check before eating",IF(AND(K109&lt;&gt;"",K109&lt;=1),"Today - eat it now","OK"))))))</f>
        <v>0</v>
      </c>
    </row>
    <row r="110" spans="1:18">
      <c r="A110" s="39">
        <f>IF(B110="","",LeftoverPrefix&amp;TEXT(ROW()-4,"0000"))</f>
        <v>0</v>
      </c>
      <c r="D110" s="17">
        <f>IF(C110="","",IFERROR(INDEX(Recipes!$B$5:$B$204,MATCH(C110,Recipes!$A$5:$A$204,0)),"Not found"))</f>
        <v>0</v>
      </c>
      <c r="I110" s="18">
        <f>IF(G110="","",IF(G110="Freezer",FreezerDays,LeftoverDays))</f>
        <v>0</v>
      </c>
      <c r="J110" s="19">
        <f>IF(OR(E110="",I110=""),"",E110+I110)</f>
        <v>0</v>
      </c>
      <c r="K110" s="18">
        <f>IF(J110="","",J110-TODAY())</f>
        <v>0</v>
      </c>
      <c r="L110" s="25">
        <f>IF(C110="","",IFERROR(INDEX(Recipes!$AD$5:$AD$204,MATCH(C110,Recipes!$A$5:$A$204,0)),"Not found"))</f>
        <v>0</v>
      </c>
      <c r="M110" s="25">
        <f>IF(OR(F110="",L110="",NOT(ISNUMBER(L110))),"",F110*L110)</f>
        <v>0</v>
      </c>
      <c r="P110" s="18">
        <f>IF(OR(B110="",Q110="Eaten",Q110="Binned",NOT(ISNUMBER(K110))),"",COUNTIFS($Q$5:$Q$124,"&lt;&gt;Eaten",$Q$5:$Q$124,"&lt;&gt;Binned",$K$5:$K$124,"&lt;"&amp;K110)+COUNTIFS($Q$5:Q110,"&lt;&gt;Eaten",$Q$5:Q110,"&lt;&gt;Binned",$K$5:K110,K110))</f>
        <v>0</v>
      </c>
      <c r="R110" s="31">
        <f>IF(B110="","",IF(Q110="Eaten","OK - eaten",IF(Q110="Binned","Wasted - log the cost",IF(Q110="Frozen","OK - in the freezer",IF(AND(K110&lt;&gt;"",K110&lt;0),"Expired - check before eating",IF(AND(K110&lt;&gt;"",K110&lt;=1),"Today - eat it now","OK"))))))</f>
        <v>0</v>
      </c>
    </row>
    <row r="111" spans="1:18">
      <c r="A111" s="39">
        <f>IF(B111="","",LeftoverPrefix&amp;TEXT(ROW()-4,"0000"))</f>
        <v>0</v>
      </c>
      <c r="D111" s="17">
        <f>IF(C111="","",IFERROR(INDEX(Recipes!$B$5:$B$204,MATCH(C111,Recipes!$A$5:$A$204,0)),"Not found"))</f>
        <v>0</v>
      </c>
      <c r="I111" s="18">
        <f>IF(G111="","",IF(G111="Freezer",FreezerDays,LeftoverDays))</f>
        <v>0</v>
      </c>
      <c r="J111" s="19">
        <f>IF(OR(E111="",I111=""),"",E111+I111)</f>
        <v>0</v>
      </c>
      <c r="K111" s="18">
        <f>IF(J111="","",J111-TODAY())</f>
        <v>0</v>
      </c>
      <c r="L111" s="25">
        <f>IF(C111="","",IFERROR(INDEX(Recipes!$AD$5:$AD$204,MATCH(C111,Recipes!$A$5:$A$204,0)),"Not found"))</f>
        <v>0</v>
      </c>
      <c r="M111" s="25">
        <f>IF(OR(F111="",L111="",NOT(ISNUMBER(L111))),"",F111*L111)</f>
        <v>0</v>
      </c>
      <c r="P111" s="18">
        <f>IF(OR(B111="",Q111="Eaten",Q111="Binned",NOT(ISNUMBER(K111))),"",COUNTIFS($Q$5:$Q$124,"&lt;&gt;Eaten",$Q$5:$Q$124,"&lt;&gt;Binned",$K$5:$K$124,"&lt;"&amp;K111)+COUNTIFS($Q$5:Q111,"&lt;&gt;Eaten",$Q$5:Q111,"&lt;&gt;Binned",$K$5:K111,K111))</f>
        <v>0</v>
      </c>
      <c r="R111" s="31">
        <f>IF(B111="","",IF(Q111="Eaten","OK - eaten",IF(Q111="Binned","Wasted - log the cost",IF(Q111="Frozen","OK - in the freezer",IF(AND(K111&lt;&gt;"",K111&lt;0),"Expired - check before eating",IF(AND(K111&lt;&gt;"",K111&lt;=1),"Today - eat it now","OK"))))))</f>
        <v>0</v>
      </c>
    </row>
    <row r="112" spans="1:18">
      <c r="A112" s="39">
        <f>IF(B112="","",LeftoverPrefix&amp;TEXT(ROW()-4,"0000"))</f>
        <v>0</v>
      </c>
      <c r="D112" s="17">
        <f>IF(C112="","",IFERROR(INDEX(Recipes!$B$5:$B$204,MATCH(C112,Recipes!$A$5:$A$204,0)),"Not found"))</f>
        <v>0</v>
      </c>
      <c r="I112" s="18">
        <f>IF(G112="","",IF(G112="Freezer",FreezerDays,LeftoverDays))</f>
        <v>0</v>
      </c>
      <c r="J112" s="19">
        <f>IF(OR(E112="",I112=""),"",E112+I112)</f>
        <v>0</v>
      </c>
      <c r="K112" s="18">
        <f>IF(J112="","",J112-TODAY())</f>
        <v>0</v>
      </c>
      <c r="L112" s="25">
        <f>IF(C112="","",IFERROR(INDEX(Recipes!$AD$5:$AD$204,MATCH(C112,Recipes!$A$5:$A$204,0)),"Not found"))</f>
        <v>0</v>
      </c>
      <c r="M112" s="25">
        <f>IF(OR(F112="",L112="",NOT(ISNUMBER(L112))),"",F112*L112)</f>
        <v>0</v>
      </c>
      <c r="P112" s="18">
        <f>IF(OR(B112="",Q112="Eaten",Q112="Binned",NOT(ISNUMBER(K112))),"",COUNTIFS($Q$5:$Q$124,"&lt;&gt;Eaten",$Q$5:$Q$124,"&lt;&gt;Binned",$K$5:$K$124,"&lt;"&amp;K112)+COUNTIFS($Q$5:Q112,"&lt;&gt;Eaten",$Q$5:Q112,"&lt;&gt;Binned",$K$5:K112,K112))</f>
        <v>0</v>
      </c>
      <c r="R112" s="31">
        <f>IF(B112="","",IF(Q112="Eaten","OK - eaten",IF(Q112="Binned","Wasted - log the cost",IF(Q112="Frozen","OK - in the freezer",IF(AND(K112&lt;&gt;"",K112&lt;0),"Expired - check before eating",IF(AND(K112&lt;&gt;"",K112&lt;=1),"Today - eat it now","OK"))))))</f>
        <v>0</v>
      </c>
    </row>
    <row r="113" spans="1:19">
      <c r="A113" s="39">
        <f>IF(B113="","",LeftoverPrefix&amp;TEXT(ROW()-4,"0000"))</f>
        <v>0</v>
      </c>
      <c r="D113" s="17">
        <f>IF(C113="","",IFERROR(INDEX(Recipes!$B$5:$B$204,MATCH(C113,Recipes!$A$5:$A$204,0)),"Not found"))</f>
        <v>0</v>
      </c>
      <c r="I113" s="18">
        <f>IF(G113="","",IF(G113="Freezer",FreezerDays,LeftoverDays))</f>
        <v>0</v>
      </c>
      <c r="J113" s="19">
        <f>IF(OR(E113="",I113=""),"",E113+I113)</f>
        <v>0</v>
      </c>
      <c r="K113" s="18">
        <f>IF(J113="","",J113-TODAY())</f>
        <v>0</v>
      </c>
      <c r="L113" s="25">
        <f>IF(C113="","",IFERROR(INDEX(Recipes!$AD$5:$AD$204,MATCH(C113,Recipes!$A$5:$A$204,0)),"Not found"))</f>
        <v>0</v>
      </c>
      <c r="M113" s="25">
        <f>IF(OR(F113="",L113="",NOT(ISNUMBER(L113))),"",F113*L113)</f>
        <v>0</v>
      </c>
      <c r="P113" s="18">
        <f>IF(OR(B113="",Q113="Eaten",Q113="Binned",NOT(ISNUMBER(K113))),"",COUNTIFS($Q$5:$Q$124,"&lt;&gt;Eaten",$Q$5:$Q$124,"&lt;&gt;Binned",$K$5:$K$124,"&lt;"&amp;K113)+COUNTIFS($Q$5:Q113,"&lt;&gt;Eaten",$Q$5:Q113,"&lt;&gt;Binned",$K$5:K113,K113))</f>
        <v>0</v>
      </c>
      <c r="R113" s="31">
        <f>IF(B113="","",IF(Q113="Eaten","OK - eaten",IF(Q113="Binned","Wasted - log the cost",IF(Q113="Frozen","OK - in the freezer",IF(AND(K113&lt;&gt;"",K113&lt;0),"Expired - check before eating",IF(AND(K113&lt;&gt;"",K113&lt;=1),"Today - eat it now","OK"))))))</f>
        <v>0</v>
      </c>
    </row>
    <row r="114" spans="1:19">
      <c r="A114" s="39">
        <f>IF(B114="","",LeftoverPrefix&amp;TEXT(ROW()-4,"0000"))</f>
        <v>0</v>
      </c>
      <c r="D114" s="17">
        <f>IF(C114="","",IFERROR(INDEX(Recipes!$B$5:$B$204,MATCH(C114,Recipes!$A$5:$A$204,0)),"Not found"))</f>
        <v>0</v>
      </c>
      <c r="I114" s="18">
        <f>IF(G114="","",IF(G114="Freezer",FreezerDays,LeftoverDays))</f>
        <v>0</v>
      </c>
      <c r="J114" s="19">
        <f>IF(OR(E114="",I114=""),"",E114+I114)</f>
        <v>0</v>
      </c>
      <c r="K114" s="18">
        <f>IF(J114="","",J114-TODAY())</f>
        <v>0</v>
      </c>
      <c r="L114" s="25">
        <f>IF(C114="","",IFERROR(INDEX(Recipes!$AD$5:$AD$204,MATCH(C114,Recipes!$A$5:$A$204,0)),"Not found"))</f>
        <v>0</v>
      </c>
      <c r="M114" s="25">
        <f>IF(OR(F114="",L114="",NOT(ISNUMBER(L114))),"",F114*L114)</f>
        <v>0</v>
      </c>
      <c r="P114" s="18">
        <f>IF(OR(B114="",Q114="Eaten",Q114="Binned",NOT(ISNUMBER(K114))),"",COUNTIFS($Q$5:$Q$124,"&lt;&gt;Eaten",$Q$5:$Q$124,"&lt;&gt;Binned",$K$5:$K$124,"&lt;"&amp;K114)+COUNTIFS($Q$5:Q114,"&lt;&gt;Eaten",$Q$5:Q114,"&lt;&gt;Binned",$K$5:K114,K114))</f>
        <v>0</v>
      </c>
      <c r="R114" s="31">
        <f>IF(B114="","",IF(Q114="Eaten","OK - eaten",IF(Q114="Binned","Wasted - log the cost",IF(Q114="Frozen","OK - in the freezer",IF(AND(K114&lt;&gt;"",K114&lt;0),"Expired - check before eating",IF(AND(K114&lt;&gt;"",K114&lt;=1),"Today - eat it now","OK"))))))</f>
        <v>0</v>
      </c>
    </row>
    <row r="115" spans="1:19">
      <c r="A115" s="39">
        <f>IF(B115="","",LeftoverPrefix&amp;TEXT(ROW()-4,"0000"))</f>
        <v>0</v>
      </c>
      <c r="D115" s="17">
        <f>IF(C115="","",IFERROR(INDEX(Recipes!$B$5:$B$204,MATCH(C115,Recipes!$A$5:$A$204,0)),"Not found"))</f>
        <v>0</v>
      </c>
      <c r="I115" s="18">
        <f>IF(G115="","",IF(G115="Freezer",FreezerDays,LeftoverDays))</f>
        <v>0</v>
      </c>
      <c r="J115" s="19">
        <f>IF(OR(E115="",I115=""),"",E115+I115)</f>
        <v>0</v>
      </c>
      <c r="K115" s="18">
        <f>IF(J115="","",J115-TODAY())</f>
        <v>0</v>
      </c>
      <c r="L115" s="25">
        <f>IF(C115="","",IFERROR(INDEX(Recipes!$AD$5:$AD$204,MATCH(C115,Recipes!$A$5:$A$204,0)),"Not found"))</f>
        <v>0</v>
      </c>
      <c r="M115" s="25">
        <f>IF(OR(F115="",L115="",NOT(ISNUMBER(L115))),"",F115*L115)</f>
        <v>0</v>
      </c>
      <c r="P115" s="18">
        <f>IF(OR(B115="",Q115="Eaten",Q115="Binned",NOT(ISNUMBER(K115))),"",COUNTIFS($Q$5:$Q$124,"&lt;&gt;Eaten",$Q$5:$Q$124,"&lt;&gt;Binned",$K$5:$K$124,"&lt;"&amp;K115)+COUNTIFS($Q$5:Q115,"&lt;&gt;Eaten",$Q$5:Q115,"&lt;&gt;Binned",$K$5:K115,K115))</f>
        <v>0</v>
      </c>
      <c r="R115" s="31">
        <f>IF(B115="","",IF(Q115="Eaten","OK - eaten",IF(Q115="Binned","Wasted - log the cost",IF(Q115="Frozen","OK - in the freezer",IF(AND(K115&lt;&gt;"",K115&lt;0),"Expired - check before eating",IF(AND(K115&lt;&gt;"",K115&lt;=1),"Today - eat it now","OK"))))))</f>
        <v>0</v>
      </c>
    </row>
    <row r="116" spans="1:19">
      <c r="A116" s="39">
        <f>IF(B116="","",LeftoverPrefix&amp;TEXT(ROW()-4,"0000"))</f>
        <v>0</v>
      </c>
      <c r="D116" s="17">
        <f>IF(C116="","",IFERROR(INDEX(Recipes!$B$5:$B$204,MATCH(C116,Recipes!$A$5:$A$204,0)),"Not found"))</f>
        <v>0</v>
      </c>
      <c r="I116" s="18">
        <f>IF(G116="","",IF(G116="Freezer",FreezerDays,LeftoverDays))</f>
        <v>0</v>
      </c>
      <c r="J116" s="19">
        <f>IF(OR(E116="",I116=""),"",E116+I116)</f>
        <v>0</v>
      </c>
      <c r="K116" s="18">
        <f>IF(J116="","",J116-TODAY())</f>
        <v>0</v>
      </c>
      <c r="L116" s="25">
        <f>IF(C116="","",IFERROR(INDEX(Recipes!$AD$5:$AD$204,MATCH(C116,Recipes!$A$5:$A$204,0)),"Not found"))</f>
        <v>0</v>
      </c>
      <c r="M116" s="25">
        <f>IF(OR(F116="",L116="",NOT(ISNUMBER(L116))),"",F116*L116)</f>
        <v>0</v>
      </c>
      <c r="P116" s="18">
        <f>IF(OR(B116="",Q116="Eaten",Q116="Binned",NOT(ISNUMBER(K116))),"",COUNTIFS($Q$5:$Q$124,"&lt;&gt;Eaten",$Q$5:$Q$124,"&lt;&gt;Binned",$K$5:$K$124,"&lt;"&amp;K116)+COUNTIFS($Q$5:Q116,"&lt;&gt;Eaten",$Q$5:Q116,"&lt;&gt;Binned",$K$5:K116,K116))</f>
        <v>0</v>
      </c>
      <c r="R116" s="31">
        <f>IF(B116="","",IF(Q116="Eaten","OK - eaten",IF(Q116="Binned","Wasted - log the cost",IF(Q116="Frozen","OK - in the freezer",IF(AND(K116&lt;&gt;"",K116&lt;0),"Expired - check before eating",IF(AND(K116&lt;&gt;"",K116&lt;=1),"Today - eat it now","OK"))))))</f>
        <v>0</v>
      </c>
    </row>
    <row r="117" spans="1:19">
      <c r="A117" s="39">
        <f>IF(B117="","",LeftoverPrefix&amp;TEXT(ROW()-4,"0000"))</f>
        <v>0</v>
      </c>
      <c r="D117" s="17">
        <f>IF(C117="","",IFERROR(INDEX(Recipes!$B$5:$B$204,MATCH(C117,Recipes!$A$5:$A$204,0)),"Not found"))</f>
        <v>0</v>
      </c>
      <c r="I117" s="18">
        <f>IF(G117="","",IF(G117="Freezer",FreezerDays,LeftoverDays))</f>
        <v>0</v>
      </c>
      <c r="J117" s="19">
        <f>IF(OR(E117="",I117=""),"",E117+I117)</f>
        <v>0</v>
      </c>
      <c r="K117" s="18">
        <f>IF(J117="","",J117-TODAY())</f>
        <v>0</v>
      </c>
      <c r="L117" s="25">
        <f>IF(C117="","",IFERROR(INDEX(Recipes!$AD$5:$AD$204,MATCH(C117,Recipes!$A$5:$A$204,0)),"Not found"))</f>
        <v>0</v>
      </c>
      <c r="M117" s="25">
        <f>IF(OR(F117="",L117="",NOT(ISNUMBER(L117))),"",F117*L117)</f>
        <v>0</v>
      </c>
      <c r="P117" s="18">
        <f>IF(OR(B117="",Q117="Eaten",Q117="Binned",NOT(ISNUMBER(K117))),"",COUNTIFS($Q$5:$Q$124,"&lt;&gt;Eaten",$Q$5:$Q$124,"&lt;&gt;Binned",$K$5:$K$124,"&lt;"&amp;K117)+COUNTIFS($Q$5:Q117,"&lt;&gt;Eaten",$Q$5:Q117,"&lt;&gt;Binned",$K$5:K117,K117))</f>
        <v>0</v>
      </c>
      <c r="R117" s="31">
        <f>IF(B117="","",IF(Q117="Eaten","OK - eaten",IF(Q117="Binned","Wasted - log the cost",IF(Q117="Frozen","OK - in the freezer",IF(AND(K117&lt;&gt;"",K117&lt;0),"Expired - check before eating",IF(AND(K117&lt;&gt;"",K117&lt;=1),"Today - eat it now","OK"))))))</f>
        <v>0</v>
      </c>
    </row>
    <row r="118" spans="1:19">
      <c r="A118" s="39">
        <f>IF(B118="","",LeftoverPrefix&amp;TEXT(ROW()-4,"0000"))</f>
        <v>0</v>
      </c>
      <c r="D118" s="17">
        <f>IF(C118="","",IFERROR(INDEX(Recipes!$B$5:$B$204,MATCH(C118,Recipes!$A$5:$A$204,0)),"Not found"))</f>
        <v>0</v>
      </c>
      <c r="I118" s="18">
        <f>IF(G118="","",IF(G118="Freezer",FreezerDays,LeftoverDays))</f>
        <v>0</v>
      </c>
      <c r="J118" s="19">
        <f>IF(OR(E118="",I118=""),"",E118+I118)</f>
        <v>0</v>
      </c>
      <c r="K118" s="18">
        <f>IF(J118="","",J118-TODAY())</f>
        <v>0</v>
      </c>
      <c r="L118" s="25">
        <f>IF(C118="","",IFERROR(INDEX(Recipes!$AD$5:$AD$204,MATCH(C118,Recipes!$A$5:$A$204,0)),"Not found"))</f>
        <v>0</v>
      </c>
      <c r="M118" s="25">
        <f>IF(OR(F118="",L118="",NOT(ISNUMBER(L118))),"",F118*L118)</f>
        <v>0</v>
      </c>
      <c r="P118" s="18">
        <f>IF(OR(B118="",Q118="Eaten",Q118="Binned",NOT(ISNUMBER(K118))),"",COUNTIFS($Q$5:$Q$124,"&lt;&gt;Eaten",$Q$5:$Q$124,"&lt;&gt;Binned",$K$5:$K$124,"&lt;"&amp;K118)+COUNTIFS($Q$5:Q118,"&lt;&gt;Eaten",$Q$5:Q118,"&lt;&gt;Binned",$K$5:K118,K118))</f>
        <v>0</v>
      </c>
      <c r="R118" s="31">
        <f>IF(B118="","",IF(Q118="Eaten","OK - eaten",IF(Q118="Binned","Wasted - log the cost",IF(Q118="Frozen","OK - in the freezer",IF(AND(K118&lt;&gt;"",K118&lt;0),"Expired - check before eating",IF(AND(K118&lt;&gt;"",K118&lt;=1),"Today - eat it now","OK"))))))</f>
        <v>0</v>
      </c>
    </row>
    <row r="119" spans="1:19">
      <c r="A119" s="39">
        <f>IF(B119="","",LeftoverPrefix&amp;TEXT(ROW()-4,"0000"))</f>
        <v>0</v>
      </c>
      <c r="D119" s="17">
        <f>IF(C119="","",IFERROR(INDEX(Recipes!$B$5:$B$204,MATCH(C119,Recipes!$A$5:$A$204,0)),"Not found"))</f>
        <v>0</v>
      </c>
      <c r="I119" s="18">
        <f>IF(G119="","",IF(G119="Freezer",FreezerDays,LeftoverDays))</f>
        <v>0</v>
      </c>
      <c r="J119" s="19">
        <f>IF(OR(E119="",I119=""),"",E119+I119)</f>
        <v>0</v>
      </c>
      <c r="K119" s="18">
        <f>IF(J119="","",J119-TODAY())</f>
        <v>0</v>
      </c>
      <c r="L119" s="25">
        <f>IF(C119="","",IFERROR(INDEX(Recipes!$AD$5:$AD$204,MATCH(C119,Recipes!$A$5:$A$204,0)),"Not found"))</f>
        <v>0</v>
      </c>
      <c r="M119" s="25">
        <f>IF(OR(F119="",L119="",NOT(ISNUMBER(L119))),"",F119*L119)</f>
        <v>0</v>
      </c>
      <c r="P119" s="18">
        <f>IF(OR(B119="",Q119="Eaten",Q119="Binned",NOT(ISNUMBER(K119))),"",COUNTIFS($Q$5:$Q$124,"&lt;&gt;Eaten",$Q$5:$Q$124,"&lt;&gt;Binned",$K$5:$K$124,"&lt;"&amp;K119)+COUNTIFS($Q$5:Q119,"&lt;&gt;Eaten",$Q$5:Q119,"&lt;&gt;Binned",$K$5:K119,K119))</f>
        <v>0</v>
      </c>
      <c r="R119" s="31">
        <f>IF(B119="","",IF(Q119="Eaten","OK - eaten",IF(Q119="Binned","Wasted - log the cost",IF(Q119="Frozen","OK - in the freezer",IF(AND(K119&lt;&gt;"",K119&lt;0),"Expired - check before eating",IF(AND(K119&lt;&gt;"",K119&lt;=1),"Today - eat it now","OK"))))))</f>
        <v>0</v>
      </c>
    </row>
    <row r="120" spans="1:19">
      <c r="A120" s="39">
        <f>IF(B120="","",LeftoverPrefix&amp;TEXT(ROW()-4,"0000"))</f>
        <v>0</v>
      </c>
      <c r="D120" s="17">
        <f>IF(C120="","",IFERROR(INDEX(Recipes!$B$5:$B$204,MATCH(C120,Recipes!$A$5:$A$204,0)),"Not found"))</f>
        <v>0</v>
      </c>
      <c r="I120" s="18">
        <f>IF(G120="","",IF(G120="Freezer",FreezerDays,LeftoverDays))</f>
        <v>0</v>
      </c>
      <c r="J120" s="19">
        <f>IF(OR(E120="",I120=""),"",E120+I120)</f>
        <v>0</v>
      </c>
      <c r="K120" s="18">
        <f>IF(J120="","",J120-TODAY())</f>
        <v>0</v>
      </c>
      <c r="L120" s="25">
        <f>IF(C120="","",IFERROR(INDEX(Recipes!$AD$5:$AD$204,MATCH(C120,Recipes!$A$5:$A$204,0)),"Not found"))</f>
        <v>0</v>
      </c>
      <c r="M120" s="25">
        <f>IF(OR(F120="",L120="",NOT(ISNUMBER(L120))),"",F120*L120)</f>
        <v>0</v>
      </c>
      <c r="P120" s="18">
        <f>IF(OR(B120="",Q120="Eaten",Q120="Binned",NOT(ISNUMBER(K120))),"",COUNTIFS($Q$5:$Q$124,"&lt;&gt;Eaten",$Q$5:$Q$124,"&lt;&gt;Binned",$K$5:$K$124,"&lt;"&amp;K120)+COUNTIFS($Q$5:Q120,"&lt;&gt;Eaten",$Q$5:Q120,"&lt;&gt;Binned",$K$5:K120,K120))</f>
        <v>0</v>
      </c>
      <c r="R120" s="31">
        <f>IF(B120="","",IF(Q120="Eaten","OK - eaten",IF(Q120="Binned","Wasted - log the cost",IF(Q120="Frozen","OK - in the freezer",IF(AND(K120&lt;&gt;"",K120&lt;0),"Expired - check before eating",IF(AND(K120&lt;&gt;"",K120&lt;=1),"Today - eat it now","OK"))))))</f>
        <v>0</v>
      </c>
    </row>
    <row r="121" spans="1:19">
      <c r="A121" s="39">
        <f>IF(B121="","",LeftoverPrefix&amp;TEXT(ROW()-4,"0000"))</f>
        <v>0</v>
      </c>
      <c r="D121" s="17">
        <f>IF(C121="","",IFERROR(INDEX(Recipes!$B$5:$B$204,MATCH(C121,Recipes!$A$5:$A$204,0)),"Not found"))</f>
        <v>0</v>
      </c>
      <c r="I121" s="18">
        <f>IF(G121="","",IF(G121="Freezer",FreezerDays,LeftoverDays))</f>
        <v>0</v>
      </c>
      <c r="J121" s="19">
        <f>IF(OR(E121="",I121=""),"",E121+I121)</f>
        <v>0</v>
      </c>
      <c r="K121" s="18">
        <f>IF(J121="","",J121-TODAY())</f>
        <v>0</v>
      </c>
      <c r="L121" s="25">
        <f>IF(C121="","",IFERROR(INDEX(Recipes!$AD$5:$AD$204,MATCH(C121,Recipes!$A$5:$A$204,0)),"Not found"))</f>
        <v>0</v>
      </c>
      <c r="M121" s="25">
        <f>IF(OR(F121="",L121="",NOT(ISNUMBER(L121))),"",F121*L121)</f>
        <v>0</v>
      </c>
      <c r="P121" s="18">
        <f>IF(OR(B121="",Q121="Eaten",Q121="Binned",NOT(ISNUMBER(K121))),"",COUNTIFS($Q$5:$Q$124,"&lt;&gt;Eaten",$Q$5:$Q$124,"&lt;&gt;Binned",$K$5:$K$124,"&lt;"&amp;K121)+COUNTIFS($Q$5:Q121,"&lt;&gt;Eaten",$Q$5:Q121,"&lt;&gt;Binned",$K$5:K121,K121))</f>
        <v>0</v>
      </c>
      <c r="R121" s="31">
        <f>IF(B121="","",IF(Q121="Eaten","OK - eaten",IF(Q121="Binned","Wasted - log the cost",IF(Q121="Frozen","OK - in the freezer",IF(AND(K121&lt;&gt;"",K121&lt;0),"Expired - check before eating",IF(AND(K121&lt;&gt;"",K121&lt;=1),"Today - eat it now","OK"))))))</f>
        <v>0</v>
      </c>
    </row>
    <row r="122" spans="1:19">
      <c r="A122" s="39">
        <f>IF(B122="","",LeftoverPrefix&amp;TEXT(ROW()-4,"0000"))</f>
        <v>0</v>
      </c>
      <c r="D122" s="17">
        <f>IF(C122="","",IFERROR(INDEX(Recipes!$B$5:$B$204,MATCH(C122,Recipes!$A$5:$A$204,0)),"Not found"))</f>
        <v>0</v>
      </c>
      <c r="I122" s="18">
        <f>IF(G122="","",IF(G122="Freezer",FreezerDays,LeftoverDays))</f>
        <v>0</v>
      </c>
      <c r="J122" s="19">
        <f>IF(OR(E122="",I122=""),"",E122+I122)</f>
        <v>0</v>
      </c>
      <c r="K122" s="18">
        <f>IF(J122="","",J122-TODAY())</f>
        <v>0</v>
      </c>
      <c r="L122" s="25">
        <f>IF(C122="","",IFERROR(INDEX(Recipes!$AD$5:$AD$204,MATCH(C122,Recipes!$A$5:$A$204,0)),"Not found"))</f>
        <v>0</v>
      </c>
      <c r="M122" s="25">
        <f>IF(OR(F122="",L122="",NOT(ISNUMBER(L122))),"",F122*L122)</f>
        <v>0</v>
      </c>
      <c r="P122" s="18">
        <f>IF(OR(B122="",Q122="Eaten",Q122="Binned",NOT(ISNUMBER(K122))),"",COUNTIFS($Q$5:$Q$124,"&lt;&gt;Eaten",$Q$5:$Q$124,"&lt;&gt;Binned",$K$5:$K$124,"&lt;"&amp;K122)+COUNTIFS($Q$5:Q122,"&lt;&gt;Eaten",$Q$5:Q122,"&lt;&gt;Binned",$K$5:K122,K122))</f>
        <v>0</v>
      </c>
      <c r="R122" s="31">
        <f>IF(B122="","",IF(Q122="Eaten","OK - eaten",IF(Q122="Binned","Wasted - log the cost",IF(Q122="Frozen","OK - in the freezer",IF(AND(K122&lt;&gt;"",K122&lt;0),"Expired - check before eating",IF(AND(K122&lt;&gt;"",K122&lt;=1),"Today - eat it now","OK"))))))</f>
        <v>0</v>
      </c>
    </row>
    <row r="123" spans="1:19">
      <c r="A123" s="39">
        <f>IF(B123="","",LeftoverPrefix&amp;TEXT(ROW()-4,"0000"))</f>
        <v>0</v>
      </c>
      <c r="D123" s="17">
        <f>IF(C123="","",IFERROR(INDEX(Recipes!$B$5:$B$204,MATCH(C123,Recipes!$A$5:$A$204,0)),"Not found"))</f>
        <v>0</v>
      </c>
      <c r="I123" s="18">
        <f>IF(G123="","",IF(G123="Freezer",FreezerDays,LeftoverDays))</f>
        <v>0</v>
      </c>
      <c r="J123" s="19">
        <f>IF(OR(E123="",I123=""),"",E123+I123)</f>
        <v>0</v>
      </c>
      <c r="K123" s="18">
        <f>IF(J123="","",J123-TODAY())</f>
        <v>0</v>
      </c>
      <c r="L123" s="25">
        <f>IF(C123="","",IFERROR(INDEX(Recipes!$AD$5:$AD$204,MATCH(C123,Recipes!$A$5:$A$204,0)),"Not found"))</f>
        <v>0</v>
      </c>
      <c r="M123" s="25">
        <f>IF(OR(F123="",L123="",NOT(ISNUMBER(L123))),"",F123*L123)</f>
        <v>0</v>
      </c>
      <c r="P123" s="18">
        <f>IF(OR(B123="",Q123="Eaten",Q123="Binned",NOT(ISNUMBER(K123))),"",COUNTIFS($Q$5:$Q$124,"&lt;&gt;Eaten",$Q$5:$Q$124,"&lt;&gt;Binned",$K$5:$K$124,"&lt;"&amp;K123)+COUNTIFS($Q$5:Q123,"&lt;&gt;Eaten",$Q$5:Q123,"&lt;&gt;Binned",$K$5:K123,K123))</f>
        <v>0</v>
      </c>
      <c r="R123" s="31">
        <f>IF(B123="","",IF(Q123="Eaten","OK - eaten",IF(Q123="Binned","Wasted - log the cost",IF(Q123="Frozen","OK - in the freezer",IF(AND(K123&lt;&gt;"",K123&lt;0),"Expired - check before eating",IF(AND(K123&lt;&gt;"",K123&lt;=1),"Today - eat it now","OK"))))))</f>
        <v>0</v>
      </c>
    </row>
    <row r="124" spans="1:19">
      <c r="A124" s="39">
        <f>IF(B124="","",LeftoverPrefix&amp;TEXT(ROW()-4,"0000"))</f>
        <v>0</v>
      </c>
      <c r="D124" s="17">
        <f>IF(C124="","",IFERROR(INDEX(Recipes!$B$5:$B$204,MATCH(C124,Recipes!$A$5:$A$204,0)),"Not found"))</f>
        <v>0</v>
      </c>
      <c r="I124" s="18">
        <f>IF(G124="","",IF(G124="Freezer",FreezerDays,LeftoverDays))</f>
        <v>0</v>
      </c>
      <c r="J124" s="19">
        <f>IF(OR(E124="",I124=""),"",E124+I124)</f>
        <v>0</v>
      </c>
      <c r="K124" s="18">
        <f>IF(J124="","",J124-TODAY())</f>
        <v>0</v>
      </c>
      <c r="L124" s="25">
        <f>IF(C124="","",IFERROR(INDEX(Recipes!$AD$5:$AD$204,MATCH(C124,Recipes!$A$5:$A$204,0)),"Not found"))</f>
        <v>0</v>
      </c>
      <c r="M124" s="25">
        <f>IF(OR(F124="",L124="",NOT(ISNUMBER(L124))),"",F124*L124)</f>
        <v>0</v>
      </c>
      <c r="P124" s="18">
        <f>IF(OR(B124="",Q124="Eaten",Q124="Binned",NOT(ISNUMBER(K124))),"",COUNTIFS($Q$5:$Q$124,"&lt;&gt;Eaten",$Q$5:$Q$124,"&lt;&gt;Binned",$K$5:$K$124,"&lt;"&amp;K124)+COUNTIFS($Q$5:Q124,"&lt;&gt;Eaten",$Q$5:Q124,"&lt;&gt;Binned",$K$5:K124,K124))</f>
        <v>0</v>
      </c>
      <c r="R124" s="31">
        <f>IF(B124="","",IF(Q124="Eaten","OK - eaten",IF(Q124="Binned","Wasted - log the cost",IF(Q124="Frozen","OK - in the freezer",IF(AND(K124&lt;&gt;"",K124&lt;0),"Expired - check before eating",IF(AND(K124&lt;&gt;"",K124&lt;=1),"Today - eat it now","OK"))))))</f>
        <v>0</v>
      </c>
    </row>
    <row r="126" spans="1:19" ht="20" customHeight="1">
      <c r="A126" s="7" t="s">
        <v>1155</v>
      </c>
      <c r="B126" s="7"/>
      <c r="C126" s="7"/>
      <c r="D126" s="7"/>
      <c r="E126" s="7"/>
      <c r="F126" s="7"/>
      <c r="G126" s="7"/>
      <c r="H126" s="7"/>
      <c r="I126" s="7"/>
      <c r="J126" s="7"/>
      <c r="K126" s="7"/>
      <c r="L126" s="7"/>
      <c r="M126" s="7"/>
      <c r="N126" s="7"/>
      <c r="O126" s="7"/>
      <c r="P126" s="7"/>
      <c r="Q126" s="7"/>
      <c r="R126" s="7"/>
      <c r="S126" s="7"/>
    </row>
    <row r="127" spans="1:19" ht="26" customHeight="1">
      <c r="A127" s="8" t="s">
        <v>1156</v>
      </c>
      <c r="B127" s="9" t="s">
        <v>1143</v>
      </c>
      <c r="C127" s="9" t="s">
        <v>1157</v>
      </c>
      <c r="D127" s="9" t="s">
        <v>1158</v>
      </c>
      <c r="E127" s="9" t="s">
        <v>1159</v>
      </c>
      <c r="F127" s="9" t="s">
        <v>1160</v>
      </c>
      <c r="G127" s="9" t="s">
        <v>1161</v>
      </c>
    </row>
    <row r="128" spans="1:19">
      <c r="A128" s="45">
        <f>SUMIFS(Leftovers!$F$5:$F$124,Leftovers!$Q$5:$Q$124,"&lt;&gt;Eaten",Leftovers!$Q$5:$Q$124,"&lt;&gt;Binned")</f>
        <v>0</v>
      </c>
      <c r="B128" s="25">
        <f>SUMIFS(Leftovers!$M$5:$M$124,Leftovers!$Q$5:$Q$124,"&lt;&gt;Eaten",Leftovers!$Q$5:$Q$124,"&lt;&gt;Binned")</f>
        <v>0</v>
      </c>
      <c r="C128" s="18">
        <f>COUNTIFS(Leftovers!$K$5:$K$124,"&gt;=0",Leftovers!$K$5:$K$124,"&lt;=1")</f>
        <v>0</v>
      </c>
      <c r="D128" s="18">
        <f>COUNTIFS(Leftovers!$K$5:$K$124,"&lt;0",Leftovers!$Q$5:$Q$124,"&lt;&gt;Eaten")</f>
        <v>0</v>
      </c>
      <c r="E128" s="18">
        <f>COUNTIF(Leftovers!$Q$5:$Q$124,"Eaten")</f>
        <v>0</v>
      </c>
      <c r="F128" s="18">
        <f>COUNTIF(Leftovers!$Q$5:$Q$124,"Binned")</f>
        <v>0</v>
      </c>
      <c r="G128" s="25">
        <f>SUMIFS(Leftovers!$M$5:$M$124,Leftovers!$Q$5:$Q$124,"Eaten")</f>
        <v>0</v>
      </c>
    </row>
  </sheetData>
  <sheetProtection password="EC7C" sheet="1" objects="1" scenarios="1" formatCells="0" formatColumns="0" formatRows="0" insertRows="0" insertHyperlinks="0" deleteRows="0" autoFilter="0"/>
  <autoFilter ref="A4:S124"/>
  <mergeCells count="13">
    <mergeCell ref="A1:P1"/>
    <mergeCell ref="Q1:S1"/>
    <mergeCell ref="A2:S2"/>
    <mergeCell ref="A3:B3"/>
    <mergeCell ref="C3:D3"/>
    <mergeCell ref="E3:F3"/>
    <mergeCell ref="G3:H3"/>
    <mergeCell ref="I3:J3"/>
    <mergeCell ref="K3:L3"/>
    <mergeCell ref="M3:N3"/>
    <mergeCell ref="O3:P3"/>
    <mergeCell ref="Q3:R3"/>
    <mergeCell ref="A126:S126"/>
  </mergeCells>
  <conditionalFormatting sqref="K5:K124">
    <cfRule type="cellIs" dxfId="2" priority="1" operator="lessThan">
      <formula>0</formula>
    </cfRule>
    <cfRule type="cellIs" dxfId="0" priority="2" operator="between">
      <formula>0</formula>
      <formula>1</formula>
    </cfRule>
  </conditionalFormatting>
  <conditionalFormatting sqref="Q5:Q124">
    <cfRule type="containsText" dxfId="1" priority="3" operator="containsText" text="Prepared">
      <formula>NOT(ISERROR(SEARCH("Prepared",Q5)))</formula>
    </cfRule>
    <cfRule type="containsText" dxfId="1" priority="4" operator="containsText" text="Cooked">
      <formula>NOT(ISERROR(SEARCH("Cooked",Q5)))</formula>
    </cfRule>
    <cfRule type="containsText" dxfId="1" priority="5" operator="containsText" text="Eaten">
      <formula>NOT(ISERROR(SEARCH("Eaten",Q5)))</formula>
    </cfRule>
    <cfRule type="containsText" dxfId="1" priority="6" operator="containsText" text="Bought">
      <formula>NOT(ISERROR(SEARCH("Bought",Q5)))</formula>
    </cfRule>
    <cfRule type="containsText" dxfId="1" priority="7" operator="containsText" text="Purchased">
      <formula>NOT(ISERROR(SEARCH("Purchased",Q5)))</formula>
    </cfRule>
    <cfRule type="containsText" dxfId="1" priority="8" operator="containsText" text="Done">
      <formula>NOT(ISERROR(SEARCH("Done",Q5)))</formula>
    </cfRule>
    <cfRule type="containsText" dxfId="1" priority="9" operator="containsText" text="Complete">
      <formula>NOT(ISERROR(SEARCH("Complete",Q5)))</formula>
    </cfRule>
    <cfRule type="containsText" dxfId="1" priority="10" operator="containsText" text="In stock">
      <formula>NOT(ISERROR(SEARCH("In stock",Q5)))</formula>
    </cfRule>
    <cfRule type="containsText" dxfId="1" priority="11" operator="containsText" text="Yes">
      <formula>NOT(ISERROR(SEARCH("Yes",Q5)))</formula>
    </cfRule>
    <cfRule type="containsText" dxfId="4" priority="12" operator="containsText" text="Planned">
      <formula>NOT(ISERROR(SEARCH("Planned",Q5)))</formula>
    </cfRule>
    <cfRule type="containsText" dxfId="4" priority="13" operator="containsText" text="Scheduled">
      <formula>NOT(ISERROR(SEARCH("Scheduled",Q5)))</formula>
    </cfRule>
    <cfRule type="containsText" dxfId="4" priority="14" operator="containsText" text="Shopping">
      <formula>NOT(ISERROR(SEARCH("Shopping",Q5)))</formula>
    </cfRule>
    <cfRule type="containsText" dxfId="4" priority="15" operator="containsText" text="On the list">
      <formula>NOT(ISERROR(SEARCH("On the list",Q5)))</formula>
    </cfRule>
    <cfRule type="containsText" dxfId="4" priority="16" operator="containsText" text="Prepping">
      <formula>NOT(ISERROR(SEARCH("Prepping",Q5)))</formula>
    </cfRule>
    <cfRule type="containsText" dxfId="4" priority="17" operator="containsText" text="Frozen">
      <formula>NOT(ISERROR(SEARCH("Frozen",Q5)))</formula>
    </cfRule>
    <cfRule type="containsText" dxfId="0" priority="18" operator="containsText" text="To do">
      <formula>NOT(ISERROR(SEARCH("To do",Q5)))</formula>
    </cfRule>
    <cfRule type="containsText" dxfId="0" priority="19" operator="containsText" text="Not started">
      <formula>NOT(ISERROR(SEARCH("Not started",Q5)))</formula>
    </cfRule>
    <cfRule type="containsText" dxfId="0" priority="20" operator="containsText" text="Low stock">
      <formula>NOT(ISERROR(SEARCH("Low stock",Q5)))</formula>
    </cfRule>
    <cfRule type="containsText" dxfId="0" priority="21" operator="containsText" text="Use soon">
      <formula>NOT(ISERROR(SEARCH("Use soon",Q5)))</formula>
    </cfRule>
    <cfRule type="containsText" dxfId="0" priority="22" operator="containsText" text="Defrosting">
      <formula>NOT(ISERROR(SEARCH("Defrosting",Q5)))</formula>
    </cfRule>
    <cfRule type="containsText" dxfId="0" priority="23" operator="containsText" text="Substituted">
      <formula>NOT(ISERROR(SEARCH("Substituted",Q5)))</formula>
    </cfRule>
    <cfRule type="containsText" dxfId="2" priority="24" operator="containsText" text="Out of stock">
      <formula>NOT(ISERROR(SEARCH("Out of stock",Q5)))</formula>
    </cfRule>
    <cfRule type="containsText" dxfId="2" priority="25" operator="containsText" text="Expired">
      <formula>NOT(ISERROR(SEARCH("Expired",Q5)))</formula>
    </cfRule>
    <cfRule type="containsText" dxfId="2" priority="26" operator="containsText" text="Skipped">
      <formula>NOT(ISERROR(SEARCH("Skipped",Q5)))</formula>
    </cfRule>
    <cfRule type="containsText" dxfId="2" priority="27" operator="containsText" text="Binned">
      <formula>NOT(ISERROR(SEARCH("Binned",Q5)))</formula>
    </cfRule>
    <cfRule type="containsText" dxfId="2" priority="28" operator="containsText" text="Wasted">
      <formula>NOT(ISERROR(SEARCH("Wasted",Q5)))</formula>
    </cfRule>
    <cfRule type="containsText" dxfId="2" priority="29" operator="containsText" text="Cancelled">
      <formula>NOT(ISERROR(SEARCH("Cancelled",Q5)))</formula>
    </cfRule>
    <cfRule type="containsText" dxfId="3" priority="30" operator="containsText" text="Archived">
      <formula>NOT(ISERROR(SEARCH("Archived",Q5)))</formula>
    </cfRule>
    <cfRule type="containsText" dxfId="3" priority="31" operator="containsText" text="Not needed">
      <formula>NOT(ISERROR(SEARCH("Not needed",Q5)))</formula>
    </cfRule>
  </conditionalFormatting>
  <conditionalFormatting sqref="R5:R124">
    <cfRule type="beginsWith" dxfId="1" priority="32" operator="beginsWith" text="OK">
      <formula>LEFT(R5,2)="OK"</formula>
    </cfRule>
    <cfRule type="containsText" dxfId="2" priority="33" operator="containsText" text="Overdue">
      <formula>NOT(ISERROR(SEARCH("Overdue",R5)))</formula>
    </cfRule>
    <cfRule type="containsText" dxfId="2" priority="34" operator="containsText" text="Late">
      <formula>NOT(ISERROR(SEARCH("Late",R5)))</formula>
    </cfRule>
    <cfRule type="containsText" dxfId="2" priority="35" operator="containsText" text="Missing">
      <formula>NOT(ISERROR(SEARCH("Missing",R5)))</formula>
    </cfRule>
    <cfRule type="containsText" dxfId="2" priority="36" operator="containsText" text="Conflict">
      <formula>NOT(ISERROR(SEARCH("Conflict",R5)))</formula>
    </cfRule>
    <cfRule type="containsText" dxfId="2" priority="37" operator="containsText" text="Expired">
      <formula>NOT(ISERROR(SEARCH("Expired",R5)))</formula>
    </cfRule>
    <cfRule type="containsText" dxfId="2" priority="38" operator="containsText" text="Duplicate">
      <formula>NOT(ISERROR(SEARCH("Duplicate",R5)))</formula>
    </cfRule>
    <cfRule type="containsText" dxfId="0" priority="39" operator="containsText" text="Action">
      <formula>NOT(ISERROR(SEARCH("Action",R5)))</formula>
    </cfRule>
    <cfRule type="containsText" dxfId="0" priority="40" operator="containsText" text="Due">
      <formula>NOT(ISERROR(SEARCH("Due",R5)))</formula>
    </cfRule>
    <cfRule type="containsText" dxfId="0" priority="41" operator="containsText" text="Check">
      <formula>NOT(ISERROR(SEARCH("Check",R5)))</formula>
    </cfRule>
    <cfRule type="containsText" dxfId="0" priority="42" operator="containsText" text="Add">
      <formula>NOT(ISERROR(SEARCH("Add",R5)))</formula>
    </cfRule>
    <cfRule type="containsText" dxfId="4" priority="43" operator="containsText" text="Today">
      <formula>NOT(ISERROR(SEARCH("Today",R5)))</formula>
    </cfRule>
    <cfRule type="containsText" dxfId="4" priority="44" operator="containsText" text="Upcoming">
      <formula>NOT(ISERROR(SEARCH("Upcoming",R5)))</formula>
    </cfRule>
  </conditionalFormatting>
  <dataValidations count="7">
    <dataValidation type="list" allowBlank="1" showInputMessage="1" showErrorMessage="1" promptTitle="From which recipe" prompt="Optional. Links it back so the cost per portion is worked out for you." sqref="C5:C124">
      <formula1>RecipeIDs</formula1>
    </dataValidation>
    <dataValidation type="date" allowBlank="1" showInputMessage="1" showErrorMessage="1" errorTitle="Check the date" error="Enter a real date between 2000 and 2100." sqref="E5:E124">
      <formula1>36526</formula1>
      <formula2>73415</formula2>
    </dataValidation>
    <dataValidation type="decimal" allowBlank="1" showInputMessage="1" showErrorMessage="1" errorTitle="Check the value" error="Enter a number between 0 and 100." sqref="F5:F124">
      <formula1>0</formula1>
      <formula2>100</formula2>
    </dataValidation>
    <dataValidation type="list" allowBlank="1" showInputMessage="1" showErrorMessage="1" promptTitle="Stored in" prompt="Fridge or freezer - it changes how long you have." sqref="G5:G124">
      <formula1>StorageList</formula1>
    </dataValidation>
    <dataValidation type="date" allowBlank="1" showInputMessage="1" showErrorMessage="1" errorTitle="Check the date" error="Enter a real date between 2000 and 2100." promptTitle="Planned for" prompt="When you intend to eat it. Add the meal to the plan as well and it shows up in the week." sqref="N5:N124">
      <formula1>36526</formula1>
      <formula2>73415</formula2>
    </dataValidation>
    <dataValidation type="list" allowBlank="1" showInputMessage="1" showErrorMessage="1" sqref="O5:O124">
      <formula1>MemberNames</formula1>
    </dataValidation>
    <dataValidation type="list" allowBlank="1" showInputMessage="1" showErrorMessage="1" sqref="Q5:Q124">
      <formula1>LeftoverStatusList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&amp;L&amp;"Calibri,Bold"&amp;12&amp;C&amp;"Calibri,Bold"&amp;11Leftovers&amp;R&amp;"Calibri,Italic"&amp;9Automated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FBE9DC"/>
    <pageSetUpPr fitToPage="1"/>
  </sheetPr>
  <dimension ref="A1:T15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11.7109375" style="15" customWidth="1"/>
    <col min="3" max="3" width="7.7109375" style="18" customWidth="1"/>
    <col min="4" max="4" width="10.7109375" style="17" customWidth="1"/>
    <col min="5" max="5" width="24.7109375" style="32" customWidth="1"/>
    <col min="6" max="6" width="20.7109375" style="32" customWidth="1"/>
    <col min="7" max="7" width="10.7109375" style="38" customWidth="1"/>
    <col min="8" max="8" width="9.7109375" style="32" customWidth="1"/>
    <col min="9" max="9" width="11.7109375" style="45" hidden="1" customWidth="1"/>
    <col min="10" max="10" width="9.7109375" style="17" hidden="1" customWidth="1"/>
    <col min="11" max="11" width="10.7109375" style="25" hidden="1" customWidth="1"/>
    <col min="12" max="12" width="11.7109375" style="25" customWidth="1"/>
    <col min="13" max="13" width="11.7109375" style="36" customWidth="1"/>
    <col min="14" max="14" width="18.7109375" style="32" customWidth="1"/>
    <col min="15" max="15" width="10.7109375" style="40" customWidth="1"/>
    <col min="16" max="16" width="13.7109375" style="32" customWidth="1"/>
    <col min="17" max="17" width="14.7109375" style="32" customWidth="1"/>
    <col min="18" max="18" width="30.7109375" style="43" customWidth="1"/>
    <col min="19" max="19" width="11.7109375" style="25" hidden="1" customWidth="1"/>
    <col min="20" max="20" width="22.7109375" style="31" customWidth="1"/>
    <col min="1" max="1" width="13.7109375" customWidth="1"/>
    <col min="2" max="2" width="13.7109375" customWidth="1"/>
    <col min="3" max="3" width="13.7109375" customWidth="1"/>
    <col min="4" max="4" width="15.7109375" customWidth="1"/>
    <col min="5" max="5" width="18.7109375" customWidth="1"/>
    <col min="6" max="6" width="15.7109375" customWidth="1"/>
    <col min="7" max="7" width="14.7109375" customWidth="1"/>
  </cols>
  <sheetData>
    <row r="1" spans="1:20" ht="34" customHeight="1">
      <c r="A1" s="2" t="s">
        <v>1162</v>
      </c>
      <c r="B1" s="2"/>
      <c r="C1" s="2"/>
      <c r="D1" s="2"/>
      <c r="E1" s="2"/>
      <c r="F1" s="2"/>
      <c r="G1" s="2"/>
      <c r="H1" s="2"/>
      <c r="I1" s="2"/>
      <c r="J1" s="2"/>
      <c r="K1" s="2"/>
      <c r="L1" s="2"/>
      <c r="M1" s="2"/>
      <c r="N1" s="2"/>
      <c r="O1" s="2"/>
      <c r="P1" s="2"/>
      <c r="Q1" s="2"/>
      <c r="R1" s="3" t="s">
        <v>1</v>
      </c>
      <c r="S1" s="3"/>
      <c r="T1" s="3"/>
    </row>
    <row r="2" spans="1:20" ht="18" customHeight="1">
      <c r="A2" s="4" t="s">
        <v>1163</v>
      </c>
      <c r="B2" s="4"/>
      <c r="C2" s="4"/>
      <c r="D2" s="4"/>
      <c r="E2" s="4"/>
      <c r="F2" s="4"/>
      <c r="G2" s="4"/>
      <c r="H2" s="4"/>
      <c r="I2" s="4"/>
      <c r="J2" s="4"/>
      <c r="K2" s="4"/>
      <c r="L2" s="4"/>
      <c r="M2" s="4"/>
      <c r="N2" s="4"/>
      <c r="O2" s="4"/>
      <c r="P2" s="4"/>
      <c r="Q2" s="4"/>
      <c r="R2" s="4"/>
      <c r="S2" s="4"/>
      <c r="T2" s="4"/>
    </row>
    <row r="3" spans="1:20" ht="16" customHeight="1">
      <c r="A3" s="5" t="s">
        <v>3</v>
      </c>
      <c r="B3" s="5"/>
      <c r="C3" s="5" t="s">
        <v>4</v>
      </c>
      <c r="D3" s="5"/>
      <c r="E3" s="5" t="s">
        <v>5</v>
      </c>
      <c r="F3" s="5"/>
      <c r="G3" s="5" t="s">
        <v>6</v>
      </c>
      <c r="H3" s="5"/>
      <c r="I3" s="5" t="s">
        <v>7</v>
      </c>
      <c r="J3" s="5"/>
      <c r="K3" s="5" t="s">
        <v>8</v>
      </c>
      <c r="L3" s="5"/>
      <c r="M3" s="5" t="s">
        <v>704</v>
      </c>
      <c r="N3" s="5"/>
      <c r="O3" s="5" t="s">
        <v>705</v>
      </c>
      <c r="P3" s="5"/>
      <c r="Q3" s="5" t="s">
        <v>706</v>
      </c>
      <c r="R3" s="5"/>
      <c r="S3" s="28"/>
      <c r="T3" s="28"/>
    </row>
    <row r="4" spans="1:20" ht="30" customHeight="1">
      <c r="A4" s="8" t="s">
        <v>708</v>
      </c>
      <c r="B4" s="8" t="s">
        <v>1025</v>
      </c>
      <c r="C4" s="9" t="s">
        <v>136</v>
      </c>
      <c r="D4" s="9" t="s">
        <v>101</v>
      </c>
      <c r="E4" s="9" t="s">
        <v>1164</v>
      </c>
      <c r="F4" s="9" t="s">
        <v>1165</v>
      </c>
      <c r="G4" s="9" t="s">
        <v>1166</v>
      </c>
      <c r="H4" s="9" t="s">
        <v>664</v>
      </c>
      <c r="I4" s="9" t="s">
        <v>875</v>
      </c>
      <c r="J4" s="9" t="s">
        <v>666</v>
      </c>
      <c r="K4" s="9" t="s">
        <v>877</v>
      </c>
      <c r="L4" s="9" t="s">
        <v>1167</v>
      </c>
      <c r="M4" s="9" t="s">
        <v>1168</v>
      </c>
      <c r="N4" s="9" t="s">
        <v>1169</v>
      </c>
      <c r="O4" s="9" t="s">
        <v>1170</v>
      </c>
      <c r="P4" s="9" t="s">
        <v>1171</v>
      </c>
      <c r="Q4" s="9" t="s">
        <v>1172</v>
      </c>
      <c r="R4" s="9" t="s">
        <v>1173</v>
      </c>
      <c r="S4" s="9" t="s">
        <v>1174</v>
      </c>
      <c r="T4" s="9" t="s">
        <v>729</v>
      </c>
    </row>
    <row r="5" spans="1:20">
      <c r="A5" s="39">
        <f>IF(B5="","","W-"&amp;TEXT(ROW()-4,"0000"))</f>
        <v>0</v>
      </c>
      <c r="B5" s="15">
        <v>46304</v>
      </c>
      <c r="C5" s="18">
        <f>IF(B5="","",WEEKNUM(B5,IF(WeekStart="Sunday",1,2)))</f>
        <v>0</v>
      </c>
      <c r="D5" s="17">
        <f>IF(B5="","",TEXT(B5,"yyyy-mm"))</f>
        <v>0</v>
      </c>
      <c r="E5" s="32" t="s">
        <v>914</v>
      </c>
      <c r="G5" s="38">
        <v>120</v>
      </c>
      <c r="H5" s="32" t="s">
        <v>668</v>
      </c>
      <c r="I5" s="45">
        <f>IF(G5="","",IFERROR(G5*INDEX(UnitFactors,MATCH(H5,UnitNames,0)),""))</f>
        <v>0</v>
      </c>
      <c r="J5" s="17">
        <f>IF(H5="","",IFERROR(INDEX(UnitBases,MATCH(H5,UnitNames,0)),"?"))</f>
        <v>0</v>
      </c>
      <c r="K5" s="25">
        <f>IF(E5="","",IFERROR(INDEX(Ingredients!$J$5:$J$304,MATCH(E5,Ingredients!$B$5:$B$304,0)),"Add to Ingredients"))</f>
        <v>0</v>
      </c>
      <c r="L5" s="25">
        <f>IF(OR(I5="",K5="",NOT(ISNUMBER(K5))),M5,I5*K5)</f>
        <v>0</v>
      </c>
      <c r="N5" s="32" t="s">
        <v>518</v>
      </c>
      <c r="O5" s="40" t="s">
        <v>311</v>
      </c>
      <c r="P5" s="32" t="s">
        <v>444</v>
      </c>
      <c r="Q5" s="32" t="s">
        <v>652</v>
      </c>
      <c r="R5" s="43" t="s">
        <v>1175</v>
      </c>
      <c r="S5" s="25">
        <f>IF(B5="","",SUMIFS($L$5:$L$154,$D$5:$D$154,D5))</f>
        <v>0</v>
      </c>
      <c r="T5" s="31">
        <f>IF(B5="","",IF(O5="Yes",IF(L5&gt;5,"Check - avoidable and expensive","Check - avoidable"),"OK"))</f>
        <v>0</v>
      </c>
    </row>
    <row r="6" spans="1:20">
      <c r="A6" s="39">
        <f>IF(B6="","","W-"&amp;TEXT(ROW()-4,"0000"))</f>
        <v>0</v>
      </c>
      <c r="B6" s="15">
        <v>46301</v>
      </c>
      <c r="C6" s="18">
        <f>IF(B6="","",WEEKNUM(B6,IF(WeekStart="Sunday",1,2)))</f>
        <v>0</v>
      </c>
      <c r="D6" s="17">
        <f>IF(B6="","",TEXT(B6,"yyyy-mm"))</f>
        <v>0</v>
      </c>
      <c r="E6" s="32" t="s">
        <v>948</v>
      </c>
      <c r="G6" s="38">
        <v>300</v>
      </c>
      <c r="H6" s="32" t="s">
        <v>668</v>
      </c>
      <c r="I6" s="45">
        <f>IF(G6="","",IFERROR(G6*INDEX(UnitFactors,MATCH(H6,UnitNames,0)),""))</f>
        <v>0</v>
      </c>
      <c r="J6" s="17">
        <f>IF(H6="","",IFERROR(INDEX(UnitBases,MATCH(H6,UnitNames,0)),"?"))</f>
        <v>0</v>
      </c>
      <c r="K6" s="25">
        <f>IF(E6="","",IFERROR(INDEX(Ingredients!$J$5:$J$304,MATCH(E6,Ingredients!$B$5:$B$304,0)),"Add to Ingredients"))</f>
        <v>0</v>
      </c>
      <c r="L6" s="25">
        <f>IF(OR(I6="",K6="",NOT(ISNUMBER(K6))),M6,I6*K6)</f>
        <v>0</v>
      </c>
      <c r="N6" s="32" t="s">
        <v>517</v>
      </c>
      <c r="O6" s="40" t="s">
        <v>311</v>
      </c>
      <c r="P6" s="32" t="s">
        <v>443</v>
      </c>
      <c r="Q6" s="32" t="s">
        <v>653</v>
      </c>
      <c r="R6" s="43" t="s">
        <v>1176</v>
      </c>
      <c r="S6" s="25">
        <f>IF(B6="","",SUMIFS($L$5:$L$154,$D$5:$D$154,D6))</f>
        <v>0</v>
      </c>
      <c r="T6" s="31">
        <f>IF(B6="","",IF(O6="Yes",IF(L6&gt;5,"Check - avoidable and expensive","Check - avoidable"),"OK"))</f>
        <v>0</v>
      </c>
    </row>
    <row r="7" spans="1:20">
      <c r="A7" s="39">
        <f>IF(B7="","","W-"&amp;TEXT(ROW()-4,"0000"))</f>
        <v>0</v>
      </c>
      <c r="B7" s="15">
        <v>46298</v>
      </c>
      <c r="C7" s="18">
        <f>IF(B7="","",WEEKNUM(B7,IF(WeekStart="Sunday",1,2)))</f>
        <v>0</v>
      </c>
      <c r="D7" s="17">
        <f>IF(B7="","",TEXT(B7,"yyyy-mm"))</f>
        <v>0</v>
      </c>
      <c r="E7" s="32" t="s">
        <v>404</v>
      </c>
      <c r="G7" s="38">
        <v>500</v>
      </c>
      <c r="H7" s="32" t="s">
        <v>674</v>
      </c>
      <c r="I7" s="45">
        <f>IF(G7="","",IFERROR(G7*INDEX(UnitFactors,MATCH(H7,UnitNames,0)),""))</f>
        <v>0</v>
      </c>
      <c r="J7" s="17">
        <f>IF(H7="","",IFERROR(INDEX(UnitBases,MATCH(H7,UnitNames,0)),"?"))</f>
        <v>0</v>
      </c>
      <c r="K7" s="25">
        <f>IF(E7="","",IFERROR(INDEX(Ingredients!$J$5:$J$304,MATCH(E7,Ingredients!$B$5:$B$304,0)),"Add to Ingredients"))</f>
        <v>0</v>
      </c>
      <c r="L7" s="25">
        <f>IF(OR(I7="",K7="",NOT(ISNUMBER(K7))),M7,I7*K7)</f>
        <v>0</v>
      </c>
      <c r="N7" s="32" t="s">
        <v>517</v>
      </c>
      <c r="O7" s="40" t="s">
        <v>311</v>
      </c>
      <c r="P7" s="32" t="s">
        <v>444</v>
      </c>
      <c r="Q7" s="32" t="s">
        <v>651</v>
      </c>
      <c r="R7" s="43" t="s">
        <v>1177</v>
      </c>
      <c r="S7" s="25">
        <f>IF(B7="","",SUMIFS($L$5:$L$154,$D$5:$D$154,D7))</f>
        <v>0</v>
      </c>
      <c r="T7" s="31">
        <f>IF(B7="","",IF(O7="Yes",IF(L7&gt;5,"Check - avoidable and expensive","Check - avoidable"),"OK"))</f>
        <v>0</v>
      </c>
    </row>
    <row r="8" spans="1:20">
      <c r="A8" s="39">
        <f>IF(B8="","","W-"&amp;TEXT(ROW()-4,"0000"))</f>
        <v>0</v>
      </c>
      <c r="B8" s="15">
        <v>46295</v>
      </c>
      <c r="C8" s="18">
        <f>IF(B8="","",WEEKNUM(B8,IF(WeekStart="Sunday",1,2)))</f>
        <v>0</v>
      </c>
      <c r="D8" s="17">
        <f>IF(B8="","",TEXT(B8,"yyyy-mm"))</f>
        <v>0</v>
      </c>
      <c r="E8" s="32" t="s">
        <v>737</v>
      </c>
      <c r="G8" s="38">
        <v>150</v>
      </c>
      <c r="H8" s="32" t="s">
        <v>668</v>
      </c>
      <c r="I8" s="45">
        <f>IF(G8="","",IFERROR(G8*INDEX(UnitFactors,MATCH(H8,UnitNames,0)),""))</f>
        <v>0</v>
      </c>
      <c r="J8" s="17">
        <f>IF(H8="","",IFERROR(INDEX(UnitBases,MATCH(H8,UnitNames,0)),"?"))</f>
        <v>0</v>
      </c>
      <c r="K8" s="25">
        <f>IF(E8="","",IFERROR(INDEX(Ingredients!$J$5:$J$304,MATCH(E8,Ingredients!$B$5:$B$304,0)),"Add to Ingredients"))</f>
        <v>0</v>
      </c>
      <c r="L8" s="25">
        <f>IF(OR(I8="",K8="",NOT(ISNUMBER(K8))),M8,I8*K8)</f>
        <v>0</v>
      </c>
      <c r="N8" s="32" t="s">
        <v>521</v>
      </c>
      <c r="O8" s="40" t="s">
        <v>311</v>
      </c>
      <c r="P8" s="32" t="s">
        <v>444</v>
      </c>
      <c r="Q8" s="32" t="s">
        <v>653</v>
      </c>
      <c r="R8" s="43" t="s">
        <v>1178</v>
      </c>
      <c r="S8" s="25">
        <f>IF(B8="","",SUMIFS($L$5:$L$154,$D$5:$D$154,D8))</f>
        <v>0</v>
      </c>
      <c r="T8" s="31">
        <f>IF(B8="","",IF(O8="Yes",IF(L8&gt;5,"Check - avoidable and expensive","Check - avoidable"),"OK"))</f>
        <v>0</v>
      </c>
    </row>
    <row r="9" spans="1:20">
      <c r="A9" s="39">
        <f>IF(B9="","","W-"&amp;TEXT(ROW()-4,"0000"))</f>
        <v>0</v>
      </c>
      <c r="B9" s="15">
        <v>46292</v>
      </c>
      <c r="C9" s="18">
        <f>IF(B9="","",WEEKNUM(B9,IF(WeekStart="Sunday",1,2)))</f>
        <v>0</v>
      </c>
      <c r="D9" s="17">
        <f>IF(B9="","",TEXT(B9,"yyyy-mm"))</f>
        <v>0</v>
      </c>
      <c r="E9" s="32" t="s">
        <v>890</v>
      </c>
      <c r="G9" s="38">
        <v>400</v>
      </c>
      <c r="H9" s="32" t="s">
        <v>668</v>
      </c>
      <c r="I9" s="45">
        <f>IF(G9="","",IFERROR(G9*INDEX(UnitFactors,MATCH(H9,UnitNames,0)),""))</f>
        <v>0</v>
      </c>
      <c r="J9" s="17">
        <f>IF(H9="","",IFERROR(INDEX(UnitBases,MATCH(H9,UnitNames,0)),"?"))</f>
        <v>0</v>
      </c>
      <c r="K9" s="25">
        <f>IF(E9="","",IFERROR(INDEX(Ingredients!$J$5:$J$304,MATCH(E9,Ingredients!$B$5:$B$304,0)),"Add to Ingredients"))</f>
        <v>0</v>
      </c>
      <c r="L9" s="25">
        <f>IF(OR(I9="",K9="",NOT(ISNUMBER(K9))),M9,I9*K9)</f>
        <v>0</v>
      </c>
      <c r="N9" s="32" t="s">
        <v>518</v>
      </c>
      <c r="O9" s="40" t="s">
        <v>311</v>
      </c>
      <c r="P9" s="32" t="s">
        <v>443</v>
      </c>
      <c r="Q9" s="32" t="s">
        <v>653</v>
      </c>
      <c r="R9" s="43" t="s">
        <v>1179</v>
      </c>
      <c r="S9" s="25">
        <f>IF(B9="","",SUMIFS($L$5:$L$154,$D$5:$D$154,D9))</f>
        <v>0</v>
      </c>
      <c r="T9" s="31">
        <f>IF(B9="","",IF(O9="Yes",IF(L9&gt;5,"Check - avoidable and expensive","Check - avoidable"),"OK"))</f>
        <v>0</v>
      </c>
    </row>
    <row r="10" spans="1:20">
      <c r="A10" s="39">
        <f>IF(B10="","","W-"&amp;TEXT(ROW()-4,"0000"))</f>
        <v>0</v>
      </c>
      <c r="B10" s="15">
        <v>46289</v>
      </c>
      <c r="C10" s="18">
        <f>IF(B10="","",WEEKNUM(B10,IF(WeekStart="Sunday",1,2)))</f>
        <v>0</v>
      </c>
      <c r="D10" s="17">
        <f>IF(B10="","",TEXT(B10,"yyyy-mm"))</f>
        <v>0</v>
      </c>
      <c r="E10" s="32" t="s">
        <v>944</v>
      </c>
      <c r="G10" s="38">
        <v>200</v>
      </c>
      <c r="H10" s="32" t="s">
        <v>668</v>
      </c>
      <c r="I10" s="45">
        <f>IF(G10="","",IFERROR(G10*INDEX(UnitFactors,MATCH(H10,UnitNames,0)),""))</f>
        <v>0</v>
      </c>
      <c r="J10" s="17">
        <f>IF(H10="","",IFERROR(INDEX(UnitBases,MATCH(H10,UnitNames,0)),"?"))</f>
        <v>0</v>
      </c>
      <c r="K10" s="25">
        <f>IF(E10="","",IFERROR(INDEX(Ingredients!$J$5:$J$304,MATCH(E10,Ingredients!$B$5:$B$304,0)),"Add to Ingredients"))</f>
        <v>0</v>
      </c>
      <c r="L10" s="25">
        <f>IF(OR(I10="",K10="",NOT(ISNUMBER(K10))),M10,I10*K10)</f>
        <v>0</v>
      </c>
      <c r="N10" s="32" t="s">
        <v>517</v>
      </c>
      <c r="O10" s="40" t="s">
        <v>311</v>
      </c>
      <c r="P10" s="32" t="s">
        <v>444</v>
      </c>
      <c r="Q10" s="32" t="s">
        <v>651</v>
      </c>
      <c r="R10" s="43" t="s">
        <v>1180</v>
      </c>
      <c r="S10" s="25">
        <f>IF(B10="","",SUMIFS($L$5:$L$154,$D$5:$D$154,D10))</f>
        <v>0</v>
      </c>
      <c r="T10" s="31">
        <f>IF(B10="","",IF(O10="Yes",IF(L10&gt;5,"Check - avoidable and expensive","Check - avoidable"),"OK"))</f>
        <v>0</v>
      </c>
    </row>
    <row r="11" spans="1:20">
      <c r="A11" s="39">
        <f>IF(B11="","","W-"&amp;TEXT(ROW()-4,"0000"))</f>
        <v>0</v>
      </c>
      <c r="B11" s="15">
        <v>46286</v>
      </c>
      <c r="C11" s="18">
        <f>IF(B11="","",WEEKNUM(B11,IF(WeekStart="Sunday",1,2)))</f>
        <v>0</v>
      </c>
      <c r="D11" s="17">
        <f>IF(B11="","",TEXT(B11,"yyyy-mm"))</f>
        <v>0</v>
      </c>
      <c r="E11" s="32" t="s">
        <v>901</v>
      </c>
      <c r="G11" s="38">
        <v>200</v>
      </c>
      <c r="H11" s="32" t="s">
        <v>668</v>
      </c>
      <c r="I11" s="45">
        <f>IF(G11="","",IFERROR(G11*INDEX(UnitFactors,MATCH(H11,UnitNames,0)),""))</f>
        <v>0</v>
      </c>
      <c r="J11" s="17">
        <f>IF(H11="","",IFERROR(INDEX(UnitBases,MATCH(H11,UnitNames,0)),"?"))</f>
        <v>0</v>
      </c>
      <c r="K11" s="25">
        <f>IF(E11="","",IFERROR(INDEX(Ingredients!$J$5:$J$304,MATCH(E11,Ingredients!$B$5:$B$304,0)),"Add to Ingredients"))</f>
        <v>0</v>
      </c>
      <c r="L11" s="25">
        <f>IF(OR(I11="",K11="",NOT(ISNUMBER(K11))),M11,I11*K11)</f>
        <v>0</v>
      </c>
      <c r="N11" s="32" t="s">
        <v>525</v>
      </c>
      <c r="O11" s="40" t="s">
        <v>312</v>
      </c>
      <c r="P11" s="32" t="s">
        <v>444</v>
      </c>
      <c r="Q11" s="32" t="s">
        <v>652</v>
      </c>
      <c r="R11" s="43" t="s">
        <v>1181</v>
      </c>
      <c r="S11" s="25">
        <f>IF(B11="","",SUMIFS($L$5:$L$154,$D$5:$D$154,D11))</f>
        <v>0</v>
      </c>
      <c r="T11" s="31">
        <f>IF(B11="","",IF(O11="Yes",IF(L11&gt;5,"Check - avoidable and expensive","Check - avoidable"),"OK"))</f>
        <v>0</v>
      </c>
    </row>
    <row r="12" spans="1:20">
      <c r="A12" s="39">
        <f>IF(B12="","","W-"&amp;TEXT(ROW()-4,"0000"))</f>
        <v>0</v>
      </c>
      <c r="B12" s="15">
        <v>46283</v>
      </c>
      <c r="C12" s="18">
        <f>IF(B12="","",WEEKNUM(B12,IF(WeekStart="Sunday",1,2)))</f>
        <v>0</v>
      </c>
      <c r="D12" s="17">
        <f>IF(B12="","",TEXT(B12,"yyyy-mm"))</f>
        <v>0</v>
      </c>
      <c r="E12" s="32" t="s">
        <v>956</v>
      </c>
      <c r="G12" s="38">
        <v>150</v>
      </c>
      <c r="H12" s="32" t="s">
        <v>668</v>
      </c>
      <c r="I12" s="45">
        <f>IF(G12="","",IFERROR(G12*INDEX(UnitFactors,MATCH(H12,UnitNames,0)),""))</f>
        <v>0</v>
      </c>
      <c r="J12" s="17">
        <f>IF(H12="","",IFERROR(INDEX(UnitBases,MATCH(H12,UnitNames,0)),"?"))</f>
        <v>0</v>
      </c>
      <c r="K12" s="25">
        <f>IF(E12="","",IFERROR(INDEX(Ingredients!$J$5:$J$304,MATCH(E12,Ingredients!$B$5:$B$304,0)),"Add to Ingredients"))</f>
        <v>0</v>
      </c>
      <c r="L12" s="25">
        <f>IF(OR(I12="",K12="",NOT(ISNUMBER(K12))),M12,I12*K12)</f>
        <v>0</v>
      </c>
      <c r="N12" s="32" t="s">
        <v>524</v>
      </c>
      <c r="O12" s="40" t="s">
        <v>311</v>
      </c>
      <c r="P12" s="32" t="s">
        <v>446</v>
      </c>
      <c r="Q12" s="32" t="s">
        <v>653</v>
      </c>
      <c r="R12" s="43" t="s">
        <v>1182</v>
      </c>
      <c r="S12" s="25">
        <f>IF(B12="","",SUMIFS($L$5:$L$154,$D$5:$D$154,D12))</f>
        <v>0</v>
      </c>
      <c r="T12" s="31">
        <f>IF(B12="","",IF(O12="Yes",IF(L12&gt;5,"Check - avoidable and expensive","Check - avoidable"),"OK"))</f>
        <v>0</v>
      </c>
    </row>
    <row r="13" spans="1:20">
      <c r="A13" s="39">
        <f>IF(B13="","","W-"&amp;TEXT(ROW()-4,"0000"))</f>
        <v>0</v>
      </c>
      <c r="C13" s="18">
        <f>IF(B13="","",WEEKNUM(B13,IF(WeekStart="Sunday",1,2)))</f>
        <v>0</v>
      </c>
      <c r="D13" s="17">
        <f>IF(B13="","",TEXT(B13,"yyyy-mm"))</f>
        <v>0</v>
      </c>
      <c r="I13" s="45">
        <f>IF(G13="","",IFERROR(G13*INDEX(UnitFactors,MATCH(H13,UnitNames,0)),""))</f>
        <v>0</v>
      </c>
      <c r="J13" s="17">
        <f>IF(H13="","",IFERROR(INDEX(UnitBases,MATCH(H13,UnitNames,0)),"?"))</f>
        <v>0</v>
      </c>
      <c r="K13" s="25">
        <f>IF(E13="","",IFERROR(INDEX(Ingredients!$J$5:$J$304,MATCH(E13,Ingredients!$B$5:$B$304,0)),"Add to Ingredients"))</f>
        <v>0</v>
      </c>
      <c r="L13" s="25">
        <f>IF(OR(I13="",K13="",NOT(ISNUMBER(K13))),M13,I13*K13)</f>
        <v>0</v>
      </c>
      <c r="S13" s="25">
        <f>IF(B13="","",SUMIFS($L$5:$L$154,$D$5:$D$154,D13))</f>
        <v>0</v>
      </c>
      <c r="T13" s="31">
        <f>IF(B13="","",IF(O13="Yes",IF(L13&gt;5,"Check - avoidable and expensive","Check - avoidable"),"OK"))</f>
        <v>0</v>
      </c>
    </row>
    <row r="14" spans="1:20">
      <c r="A14" s="39">
        <f>IF(B14="","","W-"&amp;TEXT(ROW()-4,"0000"))</f>
        <v>0</v>
      </c>
      <c r="C14" s="18">
        <f>IF(B14="","",WEEKNUM(B14,IF(WeekStart="Sunday",1,2)))</f>
        <v>0</v>
      </c>
      <c r="D14" s="17">
        <f>IF(B14="","",TEXT(B14,"yyyy-mm"))</f>
        <v>0</v>
      </c>
      <c r="I14" s="45">
        <f>IF(G14="","",IFERROR(G14*INDEX(UnitFactors,MATCH(H14,UnitNames,0)),""))</f>
        <v>0</v>
      </c>
      <c r="J14" s="17">
        <f>IF(H14="","",IFERROR(INDEX(UnitBases,MATCH(H14,UnitNames,0)),"?"))</f>
        <v>0</v>
      </c>
      <c r="K14" s="25">
        <f>IF(E14="","",IFERROR(INDEX(Ingredients!$J$5:$J$304,MATCH(E14,Ingredients!$B$5:$B$304,0)),"Add to Ingredients"))</f>
        <v>0</v>
      </c>
      <c r="L14" s="25">
        <f>IF(OR(I14="",K14="",NOT(ISNUMBER(K14))),M14,I14*K14)</f>
        <v>0</v>
      </c>
      <c r="S14" s="25">
        <f>IF(B14="","",SUMIFS($L$5:$L$154,$D$5:$D$154,D14))</f>
        <v>0</v>
      </c>
      <c r="T14" s="31">
        <f>IF(B14="","",IF(O14="Yes",IF(L14&gt;5,"Check - avoidable and expensive","Check - avoidable"),"OK"))</f>
        <v>0</v>
      </c>
    </row>
    <row r="15" spans="1:20">
      <c r="A15" s="39">
        <f>IF(B15="","","W-"&amp;TEXT(ROW()-4,"0000"))</f>
        <v>0</v>
      </c>
      <c r="C15" s="18">
        <f>IF(B15="","",WEEKNUM(B15,IF(WeekStart="Sunday",1,2)))</f>
        <v>0</v>
      </c>
      <c r="D15" s="17">
        <f>IF(B15="","",TEXT(B15,"yyyy-mm"))</f>
        <v>0</v>
      </c>
      <c r="I15" s="45">
        <f>IF(G15="","",IFERROR(G15*INDEX(UnitFactors,MATCH(H15,UnitNames,0)),""))</f>
        <v>0</v>
      </c>
      <c r="J15" s="17">
        <f>IF(H15="","",IFERROR(INDEX(UnitBases,MATCH(H15,UnitNames,0)),"?"))</f>
        <v>0</v>
      </c>
      <c r="K15" s="25">
        <f>IF(E15="","",IFERROR(INDEX(Ingredients!$J$5:$J$304,MATCH(E15,Ingredients!$B$5:$B$304,0)),"Add to Ingredients"))</f>
        <v>0</v>
      </c>
      <c r="L15" s="25">
        <f>IF(OR(I15="",K15="",NOT(ISNUMBER(K15))),M15,I15*K15)</f>
        <v>0</v>
      </c>
      <c r="S15" s="25">
        <f>IF(B15="","",SUMIFS($L$5:$L$154,$D$5:$D$154,D15))</f>
        <v>0</v>
      </c>
      <c r="T15" s="31">
        <f>IF(B15="","",IF(O15="Yes",IF(L15&gt;5,"Check - avoidable and expensive","Check - avoidable"),"OK"))</f>
        <v>0</v>
      </c>
    </row>
    <row r="16" spans="1:20">
      <c r="A16" s="39">
        <f>IF(B16="","","W-"&amp;TEXT(ROW()-4,"0000"))</f>
        <v>0</v>
      </c>
      <c r="C16" s="18">
        <f>IF(B16="","",WEEKNUM(B16,IF(WeekStart="Sunday",1,2)))</f>
        <v>0</v>
      </c>
      <c r="D16" s="17">
        <f>IF(B16="","",TEXT(B16,"yyyy-mm"))</f>
        <v>0</v>
      </c>
      <c r="I16" s="45">
        <f>IF(G16="","",IFERROR(G16*INDEX(UnitFactors,MATCH(H16,UnitNames,0)),""))</f>
        <v>0</v>
      </c>
      <c r="J16" s="17">
        <f>IF(H16="","",IFERROR(INDEX(UnitBases,MATCH(H16,UnitNames,0)),"?"))</f>
        <v>0</v>
      </c>
      <c r="K16" s="25">
        <f>IF(E16="","",IFERROR(INDEX(Ingredients!$J$5:$J$304,MATCH(E16,Ingredients!$B$5:$B$304,0)),"Add to Ingredients"))</f>
        <v>0</v>
      </c>
      <c r="L16" s="25">
        <f>IF(OR(I16="",K16="",NOT(ISNUMBER(K16))),M16,I16*K16)</f>
        <v>0</v>
      </c>
      <c r="S16" s="25">
        <f>IF(B16="","",SUMIFS($L$5:$L$154,$D$5:$D$154,D16))</f>
        <v>0</v>
      </c>
      <c r="T16" s="31">
        <f>IF(B16="","",IF(O16="Yes",IF(L16&gt;5,"Check - avoidable and expensive","Check - avoidable"),"OK"))</f>
        <v>0</v>
      </c>
    </row>
    <row r="17" spans="1:20">
      <c r="A17" s="39">
        <f>IF(B17="","","W-"&amp;TEXT(ROW()-4,"0000"))</f>
        <v>0</v>
      </c>
      <c r="C17" s="18">
        <f>IF(B17="","",WEEKNUM(B17,IF(WeekStart="Sunday",1,2)))</f>
        <v>0</v>
      </c>
      <c r="D17" s="17">
        <f>IF(B17="","",TEXT(B17,"yyyy-mm"))</f>
        <v>0</v>
      </c>
      <c r="I17" s="45">
        <f>IF(G17="","",IFERROR(G17*INDEX(UnitFactors,MATCH(H17,UnitNames,0)),""))</f>
        <v>0</v>
      </c>
      <c r="J17" s="17">
        <f>IF(H17="","",IFERROR(INDEX(UnitBases,MATCH(H17,UnitNames,0)),"?"))</f>
        <v>0</v>
      </c>
      <c r="K17" s="25">
        <f>IF(E17="","",IFERROR(INDEX(Ingredients!$J$5:$J$304,MATCH(E17,Ingredients!$B$5:$B$304,0)),"Add to Ingredients"))</f>
        <v>0</v>
      </c>
      <c r="L17" s="25">
        <f>IF(OR(I17="",K17="",NOT(ISNUMBER(K17))),M17,I17*K17)</f>
        <v>0</v>
      </c>
      <c r="S17" s="25">
        <f>IF(B17="","",SUMIFS($L$5:$L$154,$D$5:$D$154,D17))</f>
        <v>0</v>
      </c>
      <c r="T17" s="31">
        <f>IF(B17="","",IF(O17="Yes",IF(L17&gt;5,"Check - avoidable and expensive","Check - avoidable"),"OK"))</f>
        <v>0</v>
      </c>
    </row>
    <row r="18" spans="1:20">
      <c r="A18" s="39">
        <f>IF(B18="","","W-"&amp;TEXT(ROW()-4,"0000"))</f>
        <v>0</v>
      </c>
      <c r="C18" s="18">
        <f>IF(B18="","",WEEKNUM(B18,IF(WeekStart="Sunday",1,2)))</f>
        <v>0</v>
      </c>
      <c r="D18" s="17">
        <f>IF(B18="","",TEXT(B18,"yyyy-mm"))</f>
        <v>0</v>
      </c>
      <c r="I18" s="45">
        <f>IF(G18="","",IFERROR(G18*INDEX(UnitFactors,MATCH(H18,UnitNames,0)),""))</f>
        <v>0</v>
      </c>
      <c r="J18" s="17">
        <f>IF(H18="","",IFERROR(INDEX(UnitBases,MATCH(H18,UnitNames,0)),"?"))</f>
        <v>0</v>
      </c>
      <c r="K18" s="25">
        <f>IF(E18="","",IFERROR(INDEX(Ingredients!$J$5:$J$304,MATCH(E18,Ingredients!$B$5:$B$304,0)),"Add to Ingredients"))</f>
        <v>0</v>
      </c>
      <c r="L18" s="25">
        <f>IF(OR(I18="",K18="",NOT(ISNUMBER(K18))),M18,I18*K18)</f>
        <v>0</v>
      </c>
      <c r="S18" s="25">
        <f>IF(B18="","",SUMIFS($L$5:$L$154,$D$5:$D$154,D18))</f>
        <v>0</v>
      </c>
      <c r="T18" s="31">
        <f>IF(B18="","",IF(O18="Yes",IF(L18&gt;5,"Check - avoidable and expensive","Check - avoidable"),"OK"))</f>
        <v>0</v>
      </c>
    </row>
    <row r="19" spans="1:20">
      <c r="A19" s="39">
        <f>IF(B19="","","W-"&amp;TEXT(ROW()-4,"0000"))</f>
        <v>0</v>
      </c>
      <c r="C19" s="18">
        <f>IF(B19="","",WEEKNUM(B19,IF(WeekStart="Sunday",1,2)))</f>
        <v>0</v>
      </c>
      <c r="D19" s="17">
        <f>IF(B19="","",TEXT(B19,"yyyy-mm"))</f>
        <v>0</v>
      </c>
      <c r="I19" s="45">
        <f>IF(G19="","",IFERROR(G19*INDEX(UnitFactors,MATCH(H19,UnitNames,0)),""))</f>
        <v>0</v>
      </c>
      <c r="J19" s="17">
        <f>IF(H19="","",IFERROR(INDEX(UnitBases,MATCH(H19,UnitNames,0)),"?"))</f>
        <v>0</v>
      </c>
      <c r="K19" s="25">
        <f>IF(E19="","",IFERROR(INDEX(Ingredients!$J$5:$J$304,MATCH(E19,Ingredients!$B$5:$B$304,0)),"Add to Ingredients"))</f>
        <v>0</v>
      </c>
      <c r="L19" s="25">
        <f>IF(OR(I19="",K19="",NOT(ISNUMBER(K19))),M19,I19*K19)</f>
        <v>0</v>
      </c>
      <c r="S19" s="25">
        <f>IF(B19="","",SUMIFS($L$5:$L$154,$D$5:$D$154,D19))</f>
        <v>0</v>
      </c>
      <c r="T19" s="31">
        <f>IF(B19="","",IF(O19="Yes",IF(L19&gt;5,"Check - avoidable and expensive","Check - avoidable"),"OK"))</f>
        <v>0</v>
      </c>
    </row>
    <row r="20" spans="1:20">
      <c r="A20" s="39">
        <f>IF(B20="","","W-"&amp;TEXT(ROW()-4,"0000"))</f>
        <v>0</v>
      </c>
      <c r="C20" s="18">
        <f>IF(B20="","",WEEKNUM(B20,IF(WeekStart="Sunday",1,2)))</f>
        <v>0</v>
      </c>
      <c r="D20" s="17">
        <f>IF(B20="","",TEXT(B20,"yyyy-mm"))</f>
        <v>0</v>
      </c>
      <c r="I20" s="45">
        <f>IF(G20="","",IFERROR(G20*INDEX(UnitFactors,MATCH(H20,UnitNames,0)),""))</f>
        <v>0</v>
      </c>
      <c r="J20" s="17">
        <f>IF(H20="","",IFERROR(INDEX(UnitBases,MATCH(H20,UnitNames,0)),"?"))</f>
        <v>0</v>
      </c>
      <c r="K20" s="25">
        <f>IF(E20="","",IFERROR(INDEX(Ingredients!$J$5:$J$304,MATCH(E20,Ingredients!$B$5:$B$304,0)),"Add to Ingredients"))</f>
        <v>0</v>
      </c>
      <c r="L20" s="25">
        <f>IF(OR(I20="",K20="",NOT(ISNUMBER(K20))),M20,I20*K20)</f>
        <v>0</v>
      </c>
      <c r="S20" s="25">
        <f>IF(B20="","",SUMIFS($L$5:$L$154,$D$5:$D$154,D20))</f>
        <v>0</v>
      </c>
      <c r="T20" s="31">
        <f>IF(B20="","",IF(O20="Yes",IF(L20&gt;5,"Check - avoidable and expensive","Check - avoidable"),"OK"))</f>
        <v>0</v>
      </c>
    </row>
    <row r="21" spans="1:20">
      <c r="A21" s="39">
        <f>IF(B21="","","W-"&amp;TEXT(ROW()-4,"0000"))</f>
        <v>0</v>
      </c>
      <c r="C21" s="18">
        <f>IF(B21="","",WEEKNUM(B21,IF(WeekStart="Sunday",1,2)))</f>
        <v>0</v>
      </c>
      <c r="D21" s="17">
        <f>IF(B21="","",TEXT(B21,"yyyy-mm"))</f>
        <v>0</v>
      </c>
      <c r="I21" s="45">
        <f>IF(G21="","",IFERROR(G21*INDEX(UnitFactors,MATCH(H21,UnitNames,0)),""))</f>
        <v>0</v>
      </c>
      <c r="J21" s="17">
        <f>IF(H21="","",IFERROR(INDEX(UnitBases,MATCH(H21,UnitNames,0)),"?"))</f>
        <v>0</v>
      </c>
      <c r="K21" s="25">
        <f>IF(E21="","",IFERROR(INDEX(Ingredients!$J$5:$J$304,MATCH(E21,Ingredients!$B$5:$B$304,0)),"Add to Ingredients"))</f>
        <v>0</v>
      </c>
      <c r="L21" s="25">
        <f>IF(OR(I21="",K21="",NOT(ISNUMBER(K21))),M21,I21*K21)</f>
        <v>0</v>
      </c>
      <c r="S21" s="25">
        <f>IF(B21="","",SUMIFS($L$5:$L$154,$D$5:$D$154,D21))</f>
        <v>0</v>
      </c>
      <c r="T21" s="31">
        <f>IF(B21="","",IF(O21="Yes",IF(L21&gt;5,"Check - avoidable and expensive","Check - avoidable"),"OK"))</f>
        <v>0</v>
      </c>
    </row>
    <row r="22" spans="1:20">
      <c r="A22" s="39">
        <f>IF(B22="","","W-"&amp;TEXT(ROW()-4,"0000"))</f>
        <v>0</v>
      </c>
      <c r="C22" s="18">
        <f>IF(B22="","",WEEKNUM(B22,IF(WeekStart="Sunday",1,2)))</f>
        <v>0</v>
      </c>
      <c r="D22" s="17">
        <f>IF(B22="","",TEXT(B22,"yyyy-mm"))</f>
        <v>0</v>
      </c>
      <c r="I22" s="45">
        <f>IF(G22="","",IFERROR(G22*INDEX(UnitFactors,MATCH(H22,UnitNames,0)),""))</f>
        <v>0</v>
      </c>
      <c r="J22" s="17">
        <f>IF(H22="","",IFERROR(INDEX(UnitBases,MATCH(H22,UnitNames,0)),"?"))</f>
        <v>0</v>
      </c>
      <c r="K22" s="25">
        <f>IF(E22="","",IFERROR(INDEX(Ingredients!$J$5:$J$304,MATCH(E22,Ingredients!$B$5:$B$304,0)),"Add to Ingredients"))</f>
        <v>0</v>
      </c>
      <c r="L22" s="25">
        <f>IF(OR(I22="",K22="",NOT(ISNUMBER(K22))),M22,I22*K22)</f>
        <v>0</v>
      </c>
      <c r="S22" s="25">
        <f>IF(B22="","",SUMIFS($L$5:$L$154,$D$5:$D$154,D22))</f>
        <v>0</v>
      </c>
      <c r="T22" s="31">
        <f>IF(B22="","",IF(O22="Yes",IF(L22&gt;5,"Check - avoidable and expensive","Check - avoidable"),"OK"))</f>
        <v>0</v>
      </c>
    </row>
    <row r="23" spans="1:20">
      <c r="A23" s="39">
        <f>IF(B23="","","W-"&amp;TEXT(ROW()-4,"0000"))</f>
        <v>0</v>
      </c>
      <c r="C23" s="18">
        <f>IF(B23="","",WEEKNUM(B23,IF(WeekStart="Sunday",1,2)))</f>
        <v>0</v>
      </c>
      <c r="D23" s="17">
        <f>IF(B23="","",TEXT(B23,"yyyy-mm"))</f>
        <v>0</v>
      </c>
      <c r="I23" s="45">
        <f>IF(G23="","",IFERROR(G23*INDEX(UnitFactors,MATCH(H23,UnitNames,0)),""))</f>
        <v>0</v>
      </c>
      <c r="J23" s="17">
        <f>IF(H23="","",IFERROR(INDEX(UnitBases,MATCH(H23,UnitNames,0)),"?"))</f>
        <v>0</v>
      </c>
      <c r="K23" s="25">
        <f>IF(E23="","",IFERROR(INDEX(Ingredients!$J$5:$J$304,MATCH(E23,Ingredients!$B$5:$B$304,0)),"Add to Ingredients"))</f>
        <v>0</v>
      </c>
      <c r="L23" s="25">
        <f>IF(OR(I23="",K23="",NOT(ISNUMBER(K23))),M23,I23*K23)</f>
        <v>0</v>
      </c>
      <c r="S23" s="25">
        <f>IF(B23="","",SUMIFS($L$5:$L$154,$D$5:$D$154,D23))</f>
        <v>0</v>
      </c>
      <c r="T23" s="31">
        <f>IF(B23="","",IF(O23="Yes",IF(L23&gt;5,"Check - avoidable and expensive","Check - avoidable"),"OK"))</f>
        <v>0</v>
      </c>
    </row>
    <row r="24" spans="1:20">
      <c r="A24" s="39">
        <f>IF(B24="","","W-"&amp;TEXT(ROW()-4,"0000"))</f>
        <v>0</v>
      </c>
      <c r="C24" s="18">
        <f>IF(B24="","",WEEKNUM(B24,IF(WeekStart="Sunday",1,2)))</f>
        <v>0</v>
      </c>
      <c r="D24" s="17">
        <f>IF(B24="","",TEXT(B24,"yyyy-mm"))</f>
        <v>0</v>
      </c>
      <c r="I24" s="45">
        <f>IF(G24="","",IFERROR(G24*INDEX(UnitFactors,MATCH(H24,UnitNames,0)),""))</f>
        <v>0</v>
      </c>
      <c r="J24" s="17">
        <f>IF(H24="","",IFERROR(INDEX(UnitBases,MATCH(H24,UnitNames,0)),"?"))</f>
        <v>0</v>
      </c>
      <c r="K24" s="25">
        <f>IF(E24="","",IFERROR(INDEX(Ingredients!$J$5:$J$304,MATCH(E24,Ingredients!$B$5:$B$304,0)),"Add to Ingredients"))</f>
        <v>0</v>
      </c>
      <c r="L24" s="25">
        <f>IF(OR(I24="",K24="",NOT(ISNUMBER(K24))),M24,I24*K24)</f>
        <v>0</v>
      </c>
      <c r="S24" s="25">
        <f>IF(B24="","",SUMIFS($L$5:$L$154,$D$5:$D$154,D24))</f>
        <v>0</v>
      </c>
      <c r="T24" s="31">
        <f>IF(B24="","",IF(O24="Yes",IF(L24&gt;5,"Check - avoidable and expensive","Check - avoidable"),"OK"))</f>
        <v>0</v>
      </c>
    </row>
    <row r="25" spans="1:20">
      <c r="A25" s="39">
        <f>IF(B25="","","W-"&amp;TEXT(ROW()-4,"0000"))</f>
        <v>0</v>
      </c>
      <c r="C25" s="18">
        <f>IF(B25="","",WEEKNUM(B25,IF(WeekStart="Sunday",1,2)))</f>
        <v>0</v>
      </c>
      <c r="D25" s="17">
        <f>IF(B25="","",TEXT(B25,"yyyy-mm"))</f>
        <v>0</v>
      </c>
      <c r="I25" s="45">
        <f>IF(G25="","",IFERROR(G25*INDEX(UnitFactors,MATCH(H25,UnitNames,0)),""))</f>
        <v>0</v>
      </c>
      <c r="J25" s="17">
        <f>IF(H25="","",IFERROR(INDEX(UnitBases,MATCH(H25,UnitNames,0)),"?"))</f>
        <v>0</v>
      </c>
      <c r="K25" s="25">
        <f>IF(E25="","",IFERROR(INDEX(Ingredients!$J$5:$J$304,MATCH(E25,Ingredients!$B$5:$B$304,0)),"Add to Ingredients"))</f>
        <v>0</v>
      </c>
      <c r="L25" s="25">
        <f>IF(OR(I25="",K25="",NOT(ISNUMBER(K25))),M25,I25*K25)</f>
        <v>0</v>
      </c>
      <c r="S25" s="25">
        <f>IF(B25="","",SUMIFS($L$5:$L$154,$D$5:$D$154,D25))</f>
        <v>0</v>
      </c>
      <c r="T25" s="31">
        <f>IF(B25="","",IF(O25="Yes",IF(L25&gt;5,"Check - avoidable and expensive","Check - avoidable"),"OK"))</f>
        <v>0</v>
      </c>
    </row>
    <row r="26" spans="1:20">
      <c r="A26" s="39">
        <f>IF(B26="","","W-"&amp;TEXT(ROW()-4,"0000"))</f>
        <v>0</v>
      </c>
      <c r="C26" s="18">
        <f>IF(B26="","",WEEKNUM(B26,IF(WeekStart="Sunday",1,2)))</f>
        <v>0</v>
      </c>
      <c r="D26" s="17">
        <f>IF(B26="","",TEXT(B26,"yyyy-mm"))</f>
        <v>0</v>
      </c>
      <c r="I26" s="45">
        <f>IF(G26="","",IFERROR(G26*INDEX(UnitFactors,MATCH(H26,UnitNames,0)),""))</f>
        <v>0</v>
      </c>
      <c r="J26" s="17">
        <f>IF(H26="","",IFERROR(INDEX(UnitBases,MATCH(H26,UnitNames,0)),"?"))</f>
        <v>0</v>
      </c>
      <c r="K26" s="25">
        <f>IF(E26="","",IFERROR(INDEX(Ingredients!$J$5:$J$304,MATCH(E26,Ingredients!$B$5:$B$304,0)),"Add to Ingredients"))</f>
        <v>0</v>
      </c>
      <c r="L26" s="25">
        <f>IF(OR(I26="",K26="",NOT(ISNUMBER(K26))),M26,I26*K26)</f>
        <v>0</v>
      </c>
      <c r="S26" s="25">
        <f>IF(B26="","",SUMIFS($L$5:$L$154,$D$5:$D$154,D26))</f>
        <v>0</v>
      </c>
      <c r="T26" s="31">
        <f>IF(B26="","",IF(O26="Yes",IF(L26&gt;5,"Check - avoidable and expensive","Check - avoidable"),"OK"))</f>
        <v>0</v>
      </c>
    </row>
    <row r="27" spans="1:20">
      <c r="A27" s="39">
        <f>IF(B27="","","W-"&amp;TEXT(ROW()-4,"0000"))</f>
        <v>0</v>
      </c>
      <c r="C27" s="18">
        <f>IF(B27="","",WEEKNUM(B27,IF(WeekStart="Sunday",1,2)))</f>
        <v>0</v>
      </c>
      <c r="D27" s="17">
        <f>IF(B27="","",TEXT(B27,"yyyy-mm"))</f>
        <v>0</v>
      </c>
      <c r="I27" s="45">
        <f>IF(G27="","",IFERROR(G27*INDEX(UnitFactors,MATCH(H27,UnitNames,0)),""))</f>
        <v>0</v>
      </c>
      <c r="J27" s="17">
        <f>IF(H27="","",IFERROR(INDEX(UnitBases,MATCH(H27,UnitNames,0)),"?"))</f>
        <v>0</v>
      </c>
      <c r="K27" s="25">
        <f>IF(E27="","",IFERROR(INDEX(Ingredients!$J$5:$J$304,MATCH(E27,Ingredients!$B$5:$B$304,0)),"Add to Ingredients"))</f>
        <v>0</v>
      </c>
      <c r="L27" s="25">
        <f>IF(OR(I27="",K27="",NOT(ISNUMBER(K27))),M27,I27*K27)</f>
        <v>0</v>
      </c>
      <c r="S27" s="25">
        <f>IF(B27="","",SUMIFS($L$5:$L$154,$D$5:$D$154,D27))</f>
        <v>0</v>
      </c>
      <c r="T27" s="31">
        <f>IF(B27="","",IF(O27="Yes",IF(L27&gt;5,"Check - avoidable and expensive","Check - avoidable"),"OK"))</f>
        <v>0</v>
      </c>
    </row>
    <row r="28" spans="1:20">
      <c r="A28" s="39">
        <f>IF(B28="","","W-"&amp;TEXT(ROW()-4,"0000"))</f>
        <v>0</v>
      </c>
      <c r="C28" s="18">
        <f>IF(B28="","",WEEKNUM(B28,IF(WeekStart="Sunday",1,2)))</f>
        <v>0</v>
      </c>
      <c r="D28" s="17">
        <f>IF(B28="","",TEXT(B28,"yyyy-mm"))</f>
        <v>0</v>
      </c>
      <c r="I28" s="45">
        <f>IF(G28="","",IFERROR(G28*INDEX(UnitFactors,MATCH(H28,UnitNames,0)),""))</f>
        <v>0</v>
      </c>
      <c r="J28" s="17">
        <f>IF(H28="","",IFERROR(INDEX(UnitBases,MATCH(H28,UnitNames,0)),"?"))</f>
        <v>0</v>
      </c>
      <c r="K28" s="25">
        <f>IF(E28="","",IFERROR(INDEX(Ingredients!$J$5:$J$304,MATCH(E28,Ingredients!$B$5:$B$304,0)),"Add to Ingredients"))</f>
        <v>0</v>
      </c>
      <c r="L28" s="25">
        <f>IF(OR(I28="",K28="",NOT(ISNUMBER(K28))),M28,I28*K28)</f>
        <v>0</v>
      </c>
      <c r="S28" s="25">
        <f>IF(B28="","",SUMIFS($L$5:$L$154,$D$5:$D$154,D28))</f>
        <v>0</v>
      </c>
      <c r="T28" s="31">
        <f>IF(B28="","",IF(O28="Yes",IF(L28&gt;5,"Check - avoidable and expensive","Check - avoidable"),"OK"))</f>
        <v>0</v>
      </c>
    </row>
    <row r="29" spans="1:20">
      <c r="A29" s="39">
        <f>IF(B29="","","W-"&amp;TEXT(ROW()-4,"0000"))</f>
        <v>0</v>
      </c>
      <c r="C29" s="18">
        <f>IF(B29="","",WEEKNUM(B29,IF(WeekStart="Sunday",1,2)))</f>
        <v>0</v>
      </c>
      <c r="D29" s="17">
        <f>IF(B29="","",TEXT(B29,"yyyy-mm"))</f>
        <v>0</v>
      </c>
      <c r="I29" s="45">
        <f>IF(G29="","",IFERROR(G29*INDEX(UnitFactors,MATCH(H29,UnitNames,0)),""))</f>
        <v>0</v>
      </c>
      <c r="J29" s="17">
        <f>IF(H29="","",IFERROR(INDEX(UnitBases,MATCH(H29,UnitNames,0)),"?"))</f>
        <v>0</v>
      </c>
      <c r="K29" s="25">
        <f>IF(E29="","",IFERROR(INDEX(Ingredients!$J$5:$J$304,MATCH(E29,Ingredients!$B$5:$B$304,0)),"Add to Ingredients"))</f>
        <v>0</v>
      </c>
      <c r="L29" s="25">
        <f>IF(OR(I29="",K29="",NOT(ISNUMBER(K29))),M29,I29*K29)</f>
        <v>0</v>
      </c>
      <c r="S29" s="25">
        <f>IF(B29="","",SUMIFS($L$5:$L$154,$D$5:$D$154,D29))</f>
        <v>0</v>
      </c>
      <c r="T29" s="31">
        <f>IF(B29="","",IF(O29="Yes",IF(L29&gt;5,"Check - avoidable and expensive","Check - avoidable"),"OK"))</f>
        <v>0</v>
      </c>
    </row>
    <row r="30" spans="1:20">
      <c r="A30" s="39">
        <f>IF(B30="","","W-"&amp;TEXT(ROW()-4,"0000"))</f>
        <v>0</v>
      </c>
      <c r="C30" s="18">
        <f>IF(B30="","",WEEKNUM(B30,IF(WeekStart="Sunday",1,2)))</f>
        <v>0</v>
      </c>
      <c r="D30" s="17">
        <f>IF(B30="","",TEXT(B30,"yyyy-mm"))</f>
        <v>0</v>
      </c>
      <c r="I30" s="45">
        <f>IF(G30="","",IFERROR(G30*INDEX(UnitFactors,MATCH(H30,UnitNames,0)),""))</f>
        <v>0</v>
      </c>
      <c r="J30" s="17">
        <f>IF(H30="","",IFERROR(INDEX(UnitBases,MATCH(H30,UnitNames,0)),"?"))</f>
        <v>0</v>
      </c>
      <c r="K30" s="25">
        <f>IF(E30="","",IFERROR(INDEX(Ingredients!$J$5:$J$304,MATCH(E30,Ingredients!$B$5:$B$304,0)),"Add to Ingredients"))</f>
        <v>0</v>
      </c>
      <c r="L30" s="25">
        <f>IF(OR(I30="",K30="",NOT(ISNUMBER(K30))),M30,I30*K30)</f>
        <v>0</v>
      </c>
      <c r="S30" s="25">
        <f>IF(B30="","",SUMIFS($L$5:$L$154,$D$5:$D$154,D30))</f>
        <v>0</v>
      </c>
      <c r="T30" s="31">
        <f>IF(B30="","",IF(O30="Yes",IF(L30&gt;5,"Check - avoidable and expensive","Check - avoidable"),"OK"))</f>
        <v>0</v>
      </c>
    </row>
    <row r="31" spans="1:20">
      <c r="A31" s="39">
        <f>IF(B31="","","W-"&amp;TEXT(ROW()-4,"0000"))</f>
        <v>0</v>
      </c>
      <c r="C31" s="18">
        <f>IF(B31="","",WEEKNUM(B31,IF(WeekStart="Sunday",1,2)))</f>
        <v>0</v>
      </c>
      <c r="D31" s="17">
        <f>IF(B31="","",TEXT(B31,"yyyy-mm"))</f>
        <v>0</v>
      </c>
      <c r="I31" s="45">
        <f>IF(G31="","",IFERROR(G31*INDEX(UnitFactors,MATCH(H31,UnitNames,0)),""))</f>
        <v>0</v>
      </c>
      <c r="J31" s="17">
        <f>IF(H31="","",IFERROR(INDEX(UnitBases,MATCH(H31,UnitNames,0)),"?"))</f>
        <v>0</v>
      </c>
      <c r="K31" s="25">
        <f>IF(E31="","",IFERROR(INDEX(Ingredients!$J$5:$J$304,MATCH(E31,Ingredients!$B$5:$B$304,0)),"Add to Ingredients"))</f>
        <v>0</v>
      </c>
      <c r="L31" s="25">
        <f>IF(OR(I31="",K31="",NOT(ISNUMBER(K31))),M31,I31*K31)</f>
        <v>0</v>
      </c>
      <c r="S31" s="25">
        <f>IF(B31="","",SUMIFS($L$5:$L$154,$D$5:$D$154,D31))</f>
        <v>0</v>
      </c>
      <c r="T31" s="31">
        <f>IF(B31="","",IF(O31="Yes",IF(L31&gt;5,"Check - avoidable and expensive","Check - avoidable"),"OK"))</f>
        <v>0</v>
      </c>
    </row>
    <row r="32" spans="1:20">
      <c r="A32" s="39">
        <f>IF(B32="","","W-"&amp;TEXT(ROW()-4,"0000"))</f>
        <v>0</v>
      </c>
      <c r="C32" s="18">
        <f>IF(B32="","",WEEKNUM(B32,IF(WeekStart="Sunday",1,2)))</f>
        <v>0</v>
      </c>
      <c r="D32" s="17">
        <f>IF(B32="","",TEXT(B32,"yyyy-mm"))</f>
        <v>0</v>
      </c>
      <c r="I32" s="45">
        <f>IF(G32="","",IFERROR(G32*INDEX(UnitFactors,MATCH(H32,UnitNames,0)),""))</f>
        <v>0</v>
      </c>
      <c r="J32" s="17">
        <f>IF(H32="","",IFERROR(INDEX(UnitBases,MATCH(H32,UnitNames,0)),"?"))</f>
        <v>0</v>
      </c>
      <c r="K32" s="25">
        <f>IF(E32="","",IFERROR(INDEX(Ingredients!$J$5:$J$304,MATCH(E32,Ingredients!$B$5:$B$304,0)),"Add to Ingredients"))</f>
        <v>0</v>
      </c>
      <c r="L32" s="25">
        <f>IF(OR(I32="",K32="",NOT(ISNUMBER(K32))),M32,I32*K32)</f>
        <v>0</v>
      </c>
      <c r="S32" s="25">
        <f>IF(B32="","",SUMIFS($L$5:$L$154,$D$5:$D$154,D32))</f>
        <v>0</v>
      </c>
      <c r="T32" s="31">
        <f>IF(B32="","",IF(O32="Yes",IF(L32&gt;5,"Check - avoidable and expensive","Check - avoidable"),"OK"))</f>
        <v>0</v>
      </c>
    </row>
    <row r="33" spans="1:20">
      <c r="A33" s="39">
        <f>IF(B33="","","W-"&amp;TEXT(ROW()-4,"0000"))</f>
        <v>0</v>
      </c>
      <c r="C33" s="18">
        <f>IF(B33="","",WEEKNUM(B33,IF(WeekStart="Sunday",1,2)))</f>
        <v>0</v>
      </c>
      <c r="D33" s="17">
        <f>IF(B33="","",TEXT(B33,"yyyy-mm"))</f>
        <v>0</v>
      </c>
      <c r="I33" s="45">
        <f>IF(G33="","",IFERROR(G33*INDEX(UnitFactors,MATCH(H33,UnitNames,0)),""))</f>
        <v>0</v>
      </c>
      <c r="J33" s="17">
        <f>IF(H33="","",IFERROR(INDEX(UnitBases,MATCH(H33,UnitNames,0)),"?"))</f>
        <v>0</v>
      </c>
      <c r="K33" s="25">
        <f>IF(E33="","",IFERROR(INDEX(Ingredients!$J$5:$J$304,MATCH(E33,Ingredients!$B$5:$B$304,0)),"Add to Ingredients"))</f>
        <v>0</v>
      </c>
      <c r="L33" s="25">
        <f>IF(OR(I33="",K33="",NOT(ISNUMBER(K33))),M33,I33*K33)</f>
        <v>0</v>
      </c>
      <c r="S33" s="25">
        <f>IF(B33="","",SUMIFS($L$5:$L$154,$D$5:$D$154,D33))</f>
        <v>0</v>
      </c>
      <c r="T33" s="31">
        <f>IF(B33="","",IF(O33="Yes",IF(L33&gt;5,"Check - avoidable and expensive","Check - avoidable"),"OK"))</f>
        <v>0</v>
      </c>
    </row>
    <row r="34" spans="1:20">
      <c r="A34" s="39">
        <f>IF(B34="","","W-"&amp;TEXT(ROW()-4,"0000"))</f>
        <v>0</v>
      </c>
      <c r="C34" s="18">
        <f>IF(B34="","",WEEKNUM(B34,IF(WeekStart="Sunday",1,2)))</f>
        <v>0</v>
      </c>
      <c r="D34" s="17">
        <f>IF(B34="","",TEXT(B34,"yyyy-mm"))</f>
        <v>0</v>
      </c>
      <c r="I34" s="45">
        <f>IF(G34="","",IFERROR(G34*INDEX(UnitFactors,MATCH(H34,UnitNames,0)),""))</f>
        <v>0</v>
      </c>
      <c r="J34" s="17">
        <f>IF(H34="","",IFERROR(INDEX(UnitBases,MATCH(H34,UnitNames,0)),"?"))</f>
        <v>0</v>
      </c>
      <c r="K34" s="25">
        <f>IF(E34="","",IFERROR(INDEX(Ingredients!$J$5:$J$304,MATCH(E34,Ingredients!$B$5:$B$304,0)),"Add to Ingredients"))</f>
        <v>0</v>
      </c>
      <c r="L34" s="25">
        <f>IF(OR(I34="",K34="",NOT(ISNUMBER(K34))),M34,I34*K34)</f>
        <v>0</v>
      </c>
      <c r="S34" s="25">
        <f>IF(B34="","",SUMIFS($L$5:$L$154,$D$5:$D$154,D34))</f>
        <v>0</v>
      </c>
      <c r="T34" s="31">
        <f>IF(B34="","",IF(O34="Yes",IF(L34&gt;5,"Check - avoidable and expensive","Check - avoidable"),"OK"))</f>
        <v>0</v>
      </c>
    </row>
    <row r="35" spans="1:20">
      <c r="A35" s="39">
        <f>IF(B35="","","W-"&amp;TEXT(ROW()-4,"0000"))</f>
        <v>0</v>
      </c>
      <c r="C35" s="18">
        <f>IF(B35="","",WEEKNUM(B35,IF(WeekStart="Sunday",1,2)))</f>
        <v>0</v>
      </c>
      <c r="D35" s="17">
        <f>IF(B35="","",TEXT(B35,"yyyy-mm"))</f>
        <v>0</v>
      </c>
      <c r="I35" s="45">
        <f>IF(G35="","",IFERROR(G35*INDEX(UnitFactors,MATCH(H35,UnitNames,0)),""))</f>
        <v>0</v>
      </c>
      <c r="J35" s="17">
        <f>IF(H35="","",IFERROR(INDEX(UnitBases,MATCH(H35,UnitNames,0)),"?"))</f>
        <v>0</v>
      </c>
      <c r="K35" s="25">
        <f>IF(E35="","",IFERROR(INDEX(Ingredients!$J$5:$J$304,MATCH(E35,Ingredients!$B$5:$B$304,0)),"Add to Ingredients"))</f>
        <v>0</v>
      </c>
      <c r="L35" s="25">
        <f>IF(OR(I35="",K35="",NOT(ISNUMBER(K35))),M35,I35*K35)</f>
        <v>0</v>
      </c>
      <c r="S35" s="25">
        <f>IF(B35="","",SUMIFS($L$5:$L$154,$D$5:$D$154,D35))</f>
        <v>0</v>
      </c>
      <c r="T35" s="31">
        <f>IF(B35="","",IF(O35="Yes",IF(L35&gt;5,"Check - avoidable and expensive","Check - avoidable"),"OK"))</f>
        <v>0</v>
      </c>
    </row>
    <row r="36" spans="1:20">
      <c r="A36" s="39">
        <f>IF(B36="","","W-"&amp;TEXT(ROW()-4,"0000"))</f>
        <v>0</v>
      </c>
      <c r="C36" s="18">
        <f>IF(B36="","",WEEKNUM(B36,IF(WeekStart="Sunday",1,2)))</f>
        <v>0</v>
      </c>
      <c r="D36" s="17">
        <f>IF(B36="","",TEXT(B36,"yyyy-mm"))</f>
        <v>0</v>
      </c>
      <c r="I36" s="45">
        <f>IF(G36="","",IFERROR(G36*INDEX(UnitFactors,MATCH(H36,UnitNames,0)),""))</f>
        <v>0</v>
      </c>
      <c r="J36" s="17">
        <f>IF(H36="","",IFERROR(INDEX(UnitBases,MATCH(H36,UnitNames,0)),"?"))</f>
        <v>0</v>
      </c>
      <c r="K36" s="25">
        <f>IF(E36="","",IFERROR(INDEX(Ingredients!$J$5:$J$304,MATCH(E36,Ingredients!$B$5:$B$304,0)),"Add to Ingredients"))</f>
        <v>0</v>
      </c>
      <c r="L36" s="25">
        <f>IF(OR(I36="",K36="",NOT(ISNUMBER(K36))),M36,I36*K36)</f>
        <v>0</v>
      </c>
      <c r="S36" s="25">
        <f>IF(B36="","",SUMIFS($L$5:$L$154,$D$5:$D$154,D36))</f>
        <v>0</v>
      </c>
      <c r="T36" s="31">
        <f>IF(B36="","",IF(O36="Yes",IF(L36&gt;5,"Check - avoidable and expensive","Check - avoidable"),"OK"))</f>
        <v>0</v>
      </c>
    </row>
    <row r="37" spans="1:20">
      <c r="A37" s="39">
        <f>IF(B37="","","W-"&amp;TEXT(ROW()-4,"0000"))</f>
        <v>0</v>
      </c>
      <c r="C37" s="18">
        <f>IF(B37="","",WEEKNUM(B37,IF(WeekStart="Sunday",1,2)))</f>
        <v>0</v>
      </c>
      <c r="D37" s="17">
        <f>IF(B37="","",TEXT(B37,"yyyy-mm"))</f>
        <v>0</v>
      </c>
      <c r="I37" s="45">
        <f>IF(G37="","",IFERROR(G37*INDEX(UnitFactors,MATCH(H37,UnitNames,0)),""))</f>
        <v>0</v>
      </c>
      <c r="J37" s="17">
        <f>IF(H37="","",IFERROR(INDEX(UnitBases,MATCH(H37,UnitNames,0)),"?"))</f>
        <v>0</v>
      </c>
      <c r="K37" s="25">
        <f>IF(E37="","",IFERROR(INDEX(Ingredients!$J$5:$J$304,MATCH(E37,Ingredients!$B$5:$B$304,0)),"Add to Ingredients"))</f>
        <v>0</v>
      </c>
      <c r="L37" s="25">
        <f>IF(OR(I37="",K37="",NOT(ISNUMBER(K37))),M37,I37*K37)</f>
        <v>0</v>
      </c>
      <c r="S37" s="25">
        <f>IF(B37="","",SUMIFS($L$5:$L$154,$D$5:$D$154,D37))</f>
        <v>0</v>
      </c>
      <c r="T37" s="31">
        <f>IF(B37="","",IF(O37="Yes",IF(L37&gt;5,"Check - avoidable and expensive","Check - avoidable"),"OK"))</f>
        <v>0</v>
      </c>
    </row>
    <row r="38" spans="1:20">
      <c r="A38" s="39">
        <f>IF(B38="","","W-"&amp;TEXT(ROW()-4,"0000"))</f>
        <v>0</v>
      </c>
      <c r="C38" s="18">
        <f>IF(B38="","",WEEKNUM(B38,IF(WeekStart="Sunday",1,2)))</f>
        <v>0</v>
      </c>
      <c r="D38" s="17">
        <f>IF(B38="","",TEXT(B38,"yyyy-mm"))</f>
        <v>0</v>
      </c>
      <c r="I38" s="45">
        <f>IF(G38="","",IFERROR(G38*INDEX(UnitFactors,MATCH(H38,UnitNames,0)),""))</f>
        <v>0</v>
      </c>
      <c r="J38" s="17">
        <f>IF(H38="","",IFERROR(INDEX(UnitBases,MATCH(H38,UnitNames,0)),"?"))</f>
        <v>0</v>
      </c>
      <c r="K38" s="25">
        <f>IF(E38="","",IFERROR(INDEX(Ingredients!$J$5:$J$304,MATCH(E38,Ingredients!$B$5:$B$304,0)),"Add to Ingredients"))</f>
        <v>0</v>
      </c>
      <c r="L38" s="25">
        <f>IF(OR(I38="",K38="",NOT(ISNUMBER(K38))),M38,I38*K38)</f>
        <v>0</v>
      </c>
      <c r="S38" s="25">
        <f>IF(B38="","",SUMIFS($L$5:$L$154,$D$5:$D$154,D38))</f>
        <v>0</v>
      </c>
      <c r="T38" s="31">
        <f>IF(B38="","",IF(O38="Yes",IF(L38&gt;5,"Check - avoidable and expensive","Check - avoidable"),"OK"))</f>
        <v>0</v>
      </c>
    </row>
    <row r="39" spans="1:20">
      <c r="A39" s="39">
        <f>IF(B39="","","W-"&amp;TEXT(ROW()-4,"0000"))</f>
        <v>0</v>
      </c>
      <c r="C39" s="18">
        <f>IF(B39="","",WEEKNUM(B39,IF(WeekStart="Sunday",1,2)))</f>
        <v>0</v>
      </c>
      <c r="D39" s="17">
        <f>IF(B39="","",TEXT(B39,"yyyy-mm"))</f>
        <v>0</v>
      </c>
      <c r="I39" s="45">
        <f>IF(G39="","",IFERROR(G39*INDEX(UnitFactors,MATCH(H39,UnitNames,0)),""))</f>
        <v>0</v>
      </c>
      <c r="J39" s="17">
        <f>IF(H39="","",IFERROR(INDEX(UnitBases,MATCH(H39,UnitNames,0)),"?"))</f>
        <v>0</v>
      </c>
      <c r="K39" s="25">
        <f>IF(E39="","",IFERROR(INDEX(Ingredients!$J$5:$J$304,MATCH(E39,Ingredients!$B$5:$B$304,0)),"Add to Ingredients"))</f>
        <v>0</v>
      </c>
      <c r="L39" s="25">
        <f>IF(OR(I39="",K39="",NOT(ISNUMBER(K39))),M39,I39*K39)</f>
        <v>0</v>
      </c>
      <c r="S39" s="25">
        <f>IF(B39="","",SUMIFS($L$5:$L$154,$D$5:$D$154,D39))</f>
        <v>0</v>
      </c>
      <c r="T39" s="31">
        <f>IF(B39="","",IF(O39="Yes",IF(L39&gt;5,"Check - avoidable and expensive","Check - avoidable"),"OK"))</f>
        <v>0</v>
      </c>
    </row>
    <row r="40" spans="1:20">
      <c r="A40" s="39">
        <f>IF(B40="","","W-"&amp;TEXT(ROW()-4,"0000"))</f>
        <v>0</v>
      </c>
      <c r="C40" s="18">
        <f>IF(B40="","",WEEKNUM(B40,IF(WeekStart="Sunday",1,2)))</f>
        <v>0</v>
      </c>
      <c r="D40" s="17">
        <f>IF(B40="","",TEXT(B40,"yyyy-mm"))</f>
        <v>0</v>
      </c>
      <c r="I40" s="45">
        <f>IF(G40="","",IFERROR(G40*INDEX(UnitFactors,MATCH(H40,UnitNames,0)),""))</f>
        <v>0</v>
      </c>
      <c r="J40" s="17">
        <f>IF(H40="","",IFERROR(INDEX(UnitBases,MATCH(H40,UnitNames,0)),"?"))</f>
        <v>0</v>
      </c>
      <c r="K40" s="25">
        <f>IF(E40="","",IFERROR(INDEX(Ingredients!$J$5:$J$304,MATCH(E40,Ingredients!$B$5:$B$304,0)),"Add to Ingredients"))</f>
        <v>0</v>
      </c>
      <c r="L40" s="25">
        <f>IF(OR(I40="",K40="",NOT(ISNUMBER(K40))),M40,I40*K40)</f>
        <v>0</v>
      </c>
      <c r="S40" s="25">
        <f>IF(B40="","",SUMIFS($L$5:$L$154,$D$5:$D$154,D40))</f>
        <v>0</v>
      </c>
      <c r="T40" s="31">
        <f>IF(B40="","",IF(O40="Yes",IF(L40&gt;5,"Check - avoidable and expensive","Check - avoidable"),"OK"))</f>
        <v>0</v>
      </c>
    </row>
    <row r="41" spans="1:20">
      <c r="A41" s="39">
        <f>IF(B41="","","W-"&amp;TEXT(ROW()-4,"0000"))</f>
        <v>0</v>
      </c>
      <c r="C41" s="18">
        <f>IF(B41="","",WEEKNUM(B41,IF(WeekStart="Sunday",1,2)))</f>
        <v>0</v>
      </c>
      <c r="D41" s="17">
        <f>IF(B41="","",TEXT(B41,"yyyy-mm"))</f>
        <v>0</v>
      </c>
      <c r="I41" s="45">
        <f>IF(G41="","",IFERROR(G41*INDEX(UnitFactors,MATCH(H41,UnitNames,0)),""))</f>
        <v>0</v>
      </c>
      <c r="J41" s="17">
        <f>IF(H41="","",IFERROR(INDEX(UnitBases,MATCH(H41,UnitNames,0)),"?"))</f>
        <v>0</v>
      </c>
      <c r="K41" s="25">
        <f>IF(E41="","",IFERROR(INDEX(Ingredients!$J$5:$J$304,MATCH(E41,Ingredients!$B$5:$B$304,0)),"Add to Ingredients"))</f>
        <v>0</v>
      </c>
      <c r="L41" s="25">
        <f>IF(OR(I41="",K41="",NOT(ISNUMBER(K41))),M41,I41*K41)</f>
        <v>0</v>
      </c>
      <c r="S41" s="25">
        <f>IF(B41="","",SUMIFS($L$5:$L$154,$D$5:$D$154,D41))</f>
        <v>0</v>
      </c>
      <c r="T41" s="31">
        <f>IF(B41="","",IF(O41="Yes",IF(L41&gt;5,"Check - avoidable and expensive","Check - avoidable"),"OK"))</f>
        <v>0</v>
      </c>
    </row>
    <row r="42" spans="1:20">
      <c r="A42" s="39">
        <f>IF(B42="","","W-"&amp;TEXT(ROW()-4,"0000"))</f>
        <v>0</v>
      </c>
      <c r="C42" s="18">
        <f>IF(B42="","",WEEKNUM(B42,IF(WeekStart="Sunday",1,2)))</f>
        <v>0</v>
      </c>
      <c r="D42" s="17">
        <f>IF(B42="","",TEXT(B42,"yyyy-mm"))</f>
        <v>0</v>
      </c>
      <c r="I42" s="45">
        <f>IF(G42="","",IFERROR(G42*INDEX(UnitFactors,MATCH(H42,UnitNames,0)),""))</f>
        <v>0</v>
      </c>
      <c r="J42" s="17">
        <f>IF(H42="","",IFERROR(INDEX(UnitBases,MATCH(H42,UnitNames,0)),"?"))</f>
        <v>0</v>
      </c>
      <c r="K42" s="25">
        <f>IF(E42="","",IFERROR(INDEX(Ingredients!$J$5:$J$304,MATCH(E42,Ingredients!$B$5:$B$304,0)),"Add to Ingredients"))</f>
        <v>0</v>
      </c>
      <c r="L42" s="25">
        <f>IF(OR(I42="",K42="",NOT(ISNUMBER(K42))),M42,I42*K42)</f>
        <v>0</v>
      </c>
      <c r="S42" s="25">
        <f>IF(B42="","",SUMIFS($L$5:$L$154,$D$5:$D$154,D42))</f>
        <v>0</v>
      </c>
      <c r="T42" s="31">
        <f>IF(B42="","",IF(O42="Yes",IF(L42&gt;5,"Check - avoidable and expensive","Check - avoidable"),"OK"))</f>
        <v>0</v>
      </c>
    </row>
    <row r="43" spans="1:20">
      <c r="A43" s="39">
        <f>IF(B43="","","W-"&amp;TEXT(ROW()-4,"0000"))</f>
        <v>0</v>
      </c>
      <c r="C43" s="18">
        <f>IF(B43="","",WEEKNUM(B43,IF(WeekStart="Sunday",1,2)))</f>
        <v>0</v>
      </c>
      <c r="D43" s="17">
        <f>IF(B43="","",TEXT(B43,"yyyy-mm"))</f>
        <v>0</v>
      </c>
      <c r="I43" s="45">
        <f>IF(G43="","",IFERROR(G43*INDEX(UnitFactors,MATCH(H43,UnitNames,0)),""))</f>
        <v>0</v>
      </c>
      <c r="J43" s="17">
        <f>IF(H43="","",IFERROR(INDEX(UnitBases,MATCH(H43,UnitNames,0)),"?"))</f>
        <v>0</v>
      </c>
      <c r="K43" s="25">
        <f>IF(E43="","",IFERROR(INDEX(Ingredients!$J$5:$J$304,MATCH(E43,Ingredients!$B$5:$B$304,0)),"Add to Ingredients"))</f>
        <v>0</v>
      </c>
      <c r="L43" s="25">
        <f>IF(OR(I43="",K43="",NOT(ISNUMBER(K43))),M43,I43*K43)</f>
        <v>0</v>
      </c>
      <c r="S43" s="25">
        <f>IF(B43="","",SUMIFS($L$5:$L$154,$D$5:$D$154,D43))</f>
        <v>0</v>
      </c>
      <c r="T43" s="31">
        <f>IF(B43="","",IF(O43="Yes",IF(L43&gt;5,"Check - avoidable and expensive","Check - avoidable"),"OK"))</f>
        <v>0</v>
      </c>
    </row>
    <row r="44" spans="1:20">
      <c r="A44" s="39">
        <f>IF(B44="","","W-"&amp;TEXT(ROW()-4,"0000"))</f>
        <v>0</v>
      </c>
      <c r="C44" s="18">
        <f>IF(B44="","",WEEKNUM(B44,IF(WeekStart="Sunday",1,2)))</f>
        <v>0</v>
      </c>
      <c r="D44" s="17">
        <f>IF(B44="","",TEXT(B44,"yyyy-mm"))</f>
        <v>0</v>
      </c>
      <c r="I44" s="45">
        <f>IF(G44="","",IFERROR(G44*INDEX(UnitFactors,MATCH(H44,UnitNames,0)),""))</f>
        <v>0</v>
      </c>
      <c r="J44" s="17">
        <f>IF(H44="","",IFERROR(INDEX(UnitBases,MATCH(H44,UnitNames,0)),"?"))</f>
        <v>0</v>
      </c>
      <c r="K44" s="25">
        <f>IF(E44="","",IFERROR(INDEX(Ingredients!$J$5:$J$304,MATCH(E44,Ingredients!$B$5:$B$304,0)),"Add to Ingredients"))</f>
        <v>0</v>
      </c>
      <c r="L44" s="25">
        <f>IF(OR(I44="",K44="",NOT(ISNUMBER(K44))),M44,I44*K44)</f>
        <v>0</v>
      </c>
      <c r="S44" s="25">
        <f>IF(B44="","",SUMIFS($L$5:$L$154,$D$5:$D$154,D44))</f>
        <v>0</v>
      </c>
      <c r="T44" s="31">
        <f>IF(B44="","",IF(O44="Yes",IF(L44&gt;5,"Check - avoidable and expensive","Check - avoidable"),"OK"))</f>
        <v>0</v>
      </c>
    </row>
    <row r="45" spans="1:20">
      <c r="A45" s="39">
        <f>IF(B45="","","W-"&amp;TEXT(ROW()-4,"0000"))</f>
        <v>0</v>
      </c>
      <c r="C45" s="18">
        <f>IF(B45="","",WEEKNUM(B45,IF(WeekStart="Sunday",1,2)))</f>
        <v>0</v>
      </c>
      <c r="D45" s="17">
        <f>IF(B45="","",TEXT(B45,"yyyy-mm"))</f>
        <v>0</v>
      </c>
      <c r="I45" s="45">
        <f>IF(G45="","",IFERROR(G45*INDEX(UnitFactors,MATCH(H45,UnitNames,0)),""))</f>
        <v>0</v>
      </c>
      <c r="J45" s="17">
        <f>IF(H45="","",IFERROR(INDEX(UnitBases,MATCH(H45,UnitNames,0)),"?"))</f>
        <v>0</v>
      </c>
      <c r="K45" s="25">
        <f>IF(E45="","",IFERROR(INDEX(Ingredients!$J$5:$J$304,MATCH(E45,Ingredients!$B$5:$B$304,0)),"Add to Ingredients"))</f>
        <v>0</v>
      </c>
      <c r="L45" s="25">
        <f>IF(OR(I45="",K45="",NOT(ISNUMBER(K45))),M45,I45*K45)</f>
        <v>0</v>
      </c>
      <c r="S45" s="25">
        <f>IF(B45="","",SUMIFS($L$5:$L$154,$D$5:$D$154,D45))</f>
        <v>0</v>
      </c>
      <c r="T45" s="31">
        <f>IF(B45="","",IF(O45="Yes",IF(L45&gt;5,"Check - avoidable and expensive","Check - avoidable"),"OK"))</f>
        <v>0</v>
      </c>
    </row>
    <row r="46" spans="1:20">
      <c r="A46" s="39">
        <f>IF(B46="","","W-"&amp;TEXT(ROW()-4,"0000"))</f>
        <v>0</v>
      </c>
      <c r="C46" s="18">
        <f>IF(B46="","",WEEKNUM(B46,IF(WeekStart="Sunday",1,2)))</f>
        <v>0</v>
      </c>
      <c r="D46" s="17">
        <f>IF(B46="","",TEXT(B46,"yyyy-mm"))</f>
        <v>0</v>
      </c>
      <c r="I46" s="45">
        <f>IF(G46="","",IFERROR(G46*INDEX(UnitFactors,MATCH(H46,UnitNames,0)),""))</f>
        <v>0</v>
      </c>
      <c r="J46" s="17">
        <f>IF(H46="","",IFERROR(INDEX(UnitBases,MATCH(H46,UnitNames,0)),"?"))</f>
        <v>0</v>
      </c>
      <c r="K46" s="25">
        <f>IF(E46="","",IFERROR(INDEX(Ingredients!$J$5:$J$304,MATCH(E46,Ingredients!$B$5:$B$304,0)),"Add to Ingredients"))</f>
        <v>0</v>
      </c>
      <c r="L46" s="25">
        <f>IF(OR(I46="",K46="",NOT(ISNUMBER(K46))),M46,I46*K46)</f>
        <v>0</v>
      </c>
      <c r="S46" s="25">
        <f>IF(B46="","",SUMIFS($L$5:$L$154,$D$5:$D$154,D46))</f>
        <v>0</v>
      </c>
      <c r="T46" s="31">
        <f>IF(B46="","",IF(O46="Yes",IF(L46&gt;5,"Check - avoidable and expensive","Check - avoidable"),"OK"))</f>
        <v>0</v>
      </c>
    </row>
    <row r="47" spans="1:20">
      <c r="A47" s="39">
        <f>IF(B47="","","W-"&amp;TEXT(ROW()-4,"0000"))</f>
        <v>0</v>
      </c>
      <c r="C47" s="18">
        <f>IF(B47="","",WEEKNUM(B47,IF(WeekStart="Sunday",1,2)))</f>
        <v>0</v>
      </c>
      <c r="D47" s="17">
        <f>IF(B47="","",TEXT(B47,"yyyy-mm"))</f>
        <v>0</v>
      </c>
      <c r="I47" s="45">
        <f>IF(G47="","",IFERROR(G47*INDEX(UnitFactors,MATCH(H47,UnitNames,0)),""))</f>
        <v>0</v>
      </c>
      <c r="J47" s="17">
        <f>IF(H47="","",IFERROR(INDEX(UnitBases,MATCH(H47,UnitNames,0)),"?"))</f>
        <v>0</v>
      </c>
      <c r="K47" s="25">
        <f>IF(E47="","",IFERROR(INDEX(Ingredients!$J$5:$J$304,MATCH(E47,Ingredients!$B$5:$B$304,0)),"Add to Ingredients"))</f>
        <v>0</v>
      </c>
      <c r="L47" s="25">
        <f>IF(OR(I47="",K47="",NOT(ISNUMBER(K47))),M47,I47*K47)</f>
        <v>0</v>
      </c>
      <c r="S47" s="25">
        <f>IF(B47="","",SUMIFS($L$5:$L$154,$D$5:$D$154,D47))</f>
        <v>0</v>
      </c>
      <c r="T47" s="31">
        <f>IF(B47="","",IF(O47="Yes",IF(L47&gt;5,"Check - avoidable and expensive","Check - avoidable"),"OK"))</f>
        <v>0</v>
      </c>
    </row>
    <row r="48" spans="1:20">
      <c r="A48" s="39">
        <f>IF(B48="","","W-"&amp;TEXT(ROW()-4,"0000"))</f>
        <v>0</v>
      </c>
      <c r="C48" s="18">
        <f>IF(B48="","",WEEKNUM(B48,IF(WeekStart="Sunday",1,2)))</f>
        <v>0</v>
      </c>
      <c r="D48" s="17">
        <f>IF(B48="","",TEXT(B48,"yyyy-mm"))</f>
        <v>0</v>
      </c>
      <c r="I48" s="45">
        <f>IF(G48="","",IFERROR(G48*INDEX(UnitFactors,MATCH(H48,UnitNames,0)),""))</f>
        <v>0</v>
      </c>
      <c r="J48" s="17">
        <f>IF(H48="","",IFERROR(INDEX(UnitBases,MATCH(H48,UnitNames,0)),"?"))</f>
        <v>0</v>
      </c>
      <c r="K48" s="25">
        <f>IF(E48="","",IFERROR(INDEX(Ingredients!$J$5:$J$304,MATCH(E48,Ingredients!$B$5:$B$304,0)),"Add to Ingredients"))</f>
        <v>0</v>
      </c>
      <c r="L48" s="25">
        <f>IF(OR(I48="",K48="",NOT(ISNUMBER(K48))),M48,I48*K48)</f>
        <v>0</v>
      </c>
      <c r="S48" s="25">
        <f>IF(B48="","",SUMIFS($L$5:$L$154,$D$5:$D$154,D48))</f>
        <v>0</v>
      </c>
      <c r="T48" s="31">
        <f>IF(B48="","",IF(O48="Yes",IF(L48&gt;5,"Check - avoidable and expensive","Check - avoidable"),"OK"))</f>
        <v>0</v>
      </c>
    </row>
    <row r="49" spans="1:20">
      <c r="A49" s="39">
        <f>IF(B49="","","W-"&amp;TEXT(ROW()-4,"0000"))</f>
        <v>0</v>
      </c>
      <c r="C49" s="18">
        <f>IF(B49="","",WEEKNUM(B49,IF(WeekStart="Sunday",1,2)))</f>
        <v>0</v>
      </c>
      <c r="D49" s="17">
        <f>IF(B49="","",TEXT(B49,"yyyy-mm"))</f>
        <v>0</v>
      </c>
      <c r="I49" s="45">
        <f>IF(G49="","",IFERROR(G49*INDEX(UnitFactors,MATCH(H49,UnitNames,0)),""))</f>
        <v>0</v>
      </c>
      <c r="J49" s="17">
        <f>IF(H49="","",IFERROR(INDEX(UnitBases,MATCH(H49,UnitNames,0)),"?"))</f>
        <v>0</v>
      </c>
      <c r="K49" s="25">
        <f>IF(E49="","",IFERROR(INDEX(Ingredients!$J$5:$J$304,MATCH(E49,Ingredients!$B$5:$B$304,0)),"Add to Ingredients"))</f>
        <v>0</v>
      </c>
      <c r="L49" s="25">
        <f>IF(OR(I49="",K49="",NOT(ISNUMBER(K49))),M49,I49*K49)</f>
        <v>0</v>
      </c>
      <c r="S49" s="25">
        <f>IF(B49="","",SUMIFS($L$5:$L$154,$D$5:$D$154,D49))</f>
        <v>0</v>
      </c>
      <c r="T49" s="31">
        <f>IF(B49="","",IF(O49="Yes",IF(L49&gt;5,"Check - avoidable and expensive","Check - avoidable"),"OK"))</f>
        <v>0</v>
      </c>
    </row>
    <row r="50" spans="1:20">
      <c r="A50" s="39">
        <f>IF(B50="","","W-"&amp;TEXT(ROW()-4,"0000"))</f>
        <v>0</v>
      </c>
      <c r="C50" s="18">
        <f>IF(B50="","",WEEKNUM(B50,IF(WeekStart="Sunday",1,2)))</f>
        <v>0</v>
      </c>
      <c r="D50" s="17">
        <f>IF(B50="","",TEXT(B50,"yyyy-mm"))</f>
        <v>0</v>
      </c>
      <c r="I50" s="45">
        <f>IF(G50="","",IFERROR(G50*INDEX(UnitFactors,MATCH(H50,UnitNames,0)),""))</f>
        <v>0</v>
      </c>
      <c r="J50" s="17">
        <f>IF(H50="","",IFERROR(INDEX(UnitBases,MATCH(H50,UnitNames,0)),"?"))</f>
        <v>0</v>
      </c>
      <c r="K50" s="25">
        <f>IF(E50="","",IFERROR(INDEX(Ingredients!$J$5:$J$304,MATCH(E50,Ingredients!$B$5:$B$304,0)),"Add to Ingredients"))</f>
        <v>0</v>
      </c>
      <c r="L50" s="25">
        <f>IF(OR(I50="",K50="",NOT(ISNUMBER(K50))),M50,I50*K50)</f>
        <v>0</v>
      </c>
      <c r="S50" s="25">
        <f>IF(B50="","",SUMIFS($L$5:$L$154,$D$5:$D$154,D50))</f>
        <v>0</v>
      </c>
      <c r="T50" s="31">
        <f>IF(B50="","",IF(O50="Yes",IF(L50&gt;5,"Check - avoidable and expensive","Check - avoidable"),"OK"))</f>
        <v>0</v>
      </c>
    </row>
    <row r="51" spans="1:20">
      <c r="A51" s="39">
        <f>IF(B51="","","W-"&amp;TEXT(ROW()-4,"0000"))</f>
        <v>0</v>
      </c>
      <c r="C51" s="18">
        <f>IF(B51="","",WEEKNUM(B51,IF(WeekStart="Sunday",1,2)))</f>
        <v>0</v>
      </c>
      <c r="D51" s="17">
        <f>IF(B51="","",TEXT(B51,"yyyy-mm"))</f>
        <v>0</v>
      </c>
      <c r="I51" s="45">
        <f>IF(G51="","",IFERROR(G51*INDEX(UnitFactors,MATCH(H51,UnitNames,0)),""))</f>
        <v>0</v>
      </c>
      <c r="J51" s="17">
        <f>IF(H51="","",IFERROR(INDEX(UnitBases,MATCH(H51,UnitNames,0)),"?"))</f>
        <v>0</v>
      </c>
      <c r="K51" s="25">
        <f>IF(E51="","",IFERROR(INDEX(Ingredients!$J$5:$J$304,MATCH(E51,Ingredients!$B$5:$B$304,0)),"Add to Ingredients"))</f>
        <v>0</v>
      </c>
      <c r="L51" s="25">
        <f>IF(OR(I51="",K51="",NOT(ISNUMBER(K51))),M51,I51*K51)</f>
        <v>0</v>
      </c>
      <c r="S51" s="25">
        <f>IF(B51="","",SUMIFS($L$5:$L$154,$D$5:$D$154,D51))</f>
        <v>0</v>
      </c>
      <c r="T51" s="31">
        <f>IF(B51="","",IF(O51="Yes",IF(L51&gt;5,"Check - avoidable and expensive","Check - avoidable"),"OK"))</f>
        <v>0</v>
      </c>
    </row>
    <row r="52" spans="1:20">
      <c r="A52" s="39">
        <f>IF(B52="","","W-"&amp;TEXT(ROW()-4,"0000"))</f>
        <v>0</v>
      </c>
      <c r="C52" s="18">
        <f>IF(B52="","",WEEKNUM(B52,IF(WeekStart="Sunday",1,2)))</f>
        <v>0</v>
      </c>
      <c r="D52" s="17">
        <f>IF(B52="","",TEXT(B52,"yyyy-mm"))</f>
        <v>0</v>
      </c>
      <c r="I52" s="45">
        <f>IF(G52="","",IFERROR(G52*INDEX(UnitFactors,MATCH(H52,UnitNames,0)),""))</f>
        <v>0</v>
      </c>
      <c r="J52" s="17">
        <f>IF(H52="","",IFERROR(INDEX(UnitBases,MATCH(H52,UnitNames,0)),"?"))</f>
        <v>0</v>
      </c>
      <c r="K52" s="25">
        <f>IF(E52="","",IFERROR(INDEX(Ingredients!$J$5:$J$304,MATCH(E52,Ingredients!$B$5:$B$304,0)),"Add to Ingredients"))</f>
        <v>0</v>
      </c>
      <c r="L52" s="25">
        <f>IF(OR(I52="",K52="",NOT(ISNUMBER(K52))),M52,I52*K52)</f>
        <v>0</v>
      </c>
      <c r="S52" s="25">
        <f>IF(B52="","",SUMIFS($L$5:$L$154,$D$5:$D$154,D52))</f>
        <v>0</v>
      </c>
      <c r="T52" s="31">
        <f>IF(B52="","",IF(O52="Yes",IF(L52&gt;5,"Check - avoidable and expensive","Check - avoidable"),"OK"))</f>
        <v>0</v>
      </c>
    </row>
    <row r="53" spans="1:20">
      <c r="A53" s="39">
        <f>IF(B53="","","W-"&amp;TEXT(ROW()-4,"0000"))</f>
        <v>0</v>
      </c>
      <c r="C53" s="18">
        <f>IF(B53="","",WEEKNUM(B53,IF(WeekStart="Sunday",1,2)))</f>
        <v>0</v>
      </c>
      <c r="D53" s="17">
        <f>IF(B53="","",TEXT(B53,"yyyy-mm"))</f>
        <v>0</v>
      </c>
      <c r="I53" s="45">
        <f>IF(G53="","",IFERROR(G53*INDEX(UnitFactors,MATCH(H53,UnitNames,0)),""))</f>
        <v>0</v>
      </c>
      <c r="J53" s="17">
        <f>IF(H53="","",IFERROR(INDEX(UnitBases,MATCH(H53,UnitNames,0)),"?"))</f>
        <v>0</v>
      </c>
      <c r="K53" s="25">
        <f>IF(E53="","",IFERROR(INDEX(Ingredients!$J$5:$J$304,MATCH(E53,Ingredients!$B$5:$B$304,0)),"Add to Ingredients"))</f>
        <v>0</v>
      </c>
      <c r="L53" s="25">
        <f>IF(OR(I53="",K53="",NOT(ISNUMBER(K53))),M53,I53*K53)</f>
        <v>0</v>
      </c>
      <c r="S53" s="25">
        <f>IF(B53="","",SUMIFS($L$5:$L$154,$D$5:$D$154,D53))</f>
        <v>0</v>
      </c>
      <c r="T53" s="31">
        <f>IF(B53="","",IF(O53="Yes",IF(L53&gt;5,"Check - avoidable and expensive","Check - avoidable"),"OK"))</f>
        <v>0</v>
      </c>
    </row>
    <row r="54" spans="1:20">
      <c r="A54" s="39">
        <f>IF(B54="","","W-"&amp;TEXT(ROW()-4,"0000"))</f>
        <v>0</v>
      </c>
      <c r="C54" s="18">
        <f>IF(B54="","",WEEKNUM(B54,IF(WeekStart="Sunday",1,2)))</f>
        <v>0</v>
      </c>
      <c r="D54" s="17">
        <f>IF(B54="","",TEXT(B54,"yyyy-mm"))</f>
        <v>0</v>
      </c>
      <c r="I54" s="45">
        <f>IF(G54="","",IFERROR(G54*INDEX(UnitFactors,MATCH(H54,UnitNames,0)),""))</f>
        <v>0</v>
      </c>
      <c r="J54" s="17">
        <f>IF(H54="","",IFERROR(INDEX(UnitBases,MATCH(H54,UnitNames,0)),"?"))</f>
        <v>0</v>
      </c>
      <c r="K54" s="25">
        <f>IF(E54="","",IFERROR(INDEX(Ingredients!$J$5:$J$304,MATCH(E54,Ingredients!$B$5:$B$304,0)),"Add to Ingredients"))</f>
        <v>0</v>
      </c>
      <c r="L54" s="25">
        <f>IF(OR(I54="",K54="",NOT(ISNUMBER(K54))),M54,I54*K54)</f>
        <v>0</v>
      </c>
      <c r="S54" s="25">
        <f>IF(B54="","",SUMIFS($L$5:$L$154,$D$5:$D$154,D54))</f>
        <v>0</v>
      </c>
      <c r="T54" s="31">
        <f>IF(B54="","",IF(O54="Yes",IF(L54&gt;5,"Check - avoidable and expensive","Check - avoidable"),"OK"))</f>
        <v>0</v>
      </c>
    </row>
    <row r="55" spans="1:20">
      <c r="A55" s="39">
        <f>IF(B55="","","W-"&amp;TEXT(ROW()-4,"0000"))</f>
        <v>0</v>
      </c>
      <c r="C55" s="18">
        <f>IF(B55="","",WEEKNUM(B55,IF(WeekStart="Sunday",1,2)))</f>
        <v>0</v>
      </c>
      <c r="D55" s="17">
        <f>IF(B55="","",TEXT(B55,"yyyy-mm"))</f>
        <v>0</v>
      </c>
      <c r="I55" s="45">
        <f>IF(G55="","",IFERROR(G55*INDEX(UnitFactors,MATCH(H55,UnitNames,0)),""))</f>
        <v>0</v>
      </c>
      <c r="J55" s="17">
        <f>IF(H55="","",IFERROR(INDEX(UnitBases,MATCH(H55,UnitNames,0)),"?"))</f>
        <v>0</v>
      </c>
      <c r="K55" s="25">
        <f>IF(E55="","",IFERROR(INDEX(Ingredients!$J$5:$J$304,MATCH(E55,Ingredients!$B$5:$B$304,0)),"Add to Ingredients"))</f>
        <v>0</v>
      </c>
      <c r="L55" s="25">
        <f>IF(OR(I55="",K55="",NOT(ISNUMBER(K55))),M55,I55*K55)</f>
        <v>0</v>
      </c>
      <c r="S55" s="25">
        <f>IF(B55="","",SUMIFS($L$5:$L$154,$D$5:$D$154,D55))</f>
        <v>0</v>
      </c>
      <c r="T55" s="31">
        <f>IF(B55="","",IF(O55="Yes",IF(L55&gt;5,"Check - avoidable and expensive","Check - avoidable"),"OK"))</f>
        <v>0</v>
      </c>
    </row>
    <row r="56" spans="1:20">
      <c r="A56" s="39">
        <f>IF(B56="","","W-"&amp;TEXT(ROW()-4,"0000"))</f>
        <v>0</v>
      </c>
      <c r="C56" s="18">
        <f>IF(B56="","",WEEKNUM(B56,IF(WeekStart="Sunday",1,2)))</f>
        <v>0</v>
      </c>
      <c r="D56" s="17">
        <f>IF(B56="","",TEXT(B56,"yyyy-mm"))</f>
        <v>0</v>
      </c>
      <c r="I56" s="45">
        <f>IF(G56="","",IFERROR(G56*INDEX(UnitFactors,MATCH(H56,UnitNames,0)),""))</f>
        <v>0</v>
      </c>
      <c r="J56" s="17">
        <f>IF(H56="","",IFERROR(INDEX(UnitBases,MATCH(H56,UnitNames,0)),"?"))</f>
        <v>0</v>
      </c>
      <c r="K56" s="25">
        <f>IF(E56="","",IFERROR(INDEX(Ingredients!$J$5:$J$304,MATCH(E56,Ingredients!$B$5:$B$304,0)),"Add to Ingredients"))</f>
        <v>0</v>
      </c>
      <c r="L56" s="25">
        <f>IF(OR(I56="",K56="",NOT(ISNUMBER(K56))),M56,I56*K56)</f>
        <v>0</v>
      </c>
      <c r="S56" s="25">
        <f>IF(B56="","",SUMIFS($L$5:$L$154,$D$5:$D$154,D56))</f>
        <v>0</v>
      </c>
      <c r="T56" s="31">
        <f>IF(B56="","",IF(O56="Yes",IF(L56&gt;5,"Check - avoidable and expensive","Check - avoidable"),"OK"))</f>
        <v>0</v>
      </c>
    </row>
    <row r="57" spans="1:20">
      <c r="A57" s="39">
        <f>IF(B57="","","W-"&amp;TEXT(ROW()-4,"0000"))</f>
        <v>0</v>
      </c>
      <c r="C57" s="18">
        <f>IF(B57="","",WEEKNUM(B57,IF(WeekStart="Sunday",1,2)))</f>
        <v>0</v>
      </c>
      <c r="D57" s="17">
        <f>IF(B57="","",TEXT(B57,"yyyy-mm"))</f>
        <v>0</v>
      </c>
      <c r="I57" s="45">
        <f>IF(G57="","",IFERROR(G57*INDEX(UnitFactors,MATCH(H57,UnitNames,0)),""))</f>
        <v>0</v>
      </c>
      <c r="J57" s="17">
        <f>IF(H57="","",IFERROR(INDEX(UnitBases,MATCH(H57,UnitNames,0)),"?"))</f>
        <v>0</v>
      </c>
      <c r="K57" s="25">
        <f>IF(E57="","",IFERROR(INDEX(Ingredients!$J$5:$J$304,MATCH(E57,Ingredients!$B$5:$B$304,0)),"Add to Ingredients"))</f>
        <v>0</v>
      </c>
      <c r="L57" s="25">
        <f>IF(OR(I57="",K57="",NOT(ISNUMBER(K57))),M57,I57*K57)</f>
        <v>0</v>
      </c>
      <c r="S57" s="25">
        <f>IF(B57="","",SUMIFS($L$5:$L$154,$D$5:$D$154,D57))</f>
        <v>0</v>
      </c>
      <c r="T57" s="31">
        <f>IF(B57="","",IF(O57="Yes",IF(L57&gt;5,"Check - avoidable and expensive","Check - avoidable"),"OK"))</f>
        <v>0</v>
      </c>
    </row>
    <row r="58" spans="1:20">
      <c r="A58" s="39">
        <f>IF(B58="","","W-"&amp;TEXT(ROW()-4,"0000"))</f>
        <v>0</v>
      </c>
      <c r="C58" s="18">
        <f>IF(B58="","",WEEKNUM(B58,IF(WeekStart="Sunday",1,2)))</f>
        <v>0</v>
      </c>
      <c r="D58" s="17">
        <f>IF(B58="","",TEXT(B58,"yyyy-mm"))</f>
        <v>0</v>
      </c>
      <c r="I58" s="45">
        <f>IF(G58="","",IFERROR(G58*INDEX(UnitFactors,MATCH(H58,UnitNames,0)),""))</f>
        <v>0</v>
      </c>
      <c r="J58" s="17">
        <f>IF(H58="","",IFERROR(INDEX(UnitBases,MATCH(H58,UnitNames,0)),"?"))</f>
        <v>0</v>
      </c>
      <c r="K58" s="25">
        <f>IF(E58="","",IFERROR(INDEX(Ingredients!$J$5:$J$304,MATCH(E58,Ingredients!$B$5:$B$304,0)),"Add to Ingredients"))</f>
        <v>0</v>
      </c>
      <c r="L58" s="25">
        <f>IF(OR(I58="",K58="",NOT(ISNUMBER(K58))),M58,I58*K58)</f>
        <v>0</v>
      </c>
      <c r="S58" s="25">
        <f>IF(B58="","",SUMIFS($L$5:$L$154,$D$5:$D$154,D58))</f>
        <v>0</v>
      </c>
      <c r="T58" s="31">
        <f>IF(B58="","",IF(O58="Yes",IF(L58&gt;5,"Check - avoidable and expensive","Check - avoidable"),"OK"))</f>
        <v>0</v>
      </c>
    </row>
    <row r="59" spans="1:20">
      <c r="A59" s="39">
        <f>IF(B59="","","W-"&amp;TEXT(ROW()-4,"0000"))</f>
        <v>0</v>
      </c>
      <c r="C59" s="18">
        <f>IF(B59="","",WEEKNUM(B59,IF(WeekStart="Sunday",1,2)))</f>
        <v>0</v>
      </c>
      <c r="D59" s="17">
        <f>IF(B59="","",TEXT(B59,"yyyy-mm"))</f>
        <v>0</v>
      </c>
      <c r="I59" s="45">
        <f>IF(G59="","",IFERROR(G59*INDEX(UnitFactors,MATCH(H59,UnitNames,0)),""))</f>
        <v>0</v>
      </c>
      <c r="J59" s="17">
        <f>IF(H59="","",IFERROR(INDEX(UnitBases,MATCH(H59,UnitNames,0)),"?"))</f>
        <v>0</v>
      </c>
      <c r="K59" s="25">
        <f>IF(E59="","",IFERROR(INDEX(Ingredients!$J$5:$J$304,MATCH(E59,Ingredients!$B$5:$B$304,0)),"Add to Ingredients"))</f>
        <v>0</v>
      </c>
      <c r="L59" s="25">
        <f>IF(OR(I59="",K59="",NOT(ISNUMBER(K59))),M59,I59*K59)</f>
        <v>0</v>
      </c>
      <c r="S59" s="25">
        <f>IF(B59="","",SUMIFS($L$5:$L$154,$D$5:$D$154,D59))</f>
        <v>0</v>
      </c>
      <c r="T59" s="31">
        <f>IF(B59="","",IF(O59="Yes",IF(L59&gt;5,"Check - avoidable and expensive","Check - avoidable"),"OK"))</f>
        <v>0</v>
      </c>
    </row>
    <row r="60" spans="1:20">
      <c r="A60" s="39">
        <f>IF(B60="","","W-"&amp;TEXT(ROW()-4,"0000"))</f>
        <v>0</v>
      </c>
      <c r="C60" s="18">
        <f>IF(B60="","",WEEKNUM(B60,IF(WeekStart="Sunday",1,2)))</f>
        <v>0</v>
      </c>
      <c r="D60" s="17">
        <f>IF(B60="","",TEXT(B60,"yyyy-mm"))</f>
        <v>0</v>
      </c>
      <c r="I60" s="45">
        <f>IF(G60="","",IFERROR(G60*INDEX(UnitFactors,MATCH(H60,UnitNames,0)),""))</f>
        <v>0</v>
      </c>
      <c r="J60" s="17">
        <f>IF(H60="","",IFERROR(INDEX(UnitBases,MATCH(H60,UnitNames,0)),"?"))</f>
        <v>0</v>
      </c>
      <c r="K60" s="25">
        <f>IF(E60="","",IFERROR(INDEX(Ingredients!$J$5:$J$304,MATCH(E60,Ingredients!$B$5:$B$304,0)),"Add to Ingredients"))</f>
        <v>0</v>
      </c>
      <c r="L60" s="25">
        <f>IF(OR(I60="",K60="",NOT(ISNUMBER(K60))),M60,I60*K60)</f>
        <v>0</v>
      </c>
      <c r="S60" s="25">
        <f>IF(B60="","",SUMIFS($L$5:$L$154,$D$5:$D$154,D60))</f>
        <v>0</v>
      </c>
      <c r="T60" s="31">
        <f>IF(B60="","",IF(O60="Yes",IF(L60&gt;5,"Check - avoidable and expensive","Check - avoidable"),"OK"))</f>
        <v>0</v>
      </c>
    </row>
    <row r="61" spans="1:20">
      <c r="A61" s="39">
        <f>IF(B61="","","W-"&amp;TEXT(ROW()-4,"0000"))</f>
        <v>0</v>
      </c>
      <c r="C61" s="18">
        <f>IF(B61="","",WEEKNUM(B61,IF(WeekStart="Sunday",1,2)))</f>
        <v>0</v>
      </c>
      <c r="D61" s="17">
        <f>IF(B61="","",TEXT(B61,"yyyy-mm"))</f>
        <v>0</v>
      </c>
      <c r="I61" s="45">
        <f>IF(G61="","",IFERROR(G61*INDEX(UnitFactors,MATCH(H61,UnitNames,0)),""))</f>
        <v>0</v>
      </c>
      <c r="J61" s="17">
        <f>IF(H61="","",IFERROR(INDEX(UnitBases,MATCH(H61,UnitNames,0)),"?"))</f>
        <v>0</v>
      </c>
      <c r="K61" s="25">
        <f>IF(E61="","",IFERROR(INDEX(Ingredients!$J$5:$J$304,MATCH(E61,Ingredients!$B$5:$B$304,0)),"Add to Ingredients"))</f>
        <v>0</v>
      </c>
      <c r="L61" s="25">
        <f>IF(OR(I61="",K61="",NOT(ISNUMBER(K61))),M61,I61*K61)</f>
        <v>0</v>
      </c>
      <c r="S61" s="25">
        <f>IF(B61="","",SUMIFS($L$5:$L$154,$D$5:$D$154,D61))</f>
        <v>0</v>
      </c>
      <c r="T61" s="31">
        <f>IF(B61="","",IF(O61="Yes",IF(L61&gt;5,"Check - avoidable and expensive","Check - avoidable"),"OK"))</f>
        <v>0</v>
      </c>
    </row>
    <row r="62" spans="1:20">
      <c r="A62" s="39">
        <f>IF(B62="","","W-"&amp;TEXT(ROW()-4,"0000"))</f>
        <v>0</v>
      </c>
      <c r="C62" s="18">
        <f>IF(B62="","",WEEKNUM(B62,IF(WeekStart="Sunday",1,2)))</f>
        <v>0</v>
      </c>
      <c r="D62" s="17">
        <f>IF(B62="","",TEXT(B62,"yyyy-mm"))</f>
        <v>0</v>
      </c>
      <c r="I62" s="45">
        <f>IF(G62="","",IFERROR(G62*INDEX(UnitFactors,MATCH(H62,UnitNames,0)),""))</f>
        <v>0</v>
      </c>
      <c r="J62" s="17">
        <f>IF(H62="","",IFERROR(INDEX(UnitBases,MATCH(H62,UnitNames,0)),"?"))</f>
        <v>0</v>
      </c>
      <c r="K62" s="25">
        <f>IF(E62="","",IFERROR(INDEX(Ingredients!$J$5:$J$304,MATCH(E62,Ingredients!$B$5:$B$304,0)),"Add to Ingredients"))</f>
        <v>0</v>
      </c>
      <c r="L62" s="25">
        <f>IF(OR(I62="",K62="",NOT(ISNUMBER(K62))),M62,I62*K62)</f>
        <v>0</v>
      </c>
      <c r="S62" s="25">
        <f>IF(B62="","",SUMIFS($L$5:$L$154,$D$5:$D$154,D62))</f>
        <v>0</v>
      </c>
      <c r="T62" s="31">
        <f>IF(B62="","",IF(O62="Yes",IF(L62&gt;5,"Check - avoidable and expensive","Check - avoidable"),"OK"))</f>
        <v>0</v>
      </c>
    </row>
    <row r="63" spans="1:20">
      <c r="A63" s="39">
        <f>IF(B63="","","W-"&amp;TEXT(ROW()-4,"0000"))</f>
        <v>0</v>
      </c>
      <c r="C63" s="18">
        <f>IF(B63="","",WEEKNUM(B63,IF(WeekStart="Sunday",1,2)))</f>
        <v>0</v>
      </c>
      <c r="D63" s="17">
        <f>IF(B63="","",TEXT(B63,"yyyy-mm"))</f>
        <v>0</v>
      </c>
      <c r="I63" s="45">
        <f>IF(G63="","",IFERROR(G63*INDEX(UnitFactors,MATCH(H63,UnitNames,0)),""))</f>
        <v>0</v>
      </c>
      <c r="J63" s="17">
        <f>IF(H63="","",IFERROR(INDEX(UnitBases,MATCH(H63,UnitNames,0)),"?"))</f>
        <v>0</v>
      </c>
      <c r="K63" s="25">
        <f>IF(E63="","",IFERROR(INDEX(Ingredients!$J$5:$J$304,MATCH(E63,Ingredients!$B$5:$B$304,0)),"Add to Ingredients"))</f>
        <v>0</v>
      </c>
      <c r="L63" s="25">
        <f>IF(OR(I63="",K63="",NOT(ISNUMBER(K63))),M63,I63*K63)</f>
        <v>0</v>
      </c>
      <c r="S63" s="25">
        <f>IF(B63="","",SUMIFS($L$5:$L$154,$D$5:$D$154,D63))</f>
        <v>0</v>
      </c>
      <c r="T63" s="31">
        <f>IF(B63="","",IF(O63="Yes",IF(L63&gt;5,"Check - avoidable and expensive","Check - avoidable"),"OK"))</f>
        <v>0</v>
      </c>
    </row>
    <row r="64" spans="1:20">
      <c r="A64" s="39">
        <f>IF(B64="","","W-"&amp;TEXT(ROW()-4,"0000"))</f>
        <v>0</v>
      </c>
      <c r="C64" s="18">
        <f>IF(B64="","",WEEKNUM(B64,IF(WeekStart="Sunday",1,2)))</f>
        <v>0</v>
      </c>
      <c r="D64" s="17">
        <f>IF(B64="","",TEXT(B64,"yyyy-mm"))</f>
        <v>0</v>
      </c>
      <c r="I64" s="45">
        <f>IF(G64="","",IFERROR(G64*INDEX(UnitFactors,MATCH(H64,UnitNames,0)),""))</f>
        <v>0</v>
      </c>
      <c r="J64" s="17">
        <f>IF(H64="","",IFERROR(INDEX(UnitBases,MATCH(H64,UnitNames,0)),"?"))</f>
        <v>0</v>
      </c>
      <c r="K64" s="25">
        <f>IF(E64="","",IFERROR(INDEX(Ingredients!$J$5:$J$304,MATCH(E64,Ingredients!$B$5:$B$304,0)),"Add to Ingredients"))</f>
        <v>0</v>
      </c>
      <c r="L64" s="25">
        <f>IF(OR(I64="",K64="",NOT(ISNUMBER(K64))),M64,I64*K64)</f>
        <v>0</v>
      </c>
      <c r="S64" s="25">
        <f>IF(B64="","",SUMIFS($L$5:$L$154,$D$5:$D$154,D64))</f>
        <v>0</v>
      </c>
      <c r="T64" s="31">
        <f>IF(B64="","",IF(O64="Yes",IF(L64&gt;5,"Check - avoidable and expensive","Check - avoidable"),"OK"))</f>
        <v>0</v>
      </c>
    </row>
    <row r="65" spans="1:20">
      <c r="A65" s="39">
        <f>IF(B65="","","W-"&amp;TEXT(ROW()-4,"0000"))</f>
        <v>0</v>
      </c>
      <c r="C65" s="18">
        <f>IF(B65="","",WEEKNUM(B65,IF(WeekStart="Sunday",1,2)))</f>
        <v>0</v>
      </c>
      <c r="D65" s="17">
        <f>IF(B65="","",TEXT(B65,"yyyy-mm"))</f>
        <v>0</v>
      </c>
      <c r="I65" s="45">
        <f>IF(G65="","",IFERROR(G65*INDEX(UnitFactors,MATCH(H65,UnitNames,0)),""))</f>
        <v>0</v>
      </c>
      <c r="J65" s="17">
        <f>IF(H65="","",IFERROR(INDEX(UnitBases,MATCH(H65,UnitNames,0)),"?"))</f>
        <v>0</v>
      </c>
      <c r="K65" s="25">
        <f>IF(E65="","",IFERROR(INDEX(Ingredients!$J$5:$J$304,MATCH(E65,Ingredients!$B$5:$B$304,0)),"Add to Ingredients"))</f>
        <v>0</v>
      </c>
      <c r="L65" s="25">
        <f>IF(OR(I65="",K65="",NOT(ISNUMBER(K65))),M65,I65*K65)</f>
        <v>0</v>
      </c>
      <c r="S65" s="25">
        <f>IF(B65="","",SUMIFS($L$5:$L$154,$D$5:$D$154,D65))</f>
        <v>0</v>
      </c>
      <c r="T65" s="31">
        <f>IF(B65="","",IF(O65="Yes",IF(L65&gt;5,"Check - avoidable and expensive","Check - avoidable"),"OK"))</f>
        <v>0</v>
      </c>
    </row>
    <row r="66" spans="1:20">
      <c r="A66" s="39">
        <f>IF(B66="","","W-"&amp;TEXT(ROW()-4,"0000"))</f>
        <v>0</v>
      </c>
      <c r="C66" s="18">
        <f>IF(B66="","",WEEKNUM(B66,IF(WeekStart="Sunday",1,2)))</f>
        <v>0</v>
      </c>
      <c r="D66" s="17">
        <f>IF(B66="","",TEXT(B66,"yyyy-mm"))</f>
        <v>0</v>
      </c>
      <c r="I66" s="45">
        <f>IF(G66="","",IFERROR(G66*INDEX(UnitFactors,MATCH(H66,UnitNames,0)),""))</f>
        <v>0</v>
      </c>
      <c r="J66" s="17">
        <f>IF(H66="","",IFERROR(INDEX(UnitBases,MATCH(H66,UnitNames,0)),"?"))</f>
        <v>0</v>
      </c>
      <c r="K66" s="25">
        <f>IF(E66="","",IFERROR(INDEX(Ingredients!$J$5:$J$304,MATCH(E66,Ingredients!$B$5:$B$304,0)),"Add to Ingredients"))</f>
        <v>0</v>
      </c>
      <c r="L66" s="25">
        <f>IF(OR(I66="",K66="",NOT(ISNUMBER(K66))),M66,I66*K66)</f>
        <v>0</v>
      </c>
      <c r="S66" s="25">
        <f>IF(B66="","",SUMIFS($L$5:$L$154,$D$5:$D$154,D66))</f>
        <v>0</v>
      </c>
      <c r="T66" s="31">
        <f>IF(B66="","",IF(O66="Yes",IF(L66&gt;5,"Check - avoidable and expensive","Check - avoidable"),"OK"))</f>
        <v>0</v>
      </c>
    </row>
    <row r="67" spans="1:20">
      <c r="A67" s="39">
        <f>IF(B67="","","W-"&amp;TEXT(ROW()-4,"0000"))</f>
        <v>0</v>
      </c>
      <c r="C67" s="18">
        <f>IF(B67="","",WEEKNUM(B67,IF(WeekStart="Sunday",1,2)))</f>
        <v>0</v>
      </c>
      <c r="D67" s="17">
        <f>IF(B67="","",TEXT(B67,"yyyy-mm"))</f>
        <v>0</v>
      </c>
      <c r="I67" s="45">
        <f>IF(G67="","",IFERROR(G67*INDEX(UnitFactors,MATCH(H67,UnitNames,0)),""))</f>
        <v>0</v>
      </c>
      <c r="J67" s="17">
        <f>IF(H67="","",IFERROR(INDEX(UnitBases,MATCH(H67,UnitNames,0)),"?"))</f>
        <v>0</v>
      </c>
      <c r="K67" s="25">
        <f>IF(E67="","",IFERROR(INDEX(Ingredients!$J$5:$J$304,MATCH(E67,Ingredients!$B$5:$B$304,0)),"Add to Ingredients"))</f>
        <v>0</v>
      </c>
      <c r="L67" s="25">
        <f>IF(OR(I67="",K67="",NOT(ISNUMBER(K67))),M67,I67*K67)</f>
        <v>0</v>
      </c>
      <c r="S67" s="25">
        <f>IF(B67="","",SUMIFS($L$5:$L$154,$D$5:$D$154,D67))</f>
        <v>0</v>
      </c>
      <c r="T67" s="31">
        <f>IF(B67="","",IF(O67="Yes",IF(L67&gt;5,"Check - avoidable and expensive","Check - avoidable"),"OK"))</f>
        <v>0</v>
      </c>
    </row>
    <row r="68" spans="1:20">
      <c r="A68" s="39">
        <f>IF(B68="","","W-"&amp;TEXT(ROW()-4,"0000"))</f>
        <v>0</v>
      </c>
      <c r="C68" s="18">
        <f>IF(B68="","",WEEKNUM(B68,IF(WeekStart="Sunday",1,2)))</f>
        <v>0</v>
      </c>
      <c r="D68" s="17">
        <f>IF(B68="","",TEXT(B68,"yyyy-mm"))</f>
        <v>0</v>
      </c>
      <c r="I68" s="45">
        <f>IF(G68="","",IFERROR(G68*INDEX(UnitFactors,MATCH(H68,UnitNames,0)),""))</f>
        <v>0</v>
      </c>
      <c r="J68" s="17">
        <f>IF(H68="","",IFERROR(INDEX(UnitBases,MATCH(H68,UnitNames,0)),"?"))</f>
        <v>0</v>
      </c>
      <c r="K68" s="25">
        <f>IF(E68="","",IFERROR(INDEX(Ingredients!$J$5:$J$304,MATCH(E68,Ingredients!$B$5:$B$304,0)),"Add to Ingredients"))</f>
        <v>0</v>
      </c>
      <c r="L68" s="25">
        <f>IF(OR(I68="",K68="",NOT(ISNUMBER(K68))),M68,I68*K68)</f>
        <v>0</v>
      </c>
      <c r="S68" s="25">
        <f>IF(B68="","",SUMIFS($L$5:$L$154,$D$5:$D$154,D68))</f>
        <v>0</v>
      </c>
      <c r="T68" s="31">
        <f>IF(B68="","",IF(O68="Yes",IF(L68&gt;5,"Check - avoidable and expensive","Check - avoidable"),"OK"))</f>
        <v>0</v>
      </c>
    </row>
    <row r="69" spans="1:20">
      <c r="A69" s="39">
        <f>IF(B69="","","W-"&amp;TEXT(ROW()-4,"0000"))</f>
        <v>0</v>
      </c>
      <c r="C69" s="18">
        <f>IF(B69="","",WEEKNUM(B69,IF(WeekStart="Sunday",1,2)))</f>
        <v>0</v>
      </c>
      <c r="D69" s="17">
        <f>IF(B69="","",TEXT(B69,"yyyy-mm"))</f>
        <v>0</v>
      </c>
      <c r="I69" s="45">
        <f>IF(G69="","",IFERROR(G69*INDEX(UnitFactors,MATCH(H69,UnitNames,0)),""))</f>
        <v>0</v>
      </c>
      <c r="J69" s="17">
        <f>IF(H69="","",IFERROR(INDEX(UnitBases,MATCH(H69,UnitNames,0)),"?"))</f>
        <v>0</v>
      </c>
      <c r="K69" s="25">
        <f>IF(E69="","",IFERROR(INDEX(Ingredients!$J$5:$J$304,MATCH(E69,Ingredients!$B$5:$B$304,0)),"Add to Ingredients"))</f>
        <v>0</v>
      </c>
      <c r="L69" s="25">
        <f>IF(OR(I69="",K69="",NOT(ISNUMBER(K69))),M69,I69*K69)</f>
        <v>0</v>
      </c>
      <c r="S69" s="25">
        <f>IF(B69="","",SUMIFS($L$5:$L$154,$D$5:$D$154,D69))</f>
        <v>0</v>
      </c>
      <c r="T69" s="31">
        <f>IF(B69="","",IF(O69="Yes",IF(L69&gt;5,"Check - avoidable and expensive","Check - avoidable"),"OK"))</f>
        <v>0</v>
      </c>
    </row>
    <row r="70" spans="1:20">
      <c r="A70" s="39">
        <f>IF(B70="","","W-"&amp;TEXT(ROW()-4,"0000"))</f>
        <v>0</v>
      </c>
      <c r="C70" s="18">
        <f>IF(B70="","",WEEKNUM(B70,IF(WeekStart="Sunday",1,2)))</f>
        <v>0</v>
      </c>
      <c r="D70" s="17">
        <f>IF(B70="","",TEXT(B70,"yyyy-mm"))</f>
        <v>0</v>
      </c>
      <c r="I70" s="45">
        <f>IF(G70="","",IFERROR(G70*INDEX(UnitFactors,MATCH(H70,UnitNames,0)),""))</f>
        <v>0</v>
      </c>
      <c r="J70" s="17">
        <f>IF(H70="","",IFERROR(INDEX(UnitBases,MATCH(H70,UnitNames,0)),"?"))</f>
        <v>0</v>
      </c>
      <c r="K70" s="25">
        <f>IF(E70="","",IFERROR(INDEX(Ingredients!$J$5:$J$304,MATCH(E70,Ingredients!$B$5:$B$304,0)),"Add to Ingredients"))</f>
        <v>0</v>
      </c>
      <c r="L70" s="25">
        <f>IF(OR(I70="",K70="",NOT(ISNUMBER(K70))),M70,I70*K70)</f>
        <v>0</v>
      </c>
      <c r="S70" s="25">
        <f>IF(B70="","",SUMIFS($L$5:$L$154,$D$5:$D$154,D70))</f>
        <v>0</v>
      </c>
      <c r="T70" s="31">
        <f>IF(B70="","",IF(O70="Yes",IF(L70&gt;5,"Check - avoidable and expensive","Check - avoidable"),"OK"))</f>
        <v>0</v>
      </c>
    </row>
    <row r="71" spans="1:20">
      <c r="A71" s="39">
        <f>IF(B71="","","W-"&amp;TEXT(ROW()-4,"0000"))</f>
        <v>0</v>
      </c>
      <c r="C71" s="18">
        <f>IF(B71="","",WEEKNUM(B71,IF(WeekStart="Sunday",1,2)))</f>
        <v>0</v>
      </c>
      <c r="D71" s="17">
        <f>IF(B71="","",TEXT(B71,"yyyy-mm"))</f>
        <v>0</v>
      </c>
      <c r="I71" s="45">
        <f>IF(G71="","",IFERROR(G71*INDEX(UnitFactors,MATCH(H71,UnitNames,0)),""))</f>
        <v>0</v>
      </c>
      <c r="J71" s="17">
        <f>IF(H71="","",IFERROR(INDEX(UnitBases,MATCH(H71,UnitNames,0)),"?"))</f>
        <v>0</v>
      </c>
      <c r="K71" s="25">
        <f>IF(E71="","",IFERROR(INDEX(Ingredients!$J$5:$J$304,MATCH(E71,Ingredients!$B$5:$B$304,0)),"Add to Ingredients"))</f>
        <v>0</v>
      </c>
      <c r="L71" s="25">
        <f>IF(OR(I71="",K71="",NOT(ISNUMBER(K71))),M71,I71*K71)</f>
        <v>0</v>
      </c>
      <c r="S71" s="25">
        <f>IF(B71="","",SUMIFS($L$5:$L$154,$D$5:$D$154,D71))</f>
        <v>0</v>
      </c>
      <c r="T71" s="31">
        <f>IF(B71="","",IF(O71="Yes",IF(L71&gt;5,"Check - avoidable and expensive","Check - avoidable"),"OK"))</f>
        <v>0</v>
      </c>
    </row>
    <row r="72" spans="1:20">
      <c r="A72" s="39">
        <f>IF(B72="","","W-"&amp;TEXT(ROW()-4,"0000"))</f>
        <v>0</v>
      </c>
      <c r="C72" s="18">
        <f>IF(B72="","",WEEKNUM(B72,IF(WeekStart="Sunday",1,2)))</f>
        <v>0</v>
      </c>
      <c r="D72" s="17">
        <f>IF(B72="","",TEXT(B72,"yyyy-mm"))</f>
        <v>0</v>
      </c>
      <c r="I72" s="45">
        <f>IF(G72="","",IFERROR(G72*INDEX(UnitFactors,MATCH(H72,UnitNames,0)),""))</f>
        <v>0</v>
      </c>
      <c r="J72" s="17">
        <f>IF(H72="","",IFERROR(INDEX(UnitBases,MATCH(H72,UnitNames,0)),"?"))</f>
        <v>0</v>
      </c>
      <c r="K72" s="25">
        <f>IF(E72="","",IFERROR(INDEX(Ingredients!$J$5:$J$304,MATCH(E72,Ingredients!$B$5:$B$304,0)),"Add to Ingredients"))</f>
        <v>0</v>
      </c>
      <c r="L72" s="25">
        <f>IF(OR(I72="",K72="",NOT(ISNUMBER(K72))),M72,I72*K72)</f>
        <v>0</v>
      </c>
      <c r="S72" s="25">
        <f>IF(B72="","",SUMIFS($L$5:$L$154,$D$5:$D$154,D72))</f>
        <v>0</v>
      </c>
      <c r="T72" s="31">
        <f>IF(B72="","",IF(O72="Yes",IF(L72&gt;5,"Check - avoidable and expensive","Check - avoidable"),"OK"))</f>
        <v>0</v>
      </c>
    </row>
    <row r="73" spans="1:20">
      <c r="A73" s="39">
        <f>IF(B73="","","W-"&amp;TEXT(ROW()-4,"0000"))</f>
        <v>0</v>
      </c>
      <c r="C73" s="18">
        <f>IF(B73="","",WEEKNUM(B73,IF(WeekStart="Sunday",1,2)))</f>
        <v>0</v>
      </c>
      <c r="D73" s="17">
        <f>IF(B73="","",TEXT(B73,"yyyy-mm"))</f>
        <v>0</v>
      </c>
      <c r="I73" s="45">
        <f>IF(G73="","",IFERROR(G73*INDEX(UnitFactors,MATCH(H73,UnitNames,0)),""))</f>
        <v>0</v>
      </c>
      <c r="J73" s="17">
        <f>IF(H73="","",IFERROR(INDEX(UnitBases,MATCH(H73,UnitNames,0)),"?"))</f>
        <v>0</v>
      </c>
      <c r="K73" s="25">
        <f>IF(E73="","",IFERROR(INDEX(Ingredients!$J$5:$J$304,MATCH(E73,Ingredients!$B$5:$B$304,0)),"Add to Ingredients"))</f>
        <v>0</v>
      </c>
      <c r="L73" s="25">
        <f>IF(OR(I73="",K73="",NOT(ISNUMBER(K73))),M73,I73*K73)</f>
        <v>0</v>
      </c>
      <c r="S73" s="25">
        <f>IF(B73="","",SUMIFS($L$5:$L$154,$D$5:$D$154,D73))</f>
        <v>0</v>
      </c>
      <c r="T73" s="31">
        <f>IF(B73="","",IF(O73="Yes",IF(L73&gt;5,"Check - avoidable and expensive","Check - avoidable"),"OK"))</f>
        <v>0</v>
      </c>
    </row>
    <row r="74" spans="1:20">
      <c r="A74" s="39">
        <f>IF(B74="","","W-"&amp;TEXT(ROW()-4,"0000"))</f>
        <v>0</v>
      </c>
      <c r="C74" s="18">
        <f>IF(B74="","",WEEKNUM(B74,IF(WeekStart="Sunday",1,2)))</f>
        <v>0</v>
      </c>
      <c r="D74" s="17">
        <f>IF(B74="","",TEXT(B74,"yyyy-mm"))</f>
        <v>0</v>
      </c>
      <c r="I74" s="45">
        <f>IF(G74="","",IFERROR(G74*INDEX(UnitFactors,MATCH(H74,UnitNames,0)),""))</f>
        <v>0</v>
      </c>
      <c r="J74" s="17">
        <f>IF(H74="","",IFERROR(INDEX(UnitBases,MATCH(H74,UnitNames,0)),"?"))</f>
        <v>0</v>
      </c>
      <c r="K74" s="25">
        <f>IF(E74="","",IFERROR(INDEX(Ingredients!$J$5:$J$304,MATCH(E74,Ingredients!$B$5:$B$304,0)),"Add to Ingredients"))</f>
        <v>0</v>
      </c>
      <c r="L74" s="25">
        <f>IF(OR(I74="",K74="",NOT(ISNUMBER(K74))),M74,I74*K74)</f>
        <v>0</v>
      </c>
      <c r="S74" s="25">
        <f>IF(B74="","",SUMIFS($L$5:$L$154,$D$5:$D$154,D74))</f>
        <v>0</v>
      </c>
      <c r="T74" s="31">
        <f>IF(B74="","",IF(O74="Yes",IF(L74&gt;5,"Check - avoidable and expensive","Check - avoidable"),"OK"))</f>
        <v>0</v>
      </c>
    </row>
    <row r="75" spans="1:20">
      <c r="A75" s="39">
        <f>IF(B75="","","W-"&amp;TEXT(ROW()-4,"0000"))</f>
        <v>0</v>
      </c>
      <c r="C75" s="18">
        <f>IF(B75="","",WEEKNUM(B75,IF(WeekStart="Sunday",1,2)))</f>
        <v>0</v>
      </c>
      <c r="D75" s="17">
        <f>IF(B75="","",TEXT(B75,"yyyy-mm"))</f>
        <v>0</v>
      </c>
      <c r="I75" s="45">
        <f>IF(G75="","",IFERROR(G75*INDEX(UnitFactors,MATCH(H75,UnitNames,0)),""))</f>
        <v>0</v>
      </c>
      <c r="J75" s="17">
        <f>IF(H75="","",IFERROR(INDEX(UnitBases,MATCH(H75,UnitNames,0)),"?"))</f>
        <v>0</v>
      </c>
      <c r="K75" s="25">
        <f>IF(E75="","",IFERROR(INDEX(Ingredients!$J$5:$J$304,MATCH(E75,Ingredients!$B$5:$B$304,0)),"Add to Ingredients"))</f>
        <v>0</v>
      </c>
      <c r="L75" s="25">
        <f>IF(OR(I75="",K75="",NOT(ISNUMBER(K75))),M75,I75*K75)</f>
        <v>0</v>
      </c>
      <c r="S75" s="25">
        <f>IF(B75="","",SUMIFS($L$5:$L$154,$D$5:$D$154,D75))</f>
        <v>0</v>
      </c>
      <c r="T75" s="31">
        <f>IF(B75="","",IF(O75="Yes",IF(L75&gt;5,"Check - avoidable and expensive","Check - avoidable"),"OK"))</f>
        <v>0</v>
      </c>
    </row>
    <row r="76" spans="1:20">
      <c r="A76" s="39">
        <f>IF(B76="","","W-"&amp;TEXT(ROW()-4,"0000"))</f>
        <v>0</v>
      </c>
      <c r="C76" s="18">
        <f>IF(B76="","",WEEKNUM(B76,IF(WeekStart="Sunday",1,2)))</f>
        <v>0</v>
      </c>
      <c r="D76" s="17">
        <f>IF(B76="","",TEXT(B76,"yyyy-mm"))</f>
        <v>0</v>
      </c>
      <c r="I76" s="45">
        <f>IF(G76="","",IFERROR(G76*INDEX(UnitFactors,MATCH(H76,UnitNames,0)),""))</f>
        <v>0</v>
      </c>
      <c r="J76" s="17">
        <f>IF(H76="","",IFERROR(INDEX(UnitBases,MATCH(H76,UnitNames,0)),"?"))</f>
        <v>0</v>
      </c>
      <c r="K76" s="25">
        <f>IF(E76="","",IFERROR(INDEX(Ingredients!$J$5:$J$304,MATCH(E76,Ingredients!$B$5:$B$304,0)),"Add to Ingredients"))</f>
        <v>0</v>
      </c>
      <c r="L76" s="25">
        <f>IF(OR(I76="",K76="",NOT(ISNUMBER(K76))),M76,I76*K76)</f>
        <v>0</v>
      </c>
      <c r="S76" s="25">
        <f>IF(B76="","",SUMIFS($L$5:$L$154,$D$5:$D$154,D76))</f>
        <v>0</v>
      </c>
      <c r="T76" s="31">
        <f>IF(B76="","",IF(O76="Yes",IF(L76&gt;5,"Check - avoidable and expensive","Check - avoidable"),"OK"))</f>
        <v>0</v>
      </c>
    </row>
    <row r="77" spans="1:20">
      <c r="A77" s="39">
        <f>IF(B77="","","W-"&amp;TEXT(ROW()-4,"0000"))</f>
        <v>0</v>
      </c>
      <c r="C77" s="18">
        <f>IF(B77="","",WEEKNUM(B77,IF(WeekStart="Sunday",1,2)))</f>
        <v>0</v>
      </c>
      <c r="D77" s="17">
        <f>IF(B77="","",TEXT(B77,"yyyy-mm"))</f>
        <v>0</v>
      </c>
      <c r="I77" s="45">
        <f>IF(G77="","",IFERROR(G77*INDEX(UnitFactors,MATCH(H77,UnitNames,0)),""))</f>
        <v>0</v>
      </c>
      <c r="J77" s="17">
        <f>IF(H77="","",IFERROR(INDEX(UnitBases,MATCH(H77,UnitNames,0)),"?"))</f>
        <v>0</v>
      </c>
      <c r="K77" s="25">
        <f>IF(E77="","",IFERROR(INDEX(Ingredients!$J$5:$J$304,MATCH(E77,Ingredients!$B$5:$B$304,0)),"Add to Ingredients"))</f>
        <v>0</v>
      </c>
      <c r="L77" s="25">
        <f>IF(OR(I77="",K77="",NOT(ISNUMBER(K77))),M77,I77*K77)</f>
        <v>0</v>
      </c>
      <c r="S77" s="25">
        <f>IF(B77="","",SUMIFS($L$5:$L$154,$D$5:$D$154,D77))</f>
        <v>0</v>
      </c>
      <c r="T77" s="31">
        <f>IF(B77="","",IF(O77="Yes",IF(L77&gt;5,"Check - avoidable and expensive","Check - avoidable"),"OK"))</f>
        <v>0</v>
      </c>
    </row>
    <row r="78" spans="1:20">
      <c r="A78" s="39">
        <f>IF(B78="","","W-"&amp;TEXT(ROW()-4,"0000"))</f>
        <v>0</v>
      </c>
      <c r="C78" s="18">
        <f>IF(B78="","",WEEKNUM(B78,IF(WeekStart="Sunday",1,2)))</f>
        <v>0</v>
      </c>
      <c r="D78" s="17">
        <f>IF(B78="","",TEXT(B78,"yyyy-mm"))</f>
        <v>0</v>
      </c>
      <c r="I78" s="45">
        <f>IF(G78="","",IFERROR(G78*INDEX(UnitFactors,MATCH(H78,UnitNames,0)),""))</f>
        <v>0</v>
      </c>
      <c r="J78" s="17">
        <f>IF(H78="","",IFERROR(INDEX(UnitBases,MATCH(H78,UnitNames,0)),"?"))</f>
        <v>0</v>
      </c>
      <c r="K78" s="25">
        <f>IF(E78="","",IFERROR(INDEX(Ingredients!$J$5:$J$304,MATCH(E78,Ingredients!$B$5:$B$304,0)),"Add to Ingredients"))</f>
        <v>0</v>
      </c>
      <c r="L78" s="25">
        <f>IF(OR(I78="",K78="",NOT(ISNUMBER(K78))),M78,I78*K78)</f>
        <v>0</v>
      </c>
      <c r="S78" s="25">
        <f>IF(B78="","",SUMIFS($L$5:$L$154,$D$5:$D$154,D78))</f>
        <v>0</v>
      </c>
      <c r="T78" s="31">
        <f>IF(B78="","",IF(O78="Yes",IF(L78&gt;5,"Check - avoidable and expensive","Check - avoidable"),"OK"))</f>
        <v>0</v>
      </c>
    </row>
    <row r="79" spans="1:20">
      <c r="A79" s="39">
        <f>IF(B79="","","W-"&amp;TEXT(ROW()-4,"0000"))</f>
        <v>0</v>
      </c>
      <c r="C79" s="18">
        <f>IF(B79="","",WEEKNUM(B79,IF(WeekStart="Sunday",1,2)))</f>
        <v>0</v>
      </c>
      <c r="D79" s="17">
        <f>IF(B79="","",TEXT(B79,"yyyy-mm"))</f>
        <v>0</v>
      </c>
      <c r="I79" s="45">
        <f>IF(G79="","",IFERROR(G79*INDEX(UnitFactors,MATCH(H79,UnitNames,0)),""))</f>
        <v>0</v>
      </c>
      <c r="J79" s="17">
        <f>IF(H79="","",IFERROR(INDEX(UnitBases,MATCH(H79,UnitNames,0)),"?"))</f>
        <v>0</v>
      </c>
      <c r="K79" s="25">
        <f>IF(E79="","",IFERROR(INDEX(Ingredients!$J$5:$J$304,MATCH(E79,Ingredients!$B$5:$B$304,0)),"Add to Ingredients"))</f>
        <v>0</v>
      </c>
      <c r="L79" s="25">
        <f>IF(OR(I79="",K79="",NOT(ISNUMBER(K79))),M79,I79*K79)</f>
        <v>0</v>
      </c>
      <c r="S79" s="25">
        <f>IF(B79="","",SUMIFS($L$5:$L$154,$D$5:$D$154,D79))</f>
        <v>0</v>
      </c>
      <c r="T79" s="31">
        <f>IF(B79="","",IF(O79="Yes",IF(L79&gt;5,"Check - avoidable and expensive","Check - avoidable"),"OK"))</f>
        <v>0</v>
      </c>
    </row>
    <row r="80" spans="1:20">
      <c r="A80" s="39">
        <f>IF(B80="","","W-"&amp;TEXT(ROW()-4,"0000"))</f>
        <v>0</v>
      </c>
      <c r="C80" s="18">
        <f>IF(B80="","",WEEKNUM(B80,IF(WeekStart="Sunday",1,2)))</f>
        <v>0</v>
      </c>
      <c r="D80" s="17">
        <f>IF(B80="","",TEXT(B80,"yyyy-mm"))</f>
        <v>0</v>
      </c>
      <c r="I80" s="45">
        <f>IF(G80="","",IFERROR(G80*INDEX(UnitFactors,MATCH(H80,UnitNames,0)),""))</f>
        <v>0</v>
      </c>
      <c r="J80" s="17">
        <f>IF(H80="","",IFERROR(INDEX(UnitBases,MATCH(H80,UnitNames,0)),"?"))</f>
        <v>0</v>
      </c>
      <c r="K80" s="25">
        <f>IF(E80="","",IFERROR(INDEX(Ingredients!$J$5:$J$304,MATCH(E80,Ingredients!$B$5:$B$304,0)),"Add to Ingredients"))</f>
        <v>0</v>
      </c>
      <c r="L80" s="25">
        <f>IF(OR(I80="",K80="",NOT(ISNUMBER(K80))),M80,I80*K80)</f>
        <v>0</v>
      </c>
      <c r="S80" s="25">
        <f>IF(B80="","",SUMIFS($L$5:$L$154,$D$5:$D$154,D80))</f>
        <v>0</v>
      </c>
      <c r="T80" s="31">
        <f>IF(B80="","",IF(O80="Yes",IF(L80&gt;5,"Check - avoidable and expensive","Check - avoidable"),"OK"))</f>
        <v>0</v>
      </c>
    </row>
    <row r="81" spans="1:20">
      <c r="A81" s="39">
        <f>IF(B81="","","W-"&amp;TEXT(ROW()-4,"0000"))</f>
        <v>0</v>
      </c>
      <c r="C81" s="18">
        <f>IF(B81="","",WEEKNUM(B81,IF(WeekStart="Sunday",1,2)))</f>
        <v>0</v>
      </c>
      <c r="D81" s="17">
        <f>IF(B81="","",TEXT(B81,"yyyy-mm"))</f>
        <v>0</v>
      </c>
      <c r="I81" s="45">
        <f>IF(G81="","",IFERROR(G81*INDEX(UnitFactors,MATCH(H81,UnitNames,0)),""))</f>
        <v>0</v>
      </c>
      <c r="J81" s="17">
        <f>IF(H81="","",IFERROR(INDEX(UnitBases,MATCH(H81,UnitNames,0)),"?"))</f>
        <v>0</v>
      </c>
      <c r="K81" s="25">
        <f>IF(E81="","",IFERROR(INDEX(Ingredients!$J$5:$J$304,MATCH(E81,Ingredients!$B$5:$B$304,0)),"Add to Ingredients"))</f>
        <v>0</v>
      </c>
      <c r="L81" s="25">
        <f>IF(OR(I81="",K81="",NOT(ISNUMBER(K81))),M81,I81*K81)</f>
        <v>0</v>
      </c>
      <c r="S81" s="25">
        <f>IF(B81="","",SUMIFS($L$5:$L$154,$D$5:$D$154,D81))</f>
        <v>0</v>
      </c>
      <c r="T81" s="31">
        <f>IF(B81="","",IF(O81="Yes",IF(L81&gt;5,"Check - avoidable and expensive","Check - avoidable"),"OK"))</f>
        <v>0</v>
      </c>
    </row>
    <row r="82" spans="1:20">
      <c r="A82" s="39">
        <f>IF(B82="","","W-"&amp;TEXT(ROW()-4,"0000"))</f>
        <v>0</v>
      </c>
      <c r="C82" s="18">
        <f>IF(B82="","",WEEKNUM(B82,IF(WeekStart="Sunday",1,2)))</f>
        <v>0</v>
      </c>
      <c r="D82" s="17">
        <f>IF(B82="","",TEXT(B82,"yyyy-mm"))</f>
        <v>0</v>
      </c>
      <c r="I82" s="45">
        <f>IF(G82="","",IFERROR(G82*INDEX(UnitFactors,MATCH(H82,UnitNames,0)),""))</f>
        <v>0</v>
      </c>
      <c r="J82" s="17">
        <f>IF(H82="","",IFERROR(INDEX(UnitBases,MATCH(H82,UnitNames,0)),"?"))</f>
        <v>0</v>
      </c>
      <c r="K82" s="25">
        <f>IF(E82="","",IFERROR(INDEX(Ingredients!$J$5:$J$304,MATCH(E82,Ingredients!$B$5:$B$304,0)),"Add to Ingredients"))</f>
        <v>0</v>
      </c>
      <c r="L82" s="25">
        <f>IF(OR(I82="",K82="",NOT(ISNUMBER(K82))),M82,I82*K82)</f>
        <v>0</v>
      </c>
      <c r="S82" s="25">
        <f>IF(B82="","",SUMIFS($L$5:$L$154,$D$5:$D$154,D82))</f>
        <v>0</v>
      </c>
      <c r="T82" s="31">
        <f>IF(B82="","",IF(O82="Yes",IF(L82&gt;5,"Check - avoidable and expensive","Check - avoidable"),"OK"))</f>
        <v>0</v>
      </c>
    </row>
    <row r="83" spans="1:20">
      <c r="A83" s="39">
        <f>IF(B83="","","W-"&amp;TEXT(ROW()-4,"0000"))</f>
        <v>0</v>
      </c>
      <c r="C83" s="18">
        <f>IF(B83="","",WEEKNUM(B83,IF(WeekStart="Sunday",1,2)))</f>
        <v>0</v>
      </c>
      <c r="D83" s="17">
        <f>IF(B83="","",TEXT(B83,"yyyy-mm"))</f>
        <v>0</v>
      </c>
      <c r="I83" s="45">
        <f>IF(G83="","",IFERROR(G83*INDEX(UnitFactors,MATCH(H83,UnitNames,0)),""))</f>
        <v>0</v>
      </c>
      <c r="J83" s="17">
        <f>IF(H83="","",IFERROR(INDEX(UnitBases,MATCH(H83,UnitNames,0)),"?"))</f>
        <v>0</v>
      </c>
      <c r="K83" s="25">
        <f>IF(E83="","",IFERROR(INDEX(Ingredients!$J$5:$J$304,MATCH(E83,Ingredients!$B$5:$B$304,0)),"Add to Ingredients"))</f>
        <v>0</v>
      </c>
      <c r="L83" s="25">
        <f>IF(OR(I83="",K83="",NOT(ISNUMBER(K83))),M83,I83*K83)</f>
        <v>0</v>
      </c>
      <c r="S83" s="25">
        <f>IF(B83="","",SUMIFS($L$5:$L$154,$D$5:$D$154,D83))</f>
        <v>0</v>
      </c>
      <c r="T83" s="31">
        <f>IF(B83="","",IF(O83="Yes",IF(L83&gt;5,"Check - avoidable and expensive","Check - avoidable"),"OK"))</f>
        <v>0</v>
      </c>
    </row>
    <row r="84" spans="1:20">
      <c r="A84" s="39">
        <f>IF(B84="","","W-"&amp;TEXT(ROW()-4,"0000"))</f>
        <v>0</v>
      </c>
      <c r="C84" s="18">
        <f>IF(B84="","",WEEKNUM(B84,IF(WeekStart="Sunday",1,2)))</f>
        <v>0</v>
      </c>
      <c r="D84" s="17">
        <f>IF(B84="","",TEXT(B84,"yyyy-mm"))</f>
        <v>0</v>
      </c>
      <c r="I84" s="45">
        <f>IF(G84="","",IFERROR(G84*INDEX(UnitFactors,MATCH(H84,UnitNames,0)),""))</f>
        <v>0</v>
      </c>
      <c r="J84" s="17">
        <f>IF(H84="","",IFERROR(INDEX(UnitBases,MATCH(H84,UnitNames,0)),"?"))</f>
        <v>0</v>
      </c>
      <c r="K84" s="25">
        <f>IF(E84="","",IFERROR(INDEX(Ingredients!$J$5:$J$304,MATCH(E84,Ingredients!$B$5:$B$304,0)),"Add to Ingredients"))</f>
        <v>0</v>
      </c>
      <c r="L84" s="25">
        <f>IF(OR(I84="",K84="",NOT(ISNUMBER(K84))),M84,I84*K84)</f>
        <v>0</v>
      </c>
      <c r="S84" s="25">
        <f>IF(B84="","",SUMIFS($L$5:$L$154,$D$5:$D$154,D84))</f>
        <v>0</v>
      </c>
      <c r="T84" s="31">
        <f>IF(B84="","",IF(O84="Yes",IF(L84&gt;5,"Check - avoidable and expensive","Check - avoidable"),"OK"))</f>
        <v>0</v>
      </c>
    </row>
    <row r="85" spans="1:20">
      <c r="A85" s="39">
        <f>IF(B85="","","W-"&amp;TEXT(ROW()-4,"0000"))</f>
        <v>0</v>
      </c>
      <c r="C85" s="18">
        <f>IF(B85="","",WEEKNUM(B85,IF(WeekStart="Sunday",1,2)))</f>
        <v>0</v>
      </c>
      <c r="D85" s="17">
        <f>IF(B85="","",TEXT(B85,"yyyy-mm"))</f>
        <v>0</v>
      </c>
      <c r="I85" s="45">
        <f>IF(G85="","",IFERROR(G85*INDEX(UnitFactors,MATCH(H85,UnitNames,0)),""))</f>
        <v>0</v>
      </c>
      <c r="J85" s="17">
        <f>IF(H85="","",IFERROR(INDEX(UnitBases,MATCH(H85,UnitNames,0)),"?"))</f>
        <v>0</v>
      </c>
      <c r="K85" s="25">
        <f>IF(E85="","",IFERROR(INDEX(Ingredients!$J$5:$J$304,MATCH(E85,Ingredients!$B$5:$B$304,0)),"Add to Ingredients"))</f>
        <v>0</v>
      </c>
      <c r="L85" s="25">
        <f>IF(OR(I85="",K85="",NOT(ISNUMBER(K85))),M85,I85*K85)</f>
        <v>0</v>
      </c>
      <c r="S85" s="25">
        <f>IF(B85="","",SUMIFS($L$5:$L$154,$D$5:$D$154,D85))</f>
        <v>0</v>
      </c>
      <c r="T85" s="31">
        <f>IF(B85="","",IF(O85="Yes",IF(L85&gt;5,"Check - avoidable and expensive","Check - avoidable"),"OK"))</f>
        <v>0</v>
      </c>
    </row>
    <row r="86" spans="1:20">
      <c r="A86" s="39">
        <f>IF(B86="","","W-"&amp;TEXT(ROW()-4,"0000"))</f>
        <v>0</v>
      </c>
      <c r="C86" s="18">
        <f>IF(B86="","",WEEKNUM(B86,IF(WeekStart="Sunday",1,2)))</f>
        <v>0</v>
      </c>
      <c r="D86" s="17">
        <f>IF(B86="","",TEXT(B86,"yyyy-mm"))</f>
        <v>0</v>
      </c>
      <c r="I86" s="45">
        <f>IF(G86="","",IFERROR(G86*INDEX(UnitFactors,MATCH(H86,UnitNames,0)),""))</f>
        <v>0</v>
      </c>
      <c r="J86" s="17">
        <f>IF(H86="","",IFERROR(INDEX(UnitBases,MATCH(H86,UnitNames,0)),"?"))</f>
        <v>0</v>
      </c>
      <c r="K86" s="25">
        <f>IF(E86="","",IFERROR(INDEX(Ingredients!$J$5:$J$304,MATCH(E86,Ingredients!$B$5:$B$304,0)),"Add to Ingredients"))</f>
        <v>0</v>
      </c>
      <c r="L86" s="25">
        <f>IF(OR(I86="",K86="",NOT(ISNUMBER(K86))),M86,I86*K86)</f>
        <v>0</v>
      </c>
      <c r="S86" s="25">
        <f>IF(B86="","",SUMIFS($L$5:$L$154,$D$5:$D$154,D86))</f>
        <v>0</v>
      </c>
      <c r="T86" s="31">
        <f>IF(B86="","",IF(O86="Yes",IF(L86&gt;5,"Check - avoidable and expensive","Check - avoidable"),"OK"))</f>
        <v>0</v>
      </c>
    </row>
    <row r="87" spans="1:20">
      <c r="A87" s="39">
        <f>IF(B87="","","W-"&amp;TEXT(ROW()-4,"0000"))</f>
        <v>0</v>
      </c>
      <c r="C87" s="18">
        <f>IF(B87="","",WEEKNUM(B87,IF(WeekStart="Sunday",1,2)))</f>
        <v>0</v>
      </c>
      <c r="D87" s="17">
        <f>IF(B87="","",TEXT(B87,"yyyy-mm"))</f>
        <v>0</v>
      </c>
      <c r="I87" s="45">
        <f>IF(G87="","",IFERROR(G87*INDEX(UnitFactors,MATCH(H87,UnitNames,0)),""))</f>
        <v>0</v>
      </c>
      <c r="J87" s="17">
        <f>IF(H87="","",IFERROR(INDEX(UnitBases,MATCH(H87,UnitNames,0)),"?"))</f>
        <v>0</v>
      </c>
      <c r="K87" s="25">
        <f>IF(E87="","",IFERROR(INDEX(Ingredients!$J$5:$J$304,MATCH(E87,Ingredients!$B$5:$B$304,0)),"Add to Ingredients"))</f>
        <v>0</v>
      </c>
      <c r="L87" s="25">
        <f>IF(OR(I87="",K87="",NOT(ISNUMBER(K87))),M87,I87*K87)</f>
        <v>0</v>
      </c>
      <c r="S87" s="25">
        <f>IF(B87="","",SUMIFS($L$5:$L$154,$D$5:$D$154,D87))</f>
        <v>0</v>
      </c>
      <c r="T87" s="31">
        <f>IF(B87="","",IF(O87="Yes",IF(L87&gt;5,"Check - avoidable and expensive","Check - avoidable"),"OK"))</f>
        <v>0</v>
      </c>
    </row>
    <row r="88" spans="1:20">
      <c r="A88" s="39">
        <f>IF(B88="","","W-"&amp;TEXT(ROW()-4,"0000"))</f>
        <v>0</v>
      </c>
      <c r="C88" s="18">
        <f>IF(B88="","",WEEKNUM(B88,IF(WeekStart="Sunday",1,2)))</f>
        <v>0</v>
      </c>
      <c r="D88" s="17">
        <f>IF(B88="","",TEXT(B88,"yyyy-mm"))</f>
        <v>0</v>
      </c>
      <c r="I88" s="45">
        <f>IF(G88="","",IFERROR(G88*INDEX(UnitFactors,MATCH(H88,UnitNames,0)),""))</f>
        <v>0</v>
      </c>
      <c r="J88" s="17">
        <f>IF(H88="","",IFERROR(INDEX(UnitBases,MATCH(H88,UnitNames,0)),"?"))</f>
        <v>0</v>
      </c>
      <c r="K88" s="25">
        <f>IF(E88="","",IFERROR(INDEX(Ingredients!$J$5:$J$304,MATCH(E88,Ingredients!$B$5:$B$304,0)),"Add to Ingredients"))</f>
        <v>0</v>
      </c>
      <c r="L88" s="25">
        <f>IF(OR(I88="",K88="",NOT(ISNUMBER(K88))),M88,I88*K88)</f>
        <v>0</v>
      </c>
      <c r="S88" s="25">
        <f>IF(B88="","",SUMIFS($L$5:$L$154,$D$5:$D$154,D88))</f>
        <v>0</v>
      </c>
      <c r="T88" s="31">
        <f>IF(B88="","",IF(O88="Yes",IF(L88&gt;5,"Check - avoidable and expensive","Check - avoidable"),"OK"))</f>
        <v>0</v>
      </c>
    </row>
    <row r="89" spans="1:20">
      <c r="A89" s="39">
        <f>IF(B89="","","W-"&amp;TEXT(ROW()-4,"0000"))</f>
        <v>0</v>
      </c>
      <c r="C89" s="18">
        <f>IF(B89="","",WEEKNUM(B89,IF(WeekStart="Sunday",1,2)))</f>
        <v>0</v>
      </c>
      <c r="D89" s="17">
        <f>IF(B89="","",TEXT(B89,"yyyy-mm"))</f>
        <v>0</v>
      </c>
      <c r="I89" s="45">
        <f>IF(G89="","",IFERROR(G89*INDEX(UnitFactors,MATCH(H89,UnitNames,0)),""))</f>
        <v>0</v>
      </c>
      <c r="J89" s="17">
        <f>IF(H89="","",IFERROR(INDEX(UnitBases,MATCH(H89,UnitNames,0)),"?"))</f>
        <v>0</v>
      </c>
      <c r="K89" s="25">
        <f>IF(E89="","",IFERROR(INDEX(Ingredients!$J$5:$J$304,MATCH(E89,Ingredients!$B$5:$B$304,0)),"Add to Ingredients"))</f>
        <v>0</v>
      </c>
      <c r="L89" s="25">
        <f>IF(OR(I89="",K89="",NOT(ISNUMBER(K89))),M89,I89*K89)</f>
        <v>0</v>
      </c>
      <c r="S89" s="25">
        <f>IF(B89="","",SUMIFS($L$5:$L$154,$D$5:$D$154,D89))</f>
        <v>0</v>
      </c>
      <c r="T89" s="31">
        <f>IF(B89="","",IF(O89="Yes",IF(L89&gt;5,"Check - avoidable and expensive","Check - avoidable"),"OK"))</f>
        <v>0</v>
      </c>
    </row>
    <row r="90" spans="1:20">
      <c r="A90" s="39">
        <f>IF(B90="","","W-"&amp;TEXT(ROW()-4,"0000"))</f>
        <v>0</v>
      </c>
      <c r="C90" s="18">
        <f>IF(B90="","",WEEKNUM(B90,IF(WeekStart="Sunday",1,2)))</f>
        <v>0</v>
      </c>
      <c r="D90" s="17">
        <f>IF(B90="","",TEXT(B90,"yyyy-mm"))</f>
        <v>0</v>
      </c>
      <c r="I90" s="45">
        <f>IF(G90="","",IFERROR(G90*INDEX(UnitFactors,MATCH(H90,UnitNames,0)),""))</f>
        <v>0</v>
      </c>
      <c r="J90" s="17">
        <f>IF(H90="","",IFERROR(INDEX(UnitBases,MATCH(H90,UnitNames,0)),"?"))</f>
        <v>0</v>
      </c>
      <c r="K90" s="25">
        <f>IF(E90="","",IFERROR(INDEX(Ingredients!$J$5:$J$304,MATCH(E90,Ingredients!$B$5:$B$304,0)),"Add to Ingredients"))</f>
        <v>0</v>
      </c>
      <c r="L90" s="25">
        <f>IF(OR(I90="",K90="",NOT(ISNUMBER(K90))),M90,I90*K90)</f>
        <v>0</v>
      </c>
      <c r="S90" s="25">
        <f>IF(B90="","",SUMIFS($L$5:$L$154,$D$5:$D$154,D90))</f>
        <v>0</v>
      </c>
      <c r="T90" s="31">
        <f>IF(B90="","",IF(O90="Yes",IF(L90&gt;5,"Check - avoidable and expensive","Check - avoidable"),"OK"))</f>
        <v>0</v>
      </c>
    </row>
    <row r="91" spans="1:20">
      <c r="A91" s="39">
        <f>IF(B91="","","W-"&amp;TEXT(ROW()-4,"0000"))</f>
        <v>0</v>
      </c>
      <c r="C91" s="18">
        <f>IF(B91="","",WEEKNUM(B91,IF(WeekStart="Sunday",1,2)))</f>
        <v>0</v>
      </c>
      <c r="D91" s="17">
        <f>IF(B91="","",TEXT(B91,"yyyy-mm"))</f>
        <v>0</v>
      </c>
      <c r="I91" s="45">
        <f>IF(G91="","",IFERROR(G91*INDEX(UnitFactors,MATCH(H91,UnitNames,0)),""))</f>
        <v>0</v>
      </c>
      <c r="J91" s="17">
        <f>IF(H91="","",IFERROR(INDEX(UnitBases,MATCH(H91,UnitNames,0)),"?"))</f>
        <v>0</v>
      </c>
      <c r="K91" s="25">
        <f>IF(E91="","",IFERROR(INDEX(Ingredients!$J$5:$J$304,MATCH(E91,Ingredients!$B$5:$B$304,0)),"Add to Ingredients"))</f>
        <v>0</v>
      </c>
      <c r="L91" s="25">
        <f>IF(OR(I91="",K91="",NOT(ISNUMBER(K91))),M91,I91*K91)</f>
        <v>0</v>
      </c>
      <c r="S91" s="25">
        <f>IF(B91="","",SUMIFS($L$5:$L$154,$D$5:$D$154,D91))</f>
        <v>0</v>
      </c>
      <c r="T91" s="31">
        <f>IF(B91="","",IF(O91="Yes",IF(L91&gt;5,"Check - avoidable and expensive","Check - avoidable"),"OK"))</f>
        <v>0</v>
      </c>
    </row>
    <row r="92" spans="1:20">
      <c r="A92" s="39">
        <f>IF(B92="","","W-"&amp;TEXT(ROW()-4,"0000"))</f>
        <v>0</v>
      </c>
      <c r="C92" s="18">
        <f>IF(B92="","",WEEKNUM(B92,IF(WeekStart="Sunday",1,2)))</f>
        <v>0</v>
      </c>
      <c r="D92" s="17">
        <f>IF(B92="","",TEXT(B92,"yyyy-mm"))</f>
        <v>0</v>
      </c>
      <c r="I92" s="45">
        <f>IF(G92="","",IFERROR(G92*INDEX(UnitFactors,MATCH(H92,UnitNames,0)),""))</f>
        <v>0</v>
      </c>
      <c r="J92" s="17">
        <f>IF(H92="","",IFERROR(INDEX(UnitBases,MATCH(H92,UnitNames,0)),"?"))</f>
        <v>0</v>
      </c>
      <c r="K92" s="25">
        <f>IF(E92="","",IFERROR(INDEX(Ingredients!$J$5:$J$304,MATCH(E92,Ingredients!$B$5:$B$304,0)),"Add to Ingredients"))</f>
        <v>0</v>
      </c>
      <c r="L92" s="25">
        <f>IF(OR(I92="",K92="",NOT(ISNUMBER(K92))),M92,I92*K92)</f>
        <v>0</v>
      </c>
      <c r="S92" s="25">
        <f>IF(B92="","",SUMIFS($L$5:$L$154,$D$5:$D$154,D92))</f>
        <v>0</v>
      </c>
      <c r="T92" s="31">
        <f>IF(B92="","",IF(O92="Yes",IF(L92&gt;5,"Check - avoidable and expensive","Check - avoidable"),"OK"))</f>
        <v>0</v>
      </c>
    </row>
    <row r="93" spans="1:20">
      <c r="A93" s="39">
        <f>IF(B93="","","W-"&amp;TEXT(ROW()-4,"0000"))</f>
        <v>0</v>
      </c>
      <c r="C93" s="18">
        <f>IF(B93="","",WEEKNUM(B93,IF(WeekStart="Sunday",1,2)))</f>
        <v>0</v>
      </c>
      <c r="D93" s="17">
        <f>IF(B93="","",TEXT(B93,"yyyy-mm"))</f>
        <v>0</v>
      </c>
      <c r="I93" s="45">
        <f>IF(G93="","",IFERROR(G93*INDEX(UnitFactors,MATCH(H93,UnitNames,0)),""))</f>
        <v>0</v>
      </c>
      <c r="J93" s="17">
        <f>IF(H93="","",IFERROR(INDEX(UnitBases,MATCH(H93,UnitNames,0)),"?"))</f>
        <v>0</v>
      </c>
      <c r="K93" s="25">
        <f>IF(E93="","",IFERROR(INDEX(Ingredients!$J$5:$J$304,MATCH(E93,Ingredients!$B$5:$B$304,0)),"Add to Ingredients"))</f>
        <v>0</v>
      </c>
      <c r="L93" s="25">
        <f>IF(OR(I93="",K93="",NOT(ISNUMBER(K93))),M93,I93*K93)</f>
        <v>0</v>
      </c>
      <c r="S93" s="25">
        <f>IF(B93="","",SUMIFS($L$5:$L$154,$D$5:$D$154,D93))</f>
        <v>0</v>
      </c>
      <c r="T93" s="31">
        <f>IF(B93="","",IF(O93="Yes",IF(L93&gt;5,"Check - avoidable and expensive","Check - avoidable"),"OK"))</f>
        <v>0</v>
      </c>
    </row>
    <row r="94" spans="1:20">
      <c r="A94" s="39">
        <f>IF(B94="","","W-"&amp;TEXT(ROW()-4,"0000"))</f>
        <v>0</v>
      </c>
      <c r="C94" s="18">
        <f>IF(B94="","",WEEKNUM(B94,IF(WeekStart="Sunday",1,2)))</f>
        <v>0</v>
      </c>
      <c r="D94" s="17">
        <f>IF(B94="","",TEXT(B94,"yyyy-mm"))</f>
        <v>0</v>
      </c>
      <c r="I94" s="45">
        <f>IF(G94="","",IFERROR(G94*INDEX(UnitFactors,MATCH(H94,UnitNames,0)),""))</f>
        <v>0</v>
      </c>
      <c r="J94" s="17">
        <f>IF(H94="","",IFERROR(INDEX(UnitBases,MATCH(H94,UnitNames,0)),"?"))</f>
        <v>0</v>
      </c>
      <c r="K94" s="25">
        <f>IF(E94="","",IFERROR(INDEX(Ingredients!$J$5:$J$304,MATCH(E94,Ingredients!$B$5:$B$304,0)),"Add to Ingredients"))</f>
        <v>0</v>
      </c>
      <c r="L94" s="25">
        <f>IF(OR(I94="",K94="",NOT(ISNUMBER(K94))),M94,I94*K94)</f>
        <v>0</v>
      </c>
      <c r="S94" s="25">
        <f>IF(B94="","",SUMIFS($L$5:$L$154,$D$5:$D$154,D94))</f>
        <v>0</v>
      </c>
      <c r="T94" s="31">
        <f>IF(B94="","",IF(O94="Yes",IF(L94&gt;5,"Check - avoidable and expensive","Check - avoidable"),"OK"))</f>
        <v>0</v>
      </c>
    </row>
    <row r="95" spans="1:20">
      <c r="A95" s="39">
        <f>IF(B95="","","W-"&amp;TEXT(ROW()-4,"0000"))</f>
        <v>0</v>
      </c>
      <c r="C95" s="18">
        <f>IF(B95="","",WEEKNUM(B95,IF(WeekStart="Sunday",1,2)))</f>
        <v>0</v>
      </c>
      <c r="D95" s="17">
        <f>IF(B95="","",TEXT(B95,"yyyy-mm"))</f>
        <v>0</v>
      </c>
      <c r="I95" s="45">
        <f>IF(G95="","",IFERROR(G95*INDEX(UnitFactors,MATCH(H95,UnitNames,0)),""))</f>
        <v>0</v>
      </c>
      <c r="J95" s="17">
        <f>IF(H95="","",IFERROR(INDEX(UnitBases,MATCH(H95,UnitNames,0)),"?"))</f>
        <v>0</v>
      </c>
      <c r="K95" s="25">
        <f>IF(E95="","",IFERROR(INDEX(Ingredients!$J$5:$J$304,MATCH(E95,Ingredients!$B$5:$B$304,0)),"Add to Ingredients"))</f>
        <v>0</v>
      </c>
      <c r="L95" s="25">
        <f>IF(OR(I95="",K95="",NOT(ISNUMBER(K95))),M95,I95*K95)</f>
        <v>0</v>
      </c>
      <c r="S95" s="25">
        <f>IF(B95="","",SUMIFS($L$5:$L$154,$D$5:$D$154,D95))</f>
        <v>0</v>
      </c>
      <c r="T95" s="31">
        <f>IF(B95="","",IF(O95="Yes",IF(L95&gt;5,"Check - avoidable and expensive","Check - avoidable"),"OK"))</f>
        <v>0</v>
      </c>
    </row>
    <row r="96" spans="1:20">
      <c r="A96" s="39">
        <f>IF(B96="","","W-"&amp;TEXT(ROW()-4,"0000"))</f>
        <v>0</v>
      </c>
      <c r="C96" s="18">
        <f>IF(B96="","",WEEKNUM(B96,IF(WeekStart="Sunday",1,2)))</f>
        <v>0</v>
      </c>
      <c r="D96" s="17">
        <f>IF(B96="","",TEXT(B96,"yyyy-mm"))</f>
        <v>0</v>
      </c>
      <c r="I96" s="45">
        <f>IF(G96="","",IFERROR(G96*INDEX(UnitFactors,MATCH(H96,UnitNames,0)),""))</f>
        <v>0</v>
      </c>
      <c r="J96" s="17">
        <f>IF(H96="","",IFERROR(INDEX(UnitBases,MATCH(H96,UnitNames,0)),"?"))</f>
        <v>0</v>
      </c>
      <c r="K96" s="25">
        <f>IF(E96="","",IFERROR(INDEX(Ingredients!$J$5:$J$304,MATCH(E96,Ingredients!$B$5:$B$304,0)),"Add to Ingredients"))</f>
        <v>0</v>
      </c>
      <c r="L96" s="25">
        <f>IF(OR(I96="",K96="",NOT(ISNUMBER(K96))),M96,I96*K96)</f>
        <v>0</v>
      </c>
      <c r="S96" s="25">
        <f>IF(B96="","",SUMIFS($L$5:$L$154,$D$5:$D$154,D96))</f>
        <v>0</v>
      </c>
      <c r="T96" s="31">
        <f>IF(B96="","",IF(O96="Yes",IF(L96&gt;5,"Check - avoidable and expensive","Check - avoidable"),"OK"))</f>
        <v>0</v>
      </c>
    </row>
    <row r="97" spans="1:20">
      <c r="A97" s="39">
        <f>IF(B97="","","W-"&amp;TEXT(ROW()-4,"0000"))</f>
        <v>0</v>
      </c>
      <c r="C97" s="18">
        <f>IF(B97="","",WEEKNUM(B97,IF(WeekStart="Sunday",1,2)))</f>
        <v>0</v>
      </c>
      <c r="D97" s="17">
        <f>IF(B97="","",TEXT(B97,"yyyy-mm"))</f>
        <v>0</v>
      </c>
      <c r="I97" s="45">
        <f>IF(G97="","",IFERROR(G97*INDEX(UnitFactors,MATCH(H97,UnitNames,0)),""))</f>
        <v>0</v>
      </c>
      <c r="J97" s="17">
        <f>IF(H97="","",IFERROR(INDEX(UnitBases,MATCH(H97,UnitNames,0)),"?"))</f>
        <v>0</v>
      </c>
      <c r="K97" s="25">
        <f>IF(E97="","",IFERROR(INDEX(Ingredients!$J$5:$J$304,MATCH(E97,Ingredients!$B$5:$B$304,0)),"Add to Ingredients"))</f>
        <v>0</v>
      </c>
      <c r="L97" s="25">
        <f>IF(OR(I97="",K97="",NOT(ISNUMBER(K97))),M97,I97*K97)</f>
        <v>0</v>
      </c>
      <c r="S97" s="25">
        <f>IF(B97="","",SUMIFS($L$5:$L$154,$D$5:$D$154,D97))</f>
        <v>0</v>
      </c>
      <c r="T97" s="31">
        <f>IF(B97="","",IF(O97="Yes",IF(L97&gt;5,"Check - avoidable and expensive","Check - avoidable"),"OK"))</f>
        <v>0</v>
      </c>
    </row>
    <row r="98" spans="1:20">
      <c r="A98" s="39">
        <f>IF(B98="","","W-"&amp;TEXT(ROW()-4,"0000"))</f>
        <v>0</v>
      </c>
      <c r="C98" s="18">
        <f>IF(B98="","",WEEKNUM(B98,IF(WeekStart="Sunday",1,2)))</f>
        <v>0</v>
      </c>
      <c r="D98" s="17">
        <f>IF(B98="","",TEXT(B98,"yyyy-mm"))</f>
        <v>0</v>
      </c>
      <c r="I98" s="45">
        <f>IF(G98="","",IFERROR(G98*INDEX(UnitFactors,MATCH(H98,UnitNames,0)),""))</f>
        <v>0</v>
      </c>
      <c r="J98" s="17">
        <f>IF(H98="","",IFERROR(INDEX(UnitBases,MATCH(H98,UnitNames,0)),"?"))</f>
        <v>0</v>
      </c>
      <c r="K98" s="25">
        <f>IF(E98="","",IFERROR(INDEX(Ingredients!$J$5:$J$304,MATCH(E98,Ingredients!$B$5:$B$304,0)),"Add to Ingredients"))</f>
        <v>0</v>
      </c>
      <c r="L98" s="25">
        <f>IF(OR(I98="",K98="",NOT(ISNUMBER(K98))),M98,I98*K98)</f>
        <v>0</v>
      </c>
      <c r="S98" s="25">
        <f>IF(B98="","",SUMIFS($L$5:$L$154,$D$5:$D$154,D98))</f>
        <v>0</v>
      </c>
      <c r="T98" s="31">
        <f>IF(B98="","",IF(O98="Yes",IF(L98&gt;5,"Check - avoidable and expensive","Check - avoidable"),"OK"))</f>
        <v>0</v>
      </c>
    </row>
    <row r="99" spans="1:20">
      <c r="A99" s="39">
        <f>IF(B99="","","W-"&amp;TEXT(ROW()-4,"0000"))</f>
        <v>0</v>
      </c>
      <c r="C99" s="18">
        <f>IF(B99="","",WEEKNUM(B99,IF(WeekStart="Sunday",1,2)))</f>
        <v>0</v>
      </c>
      <c r="D99" s="17">
        <f>IF(B99="","",TEXT(B99,"yyyy-mm"))</f>
        <v>0</v>
      </c>
      <c r="I99" s="45">
        <f>IF(G99="","",IFERROR(G99*INDEX(UnitFactors,MATCH(H99,UnitNames,0)),""))</f>
        <v>0</v>
      </c>
      <c r="J99" s="17">
        <f>IF(H99="","",IFERROR(INDEX(UnitBases,MATCH(H99,UnitNames,0)),"?"))</f>
        <v>0</v>
      </c>
      <c r="K99" s="25">
        <f>IF(E99="","",IFERROR(INDEX(Ingredients!$J$5:$J$304,MATCH(E99,Ingredients!$B$5:$B$304,0)),"Add to Ingredients"))</f>
        <v>0</v>
      </c>
      <c r="L99" s="25">
        <f>IF(OR(I99="",K99="",NOT(ISNUMBER(K99))),M99,I99*K99)</f>
        <v>0</v>
      </c>
      <c r="S99" s="25">
        <f>IF(B99="","",SUMIFS($L$5:$L$154,$D$5:$D$154,D99))</f>
        <v>0</v>
      </c>
      <c r="T99" s="31">
        <f>IF(B99="","",IF(O99="Yes",IF(L99&gt;5,"Check - avoidable and expensive","Check - avoidable"),"OK"))</f>
        <v>0</v>
      </c>
    </row>
    <row r="100" spans="1:20">
      <c r="A100" s="39">
        <f>IF(B100="","","W-"&amp;TEXT(ROW()-4,"0000"))</f>
        <v>0</v>
      </c>
      <c r="C100" s="18">
        <f>IF(B100="","",WEEKNUM(B100,IF(WeekStart="Sunday",1,2)))</f>
        <v>0</v>
      </c>
      <c r="D100" s="17">
        <f>IF(B100="","",TEXT(B100,"yyyy-mm"))</f>
        <v>0</v>
      </c>
      <c r="I100" s="45">
        <f>IF(G100="","",IFERROR(G100*INDEX(UnitFactors,MATCH(H100,UnitNames,0)),""))</f>
        <v>0</v>
      </c>
      <c r="J100" s="17">
        <f>IF(H100="","",IFERROR(INDEX(UnitBases,MATCH(H100,UnitNames,0)),"?"))</f>
        <v>0</v>
      </c>
      <c r="K100" s="25">
        <f>IF(E100="","",IFERROR(INDEX(Ingredients!$J$5:$J$304,MATCH(E100,Ingredients!$B$5:$B$304,0)),"Add to Ingredients"))</f>
        <v>0</v>
      </c>
      <c r="L100" s="25">
        <f>IF(OR(I100="",K100="",NOT(ISNUMBER(K100))),M100,I100*K100)</f>
        <v>0</v>
      </c>
      <c r="S100" s="25">
        <f>IF(B100="","",SUMIFS($L$5:$L$154,$D$5:$D$154,D100))</f>
        <v>0</v>
      </c>
      <c r="T100" s="31">
        <f>IF(B100="","",IF(O100="Yes",IF(L100&gt;5,"Check - avoidable and expensive","Check - avoidable"),"OK"))</f>
        <v>0</v>
      </c>
    </row>
    <row r="101" spans="1:20">
      <c r="A101" s="39">
        <f>IF(B101="","","W-"&amp;TEXT(ROW()-4,"0000"))</f>
        <v>0</v>
      </c>
      <c r="C101" s="18">
        <f>IF(B101="","",WEEKNUM(B101,IF(WeekStart="Sunday",1,2)))</f>
        <v>0</v>
      </c>
      <c r="D101" s="17">
        <f>IF(B101="","",TEXT(B101,"yyyy-mm"))</f>
        <v>0</v>
      </c>
      <c r="I101" s="45">
        <f>IF(G101="","",IFERROR(G101*INDEX(UnitFactors,MATCH(H101,UnitNames,0)),""))</f>
        <v>0</v>
      </c>
      <c r="J101" s="17">
        <f>IF(H101="","",IFERROR(INDEX(UnitBases,MATCH(H101,UnitNames,0)),"?"))</f>
        <v>0</v>
      </c>
      <c r="K101" s="25">
        <f>IF(E101="","",IFERROR(INDEX(Ingredients!$J$5:$J$304,MATCH(E101,Ingredients!$B$5:$B$304,0)),"Add to Ingredients"))</f>
        <v>0</v>
      </c>
      <c r="L101" s="25">
        <f>IF(OR(I101="",K101="",NOT(ISNUMBER(K101))),M101,I101*K101)</f>
        <v>0</v>
      </c>
      <c r="S101" s="25">
        <f>IF(B101="","",SUMIFS($L$5:$L$154,$D$5:$D$154,D101))</f>
        <v>0</v>
      </c>
      <c r="T101" s="31">
        <f>IF(B101="","",IF(O101="Yes",IF(L101&gt;5,"Check - avoidable and expensive","Check - avoidable"),"OK"))</f>
        <v>0</v>
      </c>
    </row>
    <row r="102" spans="1:20">
      <c r="A102" s="39">
        <f>IF(B102="","","W-"&amp;TEXT(ROW()-4,"0000"))</f>
        <v>0</v>
      </c>
      <c r="C102" s="18">
        <f>IF(B102="","",WEEKNUM(B102,IF(WeekStart="Sunday",1,2)))</f>
        <v>0</v>
      </c>
      <c r="D102" s="17">
        <f>IF(B102="","",TEXT(B102,"yyyy-mm"))</f>
        <v>0</v>
      </c>
      <c r="I102" s="45">
        <f>IF(G102="","",IFERROR(G102*INDEX(UnitFactors,MATCH(H102,UnitNames,0)),""))</f>
        <v>0</v>
      </c>
      <c r="J102" s="17">
        <f>IF(H102="","",IFERROR(INDEX(UnitBases,MATCH(H102,UnitNames,0)),"?"))</f>
        <v>0</v>
      </c>
      <c r="K102" s="25">
        <f>IF(E102="","",IFERROR(INDEX(Ingredients!$J$5:$J$304,MATCH(E102,Ingredients!$B$5:$B$304,0)),"Add to Ingredients"))</f>
        <v>0</v>
      </c>
      <c r="L102" s="25">
        <f>IF(OR(I102="",K102="",NOT(ISNUMBER(K102))),M102,I102*K102)</f>
        <v>0</v>
      </c>
      <c r="S102" s="25">
        <f>IF(B102="","",SUMIFS($L$5:$L$154,$D$5:$D$154,D102))</f>
        <v>0</v>
      </c>
      <c r="T102" s="31">
        <f>IF(B102="","",IF(O102="Yes",IF(L102&gt;5,"Check - avoidable and expensive","Check - avoidable"),"OK"))</f>
        <v>0</v>
      </c>
    </row>
    <row r="103" spans="1:20">
      <c r="A103" s="39">
        <f>IF(B103="","","W-"&amp;TEXT(ROW()-4,"0000"))</f>
        <v>0</v>
      </c>
      <c r="C103" s="18">
        <f>IF(B103="","",WEEKNUM(B103,IF(WeekStart="Sunday",1,2)))</f>
        <v>0</v>
      </c>
      <c r="D103" s="17">
        <f>IF(B103="","",TEXT(B103,"yyyy-mm"))</f>
        <v>0</v>
      </c>
      <c r="I103" s="45">
        <f>IF(G103="","",IFERROR(G103*INDEX(UnitFactors,MATCH(H103,UnitNames,0)),""))</f>
        <v>0</v>
      </c>
      <c r="J103" s="17">
        <f>IF(H103="","",IFERROR(INDEX(UnitBases,MATCH(H103,UnitNames,0)),"?"))</f>
        <v>0</v>
      </c>
      <c r="K103" s="25">
        <f>IF(E103="","",IFERROR(INDEX(Ingredients!$J$5:$J$304,MATCH(E103,Ingredients!$B$5:$B$304,0)),"Add to Ingredients"))</f>
        <v>0</v>
      </c>
      <c r="L103" s="25">
        <f>IF(OR(I103="",K103="",NOT(ISNUMBER(K103))),M103,I103*K103)</f>
        <v>0</v>
      </c>
      <c r="S103" s="25">
        <f>IF(B103="","",SUMIFS($L$5:$L$154,$D$5:$D$154,D103))</f>
        <v>0</v>
      </c>
      <c r="T103" s="31">
        <f>IF(B103="","",IF(O103="Yes",IF(L103&gt;5,"Check - avoidable and expensive","Check - avoidable"),"OK"))</f>
        <v>0</v>
      </c>
    </row>
    <row r="104" spans="1:20">
      <c r="A104" s="39">
        <f>IF(B104="","","W-"&amp;TEXT(ROW()-4,"0000"))</f>
        <v>0</v>
      </c>
      <c r="C104" s="18">
        <f>IF(B104="","",WEEKNUM(B104,IF(WeekStart="Sunday",1,2)))</f>
        <v>0</v>
      </c>
      <c r="D104" s="17">
        <f>IF(B104="","",TEXT(B104,"yyyy-mm"))</f>
        <v>0</v>
      </c>
      <c r="I104" s="45">
        <f>IF(G104="","",IFERROR(G104*INDEX(UnitFactors,MATCH(H104,UnitNames,0)),""))</f>
        <v>0</v>
      </c>
      <c r="J104" s="17">
        <f>IF(H104="","",IFERROR(INDEX(UnitBases,MATCH(H104,UnitNames,0)),"?"))</f>
        <v>0</v>
      </c>
      <c r="K104" s="25">
        <f>IF(E104="","",IFERROR(INDEX(Ingredients!$J$5:$J$304,MATCH(E104,Ingredients!$B$5:$B$304,0)),"Add to Ingredients"))</f>
        <v>0</v>
      </c>
      <c r="L104" s="25">
        <f>IF(OR(I104="",K104="",NOT(ISNUMBER(K104))),M104,I104*K104)</f>
        <v>0</v>
      </c>
      <c r="S104" s="25">
        <f>IF(B104="","",SUMIFS($L$5:$L$154,$D$5:$D$154,D104))</f>
        <v>0</v>
      </c>
      <c r="T104" s="31">
        <f>IF(B104="","",IF(O104="Yes",IF(L104&gt;5,"Check - avoidable and expensive","Check - avoidable"),"OK"))</f>
        <v>0</v>
      </c>
    </row>
    <row r="105" spans="1:20">
      <c r="A105" s="39">
        <f>IF(B105="","","W-"&amp;TEXT(ROW()-4,"0000"))</f>
        <v>0</v>
      </c>
      <c r="C105" s="18">
        <f>IF(B105="","",WEEKNUM(B105,IF(WeekStart="Sunday",1,2)))</f>
        <v>0</v>
      </c>
      <c r="D105" s="17">
        <f>IF(B105="","",TEXT(B105,"yyyy-mm"))</f>
        <v>0</v>
      </c>
      <c r="I105" s="45">
        <f>IF(G105="","",IFERROR(G105*INDEX(UnitFactors,MATCH(H105,UnitNames,0)),""))</f>
        <v>0</v>
      </c>
      <c r="J105" s="17">
        <f>IF(H105="","",IFERROR(INDEX(UnitBases,MATCH(H105,UnitNames,0)),"?"))</f>
        <v>0</v>
      </c>
      <c r="K105" s="25">
        <f>IF(E105="","",IFERROR(INDEX(Ingredients!$J$5:$J$304,MATCH(E105,Ingredients!$B$5:$B$304,0)),"Add to Ingredients"))</f>
        <v>0</v>
      </c>
      <c r="L105" s="25">
        <f>IF(OR(I105="",K105="",NOT(ISNUMBER(K105))),M105,I105*K105)</f>
        <v>0</v>
      </c>
      <c r="S105" s="25">
        <f>IF(B105="","",SUMIFS($L$5:$L$154,$D$5:$D$154,D105))</f>
        <v>0</v>
      </c>
      <c r="T105" s="31">
        <f>IF(B105="","",IF(O105="Yes",IF(L105&gt;5,"Check - avoidable and expensive","Check - avoidable"),"OK"))</f>
        <v>0</v>
      </c>
    </row>
    <row r="106" spans="1:20">
      <c r="A106" s="39">
        <f>IF(B106="","","W-"&amp;TEXT(ROW()-4,"0000"))</f>
        <v>0</v>
      </c>
      <c r="C106" s="18">
        <f>IF(B106="","",WEEKNUM(B106,IF(WeekStart="Sunday",1,2)))</f>
        <v>0</v>
      </c>
      <c r="D106" s="17">
        <f>IF(B106="","",TEXT(B106,"yyyy-mm"))</f>
        <v>0</v>
      </c>
      <c r="I106" s="45">
        <f>IF(G106="","",IFERROR(G106*INDEX(UnitFactors,MATCH(H106,UnitNames,0)),""))</f>
        <v>0</v>
      </c>
      <c r="J106" s="17">
        <f>IF(H106="","",IFERROR(INDEX(UnitBases,MATCH(H106,UnitNames,0)),"?"))</f>
        <v>0</v>
      </c>
      <c r="K106" s="25">
        <f>IF(E106="","",IFERROR(INDEX(Ingredients!$J$5:$J$304,MATCH(E106,Ingredients!$B$5:$B$304,0)),"Add to Ingredients"))</f>
        <v>0</v>
      </c>
      <c r="L106" s="25">
        <f>IF(OR(I106="",K106="",NOT(ISNUMBER(K106))),M106,I106*K106)</f>
        <v>0</v>
      </c>
      <c r="S106" s="25">
        <f>IF(B106="","",SUMIFS($L$5:$L$154,$D$5:$D$154,D106))</f>
        <v>0</v>
      </c>
      <c r="T106" s="31">
        <f>IF(B106="","",IF(O106="Yes",IF(L106&gt;5,"Check - avoidable and expensive","Check - avoidable"),"OK"))</f>
        <v>0</v>
      </c>
    </row>
    <row r="107" spans="1:20">
      <c r="A107" s="39">
        <f>IF(B107="","","W-"&amp;TEXT(ROW()-4,"0000"))</f>
        <v>0</v>
      </c>
      <c r="C107" s="18">
        <f>IF(B107="","",WEEKNUM(B107,IF(WeekStart="Sunday",1,2)))</f>
        <v>0</v>
      </c>
      <c r="D107" s="17">
        <f>IF(B107="","",TEXT(B107,"yyyy-mm"))</f>
        <v>0</v>
      </c>
      <c r="I107" s="45">
        <f>IF(G107="","",IFERROR(G107*INDEX(UnitFactors,MATCH(H107,UnitNames,0)),""))</f>
        <v>0</v>
      </c>
      <c r="J107" s="17">
        <f>IF(H107="","",IFERROR(INDEX(UnitBases,MATCH(H107,UnitNames,0)),"?"))</f>
        <v>0</v>
      </c>
      <c r="K107" s="25">
        <f>IF(E107="","",IFERROR(INDEX(Ingredients!$J$5:$J$304,MATCH(E107,Ingredients!$B$5:$B$304,0)),"Add to Ingredients"))</f>
        <v>0</v>
      </c>
      <c r="L107" s="25">
        <f>IF(OR(I107="",K107="",NOT(ISNUMBER(K107))),M107,I107*K107)</f>
        <v>0</v>
      </c>
      <c r="S107" s="25">
        <f>IF(B107="","",SUMIFS($L$5:$L$154,$D$5:$D$154,D107))</f>
        <v>0</v>
      </c>
      <c r="T107" s="31">
        <f>IF(B107="","",IF(O107="Yes",IF(L107&gt;5,"Check - avoidable and expensive","Check - avoidable"),"OK"))</f>
        <v>0</v>
      </c>
    </row>
    <row r="108" spans="1:20">
      <c r="A108" s="39">
        <f>IF(B108="","","W-"&amp;TEXT(ROW()-4,"0000"))</f>
        <v>0</v>
      </c>
      <c r="C108" s="18">
        <f>IF(B108="","",WEEKNUM(B108,IF(WeekStart="Sunday",1,2)))</f>
        <v>0</v>
      </c>
      <c r="D108" s="17">
        <f>IF(B108="","",TEXT(B108,"yyyy-mm"))</f>
        <v>0</v>
      </c>
      <c r="I108" s="45">
        <f>IF(G108="","",IFERROR(G108*INDEX(UnitFactors,MATCH(H108,UnitNames,0)),""))</f>
        <v>0</v>
      </c>
      <c r="J108" s="17">
        <f>IF(H108="","",IFERROR(INDEX(UnitBases,MATCH(H108,UnitNames,0)),"?"))</f>
        <v>0</v>
      </c>
      <c r="K108" s="25">
        <f>IF(E108="","",IFERROR(INDEX(Ingredients!$J$5:$J$304,MATCH(E108,Ingredients!$B$5:$B$304,0)),"Add to Ingredients"))</f>
        <v>0</v>
      </c>
      <c r="L108" s="25">
        <f>IF(OR(I108="",K108="",NOT(ISNUMBER(K108))),M108,I108*K108)</f>
        <v>0</v>
      </c>
      <c r="S108" s="25">
        <f>IF(B108="","",SUMIFS($L$5:$L$154,$D$5:$D$154,D108))</f>
        <v>0</v>
      </c>
      <c r="T108" s="31">
        <f>IF(B108="","",IF(O108="Yes",IF(L108&gt;5,"Check - avoidable and expensive","Check - avoidable"),"OK"))</f>
        <v>0</v>
      </c>
    </row>
    <row r="109" spans="1:20">
      <c r="A109" s="39">
        <f>IF(B109="","","W-"&amp;TEXT(ROW()-4,"0000"))</f>
        <v>0</v>
      </c>
      <c r="C109" s="18">
        <f>IF(B109="","",WEEKNUM(B109,IF(WeekStart="Sunday",1,2)))</f>
        <v>0</v>
      </c>
      <c r="D109" s="17">
        <f>IF(B109="","",TEXT(B109,"yyyy-mm"))</f>
        <v>0</v>
      </c>
      <c r="I109" s="45">
        <f>IF(G109="","",IFERROR(G109*INDEX(UnitFactors,MATCH(H109,UnitNames,0)),""))</f>
        <v>0</v>
      </c>
      <c r="J109" s="17">
        <f>IF(H109="","",IFERROR(INDEX(UnitBases,MATCH(H109,UnitNames,0)),"?"))</f>
        <v>0</v>
      </c>
      <c r="K109" s="25">
        <f>IF(E109="","",IFERROR(INDEX(Ingredients!$J$5:$J$304,MATCH(E109,Ingredients!$B$5:$B$304,0)),"Add to Ingredients"))</f>
        <v>0</v>
      </c>
      <c r="L109" s="25">
        <f>IF(OR(I109="",K109="",NOT(ISNUMBER(K109))),M109,I109*K109)</f>
        <v>0</v>
      </c>
      <c r="S109" s="25">
        <f>IF(B109="","",SUMIFS($L$5:$L$154,$D$5:$D$154,D109))</f>
        <v>0</v>
      </c>
      <c r="T109" s="31">
        <f>IF(B109="","",IF(O109="Yes",IF(L109&gt;5,"Check - avoidable and expensive","Check - avoidable"),"OK"))</f>
        <v>0</v>
      </c>
    </row>
    <row r="110" spans="1:20">
      <c r="A110" s="39">
        <f>IF(B110="","","W-"&amp;TEXT(ROW()-4,"0000"))</f>
        <v>0</v>
      </c>
      <c r="C110" s="18">
        <f>IF(B110="","",WEEKNUM(B110,IF(WeekStart="Sunday",1,2)))</f>
        <v>0</v>
      </c>
      <c r="D110" s="17">
        <f>IF(B110="","",TEXT(B110,"yyyy-mm"))</f>
        <v>0</v>
      </c>
      <c r="I110" s="45">
        <f>IF(G110="","",IFERROR(G110*INDEX(UnitFactors,MATCH(H110,UnitNames,0)),""))</f>
        <v>0</v>
      </c>
      <c r="J110" s="17">
        <f>IF(H110="","",IFERROR(INDEX(UnitBases,MATCH(H110,UnitNames,0)),"?"))</f>
        <v>0</v>
      </c>
      <c r="K110" s="25">
        <f>IF(E110="","",IFERROR(INDEX(Ingredients!$J$5:$J$304,MATCH(E110,Ingredients!$B$5:$B$304,0)),"Add to Ingredients"))</f>
        <v>0</v>
      </c>
      <c r="L110" s="25">
        <f>IF(OR(I110="",K110="",NOT(ISNUMBER(K110))),M110,I110*K110)</f>
        <v>0</v>
      </c>
      <c r="S110" s="25">
        <f>IF(B110="","",SUMIFS($L$5:$L$154,$D$5:$D$154,D110))</f>
        <v>0</v>
      </c>
      <c r="T110" s="31">
        <f>IF(B110="","",IF(O110="Yes",IF(L110&gt;5,"Check - avoidable and expensive","Check - avoidable"),"OK"))</f>
        <v>0</v>
      </c>
    </row>
    <row r="111" spans="1:20">
      <c r="A111" s="39">
        <f>IF(B111="","","W-"&amp;TEXT(ROW()-4,"0000"))</f>
        <v>0</v>
      </c>
      <c r="C111" s="18">
        <f>IF(B111="","",WEEKNUM(B111,IF(WeekStart="Sunday",1,2)))</f>
        <v>0</v>
      </c>
      <c r="D111" s="17">
        <f>IF(B111="","",TEXT(B111,"yyyy-mm"))</f>
        <v>0</v>
      </c>
      <c r="I111" s="45">
        <f>IF(G111="","",IFERROR(G111*INDEX(UnitFactors,MATCH(H111,UnitNames,0)),""))</f>
        <v>0</v>
      </c>
      <c r="J111" s="17">
        <f>IF(H111="","",IFERROR(INDEX(UnitBases,MATCH(H111,UnitNames,0)),"?"))</f>
        <v>0</v>
      </c>
      <c r="K111" s="25">
        <f>IF(E111="","",IFERROR(INDEX(Ingredients!$J$5:$J$304,MATCH(E111,Ingredients!$B$5:$B$304,0)),"Add to Ingredients"))</f>
        <v>0</v>
      </c>
      <c r="L111" s="25">
        <f>IF(OR(I111="",K111="",NOT(ISNUMBER(K111))),M111,I111*K111)</f>
        <v>0</v>
      </c>
      <c r="S111" s="25">
        <f>IF(B111="","",SUMIFS($L$5:$L$154,$D$5:$D$154,D111))</f>
        <v>0</v>
      </c>
      <c r="T111" s="31">
        <f>IF(B111="","",IF(O111="Yes",IF(L111&gt;5,"Check - avoidable and expensive","Check - avoidable"),"OK"))</f>
        <v>0</v>
      </c>
    </row>
    <row r="112" spans="1:20">
      <c r="A112" s="39">
        <f>IF(B112="","","W-"&amp;TEXT(ROW()-4,"0000"))</f>
        <v>0</v>
      </c>
      <c r="C112" s="18">
        <f>IF(B112="","",WEEKNUM(B112,IF(WeekStart="Sunday",1,2)))</f>
        <v>0</v>
      </c>
      <c r="D112" s="17">
        <f>IF(B112="","",TEXT(B112,"yyyy-mm"))</f>
        <v>0</v>
      </c>
      <c r="I112" s="45">
        <f>IF(G112="","",IFERROR(G112*INDEX(UnitFactors,MATCH(H112,UnitNames,0)),""))</f>
        <v>0</v>
      </c>
      <c r="J112" s="17">
        <f>IF(H112="","",IFERROR(INDEX(UnitBases,MATCH(H112,UnitNames,0)),"?"))</f>
        <v>0</v>
      </c>
      <c r="K112" s="25">
        <f>IF(E112="","",IFERROR(INDEX(Ingredients!$J$5:$J$304,MATCH(E112,Ingredients!$B$5:$B$304,0)),"Add to Ingredients"))</f>
        <v>0</v>
      </c>
      <c r="L112" s="25">
        <f>IF(OR(I112="",K112="",NOT(ISNUMBER(K112))),M112,I112*K112)</f>
        <v>0</v>
      </c>
      <c r="S112" s="25">
        <f>IF(B112="","",SUMIFS($L$5:$L$154,$D$5:$D$154,D112))</f>
        <v>0</v>
      </c>
      <c r="T112" s="31">
        <f>IF(B112="","",IF(O112="Yes",IF(L112&gt;5,"Check - avoidable and expensive","Check - avoidable"),"OK"))</f>
        <v>0</v>
      </c>
    </row>
    <row r="113" spans="1:20">
      <c r="A113" s="39">
        <f>IF(B113="","","W-"&amp;TEXT(ROW()-4,"0000"))</f>
        <v>0</v>
      </c>
      <c r="C113" s="18">
        <f>IF(B113="","",WEEKNUM(B113,IF(WeekStart="Sunday",1,2)))</f>
        <v>0</v>
      </c>
      <c r="D113" s="17">
        <f>IF(B113="","",TEXT(B113,"yyyy-mm"))</f>
        <v>0</v>
      </c>
      <c r="I113" s="45">
        <f>IF(G113="","",IFERROR(G113*INDEX(UnitFactors,MATCH(H113,UnitNames,0)),""))</f>
        <v>0</v>
      </c>
      <c r="J113" s="17">
        <f>IF(H113="","",IFERROR(INDEX(UnitBases,MATCH(H113,UnitNames,0)),"?"))</f>
        <v>0</v>
      </c>
      <c r="K113" s="25">
        <f>IF(E113="","",IFERROR(INDEX(Ingredients!$J$5:$J$304,MATCH(E113,Ingredients!$B$5:$B$304,0)),"Add to Ingredients"))</f>
        <v>0</v>
      </c>
      <c r="L113" s="25">
        <f>IF(OR(I113="",K113="",NOT(ISNUMBER(K113))),M113,I113*K113)</f>
        <v>0</v>
      </c>
      <c r="S113" s="25">
        <f>IF(B113="","",SUMIFS($L$5:$L$154,$D$5:$D$154,D113))</f>
        <v>0</v>
      </c>
      <c r="T113" s="31">
        <f>IF(B113="","",IF(O113="Yes",IF(L113&gt;5,"Check - avoidable and expensive","Check - avoidable"),"OK"))</f>
        <v>0</v>
      </c>
    </row>
    <row r="114" spans="1:20">
      <c r="A114" s="39">
        <f>IF(B114="","","W-"&amp;TEXT(ROW()-4,"0000"))</f>
        <v>0</v>
      </c>
      <c r="C114" s="18">
        <f>IF(B114="","",WEEKNUM(B114,IF(WeekStart="Sunday",1,2)))</f>
        <v>0</v>
      </c>
      <c r="D114" s="17">
        <f>IF(B114="","",TEXT(B114,"yyyy-mm"))</f>
        <v>0</v>
      </c>
      <c r="I114" s="45">
        <f>IF(G114="","",IFERROR(G114*INDEX(UnitFactors,MATCH(H114,UnitNames,0)),""))</f>
        <v>0</v>
      </c>
      <c r="J114" s="17">
        <f>IF(H114="","",IFERROR(INDEX(UnitBases,MATCH(H114,UnitNames,0)),"?"))</f>
        <v>0</v>
      </c>
      <c r="K114" s="25">
        <f>IF(E114="","",IFERROR(INDEX(Ingredients!$J$5:$J$304,MATCH(E114,Ingredients!$B$5:$B$304,0)),"Add to Ingredients"))</f>
        <v>0</v>
      </c>
      <c r="L114" s="25">
        <f>IF(OR(I114="",K114="",NOT(ISNUMBER(K114))),M114,I114*K114)</f>
        <v>0</v>
      </c>
      <c r="S114" s="25">
        <f>IF(B114="","",SUMIFS($L$5:$L$154,$D$5:$D$154,D114))</f>
        <v>0</v>
      </c>
      <c r="T114" s="31">
        <f>IF(B114="","",IF(O114="Yes",IF(L114&gt;5,"Check - avoidable and expensive","Check - avoidable"),"OK"))</f>
        <v>0</v>
      </c>
    </row>
    <row r="115" spans="1:20">
      <c r="A115" s="39">
        <f>IF(B115="","","W-"&amp;TEXT(ROW()-4,"0000"))</f>
        <v>0</v>
      </c>
      <c r="C115" s="18">
        <f>IF(B115="","",WEEKNUM(B115,IF(WeekStart="Sunday",1,2)))</f>
        <v>0</v>
      </c>
      <c r="D115" s="17">
        <f>IF(B115="","",TEXT(B115,"yyyy-mm"))</f>
        <v>0</v>
      </c>
      <c r="I115" s="45">
        <f>IF(G115="","",IFERROR(G115*INDEX(UnitFactors,MATCH(H115,UnitNames,0)),""))</f>
        <v>0</v>
      </c>
      <c r="J115" s="17">
        <f>IF(H115="","",IFERROR(INDEX(UnitBases,MATCH(H115,UnitNames,0)),"?"))</f>
        <v>0</v>
      </c>
      <c r="K115" s="25">
        <f>IF(E115="","",IFERROR(INDEX(Ingredients!$J$5:$J$304,MATCH(E115,Ingredients!$B$5:$B$304,0)),"Add to Ingredients"))</f>
        <v>0</v>
      </c>
      <c r="L115" s="25">
        <f>IF(OR(I115="",K115="",NOT(ISNUMBER(K115))),M115,I115*K115)</f>
        <v>0</v>
      </c>
      <c r="S115" s="25">
        <f>IF(B115="","",SUMIFS($L$5:$L$154,$D$5:$D$154,D115))</f>
        <v>0</v>
      </c>
      <c r="T115" s="31">
        <f>IF(B115="","",IF(O115="Yes",IF(L115&gt;5,"Check - avoidable and expensive","Check - avoidable"),"OK"))</f>
        <v>0</v>
      </c>
    </row>
    <row r="116" spans="1:20">
      <c r="A116" s="39">
        <f>IF(B116="","","W-"&amp;TEXT(ROW()-4,"0000"))</f>
        <v>0</v>
      </c>
      <c r="C116" s="18">
        <f>IF(B116="","",WEEKNUM(B116,IF(WeekStart="Sunday",1,2)))</f>
        <v>0</v>
      </c>
      <c r="D116" s="17">
        <f>IF(B116="","",TEXT(B116,"yyyy-mm"))</f>
        <v>0</v>
      </c>
      <c r="I116" s="45">
        <f>IF(G116="","",IFERROR(G116*INDEX(UnitFactors,MATCH(H116,UnitNames,0)),""))</f>
        <v>0</v>
      </c>
      <c r="J116" s="17">
        <f>IF(H116="","",IFERROR(INDEX(UnitBases,MATCH(H116,UnitNames,0)),"?"))</f>
        <v>0</v>
      </c>
      <c r="K116" s="25">
        <f>IF(E116="","",IFERROR(INDEX(Ingredients!$J$5:$J$304,MATCH(E116,Ingredients!$B$5:$B$304,0)),"Add to Ingredients"))</f>
        <v>0</v>
      </c>
      <c r="L116" s="25">
        <f>IF(OR(I116="",K116="",NOT(ISNUMBER(K116))),M116,I116*K116)</f>
        <v>0</v>
      </c>
      <c r="S116" s="25">
        <f>IF(B116="","",SUMIFS($L$5:$L$154,$D$5:$D$154,D116))</f>
        <v>0</v>
      </c>
      <c r="T116" s="31">
        <f>IF(B116="","",IF(O116="Yes",IF(L116&gt;5,"Check - avoidable and expensive","Check - avoidable"),"OK"))</f>
        <v>0</v>
      </c>
    </row>
    <row r="117" spans="1:20">
      <c r="A117" s="39">
        <f>IF(B117="","","W-"&amp;TEXT(ROW()-4,"0000"))</f>
        <v>0</v>
      </c>
      <c r="C117" s="18">
        <f>IF(B117="","",WEEKNUM(B117,IF(WeekStart="Sunday",1,2)))</f>
        <v>0</v>
      </c>
      <c r="D117" s="17">
        <f>IF(B117="","",TEXT(B117,"yyyy-mm"))</f>
        <v>0</v>
      </c>
      <c r="I117" s="45">
        <f>IF(G117="","",IFERROR(G117*INDEX(UnitFactors,MATCH(H117,UnitNames,0)),""))</f>
        <v>0</v>
      </c>
      <c r="J117" s="17">
        <f>IF(H117="","",IFERROR(INDEX(UnitBases,MATCH(H117,UnitNames,0)),"?"))</f>
        <v>0</v>
      </c>
      <c r="K117" s="25">
        <f>IF(E117="","",IFERROR(INDEX(Ingredients!$J$5:$J$304,MATCH(E117,Ingredients!$B$5:$B$304,0)),"Add to Ingredients"))</f>
        <v>0</v>
      </c>
      <c r="L117" s="25">
        <f>IF(OR(I117="",K117="",NOT(ISNUMBER(K117))),M117,I117*K117)</f>
        <v>0</v>
      </c>
      <c r="S117" s="25">
        <f>IF(B117="","",SUMIFS($L$5:$L$154,$D$5:$D$154,D117))</f>
        <v>0</v>
      </c>
      <c r="T117" s="31">
        <f>IF(B117="","",IF(O117="Yes",IF(L117&gt;5,"Check - avoidable and expensive","Check - avoidable"),"OK"))</f>
        <v>0</v>
      </c>
    </row>
    <row r="118" spans="1:20">
      <c r="A118" s="39">
        <f>IF(B118="","","W-"&amp;TEXT(ROW()-4,"0000"))</f>
        <v>0</v>
      </c>
      <c r="C118" s="18">
        <f>IF(B118="","",WEEKNUM(B118,IF(WeekStart="Sunday",1,2)))</f>
        <v>0</v>
      </c>
      <c r="D118" s="17">
        <f>IF(B118="","",TEXT(B118,"yyyy-mm"))</f>
        <v>0</v>
      </c>
      <c r="I118" s="45">
        <f>IF(G118="","",IFERROR(G118*INDEX(UnitFactors,MATCH(H118,UnitNames,0)),""))</f>
        <v>0</v>
      </c>
      <c r="J118" s="17">
        <f>IF(H118="","",IFERROR(INDEX(UnitBases,MATCH(H118,UnitNames,0)),"?"))</f>
        <v>0</v>
      </c>
      <c r="K118" s="25">
        <f>IF(E118="","",IFERROR(INDEX(Ingredients!$J$5:$J$304,MATCH(E118,Ingredients!$B$5:$B$304,0)),"Add to Ingredients"))</f>
        <v>0</v>
      </c>
      <c r="L118" s="25">
        <f>IF(OR(I118="",K118="",NOT(ISNUMBER(K118))),M118,I118*K118)</f>
        <v>0</v>
      </c>
      <c r="S118" s="25">
        <f>IF(B118="","",SUMIFS($L$5:$L$154,$D$5:$D$154,D118))</f>
        <v>0</v>
      </c>
      <c r="T118" s="31">
        <f>IF(B118="","",IF(O118="Yes",IF(L118&gt;5,"Check - avoidable and expensive","Check - avoidable"),"OK"))</f>
        <v>0</v>
      </c>
    </row>
    <row r="119" spans="1:20">
      <c r="A119" s="39">
        <f>IF(B119="","","W-"&amp;TEXT(ROW()-4,"0000"))</f>
        <v>0</v>
      </c>
      <c r="C119" s="18">
        <f>IF(B119="","",WEEKNUM(B119,IF(WeekStart="Sunday",1,2)))</f>
        <v>0</v>
      </c>
      <c r="D119" s="17">
        <f>IF(B119="","",TEXT(B119,"yyyy-mm"))</f>
        <v>0</v>
      </c>
      <c r="I119" s="45">
        <f>IF(G119="","",IFERROR(G119*INDEX(UnitFactors,MATCH(H119,UnitNames,0)),""))</f>
        <v>0</v>
      </c>
      <c r="J119" s="17">
        <f>IF(H119="","",IFERROR(INDEX(UnitBases,MATCH(H119,UnitNames,0)),"?"))</f>
        <v>0</v>
      </c>
      <c r="K119" s="25">
        <f>IF(E119="","",IFERROR(INDEX(Ingredients!$J$5:$J$304,MATCH(E119,Ingredients!$B$5:$B$304,0)),"Add to Ingredients"))</f>
        <v>0</v>
      </c>
      <c r="L119" s="25">
        <f>IF(OR(I119="",K119="",NOT(ISNUMBER(K119))),M119,I119*K119)</f>
        <v>0</v>
      </c>
      <c r="S119" s="25">
        <f>IF(B119="","",SUMIFS($L$5:$L$154,$D$5:$D$154,D119))</f>
        <v>0</v>
      </c>
      <c r="T119" s="31">
        <f>IF(B119="","",IF(O119="Yes",IF(L119&gt;5,"Check - avoidable and expensive","Check - avoidable"),"OK"))</f>
        <v>0</v>
      </c>
    </row>
    <row r="120" spans="1:20">
      <c r="A120" s="39">
        <f>IF(B120="","","W-"&amp;TEXT(ROW()-4,"0000"))</f>
        <v>0</v>
      </c>
      <c r="C120" s="18">
        <f>IF(B120="","",WEEKNUM(B120,IF(WeekStart="Sunday",1,2)))</f>
        <v>0</v>
      </c>
      <c r="D120" s="17">
        <f>IF(B120="","",TEXT(B120,"yyyy-mm"))</f>
        <v>0</v>
      </c>
      <c r="I120" s="45">
        <f>IF(G120="","",IFERROR(G120*INDEX(UnitFactors,MATCH(H120,UnitNames,0)),""))</f>
        <v>0</v>
      </c>
      <c r="J120" s="17">
        <f>IF(H120="","",IFERROR(INDEX(UnitBases,MATCH(H120,UnitNames,0)),"?"))</f>
        <v>0</v>
      </c>
      <c r="K120" s="25">
        <f>IF(E120="","",IFERROR(INDEX(Ingredients!$J$5:$J$304,MATCH(E120,Ingredients!$B$5:$B$304,0)),"Add to Ingredients"))</f>
        <v>0</v>
      </c>
      <c r="L120" s="25">
        <f>IF(OR(I120="",K120="",NOT(ISNUMBER(K120))),M120,I120*K120)</f>
        <v>0</v>
      </c>
      <c r="S120" s="25">
        <f>IF(B120="","",SUMIFS($L$5:$L$154,$D$5:$D$154,D120))</f>
        <v>0</v>
      </c>
      <c r="T120" s="31">
        <f>IF(B120="","",IF(O120="Yes",IF(L120&gt;5,"Check - avoidable and expensive","Check - avoidable"),"OK"))</f>
        <v>0</v>
      </c>
    </row>
    <row r="121" spans="1:20">
      <c r="A121" s="39">
        <f>IF(B121="","","W-"&amp;TEXT(ROW()-4,"0000"))</f>
        <v>0</v>
      </c>
      <c r="C121" s="18">
        <f>IF(B121="","",WEEKNUM(B121,IF(WeekStart="Sunday",1,2)))</f>
        <v>0</v>
      </c>
      <c r="D121" s="17">
        <f>IF(B121="","",TEXT(B121,"yyyy-mm"))</f>
        <v>0</v>
      </c>
      <c r="I121" s="45">
        <f>IF(G121="","",IFERROR(G121*INDEX(UnitFactors,MATCH(H121,UnitNames,0)),""))</f>
        <v>0</v>
      </c>
      <c r="J121" s="17">
        <f>IF(H121="","",IFERROR(INDEX(UnitBases,MATCH(H121,UnitNames,0)),"?"))</f>
        <v>0</v>
      </c>
      <c r="K121" s="25">
        <f>IF(E121="","",IFERROR(INDEX(Ingredients!$J$5:$J$304,MATCH(E121,Ingredients!$B$5:$B$304,0)),"Add to Ingredients"))</f>
        <v>0</v>
      </c>
      <c r="L121" s="25">
        <f>IF(OR(I121="",K121="",NOT(ISNUMBER(K121))),M121,I121*K121)</f>
        <v>0</v>
      </c>
      <c r="S121" s="25">
        <f>IF(B121="","",SUMIFS($L$5:$L$154,$D$5:$D$154,D121))</f>
        <v>0</v>
      </c>
      <c r="T121" s="31">
        <f>IF(B121="","",IF(O121="Yes",IF(L121&gt;5,"Check - avoidable and expensive","Check - avoidable"),"OK"))</f>
        <v>0</v>
      </c>
    </row>
    <row r="122" spans="1:20">
      <c r="A122" s="39">
        <f>IF(B122="","","W-"&amp;TEXT(ROW()-4,"0000"))</f>
        <v>0</v>
      </c>
      <c r="C122" s="18">
        <f>IF(B122="","",WEEKNUM(B122,IF(WeekStart="Sunday",1,2)))</f>
        <v>0</v>
      </c>
      <c r="D122" s="17">
        <f>IF(B122="","",TEXT(B122,"yyyy-mm"))</f>
        <v>0</v>
      </c>
      <c r="I122" s="45">
        <f>IF(G122="","",IFERROR(G122*INDEX(UnitFactors,MATCH(H122,UnitNames,0)),""))</f>
        <v>0</v>
      </c>
      <c r="J122" s="17">
        <f>IF(H122="","",IFERROR(INDEX(UnitBases,MATCH(H122,UnitNames,0)),"?"))</f>
        <v>0</v>
      </c>
      <c r="K122" s="25">
        <f>IF(E122="","",IFERROR(INDEX(Ingredients!$J$5:$J$304,MATCH(E122,Ingredients!$B$5:$B$304,0)),"Add to Ingredients"))</f>
        <v>0</v>
      </c>
      <c r="L122" s="25">
        <f>IF(OR(I122="",K122="",NOT(ISNUMBER(K122))),M122,I122*K122)</f>
        <v>0</v>
      </c>
      <c r="S122" s="25">
        <f>IF(B122="","",SUMIFS($L$5:$L$154,$D$5:$D$154,D122))</f>
        <v>0</v>
      </c>
      <c r="T122" s="31">
        <f>IF(B122="","",IF(O122="Yes",IF(L122&gt;5,"Check - avoidable and expensive","Check - avoidable"),"OK"))</f>
        <v>0</v>
      </c>
    </row>
    <row r="123" spans="1:20">
      <c r="A123" s="39">
        <f>IF(B123="","","W-"&amp;TEXT(ROW()-4,"0000"))</f>
        <v>0</v>
      </c>
      <c r="C123" s="18">
        <f>IF(B123="","",WEEKNUM(B123,IF(WeekStart="Sunday",1,2)))</f>
        <v>0</v>
      </c>
      <c r="D123" s="17">
        <f>IF(B123="","",TEXT(B123,"yyyy-mm"))</f>
        <v>0</v>
      </c>
      <c r="I123" s="45">
        <f>IF(G123="","",IFERROR(G123*INDEX(UnitFactors,MATCH(H123,UnitNames,0)),""))</f>
        <v>0</v>
      </c>
      <c r="J123" s="17">
        <f>IF(H123="","",IFERROR(INDEX(UnitBases,MATCH(H123,UnitNames,0)),"?"))</f>
        <v>0</v>
      </c>
      <c r="K123" s="25">
        <f>IF(E123="","",IFERROR(INDEX(Ingredients!$J$5:$J$304,MATCH(E123,Ingredients!$B$5:$B$304,0)),"Add to Ingredients"))</f>
        <v>0</v>
      </c>
      <c r="L123" s="25">
        <f>IF(OR(I123="",K123="",NOT(ISNUMBER(K123))),M123,I123*K123)</f>
        <v>0</v>
      </c>
      <c r="S123" s="25">
        <f>IF(B123="","",SUMIFS($L$5:$L$154,$D$5:$D$154,D123))</f>
        <v>0</v>
      </c>
      <c r="T123" s="31">
        <f>IF(B123="","",IF(O123="Yes",IF(L123&gt;5,"Check - avoidable and expensive","Check - avoidable"),"OK"))</f>
        <v>0</v>
      </c>
    </row>
    <row r="124" spans="1:20">
      <c r="A124" s="39">
        <f>IF(B124="","","W-"&amp;TEXT(ROW()-4,"0000"))</f>
        <v>0</v>
      </c>
      <c r="C124" s="18">
        <f>IF(B124="","",WEEKNUM(B124,IF(WeekStart="Sunday",1,2)))</f>
        <v>0</v>
      </c>
      <c r="D124" s="17">
        <f>IF(B124="","",TEXT(B124,"yyyy-mm"))</f>
        <v>0</v>
      </c>
      <c r="I124" s="45">
        <f>IF(G124="","",IFERROR(G124*INDEX(UnitFactors,MATCH(H124,UnitNames,0)),""))</f>
        <v>0</v>
      </c>
      <c r="J124" s="17">
        <f>IF(H124="","",IFERROR(INDEX(UnitBases,MATCH(H124,UnitNames,0)),"?"))</f>
        <v>0</v>
      </c>
      <c r="K124" s="25">
        <f>IF(E124="","",IFERROR(INDEX(Ingredients!$J$5:$J$304,MATCH(E124,Ingredients!$B$5:$B$304,0)),"Add to Ingredients"))</f>
        <v>0</v>
      </c>
      <c r="L124" s="25">
        <f>IF(OR(I124="",K124="",NOT(ISNUMBER(K124))),M124,I124*K124)</f>
        <v>0</v>
      </c>
      <c r="S124" s="25">
        <f>IF(B124="","",SUMIFS($L$5:$L$154,$D$5:$D$154,D124))</f>
        <v>0</v>
      </c>
      <c r="T124" s="31">
        <f>IF(B124="","",IF(O124="Yes",IF(L124&gt;5,"Check - avoidable and expensive","Check - avoidable"),"OK"))</f>
        <v>0</v>
      </c>
    </row>
    <row r="125" spans="1:20">
      <c r="A125" s="39">
        <f>IF(B125="","","W-"&amp;TEXT(ROW()-4,"0000"))</f>
        <v>0</v>
      </c>
      <c r="C125" s="18">
        <f>IF(B125="","",WEEKNUM(B125,IF(WeekStart="Sunday",1,2)))</f>
        <v>0</v>
      </c>
      <c r="D125" s="17">
        <f>IF(B125="","",TEXT(B125,"yyyy-mm"))</f>
        <v>0</v>
      </c>
      <c r="I125" s="45">
        <f>IF(G125="","",IFERROR(G125*INDEX(UnitFactors,MATCH(H125,UnitNames,0)),""))</f>
        <v>0</v>
      </c>
      <c r="J125" s="17">
        <f>IF(H125="","",IFERROR(INDEX(UnitBases,MATCH(H125,UnitNames,0)),"?"))</f>
        <v>0</v>
      </c>
      <c r="K125" s="25">
        <f>IF(E125="","",IFERROR(INDEX(Ingredients!$J$5:$J$304,MATCH(E125,Ingredients!$B$5:$B$304,0)),"Add to Ingredients"))</f>
        <v>0</v>
      </c>
      <c r="L125" s="25">
        <f>IF(OR(I125="",K125="",NOT(ISNUMBER(K125))),M125,I125*K125)</f>
        <v>0</v>
      </c>
      <c r="S125" s="25">
        <f>IF(B125="","",SUMIFS($L$5:$L$154,$D$5:$D$154,D125))</f>
        <v>0</v>
      </c>
      <c r="T125" s="31">
        <f>IF(B125="","",IF(O125="Yes",IF(L125&gt;5,"Check - avoidable and expensive","Check - avoidable"),"OK"))</f>
        <v>0</v>
      </c>
    </row>
    <row r="126" spans="1:20">
      <c r="A126" s="39">
        <f>IF(B126="","","W-"&amp;TEXT(ROW()-4,"0000"))</f>
        <v>0</v>
      </c>
      <c r="C126" s="18">
        <f>IF(B126="","",WEEKNUM(B126,IF(WeekStart="Sunday",1,2)))</f>
        <v>0</v>
      </c>
      <c r="D126" s="17">
        <f>IF(B126="","",TEXT(B126,"yyyy-mm"))</f>
        <v>0</v>
      </c>
      <c r="I126" s="45">
        <f>IF(G126="","",IFERROR(G126*INDEX(UnitFactors,MATCH(H126,UnitNames,0)),""))</f>
        <v>0</v>
      </c>
      <c r="J126" s="17">
        <f>IF(H126="","",IFERROR(INDEX(UnitBases,MATCH(H126,UnitNames,0)),"?"))</f>
        <v>0</v>
      </c>
      <c r="K126" s="25">
        <f>IF(E126="","",IFERROR(INDEX(Ingredients!$J$5:$J$304,MATCH(E126,Ingredients!$B$5:$B$304,0)),"Add to Ingredients"))</f>
        <v>0</v>
      </c>
      <c r="L126" s="25">
        <f>IF(OR(I126="",K126="",NOT(ISNUMBER(K126))),M126,I126*K126)</f>
        <v>0</v>
      </c>
      <c r="S126" s="25">
        <f>IF(B126="","",SUMIFS($L$5:$L$154,$D$5:$D$154,D126))</f>
        <v>0</v>
      </c>
      <c r="T126" s="31">
        <f>IF(B126="","",IF(O126="Yes",IF(L126&gt;5,"Check - avoidable and expensive","Check - avoidable"),"OK"))</f>
        <v>0</v>
      </c>
    </row>
    <row r="127" spans="1:20">
      <c r="A127" s="39">
        <f>IF(B127="","","W-"&amp;TEXT(ROW()-4,"0000"))</f>
        <v>0</v>
      </c>
      <c r="C127" s="18">
        <f>IF(B127="","",WEEKNUM(B127,IF(WeekStart="Sunday",1,2)))</f>
        <v>0</v>
      </c>
      <c r="D127" s="17">
        <f>IF(B127="","",TEXT(B127,"yyyy-mm"))</f>
        <v>0</v>
      </c>
      <c r="I127" s="45">
        <f>IF(G127="","",IFERROR(G127*INDEX(UnitFactors,MATCH(H127,UnitNames,0)),""))</f>
        <v>0</v>
      </c>
      <c r="J127" s="17">
        <f>IF(H127="","",IFERROR(INDEX(UnitBases,MATCH(H127,UnitNames,0)),"?"))</f>
        <v>0</v>
      </c>
      <c r="K127" s="25">
        <f>IF(E127="","",IFERROR(INDEX(Ingredients!$J$5:$J$304,MATCH(E127,Ingredients!$B$5:$B$304,0)),"Add to Ingredients"))</f>
        <v>0</v>
      </c>
      <c r="L127" s="25">
        <f>IF(OR(I127="",K127="",NOT(ISNUMBER(K127))),M127,I127*K127)</f>
        <v>0</v>
      </c>
      <c r="S127" s="25">
        <f>IF(B127="","",SUMIFS($L$5:$L$154,$D$5:$D$154,D127))</f>
        <v>0</v>
      </c>
      <c r="T127" s="31">
        <f>IF(B127="","",IF(O127="Yes",IF(L127&gt;5,"Check - avoidable and expensive","Check - avoidable"),"OK"))</f>
        <v>0</v>
      </c>
    </row>
    <row r="128" spans="1:20">
      <c r="A128" s="39">
        <f>IF(B128="","","W-"&amp;TEXT(ROW()-4,"0000"))</f>
        <v>0</v>
      </c>
      <c r="C128" s="18">
        <f>IF(B128="","",WEEKNUM(B128,IF(WeekStart="Sunday",1,2)))</f>
        <v>0</v>
      </c>
      <c r="D128" s="17">
        <f>IF(B128="","",TEXT(B128,"yyyy-mm"))</f>
        <v>0</v>
      </c>
      <c r="I128" s="45">
        <f>IF(G128="","",IFERROR(G128*INDEX(UnitFactors,MATCH(H128,UnitNames,0)),""))</f>
        <v>0</v>
      </c>
      <c r="J128" s="17">
        <f>IF(H128="","",IFERROR(INDEX(UnitBases,MATCH(H128,UnitNames,0)),"?"))</f>
        <v>0</v>
      </c>
      <c r="K128" s="25">
        <f>IF(E128="","",IFERROR(INDEX(Ingredients!$J$5:$J$304,MATCH(E128,Ingredients!$B$5:$B$304,0)),"Add to Ingredients"))</f>
        <v>0</v>
      </c>
      <c r="L128" s="25">
        <f>IF(OR(I128="",K128="",NOT(ISNUMBER(K128))),M128,I128*K128)</f>
        <v>0</v>
      </c>
      <c r="S128" s="25">
        <f>IF(B128="","",SUMIFS($L$5:$L$154,$D$5:$D$154,D128))</f>
        <v>0</v>
      </c>
      <c r="T128" s="31">
        <f>IF(B128="","",IF(O128="Yes",IF(L128&gt;5,"Check - avoidable and expensive","Check - avoidable"),"OK"))</f>
        <v>0</v>
      </c>
    </row>
    <row r="129" spans="1:20">
      <c r="A129" s="39">
        <f>IF(B129="","","W-"&amp;TEXT(ROW()-4,"0000"))</f>
        <v>0</v>
      </c>
      <c r="C129" s="18">
        <f>IF(B129="","",WEEKNUM(B129,IF(WeekStart="Sunday",1,2)))</f>
        <v>0</v>
      </c>
      <c r="D129" s="17">
        <f>IF(B129="","",TEXT(B129,"yyyy-mm"))</f>
        <v>0</v>
      </c>
      <c r="I129" s="45">
        <f>IF(G129="","",IFERROR(G129*INDEX(UnitFactors,MATCH(H129,UnitNames,0)),""))</f>
        <v>0</v>
      </c>
      <c r="J129" s="17">
        <f>IF(H129="","",IFERROR(INDEX(UnitBases,MATCH(H129,UnitNames,0)),"?"))</f>
        <v>0</v>
      </c>
      <c r="K129" s="25">
        <f>IF(E129="","",IFERROR(INDEX(Ingredients!$J$5:$J$304,MATCH(E129,Ingredients!$B$5:$B$304,0)),"Add to Ingredients"))</f>
        <v>0</v>
      </c>
      <c r="L129" s="25">
        <f>IF(OR(I129="",K129="",NOT(ISNUMBER(K129))),M129,I129*K129)</f>
        <v>0</v>
      </c>
      <c r="S129" s="25">
        <f>IF(B129="","",SUMIFS($L$5:$L$154,$D$5:$D$154,D129))</f>
        <v>0</v>
      </c>
      <c r="T129" s="31">
        <f>IF(B129="","",IF(O129="Yes",IF(L129&gt;5,"Check - avoidable and expensive","Check - avoidable"),"OK"))</f>
        <v>0</v>
      </c>
    </row>
    <row r="130" spans="1:20">
      <c r="A130" s="39">
        <f>IF(B130="","","W-"&amp;TEXT(ROW()-4,"0000"))</f>
        <v>0</v>
      </c>
      <c r="C130" s="18">
        <f>IF(B130="","",WEEKNUM(B130,IF(WeekStart="Sunday",1,2)))</f>
        <v>0</v>
      </c>
      <c r="D130" s="17">
        <f>IF(B130="","",TEXT(B130,"yyyy-mm"))</f>
        <v>0</v>
      </c>
      <c r="I130" s="45">
        <f>IF(G130="","",IFERROR(G130*INDEX(UnitFactors,MATCH(H130,UnitNames,0)),""))</f>
        <v>0</v>
      </c>
      <c r="J130" s="17">
        <f>IF(H130="","",IFERROR(INDEX(UnitBases,MATCH(H130,UnitNames,0)),"?"))</f>
        <v>0</v>
      </c>
      <c r="K130" s="25">
        <f>IF(E130="","",IFERROR(INDEX(Ingredients!$J$5:$J$304,MATCH(E130,Ingredients!$B$5:$B$304,0)),"Add to Ingredients"))</f>
        <v>0</v>
      </c>
      <c r="L130" s="25">
        <f>IF(OR(I130="",K130="",NOT(ISNUMBER(K130))),M130,I130*K130)</f>
        <v>0</v>
      </c>
      <c r="S130" s="25">
        <f>IF(B130="","",SUMIFS($L$5:$L$154,$D$5:$D$154,D130))</f>
        <v>0</v>
      </c>
      <c r="T130" s="31">
        <f>IF(B130="","",IF(O130="Yes",IF(L130&gt;5,"Check - avoidable and expensive","Check - avoidable"),"OK"))</f>
        <v>0</v>
      </c>
    </row>
    <row r="131" spans="1:20">
      <c r="A131" s="39">
        <f>IF(B131="","","W-"&amp;TEXT(ROW()-4,"0000"))</f>
        <v>0</v>
      </c>
      <c r="C131" s="18">
        <f>IF(B131="","",WEEKNUM(B131,IF(WeekStart="Sunday",1,2)))</f>
        <v>0</v>
      </c>
      <c r="D131" s="17">
        <f>IF(B131="","",TEXT(B131,"yyyy-mm"))</f>
        <v>0</v>
      </c>
      <c r="I131" s="45">
        <f>IF(G131="","",IFERROR(G131*INDEX(UnitFactors,MATCH(H131,UnitNames,0)),""))</f>
        <v>0</v>
      </c>
      <c r="J131" s="17">
        <f>IF(H131="","",IFERROR(INDEX(UnitBases,MATCH(H131,UnitNames,0)),"?"))</f>
        <v>0</v>
      </c>
      <c r="K131" s="25">
        <f>IF(E131="","",IFERROR(INDEX(Ingredients!$J$5:$J$304,MATCH(E131,Ingredients!$B$5:$B$304,0)),"Add to Ingredients"))</f>
        <v>0</v>
      </c>
      <c r="L131" s="25">
        <f>IF(OR(I131="",K131="",NOT(ISNUMBER(K131))),M131,I131*K131)</f>
        <v>0</v>
      </c>
      <c r="S131" s="25">
        <f>IF(B131="","",SUMIFS($L$5:$L$154,$D$5:$D$154,D131))</f>
        <v>0</v>
      </c>
      <c r="T131" s="31">
        <f>IF(B131="","",IF(O131="Yes",IF(L131&gt;5,"Check - avoidable and expensive","Check - avoidable"),"OK"))</f>
        <v>0</v>
      </c>
    </row>
    <row r="132" spans="1:20">
      <c r="A132" s="39">
        <f>IF(B132="","","W-"&amp;TEXT(ROW()-4,"0000"))</f>
        <v>0</v>
      </c>
      <c r="C132" s="18">
        <f>IF(B132="","",WEEKNUM(B132,IF(WeekStart="Sunday",1,2)))</f>
        <v>0</v>
      </c>
      <c r="D132" s="17">
        <f>IF(B132="","",TEXT(B132,"yyyy-mm"))</f>
        <v>0</v>
      </c>
      <c r="I132" s="45">
        <f>IF(G132="","",IFERROR(G132*INDEX(UnitFactors,MATCH(H132,UnitNames,0)),""))</f>
        <v>0</v>
      </c>
      <c r="J132" s="17">
        <f>IF(H132="","",IFERROR(INDEX(UnitBases,MATCH(H132,UnitNames,0)),"?"))</f>
        <v>0</v>
      </c>
      <c r="K132" s="25">
        <f>IF(E132="","",IFERROR(INDEX(Ingredients!$J$5:$J$304,MATCH(E132,Ingredients!$B$5:$B$304,0)),"Add to Ingredients"))</f>
        <v>0</v>
      </c>
      <c r="L132" s="25">
        <f>IF(OR(I132="",K132="",NOT(ISNUMBER(K132))),M132,I132*K132)</f>
        <v>0</v>
      </c>
      <c r="S132" s="25">
        <f>IF(B132="","",SUMIFS($L$5:$L$154,$D$5:$D$154,D132))</f>
        <v>0</v>
      </c>
      <c r="T132" s="31">
        <f>IF(B132="","",IF(O132="Yes",IF(L132&gt;5,"Check - avoidable and expensive","Check - avoidable"),"OK"))</f>
        <v>0</v>
      </c>
    </row>
    <row r="133" spans="1:20">
      <c r="A133" s="39">
        <f>IF(B133="","","W-"&amp;TEXT(ROW()-4,"0000"))</f>
        <v>0</v>
      </c>
      <c r="C133" s="18">
        <f>IF(B133="","",WEEKNUM(B133,IF(WeekStart="Sunday",1,2)))</f>
        <v>0</v>
      </c>
      <c r="D133" s="17">
        <f>IF(B133="","",TEXT(B133,"yyyy-mm"))</f>
        <v>0</v>
      </c>
      <c r="I133" s="45">
        <f>IF(G133="","",IFERROR(G133*INDEX(UnitFactors,MATCH(H133,UnitNames,0)),""))</f>
        <v>0</v>
      </c>
      <c r="J133" s="17">
        <f>IF(H133="","",IFERROR(INDEX(UnitBases,MATCH(H133,UnitNames,0)),"?"))</f>
        <v>0</v>
      </c>
      <c r="K133" s="25">
        <f>IF(E133="","",IFERROR(INDEX(Ingredients!$J$5:$J$304,MATCH(E133,Ingredients!$B$5:$B$304,0)),"Add to Ingredients"))</f>
        <v>0</v>
      </c>
      <c r="L133" s="25">
        <f>IF(OR(I133="",K133="",NOT(ISNUMBER(K133))),M133,I133*K133)</f>
        <v>0</v>
      </c>
      <c r="S133" s="25">
        <f>IF(B133="","",SUMIFS($L$5:$L$154,$D$5:$D$154,D133))</f>
        <v>0</v>
      </c>
      <c r="T133" s="31">
        <f>IF(B133="","",IF(O133="Yes",IF(L133&gt;5,"Check - avoidable and expensive","Check - avoidable"),"OK"))</f>
        <v>0</v>
      </c>
    </row>
    <row r="134" spans="1:20">
      <c r="A134" s="39">
        <f>IF(B134="","","W-"&amp;TEXT(ROW()-4,"0000"))</f>
        <v>0</v>
      </c>
      <c r="C134" s="18">
        <f>IF(B134="","",WEEKNUM(B134,IF(WeekStart="Sunday",1,2)))</f>
        <v>0</v>
      </c>
      <c r="D134" s="17">
        <f>IF(B134="","",TEXT(B134,"yyyy-mm"))</f>
        <v>0</v>
      </c>
      <c r="I134" s="45">
        <f>IF(G134="","",IFERROR(G134*INDEX(UnitFactors,MATCH(H134,UnitNames,0)),""))</f>
        <v>0</v>
      </c>
      <c r="J134" s="17">
        <f>IF(H134="","",IFERROR(INDEX(UnitBases,MATCH(H134,UnitNames,0)),"?"))</f>
        <v>0</v>
      </c>
      <c r="K134" s="25">
        <f>IF(E134="","",IFERROR(INDEX(Ingredients!$J$5:$J$304,MATCH(E134,Ingredients!$B$5:$B$304,0)),"Add to Ingredients"))</f>
        <v>0</v>
      </c>
      <c r="L134" s="25">
        <f>IF(OR(I134="",K134="",NOT(ISNUMBER(K134))),M134,I134*K134)</f>
        <v>0</v>
      </c>
      <c r="S134" s="25">
        <f>IF(B134="","",SUMIFS($L$5:$L$154,$D$5:$D$154,D134))</f>
        <v>0</v>
      </c>
      <c r="T134" s="31">
        <f>IF(B134="","",IF(O134="Yes",IF(L134&gt;5,"Check - avoidable and expensive","Check - avoidable"),"OK"))</f>
        <v>0</v>
      </c>
    </row>
    <row r="135" spans="1:20">
      <c r="A135" s="39">
        <f>IF(B135="","","W-"&amp;TEXT(ROW()-4,"0000"))</f>
        <v>0</v>
      </c>
      <c r="C135" s="18">
        <f>IF(B135="","",WEEKNUM(B135,IF(WeekStart="Sunday",1,2)))</f>
        <v>0</v>
      </c>
      <c r="D135" s="17">
        <f>IF(B135="","",TEXT(B135,"yyyy-mm"))</f>
        <v>0</v>
      </c>
      <c r="I135" s="45">
        <f>IF(G135="","",IFERROR(G135*INDEX(UnitFactors,MATCH(H135,UnitNames,0)),""))</f>
        <v>0</v>
      </c>
      <c r="J135" s="17">
        <f>IF(H135="","",IFERROR(INDEX(UnitBases,MATCH(H135,UnitNames,0)),"?"))</f>
        <v>0</v>
      </c>
      <c r="K135" s="25">
        <f>IF(E135="","",IFERROR(INDEX(Ingredients!$J$5:$J$304,MATCH(E135,Ingredients!$B$5:$B$304,0)),"Add to Ingredients"))</f>
        <v>0</v>
      </c>
      <c r="L135" s="25">
        <f>IF(OR(I135="",K135="",NOT(ISNUMBER(K135))),M135,I135*K135)</f>
        <v>0</v>
      </c>
      <c r="S135" s="25">
        <f>IF(B135="","",SUMIFS($L$5:$L$154,$D$5:$D$154,D135))</f>
        <v>0</v>
      </c>
      <c r="T135" s="31">
        <f>IF(B135="","",IF(O135="Yes",IF(L135&gt;5,"Check - avoidable and expensive","Check - avoidable"),"OK"))</f>
        <v>0</v>
      </c>
    </row>
    <row r="136" spans="1:20">
      <c r="A136" s="39">
        <f>IF(B136="","","W-"&amp;TEXT(ROW()-4,"0000"))</f>
        <v>0</v>
      </c>
      <c r="C136" s="18">
        <f>IF(B136="","",WEEKNUM(B136,IF(WeekStart="Sunday",1,2)))</f>
        <v>0</v>
      </c>
      <c r="D136" s="17">
        <f>IF(B136="","",TEXT(B136,"yyyy-mm"))</f>
        <v>0</v>
      </c>
      <c r="I136" s="45">
        <f>IF(G136="","",IFERROR(G136*INDEX(UnitFactors,MATCH(H136,UnitNames,0)),""))</f>
        <v>0</v>
      </c>
      <c r="J136" s="17">
        <f>IF(H136="","",IFERROR(INDEX(UnitBases,MATCH(H136,UnitNames,0)),"?"))</f>
        <v>0</v>
      </c>
      <c r="K136" s="25">
        <f>IF(E136="","",IFERROR(INDEX(Ingredients!$J$5:$J$304,MATCH(E136,Ingredients!$B$5:$B$304,0)),"Add to Ingredients"))</f>
        <v>0</v>
      </c>
      <c r="L136" s="25">
        <f>IF(OR(I136="",K136="",NOT(ISNUMBER(K136))),M136,I136*K136)</f>
        <v>0</v>
      </c>
      <c r="S136" s="25">
        <f>IF(B136="","",SUMIFS($L$5:$L$154,$D$5:$D$154,D136))</f>
        <v>0</v>
      </c>
      <c r="T136" s="31">
        <f>IF(B136="","",IF(O136="Yes",IF(L136&gt;5,"Check - avoidable and expensive","Check - avoidable"),"OK"))</f>
        <v>0</v>
      </c>
    </row>
    <row r="137" spans="1:20">
      <c r="A137" s="39">
        <f>IF(B137="","","W-"&amp;TEXT(ROW()-4,"0000"))</f>
        <v>0</v>
      </c>
      <c r="C137" s="18">
        <f>IF(B137="","",WEEKNUM(B137,IF(WeekStart="Sunday",1,2)))</f>
        <v>0</v>
      </c>
      <c r="D137" s="17">
        <f>IF(B137="","",TEXT(B137,"yyyy-mm"))</f>
        <v>0</v>
      </c>
      <c r="I137" s="45">
        <f>IF(G137="","",IFERROR(G137*INDEX(UnitFactors,MATCH(H137,UnitNames,0)),""))</f>
        <v>0</v>
      </c>
      <c r="J137" s="17">
        <f>IF(H137="","",IFERROR(INDEX(UnitBases,MATCH(H137,UnitNames,0)),"?"))</f>
        <v>0</v>
      </c>
      <c r="K137" s="25">
        <f>IF(E137="","",IFERROR(INDEX(Ingredients!$J$5:$J$304,MATCH(E137,Ingredients!$B$5:$B$304,0)),"Add to Ingredients"))</f>
        <v>0</v>
      </c>
      <c r="L137" s="25">
        <f>IF(OR(I137="",K137="",NOT(ISNUMBER(K137))),M137,I137*K137)</f>
        <v>0</v>
      </c>
      <c r="S137" s="25">
        <f>IF(B137="","",SUMIFS($L$5:$L$154,$D$5:$D$154,D137))</f>
        <v>0</v>
      </c>
      <c r="T137" s="31">
        <f>IF(B137="","",IF(O137="Yes",IF(L137&gt;5,"Check - avoidable and expensive","Check - avoidable"),"OK"))</f>
        <v>0</v>
      </c>
    </row>
    <row r="138" spans="1:20">
      <c r="A138" s="39">
        <f>IF(B138="","","W-"&amp;TEXT(ROW()-4,"0000"))</f>
        <v>0</v>
      </c>
      <c r="C138" s="18">
        <f>IF(B138="","",WEEKNUM(B138,IF(WeekStart="Sunday",1,2)))</f>
        <v>0</v>
      </c>
      <c r="D138" s="17">
        <f>IF(B138="","",TEXT(B138,"yyyy-mm"))</f>
        <v>0</v>
      </c>
      <c r="I138" s="45">
        <f>IF(G138="","",IFERROR(G138*INDEX(UnitFactors,MATCH(H138,UnitNames,0)),""))</f>
        <v>0</v>
      </c>
      <c r="J138" s="17">
        <f>IF(H138="","",IFERROR(INDEX(UnitBases,MATCH(H138,UnitNames,0)),"?"))</f>
        <v>0</v>
      </c>
      <c r="K138" s="25">
        <f>IF(E138="","",IFERROR(INDEX(Ingredients!$J$5:$J$304,MATCH(E138,Ingredients!$B$5:$B$304,0)),"Add to Ingredients"))</f>
        <v>0</v>
      </c>
      <c r="L138" s="25">
        <f>IF(OR(I138="",K138="",NOT(ISNUMBER(K138))),M138,I138*K138)</f>
        <v>0</v>
      </c>
      <c r="S138" s="25">
        <f>IF(B138="","",SUMIFS($L$5:$L$154,$D$5:$D$154,D138))</f>
        <v>0</v>
      </c>
      <c r="T138" s="31">
        <f>IF(B138="","",IF(O138="Yes",IF(L138&gt;5,"Check - avoidable and expensive","Check - avoidable"),"OK"))</f>
        <v>0</v>
      </c>
    </row>
    <row r="139" spans="1:20">
      <c r="A139" s="39">
        <f>IF(B139="","","W-"&amp;TEXT(ROW()-4,"0000"))</f>
        <v>0</v>
      </c>
      <c r="C139" s="18">
        <f>IF(B139="","",WEEKNUM(B139,IF(WeekStart="Sunday",1,2)))</f>
        <v>0</v>
      </c>
      <c r="D139" s="17">
        <f>IF(B139="","",TEXT(B139,"yyyy-mm"))</f>
        <v>0</v>
      </c>
      <c r="I139" s="45">
        <f>IF(G139="","",IFERROR(G139*INDEX(UnitFactors,MATCH(H139,UnitNames,0)),""))</f>
        <v>0</v>
      </c>
      <c r="J139" s="17">
        <f>IF(H139="","",IFERROR(INDEX(UnitBases,MATCH(H139,UnitNames,0)),"?"))</f>
        <v>0</v>
      </c>
      <c r="K139" s="25">
        <f>IF(E139="","",IFERROR(INDEX(Ingredients!$J$5:$J$304,MATCH(E139,Ingredients!$B$5:$B$304,0)),"Add to Ingredients"))</f>
        <v>0</v>
      </c>
      <c r="L139" s="25">
        <f>IF(OR(I139="",K139="",NOT(ISNUMBER(K139))),M139,I139*K139)</f>
        <v>0</v>
      </c>
      <c r="S139" s="25">
        <f>IF(B139="","",SUMIFS($L$5:$L$154,$D$5:$D$154,D139))</f>
        <v>0</v>
      </c>
      <c r="T139" s="31">
        <f>IF(B139="","",IF(O139="Yes",IF(L139&gt;5,"Check - avoidable and expensive","Check - avoidable"),"OK"))</f>
        <v>0</v>
      </c>
    </row>
    <row r="140" spans="1:20">
      <c r="A140" s="39">
        <f>IF(B140="","","W-"&amp;TEXT(ROW()-4,"0000"))</f>
        <v>0</v>
      </c>
      <c r="C140" s="18">
        <f>IF(B140="","",WEEKNUM(B140,IF(WeekStart="Sunday",1,2)))</f>
        <v>0</v>
      </c>
      <c r="D140" s="17">
        <f>IF(B140="","",TEXT(B140,"yyyy-mm"))</f>
        <v>0</v>
      </c>
      <c r="I140" s="45">
        <f>IF(G140="","",IFERROR(G140*INDEX(UnitFactors,MATCH(H140,UnitNames,0)),""))</f>
        <v>0</v>
      </c>
      <c r="J140" s="17">
        <f>IF(H140="","",IFERROR(INDEX(UnitBases,MATCH(H140,UnitNames,0)),"?"))</f>
        <v>0</v>
      </c>
      <c r="K140" s="25">
        <f>IF(E140="","",IFERROR(INDEX(Ingredients!$J$5:$J$304,MATCH(E140,Ingredients!$B$5:$B$304,0)),"Add to Ingredients"))</f>
        <v>0</v>
      </c>
      <c r="L140" s="25">
        <f>IF(OR(I140="",K140="",NOT(ISNUMBER(K140))),M140,I140*K140)</f>
        <v>0</v>
      </c>
      <c r="S140" s="25">
        <f>IF(B140="","",SUMIFS($L$5:$L$154,$D$5:$D$154,D140))</f>
        <v>0</v>
      </c>
      <c r="T140" s="31">
        <f>IF(B140="","",IF(O140="Yes",IF(L140&gt;5,"Check - avoidable and expensive","Check - avoidable"),"OK"))</f>
        <v>0</v>
      </c>
    </row>
    <row r="141" spans="1:20">
      <c r="A141" s="39">
        <f>IF(B141="","","W-"&amp;TEXT(ROW()-4,"0000"))</f>
        <v>0</v>
      </c>
      <c r="C141" s="18">
        <f>IF(B141="","",WEEKNUM(B141,IF(WeekStart="Sunday",1,2)))</f>
        <v>0</v>
      </c>
      <c r="D141" s="17">
        <f>IF(B141="","",TEXT(B141,"yyyy-mm"))</f>
        <v>0</v>
      </c>
      <c r="I141" s="45">
        <f>IF(G141="","",IFERROR(G141*INDEX(UnitFactors,MATCH(H141,UnitNames,0)),""))</f>
        <v>0</v>
      </c>
      <c r="J141" s="17">
        <f>IF(H141="","",IFERROR(INDEX(UnitBases,MATCH(H141,UnitNames,0)),"?"))</f>
        <v>0</v>
      </c>
      <c r="K141" s="25">
        <f>IF(E141="","",IFERROR(INDEX(Ingredients!$J$5:$J$304,MATCH(E141,Ingredients!$B$5:$B$304,0)),"Add to Ingredients"))</f>
        <v>0</v>
      </c>
      <c r="L141" s="25">
        <f>IF(OR(I141="",K141="",NOT(ISNUMBER(K141))),M141,I141*K141)</f>
        <v>0</v>
      </c>
      <c r="S141" s="25">
        <f>IF(B141="","",SUMIFS($L$5:$L$154,$D$5:$D$154,D141))</f>
        <v>0</v>
      </c>
      <c r="T141" s="31">
        <f>IF(B141="","",IF(O141="Yes",IF(L141&gt;5,"Check - avoidable and expensive","Check - avoidable"),"OK"))</f>
        <v>0</v>
      </c>
    </row>
    <row r="142" spans="1:20">
      <c r="A142" s="39">
        <f>IF(B142="","","W-"&amp;TEXT(ROW()-4,"0000"))</f>
        <v>0</v>
      </c>
      <c r="C142" s="18">
        <f>IF(B142="","",WEEKNUM(B142,IF(WeekStart="Sunday",1,2)))</f>
        <v>0</v>
      </c>
      <c r="D142" s="17">
        <f>IF(B142="","",TEXT(B142,"yyyy-mm"))</f>
        <v>0</v>
      </c>
      <c r="I142" s="45">
        <f>IF(G142="","",IFERROR(G142*INDEX(UnitFactors,MATCH(H142,UnitNames,0)),""))</f>
        <v>0</v>
      </c>
      <c r="J142" s="17">
        <f>IF(H142="","",IFERROR(INDEX(UnitBases,MATCH(H142,UnitNames,0)),"?"))</f>
        <v>0</v>
      </c>
      <c r="K142" s="25">
        <f>IF(E142="","",IFERROR(INDEX(Ingredients!$J$5:$J$304,MATCH(E142,Ingredients!$B$5:$B$304,0)),"Add to Ingredients"))</f>
        <v>0</v>
      </c>
      <c r="L142" s="25">
        <f>IF(OR(I142="",K142="",NOT(ISNUMBER(K142))),M142,I142*K142)</f>
        <v>0</v>
      </c>
      <c r="S142" s="25">
        <f>IF(B142="","",SUMIFS($L$5:$L$154,$D$5:$D$154,D142))</f>
        <v>0</v>
      </c>
      <c r="T142" s="31">
        <f>IF(B142="","",IF(O142="Yes",IF(L142&gt;5,"Check - avoidable and expensive","Check - avoidable"),"OK"))</f>
        <v>0</v>
      </c>
    </row>
    <row r="143" spans="1:20">
      <c r="A143" s="39">
        <f>IF(B143="","","W-"&amp;TEXT(ROW()-4,"0000"))</f>
        <v>0</v>
      </c>
      <c r="C143" s="18">
        <f>IF(B143="","",WEEKNUM(B143,IF(WeekStart="Sunday",1,2)))</f>
        <v>0</v>
      </c>
      <c r="D143" s="17">
        <f>IF(B143="","",TEXT(B143,"yyyy-mm"))</f>
        <v>0</v>
      </c>
      <c r="I143" s="45">
        <f>IF(G143="","",IFERROR(G143*INDEX(UnitFactors,MATCH(H143,UnitNames,0)),""))</f>
        <v>0</v>
      </c>
      <c r="J143" s="17">
        <f>IF(H143="","",IFERROR(INDEX(UnitBases,MATCH(H143,UnitNames,0)),"?"))</f>
        <v>0</v>
      </c>
      <c r="K143" s="25">
        <f>IF(E143="","",IFERROR(INDEX(Ingredients!$J$5:$J$304,MATCH(E143,Ingredients!$B$5:$B$304,0)),"Add to Ingredients"))</f>
        <v>0</v>
      </c>
      <c r="L143" s="25">
        <f>IF(OR(I143="",K143="",NOT(ISNUMBER(K143))),M143,I143*K143)</f>
        <v>0</v>
      </c>
      <c r="S143" s="25">
        <f>IF(B143="","",SUMIFS($L$5:$L$154,$D$5:$D$154,D143))</f>
        <v>0</v>
      </c>
      <c r="T143" s="31">
        <f>IF(B143="","",IF(O143="Yes",IF(L143&gt;5,"Check - avoidable and expensive","Check - avoidable"),"OK"))</f>
        <v>0</v>
      </c>
    </row>
    <row r="144" spans="1:20">
      <c r="A144" s="39">
        <f>IF(B144="","","W-"&amp;TEXT(ROW()-4,"0000"))</f>
        <v>0</v>
      </c>
      <c r="C144" s="18">
        <f>IF(B144="","",WEEKNUM(B144,IF(WeekStart="Sunday",1,2)))</f>
        <v>0</v>
      </c>
      <c r="D144" s="17">
        <f>IF(B144="","",TEXT(B144,"yyyy-mm"))</f>
        <v>0</v>
      </c>
      <c r="I144" s="45">
        <f>IF(G144="","",IFERROR(G144*INDEX(UnitFactors,MATCH(H144,UnitNames,0)),""))</f>
        <v>0</v>
      </c>
      <c r="J144" s="17">
        <f>IF(H144="","",IFERROR(INDEX(UnitBases,MATCH(H144,UnitNames,0)),"?"))</f>
        <v>0</v>
      </c>
      <c r="K144" s="25">
        <f>IF(E144="","",IFERROR(INDEX(Ingredients!$J$5:$J$304,MATCH(E144,Ingredients!$B$5:$B$304,0)),"Add to Ingredients"))</f>
        <v>0</v>
      </c>
      <c r="L144" s="25">
        <f>IF(OR(I144="",K144="",NOT(ISNUMBER(K144))),M144,I144*K144)</f>
        <v>0</v>
      </c>
      <c r="S144" s="25">
        <f>IF(B144="","",SUMIFS($L$5:$L$154,$D$5:$D$154,D144))</f>
        <v>0</v>
      </c>
      <c r="T144" s="31">
        <f>IF(B144="","",IF(O144="Yes",IF(L144&gt;5,"Check - avoidable and expensive","Check - avoidable"),"OK"))</f>
        <v>0</v>
      </c>
    </row>
    <row r="145" spans="1:20">
      <c r="A145" s="39">
        <f>IF(B145="","","W-"&amp;TEXT(ROW()-4,"0000"))</f>
        <v>0</v>
      </c>
      <c r="C145" s="18">
        <f>IF(B145="","",WEEKNUM(B145,IF(WeekStart="Sunday",1,2)))</f>
        <v>0</v>
      </c>
      <c r="D145" s="17">
        <f>IF(B145="","",TEXT(B145,"yyyy-mm"))</f>
        <v>0</v>
      </c>
      <c r="I145" s="45">
        <f>IF(G145="","",IFERROR(G145*INDEX(UnitFactors,MATCH(H145,UnitNames,0)),""))</f>
        <v>0</v>
      </c>
      <c r="J145" s="17">
        <f>IF(H145="","",IFERROR(INDEX(UnitBases,MATCH(H145,UnitNames,0)),"?"))</f>
        <v>0</v>
      </c>
      <c r="K145" s="25">
        <f>IF(E145="","",IFERROR(INDEX(Ingredients!$J$5:$J$304,MATCH(E145,Ingredients!$B$5:$B$304,0)),"Add to Ingredients"))</f>
        <v>0</v>
      </c>
      <c r="L145" s="25">
        <f>IF(OR(I145="",K145="",NOT(ISNUMBER(K145))),M145,I145*K145)</f>
        <v>0</v>
      </c>
      <c r="S145" s="25">
        <f>IF(B145="","",SUMIFS($L$5:$L$154,$D$5:$D$154,D145))</f>
        <v>0</v>
      </c>
      <c r="T145" s="31">
        <f>IF(B145="","",IF(O145="Yes",IF(L145&gt;5,"Check - avoidable and expensive","Check - avoidable"),"OK"))</f>
        <v>0</v>
      </c>
    </row>
    <row r="146" spans="1:20">
      <c r="A146" s="39">
        <f>IF(B146="","","W-"&amp;TEXT(ROW()-4,"0000"))</f>
        <v>0</v>
      </c>
      <c r="C146" s="18">
        <f>IF(B146="","",WEEKNUM(B146,IF(WeekStart="Sunday",1,2)))</f>
        <v>0</v>
      </c>
      <c r="D146" s="17">
        <f>IF(B146="","",TEXT(B146,"yyyy-mm"))</f>
        <v>0</v>
      </c>
      <c r="I146" s="45">
        <f>IF(G146="","",IFERROR(G146*INDEX(UnitFactors,MATCH(H146,UnitNames,0)),""))</f>
        <v>0</v>
      </c>
      <c r="J146" s="17">
        <f>IF(H146="","",IFERROR(INDEX(UnitBases,MATCH(H146,UnitNames,0)),"?"))</f>
        <v>0</v>
      </c>
      <c r="K146" s="25">
        <f>IF(E146="","",IFERROR(INDEX(Ingredients!$J$5:$J$304,MATCH(E146,Ingredients!$B$5:$B$304,0)),"Add to Ingredients"))</f>
        <v>0</v>
      </c>
      <c r="L146" s="25">
        <f>IF(OR(I146="",K146="",NOT(ISNUMBER(K146))),M146,I146*K146)</f>
        <v>0</v>
      </c>
      <c r="S146" s="25">
        <f>IF(B146="","",SUMIFS($L$5:$L$154,$D$5:$D$154,D146))</f>
        <v>0</v>
      </c>
      <c r="T146" s="31">
        <f>IF(B146="","",IF(O146="Yes",IF(L146&gt;5,"Check - avoidable and expensive","Check - avoidable"),"OK"))</f>
        <v>0</v>
      </c>
    </row>
    <row r="147" spans="1:20">
      <c r="A147" s="39">
        <f>IF(B147="","","W-"&amp;TEXT(ROW()-4,"0000"))</f>
        <v>0</v>
      </c>
      <c r="C147" s="18">
        <f>IF(B147="","",WEEKNUM(B147,IF(WeekStart="Sunday",1,2)))</f>
        <v>0</v>
      </c>
      <c r="D147" s="17">
        <f>IF(B147="","",TEXT(B147,"yyyy-mm"))</f>
        <v>0</v>
      </c>
      <c r="I147" s="45">
        <f>IF(G147="","",IFERROR(G147*INDEX(UnitFactors,MATCH(H147,UnitNames,0)),""))</f>
        <v>0</v>
      </c>
      <c r="J147" s="17">
        <f>IF(H147="","",IFERROR(INDEX(UnitBases,MATCH(H147,UnitNames,0)),"?"))</f>
        <v>0</v>
      </c>
      <c r="K147" s="25">
        <f>IF(E147="","",IFERROR(INDEX(Ingredients!$J$5:$J$304,MATCH(E147,Ingredients!$B$5:$B$304,0)),"Add to Ingredients"))</f>
        <v>0</v>
      </c>
      <c r="L147" s="25">
        <f>IF(OR(I147="",K147="",NOT(ISNUMBER(K147))),M147,I147*K147)</f>
        <v>0</v>
      </c>
      <c r="S147" s="25">
        <f>IF(B147="","",SUMIFS($L$5:$L$154,$D$5:$D$154,D147))</f>
        <v>0</v>
      </c>
      <c r="T147" s="31">
        <f>IF(B147="","",IF(O147="Yes",IF(L147&gt;5,"Check - avoidable and expensive","Check - avoidable"),"OK"))</f>
        <v>0</v>
      </c>
    </row>
    <row r="148" spans="1:20">
      <c r="A148" s="39">
        <f>IF(B148="","","W-"&amp;TEXT(ROW()-4,"0000"))</f>
        <v>0</v>
      </c>
      <c r="C148" s="18">
        <f>IF(B148="","",WEEKNUM(B148,IF(WeekStart="Sunday",1,2)))</f>
        <v>0</v>
      </c>
      <c r="D148" s="17">
        <f>IF(B148="","",TEXT(B148,"yyyy-mm"))</f>
        <v>0</v>
      </c>
      <c r="I148" s="45">
        <f>IF(G148="","",IFERROR(G148*INDEX(UnitFactors,MATCH(H148,UnitNames,0)),""))</f>
        <v>0</v>
      </c>
      <c r="J148" s="17">
        <f>IF(H148="","",IFERROR(INDEX(UnitBases,MATCH(H148,UnitNames,0)),"?"))</f>
        <v>0</v>
      </c>
      <c r="K148" s="25">
        <f>IF(E148="","",IFERROR(INDEX(Ingredients!$J$5:$J$304,MATCH(E148,Ingredients!$B$5:$B$304,0)),"Add to Ingredients"))</f>
        <v>0</v>
      </c>
      <c r="L148" s="25">
        <f>IF(OR(I148="",K148="",NOT(ISNUMBER(K148))),M148,I148*K148)</f>
        <v>0</v>
      </c>
      <c r="S148" s="25">
        <f>IF(B148="","",SUMIFS($L$5:$L$154,$D$5:$D$154,D148))</f>
        <v>0</v>
      </c>
      <c r="T148" s="31">
        <f>IF(B148="","",IF(O148="Yes",IF(L148&gt;5,"Check - avoidable and expensive","Check - avoidable"),"OK"))</f>
        <v>0</v>
      </c>
    </row>
    <row r="149" spans="1:20">
      <c r="A149" s="39">
        <f>IF(B149="","","W-"&amp;TEXT(ROW()-4,"0000"))</f>
        <v>0</v>
      </c>
      <c r="C149" s="18">
        <f>IF(B149="","",WEEKNUM(B149,IF(WeekStart="Sunday",1,2)))</f>
        <v>0</v>
      </c>
      <c r="D149" s="17">
        <f>IF(B149="","",TEXT(B149,"yyyy-mm"))</f>
        <v>0</v>
      </c>
      <c r="I149" s="45">
        <f>IF(G149="","",IFERROR(G149*INDEX(UnitFactors,MATCH(H149,UnitNames,0)),""))</f>
        <v>0</v>
      </c>
      <c r="J149" s="17">
        <f>IF(H149="","",IFERROR(INDEX(UnitBases,MATCH(H149,UnitNames,0)),"?"))</f>
        <v>0</v>
      </c>
      <c r="K149" s="25">
        <f>IF(E149="","",IFERROR(INDEX(Ingredients!$J$5:$J$304,MATCH(E149,Ingredients!$B$5:$B$304,0)),"Add to Ingredients"))</f>
        <v>0</v>
      </c>
      <c r="L149" s="25">
        <f>IF(OR(I149="",K149="",NOT(ISNUMBER(K149))),M149,I149*K149)</f>
        <v>0</v>
      </c>
      <c r="S149" s="25">
        <f>IF(B149="","",SUMIFS($L$5:$L$154,$D$5:$D$154,D149))</f>
        <v>0</v>
      </c>
      <c r="T149" s="31">
        <f>IF(B149="","",IF(O149="Yes",IF(L149&gt;5,"Check - avoidable and expensive","Check - avoidable"),"OK"))</f>
        <v>0</v>
      </c>
    </row>
    <row r="150" spans="1:20">
      <c r="A150" s="39">
        <f>IF(B150="","","W-"&amp;TEXT(ROW()-4,"0000"))</f>
        <v>0</v>
      </c>
      <c r="C150" s="18">
        <f>IF(B150="","",WEEKNUM(B150,IF(WeekStart="Sunday",1,2)))</f>
        <v>0</v>
      </c>
      <c r="D150" s="17">
        <f>IF(B150="","",TEXT(B150,"yyyy-mm"))</f>
        <v>0</v>
      </c>
      <c r="I150" s="45">
        <f>IF(G150="","",IFERROR(G150*INDEX(UnitFactors,MATCH(H150,UnitNames,0)),""))</f>
        <v>0</v>
      </c>
      <c r="J150" s="17">
        <f>IF(H150="","",IFERROR(INDEX(UnitBases,MATCH(H150,UnitNames,0)),"?"))</f>
        <v>0</v>
      </c>
      <c r="K150" s="25">
        <f>IF(E150="","",IFERROR(INDEX(Ingredients!$J$5:$J$304,MATCH(E150,Ingredients!$B$5:$B$304,0)),"Add to Ingredients"))</f>
        <v>0</v>
      </c>
      <c r="L150" s="25">
        <f>IF(OR(I150="",K150="",NOT(ISNUMBER(K150))),M150,I150*K150)</f>
        <v>0</v>
      </c>
      <c r="S150" s="25">
        <f>IF(B150="","",SUMIFS($L$5:$L$154,$D$5:$D$154,D150))</f>
        <v>0</v>
      </c>
      <c r="T150" s="31">
        <f>IF(B150="","",IF(O150="Yes",IF(L150&gt;5,"Check - avoidable and expensive","Check - avoidable"),"OK"))</f>
        <v>0</v>
      </c>
    </row>
    <row r="151" spans="1:20">
      <c r="A151" s="39">
        <f>IF(B151="","","W-"&amp;TEXT(ROW()-4,"0000"))</f>
        <v>0</v>
      </c>
      <c r="C151" s="18">
        <f>IF(B151="","",WEEKNUM(B151,IF(WeekStart="Sunday",1,2)))</f>
        <v>0</v>
      </c>
      <c r="D151" s="17">
        <f>IF(B151="","",TEXT(B151,"yyyy-mm"))</f>
        <v>0</v>
      </c>
      <c r="I151" s="45">
        <f>IF(G151="","",IFERROR(G151*INDEX(UnitFactors,MATCH(H151,UnitNames,0)),""))</f>
        <v>0</v>
      </c>
      <c r="J151" s="17">
        <f>IF(H151="","",IFERROR(INDEX(UnitBases,MATCH(H151,UnitNames,0)),"?"))</f>
        <v>0</v>
      </c>
      <c r="K151" s="25">
        <f>IF(E151="","",IFERROR(INDEX(Ingredients!$J$5:$J$304,MATCH(E151,Ingredients!$B$5:$B$304,0)),"Add to Ingredients"))</f>
        <v>0</v>
      </c>
      <c r="L151" s="25">
        <f>IF(OR(I151="",K151="",NOT(ISNUMBER(K151))),M151,I151*K151)</f>
        <v>0</v>
      </c>
      <c r="S151" s="25">
        <f>IF(B151="","",SUMIFS($L$5:$L$154,$D$5:$D$154,D151))</f>
        <v>0</v>
      </c>
      <c r="T151" s="31">
        <f>IF(B151="","",IF(O151="Yes",IF(L151&gt;5,"Check - avoidable and expensive","Check - avoidable"),"OK"))</f>
        <v>0</v>
      </c>
    </row>
    <row r="152" spans="1:20">
      <c r="A152" s="39">
        <f>IF(B152="","","W-"&amp;TEXT(ROW()-4,"0000"))</f>
        <v>0</v>
      </c>
      <c r="C152" s="18">
        <f>IF(B152="","",WEEKNUM(B152,IF(WeekStart="Sunday",1,2)))</f>
        <v>0</v>
      </c>
      <c r="D152" s="17">
        <f>IF(B152="","",TEXT(B152,"yyyy-mm"))</f>
        <v>0</v>
      </c>
      <c r="I152" s="45">
        <f>IF(G152="","",IFERROR(G152*INDEX(UnitFactors,MATCH(H152,UnitNames,0)),""))</f>
        <v>0</v>
      </c>
      <c r="J152" s="17">
        <f>IF(H152="","",IFERROR(INDEX(UnitBases,MATCH(H152,UnitNames,0)),"?"))</f>
        <v>0</v>
      </c>
      <c r="K152" s="25">
        <f>IF(E152="","",IFERROR(INDEX(Ingredients!$J$5:$J$304,MATCH(E152,Ingredients!$B$5:$B$304,0)),"Add to Ingredients"))</f>
        <v>0</v>
      </c>
      <c r="L152" s="25">
        <f>IF(OR(I152="",K152="",NOT(ISNUMBER(K152))),M152,I152*K152)</f>
        <v>0</v>
      </c>
      <c r="S152" s="25">
        <f>IF(B152="","",SUMIFS($L$5:$L$154,$D$5:$D$154,D152))</f>
        <v>0</v>
      </c>
      <c r="T152" s="31">
        <f>IF(B152="","",IF(O152="Yes",IF(L152&gt;5,"Check - avoidable and expensive","Check - avoidable"),"OK"))</f>
        <v>0</v>
      </c>
    </row>
    <row r="153" spans="1:20">
      <c r="A153" s="39">
        <f>IF(B153="","","W-"&amp;TEXT(ROW()-4,"0000"))</f>
        <v>0</v>
      </c>
      <c r="C153" s="18">
        <f>IF(B153="","",WEEKNUM(B153,IF(WeekStart="Sunday",1,2)))</f>
        <v>0</v>
      </c>
      <c r="D153" s="17">
        <f>IF(B153="","",TEXT(B153,"yyyy-mm"))</f>
        <v>0</v>
      </c>
      <c r="I153" s="45">
        <f>IF(G153="","",IFERROR(G153*INDEX(UnitFactors,MATCH(H153,UnitNames,0)),""))</f>
        <v>0</v>
      </c>
      <c r="J153" s="17">
        <f>IF(H153="","",IFERROR(INDEX(UnitBases,MATCH(H153,UnitNames,0)),"?"))</f>
        <v>0</v>
      </c>
      <c r="K153" s="25">
        <f>IF(E153="","",IFERROR(INDEX(Ingredients!$J$5:$J$304,MATCH(E153,Ingredients!$B$5:$B$304,0)),"Add to Ingredients"))</f>
        <v>0</v>
      </c>
      <c r="L153" s="25">
        <f>IF(OR(I153="",K153="",NOT(ISNUMBER(K153))),M153,I153*K153)</f>
        <v>0</v>
      </c>
      <c r="S153" s="25">
        <f>IF(B153="","",SUMIFS($L$5:$L$154,$D$5:$D$154,D153))</f>
        <v>0</v>
      </c>
      <c r="T153" s="31">
        <f>IF(B153="","",IF(O153="Yes",IF(L153&gt;5,"Check - avoidable and expensive","Check - avoidable"),"OK"))</f>
        <v>0</v>
      </c>
    </row>
    <row r="154" spans="1:20">
      <c r="A154" s="39">
        <f>IF(B154="","","W-"&amp;TEXT(ROW()-4,"0000"))</f>
        <v>0</v>
      </c>
      <c r="C154" s="18">
        <f>IF(B154="","",WEEKNUM(B154,IF(WeekStart="Sunday",1,2)))</f>
        <v>0</v>
      </c>
      <c r="D154" s="17">
        <f>IF(B154="","",TEXT(B154,"yyyy-mm"))</f>
        <v>0</v>
      </c>
      <c r="I154" s="45">
        <f>IF(G154="","",IFERROR(G154*INDEX(UnitFactors,MATCH(H154,UnitNames,0)),""))</f>
        <v>0</v>
      </c>
      <c r="J154" s="17">
        <f>IF(H154="","",IFERROR(INDEX(UnitBases,MATCH(H154,UnitNames,0)),"?"))</f>
        <v>0</v>
      </c>
      <c r="K154" s="25">
        <f>IF(E154="","",IFERROR(INDEX(Ingredients!$J$5:$J$304,MATCH(E154,Ingredients!$B$5:$B$304,0)),"Add to Ingredients"))</f>
        <v>0</v>
      </c>
      <c r="L154" s="25">
        <f>IF(OR(I154="",K154="",NOT(ISNUMBER(K154))),M154,I154*K154)</f>
        <v>0</v>
      </c>
      <c r="S154" s="25">
        <f>IF(B154="","",SUMIFS($L$5:$L$154,$D$5:$D$154,D154))</f>
        <v>0</v>
      </c>
      <c r="T154" s="31">
        <f>IF(B154="","",IF(O154="Yes",IF(L154&gt;5,"Check - avoidable and expensive","Check - avoidable"),"OK"))</f>
        <v>0</v>
      </c>
    </row>
    <row r="156" spans="1:20" ht="20" customHeight="1">
      <c r="A156" s="7" t="s">
        <v>1183</v>
      </c>
      <c r="B156" s="7"/>
      <c r="C156" s="7"/>
      <c r="D156" s="7"/>
      <c r="E156" s="7"/>
      <c r="F156" s="7"/>
      <c r="G156" s="7"/>
      <c r="H156" s="7"/>
      <c r="I156" s="7"/>
      <c r="J156" s="7"/>
      <c r="K156" s="7"/>
      <c r="L156" s="7"/>
      <c r="M156" s="7"/>
      <c r="N156" s="7"/>
      <c r="O156" s="7"/>
      <c r="P156" s="7"/>
      <c r="Q156" s="7"/>
      <c r="R156" s="7"/>
      <c r="S156" s="7"/>
      <c r="T156" s="7"/>
    </row>
    <row r="157" spans="1:20" ht="26" customHeight="1">
      <c r="A157" s="8" t="s">
        <v>1184</v>
      </c>
      <c r="B157" s="9" t="s">
        <v>1185</v>
      </c>
      <c r="C157" s="9" t="s">
        <v>1186</v>
      </c>
      <c r="D157" s="9" t="s">
        <v>1187</v>
      </c>
      <c r="E157" s="9" t="s">
        <v>1188</v>
      </c>
      <c r="F157" s="9" t="s">
        <v>1189</v>
      </c>
      <c r="G157" s="9" t="s">
        <v>1190</v>
      </c>
    </row>
    <row r="158" spans="1:20">
      <c r="A158" s="18">
        <f>COUNTIF('Food Waste'!$B$5:$B$154,"&gt;0")</f>
        <v>0</v>
      </c>
      <c r="B158" s="25">
        <f>SUM('Food Waste'!$L$5:$L$154)</f>
        <v>0</v>
      </c>
      <c r="C158" s="25">
        <f>SUMIFS('Food Waste'!$L$5:$L$154,'Food Waste'!$D$5:$D$154,TEXT(TODAY(),"yyyy-mm"))</f>
        <v>0</v>
      </c>
      <c r="D158" s="50">
        <f>IFERROR(SUMIFS('Food Waste'!$L$5:$L$154,'Food Waste'!$O$5:$O$154,"Yes")/SUM('Food Waste'!$L$5:$L$154),"")</f>
        <v>0</v>
      </c>
      <c r="E158" s="25">
        <f>SUMIFS('Food Waste'!$L$5:$L$154,'Food Waste'!$D$5:$D$154,TEXT(TODAY(),"yyyy-mm"))*12</f>
        <v>0</v>
      </c>
      <c r="F158" s="25">
        <f>WasteCostTarget</f>
        <v>0</v>
      </c>
      <c r="G158" s="25">
        <f>WasteCostTarget-SUMIFS('Food Waste'!$L$5:$L$154,'Food Waste'!$D$5:$D$154,TEXT(TODAY(),"yyyy-mm"))</f>
        <v>0</v>
      </c>
    </row>
  </sheetData>
  <sheetProtection password="EC7C" sheet="1" objects="1" scenarios="1" formatCells="0" formatColumns="0" formatRows="0" insertRows="0" insertHyperlinks="0" deleteRows="0" autoFilter="0"/>
  <autoFilter ref="A4:T154"/>
  <mergeCells count="14">
    <mergeCell ref="A1:Q1"/>
    <mergeCell ref="R1:T1"/>
    <mergeCell ref="A2:T2"/>
    <mergeCell ref="A3:B3"/>
    <mergeCell ref="C3:D3"/>
    <mergeCell ref="E3:F3"/>
    <mergeCell ref="G3:H3"/>
    <mergeCell ref="I3:J3"/>
    <mergeCell ref="K3:L3"/>
    <mergeCell ref="M3:N3"/>
    <mergeCell ref="O3:P3"/>
    <mergeCell ref="Q3:R3"/>
    <mergeCell ref="S3:T3"/>
    <mergeCell ref="A156:T156"/>
  </mergeCells>
  <conditionalFormatting sqref="G158">
    <cfRule type="cellIs" dxfId="2" priority="14" operator="lessThan">
      <formula>0</formula>
    </cfRule>
    <cfRule type="cellIs" dxfId="1" priority="15" operator="greaterThanOrEqual">
      <formula>0</formula>
    </cfRule>
  </conditionalFormatting>
  <conditionalFormatting sqref="T5:T154">
    <cfRule type="beginsWith" dxfId="1" priority="1" operator="beginsWith" text="OK">
      <formula>LEFT(T5,2)="OK"</formula>
    </cfRule>
    <cfRule type="containsText" dxfId="2" priority="2" operator="containsText" text="Overdue">
      <formula>NOT(ISERROR(SEARCH("Overdue",T5)))</formula>
    </cfRule>
    <cfRule type="containsText" dxfId="2" priority="3" operator="containsText" text="Late">
      <formula>NOT(ISERROR(SEARCH("Late",T5)))</formula>
    </cfRule>
    <cfRule type="containsText" dxfId="2" priority="4" operator="containsText" text="Missing">
      <formula>NOT(ISERROR(SEARCH("Missing",T5)))</formula>
    </cfRule>
    <cfRule type="containsText" dxfId="2" priority="5" operator="containsText" text="Conflict">
      <formula>NOT(ISERROR(SEARCH("Conflict",T5)))</formula>
    </cfRule>
    <cfRule type="containsText" dxfId="2" priority="6" operator="containsText" text="Expired">
      <formula>NOT(ISERROR(SEARCH("Expired",T5)))</formula>
    </cfRule>
    <cfRule type="containsText" dxfId="2" priority="7" operator="containsText" text="Duplicate">
      <formula>NOT(ISERROR(SEARCH("Duplicate",T5)))</formula>
    </cfRule>
    <cfRule type="containsText" dxfId="0" priority="8" operator="containsText" text="Action">
      <formula>NOT(ISERROR(SEARCH("Action",T5)))</formula>
    </cfRule>
    <cfRule type="containsText" dxfId="0" priority="9" operator="containsText" text="Due">
      <formula>NOT(ISERROR(SEARCH("Due",T5)))</formula>
    </cfRule>
    <cfRule type="containsText" dxfId="0" priority="10" operator="containsText" text="Check">
      <formula>NOT(ISERROR(SEARCH("Check",T5)))</formula>
    </cfRule>
    <cfRule type="containsText" dxfId="0" priority="11" operator="containsText" text="Add">
      <formula>NOT(ISERROR(SEARCH("Add",T5)))</formula>
    </cfRule>
    <cfRule type="containsText" dxfId="4" priority="12" operator="containsText" text="Today">
      <formula>NOT(ISERROR(SEARCH("Today",T5)))</formula>
    </cfRule>
    <cfRule type="containsText" dxfId="4" priority="13" operator="containsText" text="Upcoming">
      <formula>NOT(ISERROR(SEARCH("Upcoming",T5)))</formula>
    </cfRule>
  </conditionalFormatting>
  <dataValidations count="9">
    <dataValidation type="date" allowBlank="1" showInputMessage="1" showErrorMessage="1" errorTitle="Check the date" error="Enter a real date between 2000 and 2100." sqref="B5:B154">
      <formula1>36526</formula1>
      <formula2>73415</formula2>
    </dataValidation>
    <dataValidation type="list" allowBlank="1" showInputMessage="1" showErrorMessage="1" promptTitle="What went in the bin" prompt="Pick an ingredient where you can - it prices the waste for you." sqref="E5:E154">
      <formula1>IngredientNames</formula1>
    </dataValidation>
    <dataValidation type="decimal" allowBlank="1" showInputMessage="1" showErrorMessage="1" errorTitle="Check the value" error="Enter a number between 0 and 100000." sqref="G5:G154">
      <formula1>0</formula1>
      <formula2>100000</formula2>
    </dataValidation>
    <dataValidation type="list" allowBlank="1" showInputMessage="1" showErrorMessage="1" sqref="H5:H154">
      <formula1>UnitList</formula1>
    </dataValidation>
    <dataValidation type="decimal" allowBlank="1" showInputMessage="1" showErrorMessage="1" errorTitle="Check the value" error="Enter a number between 0 and 10000." promptTitle="Your estimate" prompt="Use this for anything not in the price book." sqref="M5:M154">
      <formula1>0</formula1>
      <formula2>10000</formula2>
    </dataValidation>
    <dataValidation type="list" allowBlank="1" showInputMessage="1" showErrorMessage="1" promptTitle="Why" prompt="Be honest. The pattern in this column is the whole point of the tab." sqref="N5:N154">
      <formula1>WasteReasonList</formula1>
    </dataValidation>
    <dataValidation type="list" allowBlank="1" showInputMessage="1" showErrorMessage="1" promptTitle="Avoidable?" prompt="Peelings and bones are not. A forgotten bag of spinach is." sqref="O5:O154">
      <formula1>YesNoList</formula1>
    </dataValidation>
    <dataValidation type="list" allowBlank="1" showInputMessage="1" showErrorMessage="1" sqref="P5:P154">
      <formula1>StorageList</formula1>
    </dataValidation>
    <dataValidation type="list" allowBlank="1" showInputMessage="1" showErrorMessage="1" promptTitle="How it was thrown" prompt="Compost and food waste collections are better than landfill, but not buying it is better still." sqref="Q5:Q154">
      <formula1>DisposalList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&amp;L&amp;"Calibri,Bold"&amp;12&amp;C&amp;"Calibri,Bold"&amp;11Food Waste&amp;R&amp;"Calibri,Italic"&amp;9Automated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4E8A63"/>
    <pageSetUpPr fitToPage="1"/>
  </sheetPr>
  <dimension ref="A1:Y12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26.7109375" style="32" customWidth="1"/>
    <col min="3" max="3" width="11.7109375" style="15" customWidth="1"/>
    <col min="4" max="4" width="9.7109375" style="17" customWidth="1"/>
    <col min="5" max="5" width="11.7109375" style="32" customWidth="1"/>
    <col min="6" max="6" width="24.7109375" style="17" customWidth="1"/>
    <col min="7" max="7" width="9.7109375" style="38" customWidth="1"/>
    <col min="8" max="8" width="10.7109375" style="18" hidden="1" customWidth="1"/>
    <col min="9" max="9" width="11.7109375" style="45" customWidth="1"/>
    <col min="10" max="10" width="10.7109375" style="18" hidden="1" customWidth="1"/>
    <col min="11" max="11" width="11.7109375" style="35" customWidth="1"/>
    <col min="12" max="12" width="10.7109375" style="18" hidden="1" customWidth="1"/>
    <col min="13" max="13" width="11.7109375" style="45" customWidth="1"/>
    <col min="14" max="14" width="12.7109375" style="32" customWidth="1"/>
    <col min="15" max="15" width="11.7109375" style="35" customWidth="1"/>
    <col min="16" max="16" width="11.7109375" style="15" customWidth="1"/>
    <col min="17" max="17" width="11.7109375" style="15" customWidth="1"/>
    <col min="18" max="18" width="11.7109375" style="18" customWidth="1"/>
    <col min="19" max="19" width="14.7109375" style="32" customWidth="1"/>
    <col min="20" max="20" width="11.7109375" style="25" customWidth="1"/>
    <col min="21" max="21" width="11.7109375" style="25" customWidth="1"/>
    <col min="22" max="22" width="9.7109375" style="18" hidden="1" customWidth="1"/>
    <col min="23" max="23" width="12.7109375" style="42" customWidth="1"/>
    <col min="24" max="24" width="24.7109375" style="31" customWidth="1"/>
    <col min="25" max="25" width="26.7109375" style="43" customWidth="1"/>
    <col min="1" max="1" width="12.7109375" customWidth="1"/>
    <col min="2" max="2" width="14.7109375" customWidth="1"/>
    <col min="3" max="3" width="18.7109375" customWidth="1"/>
    <col min="4" max="4" width="22.7109375" customWidth="1"/>
    <col min="5" max="5" width="18.7109375" customWidth="1"/>
    <col min="6" max="6" width="20.7109375" customWidth="1"/>
    <col min="7" max="7" width="14.7109375" customWidth="1"/>
  </cols>
  <sheetData>
    <row r="1" spans="1:25" ht="34" customHeight="1">
      <c r="A1" s="2" t="s">
        <v>1191</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1192</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1193</v>
      </c>
      <c r="T3" s="44"/>
      <c r="U3" s="44"/>
      <c r="V3" s="44"/>
      <c r="W3" s="44"/>
      <c r="X3" s="44"/>
      <c r="Y3" s="44"/>
    </row>
    <row r="4" spans="1:25" ht="30" customHeight="1">
      <c r="A4" s="8" t="s">
        <v>708</v>
      </c>
      <c r="B4" s="8" t="s">
        <v>1194</v>
      </c>
      <c r="C4" s="9" t="s">
        <v>1195</v>
      </c>
      <c r="D4" s="9" t="s">
        <v>135</v>
      </c>
      <c r="E4" s="9" t="s">
        <v>762</v>
      </c>
      <c r="F4" s="9" t="s">
        <v>1196</v>
      </c>
      <c r="G4" s="9" t="s">
        <v>1197</v>
      </c>
      <c r="H4" s="9" t="s">
        <v>1198</v>
      </c>
      <c r="I4" s="9" t="s">
        <v>1199</v>
      </c>
      <c r="J4" s="9" t="s">
        <v>1200</v>
      </c>
      <c r="K4" s="9" t="s">
        <v>1201</v>
      </c>
      <c r="L4" s="9" t="s">
        <v>1202</v>
      </c>
      <c r="M4" s="9" t="s">
        <v>1203</v>
      </c>
      <c r="N4" s="9" t="s">
        <v>1139</v>
      </c>
      <c r="O4" s="9" t="s">
        <v>1204</v>
      </c>
      <c r="P4" s="9" t="s">
        <v>1205</v>
      </c>
      <c r="Q4" s="9" t="s">
        <v>1206</v>
      </c>
      <c r="R4" s="9" t="s">
        <v>1207</v>
      </c>
      <c r="S4" s="9" t="s">
        <v>1208</v>
      </c>
      <c r="T4" s="9" t="s">
        <v>1209</v>
      </c>
      <c r="U4" s="9" t="s">
        <v>1142</v>
      </c>
      <c r="V4" s="9" t="s">
        <v>1210</v>
      </c>
      <c r="W4" s="9" t="s">
        <v>728</v>
      </c>
      <c r="X4" s="9" t="s">
        <v>729</v>
      </c>
      <c r="Y4" s="9" t="s">
        <v>730</v>
      </c>
    </row>
    <row r="5" spans="1:25">
      <c r="A5" s="39">
        <f>IF(B5="","","PR-"&amp;TEXT(ROW()-4,"000"))</f>
        <v>0</v>
      </c>
      <c r="B5" s="32" t="s">
        <v>1211</v>
      </c>
      <c r="C5" s="15">
        <v>46293</v>
      </c>
      <c r="D5" s="17">
        <f>IF(C5="","",TEXT(C5,"ddd"))</f>
        <v>0</v>
      </c>
      <c r="E5" s="32" t="s">
        <v>898</v>
      </c>
      <c r="F5" s="17">
        <f>IF(E5="","",IFERROR(INDEX(Recipes!$B$5:$B$204,MATCH(E5,Recipes!$A$5:$A$204,0)),"Not found"))</f>
        <v>0</v>
      </c>
      <c r="G5" s="38">
        <v>2</v>
      </c>
      <c r="H5" s="18">
        <f>IF(E5="","",IFERROR(INDEX(Recipes!$G$5:$G$204,MATCH(E5,Recipes!$A$5:$A$204,0)),"Not found"))</f>
        <v>0</v>
      </c>
      <c r="I5" s="45">
        <f>IF(OR(G5="",H5="",NOT(ISNUMBER(H5))),"",G5*H5)</f>
        <v>0</v>
      </c>
      <c r="J5" s="18">
        <f>IF(E5="","",IFERROR(INDEX(Recipes!$J$5:$J$204,MATCH(E5,Recipes!$A$5:$A$204,0)),"Not found"))</f>
        <v>0</v>
      </c>
      <c r="K5" s="35">
        <v>45</v>
      </c>
      <c r="L5" s="18">
        <f>IF(B5="","",IF(K5&lt;&gt;"",K5,IF(ISNUMBER(J5),J5,0)))</f>
        <v>0</v>
      </c>
      <c r="M5" s="45">
        <f>IF(OR(I5="",I5=0,L5=0),"",L5/I5)</f>
        <v>0</v>
      </c>
      <c r="N5" s="32" t="s">
        <v>445</v>
      </c>
      <c r="O5" s="35">
        <v>6</v>
      </c>
      <c r="P5" s="15">
        <v>46293</v>
      </c>
      <c r="Q5" s="15">
        <v>46299</v>
      </c>
      <c r="R5" s="18">
        <f>IF(OR(P5="",Q5=""),"",COUNTIFS('Meal Plan'!$B$5:$B$504,"&gt;="&amp;P5,'Meal Plan'!$B$5:$B$504,"&lt;="&amp;Q5,'Meal Plan'!$G$5:$G$504,E5))</f>
        <v>0</v>
      </c>
      <c r="S5" s="32" t="s">
        <v>206</v>
      </c>
      <c r="T5" s="25">
        <f>IF(OR(G5="",E5=""),"",IFERROR(INDEX(Recipes!$AC$5:$AC$204,MATCH(E5,Recipes!$A$5:$A$204,0))*G5,""))</f>
        <v>0</v>
      </c>
      <c r="U5" s="25">
        <f>IF(OR(T5="",I5="",I5=0),"",T5/I5)</f>
        <v>0</v>
      </c>
      <c r="V5" s="18">
        <f>IF(OR(B5="",W5="Done",NOT(ISNUMBER(C5))),"",COUNTIFS($W$5:$W$124,"&lt;&gt;Done",$C$5:$C$124,"&lt;"&amp;C5)+COUNTIFS($W$5:W5,"&lt;&gt;Done",$C$5:C5,C5))</f>
        <v>0</v>
      </c>
      <c r="W5" s="42" t="s">
        <v>476</v>
      </c>
      <c r="X5" s="31">
        <f>IF(B5="","",IF(W5="Done","OK",IF(AND(C5&lt;&gt;"",C5&lt;TODAY()),"Overdue - still not made",IF(C5=TODAY(),"Today - prep day",IF(AND(C5&lt;&gt;"",C5-TODAY()&lt;=PrepLeadDays),"Due - coming up","OK")))))</f>
        <v>0</v>
      </c>
      <c r="Y5" s="43" t="s">
        <v>157</v>
      </c>
    </row>
    <row r="6" spans="1:25">
      <c r="A6" s="39">
        <f>IF(B6="","","PR-"&amp;TEXT(ROW()-4,"000"))</f>
        <v>0</v>
      </c>
      <c r="B6" s="32" t="s">
        <v>1150</v>
      </c>
      <c r="C6" s="15">
        <v>46296</v>
      </c>
      <c r="D6" s="17">
        <f>IF(C6="","",TEXT(C6,"ddd"))</f>
        <v>0</v>
      </c>
      <c r="E6" s="32" t="s">
        <v>929</v>
      </c>
      <c r="F6" s="17">
        <f>IF(E6="","",IFERROR(INDEX(Recipes!$B$5:$B$204,MATCH(E6,Recipes!$A$5:$A$204,0)),"Not found"))</f>
        <v>0</v>
      </c>
      <c r="G6" s="38">
        <v>2</v>
      </c>
      <c r="H6" s="18">
        <f>IF(E6="","",IFERROR(INDEX(Recipes!$G$5:$G$204,MATCH(E6,Recipes!$A$5:$A$204,0)),"Not found"))</f>
        <v>0</v>
      </c>
      <c r="I6" s="45">
        <f>IF(OR(G6="",H6="",NOT(ISNUMBER(H6))),"",G6*H6)</f>
        <v>0</v>
      </c>
      <c r="J6" s="18">
        <f>IF(E6="","",IFERROR(INDEX(Recipes!$J$5:$J$204,MATCH(E6,Recipes!$A$5:$A$204,0)),"Not found"))</f>
        <v>0</v>
      </c>
      <c r="K6" s="35">
        <v>45</v>
      </c>
      <c r="L6" s="18">
        <f>IF(B6="","",IF(K6&lt;&gt;"",K6,IF(ISNUMBER(J6),J6,0)))</f>
        <v>0</v>
      </c>
      <c r="M6" s="45">
        <f>IF(OR(I6="",I6=0,L6=0),"",L6/I6)</f>
        <v>0</v>
      </c>
      <c r="N6" s="32" t="s">
        <v>445</v>
      </c>
      <c r="O6" s="35">
        <v>6</v>
      </c>
      <c r="P6" s="15">
        <v>46296</v>
      </c>
      <c r="Q6" s="15">
        <v>46302</v>
      </c>
      <c r="R6" s="18">
        <f>IF(OR(P6="",Q6=""),"",COUNTIFS('Meal Plan'!$B$5:$B$504,"&gt;="&amp;P6,'Meal Plan'!$B$5:$B$504,"&lt;="&amp;Q6,'Meal Plan'!$G$5:$G$504,E6))</f>
        <v>0</v>
      </c>
      <c r="S6" s="32" t="s">
        <v>736</v>
      </c>
      <c r="T6" s="25">
        <f>IF(OR(G6="",E6=""),"",IFERROR(INDEX(Recipes!$AC$5:$AC$204,MATCH(E6,Recipes!$A$5:$A$204,0))*G6,""))</f>
        <v>0</v>
      </c>
      <c r="U6" s="25">
        <f>IF(OR(T6="",I6="",I6=0),"",T6/I6)</f>
        <v>0</v>
      </c>
      <c r="V6" s="18">
        <f>IF(OR(B6="",W6="Done",NOT(ISNUMBER(C6))),"",COUNTIFS($W$5:$W$124,"&lt;&gt;Done",$C$5:$C$124,"&lt;"&amp;C6)+COUNTIFS($W$5:W6,"&lt;&gt;Done",$C$5:C6,C6))</f>
        <v>0</v>
      </c>
      <c r="W6" s="42" t="s">
        <v>476</v>
      </c>
      <c r="X6" s="31">
        <f>IF(B6="","",IF(W6="Done","OK",IF(AND(C6&lt;&gt;"",C6&lt;TODAY()),"Overdue - still not made",IF(C6=TODAY(),"Today - prep day",IF(AND(C6&lt;&gt;"",C6-TODAY()&lt;=PrepLeadDays),"Due - coming up","OK")))))</f>
        <v>0</v>
      </c>
      <c r="Y6" s="43" t="s">
        <v>157</v>
      </c>
    </row>
    <row r="7" spans="1:25">
      <c r="A7" s="39">
        <f>IF(B7="","","PR-"&amp;TEXT(ROW()-4,"000"))</f>
        <v>0</v>
      </c>
      <c r="B7" s="32" t="s">
        <v>853</v>
      </c>
      <c r="C7" s="15">
        <v>46299</v>
      </c>
      <c r="D7" s="17">
        <f>IF(C7="","",TEXT(C7,"ddd"))</f>
        <v>0</v>
      </c>
      <c r="E7" s="32" t="s">
        <v>954</v>
      </c>
      <c r="F7" s="17">
        <f>IF(E7="","",IFERROR(INDEX(Recipes!$B$5:$B$204,MATCH(E7,Recipes!$A$5:$A$204,0)),"Not found"))</f>
        <v>0</v>
      </c>
      <c r="G7" s="38">
        <v>1</v>
      </c>
      <c r="H7" s="18">
        <f>IF(E7="","",IFERROR(INDEX(Recipes!$G$5:$G$204,MATCH(E7,Recipes!$A$5:$A$204,0)),"Not found"))</f>
        <v>0</v>
      </c>
      <c r="I7" s="45">
        <f>IF(OR(G7="",H7="",NOT(ISNUMBER(H7))),"",G7*H7)</f>
        <v>0</v>
      </c>
      <c r="J7" s="18">
        <f>IF(E7="","",IFERROR(INDEX(Recipes!$J$5:$J$204,MATCH(E7,Recipes!$A$5:$A$204,0)),"Not found"))</f>
        <v>0</v>
      </c>
      <c r="K7" s="35">
        <v>25</v>
      </c>
      <c r="L7" s="18">
        <f>IF(B7="","",IF(K7&lt;&gt;"",K7,IF(ISNUMBER(J7),J7,0)))</f>
        <v>0</v>
      </c>
      <c r="M7" s="45">
        <f>IF(OR(I7="",I7=0,L7=0),"",L7/I7)</f>
        <v>0</v>
      </c>
      <c r="N7" s="32" t="s">
        <v>444</v>
      </c>
      <c r="O7" s="35">
        <v>4</v>
      </c>
      <c r="P7" s="15">
        <v>46299</v>
      </c>
      <c r="Q7" s="15">
        <v>46305</v>
      </c>
      <c r="R7" s="18">
        <f>IF(OR(P7="",Q7=""),"",COUNTIFS('Meal Plan'!$B$5:$B$504,"&gt;="&amp;P7,'Meal Plan'!$B$5:$B$504,"&lt;="&amp;Q7,'Meal Plan'!$G$5:$G$504,E7))</f>
        <v>0</v>
      </c>
      <c r="S7" s="32" t="s">
        <v>742</v>
      </c>
      <c r="T7" s="25">
        <f>IF(OR(G7="",E7=""),"",IFERROR(INDEX(Recipes!$AC$5:$AC$204,MATCH(E7,Recipes!$A$5:$A$204,0))*G7,""))</f>
        <v>0</v>
      </c>
      <c r="U7" s="25">
        <f>IF(OR(T7="",I7="",I7=0),"",T7/I7)</f>
        <v>0</v>
      </c>
      <c r="V7" s="18">
        <f>IF(OR(B7="",W7="Done",NOT(ISNUMBER(C7))),"",COUNTIFS($W$5:$W$124,"&lt;&gt;Done",$C$5:$C$124,"&lt;"&amp;C7)+COUNTIFS($W$5:W7,"&lt;&gt;Done",$C$5:C7,C7))</f>
        <v>0</v>
      </c>
      <c r="W7" s="42" t="s">
        <v>476</v>
      </c>
      <c r="X7" s="31">
        <f>IF(B7="","",IF(W7="Done","OK",IF(AND(C7&lt;&gt;"",C7&lt;TODAY()),"Overdue - still not made",IF(C7=TODAY(),"Today - prep day",IF(AND(C7&lt;&gt;"",C7-TODAY()&lt;=PrepLeadDays),"Due - coming up","OK")))))</f>
        <v>0</v>
      </c>
      <c r="Y7" s="43" t="s">
        <v>157</v>
      </c>
    </row>
    <row r="8" spans="1:25">
      <c r="A8" s="39">
        <f>IF(B8="","","PR-"&amp;TEXT(ROW()-4,"000"))</f>
        <v>0</v>
      </c>
      <c r="B8" s="32" t="s">
        <v>1212</v>
      </c>
      <c r="C8" s="15">
        <v>46302</v>
      </c>
      <c r="D8" s="17">
        <f>IF(C8="","",TEXT(C8,"ddd"))</f>
        <v>0</v>
      </c>
      <c r="F8" s="17">
        <f>IF(E8="","",IFERROR(INDEX(Recipes!$B$5:$B$204,MATCH(E8,Recipes!$A$5:$A$204,0)),"Not found"))</f>
        <v>0</v>
      </c>
      <c r="G8" s="38">
        <v>1</v>
      </c>
      <c r="H8" s="18">
        <f>IF(E8="","",IFERROR(INDEX(Recipes!$G$5:$G$204,MATCH(E8,Recipes!$A$5:$A$204,0)),"Not found"))</f>
        <v>0</v>
      </c>
      <c r="I8" s="45">
        <f>IF(OR(G8="",H8="",NOT(ISNUMBER(H8))),"",G8*H8)</f>
        <v>0</v>
      </c>
      <c r="J8" s="18">
        <f>IF(E8="","",IFERROR(INDEX(Recipes!$J$5:$J$204,MATCH(E8,Recipes!$A$5:$A$204,0)),"Not found"))</f>
        <v>0</v>
      </c>
      <c r="K8" s="35">
        <v>25</v>
      </c>
      <c r="L8" s="18">
        <f>IF(B8="","",IF(K8&lt;&gt;"",K8,IF(ISNUMBER(J8),J8,0)))</f>
        <v>0</v>
      </c>
      <c r="M8" s="45">
        <f>IF(OR(I8="",I8=0,L8=0),"",L8/I8)</f>
        <v>0</v>
      </c>
      <c r="N8" s="32" t="s">
        <v>444</v>
      </c>
      <c r="P8" s="15">
        <v>46302</v>
      </c>
      <c r="Q8" s="15">
        <v>46308</v>
      </c>
      <c r="R8" s="18">
        <f>IF(OR(P8="",Q8=""),"",COUNTIFS('Meal Plan'!$B$5:$B$504,"&gt;="&amp;P8,'Meal Plan'!$B$5:$B$504,"&lt;="&amp;Q8,'Meal Plan'!$G$5:$G$504,E8))</f>
        <v>0</v>
      </c>
      <c r="S8" s="32" t="s">
        <v>206</v>
      </c>
      <c r="T8" s="25">
        <f>IF(OR(G8="",E8=""),"",IFERROR(INDEX(Recipes!$AC$5:$AC$204,MATCH(E8,Recipes!$A$5:$A$204,0))*G8,""))</f>
        <v>0</v>
      </c>
      <c r="U8" s="25">
        <f>IF(OR(T8="",I8="",I8=0),"",T8/I8)</f>
        <v>0</v>
      </c>
      <c r="V8" s="18">
        <f>IF(OR(B8="",W8="Done",NOT(ISNUMBER(C8))),"",COUNTIFS($W$5:$W$124,"&lt;&gt;Done",$C$5:$C$124,"&lt;"&amp;C8)+COUNTIFS($W$5:W8,"&lt;&gt;Done",$C$5:C8,C8))</f>
        <v>0</v>
      </c>
      <c r="W8" s="42" t="s">
        <v>476</v>
      </c>
      <c r="X8" s="31">
        <f>IF(B8="","",IF(W8="Done","OK",IF(AND(C8&lt;&gt;"",C8&lt;TODAY()),"Overdue - still not made",IF(C8=TODAY(),"Today - prep day",IF(AND(C8&lt;&gt;"",C8-TODAY()&lt;=PrepLeadDays),"Due - coming up","OK")))))</f>
        <v>0</v>
      </c>
      <c r="Y8" s="43" t="s">
        <v>157</v>
      </c>
    </row>
    <row r="9" spans="1:25">
      <c r="A9" s="39">
        <f>IF(B9="","","PR-"&amp;TEXT(ROW()-4,"000"))</f>
        <v>0</v>
      </c>
      <c r="B9" s="32" t="s">
        <v>1213</v>
      </c>
      <c r="C9" s="15">
        <v>46305</v>
      </c>
      <c r="D9" s="17">
        <f>IF(C9="","",TEXT(C9,"ddd"))</f>
        <v>0</v>
      </c>
      <c r="E9" s="32" t="s">
        <v>942</v>
      </c>
      <c r="F9" s="17">
        <f>IF(E9="","",IFERROR(INDEX(Recipes!$B$5:$B$204,MATCH(E9,Recipes!$A$5:$A$204,0)),"Not found"))</f>
        <v>0</v>
      </c>
      <c r="G9" s="38">
        <v>2</v>
      </c>
      <c r="H9" s="18">
        <f>IF(E9="","",IFERROR(INDEX(Recipes!$G$5:$G$204,MATCH(E9,Recipes!$A$5:$A$204,0)),"Not found"))</f>
        <v>0</v>
      </c>
      <c r="I9" s="45">
        <f>IF(OR(G9="",H9="",NOT(ISNUMBER(H9))),"",G9*H9)</f>
        <v>0</v>
      </c>
      <c r="J9" s="18">
        <f>IF(E9="","",IFERROR(INDEX(Recipes!$J$5:$J$204,MATCH(E9,Recipes!$A$5:$A$204,0)),"Not found"))</f>
        <v>0</v>
      </c>
      <c r="K9" s="35">
        <v>45</v>
      </c>
      <c r="L9" s="18">
        <f>IF(B9="","",IF(K9&lt;&gt;"",K9,IF(ISNUMBER(J9),J9,0)))</f>
        <v>0</v>
      </c>
      <c r="M9" s="45">
        <f>IF(OR(I9="",I9=0,L9=0),"",L9/I9)</f>
        <v>0</v>
      </c>
      <c r="N9" s="32" t="s">
        <v>444</v>
      </c>
      <c r="O9" s="35">
        <v>4</v>
      </c>
      <c r="P9" s="15">
        <v>46305</v>
      </c>
      <c r="Q9" s="15">
        <v>46311</v>
      </c>
      <c r="R9" s="18">
        <f>IF(OR(P9="",Q9=""),"",COUNTIFS('Meal Plan'!$B$5:$B$504,"&gt;="&amp;P9,'Meal Plan'!$B$5:$B$504,"&lt;="&amp;Q9,'Meal Plan'!$G$5:$G$504,E9))</f>
        <v>0</v>
      </c>
      <c r="S9" s="32" t="s">
        <v>742</v>
      </c>
      <c r="T9" s="25">
        <f>IF(OR(G9="",E9=""),"",IFERROR(INDEX(Recipes!$AC$5:$AC$204,MATCH(E9,Recipes!$A$5:$A$204,0))*G9,""))</f>
        <v>0</v>
      </c>
      <c r="U9" s="25">
        <f>IF(OR(T9="",I9="",I9=0),"",T9/I9)</f>
        <v>0</v>
      </c>
      <c r="V9" s="18">
        <f>IF(OR(B9="",W9="Done",NOT(ISNUMBER(C9))),"",COUNTIFS($W$5:$W$124,"&lt;&gt;Done",$C$5:$C$124,"&lt;"&amp;C9)+COUNTIFS($W$5:W9,"&lt;&gt;Done",$C$5:C9,C9))</f>
        <v>0</v>
      </c>
      <c r="W9" s="42" t="s">
        <v>474</v>
      </c>
      <c r="X9" s="31">
        <f>IF(B9="","",IF(W9="Done","OK",IF(AND(C9&lt;&gt;"",C9&lt;TODAY()),"Overdue - still not made",IF(C9=TODAY(),"Today - prep day",IF(AND(C9&lt;&gt;"",C9-TODAY()&lt;=PrepLeadDays),"Due - coming up","OK")))))</f>
        <v>0</v>
      </c>
      <c r="Y9" s="43" t="s">
        <v>157</v>
      </c>
    </row>
    <row r="10" spans="1:25">
      <c r="A10" s="39">
        <f>IF(B10="","","PR-"&amp;TEXT(ROW()-4,"000"))</f>
        <v>0</v>
      </c>
      <c r="B10" s="32" t="s">
        <v>1214</v>
      </c>
      <c r="C10" s="15">
        <v>46308</v>
      </c>
      <c r="D10" s="17">
        <f>IF(C10="","",TEXT(C10,"ddd"))</f>
        <v>0</v>
      </c>
      <c r="E10" s="32" t="s">
        <v>933</v>
      </c>
      <c r="F10" s="17">
        <f>IF(E10="","",IFERROR(INDEX(Recipes!$B$5:$B$204,MATCH(E10,Recipes!$A$5:$A$204,0)),"Not found"))</f>
        <v>0</v>
      </c>
      <c r="G10" s="38">
        <v>2</v>
      </c>
      <c r="H10" s="18">
        <f>IF(E10="","",IFERROR(INDEX(Recipes!$G$5:$G$204,MATCH(E10,Recipes!$A$5:$A$204,0)),"Not found"))</f>
        <v>0</v>
      </c>
      <c r="I10" s="45">
        <f>IF(OR(G10="",H10="",NOT(ISNUMBER(H10))),"",G10*H10)</f>
        <v>0</v>
      </c>
      <c r="J10" s="18">
        <f>IF(E10="","",IFERROR(INDEX(Recipes!$J$5:$J$204,MATCH(E10,Recipes!$A$5:$A$204,0)),"Not found"))</f>
        <v>0</v>
      </c>
      <c r="K10" s="35">
        <v>45</v>
      </c>
      <c r="L10" s="18">
        <f>IF(B10="","",IF(K10&lt;&gt;"",K10,IF(ISNUMBER(J10),J10,0)))</f>
        <v>0</v>
      </c>
      <c r="M10" s="45">
        <f>IF(OR(I10="",I10=0,L10=0),"",L10/I10)</f>
        <v>0</v>
      </c>
      <c r="N10" s="32" t="s">
        <v>445</v>
      </c>
      <c r="O10" s="35">
        <v>4</v>
      </c>
      <c r="P10" s="15">
        <v>46308</v>
      </c>
      <c r="Q10" s="15">
        <v>46314</v>
      </c>
      <c r="R10" s="18">
        <f>IF(OR(P10="",Q10=""),"",COUNTIFS('Meal Plan'!$B$5:$B$504,"&gt;="&amp;P10,'Meal Plan'!$B$5:$B$504,"&lt;="&amp;Q10,'Meal Plan'!$G$5:$G$504,E10))</f>
        <v>0</v>
      </c>
      <c r="S10" s="32" t="s">
        <v>206</v>
      </c>
      <c r="T10" s="25">
        <f>IF(OR(G10="",E10=""),"",IFERROR(INDEX(Recipes!$AC$5:$AC$204,MATCH(E10,Recipes!$A$5:$A$204,0))*G10,""))</f>
        <v>0</v>
      </c>
      <c r="U10" s="25">
        <f>IF(OR(T10="",I10="",I10=0),"",T10/I10)</f>
        <v>0</v>
      </c>
      <c r="V10" s="18">
        <f>IF(OR(B10="",W10="Done",NOT(ISNUMBER(C10))),"",COUNTIFS($W$5:$W$124,"&lt;&gt;Done",$C$5:$C$124,"&lt;"&amp;C10)+COUNTIFS($W$5:W10,"&lt;&gt;Done",$C$5:C10,C10))</f>
        <v>0</v>
      </c>
      <c r="W10" s="42" t="s">
        <v>474</v>
      </c>
      <c r="X10" s="31">
        <f>IF(B10="","",IF(W10="Done","OK",IF(AND(C10&lt;&gt;"",C10&lt;TODAY()),"Overdue - still not made",IF(C10=TODAY(),"Today - prep day",IF(AND(C10&lt;&gt;"",C10-TODAY()&lt;=PrepLeadDays),"Due - coming up","OK")))))</f>
        <v>0</v>
      </c>
      <c r="Y10" s="43" t="s">
        <v>157</v>
      </c>
    </row>
    <row r="11" spans="1:25">
      <c r="A11" s="39">
        <f>IF(B11="","","PR-"&amp;TEXT(ROW()-4,"000"))</f>
        <v>0</v>
      </c>
      <c r="B11" s="32" t="s">
        <v>1215</v>
      </c>
      <c r="C11" s="15">
        <v>46311</v>
      </c>
      <c r="D11" s="17">
        <f>IF(C11="","",TEXT(C11,"ddd"))</f>
        <v>0</v>
      </c>
      <c r="E11" s="32" t="s">
        <v>950</v>
      </c>
      <c r="F11" s="17">
        <f>IF(E11="","",IFERROR(INDEX(Recipes!$B$5:$B$204,MATCH(E11,Recipes!$A$5:$A$204,0)),"Not found"))</f>
        <v>0</v>
      </c>
      <c r="G11" s="38">
        <v>1</v>
      </c>
      <c r="H11" s="18">
        <f>IF(E11="","",IFERROR(INDEX(Recipes!$G$5:$G$204,MATCH(E11,Recipes!$A$5:$A$204,0)),"Not found"))</f>
        <v>0</v>
      </c>
      <c r="I11" s="45">
        <f>IF(OR(G11="",H11="",NOT(ISNUMBER(H11))),"",G11*H11)</f>
        <v>0</v>
      </c>
      <c r="J11" s="18">
        <f>IF(E11="","",IFERROR(INDEX(Recipes!$J$5:$J$204,MATCH(E11,Recipes!$A$5:$A$204,0)),"Not found"))</f>
        <v>0</v>
      </c>
      <c r="K11" s="35">
        <v>25</v>
      </c>
      <c r="L11" s="18">
        <f>IF(B11="","",IF(K11&lt;&gt;"",K11,IF(ISNUMBER(J11),J11,0)))</f>
        <v>0</v>
      </c>
      <c r="M11" s="45">
        <f>IF(OR(I11="",I11=0,L11=0),"",L11/I11)</f>
        <v>0</v>
      </c>
      <c r="N11" s="32" t="s">
        <v>444</v>
      </c>
      <c r="O11" s="35">
        <v>1</v>
      </c>
      <c r="P11" s="15">
        <v>46311</v>
      </c>
      <c r="Q11" s="15">
        <v>46317</v>
      </c>
      <c r="R11" s="18">
        <f>IF(OR(P11="",Q11=""),"",COUNTIFS('Meal Plan'!$B$5:$B$504,"&gt;="&amp;P11,'Meal Plan'!$B$5:$B$504,"&lt;="&amp;Q11,'Meal Plan'!$G$5:$G$504,E11))</f>
        <v>0</v>
      </c>
      <c r="S11" s="32" t="s">
        <v>742</v>
      </c>
      <c r="T11" s="25">
        <f>IF(OR(G11="",E11=""),"",IFERROR(INDEX(Recipes!$AC$5:$AC$204,MATCH(E11,Recipes!$A$5:$A$204,0))*G11,""))</f>
        <v>0</v>
      </c>
      <c r="U11" s="25">
        <f>IF(OR(T11="",I11="",I11=0),"",T11/I11)</f>
        <v>0</v>
      </c>
      <c r="V11" s="18">
        <f>IF(OR(B11="",W11="Done",NOT(ISNUMBER(C11))),"",COUNTIFS($W$5:$W$124,"&lt;&gt;Done",$C$5:$C$124,"&lt;"&amp;C11)+COUNTIFS($W$5:W11,"&lt;&gt;Done",$C$5:C11,C11))</f>
        <v>0</v>
      </c>
      <c r="W11" s="42" t="s">
        <v>474</v>
      </c>
      <c r="X11" s="31">
        <f>IF(B11="","",IF(W11="Done","OK",IF(AND(C11&lt;&gt;"",C11&lt;TODAY()),"Overdue - still not made",IF(C11=TODAY(),"Today - prep day",IF(AND(C11&lt;&gt;"",C11-TODAY()&lt;=PrepLeadDays),"Due - coming up","OK")))))</f>
        <v>0</v>
      </c>
      <c r="Y11" s="43" t="s">
        <v>157</v>
      </c>
    </row>
    <row r="12" spans="1:25">
      <c r="A12" s="39">
        <f>IF(B12="","","PR-"&amp;TEXT(ROW()-4,"000"))</f>
        <v>0</v>
      </c>
      <c r="D12" s="17">
        <f>IF(C12="","",TEXT(C12,"ddd"))</f>
        <v>0</v>
      </c>
      <c r="F12" s="17">
        <f>IF(E12="","",IFERROR(INDEX(Recipes!$B$5:$B$204,MATCH(E12,Recipes!$A$5:$A$204,0)),"Not found"))</f>
        <v>0</v>
      </c>
      <c r="H12" s="18">
        <f>IF(E12="","",IFERROR(INDEX(Recipes!$G$5:$G$204,MATCH(E12,Recipes!$A$5:$A$204,0)),"Not found"))</f>
        <v>0</v>
      </c>
      <c r="I12" s="45">
        <f>IF(OR(G12="",H12="",NOT(ISNUMBER(H12))),"",G12*H12)</f>
        <v>0</v>
      </c>
      <c r="J12" s="18">
        <f>IF(E12="","",IFERROR(INDEX(Recipes!$J$5:$J$204,MATCH(E12,Recipes!$A$5:$A$204,0)),"Not found"))</f>
        <v>0</v>
      </c>
      <c r="L12" s="18">
        <f>IF(B12="","",IF(K12&lt;&gt;"",K12,IF(ISNUMBER(J12),J12,0)))</f>
        <v>0</v>
      </c>
      <c r="M12" s="45">
        <f>IF(OR(I12="",I12=0,L12=0),"",L12/I12)</f>
        <v>0</v>
      </c>
      <c r="R12" s="18">
        <f>IF(OR(P12="",Q12=""),"",COUNTIFS('Meal Plan'!$B$5:$B$504,"&gt;="&amp;P12,'Meal Plan'!$B$5:$B$504,"&lt;="&amp;Q12,'Meal Plan'!$G$5:$G$504,E12))</f>
        <v>0</v>
      </c>
      <c r="T12" s="25">
        <f>IF(OR(G12="",E12=""),"",IFERROR(INDEX(Recipes!$AC$5:$AC$204,MATCH(E12,Recipes!$A$5:$A$204,0))*G12,""))</f>
        <v>0</v>
      </c>
      <c r="U12" s="25">
        <f>IF(OR(T12="",I12="",I12=0),"",T12/I12)</f>
        <v>0</v>
      </c>
      <c r="V12" s="18">
        <f>IF(OR(B12="",W12="Done",NOT(ISNUMBER(C12))),"",COUNTIFS($W$5:$W$124,"&lt;&gt;Done",$C$5:$C$124,"&lt;"&amp;C12)+COUNTIFS($W$5:W12,"&lt;&gt;Done",$C$5:C12,C12))</f>
        <v>0</v>
      </c>
      <c r="X12" s="31">
        <f>IF(B12="","",IF(W12="Done","OK",IF(AND(C12&lt;&gt;"",C12&lt;TODAY()),"Overdue - still not made",IF(C12=TODAY(),"Today - prep day",IF(AND(C12&lt;&gt;"",C12-TODAY()&lt;=PrepLeadDays),"Due - coming up","OK")))))</f>
        <v>0</v>
      </c>
    </row>
    <row r="13" spans="1:25">
      <c r="A13" s="39">
        <f>IF(B13="","","PR-"&amp;TEXT(ROW()-4,"000"))</f>
        <v>0</v>
      </c>
      <c r="D13" s="17">
        <f>IF(C13="","",TEXT(C13,"ddd"))</f>
        <v>0</v>
      </c>
      <c r="F13" s="17">
        <f>IF(E13="","",IFERROR(INDEX(Recipes!$B$5:$B$204,MATCH(E13,Recipes!$A$5:$A$204,0)),"Not found"))</f>
        <v>0</v>
      </c>
      <c r="H13" s="18">
        <f>IF(E13="","",IFERROR(INDEX(Recipes!$G$5:$G$204,MATCH(E13,Recipes!$A$5:$A$204,0)),"Not found"))</f>
        <v>0</v>
      </c>
      <c r="I13" s="45">
        <f>IF(OR(G13="",H13="",NOT(ISNUMBER(H13))),"",G13*H13)</f>
        <v>0</v>
      </c>
      <c r="J13" s="18">
        <f>IF(E13="","",IFERROR(INDEX(Recipes!$J$5:$J$204,MATCH(E13,Recipes!$A$5:$A$204,0)),"Not found"))</f>
        <v>0</v>
      </c>
      <c r="L13" s="18">
        <f>IF(B13="","",IF(K13&lt;&gt;"",K13,IF(ISNUMBER(J13),J13,0)))</f>
        <v>0</v>
      </c>
      <c r="M13" s="45">
        <f>IF(OR(I13="",I13=0,L13=0),"",L13/I13)</f>
        <v>0</v>
      </c>
      <c r="R13" s="18">
        <f>IF(OR(P13="",Q13=""),"",COUNTIFS('Meal Plan'!$B$5:$B$504,"&gt;="&amp;P13,'Meal Plan'!$B$5:$B$504,"&lt;="&amp;Q13,'Meal Plan'!$G$5:$G$504,E13))</f>
        <v>0</v>
      </c>
      <c r="T13" s="25">
        <f>IF(OR(G13="",E13=""),"",IFERROR(INDEX(Recipes!$AC$5:$AC$204,MATCH(E13,Recipes!$A$5:$A$204,0))*G13,""))</f>
        <v>0</v>
      </c>
      <c r="U13" s="25">
        <f>IF(OR(T13="",I13="",I13=0),"",T13/I13)</f>
        <v>0</v>
      </c>
      <c r="V13" s="18">
        <f>IF(OR(B13="",W13="Done",NOT(ISNUMBER(C13))),"",COUNTIFS($W$5:$W$124,"&lt;&gt;Done",$C$5:$C$124,"&lt;"&amp;C13)+COUNTIFS($W$5:W13,"&lt;&gt;Done",$C$5:C13,C13))</f>
        <v>0</v>
      </c>
      <c r="X13" s="31">
        <f>IF(B13="","",IF(W13="Done","OK",IF(AND(C13&lt;&gt;"",C13&lt;TODAY()),"Overdue - still not made",IF(C13=TODAY(),"Today - prep day",IF(AND(C13&lt;&gt;"",C13-TODAY()&lt;=PrepLeadDays),"Due - coming up","OK")))))</f>
        <v>0</v>
      </c>
    </row>
    <row r="14" spans="1:25">
      <c r="A14" s="39">
        <f>IF(B14="","","PR-"&amp;TEXT(ROW()-4,"000"))</f>
        <v>0</v>
      </c>
      <c r="D14" s="17">
        <f>IF(C14="","",TEXT(C14,"ddd"))</f>
        <v>0</v>
      </c>
      <c r="F14" s="17">
        <f>IF(E14="","",IFERROR(INDEX(Recipes!$B$5:$B$204,MATCH(E14,Recipes!$A$5:$A$204,0)),"Not found"))</f>
        <v>0</v>
      </c>
      <c r="H14" s="18">
        <f>IF(E14="","",IFERROR(INDEX(Recipes!$G$5:$G$204,MATCH(E14,Recipes!$A$5:$A$204,0)),"Not found"))</f>
        <v>0</v>
      </c>
      <c r="I14" s="45">
        <f>IF(OR(G14="",H14="",NOT(ISNUMBER(H14))),"",G14*H14)</f>
        <v>0</v>
      </c>
      <c r="J14" s="18">
        <f>IF(E14="","",IFERROR(INDEX(Recipes!$J$5:$J$204,MATCH(E14,Recipes!$A$5:$A$204,0)),"Not found"))</f>
        <v>0</v>
      </c>
      <c r="L14" s="18">
        <f>IF(B14="","",IF(K14&lt;&gt;"",K14,IF(ISNUMBER(J14),J14,0)))</f>
        <v>0</v>
      </c>
      <c r="M14" s="45">
        <f>IF(OR(I14="",I14=0,L14=0),"",L14/I14)</f>
        <v>0</v>
      </c>
      <c r="R14" s="18">
        <f>IF(OR(P14="",Q14=""),"",COUNTIFS('Meal Plan'!$B$5:$B$504,"&gt;="&amp;P14,'Meal Plan'!$B$5:$B$504,"&lt;="&amp;Q14,'Meal Plan'!$G$5:$G$504,E14))</f>
        <v>0</v>
      </c>
      <c r="T14" s="25">
        <f>IF(OR(G14="",E14=""),"",IFERROR(INDEX(Recipes!$AC$5:$AC$204,MATCH(E14,Recipes!$A$5:$A$204,0))*G14,""))</f>
        <v>0</v>
      </c>
      <c r="U14" s="25">
        <f>IF(OR(T14="",I14="",I14=0),"",T14/I14)</f>
        <v>0</v>
      </c>
      <c r="V14" s="18">
        <f>IF(OR(B14="",W14="Done",NOT(ISNUMBER(C14))),"",COUNTIFS($W$5:$W$124,"&lt;&gt;Done",$C$5:$C$124,"&lt;"&amp;C14)+COUNTIFS($W$5:W14,"&lt;&gt;Done",$C$5:C14,C14))</f>
        <v>0</v>
      </c>
      <c r="X14" s="31">
        <f>IF(B14="","",IF(W14="Done","OK",IF(AND(C14&lt;&gt;"",C14&lt;TODAY()),"Overdue - still not made",IF(C14=TODAY(),"Today - prep day",IF(AND(C14&lt;&gt;"",C14-TODAY()&lt;=PrepLeadDays),"Due - coming up","OK")))))</f>
        <v>0</v>
      </c>
    </row>
    <row r="15" spans="1:25">
      <c r="A15" s="39">
        <f>IF(B15="","","PR-"&amp;TEXT(ROW()-4,"000"))</f>
        <v>0</v>
      </c>
      <c r="D15" s="17">
        <f>IF(C15="","",TEXT(C15,"ddd"))</f>
        <v>0</v>
      </c>
      <c r="F15" s="17">
        <f>IF(E15="","",IFERROR(INDEX(Recipes!$B$5:$B$204,MATCH(E15,Recipes!$A$5:$A$204,0)),"Not found"))</f>
        <v>0</v>
      </c>
      <c r="H15" s="18">
        <f>IF(E15="","",IFERROR(INDEX(Recipes!$G$5:$G$204,MATCH(E15,Recipes!$A$5:$A$204,0)),"Not found"))</f>
        <v>0</v>
      </c>
      <c r="I15" s="45">
        <f>IF(OR(G15="",H15="",NOT(ISNUMBER(H15))),"",G15*H15)</f>
        <v>0</v>
      </c>
      <c r="J15" s="18">
        <f>IF(E15="","",IFERROR(INDEX(Recipes!$J$5:$J$204,MATCH(E15,Recipes!$A$5:$A$204,0)),"Not found"))</f>
        <v>0</v>
      </c>
      <c r="L15" s="18">
        <f>IF(B15="","",IF(K15&lt;&gt;"",K15,IF(ISNUMBER(J15),J15,0)))</f>
        <v>0</v>
      </c>
      <c r="M15" s="45">
        <f>IF(OR(I15="",I15=0,L15=0),"",L15/I15)</f>
        <v>0</v>
      </c>
      <c r="R15" s="18">
        <f>IF(OR(P15="",Q15=""),"",COUNTIFS('Meal Plan'!$B$5:$B$504,"&gt;="&amp;P15,'Meal Plan'!$B$5:$B$504,"&lt;="&amp;Q15,'Meal Plan'!$G$5:$G$504,E15))</f>
        <v>0</v>
      </c>
      <c r="T15" s="25">
        <f>IF(OR(G15="",E15=""),"",IFERROR(INDEX(Recipes!$AC$5:$AC$204,MATCH(E15,Recipes!$A$5:$A$204,0))*G15,""))</f>
        <v>0</v>
      </c>
      <c r="U15" s="25">
        <f>IF(OR(T15="",I15="",I15=0),"",T15/I15)</f>
        <v>0</v>
      </c>
      <c r="V15" s="18">
        <f>IF(OR(B15="",W15="Done",NOT(ISNUMBER(C15))),"",COUNTIFS($W$5:$W$124,"&lt;&gt;Done",$C$5:$C$124,"&lt;"&amp;C15)+COUNTIFS($W$5:W15,"&lt;&gt;Done",$C$5:C15,C15))</f>
        <v>0</v>
      </c>
      <c r="X15" s="31">
        <f>IF(B15="","",IF(W15="Done","OK",IF(AND(C15&lt;&gt;"",C15&lt;TODAY()),"Overdue - still not made",IF(C15=TODAY(),"Today - prep day",IF(AND(C15&lt;&gt;"",C15-TODAY()&lt;=PrepLeadDays),"Due - coming up","OK")))))</f>
        <v>0</v>
      </c>
    </row>
    <row r="16" spans="1:25">
      <c r="A16" s="39">
        <f>IF(B16="","","PR-"&amp;TEXT(ROW()-4,"000"))</f>
        <v>0</v>
      </c>
      <c r="D16" s="17">
        <f>IF(C16="","",TEXT(C16,"ddd"))</f>
        <v>0</v>
      </c>
      <c r="F16" s="17">
        <f>IF(E16="","",IFERROR(INDEX(Recipes!$B$5:$B$204,MATCH(E16,Recipes!$A$5:$A$204,0)),"Not found"))</f>
        <v>0</v>
      </c>
      <c r="H16" s="18">
        <f>IF(E16="","",IFERROR(INDEX(Recipes!$G$5:$G$204,MATCH(E16,Recipes!$A$5:$A$204,0)),"Not found"))</f>
        <v>0</v>
      </c>
      <c r="I16" s="45">
        <f>IF(OR(G16="",H16="",NOT(ISNUMBER(H16))),"",G16*H16)</f>
        <v>0</v>
      </c>
      <c r="J16" s="18">
        <f>IF(E16="","",IFERROR(INDEX(Recipes!$J$5:$J$204,MATCH(E16,Recipes!$A$5:$A$204,0)),"Not found"))</f>
        <v>0</v>
      </c>
      <c r="L16" s="18">
        <f>IF(B16="","",IF(K16&lt;&gt;"",K16,IF(ISNUMBER(J16),J16,0)))</f>
        <v>0</v>
      </c>
      <c r="M16" s="45">
        <f>IF(OR(I16="",I16=0,L16=0),"",L16/I16)</f>
        <v>0</v>
      </c>
      <c r="R16" s="18">
        <f>IF(OR(P16="",Q16=""),"",COUNTIFS('Meal Plan'!$B$5:$B$504,"&gt;="&amp;P16,'Meal Plan'!$B$5:$B$504,"&lt;="&amp;Q16,'Meal Plan'!$G$5:$G$504,E16))</f>
        <v>0</v>
      </c>
      <c r="T16" s="25">
        <f>IF(OR(G16="",E16=""),"",IFERROR(INDEX(Recipes!$AC$5:$AC$204,MATCH(E16,Recipes!$A$5:$A$204,0))*G16,""))</f>
        <v>0</v>
      </c>
      <c r="U16" s="25">
        <f>IF(OR(T16="",I16="",I16=0),"",T16/I16)</f>
        <v>0</v>
      </c>
      <c r="V16" s="18">
        <f>IF(OR(B16="",W16="Done",NOT(ISNUMBER(C16))),"",COUNTIFS($W$5:$W$124,"&lt;&gt;Done",$C$5:$C$124,"&lt;"&amp;C16)+COUNTIFS($W$5:W16,"&lt;&gt;Done",$C$5:C16,C16))</f>
        <v>0</v>
      </c>
      <c r="X16" s="31">
        <f>IF(B16="","",IF(W16="Done","OK",IF(AND(C16&lt;&gt;"",C16&lt;TODAY()),"Overdue - still not made",IF(C16=TODAY(),"Today - prep day",IF(AND(C16&lt;&gt;"",C16-TODAY()&lt;=PrepLeadDays),"Due - coming up","OK")))))</f>
        <v>0</v>
      </c>
    </row>
    <row r="17" spans="1:24">
      <c r="A17" s="39">
        <f>IF(B17="","","PR-"&amp;TEXT(ROW()-4,"000"))</f>
        <v>0</v>
      </c>
      <c r="D17" s="17">
        <f>IF(C17="","",TEXT(C17,"ddd"))</f>
        <v>0</v>
      </c>
      <c r="F17" s="17">
        <f>IF(E17="","",IFERROR(INDEX(Recipes!$B$5:$B$204,MATCH(E17,Recipes!$A$5:$A$204,0)),"Not found"))</f>
        <v>0</v>
      </c>
      <c r="H17" s="18">
        <f>IF(E17="","",IFERROR(INDEX(Recipes!$G$5:$G$204,MATCH(E17,Recipes!$A$5:$A$204,0)),"Not found"))</f>
        <v>0</v>
      </c>
      <c r="I17" s="45">
        <f>IF(OR(G17="",H17="",NOT(ISNUMBER(H17))),"",G17*H17)</f>
        <v>0</v>
      </c>
      <c r="J17" s="18">
        <f>IF(E17="","",IFERROR(INDEX(Recipes!$J$5:$J$204,MATCH(E17,Recipes!$A$5:$A$204,0)),"Not found"))</f>
        <v>0</v>
      </c>
      <c r="L17" s="18">
        <f>IF(B17="","",IF(K17&lt;&gt;"",K17,IF(ISNUMBER(J17),J17,0)))</f>
        <v>0</v>
      </c>
      <c r="M17" s="45">
        <f>IF(OR(I17="",I17=0,L17=0),"",L17/I17)</f>
        <v>0</v>
      </c>
      <c r="R17" s="18">
        <f>IF(OR(P17="",Q17=""),"",COUNTIFS('Meal Plan'!$B$5:$B$504,"&gt;="&amp;P17,'Meal Plan'!$B$5:$B$504,"&lt;="&amp;Q17,'Meal Plan'!$G$5:$G$504,E17))</f>
        <v>0</v>
      </c>
      <c r="T17" s="25">
        <f>IF(OR(G17="",E17=""),"",IFERROR(INDEX(Recipes!$AC$5:$AC$204,MATCH(E17,Recipes!$A$5:$A$204,0))*G17,""))</f>
        <v>0</v>
      </c>
      <c r="U17" s="25">
        <f>IF(OR(T17="",I17="",I17=0),"",T17/I17)</f>
        <v>0</v>
      </c>
      <c r="V17" s="18">
        <f>IF(OR(B17="",W17="Done",NOT(ISNUMBER(C17))),"",COUNTIFS($W$5:$W$124,"&lt;&gt;Done",$C$5:$C$124,"&lt;"&amp;C17)+COUNTIFS($W$5:W17,"&lt;&gt;Done",$C$5:C17,C17))</f>
        <v>0</v>
      </c>
      <c r="X17" s="31">
        <f>IF(B17="","",IF(W17="Done","OK",IF(AND(C17&lt;&gt;"",C17&lt;TODAY()),"Overdue - still not made",IF(C17=TODAY(),"Today - prep day",IF(AND(C17&lt;&gt;"",C17-TODAY()&lt;=PrepLeadDays),"Due - coming up","OK")))))</f>
        <v>0</v>
      </c>
    </row>
    <row r="18" spans="1:24">
      <c r="A18" s="39">
        <f>IF(B18="","","PR-"&amp;TEXT(ROW()-4,"000"))</f>
        <v>0</v>
      </c>
      <c r="D18" s="17">
        <f>IF(C18="","",TEXT(C18,"ddd"))</f>
        <v>0</v>
      </c>
      <c r="F18" s="17">
        <f>IF(E18="","",IFERROR(INDEX(Recipes!$B$5:$B$204,MATCH(E18,Recipes!$A$5:$A$204,0)),"Not found"))</f>
        <v>0</v>
      </c>
      <c r="H18" s="18">
        <f>IF(E18="","",IFERROR(INDEX(Recipes!$G$5:$G$204,MATCH(E18,Recipes!$A$5:$A$204,0)),"Not found"))</f>
        <v>0</v>
      </c>
      <c r="I18" s="45">
        <f>IF(OR(G18="",H18="",NOT(ISNUMBER(H18))),"",G18*H18)</f>
        <v>0</v>
      </c>
      <c r="J18" s="18">
        <f>IF(E18="","",IFERROR(INDEX(Recipes!$J$5:$J$204,MATCH(E18,Recipes!$A$5:$A$204,0)),"Not found"))</f>
        <v>0</v>
      </c>
      <c r="L18" s="18">
        <f>IF(B18="","",IF(K18&lt;&gt;"",K18,IF(ISNUMBER(J18),J18,0)))</f>
        <v>0</v>
      </c>
      <c r="M18" s="45">
        <f>IF(OR(I18="",I18=0,L18=0),"",L18/I18)</f>
        <v>0</v>
      </c>
      <c r="R18" s="18">
        <f>IF(OR(P18="",Q18=""),"",COUNTIFS('Meal Plan'!$B$5:$B$504,"&gt;="&amp;P18,'Meal Plan'!$B$5:$B$504,"&lt;="&amp;Q18,'Meal Plan'!$G$5:$G$504,E18))</f>
        <v>0</v>
      </c>
      <c r="T18" s="25">
        <f>IF(OR(G18="",E18=""),"",IFERROR(INDEX(Recipes!$AC$5:$AC$204,MATCH(E18,Recipes!$A$5:$A$204,0))*G18,""))</f>
        <v>0</v>
      </c>
      <c r="U18" s="25">
        <f>IF(OR(T18="",I18="",I18=0),"",T18/I18)</f>
        <v>0</v>
      </c>
      <c r="V18" s="18">
        <f>IF(OR(B18="",W18="Done",NOT(ISNUMBER(C18))),"",COUNTIFS($W$5:$W$124,"&lt;&gt;Done",$C$5:$C$124,"&lt;"&amp;C18)+COUNTIFS($W$5:W18,"&lt;&gt;Done",$C$5:C18,C18))</f>
        <v>0</v>
      </c>
      <c r="X18" s="31">
        <f>IF(B18="","",IF(W18="Done","OK",IF(AND(C18&lt;&gt;"",C18&lt;TODAY()),"Overdue - still not made",IF(C18=TODAY(),"Today - prep day",IF(AND(C18&lt;&gt;"",C18-TODAY()&lt;=PrepLeadDays),"Due - coming up","OK")))))</f>
        <v>0</v>
      </c>
    </row>
    <row r="19" spans="1:24">
      <c r="A19" s="39">
        <f>IF(B19="","","PR-"&amp;TEXT(ROW()-4,"000"))</f>
        <v>0</v>
      </c>
      <c r="D19" s="17">
        <f>IF(C19="","",TEXT(C19,"ddd"))</f>
        <v>0</v>
      </c>
      <c r="F19" s="17">
        <f>IF(E19="","",IFERROR(INDEX(Recipes!$B$5:$B$204,MATCH(E19,Recipes!$A$5:$A$204,0)),"Not found"))</f>
        <v>0</v>
      </c>
      <c r="H19" s="18">
        <f>IF(E19="","",IFERROR(INDEX(Recipes!$G$5:$G$204,MATCH(E19,Recipes!$A$5:$A$204,0)),"Not found"))</f>
        <v>0</v>
      </c>
      <c r="I19" s="45">
        <f>IF(OR(G19="",H19="",NOT(ISNUMBER(H19))),"",G19*H19)</f>
        <v>0</v>
      </c>
      <c r="J19" s="18">
        <f>IF(E19="","",IFERROR(INDEX(Recipes!$J$5:$J$204,MATCH(E19,Recipes!$A$5:$A$204,0)),"Not found"))</f>
        <v>0</v>
      </c>
      <c r="L19" s="18">
        <f>IF(B19="","",IF(K19&lt;&gt;"",K19,IF(ISNUMBER(J19),J19,0)))</f>
        <v>0</v>
      </c>
      <c r="M19" s="45">
        <f>IF(OR(I19="",I19=0,L19=0),"",L19/I19)</f>
        <v>0</v>
      </c>
      <c r="R19" s="18">
        <f>IF(OR(P19="",Q19=""),"",COUNTIFS('Meal Plan'!$B$5:$B$504,"&gt;="&amp;P19,'Meal Plan'!$B$5:$B$504,"&lt;="&amp;Q19,'Meal Plan'!$G$5:$G$504,E19))</f>
        <v>0</v>
      </c>
      <c r="T19" s="25">
        <f>IF(OR(G19="",E19=""),"",IFERROR(INDEX(Recipes!$AC$5:$AC$204,MATCH(E19,Recipes!$A$5:$A$204,0))*G19,""))</f>
        <v>0</v>
      </c>
      <c r="U19" s="25">
        <f>IF(OR(T19="",I19="",I19=0),"",T19/I19)</f>
        <v>0</v>
      </c>
      <c r="V19" s="18">
        <f>IF(OR(B19="",W19="Done",NOT(ISNUMBER(C19))),"",COUNTIFS($W$5:$W$124,"&lt;&gt;Done",$C$5:$C$124,"&lt;"&amp;C19)+COUNTIFS($W$5:W19,"&lt;&gt;Done",$C$5:C19,C19))</f>
        <v>0</v>
      </c>
      <c r="X19" s="31">
        <f>IF(B19="","",IF(W19="Done","OK",IF(AND(C19&lt;&gt;"",C19&lt;TODAY()),"Overdue - still not made",IF(C19=TODAY(),"Today - prep day",IF(AND(C19&lt;&gt;"",C19-TODAY()&lt;=PrepLeadDays),"Due - coming up","OK")))))</f>
        <v>0</v>
      </c>
    </row>
    <row r="20" spans="1:24">
      <c r="A20" s="39">
        <f>IF(B20="","","PR-"&amp;TEXT(ROW()-4,"000"))</f>
        <v>0</v>
      </c>
      <c r="D20" s="17">
        <f>IF(C20="","",TEXT(C20,"ddd"))</f>
        <v>0</v>
      </c>
      <c r="F20" s="17">
        <f>IF(E20="","",IFERROR(INDEX(Recipes!$B$5:$B$204,MATCH(E20,Recipes!$A$5:$A$204,0)),"Not found"))</f>
        <v>0</v>
      </c>
      <c r="H20" s="18">
        <f>IF(E20="","",IFERROR(INDEX(Recipes!$G$5:$G$204,MATCH(E20,Recipes!$A$5:$A$204,0)),"Not found"))</f>
        <v>0</v>
      </c>
      <c r="I20" s="45">
        <f>IF(OR(G20="",H20="",NOT(ISNUMBER(H20))),"",G20*H20)</f>
        <v>0</v>
      </c>
      <c r="J20" s="18">
        <f>IF(E20="","",IFERROR(INDEX(Recipes!$J$5:$J$204,MATCH(E20,Recipes!$A$5:$A$204,0)),"Not found"))</f>
        <v>0</v>
      </c>
      <c r="L20" s="18">
        <f>IF(B20="","",IF(K20&lt;&gt;"",K20,IF(ISNUMBER(J20),J20,0)))</f>
        <v>0</v>
      </c>
      <c r="M20" s="45">
        <f>IF(OR(I20="",I20=0,L20=0),"",L20/I20)</f>
        <v>0</v>
      </c>
      <c r="R20" s="18">
        <f>IF(OR(P20="",Q20=""),"",COUNTIFS('Meal Plan'!$B$5:$B$504,"&gt;="&amp;P20,'Meal Plan'!$B$5:$B$504,"&lt;="&amp;Q20,'Meal Plan'!$G$5:$G$504,E20))</f>
        <v>0</v>
      </c>
      <c r="T20" s="25">
        <f>IF(OR(G20="",E20=""),"",IFERROR(INDEX(Recipes!$AC$5:$AC$204,MATCH(E20,Recipes!$A$5:$A$204,0))*G20,""))</f>
        <v>0</v>
      </c>
      <c r="U20" s="25">
        <f>IF(OR(T20="",I20="",I20=0),"",T20/I20)</f>
        <v>0</v>
      </c>
      <c r="V20" s="18">
        <f>IF(OR(B20="",W20="Done",NOT(ISNUMBER(C20))),"",COUNTIFS($W$5:$W$124,"&lt;&gt;Done",$C$5:$C$124,"&lt;"&amp;C20)+COUNTIFS($W$5:W20,"&lt;&gt;Done",$C$5:C20,C20))</f>
        <v>0</v>
      </c>
      <c r="X20" s="31">
        <f>IF(B20="","",IF(W20="Done","OK",IF(AND(C20&lt;&gt;"",C20&lt;TODAY()),"Overdue - still not made",IF(C20=TODAY(),"Today - prep day",IF(AND(C20&lt;&gt;"",C20-TODAY()&lt;=PrepLeadDays),"Due - coming up","OK")))))</f>
        <v>0</v>
      </c>
    </row>
    <row r="21" spans="1:24">
      <c r="A21" s="39">
        <f>IF(B21="","","PR-"&amp;TEXT(ROW()-4,"000"))</f>
        <v>0</v>
      </c>
      <c r="D21" s="17">
        <f>IF(C21="","",TEXT(C21,"ddd"))</f>
        <v>0</v>
      </c>
      <c r="F21" s="17">
        <f>IF(E21="","",IFERROR(INDEX(Recipes!$B$5:$B$204,MATCH(E21,Recipes!$A$5:$A$204,0)),"Not found"))</f>
        <v>0</v>
      </c>
      <c r="H21" s="18">
        <f>IF(E21="","",IFERROR(INDEX(Recipes!$G$5:$G$204,MATCH(E21,Recipes!$A$5:$A$204,0)),"Not found"))</f>
        <v>0</v>
      </c>
      <c r="I21" s="45">
        <f>IF(OR(G21="",H21="",NOT(ISNUMBER(H21))),"",G21*H21)</f>
        <v>0</v>
      </c>
      <c r="J21" s="18">
        <f>IF(E21="","",IFERROR(INDEX(Recipes!$J$5:$J$204,MATCH(E21,Recipes!$A$5:$A$204,0)),"Not found"))</f>
        <v>0</v>
      </c>
      <c r="L21" s="18">
        <f>IF(B21="","",IF(K21&lt;&gt;"",K21,IF(ISNUMBER(J21),J21,0)))</f>
        <v>0</v>
      </c>
      <c r="M21" s="45">
        <f>IF(OR(I21="",I21=0,L21=0),"",L21/I21)</f>
        <v>0</v>
      </c>
      <c r="R21" s="18">
        <f>IF(OR(P21="",Q21=""),"",COUNTIFS('Meal Plan'!$B$5:$B$504,"&gt;="&amp;P21,'Meal Plan'!$B$5:$B$504,"&lt;="&amp;Q21,'Meal Plan'!$G$5:$G$504,E21))</f>
        <v>0</v>
      </c>
      <c r="T21" s="25">
        <f>IF(OR(G21="",E21=""),"",IFERROR(INDEX(Recipes!$AC$5:$AC$204,MATCH(E21,Recipes!$A$5:$A$204,0))*G21,""))</f>
        <v>0</v>
      </c>
      <c r="U21" s="25">
        <f>IF(OR(T21="",I21="",I21=0),"",T21/I21)</f>
        <v>0</v>
      </c>
      <c r="V21" s="18">
        <f>IF(OR(B21="",W21="Done",NOT(ISNUMBER(C21))),"",COUNTIFS($W$5:$W$124,"&lt;&gt;Done",$C$5:$C$124,"&lt;"&amp;C21)+COUNTIFS($W$5:W21,"&lt;&gt;Done",$C$5:C21,C21))</f>
        <v>0</v>
      </c>
      <c r="X21" s="31">
        <f>IF(B21="","",IF(W21="Done","OK",IF(AND(C21&lt;&gt;"",C21&lt;TODAY()),"Overdue - still not made",IF(C21=TODAY(),"Today - prep day",IF(AND(C21&lt;&gt;"",C21-TODAY()&lt;=PrepLeadDays),"Due - coming up","OK")))))</f>
        <v>0</v>
      </c>
    </row>
    <row r="22" spans="1:24">
      <c r="A22" s="39">
        <f>IF(B22="","","PR-"&amp;TEXT(ROW()-4,"000"))</f>
        <v>0</v>
      </c>
      <c r="D22" s="17">
        <f>IF(C22="","",TEXT(C22,"ddd"))</f>
        <v>0</v>
      </c>
      <c r="F22" s="17">
        <f>IF(E22="","",IFERROR(INDEX(Recipes!$B$5:$B$204,MATCH(E22,Recipes!$A$5:$A$204,0)),"Not found"))</f>
        <v>0</v>
      </c>
      <c r="H22" s="18">
        <f>IF(E22="","",IFERROR(INDEX(Recipes!$G$5:$G$204,MATCH(E22,Recipes!$A$5:$A$204,0)),"Not found"))</f>
        <v>0</v>
      </c>
      <c r="I22" s="45">
        <f>IF(OR(G22="",H22="",NOT(ISNUMBER(H22))),"",G22*H22)</f>
        <v>0</v>
      </c>
      <c r="J22" s="18">
        <f>IF(E22="","",IFERROR(INDEX(Recipes!$J$5:$J$204,MATCH(E22,Recipes!$A$5:$A$204,0)),"Not found"))</f>
        <v>0</v>
      </c>
      <c r="L22" s="18">
        <f>IF(B22="","",IF(K22&lt;&gt;"",K22,IF(ISNUMBER(J22),J22,0)))</f>
        <v>0</v>
      </c>
      <c r="M22" s="45">
        <f>IF(OR(I22="",I22=0,L22=0),"",L22/I22)</f>
        <v>0</v>
      </c>
      <c r="R22" s="18">
        <f>IF(OR(P22="",Q22=""),"",COUNTIFS('Meal Plan'!$B$5:$B$504,"&gt;="&amp;P22,'Meal Plan'!$B$5:$B$504,"&lt;="&amp;Q22,'Meal Plan'!$G$5:$G$504,E22))</f>
        <v>0</v>
      </c>
      <c r="T22" s="25">
        <f>IF(OR(G22="",E22=""),"",IFERROR(INDEX(Recipes!$AC$5:$AC$204,MATCH(E22,Recipes!$A$5:$A$204,0))*G22,""))</f>
        <v>0</v>
      </c>
      <c r="U22" s="25">
        <f>IF(OR(T22="",I22="",I22=0),"",T22/I22)</f>
        <v>0</v>
      </c>
      <c r="V22" s="18">
        <f>IF(OR(B22="",W22="Done",NOT(ISNUMBER(C22))),"",COUNTIFS($W$5:$W$124,"&lt;&gt;Done",$C$5:$C$124,"&lt;"&amp;C22)+COUNTIFS($W$5:W22,"&lt;&gt;Done",$C$5:C22,C22))</f>
        <v>0</v>
      </c>
      <c r="X22" s="31">
        <f>IF(B22="","",IF(W22="Done","OK",IF(AND(C22&lt;&gt;"",C22&lt;TODAY()),"Overdue - still not made",IF(C22=TODAY(),"Today - prep day",IF(AND(C22&lt;&gt;"",C22-TODAY()&lt;=PrepLeadDays),"Due - coming up","OK")))))</f>
        <v>0</v>
      </c>
    </row>
    <row r="23" spans="1:24">
      <c r="A23" s="39">
        <f>IF(B23="","","PR-"&amp;TEXT(ROW()-4,"000"))</f>
        <v>0</v>
      </c>
      <c r="D23" s="17">
        <f>IF(C23="","",TEXT(C23,"ddd"))</f>
        <v>0</v>
      </c>
      <c r="F23" s="17">
        <f>IF(E23="","",IFERROR(INDEX(Recipes!$B$5:$B$204,MATCH(E23,Recipes!$A$5:$A$204,0)),"Not found"))</f>
        <v>0</v>
      </c>
      <c r="H23" s="18">
        <f>IF(E23="","",IFERROR(INDEX(Recipes!$G$5:$G$204,MATCH(E23,Recipes!$A$5:$A$204,0)),"Not found"))</f>
        <v>0</v>
      </c>
      <c r="I23" s="45">
        <f>IF(OR(G23="",H23="",NOT(ISNUMBER(H23))),"",G23*H23)</f>
        <v>0</v>
      </c>
      <c r="J23" s="18">
        <f>IF(E23="","",IFERROR(INDEX(Recipes!$J$5:$J$204,MATCH(E23,Recipes!$A$5:$A$204,0)),"Not found"))</f>
        <v>0</v>
      </c>
      <c r="L23" s="18">
        <f>IF(B23="","",IF(K23&lt;&gt;"",K23,IF(ISNUMBER(J23),J23,0)))</f>
        <v>0</v>
      </c>
      <c r="M23" s="45">
        <f>IF(OR(I23="",I23=0,L23=0),"",L23/I23)</f>
        <v>0</v>
      </c>
      <c r="R23" s="18">
        <f>IF(OR(P23="",Q23=""),"",COUNTIFS('Meal Plan'!$B$5:$B$504,"&gt;="&amp;P23,'Meal Plan'!$B$5:$B$504,"&lt;="&amp;Q23,'Meal Plan'!$G$5:$G$504,E23))</f>
        <v>0</v>
      </c>
      <c r="T23" s="25">
        <f>IF(OR(G23="",E23=""),"",IFERROR(INDEX(Recipes!$AC$5:$AC$204,MATCH(E23,Recipes!$A$5:$A$204,0))*G23,""))</f>
        <v>0</v>
      </c>
      <c r="U23" s="25">
        <f>IF(OR(T23="",I23="",I23=0),"",T23/I23)</f>
        <v>0</v>
      </c>
      <c r="V23" s="18">
        <f>IF(OR(B23="",W23="Done",NOT(ISNUMBER(C23))),"",COUNTIFS($W$5:$W$124,"&lt;&gt;Done",$C$5:$C$124,"&lt;"&amp;C23)+COUNTIFS($W$5:W23,"&lt;&gt;Done",$C$5:C23,C23))</f>
        <v>0</v>
      </c>
      <c r="X23" s="31">
        <f>IF(B23="","",IF(W23="Done","OK",IF(AND(C23&lt;&gt;"",C23&lt;TODAY()),"Overdue - still not made",IF(C23=TODAY(),"Today - prep day",IF(AND(C23&lt;&gt;"",C23-TODAY()&lt;=PrepLeadDays),"Due - coming up","OK")))))</f>
        <v>0</v>
      </c>
    </row>
    <row r="24" spans="1:24">
      <c r="A24" s="39">
        <f>IF(B24="","","PR-"&amp;TEXT(ROW()-4,"000"))</f>
        <v>0</v>
      </c>
      <c r="D24" s="17">
        <f>IF(C24="","",TEXT(C24,"ddd"))</f>
        <v>0</v>
      </c>
      <c r="F24" s="17">
        <f>IF(E24="","",IFERROR(INDEX(Recipes!$B$5:$B$204,MATCH(E24,Recipes!$A$5:$A$204,0)),"Not found"))</f>
        <v>0</v>
      </c>
      <c r="H24" s="18">
        <f>IF(E24="","",IFERROR(INDEX(Recipes!$G$5:$G$204,MATCH(E24,Recipes!$A$5:$A$204,0)),"Not found"))</f>
        <v>0</v>
      </c>
      <c r="I24" s="45">
        <f>IF(OR(G24="",H24="",NOT(ISNUMBER(H24))),"",G24*H24)</f>
        <v>0</v>
      </c>
      <c r="J24" s="18">
        <f>IF(E24="","",IFERROR(INDEX(Recipes!$J$5:$J$204,MATCH(E24,Recipes!$A$5:$A$204,0)),"Not found"))</f>
        <v>0</v>
      </c>
      <c r="L24" s="18">
        <f>IF(B24="","",IF(K24&lt;&gt;"",K24,IF(ISNUMBER(J24),J24,0)))</f>
        <v>0</v>
      </c>
      <c r="M24" s="45">
        <f>IF(OR(I24="",I24=0,L24=0),"",L24/I24)</f>
        <v>0</v>
      </c>
      <c r="R24" s="18">
        <f>IF(OR(P24="",Q24=""),"",COUNTIFS('Meal Plan'!$B$5:$B$504,"&gt;="&amp;P24,'Meal Plan'!$B$5:$B$504,"&lt;="&amp;Q24,'Meal Plan'!$G$5:$G$504,E24))</f>
        <v>0</v>
      </c>
      <c r="T24" s="25">
        <f>IF(OR(G24="",E24=""),"",IFERROR(INDEX(Recipes!$AC$5:$AC$204,MATCH(E24,Recipes!$A$5:$A$204,0))*G24,""))</f>
        <v>0</v>
      </c>
      <c r="U24" s="25">
        <f>IF(OR(T24="",I24="",I24=0),"",T24/I24)</f>
        <v>0</v>
      </c>
      <c r="V24" s="18">
        <f>IF(OR(B24="",W24="Done",NOT(ISNUMBER(C24))),"",COUNTIFS($W$5:$W$124,"&lt;&gt;Done",$C$5:$C$124,"&lt;"&amp;C24)+COUNTIFS($W$5:W24,"&lt;&gt;Done",$C$5:C24,C24))</f>
        <v>0</v>
      </c>
      <c r="X24" s="31">
        <f>IF(B24="","",IF(W24="Done","OK",IF(AND(C24&lt;&gt;"",C24&lt;TODAY()),"Overdue - still not made",IF(C24=TODAY(),"Today - prep day",IF(AND(C24&lt;&gt;"",C24-TODAY()&lt;=PrepLeadDays),"Due - coming up","OK")))))</f>
        <v>0</v>
      </c>
    </row>
    <row r="25" spans="1:24">
      <c r="A25" s="39">
        <f>IF(B25="","","PR-"&amp;TEXT(ROW()-4,"000"))</f>
        <v>0</v>
      </c>
      <c r="D25" s="17">
        <f>IF(C25="","",TEXT(C25,"ddd"))</f>
        <v>0</v>
      </c>
      <c r="F25" s="17">
        <f>IF(E25="","",IFERROR(INDEX(Recipes!$B$5:$B$204,MATCH(E25,Recipes!$A$5:$A$204,0)),"Not found"))</f>
        <v>0</v>
      </c>
      <c r="H25" s="18">
        <f>IF(E25="","",IFERROR(INDEX(Recipes!$G$5:$G$204,MATCH(E25,Recipes!$A$5:$A$204,0)),"Not found"))</f>
        <v>0</v>
      </c>
      <c r="I25" s="45">
        <f>IF(OR(G25="",H25="",NOT(ISNUMBER(H25))),"",G25*H25)</f>
        <v>0</v>
      </c>
      <c r="J25" s="18">
        <f>IF(E25="","",IFERROR(INDEX(Recipes!$J$5:$J$204,MATCH(E25,Recipes!$A$5:$A$204,0)),"Not found"))</f>
        <v>0</v>
      </c>
      <c r="L25" s="18">
        <f>IF(B25="","",IF(K25&lt;&gt;"",K25,IF(ISNUMBER(J25),J25,0)))</f>
        <v>0</v>
      </c>
      <c r="M25" s="45">
        <f>IF(OR(I25="",I25=0,L25=0),"",L25/I25)</f>
        <v>0</v>
      </c>
      <c r="R25" s="18">
        <f>IF(OR(P25="",Q25=""),"",COUNTIFS('Meal Plan'!$B$5:$B$504,"&gt;="&amp;P25,'Meal Plan'!$B$5:$B$504,"&lt;="&amp;Q25,'Meal Plan'!$G$5:$G$504,E25))</f>
        <v>0</v>
      </c>
      <c r="T25" s="25">
        <f>IF(OR(G25="",E25=""),"",IFERROR(INDEX(Recipes!$AC$5:$AC$204,MATCH(E25,Recipes!$A$5:$A$204,0))*G25,""))</f>
        <v>0</v>
      </c>
      <c r="U25" s="25">
        <f>IF(OR(T25="",I25="",I25=0),"",T25/I25)</f>
        <v>0</v>
      </c>
      <c r="V25" s="18">
        <f>IF(OR(B25="",W25="Done",NOT(ISNUMBER(C25))),"",COUNTIFS($W$5:$W$124,"&lt;&gt;Done",$C$5:$C$124,"&lt;"&amp;C25)+COUNTIFS($W$5:W25,"&lt;&gt;Done",$C$5:C25,C25))</f>
        <v>0</v>
      </c>
      <c r="X25" s="31">
        <f>IF(B25="","",IF(W25="Done","OK",IF(AND(C25&lt;&gt;"",C25&lt;TODAY()),"Overdue - still not made",IF(C25=TODAY(),"Today - prep day",IF(AND(C25&lt;&gt;"",C25-TODAY()&lt;=PrepLeadDays),"Due - coming up","OK")))))</f>
        <v>0</v>
      </c>
    </row>
    <row r="26" spans="1:24">
      <c r="A26" s="39">
        <f>IF(B26="","","PR-"&amp;TEXT(ROW()-4,"000"))</f>
        <v>0</v>
      </c>
      <c r="D26" s="17">
        <f>IF(C26="","",TEXT(C26,"ddd"))</f>
        <v>0</v>
      </c>
      <c r="F26" s="17">
        <f>IF(E26="","",IFERROR(INDEX(Recipes!$B$5:$B$204,MATCH(E26,Recipes!$A$5:$A$204,0)),"Not found"))</f>
        <v>0</v>
      </c>
      <c r="H26" s="18">
        <f>IF(E26="","",IFERROR(INDEX(Recipes!$G$5:$G$204,MATCH(E26,Recipes!$A$5:$A$204,0)),"Not found"))</f>
        <v>0</v>
      </c>
      <c r="I26" s="45">
        <f>IF(OR(G26="",H26="",NOT(ISNUMBER(H26))),"",G26*H26)</f>
        <v>0</v>
      </c>
      <c r="J26" s="18">
        <f>IF(E26="","",IFERROR(INDEX(Recipes!$J$5:$J$204,MATCH(E26,Recipes!$A$5:$A$204,0)),"Not found"))</f>
        <v>0</v>
      </c>
      <c r="L26" s="18">
        <f>IF(B26="","",IF(K26&lt;&gt;"",K26,IF(ISNUMBER(J26),J26,0)))</f>
        <v>0</v>
      </c>
      <c r="M26" s="45">
        <f>IF(OR(I26="",I26=0,L26=0),"",L26/I26)</f>
        <v>0</v>
      </c>
      <c r="R26" s="18">
        <f>IF(OR(P26="",Q26=""),"",COUNTIFS('Meal Plan'!$B$5:$B$504,"&gt;="&amp;P26,'Meal Plan'!$B$5:$B$504,"&lt;="&amp;Q26,'Meal Plan'!$G$5:$G$504,E26))</f>
        <v>0</v>
      </c>
      <c r="T26" s="25">
        <f>IF(OR(G26="",E26=""),"",IFERROR(INDEX(Recipes!$AC$5:$AC$204,MATCH(E26,Recipes!$A$5:$A$204,0))*G26,""))</f>
        <v>0</v>
      </c>
      <c r="U26" s="25">
        <f>IF(OR(T26="",I26="",I26=0),"",T26/I26)</f>
        <v>0</v>
      </c>
      <c r="V26" s="18">
        <f>IF(OR(B26="",W26="Done",NOT(ISNUMBER(C26))),"",COUNTIFS($W$5:$W$124,"&lt;&gt;Done",$C$5:$C$124,"&lt;"&amp;C26)+COUNTIFS($W$5:W26,"&lt;&gt;Done",$C$5:C26,C26))</f>
        <v>0</v>
      </c>
      <c r="X26" s="31">
        <f>IF(B26="","",IF(W26="Done","OK",IF(AND(C26&lt;&gt;"",C26&lt;TODAY()),"Overdue - still not made",IF(C26=TODAY(),"Today - prep day",IF(AND(C26&lt;&gt;"",C26-TODAY()&lt;=PrepLeadDays),"Due - coming up","OK")))))</f>
        <v>0</v>
      </c>
    </row>
    <row r="27" spans="1:24">
      <c r="A27" s="39">
        <f>IF(B27="","","PR-"&amp;TEXT(ROW()-4,"000"))</f>
        <v>0</v>
      </c>
      <c r="D27" s="17">
        <f>IF(C27="","",TEXT(C27,"ddd"))</f>
        <v>0</v>
      </c>
      <c r="F27" s="17">
        <f>IF(E27="","",IFERROR(INDEX(Recipes!$B$5:$B$204,MATCH(E27,Recipes!$A$5:$A$204,0)),"Not found"))</f>
        <v>0</v>
      </c>
      <c r="H27" s="18">
        <f>IF(E27="","",IFERROR(INDEX(Recipes!$G$5:$G$204,MATCH(E27,Recipes!$A$5:$A$204,0)),"Not found"))</f>
        <v>0</v>
      </c>
      <c r="I27" s="45">
        <f>IF(OR(G27="",H27="",NOT(ISNUMBER(H27))),"",G27*H27)</f>
        <v>0</v>
      </c>
      <c r="J27" s="18">
        <f>IF(E27="","",IFERROR(INDEX(Recipes!$J$5:$J$204,MATCH(E27,Recipes!$A$5:$A$204,0)),"Not found"))</f>
        <v>0</v>
      </c>
      <c r="L27" s="18">
        <f>IF(B27="","",IF(K27&lt;&gt;"",K27,IF(ISNUMBER(J27),J27,0)))</f>
        <v>0</v>
      </c>
      <c r="M27" s="45">
        <f>IF(OR(I27="",I27=0,L27=0),"",L27/I27)</f>
        <v>0</v>
      </c>
      <c r="R27" s="18">
        <f>IF(OR(P27="",Q27=""),"",COUNTIFS('Meal Plan'!$B$5:$B$504,"&gt;="&amp;P27,'Meal Plan'!$B$5:$B$504,"&lt;="&amp;Q27,'Meal Plan'!$G$5:$G$504,E27))</f>
        <v>0</v>
      </c>
      <c r="T27" s="25">
        <f>IF(OR(G27="",E27=""),"",IFERROR(INDEX(Recipes!$AC$5:$AC$204,MATCH(E27,Recipes!$A$5:$A$204,0))*G27,""))</f>
        <v>0</v>
      </c>
      <c r="U27" s="25">
        <f>IF(OR(T27="",I27="",I27=0),"",T27/I27)</f>
        <v>0</v>
      </c>
      <c r="V27" s="18">
        <f>IF(OR(B27="",W27="Done",NOT(ISNUMBER(C27))),"",COUNTIFS($W$5:$W$124,"&lt;&gt;Done",$C$5:$C$124,"&lt;"&amp;C27)+COUNTIFS($W$5:W27,"&lt;&gt;Done",$C$5:C27,C27))</f>
        <v>0</v>
      </c>
      <c r="X27" s="31">
        <f>IF(B27="","",IF(W27="Done","OK",IF(AND(C27&lt;&gt;"",C27&lt;TODAY()),"Overdue - still not made",IF(C27=TODAY(),"Today - prep day",IF(AND(C27&lt;&gt;"",C27-TODAY()&lt;=PrepLeadDays),"Due - coming up","OK")))))</f>
        <v>0</v>
      </c>
    </row>
    <row r="28" spans="1:24">
      <c r="A28" s="39">
        <f>IF(B28="","","PR-"&amp;TEXT(ROW()-4,"000"))</f>
        <v>0</v>
      </c>
      <c r="D28" s="17">
        <f>IF(C28="","",TEXT(C28,"ddd"))</f>
        <v>0</v>
      </c>
      <c r="F28" s="17">
        <f>IF(E28="","",IFERROR(INDEX(Recipes!$B$5:$B$204,MATCH(E28,Recipes!$A$5:$A$204,0)),"Not found"))</f>
        <v>0</v>
      </c>
      <c r="H28" s="18">
        <f>IF(E28="","",IFERROR(INDEX(Recipes!$G$5:$G$204,MATCH(E28,Recipes!$A$5:$A$204,0)),"Not found"))</f>
        <v>0</v>
      </c>
      <c r="I28" s="45">
        <f>IF(OR(G28="",H28="",NOT(ISNUMBER(H28))),"",G28*H28)</f>
        <v>0</v>
      </c>
      <c r="J28" s="18">
        <f>IF(E28="","",IFERROR(INDEX(Recipes!$J$5:$J$204,MATCH(E28,Recipes!$A$5:$A$204,0)),"Not found"))</f>
        <v>0</v>
      </c>
      <c r="L28" s="18">
        <f>IF(B28="","",IF(K28&lt;&gt;"",K28,IF(ISNUMBER(J28),J28,0)))</f>
        <v>0</v>
      </c>
      <c r="M28" s="45">
        <f>IF(OR(I28="",I28=0,L28=0),"",L28/I28)</f>
        <v>0</v>
      </c>
      <c r="R28" s="18">
        <f>IF(OR(P28="",Q28=""),"",COUNTIFS('Meal Plan'!$B$5:$B$504,"&gt;="&amp;P28,'Meal Plan'!$B$5:$B$504,"&lt;="&amp;Q28,'Meal Plan'!$G$5:$G$504,E28))</f>
        <v>0</v>
      </c>
      <c r="T28" s="25">
        <f>IF(OR(G28="",E28=""),"",IFERROR(INDEX(Recipes!$AC$5:$AC$204,MATCH(E28,Recipes!$A$5:$A$204,0))*G28,""))</f>
        <v>0</v>
      </c>
      <c r="U28" s="25">
        <f>IF(OR(T28="",I28="",I28=0),"",T28/I28)</f>
        <v>0</v>
      </c>
      <c r="V28" s="18">
        <f>IF(OR(B28="",W28="Done",NOT(ISNUMBER(C28))),"",COUNTIFS($W$5:$W$124,"&lt;&gt;Done",$C$5:$C$124,"&lt;"&amp;C28)+COUNTIFS($W$5:W28,"&lt;&gt;Done",$C$5:C28,C28))</f>
        <v>0</v>
      </c>
      <c r="X28" s="31">
        <f>IF(B28="","",IF(W28="Done","OK",IF(AND(C28&lt;&gt;"",C28&lt;TODAY()),"Overdue - still not made",IF(C28=TODAY(),"Today - prep day",IF(AND(C28&lt;&gt;"",C28-TODAY()&lt;=PrepLeadDays),"Due - coming up","OK")))))</f>
        <v>0</v>
      </c>
    </row>
    <row r="29" spans="1:24">
      <c r="A29" s="39">
        <f>IF(B29="","","PR-"&amp;TEXT(ROW()-4,"000"))</f>
        <v>0</v>
      </c>
      <c r="D29" s="17">
        <f>IF(C29="","",TEXT(C29,"ddd"))</f>
        <v>0</v>
      </c>
      <c r="F29" s="17">
        <f>IF(E29="","",IFERROR(INDEX(Recipes!$B$5:$B$204,MATCH(E29,Recipes!$A$5:$A$204,0)),"Not found"))</f>
        <v>0</v>
      </c>
      <c r="H29" s="18">
        <f>IF(E29="","",IFERROR(INDEX(Recipes!$G$5:$G$204,MATCH(E29,Recipes!$A$5:$A$204,0)),"Not found"))</f>
        <v>0</v>
      </c>
      <c r="I29" s="45">
        <f>IF(OR(G29="",H29="",NOT(ISNUMBER(H29))),"",G29*H29)</f>
        <v>0</v>
      </c>
      <c r="J29" s="18">
        <f>IF(E29="","",IFERROR(INDEX(Recipes!$J$5:$J$204,MATCH(E29,Recipes!$A$5:$A$204,0)),"Not found"))</f>
        <v>0</v>
      </c>
      <c r="L29" s="18">
        <f>IF(B29="","",IF(K29&lt;&gt;"",K29,IF(ISNUMBER(J29),J29,0)))</f>
        <v>0</v>
      </c>
      <c r="M29" s="45">
        <f>IF(OR(I29="",I29=0,L29=0),"",L29/I29)</f>
        <v>0</v>
      </c>
      <c r="R29" s="18">
        <f>IF(OR(P29="",Q29=""),"",COUNTIFS('Meal Plan'!$B$5:$B$504,"&gt;="&amp;P29,'Meal Plan'!$B$5:$B$504,"&lt;="&amp;Q29,'Meal Plan'!$G$5:$G$504,E29))</f>
        <v>0</v>
      </c>
      <c r="T29" s="25">
        <f>IF(OR(G29="",E29=""),"",IFERROR(INDEX(Recipes!$AC$5:$AC$204,MATCH(E29,Recipes!$A$5:$A$204,0))*G29,""))</f>
        <v>0</v>
      </c>
      <c r="U29" s="25">
        <f>IF(OR(T29="",I29="",I29=0),"",T29/I29)</f>
        <v>0</v>
      </c>
      <c r="V29" s="18">
        <f>IF(OR(B29="",W29="Done",NOT(ISNUMBER(C29))),"",COUNTIFS($W$5:$W$124,"&lt;&gt;Done",$C$5:$C$124,"&lt;"&amp;C29)+COUNTIFS($W$5:W29,"&lt;&gt;Done",$C$5:C29,C29))</f>
        <v>0</v>
      </c>
      <c r="X29" s="31">
        <f>IF(B29="","",IF(W29="Done","OK",IF(AND(C29&lt;&gt;"",C29&lt;TODAY()),"Overdue - still not made",IF(C29=TODAY(),"Today - prep day",IF(AND(C29&lt;&gt;"",C29-TODAY()&lt;=PrepLeadDays),"Due - coming up","OK")))))</f>
        <v>0</v>
      </c>
    </row>
    <row r="30" spans="1:24">
      <c r="A30" s="39">
        <f>IF(B30="","","PR-"&amp;TEXT(ROW()-4,"000"))</f>
        <v>0</v>
      </c>
      <c r="D30" s="17">
        <f>IF(C30="","",TEXT(C30,"ddd"))</f>
        <v>0</v>
      </c>
      <c r="F30" s="17">
        <f>IF(E30="","",IFERROR(INDEX(Recipes!$B$5:$B$204,MATCH(E30,Recipes!$A$5:$A$204,0)),"Not found"))</f>
        <v>0</v>
      </c>
      <c r="H30" s="18">
        <f>IF(E30="","",IFERROR(INDEX(Recipes!$G$5:$G$204,MATCH(E30,Recipes!$A$5:$A$204,0)),"Not found"))</f>
        <v>0</v>
      </c>
      <c r="I30" s="45">
        <f>IF(OR(G30="",H30="",NOT(ISNUMBER(H30))),"",G30*H30)</f>
        <v>0</v>
      </c>
      <c r="J30" s="18">
        <f>IF(E30="","",IFERROR(INDEX(Recipes!$J$5:$J$204,MATCH(E30,Recipes!$A$5:$A$204,0)),"Not found"))</f>
        <v>0</v>
      </c>
      <c r="L30" s="18">
        <f>IF(B30="","",IF(K30&lt;&gt;"",K30,IF(ISNUMBER(J30),J30,0)))</f>
        <v>0</v>
      </c>
      <c r="M30" s="45">
        <f>IF(OR(I30="",I30=0,L30=0),"",L30/I30)</f>
        <v>0</v>
      </c>
      <c r="R30" s="18">
        <f>IF(OR(P30="",Q30=""),"",COUNTIFS('Meal Plan'!$B$5:$B$504,"&gt;="&amp;P30,'Meal Plan'!$B$5:$B$504,"&lt;="&amp;Q30,'Meal Plan'!$G$5:$G$504,E30))</f>
        <v>0</v>
      </c>
      <c r="T30" s="25">
        <f>IF(OR(G30="",E30=""),"",IFERROR(INDEX(Recipes!$AC$5:$AC$204,MATCH(E30,Recipes!$A$5:$A$204,0))*G30,""))</f>
        <v>0</v>
      </c>
      <c r="U30" s="25">
        <f>IF(OR(T30="",I30="",I30=0),"",T30/I30)</f>
        <v>0</v>
      </c>
      <c r="V30" s="18">
        <f>IF(OR(B30="",W30="Done",NOT(ISNUMBER(C30))),"",COUNTIFS($W$5:$W$124,"&lt;&gt;Done",$C$5:$C$124,"&lt;"&amp;C30)+COUNTIFS($W$5:W30,"&lt;&gt;Done",$C$5:C30,C30))</f>
        <v>0</v>
      </c>
      <c r="X30" s="31">
        <f>IF(B30="","",IF(W30="Done","OK",IF(AND(C30&lt;&gt;"",C30&lt;TODAY()),"Overdue - still not made",IF(C30=TODAY(),"Today - prep day",IF(AND(C30&lt;&gt;"",C30-TODAY()&lt;=PrepLeadDays),"Due - coming up","OK")))))</f>
        <v>0</v>
      </c>
    </row>
    <row r="31" spans="1:24">
      <c r="A31" s="39">
        <f>IF(B31="","","PR-"&amp;TEXT(ROW()-4,"000"))</f>
        <v>0</v>
      </c>
      <c r="D31" s="17">
        <f>IF(C31="","",TEXT(C31,"ddd"))</f>
        <v>0</v>
      </c>
      <c r="F31" s="17">
        <f>IF(E31="","",IFERROR(INDEX(Recipes!$B$5:$B$204,MATCH(E31,Recipes!$A$5:$A$204,0)),"Not found"))</f>
        <v>0</v>
      </c>
      <c r="H31" s="18">
        <f>IF(E31="","",IFERROR(INDEX(Recipes!$G$5:$G$204,MATCH(E31,Recipes!$A$5:$A$204,0)),"Not found"))</f>
        <v>0</v>
      </c>
      <c r="I31" s="45">
        <f>IF(OR(G31="",H31="",NOT(ISNUMBER(H31))),"",G31*H31)</f>
        <v>0</v>
      </c>
      <c r="J31" s="18">
        <f>IF(E31="","",IFERROR(INDEX(Recipes!$J$5:$J$204,MATCH(E31,Recipes!$A$5:$A$204,0)),"Not found"))</f>
        <v>0</v>
      </c>
      <c r="L31" s="18">
        <f>IF(B31="","",IF(K31&lt;&gt;"",K31,IF(ISNUMBER(J31),J31,0)))</f>
        <v>0</v>
      </c>
      <c r="M31" s="45">
        <f>IF(OR(I31="",I31=0,L31=0),"",L31/I31)</f>
        <v>0</v>
      </c>
      <c r="R31" s="18">
        <f>IF(OR(P31="",Q31=""),"",COUNTIFS('Meal Plan'!$B$5:$B$504,"&gt;="&amp;P31,'Meal Plan'!$B$5:$B$504,"&lt;="&amp;Q31,'Meal Plan'!$G$5:$G$504,E31))</f>
        <v>0</v>
      </c>
      <c r="T31" s="25">
        <f>IF(OR(G31="",E31=""),"",IFERROR(INDEX(Recipes!$AC$5:$AC$204,MATCH(E31,Recipes!$A$5:$A$204,0))*G31,""))</f>
        <v>0</v>
      </c>
      <c r="U31" s="25">
        <f>IF(OR(T31="",I31="",I31=0),"",T31/I31)</f>
        <v>0</v>
      </c>
      <c r="V31" s="18">
        <f>IF(OR(B31="",W31="Done",NOT(ISNUMBER(C31))),"",COUNTIFS($W$5:$W$124,"&lt;&gt;Done",$C$5:$C$124,"&lt;"&amp;C31)+COUNTIFS($W$5:W31,"&lt;&gt;Done",$C$5:C31,C31))</f>
        <v>0</v>
      </c>
      <c r="X31" s="31">
        <f>IF(B31="","",IF(W31="Done","OK",IF(AND(C31&lt;&gt;"",C31&lt;TODAY()),"Overdue - still not made",IF(C31=TODAY(),"Today - prep day",IF(AND(C31&lt;&gt;"",C31-TODAY()&lt;=PrepLeadDays),"Due - coming up","OK")))))</f>
        <v>0</v>
      </c>
    </row>
    <row r="32" spans="1:24">
      <c r="A32" s="39">
        <f>IF(B32="","","PR-"&amp;TEXT(ROW()-4,"000"))</f>
        <v>0</v>
      </c>
      <c r="D32" s="17">
        <f>IF(C32="","",TEXT(C32,"ddd"))</f>
        <v>0</v>
      </c>
      <c r="F32" s="17">
        <f>IF(E32="","",IFERROR(INDEX(Recipes!$B$5:$B$204,MATCH(E32,Recipes!$A$5:$A$204,0)),"Not found"))</f>
        <v>0</v>
      </c>
      <c r="H32" s="18">
        <f>IF(E32="","",IFERROR(INDEX(Recipes!$G$5:$G$204,MATCH(E32,Recipes!$A$5:$A$204,0)),"Not found"))</f>
        <v>0</v>
      </c>
      <c r="I32" s="45">
        <f>IF(OR(G32="",H32="",NOT(ISNUMBER(H32))),"",G32*H32)</f>
        <v>0</v>
      </c>
      <c r="J32" s="18">
        <f>IF(E32="","",IFERROR(INDEX(Recipes!$J$5:$J$204,MATCH(E32,Recipes!$A$5:$A$204,0)),"Not found"))</f>
        <v>0</v>
      </c>
      <c r="L32" s="18">
        <f>IF(B32="","",IF(K32&lt;&gt;"",K32,IF(ISNUMBER(J32),J32,0)))</f>
        <v>0</v>
      </c>
      <c r="M32" s="45">
        <f>IF(OR(I32="",I32=0,L32=0),"",L32/I32)</f>
        <v>0</v>
      </c>
      <c r="R32" s="18">
        <f>IF(OR(P32="",Q32=""),"",COUNTIFS('Meal Plan'!$B$5:$B$504,"&gt;="&amp;P32,'Meal Plan'!$B$5:$B$504,"&lt;="&amp;Q32,'Meal Plan'!$G$5:$G$504,E32))</f>
        <v>0</v>
      </c>
      <c r="T32" s="25">
        <f>IF(OR(G32="",E32=""),"",IFERROR(INDEX(Recipes!$AC$5:$AC$204,MATCH(E32,Recipes!$A$5:$A$204,0))*G32,""))</f>
        <v>0</v>
      </c>
      <c r="U32" s="25">
        <f>IF(OR(T32="",I32="",I32=0),"",T32/I32)</f>
        <v>0</v>
      </c>
      <c r="V32" s="18">
        <f>IF(OR(B32="",W32="Done",NOT(ISNUMBER(C32))),"",COUNTIFS($W$5:$W$124,"&lt;&gt;Done",$C$5:$C$124,"&lt;"&amp;C32)+COUNTIFS($W$5:W32,"&lt;&gt;Done",$C$5:C32,C32))</f>
        <v>0</v>
      </c>
      <c r="X32" s="31">
        <f>IF(B32="","",IF(W32="Done","OK",IF(AND(C32&lt;&gt;"",C32&lt;TODAY()),"Overdue - still not made",IF(C32=TODAY(),"Today - prep day",IF(AND(C32&lt;&gt;"",C32-TODAY()&lt;=PrepLeadDays),"Due - coming up","OK")))))</f>
        <v>0</v>
      </c>
    </row>
    <row r="33" spans="1:24">
      <c r="A33" s="39">
        <f>IF(B33="","","PR-"&amp;TEXT(ROW()-4,"000"))</f>
        <v>0</v>
      </c>
      <c r="D33" s="17">
        <f>IF(C33="","",TEXT(C33,"ddd"))</f>
        <v>0</v>
      </c>
      <c r="F33" s="17">
        <f>IF(E33="","",IFERROR(INDEX(Recipes!$B$5:$B$204,MATCH(E33,Recipes!$A$5:$A$204,0)),"Not found"))</f>
        <v>0</v>
      </c>
      <c r="H33" s="18">
        <f>IF(E33="","",IFERROR(INDEX(Recipes!$G$5:$G$204,MATCH(E33,Recipes!$A$5:$A$204,0)),"Not found"))</f>
        <v>0</v>
      </c>
      <c r="I33" s="45">
        <f>IF(OR(G33="",H33="",NOT(ISNUMBER(H33))),"",G33*H33)</f>
        <v>0</v>
      </c>
      <c r="J33" s="18">
        <f>IF(E33="","",IFERROR(INDEX(Recipes!$J$5:$J$204,MATCH(E33,Recipes!$A$5:$A$204,0)),"Not found"))</f>
        <v>0</v>
      </c>
      <c r="L33" s="18">
        <f>IF(B33="","",IF(K33&lt;&gt;"",K33,IF(ISNUMBER(J33),J33,0)))</f>
        <v>0</v>
      </c>
      <c r="M33" s="45">
        <f>IF(OR(I33="",I33=0,L33=0),"",L33/I33)</f>
        <v>0</v>
      </c>
      <c r="R33" s="18">
        <f>IF(OR(P33="",Q33=""),"",COUNTIFS('Meal Plan'!$B$5:$B$504,"&gt;="&amp;P33,'Meal Plan'!$B$5:$B$504,"&lt;="&amp;Q33,'Meal Plan'!$G$5:$G$504,E33))</f>
        <v>0</v>
      </c>
      <c r="T33" s="25">
        <f>IF(OR(G33="",E33=""),"",IFERROR(INDEX(Recipes!$AC$5:$AC$204,MATCH(E33,Recipes!$A$5:$A$204,0))*G33,""))</f>
        <v>0</v>
      </c>
      <c r="U33" s="25">
        <f>IF(OR(T33="",I33="",I33=0),"",T33/I33)</f>
        <v>0</v>
      </c>
      <c r="V33" s="18">
        <f>IF(OR(B33="",W33="Done",NOT(ISNUMBER(C33))),"",COUNTIFS($W$5:$W$124,"&lt;&gt;Done",$C$5:$C$124,"&lt;"&amp;C33)+COUNTIFS($W$5:W33,"&lt;&gt;Done",$C$5:C33,C33))</f>
        <v>0</v>
      </c>
      <c r="X33" s="31">
        <f>IF(B33="","",IF(W33="Done","OK",IF(AND(C33&lt;&gt;"",C33&lt;TODAY()),"Overdue - still not made",IF(C33=TODAY(),"Today - prep day",IF(AND(C33&lt;&gt;"",C33-TODAY()&lt;=PrepLeadDays),"Due - coming up","OK")))))</f>
        <v>0</v>
      </c>
    </row>
    <row r="34" spans="1:24">
      <c r="A34" s="39">
        <f>IF(B34="","","PR-"&amp;TEXT(ROW()-4,"000"))</f>
        <v>0</v>
      </c>
      <c r="D34" s="17">
        <f>IF(C34="","",TEXT(C34,"ddd"))</f>
        <v>0</v>
      </c>
      <c r="F34" s="17">
        <f>IF(E34="","",IFERROR(INDEX(Recipes!$B$5:$B$204,MATCH(E34,Recipes!$A$5:$A$204,0)),"Not found"))</f>
        <v>0</v>
      </c>
      <c r="H34" s="18">
        <f>IF(E34="","",IFERROR(INDEX(Recipes!$G$5:$G$204,MATCH(E34,Recipes!$A$5:$A$204,0)),"Not found"))</f>
        <v>0</v>
      </c>
      <c r="I34" s="45">
        <f>IF(OR(G34="",H34="",NOT(ISNUMBER(H34))),"",G34*H34)</f>
        <v>0</v>
      </c>
      <c r="J34" s="18">
        <f>IF(E34="","",IFERROR(INDEX(Recipes!$J$5:$J$204,MATCH(E34,Recipes!$A$5:$A$204,0)),"Not found"))</f>
        <v>0</v>
      </c>
      <c r="L34" s="18">
        <f>IF(B34="","",IF(K34&lt;&gt;"",K34,IF(ISNUMBER(J34),J34,0)))</f>
        <v>0</v>
      </c>
      <c r="M34" s="45">
        <f>IF(OR(I34="",I34=0,L34=0),"",L34/I34)</f>
        <v>0</v>
      </c>
      <c r="R34" s="18">
        <f>IF(OR(P34="",Q34=""),"",COUNTIFS('Meal Plan'!$B$5:$B$504,"&gt;="&amp;P34,'Meal Plan'!$B$5:$B$504,"&lt;="&amp;Q34,'Meal Plan'!$G$5:$G$504,E34))</f>
        <v>0</v>
      </c>
      <c r="T34" s="25">
        <f>IF(OR(G34="",E34=""),"",IFERROR(INDEX(Recipes!$AC$5:$AC$204,MATCH(E34,Recipes!$A$5:$A$204,0))*G34,""))</f>
        <v>0</v>
      </c>
      <c r="U34" s="25">
        <f>IF(OR(T34="",I34="",I34=0),"",T34/I34)</f>
        <v>0</v>
      </c>
      <c r="V34" s="18">
        <f>IF(OR(B34="",W34="Done",NOT(ISNUMBER(C34))),"",COUNTIFS($W$5:$W$124,"&lt;&gt;Done",$C$5:$C$124,"&lt;"&amp;C34)+COUNTIFS($W$5:W34,"&lt;&gt;Done",$C$5:C34,C34))</f>
        <v>0</v>
      </c>
      <c r="X34" s="31">
        <f>IF(B34="","",IF(W34="Done","OK",IF(AND(C34&lt;&gt;"",C34&lt;TODAY()),"Overdue - still not made",IF(C34=TODAY(),"Today - prep day",IF(AND(C34&lt;&gt;"",C34-TODAY()&lt;=PrepLeadDays),"Due - coming up","OK")))))</f>
        <v>0</v>
      </c>
    </row>
    <row r="35" spans="1:24">
      <c r="A35" s="39">
        <f>IF(B35="","","PR-"&amp;TEXT(ROW()-4,"000"))</f>
        <v>0</v>
      </c>
      <c r="D35" s="17">
        <f>IF(C35="","",TEXT(C35,"ddd"))</f>
        <v>0</v>
      </c>
      <c r="F35" s="17">
        <f>IF(E35="","",IFERROR(INDEX(Recipes!$B$5:$B$204,MATCH(E35,Recipes!$A$5:$A$204,0)),"Not found"))</f>
        <v>0</v>
      </c>
      <c r="H35" s="18">
        <f>IF(E35="","",IFERROR(INDEX(Recipes!$G$5:$G$204,MATCH(E35,Recipes!$A$5:$A$204,0)),"Not found"))</f>
        <v>0</v>
      </c>
      <c r="I35" s="45">
        <f>IF(OR(G35="",H35="",NOT(ISNUMBER(H35))),"",G35*H35)</f>
        <v>0</v>
      </c>
      <c r="J35" s="18">
        <f>IF(E35="","",IFERROR(INDEX(Recipes!$J$5:$J$204,MATCH(E35,Recipes!$A$5:$A$204,0)),"Not found"))</f>
        <v>0</v>
      </c>
      <c r="L35" s="18">
        <f>IF(B35="","",IF(K35&lt;&gt;"",K35,IF(ISNUMBER(J35),J35,0)))</f>
        <v>0</v>
      </c>
      <c r="M35" s="45">
        <f>IF(OR(I35="",I35=0,L35=0),"",L35/I35)</f>
        <v>0</v>
      </c>
      <c r="R35" s="18">
        <f>IF(OR(P35="",Q35=""),"",COUNTIFS('Meal Plan'!$B$5:$B$504,"&gt;="&amp;P35,'Meal Plan'!$B$5:$B$504,"&lt;="&amp;Q35,'Meal Plan'!$G$5:$G$504,E35))</f>
        <v>0</v>
      </c>
      <c r="T35" s="25">
        <f>IF(OR(G35="",E35=""),"",IFERROR(INDEX(Recipes!$AC$5:$AC$204,MATCH(E35,Recipes!$A$5:$A$204,0))*G35,""))</f>
        <v>0</v>
      </c>
      <c r="U35" s="25">
        <f>IF(OR(T35="",I35="",I35=0),"",T35/I35)</f>
        <v>0</v>
      </c>
      <c r="V35" s="18">
        <f>IF(OR(B35="",W35="Done",NOT(ISNUMBER(C35))),"",COUNTIFS($W$5:$W$124,"&lt;&gt;Done",$C$5:$C$124,"&lt;"&amp;C35)+COUNTIFS($W$5:W35,"&lt;&gt;Done",$C$5:C35,C35))</f>
        <v>0</v>
      </c>
      <c r="X35" s="31">
        <f>IF(B35="","",IF(W35="Done","OK",IF(AND(C35&lt;&gt;"",C35&lt;TODAY()),"Overdue - still not made",IF(C35=TODAY(),"Today - prep day",IF(AND(C35&lt;&gt;"",C35-TODAY()&lt;=PrepLeadDays),"Due - coming up","OK")))))</f>
        <v>0</v>
      </c>
    </row>
    <row r="36" spans="1:24">
      <c r="A36" s="39">
        <f>IF(B36="","","PR-"&amp;TEXT(ROW()-4,"000"))</f>
        <v>0</v>
      </c>
      <c r="D36" s="17">
        <f>IF(C36="","",TEXT(C36,"ddd"))</f>
        <v>0</v>
      </c>
      <c r="F36" s="17">
        <f>IF(E36="","",IFERROR(INDEX(Recipes!$B$5:$B$204,MATCH(E36,Recipes!$A$5:$A$204,0)),"Not found"))</f>
        <v>0</v>
      </c>
      <c r="H36" s="18">
        <f>IF(E36="","",IFERROR(INDEX(Recipes!$G$5:$G$204,MATCH(E36,Recipes!$A$5:$A$204,0)),"Not found"))</f>
        <v>0</v>
      </c>
      <c r="I36" s="45">
        <f>IF(OR(G36="",H36="",NOT(ISNUMBER(H36))),"",G36*H36)</f>
        <v>0</v>
      </c>
      <c r="J36" s="18">
        <f>IF(E36="","",IFERROR(INDEX(Recipes!$J$5:$J$204,MATCH(E36,Recipes!$A$5:$A$204,0)),"Not found"))</f>
        <v>0</v>
      </c>
      <c r="L36" s="18">
        <f>IF(B36="","",IF(K36&lt;&gt;"",K36,IF(ISNUMBER(J36),J36,0)))</f>
        <v>0</v>
      </c>
      <c r="M36" s="45">
        <f>IF(OR(I36="",I36=0,L36=0),"",L36/I36)</f>
        <v>0</v>
      </c>
      <c r="R36" s="18">
        <f>IF(OR(P36="",Q36=""),"",COUNTIFS('Meal Plan'!$B$5:$B$504,"&gt;="&amp;P36,'Meal Plan'!$B$5:$B$504,"&lt;="&amp;Q36,'Meal Plan'!$G$5:$G$504,E36))</f>
        <v>0</v>
      </c>
      <c r="T36" s="25">
        <f>IF(OR(G36="",E36=""),"",IFERROR(INDEX(Recipes!$AC$5:$AC$204,MATCH(E36,Recipes!$A$5:$A$204,0))*G36,""))</f>
        <v>0</v>
      </c>
      <c r="U36" s="25">
        <f>IF(OR(T36="",I36="",I36=0),"",T36/I36)</f>
        <v>0</v>
      </c>
      <c r="V36" s="18">
        <f>IF(OR(B36="",W36="Done",NOT(ISNUMBER(C36))),"",COUNTIFS($W$5:$W$124,"&lt;&gt;Done",$C$5:$C$124,"&lt;"&amp;C36)+COUNTIFS($W$5:W36,"&lt;&gt;Done",$C$5:C36,C36))</f>
        <v>0</v>
      </c>
      <c r="X36" s="31">
        <f>IF(B36="","",IF(W36="Done","OK",IF(AND(C36&lt;&gt;"",C36&lt;TODAY()),"Overdue - still not made",IF(C36=TODAY(),"Today - prep day",IF(AND(C36&lt;&gt;"",C36-TODAY()&lt;=PrepLeadDays),"Due - coming up","OK")))))</f>
        <v>0</v>
      </c>
    </row>
    <row r="37" spans="1:24">
      <c r="A37" s="39">
        <f>IF(B37="","","PR-"&amp;TEXT(ROW()-4,"000"))</f>
        <v>0</v>
      </c>
      <c r="D37" s="17">
        <f>IF(C37="","",TEXT(C37,"ddd"))</f>
        <v>0</v>
      </c>
      <c r="F37" s="17">
        <f>IF(E37="","",IFERROR(INDEX(Recipes!$B$5:$B$204,MATCH(E37,Recipes!$A$5:$A$204,0)),"Not found"))</f>
        <v>0</v>
      </c>
      <c r="H37" s="18">
        <f>IF(E37="","",IFERROR(INDEX(Recipes!$G$5:$G$204,MATCH(E37,Recipes!$A$5:$A$204,0)),"Not found"))</f>
        <v>0</v>
      </c>
      <c r="I37" s="45">
        <f>IF(OR(G37="",H37="",NOT(ISNUMBER(H37))),"",G37*H37)</f>
        <v>0</v>
      </c>
      <c r="J37" s="18">
        <f>IF(E37="","",IFERROR(INDEX(Recipes!$J$5:$J$204,MATCH(E37,Recipes!$A$5:$A$204,0)),"Not found"))</f>
        <v>0</v>
      </c>
      <c r="L37" s="18">
        <f>IF(B37="","",IF(K37&lt;&gt;"",K37,IF(ISNUMBER(J37),J37,0)))</f>
        <v>0</v>
      </c>
      <c r="M37" s="45">
        <f>IF(OR(I37="",I37=0,L37=0),"",L37/I37)</f>
        <v>0</v>
      </c>
      <c r="R37" s="18">
        <f>IF(OR(P37="",Q37=""),"",COUNTIFS('Meal Plan'!$B$5:$B$504,"&gt;="&amp;P37,'Meal Plan'!$B$5:$B$504,"&lt;="&amp;Q37,'Meal Plan'!$G$5:$G$504,E37))</f>
        <v>0</v>
      </c>
      <c r="T37" s="25">
        <f>IF(OR(G37="",E37=""),"",IFERROR(INDEX(Recipes!$AC$5:$AC$204,MATCH(E37,Recipes!$A$5:$A$204,0))*G37,""))</f>
        <v>0</v>
      </c>
      <c r="U37" s="25">
        <f>IF(OR(T37="",I37="",I37=0),"",T37/I37)</f>
        <v>0</v>
      </c>
      <c r="V37" s="18">
        <f>IF(OR(B37="",W37="Done",NOT(ISNUMBER(C37))),"",COUNTIFS($W$5:$W$124,"&lt;&gt;Done",$C$5:$C$124,"&lt;"&amp;C37)+COUNTIFS($W$5:W37,"&lt;&gt;Done",$C$5:C37,C37))</f>
        <v>0</v>
      </c>
      <c r="X37" s="31">
        <f>IF(B37="","",IF(W37="Done","OK",IF(AND(C37&lt;&gt;"",C37&lt;TODAY()),"Overdue - still not made",IF(C37=TODAY(),"Today - prep day",IF(AND(C37&lt;&gt;"",C37-TODAY()&lt;=PrepLeadDays),"Due - coming up","OK")))))</f>
        <v>0</v>
      </c>
    </row>
    <row r="38" spans="1:24">
      <c r="A38" s="39">
        <f>IF(B38="","","PR-"&amp;TEXT(ROW()-4,"000"))</f>
        <v>0</v>
      </c>
      <c r="D38" s="17">
        <f>IF(C38="","",TEXT(C38,"ddd"))</f>
        <v>0</v>
      </c>
      <c r="F38" s="17">
        <f>IF(E38="","",IFERROR(INDEX(Recipes!$B$5:$B$204,MATCH(E38,Recipes!$A$5:$A$204,0)),"Not found"))</f>
        <v>0</v>
      </c>
      <c r="H38" s="18">
        <f>IF(E38="","",IFERROR(INDEX(Recipes!$G$5:$G$204,MATCH(E38,Recipes!$A$5:$A$204,0)),"Not found"))</f>
        <v>0</v>
      </c>
      <c r="I38" s="45">
        <f>IF(OR(G38="",H38="",NOT(ISNUMBER(H38))),"",G38*H38)</f>
        <v>0</v>
      </c>
      <c r="J38" s="18">
        <f>IF(E38="","",IFERROR(INDEX(Recipes!$J$5:$J$204,MATCH(E38,Recipes!$A$5:$A$204,0)),"Not found"))</f>
        <v>0</v>
      </c>
      <c r="L38" s="18">
        <f>IF(B38="","",IF(K38&lt;&gt;"",K38,IF(ISNUMBER(J38),J38,0)))</f>
        <v>0</v>
      </c>
      <c r="M38" s="45">
        <f>IF(OR(I38="",I38=0,L38=0),"",L38/I38)</f>
        <v>0</v>
      </c>
      <c r="R38" s="18">
        <f>IF(OR(P38="",Q38=""),"",COUNTIFS('Meal Plan'!$B$5:$B$504,"&gt;="&amp;P38,'Meal Plan'!$B$5:$B$504,"&lt;="&amp;Q38,'Meal Plan'!$G$5:$G$504,E38))</f>
        <v>0</v>
      </c>
      <c r="T38" s="25">
        <f>IF(OR(G38="",E38=""),"",IFERROR(INDEX(Recipes!$AC$5:$AC$204,MATCH(E38,Recipes!$A$5:$A$204,0))*G38,""))</f>
        <v>0</v>
      </c>
      <c r="U38" s="25">
        <f>IF(OR(T38="",I38="",I38=0),"",T38/I38)</f>
        <v>0</v>
      </c>
      <c r="V38" s="18">
        <f>IF(OR(B38="",W38="Done",NOT(ISNUMBER(C38))),"",COUNTIFS($W$5:$W$124,"&lt;&gt;Done",$C$5:$C$124,"&lt;"&amp;C38)+COUNTIFS($W$5:W38,"&lt;&gt;Done",$C$5:C38,C38))</f>
        <v>0</v>
      </c>
      <c r="X38" s="31">
        <f>IF(B38="","",IF(W38="Done","OK",IF(AND(C38&lt;&gt;"",C38&lt;TODAY()),"Overdue - still not made",IF(C38=TODAY(),"Today - prep day",IF(AND(C38&lt;&gt;"",C38-TODAY()&lt;=PrepLeadDays),"Due - coming up","OK")))))</f>
        <v>0</v>
      </c>
    </row>
    <row r="39" spans="1:24">
      <c r="A39" s="39">
        <f>IF(B39="","","PR-"&amp;TEXT(ROW()-4,"000"))</f>
        <v>0</v>
      </c>
      <c r="D39" s="17">
        <f>IF(C39="","",TEXT(C39,"ddd"))</f>
        <v>0</v>
      </c>
      <c r="F39" s="17">
        <f>IF(E39="","",IFERROR(INDEX(Recipes!$B$5:$B$204,MATCH(E39,Recipes!$A$5:$A$204,0)),"Not found"))</f>
        <v>0</v>
      </c>
      <c r="H39" s="18">
        <f>IF(E39="","",IFERROR(INDEX(Recipes!$G$5:$G$204,MATCH(E39,Recipes!$A$5:$A$204,0)),"Not found"))</f>
        <v>0</v>
      </c>
      <c r="I39" s="45">
        <f>IF(OR(G39="",H39="",NOT(ISNUMBER(H39))),"",G39*H39)</f>
        <v>0</v>
      </c>
      <c r="J39" s="18">
        <f>IF(E39="","",IFERROR(INDEX(Recipes!$J$5:$J$204,MATCH(E39,Recipes!$A$5:$A$204,0)),"Not found"))</f>
        <v>0</v>
      </c>
      <c r="L39" s="18">
        <f>IF(B39="","",IF(K39&lt;&gt;"",K39,IF(ISNUMBER(J39),J39,0)))</f>
        <v>0</v>
      </c>
      <c r="M39" s="45">
        <f>IF(OR(I39="",I39=0,L39=0),"",L39/I39)</f>
        <v>0</v>
      </c>
      <c r="R39" s="18">
        <f>IF(OR(P39="",Q39=""),"",COUNTIFS('Meal Plan'!$B$5:$B$504,"&gt;="&amp;P39,'Meal Plan'!$B$5:$B$504,"&lt;="&amp;Q39,'Meal Plan'!$G$5:$G$504,E39))</f>
        <v>0</v>
      </c>
      <c r="T39" s="25">
        <f>IF(OR(G39="",E39=""),"",IFERROR(INDEX(Recipes!$AC$5:$AC$204,MATCH(E39,Recipes!$A$5:$A$204,0))*G39,""))</f>
        <v>0</v>
      </c>
      <c r="U39" s="25">
        <f>IF(OR(T39="",I39="",I39=0),"",T39/I39)</f>
        <v>0</v>
      </c>
      <c r="V39" s="18">
        <f>IF(OR(B39="",W39="Done",NOT(ISNUMBER(C39))),"",COUNTIFS($W$5:$W$124,"&lt;&gt;Done",$C$5:$C$124,"&lt;"&amp;C39)+COUNTIFS($W$5:W39,"&lt;&gt;Done",$C$5:C39,C39))</f>
        <v>0</v>
      </c>
      <c r="X39" s="31">
        <f>IF(B39="","",IF(W39="Done","OK",IF(AND(C39&lt;&gt;"",C39&lt;TODAY()),"Overdue - still not made",IF(C39=TODAY(),"Today - prep day",IF(AND(C39&lt;&gt;"",C39-TODAY()&lt;=PrepLeadDays),"Due - coming up","OK")))))</f>
        <v>0</v>
      </c>
    </row>
    <row r="40" spans="1:24">
      <c r="A40" s="39">
        <f>IF(B40="","","PR-"&amp;TEXT(ROW()-4,"000"))</f>
        <v>0</v>
      </c>
      <c r="D40" s="17">
        <f>IF(C40="","",TEXT(C40,"ddd"))</f>
        <v>0</v>
      </c>
      <c r="F40" s="17">
        <f>IF(E40="","",IFERROR(INDEX(Recipes!$B$5:$B$204,MATCH(E40,Recipes!$A$5:$A$204,0)),"Not found"))</f>
        <v>0</v>
      </c>
      <c r="H40" s="18">
        <f>IF(E40="","",IFERROR(INDEX(Recipes!$G$5:$G$204,MATCH(E40,Recipes!$A$5:$A$204,0)),"Not found"))</f>
        <v>0</v>
      </c>
      <c r="I40" s="45">
        <f>IF(OR(G40="",H40="",NOT(ISNUMBER(H40))),"",G40*H40)</f>
        <v>0</v>
      </c>
      <c r="J40" s="18">
        <f>IF(E40="","",IFERROR(INDEX(Recipes!$J$5:$J$204,MATCH(E40,Recipes!$A$5:$A$204,0)),"Not found"))</f>
        <v>0</v>
      </c>
      <c r="L40" s="18">
        <f>IF(B40="","",IF(K40&lt;&gt;"",K40,IF(ISNUMBER(J40),J40,0)))</f>
        <v>0</v>
      </c>
      <c r="M40" s="45">
        <f>IF(OR(I40="",I40=0,L40=0),"",L40/I40)</f>
        <v>0</v>
      </c>
      <c r="R40" s="18">
        <f>IF(OR(P40="",Q40=""),"",COUNTIFS('Meal Plan'!$B$5:$B$504,"&gt;="&amp;P40,'Meal Plan'!$B$5:$B$504,"&lt;="&amp;Q40,'Meal Plan'!$G$5:$G$504,E40))</f>
        <v>0</v>
      </c>
      <c r="T40" s="25">
        <f>IF(OR(G40="",E40=""),"",IFERROR(INDEX(Recipes!$AC$5:$AC$204,MATCH(E40,Recipes!$A$5:$A$204,0))*G40,""))</f>
        <v>0</v>
      </c>
      <c r="U40" s="25">
        <f>IF(OR(T40="",I40="",I40=0),"",T40/I40)</f>
        <v>0</v>
      </c>
      <c r="V40" s="18">
        <f>IF(OR(B40="",W40="Done",NOT(ISNUMBER(C40))),"",COUNTIFS($W$5:$W$124,"&lt;&gt;Done",$C$5:$C$124,"&lt;"&amp;C40)+COUNTIFS($W$5:W40,"&lt;&gt;Done",$C$5:C40,C40))</f>
        <v>0</v>
      </c>
      <c r="X40" s="31">
        <f>IF(B40="","",IF(W40="Done","OK",IF(AND(C40&lt;&gt;"",C40&lt;TODAY()),"Overdue - still not made",IF(C40=TODAY(),"Today - prep day",IF(AND(C40&lt;&gt;"",C40-TODAY()&lt;=PrepLeadDays),"Due - coming up","OK")))))</f>
        <v>0</v>
      </c>
    </row>
    <row r="41" spans="1:24">
      <c r="A41" s="39">
        <f>IF(B41="","","PR-"&amp;TEXT(ROW()-4,"000"))</f>
        <v>0</v>
      </c>
      <c r="D41" s="17">
        <f>IF(C41="","",TEXT(C41,"ddd"))</f>
        <v>0</v>
      </c>
      <c r="F41" s="17">
        <f>IF(E41="","",IFERROR(INDEX(Recipes!$B$5:$B$204,MATCH(E41,Recipes!$A$5:$A$204,0)),"Not found"))</f>
        <v>0</v>
      </c>
      <c r="H41" s="18">
        <f>IF(E41="","",IFERROR(INDEX(Recipes!$G$5:$G$204,MATCH(E41,Recipes!$A$5:$A$204,0)),"Not found"))</f>
        <v>0</v>
      </c>
      <c r="I41" s="45">
        <f>IF(OR(G41="",H41="",NOT(ISNUMBER(H41))),"",G41*H41)</f>
        <v>0</v>
      </c>
      <c r="J41" s="18">
        <f>IF(E41="","",IFERROR(INDEX(Recipes!$J$5:$J$204,MATCH(E41,Recipes!$A$5:$A$204,0)),"Not found"))</f>
        <v>0</v>
      </c>
      <c r="L41" s="18">
        <f>IF(B41="","",IF(K41&lt;&gt;"",K41,IF(ISNUMBER(J41),J41,0)))</f>
        <v>0</v>
      </c>
      <c r="M41" s="45">
        <f>IF(OR(I41="",I41=0,L41=0),"",L41/I41)</f>
        <v>0</v>
      </c>
      <c r="R41" s="18">
        <f>IF(OR(P41="",Q41=""),"",COUNTIFS('Meal Plan'!$B$5:$B$504,"&gt;="&amp;P41,'Meal Plan'!$B$5:$B$504,"&lt;="&amp;Q41,'Meal Plan'!$G$5:$G$504,E41))</f>
        <v>0</v>
      </c>
      <c r="T41" s="25">
        <f>IF(OR(G41="",E41=""),"",IFERROR(INDEX(Recipes!$AC$5:$AC$204,MATCH(E41,Recipes!$A$5:$A$204,0))*G41,""))</f>
        <v>0</v>
      </c>
      <c r="U41" s="25">
        <f>IF(OR(T41="",I41="",I41=0),"",T41/I41)</f>
        <v>0</v>
      </c>
      <c r="V41" s="18">
        <f>IF(OR(B41="",W41="Done",NOT(ISNUMBER(C41))),"",COUNTIFS($W$5:$W$124,"&lt;&gt;Done",$C$5:$C$124,"&lt;"&amp;C41)+COUNTIFS($W$5:W41,"&lt;&gt;Done",$C$5:C41,C41))</f>
        <v>0</v>
      </c>
      <c r="X41" s="31">
        <f>IF(B41="","",IF(W41="Done","OK",IF(AND(C41&lt;&gt;"",C41&lt;TODAY()),"Overdue - still not made",IF(C41=TODAY(),"Today - prep day",IF(AND(C41&lt;&gt;"",C41-TODAY()&lt;=PrepLeadDays),"Due - coming up","OK")))))</f>
        <v>0</v>
      </c>
    </row>
    <row r="42" spans="1:24">
      <c r="A42" s="39">
        <f>IF(B42="","","PR-"&amp;TEXT(ROW()-4,"000"))</f>
        <v>0</v>
      </c>
      <c r="D42" s="17">
        <f>IF(C42="","",TEXT(C42,"ddd"))</f>
        <v>0</v>
      </c>
      <c r="F42" s="17">
        <f>IF(E42="","",IFERROR(INDEX(Recipes!$B$5:$B$204,MATCH(E42,Recipes!$A$5:$A$204,0)),"Not found"))</f>
        <v>0</v>
      </c>
      <c r="H42" s="18">
        <f>IF(E42="","",IFERROR(INDEX(Recipes!$G$5:$G$204,MATCH(E42,Recipes!$A$5:$A$204,0)),"Not found"))</f>
        <v>0</v>
      </c>
      <c r="I42" s="45">
        <f>IF(OR(G42="",H42="",NOT(ISNUMBER(H42))),"",G42*H42)</f>
        <v>0</v>
      </c>
      <c r="J42" s="18">
        <f>IF(E42="","",IFERROR(INDEX(Recipes!$J$5:$J$204,MATCH(E42,Recipes!$A$5:$A$204,0)),"Not found"))</f>
        <v>0</v>
      </c>
      <c r="L42" s="18">
        <f>IF(B42="","",IF(K42&lt;&gt;"",K42,IF(ISNUMBER(J42),J42,0)))</f>
        <v>0</v>
      </c>
      <c r="M42" s="45">
        <f>IF(OR(I42="",I42=0,L42=0),"",L42/I42)</f>
        <v>0</v>
      </c>
      <c r="R42" s="18">
        <f>IF(OR(P42="",Q42=""),"",COUNTIFS('Meal Plan'!$B$5:$B$504,"&gt;="&amp;P42,'Meal Plan'!$B$5:$B$504,"&lt;="&amp;Q42,'Meal Plan'!$G$5:$G$504,E42))</f>
        <v>0</v>
      </c>
      <c r="T42" s="25">
        <f>IF(OR(G42="",E42=""),"",IFERROR(INDEX(Recipes!$AC$5:$AC$204,MATCH(E42,Recipes!$A$5:$A$204,0))*G42,""))</f>
        <v>0</v>
      </c>
      <c r="U42" s="25">
        <f>IF(OR(T42="",I42="",I42=0),"",T42/I42)</f>
        <v>0</v>
      </c>
      <c r="V42" s="18">
        <f>IF(OR(B42="",W42="Done",NOT(ISNUMBER(C42))),"",COUNTIFS($W$5:$W$124,"&lt;&gt;Done",$C$5:$C$124,"&lt;"&amp;C42)+COUNTIFS($W$5:W42,"&lt;&gt;Done",$C$5:C42,C42))</f>
        <v>0</v>
      </c>
      <c r="X42" s="31">
        <f>IF(B42="","",IF(W42="Done","OK",IF(AND(C42&lt;&gt;"",C42&lt;TODAY()),"Overdue - still not made",IF(C42=TODAY(),"Today - prep day",IF(AND(C42&lt;&gt;"",C42-TODAY()&lt;=PrepLeadDays),"Due - coming up","OK")))))</f>
        <v>0</v>
      </c>
    </row>
    <row r="43" spans="1:24">
      <c r="A43" s="39">
        <f>IF(B43="","","PR-"&amp;TEXT(ROW()-4,"000"))</f>
        <v>0</v>
      </c>
      <c r="D43" s="17">
        <f>IF(C43="","",TEXT(C43,"ddd"))</f>
        <v>0</v>
      </c>
      <c r="F43" s="17">
        <f>IF(E43="","",IFERROR(INDEX(Recipes!$B$5:$B$204,MATCH(E43,Recipes!$A$5:$A$204,0)),"Not found"))</f>
        <v>0</v>
      </c>
      <c r="H43" s="18">
        <f>IF(E43="","",IFERROR(INDEX(Recipes!$G$5:$G$204,MATCH(E43,Recipes!$A$5:$A$204,0)),"Not found"))</f>
        <v>0</v>
      </c>
      <c r="I43" s="45">
        <f>IF(OR(G43="",H43="",NOT(ISNUMBER(H43))),"",G43*H43)</f>
        <v>0</v>
      </c>
      <c r="J43" s="18">
        <f>IF(E43="","",IFERROR(INDEX(Recipes!$J$5:$J$204,MATCH(E43,Recipes!$A$5:$A$204,0)),"Not found"))</f>
        <v>0</v>
      </c>
      <c r="L43" s="18">
        <f>IF(B43="","",IF(K43&lt;&gt;"",K43,IF(ISNUMBER(J43),J43,0)))</f>
        <v>0</v>
      </c>
      <c r="M43" s="45">
        <f>IF(OR(I43="",I43=0,L43=0),"",L43/I43)</f>
        <v>0</v>
      </c>
      <c r="R43" s="18">
        <f>IF(OR(P43="",Q43=""),"",COUNTIFS('Meal Plan'!$B$5:$B$504,"&gt;="&amp;P43,'Meal Plan'!$B$5:$B$504,"&lt;="&amp;Q43,'Meal Plan'!$G$5:$G$504,E43))</f>
        <v>0</v>
      </c>
      <c r="T43" s="25">
        <f>IF(OR(G43="",E43=""),"",IFERROR(INDEX(Recipes!$AC$5:$AC$204,MATCH(E43,Recipes!$A$5:$A$204,0))*G43,""))</f>
        <v>0</v>
      </c>
      <c r="U43" s="25">
        <f>IF(OR(T43="",I43="",I43=0),"",T43/I43)</f>
        <v>0</v>
      </c>
      <c r="V43" s="18">
        <f>IF(OR(B43="",W43="Done",NOT(ISNUMBER(C43))),"",COUNTIFS($W$5:$W$124,"&lt;&gt;Done",$C$5:$C$124,"&lt;"&amp;C43)+COUNTIFS($W$5:W43,"&lt;&gt;Done",$C$5:C43,C43))</f>
        <v>0</v>
      </c>
      <c r="X43" s="31">
        <f>IF(B43="","",IF(W43="Done","OK",IF(AND(C43&lt;&gt;"",C43&lt;TODAY()),"Overdue - still not made",IF(C43=TODAY(),"Today - prep day",IF(AND(C43&lt;&gt;"",C43-TODAY()&lt;=PrepLeadDays),"Due - coming up","OK")))))</f>
        <v>0</v>
      </c>
    </row>
    <row r="44" spans="1:24">
      <c r="A44" s="39">
        <f>IF(B44="","","PR-"&amp;TEXT(ROW()-4,"000"))</f>
        <v>0</v>
      </c>
      <c r="D44" s="17">
        <f>IF(C44="","",TEXT(C44,"ddd"))</f>
        <v>0</v>
      </c>
      <c r="F44" s="17">
        <f>IF(E44="","",IFERROR(INDEX(Recipes!$B$5:$B$204,MATCH(E44,Recipes!$A$5:$A$204,0)),"Not found"))</f>
        <v>0</v>
      </c>
      <c r="H44" s="18">
        <f>IF(E44="","",IFERROR(INDEX(Recipes!$G$5:$G$204,MATCH(E44,Recipes!$A$5:$A$204,0)),"Not found"))</f>
        <v>0</v>
      </c>
      <c r="I44" s="45">
        <f>IF(OR(G44="",H44="",NOT(ISNUMBER(H44))),"",G44*H44)</f>
        <v>0</v>
      </c>
      <c r="J44" s="18">
        <f>IF(E44="","",IFERROR(INDEX(Recipes!$J$5:$J$204,MATCH(E44,Recipes!$A$5:$A$204,0)),"Not found"))</f>
        <v>0</v>
      </c>
      <c r="L44" s="18">
        <f>IF(B44="","",IF(K44&lt;&gt;"",K44,IF(ISNUMBER(J44),J44,0)))</f>
        <v>0</v>
      </c>
      <c r="M44" s="45">
        <f>IF(OR(I44="",I44=0,L44=0),"",L44/I44)</f>
        <v>0</v>
      </c>
      <c r="R44" s="18">
        <f>IF(OR(P44="",Q44=""),"",COUNTIFS('Meal Plan'!$B$5:$B$504,"&gt;="&amp;P44,'Meal Plan'!$B$5:$B$504,"&lt;="&amp;Q44,'Meal Plan'!$G$5:$G$504,E44))</f>
        <v>0</v>
      </c>
      <c r="T44" s="25">
        <f>IF(OR(G44="",E44=""),"",IFERROR(INDEX(Recipes!$AC$5:$AC$204,MATCH(E44,Recipes!$A$5:$A$204,0))*G44,""))</f>
        <v>0</v>
      </c>
      <c r="U44" s="25">
        <f>IF(OR(T44="",I44="",I44=0),"",T44/I44)</f>
        <v>0</v>
      </c>
      <c r="V44" s="18">
        <f>IF(OR(B44="",W44="Done",NOT(ISNUMBER(C44))),"",COUNTIFS($W$5:$W$124,"&lt;&gt;Done",$C$5:$C$124,"&lt;"&amp;C44)+COUNTIFS($W$5:W44,"&lt;&gt;Done",$C$5:C44,C44))</f>
        <v>0</v>
      </c>
      <c r="X44" s="31">
        <f>IF(B44="","",IF(W44="Done","OK",IF(AND(C44&lt;&gt;"",C44&lt;TODAY()),"Overdue - still not made",IF(C44=TODAY(),"Today - prep day",IF(AND(C44&lt;&gt;"",C44-TODAY()&lt;=PrepLeadDays),"Due - coming up","OK")))))</f>
        <v>0</v>
      </c>
    </row>
    <row r="45" spans="1:24">
      <c r="A45" s="39">
        <f>IF(B45="","","PR-"&amp;TEXT(ROW()-4,"000"))</f>
        <v>0</v>
      </c>
      <c r="D45" s="17">
        <f>IF(C45="","",TEXT(C45,"ddd"))</f>
        <v>0</v>
      </c>
      <c r="F45" s="17">
        <f>IF(E45="","",IFERROR(INDEX(Recipes!$B$5:$B$204,MATCH(E45,Recipes!$A$5:$A$204,0)),"Not found"))</f>
        <v>0</v>
      </c>
      <c r="H45" s="18">
        <f>IF(E45="","",IFERROR(INDEX(Recipes!$G$5:$G$204,MATCH(E45,Recipes!$A$5:$A$204,0)),"Not found"))</f>
        <v>0</v>
      </c>
      <c r="I45" s="45">
        <f>IF(OR(G45="",H45="",NOT(ISNUMBER(H45))),"",G45*H45)</f>
        <v>0</v>
      </c>
      <c r="J45" s="18">
        <f>IF(E45="","",IFERROR(INDEX(Recipes!$J$5:$J$204,MATCH(E45,Recipes!$A$5:$A$204,0)),"Not found"))</f>
        <v>0</v>
      </c>
      <c r="L45" s="18">
        <f>IF(B45="","",IF(K45&lt;&gt;"",K45,IF(ISNUMBER(J45),J45,0)))</f>
        <v>0</v>
      </c>
      <c r="M45" s="45">
        <f>IF(OR(I45="",I45=0,L45=0),"",L45/I45)</f>
        <v>0</v>
      </c>
      <c r="R45" s="18">
        <f>IF(OR(P45="",Q45=""),"",COUNTIFS('Meal Plan'!$B$5:$B$504,"&gt;="&amp;P45,'Meal Plan'!$B$5:$B$504,"&lt;="&amp;Q45,'Meal Plan'!$G$5:$G$504,E45))</f>
        <v>0</v>
      </c>
      <c r="T45" s="25">
        <f>IF(OR(G45="",E45=""),"",IFERROR(INDEX(Recipes!$AC$5:$AC$204,MATCH(E45,Recipes!$A$5:$A$204,0))*G45,""))</f>
        <v>0</v>
      </c>
      <c r="U45" s="25">
        <f>IF(OR(T45="",I45="",I45=0),"",T45/I45)</f>
        <v>0</v>
      </c>
      <c r="V45" s="18">
        <f>IF(OR(B45="",W45="Done",NOT(ISNUMBER(C45))),"",COUNTIFS($W$5:$W$124,"&lt;&gt;Done",$C$5:$C$124,"&lt;"&amp;C45)+COUNTIFS($W$5:W45,"&lt;&gt;Done",$C$5:C45,C45))</f>
        <v>0</v>
      </c>
      <c r="X45" s="31">
        <f>IF(B45="","",IF(W45="Done","OK",IF(AND(C45&lt;&gt;"",C45&lt;TODAY()),"Overdue - still not made",IF(C45=TODAY(),"Today - prep day",IF(AND(C45&lt;&gt;"",C45-TODAY()&lt;=PrepLeadDays),"Due - coming up","OK")))))</f>
        <v>0</v>
      </c>
    </row>
    <row r="46" spans="1:24">
      <c r="A46" s="39">
        <f>IF(B46="","","PR-"&amp;TEXT(ROW()-4,"000"))</f>
        <v>0</v>
      </c>
      <c r="D46" s="17">
        <f>IF(C46="","",TEXT(C46,"ddd"))</f>
        <v>0</v>
      </c>
      <c r="F46" s="17">
        <f>IF(E46="","",IFERROR(INDEX(Recipes!$B$5:$B$204,MATCH(E46,Recipes!$A$5:$A$204,0)),"Not found"))</f>
        <v>0</v>
      </c>
      <c r="H46" s="18">
        <f>IF(E46="","",IFERROR(INDEX(Recipes!$G$5:$G$204,MATCH(E46,Recipes!$A$5:$A$204,0)),"Not found"))</f>
        <v>0</v>
      </c>
      <c r="I46" s="45">
        <f>IF(OR(G46="",H46="",NOT(ISNUMBER(H46))),"",G46*H46)</f>
        <v>0</v>
      </c>
      <c r="J46" s="18">
        <f>IF(E46="","",IFERROR(INDEX(Recipes!$J$5:$J$204,MATCH(E46,Recipes!$A$5:$A$204,0)),"Not found"))</f>
        <v>0</v>
      </c>
      <c r="L46" s="18">
        <f>IF(B46="","",IF(K46&lt;&gt;"",K46,IF(ISNUMBER(J46),J46,0)))</f>
        <v>0</v>
      </c>
      <c r="M46" s="45">
        <f>IF(OR(I46="",I46=0,L46=0),"",L46/I46)</f>
        <v>0</v>
      </c>
      <c r="R46" s="18">
        <f>IF(OR(P46="",Q46=""),"",COUNTIFS('Meal Plan'!$B$5:$B$504,"&gt;="&amp;P46,'Meal Plan'!$B$5:$B$504,"&lt;="&amp;Q46,'Meal Plan'!$G$5:$G$504,E46))</f>
        <v>0</v>
      </c>
      <c r="T46" s="25">
        <f>IF(OR(G46="",E46=""),"",IFERROR(INDEX(Recipes!$AC$5:$AC$204,MATCH(E46,Recipes!$A$5:$A$204,0))*G46,""))</f>
        <v>0</v>
      </c>
      <c r="U46" s="25">
        <f>IF(OR(T46="",I46="",I46=0),"",T46/I46)</f>
        <v>0</v>
      </c>
      <c r="V46" s="18">
        <f>IF(OR(B46="",W46="Done",NOT(ISNUMBER(C46))),"",COUNTIFS($W$5:$W$124,"&lt;&gt;Done",$C$5:$C$124,"&lt;"&amp;C46)+COUNTIFS($W$5:W46,"&lt;&gt;Done",$C$5:C46,C46))</f>
        <v>0</v>
      </c>
      <c r="X46" s="31">
        <f>IF(B46="","",IF(W46="Done","OK",IF(AND(C46&lt;&gt;"",C46&lt;TODAY()),"Overdue - still not made",IF(C46=TODAY(),"Today - prep day",IF(AND(C46&lt;&gt;"",C46-TODAY()&lt;=PrepLeadDays),"Due - coming up","OK")))))</f>
        <v>0</v>
      </c>
    </row>
    <row r="47" spans="1:24">
      <c r="A47" s="39">
        <f>IF(B47="","","PR-"&amp;TEXT(ROW()-4,"000"))</f>
        <v>0</v>
      </c>
      <c r="D47" s="17">
        <f>IF(C47="","",TEXT(C47,"ddd"))</f>
        <v>0</v>
      </c>
      <c r="F47" s="17">
        <f>IF(E47="","",IFERROR(INDEX(Recipes!$B$5:$B$204,MATCH(E47,Recipes!$A$5:$A$204,0)),"Not found"))</f>
        <v>0</v>
      </c>
      <c r="H47" s="18">
        <f>IF(E47="","",IFERROR(INDEX(Recipes!$G$5:$G$204,MATCH(E47,Recipes!$A$5:$A$204,0)),"Not found"))</f>
        <v>0</v>
      </c>
      <c r="I47" s="45">
        <f>IF(OR(G47="",H47="",NOT(ISNUMBER(H47))),"",G47*H47)</f>
        <v>0</v>
      </c>
      <c r="J47" s="18">
        <f>IF(E47="","",IFERROR(INDEX(Recipes!$J$5:$J$204,MATCH(E47,Recipes!$A$5:$A$204,0)),"Not found"))</f>
        <v>0</v>
      </c>
      <c r="L47" s="18">
        <f>IF(B47="","",IF(K47&lt;&gt;"",K47,IF(ISNUMBER(J47),J47,0)))</f>
        <v>0</v>
      </c>
      <c r="M47" s="45">
        <f>IF(OR(I47="",I47=0,L47=0),"",L47/I47)</f>
        <v>0</v>
      </c>
      <c r="R47" s="18">
        <f>IF(OR(P47="",Q47=""),"",COUNTIFS('Meal Plan'!$B$5:$B$504,"&gt;="&amp;P47,'Meal Plan'!$B$5:$B$504,"&lt;="&amp;Q47,'Meal Plan'!$G$5:$G$504,E47))</f>
        <v>0</v>
      </c>
      <c r="T47" s="25">
        <f>IF(OR(G47="",E47=""),"",IFERROR(INDEX(Recipes!$AC$5:$AC$204,MATCH(E47,Recipes!$A$5:$A$204,0))*G47,""))</f>
        <v>0</v>
      </c>
      <c r="U47" s="25">
        <f>IF(OR(T47="",I47="",I47=0),"",T47/I47)</f>
        <v>0</v>
      </c>
      <c r="V47" s="18">
        <f>IF(OR(B47="",W47="Done",NOT(ISNUMBER(C47))),"",COUNTIFS($W$5:$W$124,"&lt;&gt;Done",$C$5:$C$124,"&lt;"&amp;C47)+COUNTIFS($W$5:W47,"&lt;&gt;Done",$C$5:C47,C47))</f>
        <v>0</v>
      </c>
      <c r="X47" s="31">
        <f>IF(B47="","",IF(W47="Done","OK",IF(AND(C47&lt;&gt;"",C47&lt;TODAY()),"Overdue - still not made",IF(C47=TODAY(),"Today - prep day",IF(AND(C47&lt;&gt;"",C47-TODAY()&lt;=PrepLeadDays),"Due - coming up","OK")))))</f>
        <v>0</v>
      </c>
    </row>
    <row r="48" spans="1:24">
      <c r="A48" s="39">
        <f>IF(B48="","","PR-"&amp;TEXT(ROW()-4,"000"))</f>
        <v>0</v>
      </c>
      <c r="D48" s="17">
        <f>IF(C48="","",TEXT(C48,"ddd"))</f>
        <v>0</v>
      </c>
      <c r="F48" s="17">
        <f>IF(E48="","",IFERROR(INDEX(Recipes!$B$5:$B$204,MATCH(E48,Recipes!$A$5:$A$204,0)),"Not found"))</f>
        <v>0</v>
      </c>
      <c r="H48" s="18">
        <f>IF(E48="","",IFERROR(INDEX(Recipes!$G$5:$G$204,MATCH(E48,Recipes!$A$5:$A$204,0)),"Not found"))</f>
        <v>0</v>
      </c>
      <c r="I48" s="45">
        <f>IF(OR(G48="",H48="",NOT(ISNUMBER(H48))),"",G48*H48)</f>
        <v>0</v>
      </c>
      <c r="J48" s="18">
        <f>IF(E48="","",IFERROR(INDEX(Recipes!$J$5:$J$204,MATCH(E48,Recipes!$A$5:$A$204,0)),"Not found"))</f>
        <v>0</v>
      </c>
      <c r="L48" s="18">
        <f>IF(B48="","",IF(K48&lt;&gt;"",K48,IF(ISNUMBER(J48),J48,0)))</f>
        <v>0</v>
      </c>
      <c r="M48" s="45">
        <f>IF(OR(I48="",I48=0,L48=0),"",L48/I48)</f>
        <v>0</v>
      </c>
      <c r="R48" s="18">
        <f>IF(OR(P48="",Q48=""),"",COUNTIFS('Meal Plan'!$B$5:$B$504,"&gt;="&amp;P48,'Meal Plan'!$B$5:$B$504,"&lt;="&amp;Q48,'Meal Plan'!$G$5:$G$504,E48))</f>
        <v>0</v>
      </c>
      <c r="T48" s="25">
        <f>IF(OR(G48="",E48=""),"",IFERROR(INDEX(Recipes!$AC$5:$AC$204,MATCH(E48,Recipes!$A$5:$A$204,0))*G48,""))</f>
        <v>0</v>
      </c>
      <c r="U48" s="25">
        <f>IF(OR(T48="",I48="",I48=0),"",T48/I48)</f>
        <v>0</v>
      </c>
      <c r="V48" s="18">
        <f>IF(OR(B48="",W48="Done",NOT(ISNUMBER(C48))),"",COUNTIFS($W$5:$W$124,"&lt;&gt;Done",$C$5:$C$124,"&lt;"&amp;C48)+COUNTIFS($W$5:W48,"&lt;&gt;Done",$C$5:C48,C48))</f>
        <v>0</v>
      </c>
      <c r="X48" s="31">
        <f>IF(B48="","",IF(W48="Done","OK",IF(AND(C48&lt;&gt;"",C48&lt;TODAY()),"Overdue - still not made",IF(C48=TODAY(),"Today - prep day",IF(AND(C48&lt;&gt;"",C48-TODAY()&lt;=PrepLeadDays),"Due - coming up","OK")))))</f>
        <v>0</v>
      </c>
    </row>
    <row r="49" spans="1:24">
      <c r="A49" s="39">
        <f>IF(B49="","","PR-"&amp;TEXT(ROW()-4,"000"))</f>
        <v>0</v>
      </c>
      <c r="D49" s="17">
        <f>IF(C49="","",TEXT(C49,"ddd"))</f>
        <v>0</v>
      </c>
      <c r="F49" s="17">
        <f>IF(E49="","",IFERROR(INDEX(Recipes!$B$5:$B$204,MATCH(E49,Recipes!$A$5:$A$204,0)),"Not found"))</f>
        <v>0</v>
      </c>
      <c r="H49" s="18">
        <f>IF(E49="","",IFERROR(INDEX(Recipes!$G$5:$G$204,MATCH(E49,Recipes!$A$5:$A$204,0)),"Not found"))</f>
        <v>0</v>
      </c>
      <c r="I49" s="45">
        <f>IF(OR(G49="",H49="",NOT(ISNUMBER(H49))),"",G49*H49)</f>
        <v>0</v>
      </c>
      <c r="J49" s="18">
        <f>IF(E49="","",IFERROR(INDEX(Recipes!$J$5:$J$204,MATCH(E49,Recipes!$A$5:$A$204,0)),"Not found"))</f>
        <v>0</v>
      </c>
      <c r="L49" s="18">
        <f>IF(B49="","",IF(K49&lt;&gt;"",K49,IF(ISNUMBER(J49),J49,0)))</f>
        <v>0</v>
      </c>
      <c r="M49" s="45">
        <f>IF(OR(I49="",I49=0,L49=0),"",L49/I49)</f>
        <v>0</v>
      </c>
      <c r="R49" s="18">
        <f>IF(OR(P49="",Q49=""),"",COUNTIFS('Meal Plan'!$B$5:$B$504,"&gt;="&amp;P49,'Meal Plan'!$B$5:$B$504,"&lt;="&amp;Q49,'Meal Plan'!$G$5:$G$504,E49))</f>
        <v>0</v>
      </c>
      <c r="T49" s="25">
        <f>IF(OR(G49="",E49=""),"",IFERROR(INDEX(Recipes!$AC$5:$AC$204,MATCH(E49,Recipes!$A$5:$A$204,0))*G49,""))</f>
        <v>0</v>
      </c>
      <c r="U49" s="25">
        <f>IF(OR(T49="",I49="",I49=0),"",T49/I49)</f>
        <v>0</v>
      </c>
      <c r="V49" s="18">
        <f>IF(OR(B49="",W49="Done",NOT(ISNUMBER(C49))),"",COUNTIFS($W$5:$W$124,"&lt;&gt;Done",$C$5:$C$124,"&lt;"&amp;C49)+COUNTIFS($W$5:W49,"&lt;&gt;Done",$C$5:C49,C49))</f>
        <v>0</v>
      </c>
      <c r="X49" s="31">
        <f>IF(B49="","",IF(W49="Done","OK",IF(AND(C49&lt;&gt;"",C49&lt;TODAY()),"Overdue - still not made",IF(C49=TODAY(),"Today - prep day",IF(AND(C49&lt;&gt;"",C49-TODAY()&lt;=PrepLeadDays),"Due - coming up","OK")))))</f>
        <v>0</v>
      </c>
    </row>
    <row r="50" spans="1:24">
      <c r="A50" s="39">
        <f>IF(B50="","","PR-"&amp;TEXT(ROW()-4,"000"))</f>
        <v>0</v>
      </c>
      <c r="D50" s="17">
        <f>IF(C50="","",TEXT(C50,"ddd"))</f>
        <v>0</v>
      </c>
      <c r="F50" s="17">
        <f>IF(E50="","",IFERROR(INDEX(Recipes!$B$5:$B$204,MATCH(E50,Recipes!$A$5:$A$204,0)),"Not found"))</f>
        <v>0</v>
      </c>
      <c r="H50" s="18">
        <f>IF(E50="","",IFERROR(INDEX(Recipes!$G$5:$G$204,MATCH(E50,Recipes!$A$5:$A$204,0)),"Not found"))</f>
        <v>0</v>
      </c>
      <c r="I50" s="45">
        <f>IF(OR(G50="",H50="",NOT(ISNUMBER(H50))),"",G50*H50)</f>
        <v>0</v>
      </c>
      <c r="J50" s="18">
        <f>IF(E50="","",IFERROR(INDEX(Recipes!$J$5:$J$204,MATCH(E50,Recipes!$A$5:$A$204,0)),"Not found"))</f>
        <v>0</v>
      </c>
      <c r="L50" s="18">
        <f>IF(B50="","",IF(K50&lt;&gt;"",K50,IF(ISNUMBER(J50),J50,0)))</f>
        <v>0</v>
      </c>
      <c r="M50" s="45">
        <f>IF(OR(I50="",I50=0,L50=0),"",L50/I50)</f>
        <v>0</v>
      </c>
      <c r="R50" s="18">
        <f>IF(OR(P50="",Q50=""),"",COUNTIFS('Meal Plan'!$B$5:$B$504,"&gt;="&amp;P50,'Meal Plan'!$B$5:$B$504,"&lt;="&amp;Q50,'Meal Plan'!$G$5:$G$504,E50))</f>
        <v>0</v>
      </c>
      <c r="T50" s="25">
        <f>IF(OR(G50="",E50=""),"",IFERROR(INDEX(Recipes!$AC$5:$AC$204,MATCH(E50,Recipes!$A$5:$A$204,0))*G50,""))</f>
        <v>0</v>
      </c>
      <c r="U50" s="25">
        <f>IF(OR(T50="",I50="",I50=0),"",T50/I50)</f>
        <v>0</v>
      </c>
      <c r="V50" s="18">
        <f>IF(OR(B50="",W50="Done",NOT(ISNUMBER(C50))),"",COUNTIFS($W$5:$W$124,"&lt;&gt;Done",$C$5:$C$124,"&lt;"&amp;C50)+COUNTIFS($W$5:W50,"&lt;&gt;Done",$C$5:C50,C50))</f>
        <v>0</v>
      </c>
      <c r="X50" s="31">
        <f>IF(B50="","",IF(W50="Done","OK",IF(AND(C50&lt;&gt;"",C50&lt;TODAY()),"Overdue - still not made",IF(C50=TODAY(),"Today - prep day",IF(AND(C50&lt;&gt;"",C50-TODAY()&lt;=PrepLeadDays),"Due - coming up","OK")))))</f>
        <v>0</v>
      </c>
    </row>
    <row r="51" spans="1:24">
      <c r="A51" s="39">
        <f>IF(B51="","","PR-"&amp;TEXT(ROW()-4,"000"))</f>
        <v>0</v>
      </c>
      <c r="D51" s="17">
        <f>IF(C51="","",TEXT(C51,"ddd"))</f>
        <v>0</v>
      </c>
      <c r="F51" s="17">
        <f>IF(E51="","",IFERROR(INDEX(Recipes!$B$5:$B$204,MATCH(E51,Recipes!$A$5:$A$204,0)),"Not found"))</f>
        <v>0</v>
      </c>
      <c r="H51" s="18">
        <f>IF(E51="","",IFERROR(INDEX(Recipes!$G$5:$G$204,MATCH(E51,Recipes!$A$5:$A$204,0)),"Not found"))</f>
        <v>0</v>
      </c>
      <c r="I51" s="45">
        <f>IF(OR(G51="",H51="",NOT(ISNUMBER(H51))),"",G51*H51)</f>
        <v>0</v>
      </c>
      <c r="J51" s="18">
        <f>IF(E51="","",IFERROR(INDEX(Recipes!$J$5:$J$204,MATCH(E51,Recipes!$A$5:$A$204,0)),"Not found"))</f>
        <v>0</v>
      </c>
      <c r="L51" s="18">
        <f>IF(B51="","",IF(K51&lt;&gt;"",K51,IF(ISNUMBER(J51),J51,0)))</f>
        <v>0</v>
      </c>
      <c r="M51" s="45">
        <f>IF(OR(I51="",I51=0,L51=0),"",L51/I51)</f>
        <v>0</v>
      </c>
      <c r="R51" s="18">
        <f>IF(OR(P51="",Q51=""),"",COUNTIFS('Meal Plan'!$B$5:$B$504,"&gt;="&amp;P51,'Meal Plan'!$B$5:$B$504,"&lt;="&amp;Q51,'Meal Plan'!$G$5:$G$504,E51))</f>
        <v>0</v>
      </c>
      <c r="T51" s="25">
        <f>IF(OR(G51="",E51=""),"",IFERROR(INDEX(Recipes!$AC$5:$AC$204,MATCH(E51,Recipes!$A$5:$A$204,0))*G51,""))</f>
        <v>0</v>
      </c>
      <c r="U51" s="25">
        <f>IF(OR(T51="",I51="",I51=0),"",T51/I51)</f>
        <v>0</v>
      </c>
      <c r="V51" s="18">
        <f>IF(OR(B51="",W51="Done",NOT(ISNUMBER(C51))),"",COUNTIFS($W$5:$W$124,"&lt;&gt;Done",$C$5:$C$124,"&lt;"&amp;C51)+COUNTIFS($W$5:W51,"&lt;&gt;Done",$C$5:C51,C51))</f>
        <v>0</v>
      </c>
      <c r="X51" s="31">
        <f>IF(B51="","",IF(W51="Done","OK",IF(AND(C51&lt;&gt;"",C51&lt;TODAY()),"Overdue - still not made",IF(C51=TODAY(),"Today - prep day",IF(AND(C51&lt;&gt;"",C51-TODAY()&lt;=PrepLeadDays),"Due - coming up","OK")))))</f>
        <v>0</v>
      </c>
    </row>
    <row r="52" spans="1:24">
      <c r="A52" s="39">
        <f>IF(B52="","","PR-"&amp;TEXT(ROW()-4,"000"))</f>
        <v>0</v>
      </c>
      <c r="D52" s="17">
        <f>IF(C52="","",TEXT(C52,"ddd"))</f>
        <v>0</v>
      </c>
      <c r="F52" s="17">
        <f>IF(E52="","",IFERROR(INDEX(Recipes!$B$5:$B$204,MATCH(E52,Recipes!$A$5:$A$204,0)),"Not found"))</f>
        <v>0</v>
      </c>
      <c r="H52" s="18">
        <f>IF(E52="","",IFERROR(INDEX(Recipes!$G$5:$G$204,MATCH(E52,Recipes!$A$5:$A$204,0)),"Not found"))</f>
        <v>0</v>
      </c>
      <c r="I52" s="45">
        <f>IF(OR(G52="",H52="",NOT(ISNUMBER(H52))),"",G52*H52)</f>
        <v>0</v>
      </c>
      <c r="J52" s="18">
        <f>IF(E52="","",IFERROR(INDEX(Recipes!$J$5:$J$204,MATCH(E52,Recipes!$A$5:$A$204,0)),"Not found"))</f>
        <v>0</v>
      </c>
      <c r="L52" s="18">
        <f>IF(B52="","",IF(K52&lt;&gt;"",K52,IF(ISNUMBER(J52),J52,0)))</f>
        <v>0</v>
      </c>
      <c r="M52" s="45">
        <f>IF(OR(I52="",I52=0,L52=0),"",L52/I52)</f>
        <v>0</v>
      </c>
      <c r="R52" s="18">
        <f>IF(OR(P52="",Q52=""),"",COUNTIFS('Meal Plan'!$B$5:$B$504,"&gt;="&amp;P52,'Meal Plan'!$B$5:$B$504,"&lt;="&amp;Q52,'Meal Plan'!$G$5:$G$504,E52))</f>
        <v>0</v>
      </c>
      <c r="T52" s="25">
        <f>IF(OR(G52="",E52=""),"",IFERROR(INDEX(Recipes!$AC$5:$AC$204,MATCH(E52,Recipes!$A$5:$A$204,0))*G52,""))</f>
        <v>0</v>
      </c>
      <c r="U52" s="25">
        <f>IF(OR(T52="",I52="",I52=0),"",T52/I52)</f>
        <v>0</v>
      </c>
      <c r="V52" s="18">
        <f>IF(OR(B52="",W52="Done",NOT(ISNUMBER(C52))),"",COUNTIFS($W$5:$W$124,"&lt;&gt;Done",$C$5:$C$124,"&lt;"&amp;C52)+COUNTIFS($W$5:W52,"&lt;&gt;Done",$C$5:C52,C52))</f>
        <v>0</v>
      </c>
      <c r="X52" s="31">
        <f>IF(B52="","",IF(W52="Done","OK",IF(AND(C52&lt;&gt;"",C52&lt;TODAY()),"Overdue - still not made",IF(C52=TODAY(),"Today - prep day",IF(AND(C52&lt;&gt;"",C52-TODAY()&lt;=PrepLeadDays),"Due - coming up","OK")))))</f>
        <v>0</v>
      </c>
    </row>
    <row r="53" spans="1:24">
      <c r="A53" s="39">
        <f>IF(B53="","","PR-"&amp;TEXT(ROW()-4,"000"))</f>
        <v>0</v>
      </c>
      <c r="D53" s="17">
        <f>IF(C53="","",TEXT(C53,"ddd"))</f>
        <v>0</v>
      </c>
      <c r="F53" s="17">
        <f>IF(E53="","",IFERROR(INDEX(Recipes!$B$5:$B$204,MATCH(E53,Recipes!$A$5:$A$204,0)),"Not found"))</f>
        <v>0</v>
      </c>
      <c r="H53" s="18">
        <f>IF(E53="","",IFERROR(INDEX(Recipes!$G$5:$G$204,MATCH(E53,Recipes!$A$5:$A$204,0)),"Not found"))</f>
        <v>0</v>
      </c>
      <c r="I53" s="45">
        <f>IF(OR(G53="",H53="",NOT(ISNUMBER(H53))),"",G53*H53)</f>
        <v>0</v>
      </c>
      <c r="J53" s="18">
        <f>IF(E53="","",IFERROR(INDEX(Recipes!$J$5:$J$204,MATCH(E53,Recipes!$A$5:$A$204,0)),"Not found"))</f>
        <v>0</v>
      </c>
      <c r="L53" s="18">
        <f>IF(B53="","",IF(K53&lt;&gt;"",K53,IF(ISNUMBER(J53),J53,0)))</f>
        <v>0</v>
      </c>
      <c r="M53" s="45">
        <f>IF(OR(I53="",I53=0,L53=0),"",L53/I53)</f>
        <v>0</v>
      </c>
      <c r="R53" s="18">
        <f>IF(OR(P53="",Q53=""),"",COUNTIFS('Meal Plan'!$B$5:$B$504,"&gt;="&amp;P53,'Meal Plan'!$B$5:$B$504,"&lt;="&amp;Q53,'Meal Plan'!$G$5:$G$504,E53))</f>
        <v>0</v>
      </c>
      <c r="T53" s="25">
        <f>IF(OR(G53="",E53=""),"",IFERROR(INDEX(Recipes!$AC$5:$AC$204,MATCH(E53,Recipes!$A$5:$A$204,0))*G53,""))</f>
        <v>0</v>
      </c>
      <c r="U53" s="25">
        <f>IF(OR(T53="",I53="",I53=0),"",T53/I53)</f>
        <v>0</v>
      </c>
      <c r="V53" s="18">
        <f>IF(OR(B53="",W53="Done",NOT(ISNUMBER(C53))),"",COUNTIFS($W$5:$W$124,"&lt;&gt;Done",$C$5:$C$124,"&lt;"&amp;C53)+COUNTIFS($W$5:W53,"&lt;&gt;Done",$C$5:C53,C53))</f>
        <v>0</v>
      </c>
      <c r="X53" s="31">
        <f>IF(B53="","",IF(W53="Done","OK",IF(AND(C53&lt;&gt;"",C53&lt;TODAY()),"Overdue - still not made",IF(C53=TODAY(),"Today - prep day",IF(AND(C53&lt;&gt;"",C53-TODAY()&lt;=PrepLeadDays),"Due - coming up","OK")))))</f>
        <v>0</v>
      </c>
    </row>
    <row r="54" spans="1:24">
      <c r="A54" s="39">
        <f>IF(B54="","","PR-"&amp;TEXT(ROW()-4,"000"))</f>
        <v>0</v>
      </c>
      <c r="D54" s="17">
        <f>IF(C54="","",TEXT(C54,"ddd"))</f>
        <v>0</v>
      </c>
      <c r="F54" s="17">
        <f>IF(E54="","",IFERROR(INDEX(Recipes!$B$5:$B$204,MATCH(E54,Recipes!$A$5:$A$204,0)),"Not found"))</f>
        <v>0</v>
      </c>
      <c r="H54" s="18">
        <f>IF(E54="","",IFERROR(INDEX(Recipes!$G$5:$G$204,MATCH(E54,Recipes!$A$5:$A$204,0)),"Not found"))</f>
        <v>0</v>
      </c>
      <c r="I54" s="45">
        <f>IF(OR(G54="",H54="",NOT(ISNUMBER(H54))),"",G54*H54)</f>
        <v>0</v>
      </c>
      <c r="J54" s="18">
        <f>IF(E54="","",IFERROR(INDEX(Recipes!$J$5:$J$204,MATCH(E54,Recipes!$A$5:$A$204,0)),"Not found"))</f>
        <v>0</v>
      </c>
      <c r="L54" s="18">
        <f>IF(B54="","",IF(K54&lt;&gt;"",K54,IF(ISNUMBER(J54),J54,0)))</f>
        <v>0</v>
      </c>
      <c r="M54" s="45">
        <f>IF(OR(I54="",I54=0,L54=0),"",L54/I54)</f>
        <v>0</v>
      </c>
      <c r="R54" s="18">
        <f>IF(OR(P54="",Q54=""),"",COUNTIFS('Meal Plan'!$B$5:$B$504,"&gt;="&amp;P54,'Meal Plan'!$B$5:$B$504,"&lt;="&amp;Q54,'Meal Plan'!$G$5:$G$504,E54))</f>
        <v>0</v>
      </c>
      <c r="T54" s="25">
        <f>IF(OR(G54="",E54=""),"",IFERROR(INDEX(Recipes!$AC$5:$AC$204,MATCH(E54,Recipes!$A$5:$A$204,0))*G54,""))</f>
        <v>0</v>
      </c>
      <c r="U54" s="25">
        <f>IF(OR(T54="",I54="",I54=0),"",T54/I54)</f>
        <v>0</v>
      </c>
      <c r="V54" s="18">
        <f>IF(OR(B54="",W54="Done",NOT(ISNUMBER(C54))),"",COUNTIFS($W$5:$W$124,"&lt;&gt;Done",$C$5:$C$124,"&lt;"&amp;C54)+COUNTIFS($W$5:W54,"&lt;&gt;Done",$C$5:C54,C54))</f>
        <v>0</v>
      </c>
      <c r="X54" s="31">
        <f>IF(B54="","",IF(W54="Done","OK",IF(AND(C54&lt;&gt;"",C54&lt;TODAY()),"Overdue - still not made",IF(C54=TODAY(),"Today - prep day",IF(AND(C54&lt;&gt;"",C54-TODAY()&lt;=PrepLeadDays),"Due - coming up","OK")))))</f>
        <v>0</v>
      </c>
    </row>
    <row r="55" spans="1:24">
      <c r="A55" s="39">
        <f>IF(B55="","","PR-"&amp;TEXT(ROW()-4,"000"))</f>
        <v>0</v>
      </c>
      <c r="D55" s="17">
        <f>IF(C55="","",TEXT(C55,"ddd"))</f>
        <v>0</v>
      </c>
      <c r="F55" s="17">
        <f>IF(E55="","",IFERROR(INDEX(Recipes!$B$5:$B$204,MATCH(E55,Recipes!$A$5:$A$204,0)),"Not found"))</f>
        <v>0</v>
      </c>
      <c r="H55" s="18">
        <f>IF(E55="","",IFERROR(INDEX(Recipes!$G$5:$G$204,MATCH(E55,Recipes!$A$5:$A$204,0)),"Not found"))</f>
        <v>0</v>
      </c>
      <c r="I55" s="45">
        <f>IF(OR(G55="",H55="",NOT(ISNUMBER(H55))),"",G55*H55)</f>
        <v>0</v>
      </c>
      <c r="J55" s="18">
        <f>IF(E55="","",IFERROR(INDEX(Recipes!$J$5:$J$204,MATCH(E55,Recipes!$A$5:$A$204,0)),"Not found"))</f>
        <v>0</v>
      </c>
      <c r="L55" s="18">
        <f>IF(B55="","",IF(K55&lt;&gt;"",K55,IF(ISNUMBER(J55),J55,0)))</f>
        <v>0</v>
      </c>
      <c r="M55" s="45">
        <f>IF(OR(I55="",I55=0,L55=0),"",L55/I55)</f>
        <v>0</v>
      </c>
      <c r="R55" s="18">
        <f>IF(OR(P55="",Q55=""),"",COUNTIFS('Meal Plan'!$B$5:$B$504,"&gt;="&amp;P55,'Meal Plan'!$B$5:$B$504,"&lt;="&amp;Q55,'Meal Plan'!$G$5:$G$504,E55))</f>
        <v>0</v>
      </c>
      <c r="T55" s="25">
        <f>IF(OR(G55="",E55=""),"",IFERROR(INDEX(Recipes!$AC$5:$AC$204,MATCH(E55,Recipes!$A$5:$A$204,0))*G55,""))</f>
        <v>0</v>
      </c>
      <c r="U55" s="25">
        <f>IF(OR(T55="",I55="",I55=0),"",T55/I55)</f>
        <v>0</v>
      </c>
      <c r="V55" s="18">
        <f>IF(OR(B55="",W55="Done",NOT(ISNUMBER(C55))),"",COUNTIFS($W$5:$W$124,"&lt;&gt;Done",$C$5:$C$124,"&lt;"&amp;C55)+COUNTIFS($W$5:W55,"&lt;&gt;Done",$C$5:C55,C55))</f>
        <v>0</v>
      </c>
      <c r="X55" s="31">
        <f>IF(B55="","",IF(W55="Done","OK",IF(AND(C55&lt;&gt;"",C55&lt;TODAY()),"Overdue - still not made",IF(C55=TODAY(),"Today - prep day",IF(AND(C55&lt;&gt;"",C55-TODAY()&lt;=PrepLeadDays),"Due - coming up","OK")))))</f>
        <v>0</v>
      </c>
    </row>
    <row r="56" spans="1:24">
      <c r="A56" s="39">
        <f>IF(B56="","","PR-"&amp;TEXT(ROW()-4,"000"))</f>
        <v>0</v>
      </c>
      <c r="D56" s="17">
        <f>IF(C56="","",TEXT(C56,"ddd"))</f>
        <v>0</v>
      </c>
      <c r="F56" s="17">
        <f>IF(E56="","",IFERROR(INDEX(Recipes!$B$5:$B$204,MATCH(E56,Recipes!$A$5:$A$204,0)),"Not found"))</f>
        <v>0</v>
      </c>
      <c r="H56" s="18">
        <f>IF(E56="","",IFERROR(INDEX(Recipes!$G$5:$G$204,MATCH(E56,Recipes!$A$5:$A$204,0)),"Not found"))</f>
        <v>0</v>
      </c>
      <c r="I56" s="45">
        <f>IF(OR(G56="",H56="",NOT(ISNUMBER(H56))),"",G56*H56)</f>
        <v>0</v>
      </c>
      <c r="J56" s="18">
        <f>IF(E56="","",IFERROR(INDEX(Recipes!$J$5:$J$204,MATCH(E56,Recipes!$A$5:$A$204,0)),"Not found"))</f>
        <v>0</v>
      </c>
      <c r="L56" s="18">
        <f>IF(B56="","",IF(K56&lt;&gt;"",K56,IF(ISNUMBER(J56),J56,0)))</f>
        <v>0</v>
      </c>
      <c r="M56" s="45">
        <f>IF(OR(I56="",I56=0,L56=0),"",L56/I56)</f>
        <v>0</v>
      </c>
      <c r="R56" s="18">
        <f>IF(OR(P56="",Q56=""),"",COUNTIFS('Meal Plan'!$B$5:$B$504,"&gt;="&amp;P56,'Meal Plan'!$B$5:$B$504,"&lt;="&amp;Q56,'Meal Plan'!$G$5:$G$504,E56))</f>
        <v>0</v>
      </c>
      <c r="T56" s="25">
        <f>IF(OR(G56="",E56=""),"",IFERROR(INDEX(Recipes!$AC$5:$AC$204,MATCH(E56,Recipes!$A$5:$A$204,0))*G56,""))</f>
        <v>0</v>
      </c>
      <c r="U56" s="25">
        <f>IF(OR(T56="",I56="",I56=0),"",T56/I56)</f>
        <v>0</v>
      </c>
      <c r="V56" s="18">
        <f>IF(OR(B56="",W56="Done",NOT(ISNUMBER(C56))),"",COUNTIFS($W$5:$W$124,"&lt;&gt;Done",$C$5:$C$124,"&lt;"&amp;C56)+COUNTIFS($W$5:W56,"&lt;&gt;Done",$C$5:C56,C56))</f>
        <v>0</v>
      </c>
      <c r="X56" s="31">
        <f>IF(B56="","",IF(W56="Done","OK",IF(AND(C56&lt;&gt;"",C56&lt;TODAY()),"Overdue - still not made",IF(C56=TODAY(),"Today - prep day",IF(AND(C56&lt;&gt;"",C56-TODAY()&lt;=PrepLeadDays),"Due - coming up","OK")))))</f>
        <v>0</v>
      </c>
    </row>
    <row r="57" spans="1:24">
      <c r="A57" s="39">
        <f>IF(B57="","","PR-"&amp;TEXT(ROW()-4,"000"))</f>
        <v>0</v>
      </c>
      <c r="D57" s="17">
        <f>IF(C57="","",TEXT(C57,"ddd"))</f>
        <v>0</v>
      </c>
      <c r="F57" s="17">
        <f>IF(E57="","",IFERROR(INDEX(Recipes!$B$5:$B$204,MATCH(E57,Recipes!$A$5:$A$204,0)),"Not found"))</f>
        <v>0</v>
      </c>
      <c r="H57" s="18">
        <f>IF(E57="","",IFERROR(INDEX(Recipes!$G$5:$G$204,MATCH(E57,Recipes!$A$5:$A$204,0)),"Not found"))</f>
        <v>0</v>
      </c>
      <c r="I57" s="45">
        <f>IF(OR(G57="",H57="",NOT(ISNUMBER(H57))),"",G57*H57)</f>
        <v>0</v>
      </c>
      <c r="J57" s="18">
        <f>IF(E57="","",IFERROR(INDEX(Recipes!$J$5:$J$204,MATCH(E57,Recipes!$A$5:$A$204,0)),"Not found"))</f>
        <v>0</v>
      </c>
      <c r="L57" s="18">
        <f>IF(B57="","",IF(K57&lt;&gt;"",K57,IF(ISNUMBER(J57),J57,0)))</f>
        <v>0</v>
      </c>
      <c r="M57" s="45">
        <f>IF(OR(I57="",I57=0,L57=0),"",L57/I57)</f>
        <v>0</v>
      </c>
      <c r="R57" s="18">
        <f>IF(OR(P57="",Q57=""),"",COUNTIFS('Meal Plan'!$B$5:$B$504,"&gt;="&amp;P57,'Meal Plan'!$B$5:$B$504,"&lt;="&amp;Q57,'Meal Plan'!$G$5:$G$504,E57))</f>
        <v>0</v>
      </c>
      <c r="T57" s="25">
        <f>IF(OR(G57="",E57=""),"",IFERROR(INDEX(Recipes!$AC$5:$AC$204,MATCH(E57,Recipes!$A$5:$A$204,0))*G57,""))</f>
        <v>0</v>
      </c>
      <c r="U57" s="25">
        <f>IF(OR(T57="",I57="",I57=0),"",T57/I57)</f>
        <v>0</v>
      </c>
      <c r="V57" s="18">
        <f>IF(OR(B57="",W57="Done",NOT(ISNUMBER(C57))),"",COUNTIFS($W$5:$W$124,"&lt;&gt;Done",$C$5:$C$124,"&lt;"&amp;C57)+COUNTIFS($W$5:W57,"&lt;&gt;Done",$C$5:C57,C57))</f>
        <v>0</v>
      </c>
      <c r="X57" s="31">
        <f>IF(B57="","",IF(W57="Done","OK",IF(AND(C57&lt;&gt;"",C57&lt;TODAY()),"Overdue - still not made",IF(C57=TODAY(),"Today - prep day",IF(AND(C57&lt;&gt;"",C57-TODAY()&lt;=PrepLeadDays),"Due - coming up","OK")))))</f>
        <v>0</v>
      </c>
    </row>
    <row r="58" spans="1:24">
      <c r="A58" s="39">
        <f>IF(B58="","","PR-"&amp;TEXT(ROW()-4,"000"))</f>
        <v>0</v>
      </c>
      <c r="D58" s="17">
        <f>IF(C58="","",TEXT(C58,"ddd"))</f>
        <v>0</v>
      </c>
      <c r="F58" s="17">
        <f>IF(E58="","",IFERROR(INDEX(Recipes!$B$5:$B$204,MATCH(E58,Recipes!$A$5:$A$204,0)),"Not found"))</f>
        <v>0</v>
      </c>
      <c r="H58" s="18">
        <f>IF(E58="","",IFERROR(INDEX(Recipes!$G$5:$G$204,MATCH(E58,Recipes!$A$5:$A$204,0)),"Not found"))</f>
        <v>0</v>
      </c>
      <c r="I58" s="45">
        <f>IF(OR(G58="",H58="",NOT(ISNUMBER(H58))),"",G58*H58)</f>
        <v>0</v>
      </c>
      <c r="J58" s="18">
        <f>IF(E58="","",IFERROR(INDEX(Recipes!$J$5:$J$204,MATCH(E58,Recipes!$A$5:$A$204,0)),"Not found"))</f>
        <v>0</v>
      </c>
      <c r="L58" s="18">
        <f>IF(B58="","",IF(K58&lt;&gt;"",K58,IF(ISNUMBER(J58),J58,0)))</f>
        <v>0</v>
      </c>
      <c r="M58" s="45">
        <f>IF(OR(I58="",I58=0,L58=0),"",L58/I58)</f>
        <v>0</v>
      </c>
      <c r="R58" s="18">
        <f>IF(OR(P58="",Q58=""),"",COUNTIFS('Meal Plan'!$B$5:$B$504,"&gt;="&amp;P58,'Meal Plan'!$B$5:$B$504,"&lt;="&amp;Q58,'Meal Plan'!$G$5:$G$504,E58))</f>
        <v>0</v>
      </c>
      <c r="T58" s="25">
        <f>IF(OR(G58="",E58=""),"",IFERROR(INDEX(Recipes!$AC$5:$AC$204,MATCH(E58,Recipes!$A$5:$A$204,0))*G58,""))</f>
        <v>0</v>
      </c>
      <c r="U58" s="25">
        <f>IF(OR(T58="",I58="",I58=0),"",T58/I58)</f>
        <v>0</v>
      </c>
      <c r="V58" s="18">
        <f>IF(OR(B58="",W58="Done",NOT(ISNUMBER(C58))),"",COUNTIFS($W$5:$W$124,"&lt;&gt;Done",$C$5:$C$124,"&lt;"&amp;C58)+COUNTIFS($W$5:W58,"&lt;&gt;Done",$C$5:C58,C58))</f>
        <v>0</v>
      </c>
      <c r="X58" s="31">
        <f>IF(B58="","",IF(W58="Done","OK",IF(AND(C58&lt;&gt;"",C58&lt;TODAY()),"Overdue - still not made",IF(C58=TODAY(),"Today - prep day",IF(AND(C58&lt;&gt;"",C58-TODAY()&lt;=PrepLeadDays),"Due - coming up","OK")))))</f>
        <v>0</v>
      </c>
    </row>
    <row r="59" spans="1:24">
      <c r="A59" s="39">
        <f>IF(B59="","","PR-"&amp;TEXT(ROW()-4,"000"))</f>
        <v>0</v>
      </c>
      <c r="D59" s="17">
        <f>IF(C59="","",TEXT(C59,"ddd"))</f>
        <v>0</v>
      </c>
      <c r="F59" s="17">
        <f>IF(E59="","",IFERROR(INDEX(Recipes!$B$5:$B$204,MATCH(E59,Recipes!$A$5:$A$204,0)),"Not found"))</f>
        <v>0</v>
      </c>
      <c r="H59" s="18">
        <f>IF(E59="","",IFERROR(INDEX(Recipes!$G$5:$G$204,MATCH(E59,Recipes!$A$5:$A$204,0)),"Not found"))</f>
        <v>0</v>
      </c>
      <c r="I59" s="45">
        <f>IF(OR(G59="",H59="",NOT(ISNUMBER(H59))),"",G59*H59)</f>
        <v>0</v>
      </c>
      <c r="J59" s="18">
        <f>IF(E59="","",IFERROR(INDEX(Recipes!$J$5:$J$204,MATCH(E59,Recipes!$A$5:$A$204,0)),"Not found"))</f>
        <v>0</v>
      </c>
      <c r="L59" s="18">
        <f>IF(B59="","",IF(K59&lt;&gt;"",K59,IF(ISNUMBER(J59),J59,0)))</f>
        <v>0</v>
      </c>
      <c r="M59" s="45">
        <f>IF(OR(I59="",I59=0,L59=0),"",L59/I59)</f>
        <v>0</v>
      </c>
      <c r="R59" s="18">
        <f>IF(OR(P59="",Q59=""),"",COUNTIFS('Meal Plan'!$B$5:$B$504,"&gt;="&amp;P59,'Meal Plan'!$B$5:$B$504,"&lt;="&amp;Q59,'Meal Plan'!$G$5:$G$504,E59))</f>
        <v>0</v>
      </c>
      <c r="T59" s="25">
        <f>IF(OR(G59="",E59=""),"",IFERROR(INDEX(Recipes!$AC$5:$AC$204,MATCH(E59,Recipes!$A$5:$A$204,0))*G59,""))</f>
        <v>0</v>
      </c>
      <c r="U59" s="25">
        <f>IF(OR(T59="",I59="",I59=0),"",T59/I59)</f>
        <v>0</v>
      </c>
      <c r="V59" s="18">
        <f>IF(OR(B59="",W59="Done",NOT(ISNUMBER(C59))),"",COUNTIFS($W$5:$W$124,"&lt;&gt;Done",$C$5:$C$124,"&lt;"&amp;C59)+COUNTIFS($W$5:W59,"&lt;&gt;Done",$C$5:C59,C59))</f>
        <v>0</v>
      </c>
      <c r="X59" s="31">
        <f>IF(B59="","",IF(W59="Done","OK",IF(AND(C59&lt;&gt;"",C59&lt;TODAY()),"Overdue - still not made",IF(C59=TODAY(),"Today - prep day",IF(AND(C59&lt;&gt;"",C59-TODAY()&lt;=PrepLeadDays),"Due - coming up","OK")))))</f>
        <v>0</v>
      </c>
    </row>
    <row r="60" spans="1:24">
      <c r="A60" s="39">
        <f>IF(B60="","","PR-"&amp;TEXT(ROW()-4,"000"))</f>
        <v>0</v>
      </c>
      <c r="D60" s="17">
        <f>IF(C60="","",TEXT(C60,"ddd"))</f>
        <v>0</v>
      </c>
      <c r="F60" s="17">
        <f>IF(E60="","",IFERROR(INDEX(Recipes!$B$5:$B$204,MATCH(E60,Recipes!$A$5:$A$204,0)),"Not found"))</f>
        <v>0</v>
      </c>
      <c r="H60" s="18">
        <f>IF(E60="","",IFERROR(INDEX(Recipes!$G$5:$G$204,MATCH(E60,Recipes!$A$5:$A$204,0)),"Not found"))</f>
        <v>0</v>
      </c>
      <c r="I60" s="45">
        <f>IF(OR(G60="",H60="",NOT(ISNUMBER(H60))),"",G60*H60)</f>
        <v>0</v>
      </c>
      <c r="J60" s="18">
        <f>IF(E60="","",IFERROR(INDEX(Recipes!$J$5:$J$204,MATCH(E60,Recipes!$A$5:$A$204,0)),"Not found"))</f>
        <v>0</v>
      </c>
      <c r="L60" s="18">
        <f>IF(B60="","",IF(K60&lt;&gt;"",K60,IF(ISNUMBER(J60),J60,0)))</f>
        <v>0</v>
      </c>
      <c r="M60" s="45">
        <f>IF(OR(I60="",I60=0,L60=0),"",L60/I60)</f>
        <v>0</v>
      </c>
      <c r="R60" s="18">
        <f>IF(OR(P60="",Q60=""),"",COUNTIFS('Meal Plan'!$B$5:$B$504,"&gt;="&amp;P60,'Meal Plan'!$B$5:$B$504,"&lt;="&amp;Q60,'Meal Plan'!$G$5:$G$504,E60))</f>
        <v>0</v>
      </c>
      <c r="T60" s="25">
        <f>IF(OR(G60="",E60=""),"",IFERROR(INDEX(Recipes!$AC$5:$AC$204,MATCH(E60,Recipes!$A$5:$A$204,0))*G60,""))</f>
        <v>0</v>
      </c>
      <c r="U60" s="25">
        <f>IF(OR(T60="",I60="",I60=0),"",T60/I60)</f>
        <v>0</v>
      </c>
      <c r="V60" s="18">
        <f>IF(OR(B60="",W60="Done",NOT(ISNUMBER(C60))),"",COUNTIFS($W$5:$W$124,"&lt;&gt;Done",$C$5:$C$124,"&lt;"&amp;C60)+COUNTIFS($W$5:W60,"&lt;&gt;Done",$C$5:C60,C60))</f>
        <v>0</v>
      </c>
      <c r="X60" s="31">
        <f>IF(B60="","",IF(W60="Done","OK",IF(AND(C60&lt;&gt;"",C60&lt;TODAY()),"Overdue - still not made",IF(C60=TODAY(),"Today - prep day",IF(AND(C60&lt;&gt;"",C60-TODAY()&lt;=PrepLeadDays),"Due - coming up","OK")))))</f>
        <v>0</v>
      </c>
    </row>
    <row r="61" spans="1:24">
      <c r="A61" s="39">
        <f>IF(B61="","","PR-"&amp;TEXT(ROW()-4,"000"))</f>
        <v>0</v>
      </c>
      <c r="D61" s="17">
        <f>IF(C61="","",TEXT(C61,"ddd"))</f>
        <v>0</v>
      </c>
      <c r="F61" s="17">
        <f>IF(E61="","",IFERROR(INDEX(Recipes!$B$5:$B$204,MATCH(E61,Recipes!$A$5:$A$204,0)),"Not found"))</f>
        <v>0</v>
      </c>
      <c r="H61" s="18">
        <f>IF(E61="","",IFERROR(INDEX(Recipes!$G$5:$G$204,MATCH(E61,Recipes!$A$5:$A$204,0)),"Not found"))</f>
        <v>0</v>
      </c>
      <c r="I61" s="45">
        <f>IF(OR(G61="",H61="",NOT(ISNUMBER(H61))),"",G61*H61)</f>
        <v>0</v>
      </c>
      <c r="J61" s="18">
        <f>IF(E61="","",IFERROR(INDEX(Recipes!$J$5:$J$204,MATCH(E61,Recipes!$A$5:$A$204,0)),"Not found"))</f>
        <v>0</v>
      </c>
      <c r="L61" s="18">
        <f>IF(B61="","",IF(K61&lt;&gt;"",K61,IF(ISNUMBER(J61),J61,0)))</f>
        <v>0</v>
      </c>
      <c r="M61" s="45">
        <f>IF(OR(I61="",I61=0,L61=0),"",L61/I61)</f>
        <v>0</v>
      </c>
      <c r="R61" s="18">
        <f>IF(OR(P61="",Q61=""),"",COUNTIFS('Meal Plan'!$B$5:$B$504,"&gt;="&amp;P61,'Meal Plan'!$B$5:$B$504,"&lt;="&amp;Q61,'Meal Plan'!$G$5:$G$504,E61))</f>
        <v>0</v>
      </c>
      <c r="T61" s="25">
        <f>IF(OR(G61="",E61=""),"",IFERROR(INDEX(Recipes!$AC$5:$AC$204,MATCH(E61,Recipes!$A$5:$A$204,0))*G61,""))</f>
        <v>0</v>
      </c>
      <c r="U61" s="25">
        <f>IF(OR(T61="",I61="",I61=0),"",T61/I61)</f>
        <v>0</v>
      </c>
      <c r="V61" s="18">
        <f>IF(OR(B61="",W61="Done",NOT(ISNUMBER(C61))),"",COUNTIFS($W$5:$W$124,"&lt;&gt;Done",$C$5:$C$124,"&lt;"&amp;C61)+COUNTIFS($W$5:W61,"&lt;&gt;Done",$C$5:C61,C61))</f>
        <v>0</v>
      </c>
      <c r="X61" s="31">
        <f>IF(B61="","",IF(W61="Done","OK",IF(AND(C61&lt;&gt;"",C61&lt;TODAY()),"Overdue - still not made",IF(C61=TODAY(),"Today - prep day",IF(AND(C61&lt;&gt;"",C61-TODAY()&lt;=PrepLeadDays),"Due - coming up","OK")))))</f>
        <v>0</v>
      </c>
    </row>
    <row r="62" spans="1:24">
      <c r="A62" s="39">
        <f>IF(B62="","","PR-"&amp;TEXT(ROW()-4,"000"))</f>
        <v>0</v>
      </c>
      <c r="D62" s="17">
        <f>IF(C62="","",TEXT(C62,"ddd"))</f>
        <v>0</v>
      </c>
      <c r="F62" s="17">
        <f>IF(E62="","",IFERROR(INDEX(Recipes!$B$5:$B$204,MATCH(E62,Recipes!$A$5:$A$204,0)),"Not found"))</f>
        <v>0</v>
      </c>
      <c r="H62" s="18">
        <f>IF(E62="","",IFERROR(INDEX(Recipes!$G$5:$G$204,MATCH(E62,Recipes!$A$5:$A$204,0)),"Not found"))</f>
        <v>0</v>
      </c>
      <c r="I62" s="45">
        <f>IF(OR(G62="",H62="",NOT(ISNUMBER(H62))),"",G62*H62)</f>
        <v>0</v>
      </c>
      <c r="J62" s="18">
        <f>IF(E62="","",IFERROR(INDEX(Recipes!$J$5:$J$204,MATCH(E62,Recipes!$A$5:$A$204,0)),"Not found"))</f>
        <v>0</v>
      </c>
      <c r="L62" s="18">
        <f>IF(B62="","",IF(K62&lt;&gt;"",K62,IF(ISNUMBER(J62),J62,0)))</f>
        <v>0</v>
      </c>
      <c r="M62" s="45">
        <f>IF(OR(I62="",I62=0,L62=0),"",L62/I62)</f>
        <v>0</v>
      </c>
      <c r="R62" s="18">
        <f>IF(OR(P62="",Q62=""),"",COUNTIFS('Meal Plan'!$B$5:$B$504,"&gt;="&amp;P62,'Meal Plan'!$B$5:$B$504,"&lt;="&amp;Q62,'Meal Plan'!$G$5:$G$504,E62))</f>
        <v>0</v>
      </c>
      <c r="T62" s="25">
        <f>IF(OR(G62="",E62=""),"",IFERROR(INDEX(Recipes!$AC$5:$AC$204,MATCH(E62,Recipes!$A$5:$A$204,0))*G62,""))</f>
        <v>0</v>
      </c>
      <c r="U62" s="25">
        <f>IF(OR(T62="",I62="",I62=0),"",T62/I62)</f>
        <v>0</v>
      </c>
      <c r="V62" s="18">
        <f>IF(OR(B62="",W62="Done",NOT(ISNUMBER(C62))),"",COUNTIFS($W$5:$W$124,"&lt;&gt;Done",$C$5:$C$124,"&lt;"&amp;C62)+COUNTIFS($W$5:W62,"&lt;&gt;Done",$C$5:C62,C62))</f>
        <v>0</v>
      </c>
      <c r="X62" s="31">
        <f>IF(B62="","",IF(W62="Done","OK",IF(AND(C62&lt;&gt;"",C62&lt;TODAY()),"Overdue - still not made",IF(C62=TODAY(),"Today - prep day",IF(AND(C62&lt;&gt;"",C62-TODAY()&lt;=PrepLeadDays),"Due - coming up","OK")))))</f>
        <v>0</v>
      </c>
    </row>
    <row r="63" spans="1:24">
      <c r="A63" s="39">
        <f>IF(B63="","","PR-"&amp;TEXT(ROW()-4,"000"))</f>
        <v>0</v>
      </c>
      <c r="D63" s="17">
        <f>IF(C63="","",TEXT(C63,"ddd"))</f>
        <v>0</v>
      </c>
      <c r="F63" s="17">
        <f>IF(E63="","",IFERROR(INDEX(Recipes!$B$5:$B$204,MATCH(E63,Recipes!$A$5:$A$204,0)),"Not found"))</f>
        <v>0</v>
      </c>
      <c r="H63" s="18">
        <f>IF(E63="","",IFERROR(INDEX(Recipes!$G$5:$G$204,MATCH(E63,Recipes!$A$5:$A$204,0)),"Not found"))</f>
        <v>0</v>
      </c>
      <c r="I63" s="45">
        <f>IF(OR(G63="",H63="",NOT(ISNUMBER(H63))),"",G63*H63)</f>
        <v>0</v>
      </c>
      <c r="J63" s="18">
        <f>IF(E63="","",IFERROR(INDEX(Recipes!$J$5:$J$204,MATCH(E63,Recipes!$A$5:$A$204,0)),"Not found"))</f>
        <v>0</v>
      </c>
      <c r="L63" s="18">
        <f>IF(B63="","",IF(K63&lt;&gt;"",K63,IF(ISNUMBER(J63),J63,0)))</f>
        <v>0</v>
      </c>
      <c r="M63" s="45">
        <f>IF(OR(I63="",I63=0,L63=0),"",L63/I63)</f>
        <v>0</v>
      </c>
      <c r="R63" s="18">
        <f>IF(OR(P63="",Q63=""),"",COUNTIFS('Meal Plan'!$B$5:$B$504,"&gt;="&amp;P63,'Meal Plan'!$B$5:$B$504,"&lt;="&amp;Q63,'Meal Plan'!$G$5:$G$504,E63))</f>
        <v>0</v>
      </c>
      <c r="T63" s="25">
        <f>IF(OR(G63="",E63=""),"",IFERROR(INDEX(Recipes!$AC$5:$AC$204,MATCH(E63,Recipes!$A$5:$A$204,0))*G63,""))</f>
        <v>0</v>
      </c>
      <c r="U63" s="25">
        <f>IF(OR(T63="",I63="",I63=0),"",T63/I63)</f>
        <v>0</v>
      </c>
      <c r="V63" s="18">
        <f>IF(OR(B63="",W63="Done",NOT(ISNUMBER(C63))),"",COUNTIFS($W$5:$W$124,"&lt;&gt;Done",$C$5:$C$124,"&lt;"&amp;C63)+COUNTIFS($W$5:W63,"&lt;&gt;Done",$C$5:C63,C63))</f>
        <v>0</v>
      </c>
      <c r="X63" s="31">
        <f>IF(B63="","",IF(W63="Done","OK",IF(AND(C63&lt;&gt;"",C63&lt;TODAY()),"Overdue - still not made",IF(C63=TODAY(),"Today - prep day",IF(AND(C63&lt;&gt;"",C63-TODAY()&lt;=PrepLeadDays),"Due - coming up","OK")))))</f>
        <v>0</v>
      </c>
    </row>
    <row r="64" spans="1:24">
      <c r="A64" s="39">
        <f>IF(B64="","","PR-"&amp;TEXT(ROW()-4,"000"))</f>
        <v>0</v>
      </c>
      <c r="D64" s="17">
        <f>IF(C64="","",TEXT(C64,"ddd"))</f>
        <v>0</v>
      </c>
      <c r="F64" s="17">
        <f>IF(E64="","",IFERROR(INDEX(Recipes!$B$5:$B$204,MATCH(E64,Recipes!$A$5:$A$204,0)),"Not found"))</f>
        <v>0</v>
      </c>
      <c r="H64" s="18">
        <f>IF(E64="","",IFERROR(INDEX(Recipes!$G$5:$G$204,MATCH(E64,Recipes!$A$5:$A$204,0)),"Not found"))</f>
        <v>0</v>
      </c>
      <c r="I64" s="45">
        <f>IF(OR(G64="",H64="",NOT(ISNUMBER(H64))),"",G64*H64)</f>
        <v>0</v>
      </c>
      <c r="J64" s="18">
        <f>IF(E64="","",IFERROR(INDEX(Recipes!$J$5:$J$204,MATCH(E64,Recipes!$A$5:$A$204,0)),"Not found"))</f>
        <v>0</v>
      </c>
      <c r="L64" s="18">
        <f>IF(B64="","",IF(K64&lt;&gt;"",K64,IF(ISNUMBER(J64),J64,0)))</f>
        <v>0</v>
      </c>
      <c r="M64" s="45">
        <f>IF(OR(I64="",I64=0,L64=0),"",L64/I64)</f>
        <v>0</v>
      </c>
      <c r="R64" s="18">
        <f>IF(OR(P64="",Q64=""),"",COUNTIFS('Meal Plan'!$B$5:$B$504,"&gt;="&amp;P64,'Meal Plan'!$B$5:$B$504,"&lt;="&amp;Q64,'Meal Plan'!$G$5:$G$504,E64))</f>
        <v>0</v>
      </c>
      <c r="T64" s="25">
        <f>IF(OR(G64="",E64=""),"",IFERROR(INDEX(Recipes!$AC$5:$AC$204,MATCH(E64,Recipes!$A$5:$A$204,0))*G64,""))</f>
        <v>0</v>
      </c>
      <c r="U64" s="25">
        <f>IF(OR(T64="",I64="",I64=0),"",T64/I64)</f>
        <v>0</v>
      </c>
      <c r="V64" s="18">
        <f>IF(OR(B64="",W64="Done",NOT(ISNUMBER(C64))),"",COUNTIFS($W$5:$W$124,"&lt;&gt;Done",$C$5:$C$124,"&lt;"&amp;C64)+COUNTIFS($W$5:W64,"&lt;&gt;Done",$C$5:C64,C64))</f>
        <v>0</v>
      </c>
      <c r="X64" s="31">
        <f>IF(B64="","",IF(W64="Done","OK",IF(AND(C64&lt;&gt;"",C64&lt;TODAY()),"Overdue - still not made",IF(C64=TODAY(),"Today - prep day",IF(AND(C64&lt;&gt;"",C64-TODAY()&lt;=PrepLeadDays),"Due - coming up","OK")))))</f>
        <v>0</v>
      </c>
    </row>
    <row r="65" spans="1:24">
      <c r="A65" s="39">
        <f>IF(B65="","","PR-"&amp;TEXT(ROW()-4,"000"))</f>
        <v>0</v>
      </c>
      <c r="D65" s="17">
        <f>IF(C65="","",TEXT(C65,"ddd"))</f>
        <v>0</v>
      </c>
      <c r="F65" s="17">
        <f>IF(E65="","",IFERROR(INDEX(Recipes!$B$5:$B$204,MATCH(E65,Recipes!$A$5:$A$204,0)),"Not found"))</f>
        <v>0</v>
      </c>
      <c r="H65" s="18">
        <f>IF(E65="","",IFERROR(INDEX(Recipes!$G$5:$G$204,MATCH(E65,Recipes!$A$5:$A$204,0)),"Not found"))</f>
        <v>0</v>
      </c>
      <c r="I65" s="45">
        <f>IF(OR(G65="",H65="",NOT(ISNUMBER(H65))),"",G65*H65)</f>
        <v>0</v>
      </c>
      <c r="J65" s="18">
        <f>IF(E65="","",IFERROR(INDEX(Recipes!$J$5:$J$204,MATCH(E65,Recipes!$A$5:$A$204,0)),"Not found"))</f>
        <v>0</v>
      </c>
      <c r="L65" s="18">
        <f>IF(B65="","",IF(K65&lt;&gt;"",K65,IF(ISNUMBER(J65),J65,0)))</f>
        <v>0</v>
      </c>
      <c r="M65" s="45">
        <f>IF(OR(I65="",I65=0,L65=0),"",L65/I65)</f>
        <v>0</v>
      </c>
      <c r="R65" s="18">
        <f>IF(OR(P65="",Q65=""),"",COUNTIFS('Meal Plan'!$B$5:$B$504,"&gt;="&amp;P65,'Meal Plan'!$B$5:$B$504,"&lt;="&amp;Q65,'Meal Plan'!$G$5:$G$504,E65))</f>
        <v>0</v>
      </c>
      <c r="T65" s="25">
        <f>IF(OR(G65="",E65=""),"",IFERROR(INDEX(Recipes!$AC$5:$AC$204,MATCH(E65,Recipes!$A$5:$A$204,0))*G65,""))</f>
        <v>0</v>
      </c>
      <c r="U65" s="25">
        <f>IF(OR(T65="",I65="",I65=0),"",T65/I65)</f>
        <v>0</v>
      </c>
      <c r="V65" s="18">
        <f>IF(OR(B65="",W65="Done",NOT(ISNUMBER(C65))),"",COUNTIFS($W$5:$W$124,"&lt;&gt;Done",$C$5:$C$124,"&lt;"&amp;C65)+COUNTIFS($W$5:W65,"&lt;&gt;Done",$C$5:C65,C65))</f>
        <v>0</v>
      </c>
      <c r="X65" s="31">
        <f>IF(B65="","",IF(W65="Done","OK",IF(AND(C65&lt;&gt;"",C65&lt;TODAY()),"Overdue - still not made",IF(C65=TODAY(),"Today - prep day",IF(AND(C65&lt;&gt;"",C65-TODAY()&lt;=PrepLeadDays),"Due - coming up","OK")))))</f>
        <v>0</v>
      </c>
    </row>
    <row r="66" spans="1:24">
      <c r="A66" s="39">
        <f>IF(B66="","","PR-"&amp;TEXT(ROW()-4,"000"))</f>
        <v>0</v>
      </c>
      <c r="D66" s="17">
        <f>IF(C66="","",TEXT(C66,"ddd"))</f>
        <v>0</v>
      </c>
      <c r="F66" s="17">
        <f>IF(E66="","",IFERROR(INDEX(Recipes!$B$5:$B$204,MATCH(E66,Recipes!$A$5:$A$204,0)),"Not found"))</f>
        <v>0</v>
      </c>
      <c r="H66" s="18">
        <f>IF(E66="","",IFERROR(INDEX(Recipes!$G$5:$G$204,MATCH(E66,Recipes!$A$5:$A$204,0)),"Not found"))</f>
        <v>0</v>
      </c>
      <c r="I66" s="45">
        <f>IF(OR(G66="",H66="",NOT(ISNUMBER(H66))),"",G66*H66)</f>
        <v>0</v>
      </c>
      <c r="J66" s="18">
        <f>IF(E66="","",IFERROR(INDEX(Recipes!$J$5:$J$204,MATCH(E66,Recipes!$A$5:$A$204,0)),"Not found"))</f>
        <v>0</v>
      </c>
      <c r="L66" s="18">
        <f>IF(B66="","",IF(K66&lt;&gt;"",K66,IF(ISNUMBER(J66),J66,0)))</f>
        <v>0</v>
      </c>
      <c r="M66" s="45">
        <f>IF(OR(I66="",I66=0,L66=0),"",L66/I66)</f>
        <v>0</v>
      </c>
      <c r="R66" s="18">
        <f>IF(OR(P66="",Q66=""),"",COUNTIFS('Meal Plan'!$B$5:$B$504,"&gt;="&amp;P66,'Meal Plan'!$B$5:$B$504,"&lt;="&amp;Q66,'Meal Plan'!$G$5:$G$504,E66))</f>
        <v>0</v>
      </c>
      <c r="T66" s="25">
        <f>IF(OR(G66="",E66=""),"",IFERROR(INDEX(Recipes!$AC$5:$AC$204,MATCH(E66,Recipes!$A$5:$A$204,0))*G66,""))</f>
        <v>0</v>
      </c>
      <c r="U66" s="25">
        <f>IF(OR(T66="",I66="",I66=0),"",T66/I66)</f>
        <v>0</v>
      </c>
      <c r="V66" s="18">
        <f>IF(OR(B66="",W66="Done",NOT(ISNUMBER(C66))),"",COUNTIFS($W$5:$W$124,"&lt;&gt;Done",$C$5:$C$124,"&lt;"&amp;C66)+COUNTIFS($W$5:W66,"&lt;&gt;Done",$C$5:C66,C66))</f>
        <v>0</v>
      </c>
      <c r="X66" s="31">
        <f>IF(B66="","",IF(W66="Done","OK",IF(AND(C66&lt;&gt;"",C66&lt;TODAY()),"Overdue - still not made",IF(C66=TODAY(),"Today - prep day",IF(AND(C66&lt;&gt;"",C66-TODAY()&lt;=PrepLeadDays),"Due - coming up","OK")))))</f>
        <v>0</v>
      </c>
    </row>
    <row r="67" spans="1:24">
      <c r="A67" s="39">
        <f>IF(B67="","","PR-"&amp;TEXT(ROW()-4,"000"))</f>
        <v>0</v>
      </c>
      <c r="D67" s="17">
        <f>IF(C67="","",TEXT(C67,"ddd"))</f>
        <v>0</v>
      </c>
      <c r="F67" s="17">
        <f>IF(E67="","",IFERROR(INDEX(Recipes!$B$5:$B$204,MATCH(E67,Recipes!$A$5:$A$204,0)),"Not found"))</f>
        <v>0</v>
      </c>
      <c r="H67" s="18">
        <f>IF(E67="","",IFERROR(INDEX(Recipes!$G$5:$G$204,MATCH(E67,Recipes!$A$5:$A$204,0)),"Not found"))</f>
        <v>0</v>
      </c>
      <c r="I67" s="45">
        <f>IF(OR(G67="",H67="",NOT(ISNUMBER(H67))),"",G67*H67)</f>
        <v>0</v>
      </c>
      <c r="J67" s="18">
        <f>IF(E67="","",IFERROR(INDEX(Recipes!$J$5:$J$204,MATCH(E67,Recipes!$A$5:$A$204,0)),"Not found"))</f>
        <v>0</v>
      </c>
      <c r="L67" s="18">
        <f>IF(B67="","",IF(K67&lt;&gt;"",K67,IF(ISNUMBER(J67),J67,0)))</f>
        <v>0</v>
      </c>
      <c r="M67" s="45">
        <f>IF(OR(I67="",I67=0,L67=0),"",L67/I67)</f>
        <v>0</v>
      </c>
      <c r="R67" s="18">
        <f>IF(OR(P67="",Q67=""),"",COUNTIFS('Meal Plan'!$B$5:$B$504,"&gt;="&amp;P67,'Meal Plan'!$B$5:$B$504,"&lt;="&amp;Q67,'Meal Plan'!$G$5:$G$504,E67))</f>
        <v>0</v>
      </c>
      <c r="T67" s="25">
        <f>IF(OR(G67="",E67=""),"",IFERROR(INDEX(Recipes!$AC$5:$AC$204,MATCH(E67,Recipes!$A$5:$A$204,0))*G67,""))</f>
        <v>0</v>
      </c>
      <c r="U67" s="25">
        <f>IF(OR(T67="",I67="",I67=0),"",T67/I67)</f>
        <v>0</v>
      </c>
      <c r="V67" s="18">
        <f>IF(OR(B67="",W67="Done",NOT(ISNUMBER(C67))),"",COUNTIFS($W$5:$W$124,"&lt;&gt;Done",$C$5:$C$124,"&lt;"&amp;C67)+COUNTIFS($W$5:W67,"&lt;&gt;Done",$C$5:C67,C67))</f>
        <v>0</v>
      </c>
      <c r="X67" s="31">
        <f>IF(B67="","",IF(W67="Done","OK",IF(AND(C67&lt;&gt;"",C67&lt;TODAY()),"Overdue - still not made",IF(C67=TODAY(),"Today - prep day",IF(AND(C67&lt;&gt;"",C67-TODAY()&lt;=PrepLeadDays),"Due - coming up","OK")))))</f>
        <v>0</v>
      </c>
    </row>
    <row r="68" spans="1:24">
      <c r="A68" s="39">
        <f>IF(B68="","","PR-"&amp;TEXT(ROW()-4,"000"))</f>
        <v>0</v>
      </c>
      <c r="D68" s="17">
        <f>IF(C68="","",TEXT(C68,"ddd"))</f>
        <v>0</v>
      </c>
      <c r="F68" s="17">
        <f>IF(E68="","",IFERROR(INDEX(Recipes!$B$5:$B$204,MATCH(E68,Recipes!$A$5:$A$204,0)),"Not found"))</f>
        <v>0</v>
      </c>
      <c r="H68" s="18">
        <f>IF(E68="","",IFERROR(INDEX(Recipes!$G$5:$G$204,MATCH(E68,Recipes!$A$5:$A$204,0)),"Not found"))</f>
        <v>0</v>
      </c>
      <c r="I68" s="45">
        <f>IF(OR(G68="",H68="",NOT(ISNUMBER(H68))),"",G68*H68)</f>
        <v>0</v>
      </c>
      <c r="J68" s="18">
        <f>IF(E68="","",IFERROR(INDEX(Recipes!$J$5:$J$204,MATCH(E68,Recipes!$A$5:$A$204,0)),"Not found"))</f>
        <v>0</v>
      </c>
      <c r="L68" s="18">
        <f>IF(B68="","",IF(K68&lt;&gt;"",K68,IF(ISNUMBER(J68),J68,0)))</f>
        <v>0</v>
      </c>
      <c r="M68" s="45">
        <f>IF(OR(I68="",I68=0,L68=0),"",L68/I68)</f>
        <v>0</v>
      </c>
      <c r="R68" s="18">
        <f>IF(OR(P68="",Q68=""),"",COUNTIFS('Meal Plan'!$B$5:$B$504,"&gt;="&amp;P68,'Meal Plan'!$B$5:$B$504,"&lt;="&amp;Q68,'Meal Plan'!$G$5:$G$504,E68))</f>
        <v>0</v>
      </c>
      <c r="T68" s="25">
        <f>IF(OR(G68="",E68=""),"",IFERROR(INDEX(Recipes!$AC$5:$AC$204,MATCH(E68,Recipes!$A$5:$A$204,0))*G68,""))</f>
        <v>0</v>
      </c>
      <c r="U68" s="25">
        <f>IF(OR(T68="",I68="",I68=0),"",T68/I68)</f>
        <v>0</v>
      </c>
      <c r="V68" s="18">
        <f>IF(OR(B68="",W68="Done",NOT(ISNUMBER(C68))),"",COUNTIFS($W$5:$W$124,"&lt;&gt;Done",$C$5:$C$124,"&lt;"&amp;C68)+COUNTIFS($W$5:W68,"&lt;&gt;Done",$C$5:C68,C68))</f>
        <v>0</v>
      </c>
      <c r="X68" s="31">
        <f>IF(B68="","",IF(W68="Done","OK",IF(AND(C68&lt;&gt;"",C68&lt;TODAY()),"Overdue - still not made",IF(C68=TODAY(),"Today - prep day",IF(AND(C68&lt;&gt;"",C68-TODAY()&lt;=PrepLeadDays),"Due - coming up","OK")))))</f>
        <v>0</v>
      </c>
    </row>
    <row r="69" spans="1:24">
      <c r="A69" s="39">
        <f>IF(B69="","","PR-"&amp;TEXT(ROW()-4,"000"))</f>
        <v>0</v>
      </c>
      <c r="D69" s="17">
        <f>IF(C69="","",TEXT(C69,"ddd"))</f>
        <v>0</v>
      </c>
      <c r="F69" s="17">
        <f>IF(E69="","",IFERROR(INDEX(Recipes!$B$5:$B$204,MATCH(E69,Recipes!$A$5:$A$204,0)),"Not found"))</f>
        <v>0</v>
      </c>
      <c r="H69" s="18">
        <f>IF(E69="","",IFERROR(INDEX(Recipes!$G$5:$G$204,MATCH(E69,Recipes!$A$5:$A$204,0)),"Not found"))</f>
        <v>0</v>
      </c>
      <c r="I69" s="45">
        <f>IF(OR(G69="",H69="",NOT(ISNUMBER(H69))),"",G69*H69)</f>
        <v>0</v>
      </c>
      <c r="J69" s="18">
        <f>IF(E69="","",IFERROR(INDEX(Recipes!$J$5:$J$204,MATCH(E69,Recipes!$A$5:$A$204,0)),"Not found"))</f>
        <v>0</v>
      </c>
      <c r="L69" s="18">
        <f>IF(B69="","",IF(K69&lt;&gt;"",K69,IF(ISNUMBER(J69),J69,0)))</f>
        <v>0</v>
      </c>
      <c r="M69" s="45">
        <f>IF(OR(I69="",I69=0,L69=0),"",L69/I69)</f>
        <v>0</v>
      </c>
      <c r="R69" s="18">
        <f>IF(OR(P69="",Q69=""),"",COUNTIFS('Meal Plan'!$B$5:$B$504,"&gt;="&amp;P69,'Meal Plan'!$B$5:$B$504,"&lt;="&amp;Q69,'Meal Plan'!$G$5:$G$504,E69))</f>
        <v>0</v>
      </c>
      <c r="T69" s="25">
        <f>IF(OR(G69="",E69=""),"",IFERROR(INDEX(Recipes!$AC$5:$AC$204,MATCH(E69,Recipes!$A$5:$A$204,0))*G69,""))</f>
        <v>0</v>
      </c>
      <c r="U69" s="25">
        <f>IF(OR(T69="",I69="",I69=0),"",T69/I69)</f>
        <v>0</v>
      </c>
      <c r="V69" s="18">
        <f>IF(OR(B69="",W69="Done",NOT(ISNUMBER(C69))),"",COUNTIFS($W$5:$W$124,"&lt;&gt;Done",$C$5:$C$124,"&lt;"&amp;C69)+COUNTIFS($W$5:W69,"&lt;&gt;Done",$C$5:C69,C69))</f>
        <v>0</v>
      </c>
      <c r="X69" s="31">
        <f>IF(B69="","",IF(W69="Done","OK",IF(AND(C69&lt;&gt;"",C69&lt;TODAY()),"Overdue - still not made",IF(C69=TODAY(),"Today - prep day",IF(AND(C69&lt;&gt;"",C69-TODAY()&lt;=PrepLeadDays),"Due - coming up","OK")))))</f>
        <v>0</v>
      </c>
    </row>
    <row r="70" spans="1:24">
      <c r="A70" s="39">
        <f>IF(B70="","","PR-"&amp;TEXT(ROW()-4,"000"))</f>
        <v>0</v>
      </c>
      <c r="D70" s="17">
        <f>IF(C70="","",TEXT(C70,"ddd"))</f>
        <v>0</v>
      </c>
      <c r="F70" s="17">
        <f>IF(E70="","",IFERROR(INDEX(Recipes!$B$5:$B$204,MATCH(E70,Recipes!$A$5:$A$204,0)),"Not found"))</f>
        <v>0</v>
      </c>
      <c r="H70" s="18">
        <f>IF(E70="","",IFERROR(INDEX(Recipes!$G$5:$G$204,MATCH(E70,Recipes!$A$5:$A$204,0)),"Not found"))</f>
        <v>0</v>
      </c>
      <c r="I70" s="45">
        <f>IF(OR(G70="",H70="",NOT(ISNUMBER(H70))),"",G70*H70)</f>
        <v>0</v>
      </c>
      <c r="J70" s="18">
        <f>IF(E70="","",IFERROR(INDEX(Recipes!$J$5:$J$204,MATCH(E70,Recipes!$A$5:$A$204,0)),"Not found"))</f>
        <v>0</v>
      </c>
      <c r="L70" s="18">
        <f>IF(B70="","",IF(K70&lt;&gt;"",K70,IF(ISNUMBER(J70),J70,0)))</f>
        <v>0</v>
      </c>
      <c r="M70" s="45">
        <f>IF(OR(I70="",I70=0,L70=0),"",L70/I70)</f>
        <v>0</v>
      </c>
      <c r="R70" s="18">
        <f>IF(OR(P70="",Q70=""),"",COUNTIFS('Meal Plan'!$B$5:$B$504,"&gt;="&amp;P70,'Meal Plan'!$B$5:$B$504,"&lt;="&amp;Q70,'Meal Plan'!$G$5:$G$504,E70))</f>
        <v>0</v>
      </c>
      <c r="T70" s="25">
        <f>IF(OR(G70="",E70=""),"",IFERROR(INDEX(Recipes!$AC$5:$AC$204,MATCH(E70,Recipes!$A$5:$A$204,0))*G70,""))</f>
        <v>0</v>
      </c>
      <c r="U70" s="25">
        <f>IF(OR(T70="",I70="",I70=0),"",T70/I70)</f>
        <v>0</v>
      </c>
      <c r="V70" s="18">
        <f>IF(OR(B70="",W70="Done",NOT(ISNUMBER(C70))),"",COUNTIFS($W$5:$W$124,"&lt;&gt;Done",$C$5:$C$124,"&lt;"&amp;C70)+COUNTIFS($W$5:W70,"&lt;&gt;Done",$C$5:C70,C70))</f>
        <v>0</v>
      </c>
      <c r="X70" s="31">
        <f>IF(B70="","",IF(W70="Done","OK",IF(AND(C70&lt;&gt;"",C70&lt;TODAY()),"Overdue - still not made",IF(C70=TODAY(),"Today - prep day",IF(AND(C70&lt;&gt;"",C70-TODAY()&lt;=PrepLeadDays),"Due - coming up","OK")))))</f>
        <v>0</v>
      </c>
    </row>
    <row r="71" spans="1:24">
      <c r="A71" s="39">
        <f>IF(B71="","","PR-"&amp;TEXT(ROW()-4,"000"))</f>
        <v>0</v>
      </c>
      <c r="D71" s="17">
        <f>IF(C71="","",TEXT(C71,"ddd"))</f>
        <v>0</v>
      </c>
      <c r="F71" s="17">
        <f>IF(E71="","",IFERROR(INDEX(Recipes!$B$5:$B$204,MATCH(E71,Recipes!$A$5:$A$204,0)),"Not found"))</f>
        <v>0</v>
      </c>
      <c r="H71" s="18">
        <f>IF(E71="","",IFERROR(INDEX(Recipes!$G$5:$G$204,MATCH(E71,Recipes!$A$5:$A$204,0)),"Not found"))</f>
        <v>0</v>
      </c>
      <c r="I71" s="45">
        <f>IF(OR(G71="",H71="",NOT(ISNUMBER(H71))),"",G71*H71)</f>
        <v>0</v>
      </c>
      <c r="J71" s="18">
        <f>IF(E71="","",IFERROR(INDEX(Recipes!$J$5:$J$204,MATCH(E71,Recipes!$A$5:$A$204,0)),"Not found"))</f>
        <v>0</v>
      </c>
      <c r="L71" s="18">
        <f>IF(B71="","",IF(K71&lt;&gt;"",K71,IF(ISNUMBER(J71),J71,0)))</f>
        <v>0</v>
      </c>
      <c r="M71" s="45">
        <f>IF(OR(I71="",I71=0,L71=0),"",L71/I71)</f>
        <v>0</v>
      </c>
      <c r="R71" s="18">
        <f>IF(OR(P71="",Q71=""),"",COUNTIFS('Meal Plan'!$B$5:$B$504,"&gt;="&amp;P71,'Meal Plan'!$B$5:$B$504,"&lt;="&amp;Q71,'Meal Plan'!$G$5:$G$504,E71))</f>
        <v>0</v>
      </c>
      <c r="T71" s="25">
        <f>IF(OR(G71="",E71=""),"",IFERROR(INDEX(Recipes!$AC$5:$AC$204,MATCH(E71,Recipes!$A$5:$A$204,0))*G71,""))</f>
        <v>0</v>
      </c>
      <c r="U71" s="25">
        <f>IF(OR(T71="",I71="",I71=0),"",T71/I71)</f>
        <v>0</v>
      </c>
      <c r="V71" s="18">
        <f>IF(OR(B71="",W71="Done",NOT(ISNUMBER(C71))),"",COUNTIFS($W$5:$W$124,"&lt;&gt;Done",$C$5:$C$124,"&lt;"&amp;C71)+COUNTIFS($W$5:W71,"&lt;&gt;Done",$C$5:C71,C71))</f>
        <v>0</v>
      </c>
      <c r="X71" s="31">
        <f>IF(B71="","",IF(W71="Done","OK",IF(AND(C71&lt;&gt;"",C71&lt;TODAY()),"Overdue - still not made",IF(C71=TODAY(),"Today - prep day",IF(AND(C71&lt;&gt;"",C71-TODAY()&lt;=PrepLeadDays),"Due - coming up","OK")))))</f>
        <v>0</v>
      </c>
    </row>
    <row r="72" spans="1:24">
      <c r="A72" s="39">
        <f>IF(B72="","","PR-"&amp;TEXT(ROW()-4,"000"))</f>
        <v>0</v>
      </c>
      <c r="D72" s="17">
        <f>IF(C72="","",TEXT(C72,"ddd"))</f>
        <v>0</v>
      </c>
      <c r="F72" s="17">
        <f>IF(E72="","",IFERROR(INDEX(Recipes!$B$5:$B$204,MATCH(E72,Recipes!$A$5:$A$204,0)),"Not found"))</f>
        <v>0</v>
      </c>
      <c r="H72" s="18">
        <f>IF(E72="","",IFERROR(INDEX(Recipes!$G$5:$G$204,MATCH(E72,Recipes!$A$5:$A$204,0)),"Not found"))</f>
        <v>0</v>
      </c>
      <c r="I72" s="45">
        <f>IF(OR(G72="",H72="",NOT(ISNUMBER(H72))),"",G72*H72)</f>
        <v>0</v>
      </c>
      <c r="J72" s="18">
        <f>IF(E72="","",IFERROR(INDEX(Recipes!$J$5:$J$204,MATCH(E72,Recipes!$A$5:$A$204,0)),"Not found"))</f>
        <v>0</v>
      </c>
      <c r="L72" s="18">
        <f>IF(B72="","",IF(K72&lt;&gt;"",K72,IF(ISNUMBER(J72),J72,0)))</f>
        <v>0</v>
      </c>
      <c r="M72" s="45">
        <f>IF(OR(I72="",I72=0,L72=0),"",L72/I72)</f>
        <v>0</v>
      </c>
      <c r="R72" s="18">
        <f>IF(OR(P72="",Q72=""),"",COUNTIFS('Meal Plan'!$B$5:$B$504,"&gt;="&amp;P72,'Meal Plan'!$B$5:$B$504,"&lt;="&amp;Q72,'Meal Plan'!$G$5:$G$504,E72))</f>
        <v>0</v>
      </c>
      <c r="T72" s="25">
        <f>IF(OR(G72="",E72=""),"",IFERROR(INDEX(Recipes!$AC$5:$AC$204,MATCH(E72,Recipes!$A$5:$A$204,0))*G72,""))</f>
        <v>0</v>
      </c>
      <c r="U72" s="25">
        <f>IF(OR(T72="",I72="",I72=0),"",T72/I72)</f>
        <v>0</v>
      </c>
      <c r="V72" s="18">
        <f>IF(OR(B72="",W72="Done",NOT(ISNUMBER(C72))),"",COUNTIFS($W$5:$W$124,"&lt;&gt;Done",$C$5:$C$124,"&lt;"&amp;C72)+COUNTIFS($W$5:W72,"&lt;&gt;Done",$C$5:C72,C72))</f>
        <v>0</v>
      </c>
      <c r="X72" s="31">
        <f>IF(B72="","",IF(W72="Done","OK",IF(AND(C72&lt;&gt;"",C72&lt;TODAY()),"Overdue - still not made",IF(C72=TODAY(),"Today - prep day",IF(AND(C72&lt;&gt;"",C72-TODAY()&lt;=PrepLeadDays),"Due - coming up","OK")))))</f>
        <v>0</v>
      </c>
    </row>
    <row r="73" spans="1:24">
      <c r="A73" s="39">
        <f>IF(B73="","","PR-"&amp;TEXT(ROW()-4,"000"))</f>
        <v>0</v>
      </c>
      <c r="D73" s="17">
        <f>IF(C73="","",TEXT(C73,"ddd"))</f>
        <v>0</v>
      </c>
      <c r="F73" s="17">
        <f>IF(E73="","",IFERROR(INDEX(Recipes!$B$5:$B$204,MATCH(E73,Recipes!$A$5:$A$204,0)),"Not found"))</f>
        <v>0</v>
      </c>
      <c r="H73" s="18">
        <f>IF(E73="","",IFERROR(INDEX(Recipes!$G$5:$G$204,MATCH(E73,Recipes!$A$5:$A$204,0)),"Not found"))</f>
        <v>0</v>
      </c>
      <c r="I73" s="45">
        <f>IF(OR(G73="",H73="",NOT(ISNUMBER(H73))),"",G73*H73)</f>
        <v>0</v>
      </c>
      <c r="J73" s="18">
        <f>IF(E73="","",IFERROR(INDEX(Recipes!$J$5:$J$204,MATCH(E73,Recipes!$A$5:$A$204,0)),"Not found"))</f>
        <v>0</v>
      </c>
      <c r="L73" s="18">
        <f>IF(B73="","",IF(K73&lt;&gt;"",K73,IF(ISNUMBER(J73),J73,0)))</f>
        <v>0</v>
      </c>
      <c r="M73" s="45">
        <f>IF(OR(I73="",I73=0,L73=0),"",L73/I73)</f>
        <v>0</v>
      </c>
      <c r="R73" s="18">
        <f>IF(OR(P73="",Q73=""),"",COUNTIFS('Meal Plan'!$B$5:$B$504,"&gt;="&amp;P73,'Meal Plan'!$B$5:$B$504,"&lt;="&amp;Q73,'Meal Plan'!$G$5:$G$504,E73))</f>
        <v>0</v>
      </c>
      <c r="T73" s="25">
        <f>IF(OR(G73="",E73=""),"",IFERROR(INDEX(Recipes!$AC$5:$AC$204,MATCH(E73,Recipes!$A$5:$A$204,0))*G73,""))</f>
        <v>0</v>
      </c>
      <c r="U73" s="25">
        <f>IF(OR(T73="",I73="",I73=0),"",T73/I73)</f>
        <v>0</v>
      </c>
      <c r="V73" s="18">
        <f>IF(OR(B73="",W73="Done",NOT(ISNUMBER(C73))),"",COUNTIFS($W$5:$W$124,"&lt;&gt;Done",$C$5:$C$124,"&lt;"&amp;C73)+COUNTIFS($W$5:W73,"&lt;&gt;Done",$C$5:C73,C73))</f>
        <v>0</v>
      </c>
      <c r="X73" s="31">
        <f>IF(B73="","",IF(W73="Done","OK",IF(AND(C73&lt;&gt;"",C73&lt;TODAY()),"Overdue - still not made",IF(C73=TODAY(),"Today - prep day",IF(AND(C73&lt;&gt;"",C73-TODAY()&lt;=PrepLeadDays),"Due - coming up","OK")))))</f>
        <v>0</v>
      </c>
    </row>
    <row r="74" spans="1:24">
      <c r="A74" s="39">
        <f>IF(B74="","","PR-"&amp;TEXT(ROW()-4,"000"))</f>
        <v>0</v>
      </c>
      <c r="D74" s="17">
        <f>IF(C74="","",TEXT(C74,"ddd"))</f>
        <v>0</v>
      </c>
      <c r="F74" s="17">
        <f>IF(E74="","",IFERROR(INDEX(Recipes!$B$5:$B$204,MATCH(E74,Recipes!$A$5:$A$204,0)),"Not found"))</f>
        <v>0</v>
      </c>
      <c r="H74" s="18">
        <f>IF(E74="","",IFERROR(INDEX(Recipes!$G$5:$G$204,MATCH(E74,Recipes!$A$5:$A$204,0)),"Not found"))</f>
        <v>0</v>
      </c>
      <c r="I74" s="45">
        <f>IF(OR(G74="",H74="",NOT(ISNUMBER(H74))),"",G74*H74)</f>
        <v>0</v>
      </c>
      <c r="J74" s="18">
        <f>IF(E74="","",IFERROR(INDEX(Recipes!$J$5:$J$204,MATCH(E74,Recipes!$A$5:$A$204,0)),"Not found"))</f>
        <v>0</v>
      </c>
      <c r="L74" s="18">
        <f>IF(B74="","",IF(K74&lt;&gt;"",K74,IF(ISNUMBER(J74),J74,0)))</f>
        <v>0</v>
      </c>
      <c r="M74" s="45">
        <f>IF(OR(I74="",I74=0,L74=0),"",L74/I74)</f>
        <v>0</v>
      </c>
      <c r="R74" s="18">
        <f>IF(OR(P74="",Q74=""),"",COUNTIFS('Meal Plan'!$B$5:$B$504,"&gt;="&amp;P74,'Meal Plan'!$B$5:$B$504,"&lt;="&amp;Q74,'Meal Plan'!$G$5:$G$504,E74))</f>
        <v>0</v>
      </c>
      <c r="T74" s="25">
        <f>IF(OR(G74="",E74=""),"",IFERROR(INDEX(Recipes!$AC$5:$AC$204,MATCH(E74,Recipes!$A$5:$A$204,0))*G74,""))</f>
        <v>0</v>
      </c>
      <c r="U74" s="25">
        <f>IF(OR(T74="",I74="",I74=0),"",T74/I74)</f>
        <v>0</v>
      </c>
      <c r="V74" s="18">
        <f>IF(OR(B74="",W74="Done",NOT(ISNUMBER(C74))),"",COUNTIFS($W$5:$W$124,"&lt;&gt;Done",$C$5:$C$124,"&lt;"&amp;C74)+COUNTIFS($W$5:W74,"&lt;&gt;Done",$C$5:C74,C74))</f>
        <v>0</v>
      </c>
      <c r="X74" s="31">
        <f>IF(B74="","",IF(W74="Done","OK",IF(AND(C74&lt;&gt;"",C74&lt;TODAY()),"Overdue - still not made",IF(C74=TODAY(),"Today - prep day",IF(AND(C74&lt;&gt;"",C74-TODAY()&lt;=PrepLeadDays),"Due - coming up","OK")))))</f>
        <v>0</v>
      </c>
    </row>
    <row r="75" spans="1:24">
      <c r="A75" s="39">
        <f>IF(B75="","","PR-"&amp;TEXT(ROW()-4,"000"))</f>
        <v>0</v>
      </c>
      <c r="D75" s="17">
        <f>IF(C75="","",TEXT(C75,"ddd"))</f>
        <v>0</v>
      </c>
      <c r="F75" s="17">
        <f>IF(E75="","",IFERROR(INDEX(Recipes!$B$5:$B$204,MATCH(E75,Recipes!$A$5:$A$204,0)),"Not found"))</f>
        <v>0</v>
      </c>
      <c r="H75" s="18">
        <f>IF(E75="","",IFERROR(INDEX(Recipes!$G$5:$G$204,MATCH(E75,Recipes!$A$5:$A$204,0)),"Not found"))</f>
        <v>0</v>
      </c>
      <c r="I75" s="45">
        <f>IF(OR(G75="",H75="",NOT(ISNUMBER(H75))),"",G75*H75)</f>
        <v>0</v>
      </c>
      <c r="J75" s="18">
        <f>IF(E75="","",IFERROR(INDEX(Recipes!$J$5:$J$204,MATCH(E75,Recipes!$A$5:$A$204,0)),"Not found"))</f>
        <v>0</v>
      </c>
      <c r="L75" s="18">
        <f>IF(B75="","",IF(K75&lt;&gt;"",K75,IF(ISNUMBER(J75),J75,0)))</f>
        <v>0</v>
      </c>
      <c r="M75" s="45">
        <f>IF(OR(I75="",I75=0,L75=0),"",L75/I75)</f>
        <v>0</v>
      </c>
      <c r="R75" s="18">
        <f>IF(OR(P75="",Q75=""),"",COUNTIFS('Meal Plan'!$B$5:$B$504,"&gt;="&amp;P75,'Meal Plan'!$B$5:$B$504,"&lt;="&amp;Q75,'Meal Plan'!$G$5:$G$504,E75))</f>
        <v>0</v>
      </c>
      <c r="T75" s="25">
        <f>IF(OR(G75="",E75=""),"",IFERROR(INDEX(Recipes!$AC$5:$AC$204,MATCH(E75,Recipes!$A$5:$A$204,0))*G75,""))</f>
        <v>0</v>
      </c>
      <c r="U75" s="25">
        <f>IF(OR(T75="",I75="",I75=0),"",T75/I75)</f>
        <v>0</v>
      </c>
      <c r="V75" s="18">
        <f>IF(OR(B75="",W75="Done",NOT(ISNUMBER(C75))),"",COUNTIFS($W$5:$W$124,"&lt;&gt;Done",$C$5:$C$124,"&lt;"&amp;C75)+COUNTIFS($W$5:W75,"&lt;&gt;Done",$C$5:C75,C75))</f>
        <v>0</v>
      </c>
      <c r="X75" s="31">
        <f>IF(B75="","",IF(W75="Done","OK",IF(AND(C75&lt;&gt;"",C75&lt;TODAY()),"Overdue - still not made",IF(C75=TODAY(),"Today - prep day",IF(AND(C75&lt;&gt;"",C75-TODAY()&lt;=PrepLeadDays),"Due - coming up","OK")))))</f>
        <v>0</v>
      </c>
    </row>
    <row r="76" spans="1:24">
      <c r="A76" s="39">
        <f>IF(B76="","","PR-"&amp;TEXT(ROW()-4,"000"))</f>
        <v>0</v>
      </c>
      <c r="D76" s="17">
        <f>IF(C76="","",TEXT(C76,"ddd"))</f>
        <v>0</v>
      </c>
      <c r="F76" s="17">
        <f>IF(E76="","",IFERROR(INDEX(Recipes!$B$5:$B$204,MATCH(E76,Recipes!$A$5:$A$204,0)),"Not found"))</f>
        <v>0</v>
      </c>
      <c r="H76" s="18">
        <f>IF(E76="","",IFERROR(INDEX(Recipes!$G$5:$G$204,MATCH(E76,Recipes!$A$5:$A$204,0)),"Not found"))</f>
        <v>0</v>
      </c>
      <c r="I76" s="45">
        <f>IF(OR(G76="",H76="",NOT(ISNUMBER(H76))),"",G76*H76)</f>
        <v>0</v>
      </c>
      <c r="J76" s="18">
        <f>IF(E76="","",IFERROR(INDEX(Recipes!$J$5:$J$204,MATCH(E76,Recipes!$A$5:$A$204,0)),"Not found"))</f>
        <v>0</v>
      </c>
      <c r="L76" s="18">
        <f>IF(B76="","",IF(K76&lt;&gt;"",K76,IF(ISNUMBER(J76),J76,0)))</f>
        <v>0</v>
      </c>
      <c r="M76" s="45">
        <f>IF(OR(I76="",I76=0,L76=0),"",L76/I76)</f>
        <v>0</v>
      </c>
      <c r="R76" s="18">
        <f>IF(OR(P76="",Q76=""),"",COUNTIFS('Meal Plan'!$B$5:$B$504,"&gt;="&amp;P76,'Meal Plan'!$B$5:$B$504,"&lt;="&amp;Q76,'Meal Plan'!$G$5:$G$504,E76))</f>
        <v>0</v>
      </c>
      <c r="T76" s="25">
        <f>IF(OR(G76="",E76=""),"",IFERROR(INDEX(Recipes!$AC$5:$AC$204,MATCH(E76,Recipes!$A$5:$A$204,0))*G76,""))</f>
        <v>0</v>
      </c>
      <c r="U76" s="25">
        <f>IF(OR(T76="",I76="",I76=0),"",T76/I76)</f>
        <v>0</v>
      </c>
      <c r="V76" s="18">
        <f>IF(OR(B76="",W76="Done",NOT(ISNUMBER(C76))),"",COUNTIFS($W$5:$W$124,"&lt;&gt;Done",$C$5:$C$124,"&lt;"&amp;C76)+COUNTIFS($W$5:W76,"&lt;&gt;Done",$C$5:C76,C76))</f>
        <v>0</v>
      </c>
      <c r="X76" s="31">
        <f>IF(B76="","",IF(W76="Done","OK",IF(AND(C76&lt;&gt;"",C76&lt;TODAY()),"Overdue - still not made",IF(C76=TODAY(),"Today - prep day",IF(AND(C76&lt;&gt;"",C76-TODAY()&lt;=PrepLeadDays),"Due - coming up","OK")))))</f>
        <v>0</v>
      </c>
    </row>
    <row r="77" spans="1:24">
      <c r="A77" s="39">
        <f>IF(B77="","","PR-"&amp;TEXT(ROW()-4,"000"))</f>
        <v>0</v>
      </c>
      <c r="D77" s="17">
        <f>IF(C77="","",TEXT(C77,"ddd"))</f>
        <v>0</v>
      </c>
      <c r="F77" s="17">
        <f>IF(E77="","",IFERROR(INDEX(Recipes!$B$5:$B$204,MATCH(E77,Recipes!$A$5:$A$204,0)),"Not found"))</f>
        <v>0</v>
      </c>
      <c r="H77" s="18">
        <f>IF(E77="","",IFERROR(INDEX(Recipes!$G$5:$G$204,MATCH(E77,Recipes!$A$5:$A$204,0)),"Not found"))</f>
        <v>0</v>
      </c>
      <c r="I77" s="45">
        <f>IF(OR(G77="",H77="",NOT(ISNUMBER(H77))),"",G77*H77)</f>
        <v>0</v>
      </c>
      <c r="J77" s="18">
        <f>IF(E77="","",IFERROR(INDEX(Recipes!$J$5:$J$204,MATCH(E77,Recipes!$A$5:$A$204,0)),"Not found"))</f>
        <v>0</v>
      </c>
      <c r="L77" s="18">
        <f>IF(B77="","",IF(K77&lt;&gt;"",K77,IF(ISNUMBER(J77),J77,0)))</f>
        <v>0</v>
      </c>
      <c r="M77" s="45">
        <f>IF(OR(I77="",I77=0,L77=0),"",L77/I77)</f>
        <v>0</v>
      </c>
      <c r="R77" s="18">
        <f>IF(OR(P77="",Q77=""),"",COUNTIFS('Meal Plan'!$B$5:$B$504,"&gt;="&amp;P77,'Meal Plan'!$B$5:$B$504,"&lt;="&amp;Q77,'Meal Plan'!$G$5:$G$504,E77))</f>
        <v>0</v>
      </c>
      <c r="T77" s="25">
        <f>IF(OR(G77="",E77=""),"",IFERROR(INDEX(Recipes!$AC$5:$AC$204,MATCH(E77,Recipes!$A$5:$A$204,0))*G77,""))</f>
        <v>0</v>
      </c>
      <c r="U77" s="25">
        <f>IF(OR(T77="",I77="",I77=0),"",T77/I77)</f>
        <v>0</v>
      </c>
      <c r="V77" s="18">
        <f>IF(OR(B77="",W77="Done",NOT(ISNUMBER(C77))),"",COUNTIFS($W$5:$W$124,"&lt;&gt;Done",$C$5:$C$124,"&lt;"&amp;C77)+COUNTIFS($W$5:W77,"&lt;&gt;Done",$C$5:C77,C77))</f>
        <v>0</v>
      </c>
      <c r="X77" s="31">
        <f>IF(B77="","",IF(W77="Done","OK",IF(AND(C77&lt;&gt;"",C77&lt;TODAY()),"Overdue - still not made",IF(C77=TODAY(),"Today - prep day",IF(AND(C77&lt;&gt;"",C77-TODAY()&lt;=PrepLeadDays),"Due - coming up","OK")))))</f>
        <v>0</v>
      </c>
    </row>
    <row r="78" spans="1:24">
      <c r="A78" s="39">
        <f>IF(B78="","","PR-"&amp;TEXT(ROW()-4,"000"))</f>
        <v>0</v>
      </c>
      <c r="D78" s="17">
        <f>IF(C78="","",TEXT(C78,"ddd"))</f>
        <v>0</v>
      </c>
      <c r="F78" s="17">
        <f>IF(E78="","",IFERROR(INDEX(Recipes!$B$5:$B$204,MATCH(E78,Recipes!$A$5:$A$204,0)),"Not found"))</f>
        <v>0</v>
      </c>
      <c r="H78" s="18">
        <f>IF(E78="","",IFERROR(INDEX(Recipes!$G$5:$G$204,MATCH(E78,Recipes!$A$5:$A$204,0)),"Not found"))</f>
        <v>0</v>
      </c>
      <c r="I78" s="45">
        <f>IF(OR(G78="",H78="",NOT(ISNUMBER(H78))),"",G78*H78)</f>
        <v>0</v>
      </c>
      <c r="J78" s="18">
        <f>IF(E78="","",IFERROR(INDEX(Recipes!$J$5:$J$204,MATCH(E78,Recipes!$A$5:$A$204,0)),"Not found"))</f>
        <v>0</v>
      </c>
      <c r="L78" s="18">
        <f>IF(B78="","",IF(K78&lt;&gt;"",K78,IF(ISNUMBER(J78),J78,0)))</f>
        <v>0</v>
      </c>
      <c r="M78" s="45">
        <f>IF(OR(I78="",I78=0,L78=0),"",L78/I78)</f>
        <v>0</v>
      </c>
      <c r="R78" s="18">
        <f>IF(OR(P78="",Q78=""),"",COUNTIFS('Meal Plan'!$B$5:$B$504,"&gt;="&amp;P78,'Meal Plan'!$B$5:$B$504,"&lt;="&amp;Q78,'Meal Plan'!$G$5:$G$504,E78))</f>
        <v>0</v>
      </c>
      <c r="T78" s="25">
        <f>IF(OR(G78="",E78=""),"",IFERROR(INDEX(Recipes!$AC$5:$AC$204,MATCH(E78,Recipes!$A$5:$A$204,0))*G78,""))</f>
        <v>0</v>
      </c>
      <c r="U78" s="25">
        <f>IF(OR(T78="",I78="",I78=0),"",T78/I78)</f>
        <v>0</v>
      </c>
      <c r="V78" s="18">
        <f>IF(OR(B78="",W78="Done",NOT(ISNUMBER(C78))),"",COUNTIFS($W$5:$W$124,"&lt;&gt;Done",$C$5:$C$124,"&lt;"&amp;C78)+COUNTIFS($W$5:W78,"&lt;&gt;Done",$C$5:C78,C78))</f>
        <v>0</v>
      </c>
      <c r="X78" s="31">
        <f>IF(B78="","",IF(W78="Done","OK",IF(AND(C78&lt;&gt;"",C78&lt;TODAY()),"Overdue - still not made",IF(C78=TODAY(),"Today - prep day",IF(AND(C78&lt;&gt;"",C78-TODAY()&lt;=PrepLeadDays),"Due - coming up","OK")))))</f>
        <v>0</v>
      </c>
    </row>
    <row r="79" spans="1:24">
      <c r="A79" s="39">
        <f>IF(B79="","","PR-"&amp;TEXT(ROW()-4,"000"))</f>
        <v>0</v>
      </c>
      <c r="D79" s="17">
        <f>IF(C79="","",TEXT(C79,"ddd"))</f>
        <v>0</v>
      </c>
      <c r="F79" s="17">
        <f>IF(E79="","",IFERROR(INDEX(Recipes!$B$5:$B$204,MATCH(E79,Recipes!$A$5:$A$204,0)),"Not found"))</f>
        <v>0</v>
      </c>
      <c r="H79" s="18">
        <f>IF(E79="","",IFERROR(INDEX(Recipes!$G$5:$G$204,MATCH(E79,Recipes!$A$5:$A$204,0)),"Not found"))</f>
        <v>0</v>
      </c>
      <c r="I79" s="45">
        <f>IF(OR(G79="",H79="",NOT(ISNUMBER(H79))),"",G79*H79)</f>
        <v>0</v>
      </c>
      <c r="J79" s="18">
        <f>IF(E79="","",IFERROR(INDEX(Recipes!$J$5:$J$204,MATCH(E79,Recipes!$A$5:$A$204,0)),"Not found"))</f>
        <v>0</v>
      </c>
      <c r="L79" s="18">
        <f>IF(B79="","",IF(K79&lt;&gt;"",K79,IF(ISNUMBER(J79),J79,0)))</f>
        <v>0</v>
      </c>
      <c r="M79" s="45">
        <f>IF(OR(I79="",I79=0,L79=0),"",L79/I79)</f>
        <v>0</v>
      </c>
      <c r="R79" s="18">
        <f>IF(OR(P79="",Q79=""),"",COUNTIFS('Meal Plan'!$B$5:$B$504,"&gt;="&amp;P79,'Meal Plan'!$B$5:$B$504,"&lt;="&amp;Q79,'Meal Plan'!$G$5:$G$504,E79))</f>
        <v>0</v>
      </c>
      <c r="T79" s="25">
        <f>IF(OR(G79="",E79=""),"",IFERROR(INDEX(Recipes!$AC$5:$AC$204,MATCH(E79,Recipes!$A$5:$A$204,0))*G79,""))</f>
        <v>0</v>
      </c>
      <c r="U79" s="25">
        <f>IF(OR(T79="",I79="",I79=0),"",T79/I79)</f>
        <v>0</v>
      </c>
      <c r="V79" s="18">
        <f>IF(OR(B79="",W79="Done",NOT(ISNUMBER(C79))),"",COUNTIFS($W$5:$W$124,"&lt;&gt;Done",$C$5:$C$124,"&lt;"&amp;C79)+COUNTIFS($W$5:W79,"&lt;&gt;Done",$C$5:C79,C79))</f>
        <v>0</v>
      </c>
      <c r="X79" s="31">
        <f>IF(B79="","",IF(W79="Done","OK",IF(AND(C79&lt;&gt;"",C79&lt;TODAY()),"Overdue - still not made",IF(C79=TODAY(),"Today - prep day",IF(AND(C79&lt;&gt;"",C79-TODAY()&lt;=PrepLeadDays),"Due - coming up","OK")))))</f>
        <v>0</v>
      </c>
    </row>
    <row r="80" spans="1:24">
      <c r="A80" s="39">
        <f>IF(B80="","","PR-"&amp;TEXT(ROW()-4,"000"))</f>
        <v>0</v>
      </c>
      <c r="D80" s="17">
        <f>IF(C80="","",TEXT(C80,"ddd"))</f>
        <v>0</v>
      </c>
      <c r="F80" s="17">
        <f>IF(E80="","",IFERROR(INDEX(Recipes!$B$5:$B$204,MATCH(E80,Recipes!$A$5:$A$204,0)),"Not found"))</f>
        <v>0</v>
      </c>
      <c r="H80" s="18">
        <f>IF(E80="","",IFERROR(INDEX(Recipes!$G$5:$G$204,MATCH(E80,Recipes!$A$5:$A$204,0)),"Not found"))</f>
        <v>0</v>
      </c>
      <c r="I80" s="45">
        <f>IF(OR(G80="",H80="",NOT(ISNUMBER(H80))),"",G80*H80)</f>
        <v>0</v>
      </c>
      <c r="J80" s="18">
        <f>IF(E80="","",IFERROR(INDEX(Recipes!$J$5:$J$204,MATCH(E80,Recipes!$A$5:$A$204,0)),"Not found"))</f>
        <v>0</v>
      </c>
      <c r="L80" s="18">
        <f>IF(B80="","",IF(K80&lt;&gt;"",K80,IF(ISNUMBER(J80),J80,0)))</f>
        <v>0</v>
      </c>
      <c r="M80" s="45">
        <f>IF(OR(I80="",I80=0,L80=0),"",L80/I80)</f>
        <v>0</v>
      </c>
      <c r="R80" s="18">
        <f>IF(OR(P80="",Q80=""),"",COUNTIFS('Meal Plan'!$B$5:$B$504,"&gt;="&amp;P80,'Meal Plan'!$B$5:$B$504,"&lt;="&amp;Q80,'Meal Plan'!$G$5:$G$504,E80))</f>
        <v>0</v>
      </c>
      <c r="T80" s="25">
        <f>IF(OR(G80="",E80=""),"",IFERROR(INDEX(Recipes!$AC$5:$AC$204,MATCH(E80,Recipes!$A$5:$A$204,0))*G80,""))</f>
        <v>0</v>
      </c>
      <c r="U80" s="25">
        <f>IF(OR(T80="",I80="",I80=0),"",T80/I80)</f>
        <v>0</v>
      </c>
      <c r="V80" s="18">
        <f>IF(OR(B80="",W80="Done",NOT(ISNUMBER(C80))),"",COUNTIFS($W$5:$W$124,"&lt;&gt;Done",$C$5:$C$124,"&lt;"&amp;C80)+COUNTIFS($W$5:W80,"&lt;&gt;Done",$C$5:C80,C80))</f>
        <v>0</v>
      </c>
      <c r="X80" s="31">
        <f>IF(B80="","",IF(W80="Done","OK",IF(AND(C80&lt;&gt;"",C80&lt;TODAY()),"Overdue - still not made",IF(C80=TODAY(),"Today - prep day",IF(AND(C80&lt;&gt;"",C80-TODAY()&lt;=PrepLeadDays),"Due - coming up","OK")))))</f>
        <v>0</v>
      </c>
    </row>
    <row r="81" spans="1:24">
      <c r="A81" s="39">
        <f>IF(B81="","","PR-"&amp;TEXT(ROW()-4,"000"))</f>
        <v>0</v>
      </c>
      <c r="D81" s="17">
        <f>IF(C81="","",TEXT(C81,"ddd"))</f>
        <v>0</v>
      </c>
      <c r="F81" s="17">
        <f>IF(E81="","",IFERROR(INDEX(Recipes!$B$5:$B$204,MATCH(E81,Recipes!$A$5:$A$204,0)),"Not found"))</f>
        <v>0</v>
      </c>
      <c r="H81" s="18">
        <f>IF(E81="","",IFERROR(INDEX(Recipes!$G$5:$G$204,MATCH(E81,Recipes!$A$5:$A$204,0)),"Not found"))</f>
        <v>0</v>
      </c>
      <c r="I81" s="45">
        <f>IF(OR(G81="",H81="",NOT(ISNUMBER(H81))),"",G81*H81)</f>
        <v>0</v>
      </c>
      <c r="J81" s="18">
        <f>IF(E81="","",IFERROR(INDEX(Recipes!$J$5:$J$204,MATCH(E81,Recipes!$A$5:$A$204,0)),"Not found"))</f>
        <v>0</v>
      </c>
      <c r="L81" s="18">
        <f>IF(B81="","",IF(K81&lt;&gt;"",K81,IF(ISNUMBER(J81),J81,0)))</f>
        <v>0</v>
      </c>
      <c r="M81" s="45">
        <f>IF(OR(I81="",I81=0,L81=0),"",L81/I81)</f>
        <v>0</v>
      </c>
      <c r="R81" s="18">
        <f>IF(OR(P81="",Q81=""),"",COUNTIFS('Meal Plan'!$B$5:$B$504,"&gt;="&amp;P81,'Meal Plan'!$B$5:$B$504,"&lt;="&amp;Q81,'Meal Plan'!$G$5:$G$504,E81))</f>
        <v>0</v>
      </c>
      <c r="T81" s="25">
        <f>IF(OR(G81="",E81=""),"",IFERROR(INDEX(Recipes!$AC$5:$AC$204,MATCH(E81,Recipes!$A$5:$A$204,0))*G81,""))</f>
        <v>0</v>
      </c>
      <c r="U81" s="25">
        <f>IF(OR(T81="",I81="",I81=0),"",T81/I81)</f>
        <v>0</v>
      </c>
      <c r="V81" s="18">
        <f>IF(OR(B81="",W81="Done",NOT(ISNUMBER(C81))),"",COUNTIFS($W$5:$W$124,"&lt;&gt;Done",$C$5:$C$124,"&lt;"&amp;C81)+COUNTIFS($W$5:W81,"&lt;&gt;Done",$C$5:C81,C81))</f>
        <v>0</v>
      </c>
      <c r="X81" s="31">
        <f>IF(B81="","",IF(W81="Done","OK",IF(AND(C81&lt;&gt;"",C81&lt;TODAY()),"Overdue - still not made",IF(C81=TODAY(),"Today - prep day",IF(AND(C81&lt;&gt;"",C81-TODAY()&lt;=PrepLeadDays),"Due - coming up","OK")))))</f>
        <v>0</v>
      </c>
    </row>
    <row r="82" spans="1:24">
      <c r="A82" s="39">
        <f>IF(B82="","","PR-"&amp;TEXT(ROW()-4,"000"))</f>
        <v>0</v>
      </c>
      <c r="D82" s="17">
        <f>IF(C82="","",TEXT(C82,"ddd"))</f>
        <v>0</v>
      </c>
      <c r="F82" s="17">
        <f>IF(E82="","",IFERROR(INDEX(Recipes!$B$5:$B$204,MATCH(E82,Recipes!$A$5:$A$204,0)),"Not found"))</f>
        <v>0</v>
      </c>
      <c r="H82" s="18">
        <f>IF(E82="","",IFERROR(INDEX(Recipes!$G$5:$G$204,MATCH(E82,Recipes!$A$5:$A$204,0)),"Not found"))</f>
        <v>0</v>
      </c>
      <c r="I82" s="45">
        <f>IF(OR(G82="",H82="",NOT(ISNUMBER(H82))),"",G82*H82)</f>
        <v>0</v>
      </c>
      <c r="J82" s="18">
        <f>IF(E82="","",IFERROR(INDEX(Recipes!$J$5:$J$204,MATCH(E82,Recipes!$A$5:$A$204,0)),"Not found"))</f>
        <v>0</v>
      </c>
      <c r="L82" s="18">
        <f>IF(B82="","",IF(K82&lt;&gt;"",K82,IF(ISNUMBER(J82),J82,0)))</f>
        <v>0</v>
      </c>
      <c r="M82" s="45">
        <f>IF(OR(I82="",I82=0,L82=0),"",L82/I82)</f>
        <v>0</v>
      </c>
      <c r="R82" s="18">
        <f>IF(OR(P82="",Q82=""),"",COUNTIFS('Meal Plan'!$B$5:$B$504,"&gt;="&amp;P82,'Meal Plan'!$B$5:$B$504,"&lt;="&amp;Q82,'Meal Plan'!$G$5:$G$504,E82))</f>
        <v>0</v>
      </c>
      <c r="T82" s="25">
        <f>IF(OR(G82="",E82=""),"",IFERROR(INDEX(Recipes!$AC$5:$AC$204,MATCH(E82,Recipes!$A$5:$A$204,0))*G82,""))</f>
        <v>0</v>
      </c>
      <c r="U82" s="25">
        <f>IF(OR(T82="",I82="",I82=0),"",T82/I82)</f>
        <v>0</v>
      </c>
      <c r="V82" s="18">
        <f>IF(OR(B82="",W82="Done",NOT(ISNUMBER(C82))),"",COUNTIFS($W$5:$W$124,"&lt;&gt;Done",$C$5:$C$124,"&lt;"&amp;C82)+COUNTIFS($W$5:W82,"&lt;&gt;Done",$C$5:C82,C82))</f>
        <v>0</v>
      </c>
      <c r="X82" s="31">
        <f>IF(B82="","",IF(W82="Done","OK",IF(AND(C82&lt;&gt;"",C82&lt;TODAY()),"Overdue - still not made",IF(C82=TODAY(),"Today - prep day",IF(AND(C82&lt;&gt;"",C82-TODAY()&lt;=PrepLeadDays),"Due - coming up","OK")))))</f>
        <v>0</v>
      </c>
    </row>
    <row r="83" spans="1:24">
      <c r="A83" s="39">
        <f>IF(B83="","","PR-"&amp;TEXT(ROW()-4,"000"))</f>
        <v>0</v>
      </c>
      <c r="D83" s="17">
        <f>IF(C83="","",TEXT(C83,"ddd"))</f>
        <v>0</v>
      </c>
      <c r="F83" s="17">
        <f>IF(E83="","",IFERROR(INDEX(Recipes!$B$5:$B$204,MATCH(E83,Recipes!$A$5:$A$204,0)),"Not found"))</f>
        <v>0</v>
      </c>
      <c r="H83" s="18">
        <f>IF(E83="","",IFERROR(INDEX(Recipes!$G$5:$G$204,MATCH(E83,Recipes!$A$5:$A$204,0)),"Not found"))</f>
        <v>0</v>
      </c>
      <c r="I83" s="45">
        <f>IF(OR(G83="",H83="",NOT(ISNUMBER(H83))),"",G83*H83)</f>
        <v>0</v>
      </c>
      <c r="J83" s="18">
        <f>IF(E83="","",IFERROR(INDEX(Recipes!$J$5:$J$204,MATCH(E83,Recipes!$A$5:$A$204,0)),"Not found"))</f>
        <v>0</v>
      </c>
      <c r="L83" s="18">
        <f>IF(B83="","",IF(K83&lt;&gt;"",K83,IF(ISNUMBER(J83),J83,0)))</f>
        <v>0</v>
      </c>
      <c r="M83" s="45">
        <f>IF(OR(I83="",I83=0,L83=0),"",L83/I83)</f>
        <v>0</v>
      </c>
      <c r="R83" s="18">
        <f>IF(OR(P83="",Q83=""),"",COUNTIFS('Meal Plan'!$B$5:$B$504,"&gt;="&amp;P83,'Meal Plan'!$B$5:$B$504,"&lt;="&amp;Q83,'Meal Plan'!$G$5:$G$504,E83))</f>
        <v>0</v>
      </c>
      <c r="T83" s="25">
        <f>IF(OR(G83="",E83=""),"",IFERROR(INDEX(Recipes!$AC$5:$AC$204,MATCH(E83,Recipes!$A$5:$A$204,0))*G83,""))</f>
        <v>0</v>
      </c>
      <c r="U83" s="25">
        <f>IF(OR(T83="",I83="",I83=0),"",T83/I83)</f>
        <v>0</v>
      </c>
      <c r="V83" s="18">
        <f>IF(OR(B83="",W83="Done",NOT(ISNUMBER(C83))),"",COUNTIFS($W$5:$W$124,"&lt;&gt;Done",$C$5:$C$124,"&lt;"&amp;C83)+COUNTIFS($W$5:W83,"&lt;&gt;Done",$C$5:C83,C83))</f>
        <v>0</v>
      </c>
      <c r="X83" s="31">
        <f>IF(B83="","",IF(W83="Done","OK",IF(AND(C83&lt;&gt;"",C83&lt;TODAY()),"Overdue - still not made",IF(C83=TODAY(),"Today - prep day",IF(AND(C83&lt;&gt;"",C83-TODAY()&lt;=PrepLeadDays),"Due - coming up","OK")))))</f>
        <v>0</v>
      </c>
    </row>
    <row r="84" spans="1:24">
      <c r="A84" s="39">
        <f>IF(B84="","","PR-"&amp;TEXT(ROW()-4,"000"))</f>
        <v>0</v>
      </c>
      <c r="D84" s="17">
        <f>IF(C84="","",TEXT(C84,"ddd"))</f>
        <v>0</v>
      </c>
      <c r="F84" s="17">
        <f>IF(E84="","",IFERROR(INDEX(Recipes!$B$5:$B$204,MATCH(E84,Recipes!$A$5:$A$204,0)),"Not found"))</f>
        <v>0</v>
      </c>
      <c r="H84" s="18">
        <f>IF(E84="","",IFERROR(INDEX(Recipes!$G$5:$G$204,MATCH(E84,Recipes!$A$5:$A$204,0)),"Not found"))</f>
        <v>0</v>
      </c>
      <c r="I84" s="45">
        <f>IF(OR(G84="",H84="",NOT(ISNUMBER(H84))),"",G84*H84)</f>
        <v>0</v>
      </c>
      <c r="J84" s="18">
        <f>IF(E84="","",IFERROR(INDEX(Recipes!$J$5:$J$204,MATCH(E84,Recipes!$A$5:$A$204,0)),"Not found"))</f>
        <v>0</v>
      </c>
      <c r="L84" s="18">
        <f>IF(B84="","",IF(K84&lt;&gt;"",K84,IF(ISNUMBER(J84),J84,0)))</f>
        <v>0</v>
      </c>
      <c r="M84" s="45">
        <f>IF(OR(I84="",I84=0,L84=0),"",L84/I84)</f>
        <v>0</v>
      </c>
      <c r="R84" s="18">
        <f>IF(OR(P84="",Q84=""),"",COUNTIFS('Meal Plan'!$B$5:$B$504,"&gt;="&amp;P84,'Meal Plan'!$B$5:$B$504,"&lt;="&amp;Q84,'Meal Plan'!$G$5:$G$504,E84))</f>
        <v>0</v>
      </c>
      <c r="T84" s="25">
        <f>IF(OR(G84="",E84=""),"",IFERROR(INDEX(Recipes!$AC$5:$AC$204,MATCH(E84,Recipes!$A$5:$A$204,0))*G84,""))</f>
        <v>0</v>
      </c>
      <c r="U84" s="25">
        <f>IF(OR(T84="",I84="",I84=0),"",T84/I84)</f>
        <v>0</v>
      </c>
      <c r="V84" s="18">
        <f>IF(OR(B84="",W84="Done",NOT(ISNUMBER(C84))),"",COUNTIFS($W$5:$W$124,"&lt;&gt;Done",$C$5:$C$124,"&lt;"&amp;C84)+COUNTIFS($W$5:W84,"&lt;&gt;Done",$C$5:C84,C84))</f>
        <v>0</v>
      </c>
      <c r="X84" s="31">
        <f>IF(B84="","",IF(W84="Done","OK",IF(AND(C84&lt;&gt;"",C84&lt;TODAY()),"Overdue - still not made",IF(C84=TODAY(),"Today - prep day",IF(AND(C84&lt;&gt;"",C84-TODAY()&lt;=PrepLeadDays),"Due - coming up","OK")))))</f>
        <v>0</v>
      </c>
    </row>
    <row r="85" spans="1:24">
      <c r="A85" s="39">
        <f>IF(B85="","","PR-"&amp;TEXT(ROW()-4,"000"))</f>
        <v>0</v>
      </c>
      <c r="D85" s="17">
        <f>IF(C85="","",TEXT(C85,"ddd"))</f>
        <v>0</v>
      </c>
      <c r="F85" s="17">
        <f>IF(E85="","",IFERROR(INDEX(Recipes!$B$5:$B$204,MATCH(E85,Recipes!$A$5:$A$204,0)),"Not found"))</f>
        <v>0</v>
      </c>
      <c r="H85" s="18">
        <f>IF(E85="","",IFERROR(INDEX(Recipes!$G$5:$G$204,MATCH(E85,Recipes!$A$5:$A$204,0)),"Not found"))</f>
        <v>0</v>
      </c>
      <c r="I85" s="45">
        <f>IF(OR(G85="",H85="",NOT(ISNUMBER(H85))),"",G85*H85)</f>
        <v>0</v>
      </c>
      <c r="J85" s="18">
        <f>IF(E85="","",IFERROR(INDEX(Recipes!$J$5:$J$204,MATCH(E85,Recipes!$A$5:$A$204,0)),"Not found"))</f>
        <v>0</v>
      </c>
      <c r="L85" s="18">
        <f>IF(B85="","",IF(K85&lt;&gt;"",K85,IF(ISNUMBER(J85),J85,0)))</f>
        <v>0</v>
      </c>
      <c r="M85" s="45">
        <f>IF(OR(I85="",I85=0,L85=0),"",L85/I85)</f>
        <v>0</v>
      </c>
      <c r="R85" s="18">
        <f>IF(OR(P85="",Q85=""),"",COUNTIFS('Meal Plan'!$B$5:$B$504,"&gt;="&amp;P85,'Meal Plan'!$B$5:$B$504,"&lt;="&amp;Q85,'Meal Plan'!$G$5:$G$504,E85))</f>
        <v>0</v>
      </c>
      <c r="T85" s="25">
        <f>IF(OR(G85="",E85=""),"",IFERROR(INDEX(Recipes!$AC$5:$AC$204,MATCH(E85,Recipes!$A$5:$A$204,0))*G85,""))</f>
        <v>0</v>
      </c>
      <c r="U85" s="25">
        <f>IF(OR(T85="",I85="",I85=0),"",T85/I85)</f>
        <v>0</v>
      </c>
      <c r="V85" s="18">
        <f>IF(OR(B85="",W85="Done",NOT(ISNUMBER(C85))),"",COUNTIFS($W$5:$W$124,"&lt;&gt;Done",$C$5:$C$124,"&lt;"&amp;C85)+COUNTIFS($W$5:W85,"&lt;&gt;Done",$C$5:C85,C85))</f>
        <v>0</v>
      </c>
      <c r="X85" s="31">
        <f>IF(B85="","",IF(W85="Done","OK",IF(AND(C85&lt;&gt;"",C85&lt;TODAY()),"Overdue - still not made",IF(C85=TODAY(),"Today - prep day",IF(AND(C85&lt;&gt;"",C85-TODAY()&lt;=PrepLeadDays),"Due - coming up","OK")))))</f>
        <v>0</v>
      </c>
    </row>
    <row r="86" spans="1:24">
      <c r="A86" s="39">
        <f>IF(B86="","","PR-"&amp;TEXT(ROW()-4,"000"))</f>
        <v>0</v>
      </c>
      <c r="D86" s="17">
        <f>IF(C86="","",TEXT(C86,"ddd"))</f>
        <v>0</v>
      </c>
      <c r="F86" s="17">
        <f>IF(E86="","",IFERROR(INDEX(Recipes!$B$5:$B$204,MATCH(E86,Recipes!$A$5:$A$204,0)),"Not found"))</f>
        <v>0</v>
      </c>
      <c r="H86" s="18">
        <f>IF(E86="","",IFERROR(INDEX(Recipes!$G$5:$G$204,MATCH(E86,Recipes!$A$5:$A$204,0)),"Not found"))</f>
        <v>0</v>
      </c>
      <c r="I86" s="45">
        <f>IF(OR(G86="",H86="",NOT(ISNUMBER(H86))),"",G86*H86)</f>
        <v>0</v>
      </c>
      <c r="J86" s="18">
        <f>IF(E86="","",IFERROR(INDEX(Recipes!$J$5:$J$204,MATCH(E86,Recipes!$A$5:$A$204,0)),"Not found"))</f>
        <v>0</v>
      </c>
      <c r="L86" s="18">
        <f>IF(B86="","",IF(K86&lt;&gt;"",K86,IF(ISNUMBER(J86),J86,0)))</f>
        <v>0</v>
      </c>
      <c r="M86" s="45">
        <f>IF(OR(I86="",I86=0,L86=0),"",L86/I86)</f>
        <v>0</v>
      </c>
      <c r="R86" s="18">
        <f>IF(OR(P86="",Q86=""),"",COUNTIFS('Meal Plan'!$B$5:$B$504,"&gt;="&amp;P86,'Meal Plan'!$B$5:$B$504,"&lt;="&amp;Q86,'Meal Plan'!$G$5:$G$504,E86))</f>
        <v>0</v>
      </c>
      <c r="T86" s="25">
        <f>IF(OR(G86="",E86=""),"",IFERROR(INDEX(Recipes!$AC$5:$AC$204,MATCH(E86,Recipes!$A$5:$A$204,0))*G86,""))</f>
        <v>0</v>
      </c>
      <c r="U86" s="25">
        <f>IF(OR(T86="",I86="",I86=0),"",T86/I86)</f>
        <v>0</v>
      </c>
      <c r="V86" s="18">
        <f>IF(OR(B86="",W86="Done",NOT(ISNUMBER(C86))),"",COUNTIFS($W$5:$W$124,"&lt;&gt;Done",$C$5:$C$124,"&lt;"&amp;C86)+COUNTIFS($W$5:W86,"&lt;&gt;Done",$C$5:C86,C86))</f>
        <v>0</v>
      </c>
      <c r="X86" s="31">
        <f>IF(B86="","",IF(W86="Done","OK",IF(AND(C86&lt;&gt;"",C86&lt;TODAY()),"Overdue - still not made",IF(C86=TODAY(),"Today - prep day",IF(AND(C86&lt;&gt;"",C86-TODAY()&lt;=PrepLeadDays),"Due - coming up","OK")))))</f>
        <v>0</v>
      </c>
    </row>
    <row r="87" spans="1:24">
      <c r="A87" s="39">
        <f>IF(B87="","","PR-"&amp;TEXT(ROW()-4,"000"))</f>
        <v>0</v>
      </c>
      <c r="D87" s="17">
        <f>IF(C87="","",TEXT(C87,"ddd"))</f>
        <v>0</v>
      </c>
      <c r="F87" s="17">
        <f>IF(E87="","",IFERROR(INDEX(Recipes!$B$5:$B$204,MATCH(E87,Recipes!$A$5:$A$204,0)),"Not found"))</f>
        <v>0</v>
      </c>
      <c r="H87" s="18">
        <f>IF(E87="","",IFERROR(INDEX(Recipes!$G$5:$G$204,MATCH(E87,Recipes!$A$5:$A$204,0)),"Not found"))</f>
        <v>0</v>
      </c>
      <c r="I87" s="45">
        <f>IF(OR(G87="",H87="",NOT(ISNUMBER(H87))),"",G87*H87)</f>
        <v>0</v>
      </c>
      <c r="J87" s="18">
        <f>IF(E87="","",IFERROR(INDEX(Recipes!$J$5:$J$204,MATCH(E87,Recipes!$A$5:$A$204,0)),"Not found"))</f>
        <v>0</v>
      </c>
      <c r="L87" s="18">
        <f>IF(B87="","",IF(K87&lt;&gt;"",K87,IF(ISNUMBER(J87),J87,0)))</f>
        <v>0</v>
      </c>
      <c r="M87" s="45">
        <f>IF(OR(I87="",I87=0,L87=0),"",L87/I87)</f>
        <v>0</v>
      </c>
      <c r="R87" s="18">
        <f>IF(OR(P87="",Q87=""),"",COUNTIFS('Meal Plan'!$B$5:$B$504,"&gt;="&amp;P87,'Meal Plan'!$B$5:$B$504,"&lt;="&amp;Q87,'Meal Plan'!$G$5:$G$504,E87))</f>
        <v>0</v>
      </c>
      <c r="T87" s="25">
        <f>IF(OR(G87="",E87=""),"",IFERROR(INDEX(Recipes!$AC$5:$AC$204,MATCH(E87,Recipes!$A$5:$A$204,0))*G87,""))</f>
        <v>0</v>
      </c>
      <c r="U87" s="25">
        <f>IF(OR(T87="",I87="",I87=0),"",T87/I87)</f>
        <v>0</v>
      </c>
      <c r="V87" s="18">
        <f>IF(OR(B87="",W87="Done",NOT(ISNUMBER(C87))),"",COUNTIFS($W$5:$W$124,"&lt;&gt;Done",$C$5:$C$124,"&lt;"&amp;C87)+COUNTIFS($W$5:W87,"&lt;&gt;Done",$C$5:C87,C87))</f>
        <v>0</v>
      </c>
      <c r="X87" s="31">
        <f>IF(B87="","",IF(W87="Done","OK",IF(AND(C87&lt;&gt;"",C87&lt;TODAY()),"Overdue - still not made",IF(C87=TODAY(),"Today - prep day",IF(AND(C87&lt;&gt;"",C87-TODAY()&lt;=PrepLeadDays),"Due - coming up","OK")))))</f>
        <v>0</v>
      </c>
    </row>
    <row r="88" spans="1:24">
      <c r="A88" s="39">
        <f>IF(B88="","","PR-"&amp;TEXT(ROW()-4,"000"))</f>
        <v>0</v>
      </c>
      <c r="D88" s="17">
        <f>IF(C88="","",TEXT(C88,"ddd"))</f>
        <v>0</v>
      </c>
      <c r="F88" s="17">
        <f>IF(E88="","",IFERROR(INDEX(Recipes!$B$5:$B$204,MATCH(E88,Recipes!$A$5:$A$204,0)),"Not found"))</f>
        <v>0</v>
      </c>
      <c r="H88" s="18">
        <f>IF(E88="","",IFERROR(INDEX(Recipes!$G$5:$G$204,MATCH(E88,Recipes!$A$5:$A$204,0)),"Not found"))</f>
        <v>0</v>
      </c>
      <c r="I88" s="45">
        <f>IF(OR(G88="",H88="",NOT(ISNUMBER(H88))),"",G88*H88)</f>
        <v>0</v>
      </c>
      <c r="J88" s="18">
        <f>IF(E88="","",IFERROR(INDEX(Recipes!$J$5:$J$204,MATCH(E88,Recipes!$A$5:$A$204,0)),"Not found"))</f>
        <v>0</v>
      </c>
      <c r="L88" s="18">
        <f>IF(B88="","",IF(K88&lt;&gt;"",K88,IF(ISNUMBER(J88),J88,0)))</f>
        <v>0</v>
      </c>
      <c r="M88" s="45">
        <f>IF(OR(I88="",I88=0,L88=0),"",L88/I88)</f>
        <v>0</v>
      </c>
      <c r="R88" s="18">
        <f>IF(OR(P88="",Q88=""),"",COUNTIFS('Meal Plan'!$B$5:$B$504,"&gt;="&amp;P88,'Meal Plan'!$B$5:$B$504,"&lt;="&amp;Q88,'Meal Plan'!$G$5:$G$504,E88))</f>
        <v>0</v>
      </c>
      <c r="T88" s="25">
        <f>IF(OR(G88="",E88=""),"",IFERROR(INDEX(Recipes!$AC$5:$AC$204,MATCH(E88,Recipes!$A$5:$A$204,0))*G88,""))</f>
        <v>0</v>
      </c>
      <c r="U88" s="25">
        <f>IF(OR(T88="",I88="",I88=0),"",T88/I88)</f>
        <v>0</v>
      </c>
      <c r="V88" s="18">
        <f>IF(OR(B88="",W88="Done",NOT(ISNUMBER(C88))),"",COUNTIFS($W$5:$W$124,"&lt;&gt;Done",$C$5:$C$124,"&lt;"&amp;C88)+COUNTIFS($W$5:W88,"&lt;&gt;Done",$C$5:C88,C88))</f>
        <v>0</v>
      </c>
      <c r="X88" s="31">
        <f>IF(B88="","",IF(W88="Done","OK",IF(AND(C88&lt;&gt;"",C88&lt;TODAY()),"Overdue - still not made",IF(C88=TODAY(),"Today - prep day",IF(AND(C88&lt;&gt;"",C88-TODAY()&lt;=PrepLeadDays),"Due - coming up","OK")))))</f>
        <v>0</v>
      </c>
    </row>
    <row r="89" spans="1:24">
      <c r="A89" s="39">
        <f>IF(B89="","","PR-"&amp;TEXT(ROW()-4,"000"))</f>
        <v>0</v>
      </c>
      <c r="D89" s="17">
        <f>IF(C89="","",TEXT(C89,"ddd"))</f>
        <v>0</v>
      </c>
      <c r="F89" s="17">
        <f>IF(E89="","",IFERROR(INDEX(Recipes!$B$5:$B$204,MATCH(E89,Recipes!$A$5:$A$204,0)),"Not found"))</f>
        <v>0</v>
      </c>
      <c r="H89" s="18">
        <f>IF(E89="","",IFERROR(INDEX(Recipes!$G$5:$G$204,MATCH(E89,Recipes!$A$5:$A$204,0)),"Not found"))</f>
        <v>0</v>
      </c>
      <c r="I89" s="45">
        <f>IF(OR(G89="",H89="",NOT(ISNUMBER(H89))),"",G89*H89)</f>
        <v>0</v>
      </c>
      <c r="J89" s="18">
        <f>IF(E89="","",IFERROR(INDEX(Recipes!$J$5:$J$204,MATCH(E89,Recipes!$A$5:$A$204,0)),"Not found"))</f>
        <v>0</v>
      </c>
      <c r="L89" s="18">
        <f>IF(B89="","",IF(K89&lt;&gt;"",K89,IF(ISNUMBER(J89),J89,0)))</f>
        <v>0</v>
      </c>
      <c r="M89" s="45">
        <f>IF(OR(I89="",I89=0,L89=0),"",L89/I89)</f>
        <v>0</v>
      </c>
      <c r="R89" s="18">
        <f>IF(OR(P89="",Q89=""),"",COUNTIFS('Meal Plan'!$B$5:$B$504,"&gt;="&amp;P89,'Meal Plan'!$B$5:$B$504,"&lt;="&amp;Q89,'Meal Plan'!$G$5:$G$504,E89))</f>
        <v>0</v>
      </c>
      <c r="T89" s="25">
        <f>IF(OR(G89="",E89=""),"",IFERROR(INDEX(Recipes!$AC$5:$AC$204,MATCH(E89,Recipes!$A$5:$A$204,0))*G89,""))</f>
        <v>0</v>
      </c>
      <c r="U89" s="25">
        <f>IF(OR(T89="",I89="",I89=0),"",T89/I89)</f>
        <v>0</v>
      </c>
      <c r="V89" s="18">
        <f>IF(OR(B89="",W89="Done",NOT(ISNUMBER(C89))),"",COUNTIFS($W$5:$W$124,"&lt;&gt;Done",$C$5:$C$124,"&lt;"&amp;C89)+COUNTIFS($W$5:W89,"&lt;&gt;Done",$C$5:C89,C89))</f>
        <v>0</v>
      </c>
      <c r="X89" s="31">
        <f>IF(B89="","",IF(W89="Done","OK",IF(AND(C89&lt;&gt;"",C89&lt;TODAY()),"Overdue - still not made",IF(C89=TODAY(),"Today - prep day",IF(AND(C89&lt;&gt;"",C89-TODAY()&lt;=PrepLeadDays),"Due - coming up","OK")))))</f>
        <v>0</v>
      </c>
    </row>
    <row r="90" spans="1:24">
      <c r="A90" s="39">
        <f>IF(B90="","","PR-"&amp;TEXT(ROW()-4,"000"))</f>
        <v>0</v>
      </c>
      <c r="D90" s="17">
        <f>IF(C90="","",TEXT(C90,"ddd"))</f>
        <v>0</v>
      </c>
      <c r="F90" s="17">
        <f>IF(E90="","",IFERROR(INDEX(Recipes!$B$5:$B$204,MATCH(E90,Recipes!$A$5:$A$204,0)),"Not found"))</f>
        <v>0</v>
      </c>
      <c r="H90" s="18">
        <f>IF(E90="","",IFERROR(INDEX(Recipes!$G$5:$G$204,MATCH(E90,Recipes!$A$5:$A$204,0)),"Not found"))</f>
        <v>0</v>
      </c>
      <c r="I90" s="45">
        <f>IF(OR(G90="",H90="",NOT(ISNUMBER(H90))),"",G90*H90)</f>
        <v>0</v>
      </c>
      <c r="J90" s="18">
        <f>IF(E90="","",IFERROR(INDEX(Recipes!$J$5:$J$204,MATCH(E90,Recipes!$A$5:$A$204,0)),"Not found"))</f>
        <v>0</v>
      </c>
      <c r="L90" s="18">
        <f>IF(B90="","",IF(K90&lt;&gt;"",K90,IF(ISNUMBER(J90),J90,0)))</f>
        <v>0</v>
      </c>
      <c r="M90" s="45">
        <f>IF(OR(I90="",I90=0,L90=0),"",L90/I90)</f>
        <v>0</v>
      </c>
      <c r="R90" s="18">
        <f>IF(OR(P90="",Q90=""),"",COUNTIFS('Meal Plan'!$B$5:$B$504,"&gt;="&amp;P90,'Meal Plan'!$B$5:$B$504,"&lt;="&amp;Q90,'Meal Plan'!$G$5:$G$504,E90))</f>
        <v>0</v>
      </c>
      <c r="T90" s="25">
        <f>IF(OR(G90="",E90=""),"",IFERROR(INDEX(Recipes!$AC$5:$AC$204,MATCH(E90,Recipes!$A$5:$A$204,0))*G90,""))</f>
        <v>0</v>
      </c>
      <c r="U90" s="25">
        <f>IF(OR(T90="",I90="",I90=0),"",T90/I90)</f>
        <v>0</v>
      </c>
      <c r="V90" s="18">
        <f>IF(OR(B90="",W90="Done",NOT(ISNUMBER(C90))),"",COUNTIFS($W$5:$W$124,"&lt;&gt;Done",$C$5:$C$124,"&lt;"&amp;C90)+COUNTIFS($W$5:W90,"&lt;&gt;Done",$C$5:C90,C90))</f>
        <v>0</v>
      </c>
      <c r="X90" s="31">
        <f>IF(B90="","",IF(W90="Done","OK",IF(AND(C90&lt;&gt;"",C90&lt;TODAY()),"Overdue - still not made",IF(C90=TODAY(),"Today - prep day",IF(AND(C90&lt;&gt;"",C90-TODAY()&lt;=PrepLeadDays),"Due - coming up","OK")))))</f>
        <v>0</v>
      </c>
    </row>
    <row r="91" spans="1:24">
      <c r="A91" s="39">
        <f>IF(B91="","","PR-"&amp;TEXT(ROW()-4,"000"))</f>
        <v>0</v>
      </c>
      <c r="D91" s="17">
        <f>IF(C91="","",TEXT(C91,"ddd"))</f>
        <v>0</v>
      </c>
      <c r="F91" s="17">
        <f>IF(E91="","",IFERROR(INDEX(Recipes!$B$5:$B$204,MATCH(E91,Recipes!$A$5:$A$204,0)),"Not found"))</f>
        <v>0</v>
      </c>
      <c r="H91" s="18">
        <f>IF(E91="","",IFERROR(INDEX(Recipes!$G$5:$G$204,MATCH(E91,Recipes!$A$5:$A$204,0)),"Not found"))</f>
        <v>0</v>
      </c>
      <c r="I91" s="45">
        <f>IF(OR(G91="",H91="",NOT(ISNUMBER(H91))),"",G91*H91)</f>
        <v>0</v>
      </c>
      <c r="J91" s="18">
        <f>IF(E91="","",IFERROR(INDEX(Recipes!$J$5:$J$204,MATCH(E91,Recipes!$A$5:$A$204,0)),"Not found"))</f>
        <v>0</v>
      </c>
      <c r="L91" s="18">
        <f>IF(B91="","",IF(K91&lt;&gt;"",K91,IF(ISNUMBER(J91),J91,0)))</f>
        <v>0</v>
      </c>
      <c r="M91" s="45">
        <f>IF(OR(I91="",I91=0,L91=0),"",L91/I91)</f>
        <v>0</v>
      </c>
      <c r="R91" s="18">
        <f>IF(OR(P91="",Q91=""),"",COUNTIFS('Meal Plan'!$B$5:$B$504,"&gt;="&amp;P91,'Meal Plan'!$B$5:$B$504,"&lt;="&amp;Q91,'Meal Plan'!$G$5:$G$504,E91))</f>
        <v>0</v>
      </c>
      <c r="T91" s="25">
        <f>IF(OR(G91="",E91=""),"",IFERROR(INDEX(Recipes!$AC$5:$AC$204,MATCH(E91,Recipes!$A$5:$A$204,0))*G91,""))</f>
        <v>0</v>
      </c>
      <c r="U91" s="25">
        <f>IF(OR(T91="",I91="",I91=0),"",T91/I91)</f>
        <v>0</v>
      </c>
      <c r="V91" s="18">
        <f>IF(OR(B91="",W91="Done",NOT(ISNUMBER(C91))),"",COUNTIFS($W$5:$W$124,"&lt;&gt;Done",$C$5:$C$124,"&lt;"&amp;C91)+COUNTIFS($W$5:W91,"&lt;&gt;Done",$C$5:C91,C91))</f>
        <v>0</v>
      </c>
      <c r="X91" s="31">
        <f>IF(B91="","",IF(W91="Done","OK",IF(AND(C91&lt;&gt;"",C91&lt;TODAY()),"Overdue - still not made",IF(C91=TODAY(),"Today - prep day",IF(AND(C91&lt;&gt;"",C91-TODAY()&lt;=PrepLeadDays),"Due - coming up","OK")))))</f>
        <v>0</v>
      </c>
    </row>
    <row r="92" spans="1:24">
      <c r="A92" s="39">
        <f>IF(B92="","","PR-"&amp;TEXT(ROW()-4,"000"))</f>
        <v>0</v>
      </c>
      <c r="D92" s="17">
        <f>IF(C92="","",TEXT(C92,"ddd"))</f>
        <v>0</v>
      </c>
      <c r="F92" s="17">
        <f>IF(E92="","",IFERROR(INDEX(Recipes!$B$5:$B$204,MATCH(E92,Recipes!$A$5:$A$204,0)),"Not found"))</f>
        <v>0</v>
      </c>
      <c r="H92" s="18">
        <f>IF(E92="","",IFERROR(INDEX(Recipes!$G$5:$G$204,MATCH(E92,Recipes!$A$5:$A$204,0)),"Not found"))</f>
        <v>0</v>
      </c>
      <c r="I92" s="45">
        <f>IF(OR(G92="",H92="",NOT(ISNUMBER(H92))),"",G92*H92)</f>
        <v>0</v>
      </c>
      <c r="J92" s="18">
        <f>IF(E92="","",IFERROR(INDEX(Recipes!$J$5:$J$204,MATCH(E92,Recipes!$A$5:$A$204,0)),"Not found"))</f>
        <v>0</v>
      </c>
      <c r="L92" s="18">
        <f>IF(B92="","",IF(K92&lt;&gt;"",K92,IF(ISNUMBER(J92),J92,0)))</f>
        <v>0</v>
      </c>
      <c r="M92" s="45">
        <f>IF(OR(I92="",I92=0,L92=0),"",L92/I92)</f>
        <v>0</v>
      </c>
      <c r="R92" s="18">
        <f>IF(OR(P92="",Q92=""),"",COUNTIFS('Meal Plan'!$B$5:$B$504,"&gt;="&amp;P92,'Meal Plan'!$B$5:$B$504,"&lt;="&amp;Q92,'Meal Plan'!$G$5:$G$504,E92))</f>
        <v>0</v>
      </c>
      <c r="T92" s="25">
        <f>IF(OR(G92="",E92=""),"",IFERROR(INDEX(Recipes!$AC$5:$AC$204,MATCH(E92,Recipes!$A$5:$A$204,0))*G92,""))</f>
        <v>0</v>
      </c>
      <c r="U92" s="25">
        <f>IF(OR(T92="",I92="",I92=0),"",T92/I92)</f>
        <v>0</v>
      </c>
      <c r="V92" s="18">
        <f>IF(OR(B92="",W92="Done",NOT(ISNUMBER(C92))),"",COUNTIFS($W$5:$W$124,"&lt;&gt;Done",$C$5:$C$124,"&lt;"&amp;C92)+COUNTIFS($W$5:W92,"&lt;&gt;Done",$C$5:C92,C92))</f>
        <v>0</v>
      </c>
      <c r="X92" s="31">
        <f>IF(B92="","",IF(W92="Done","OK",IF(AND(C92&lt;&gt;"",C92&lt;TODAY()),"Overdue - still not made",IF(C92=TODAY(),"Today - prep day",IF(AND(C92&lt;&gt;"",C92-TODAY()&lt;=PrepLeadDays),"Due - coming up","OK")))))</f>
        <v>0</v>
      </c>
    </row>
    <row r="93" spans="1:24">
      <c r="A93" s="39">
        <f>IF(B93="","","PR-"&amp;TEXT(ROW()-4,"000"))</f>
        <v>0</v>
      </c>
      <c r="D93" s="17">
        <f>IF(C93="","",TEXT(C93,"ddd"))</f>
        <v>0</v>
      </c>
      <c r="F93" s="17">
        <f>IF(E93="","",IFERROR(INDEX(Recipes!$B$5:$B$204,MATCH(E93,Recipes!$A$5:$A$204,0)),"Not found"))</f>
        <v>0</v>
      </c>
      <c r="H93" s="18">
        <f>IF(E93="","",IFERROR(INDEX(Recipes!$G$5:$G$204,MATCH(E93,Recipes!$A$5:$A$204,0)),"Not found"))</f>
        <v>0</v>
      </c>
      <c r="I93" s="45">
        <f>IF(OR(G93="",H93="",NOT(ISNUMBER(H93))),"",G93*H93)</f>
        <v>0</v>
      </c>
      <c r="J93" s="18">
        <f>IF(E93="","",IFERROR(INDEX(Recipes!$J$5:$J$204,MATCH(E93,Recipes!$A$5:$A$204,0)),"Not found"))</f>
        <v>0</v>
      </c>
      <c r="L93" s="18">
        <f>IF(B93="","",IF(K93&lt;&gt;"",K93,IF(ISNUMBER(J93),J93,0)))</f>
        <v>0</v>
      </c>
      <c r="M93" s="45">
        <f>IF(OR(I93="",I93=0,L93=0),"",L93/I93)</f>
        <v>0</v>
      </c>
      <c r="R93" s="18">
        <f>IF(OR(P93="",Q93=""),"",COUNTIFS('Meal Plan'!$B$5:$B$504,"&gt;="&amp;P93,'Meal Plan'!$B$5:$B$504,"&lt;="&amp;Q93,'Meal Plan'!$G$5:$G$504,E93))</f>
        <v>0</v>
      </c>
      <c r="T93" s="25">
        <f>IF(OR(G93="",E93=""),"",IFERROR(INDEX(Recipes!$AC$5:$AC$204,MATCH(E93,Recipes!$A$5:$A$204,0))*G93,""))</f>
        <v>0</v>
      </c>
      <c r="U93" s="25">
        <f>IF(OR(T93="",I93="",I93=0),"",T93/I93)</f>
        <v>0</v>
      </c>
      <c r="V93" s="18">
        <f>IF(OR(B93="",W93="Done",NOT(ISNUMBER(C93))),"",COUNTIFS($W$5:$W$124,"&lt;&gt;Done",$C$5:$C$124,"&lt;"&amp;C93)+COUNTIFS($W$5:W93,"&lt;&gt;Done",$C$5:C93,C93))</f>
        <v>0</v>
      </c>
      <c r="X93" s="31">
        <f>IF(B93="","",IF(W93="Done","OK",IF(AND(C93&lt;&gt;"",C93&lt;TODAY()),"Overdue - still not made",IF(C93=TODAY(),"Today - prep day",IF(AND(C93&lt;&gt;"",C93-TODAY()&lt;=PrepLeadDays),"Due - coming up","OK")))))</f>
        <v>0</v>
      </c>
    </row>
    <row r="94" spans="1:24">
      <c r="A94" s="39">
        <f>IF(B94="","","PR-"&amp;TEXT(ROW()-4,"000"))</f>
        <v>0</v>
      </c>
      <c r="D94" s="17">
        <f>IF(C94="","",TEXT(C94,"ddd"))</f>
        <v>0</v>
      </c>
      <c r="F94" s="17">
        <f>IF(E94="","",IFERROR(INDEX(Recipes!$B$5:$B$204,MATCH(E94,Recipes!$A$5:$A$204,0)),"Not found"))</f>
        <v>0</v>
      </c>
      <c r="H94" s="18">
        <f>IF(E94="","",IFERROR(INDEX(Recipes!$G$5:$G$204,MATCH(E94,Recipes!$A$5:$A$204,0)),"Not found"))</f>
        <v>0</v>
      </c>
      <c r="I94" s="45">
        <f>IF(OR(G94="",H94="",NOT(ISNUMBER(H94))),"",G94*H94)</f>
        <v>0</v>
      </c>
      <c r="J94" s="18">
        <f>IF(E94="","",IFERROR(INDEX(Recipes!$J$5:$J$204,MATCH(E94,Recipes!$A$5:$A$204,0)),"Not found"))</f>
        <v>0</v>
      </c>
      <c r="L94" s="18">
        <f>IF(B94="","",IF(K94&lt;&gt;"",K94,IF(ISNUMBER(J94),J94,0)))</f>
        <v>0</v>
      </c>
      <c r="M94" s="45">
        <f>IF(OR(I94="",I94=0,L94=0),"",L94/I94)</f>
        <v>0</v>
      </c>
      <c r="R94" s="18">
        <f>IF(OR(P94="",Q94=""),"",COUNTIFS('Meal Plan'!$B$5:$B$504,"&gt;="&amp;P94,'Meal Plan'!$B$5:$B$504,"&lt;="&amp;Q94,'Meal Plan'!$G$5:$G$504,E94))</f>
        <v>0</v>
      </c>
      <c r="T94" s="25">
        <f>IF(OR(G94="",E94=""),"",IFERROR(INDEX(Recipes!$AC$5:$AC$204,MATCH(E94,Recipes!$A$5:$A$204,0))*G94,""))</f>
        <v>0</v>
      </c>
      <c r="U94" s="25">
        <f>IF(OR(T94="",I94="",I94=0),"",T94/I94)</f>
        <v>0</v>
      </c>
      <c r="V94" s="18">
        <f>IF(OR(B94="",W94="Done",NOT(ISNUMBER(C94))),"",COUNTIFS($W$5:$W$124,"&lt;&gt;Done",$C$5:$C$124,"&lt;"&amp;C94)+COUNTIFS($W$5:W94,"&lt;&gt;Done",$C$5:C94,C94))</f>
        <v>0</v>
      </c>
      <c r="X94" s="31">
        <f>IF(B94="","",IF(W94="Done","OK",IF(AND(C94&lt;&gt;"",C94&lt;TODAY()),"Overdue - still not made",IF(C94=TODAY(),"Today - prep day",IF(AND(C94&lt;&gt;"",C94-TODAY()&lt;=PrepLeadDays),"Due - coming up","OK")))))</f>
        <v>0</v>
      </c>
    </row>
    <row r="95" spans="1:24">
      <c r="A95" s="39">
        <f>IF(B95="","","PR-"&amp;TEXT(ROW()-4,"000"))</f>
        <v>0</v>
      </c>
      <c r="D95" s="17">
        <f>IF(C95="","",TEXT(C95,"ddd"))</f>
        <v>0</v>
      </c>
      <c r="F95" s="17">
        <f>IF(E95="","",IFERROR(INDEX(Recipes!$B$5:$B$204,MATCH(E95,Recipes!$A$5:$A$204,0)),"Not found"))</f>
        <v>0</v>
      </c>
      <c r="H95" s="18">
        <f>IF(E95="","",IFERROR(INDEX(Recipes!$G$5:$G$204,MATCH(E95,Recipes!$A$5:$A$204,0)),"Not found"))</f>
        <v>0</v>
      </c>
      <c r="I95" s="45">
        <f>IF(OR(G95="",H95="",NOT(ISNUMBER(H95))),"",G95*H95)</f>
        <v>0</v>
      </c>
      <c r="J95" s="18">
        <f>IF(E95="","",IFERROR(INDEX(Recipes!$J$5:$J$204,MATCH(E95,Recipes!$A$5:$A$204,0)),"Not found"))</f>
        <v>0</v>
      </c>
      <c r="L95" s="18">
        <f>IF(B95="","",IF(K95&lt;&gt;"",K95,IF(ISNUMBER(J95),J95,0)))</f>
        <v>0</v>
      </c>
      <c r="M95" s="45">
        <f>IF(OR(I95="",I95=0,L95=0),"",L95/I95)</f>
        <v>0</v>
      </c>
      <c r="R95" s="18">
        <f>IF(OR(P95="",Q95=""),"",COUNTIFS('Meal Plan'!$B$5:$B$504,"&gt;="&amp;P95,'Meal Plan'!$B$5:$B$504,"&lt;="&amp;Q95,'Meal Plan'!$G$5:$G$504,E95))</f>
        <v>0</v>
      </c>
      <c r="T95" s="25">
        <f>IF(OR(G95="",E95=""),"",IFERROR(INDEX(Recipes!$AC$5:$AC$204,MATCH(E95,Recipes!$A$5:$A$204,0))*G95,""))</f>
        <v>0</v>
      </c>
      <c r="U95" s="25">
        <f>IF(OR(T95="",I95="",I95=0),"",T95/I95)</f>
        <v>0</v>
      </c>
      <c r="V95" s="18">
        <f>IF(OR(B95="",W95="Done",NOT(ISNUMBER(C95))),"",COUNTIFS($W$5:$W$124,"&lt;&gt;Done",$C$5:$C$124,"&lt;"&amp;C95)+COUNTIFS($W$5:W95,"&lt;&gt;Done",$C$5:C95,C95))</f>
        <v>0</v>
      </c>
      <c r="X95" s="31">
        <f>IF(B95="","",IF(W95="Done","OK",IF(AND(C95&lt;&gt;"",C95&lt;TODAY()),"Overdue - still not made",IF(C95=TODAY(),"Today - prep day",IF(AND(C95&lt;&gt;"",C95-TODAY()&lt;=PrepLeadDays),"Due - coming up","OK")))))</f>
        <v>0</v>
      </c>
    </row>
    <row r="96" spans="1:24">
      <c r="A96" s="39">
        <f>IF(B96="","","PR-"&amp;TEXT(ROW()-4,"000"))</f>
        <v>0</v>
      </c>
      <c r="D96" s="17">
        <f>IF(C96="","",TEXT(C96,"ddd"))</f>
        <v>0</v>
      </c>
      <c r="F96" s="17">
        <f>IF(E96="","",IFERROR(INDEX(Recipes!$B$5:$B$204,MATCH(E96,Recipes!$A$5:$A$204,0)),"Not found"))</f>
        <v>0</v>
      </c>
      <c r="H96" s="18">
        <f>IF(E96="","",IFERROR(INDEX(Recipes!$G$5:$G$204,MATCH(E96,Recipes!$A$5:$A$204,0)),"Not found"))</f>
        <v>0</v>
      </c>
      <c r="I96" s="45">
        <f>IF(OR(G96="",H96="",NOT(ISNUMBER(H96))),"",G96*H96)</f>
        <v>0</v>
      </c>
      <c r="J96" s="18">
        <f>IF(E96="","",IFERROR(INDEX(Recipes!$J$5:$J$204,MATCH(E96,Recipes!$A$5:$A$204,0)),"Not found"))</f>
        <v>0</v>
      </c>
      <c r="L96" s="18">
        <f>IF(B96="","",IF(K96&lt;&gt;"",K96,IF(ISNUMBER(J96),J96,0)))</f>
        <v>0</v>
      </c>
      <c r="M96" s="45">
        <f>IF(OR(I96="",I96=0,L96=0),"",L96/I96)</f>
        <v>0</v>
      </c>
      <c r="R96" s="18">
        <f>IF(OR(P96="",Q96=""),"",COUNTIFS('Meal Plan'!$B$5:$B$504,"&gt;="&amp;P96,'Meal Plan'!$B$5:$B$504,"&lt;="&amp;Q96,'Meal Plan'!$G$5:$G$504,E96))</f>
        <v>0</v>
      </c>
      <c r="T96" s="25">
        <f>IF(OR(G96="",E96=""),"",IFERROR(INDEX(Recipes!$AC$5:$AC$204,MATCH(E96,Recipes!$A$5:$A$204,0))*G96,""))</f>
        <v>0</v>
      </c>
      <c r="U96" s="25">
        <f>IF(OR(T96="",I96="",I96=0),"",T96/I96)</f>
        <v>0</v>
      </c>
      <c r="V96" s="18">
        <f>IF(OR(B96="",W96="Done",NOT(ISNUMBER(C96))),"",COUNTIFS($W$5:$W$124,"&lt;&gt;Done",$C$5:$C$124,"&lt;"&amp;C96)+COUNTIFS($W$5:W96,"&lt;&gt;Done",$C$5:C96,C96))</f>
        <v>0</v>
      </c>
      <c r="X96" s="31">
        <f>IF(B96="","",IF(W96="Done","OK",IF(AND(C96&lt;&gt;"",C96&lt;TODAY()),"Overdue - still not made",IF(C96=TODAY(),"Today - prep day",IF(AND(C96&lt;&gt;"",C96-TODAY()&lt;=PrepLeadDays),"Due - coming up","OK")))))</f>
        <v>0</v>
      </c>
    </row>
    <row r="97" spans="1:24">
      <c r="A97" s="39">
        <f>IF(B97="","","PR-"&amp;TEXT(ROW()-4,"000"))</f>
        <v>0</v>
      </c>
      <c r="D97" s="17">
        <f>IF(C97="","",TEXT(C97,"ddd"))</f>
        <v>0</v>
      </c>
      <c r="F97" s="17">
        <f>IF(E97="","",IFERROR(INDEX(Recipes!$B$5:$B$204,MATCH(E97,Recipes!$A$5:$A$204,0)),"Not found"))</f>
        <v>0</v>
      </c>
      <c r="H97" s="18">
        <f>IF(E97="","",IFERROR(INDEX(Recipes!$G$5:$G$204,MATCH(E97,Recipes!$A$5:$A$204,0)),"Not found"))</f>
        <v>0</v>
      </c>
      <c r="I97" s="45">
        <f>IF(OR(G97="",H97="",NOT(ISNUMBER(H97))),"",G97*H97)</f>
        <v>0</v>
      </c>
      <c r="J97" s="18">
        <f>IF(E97="","",IFERROR(INDEX(Recipes!$J$5:$J$204,MATCH(E97,Recipes!$A$5:$A$204,0)),"Not found"))</f>
        <v>0</v>
      </c>
      <c r="L97" s="18">
        <f>IF(B97="","",IF(K97&lt;&gt;"",K97,IF(ISNUMBER(J97),J97,0)))</f>
        <v>0</v>
      </c>
      <c r="M97" s="45">
        <f>IF(OR(I97="",I97=0,L97=0),"",L97/I97)</f>
        <v>0</v>
      </c>
      <c r="R97" s="18">
        <f>IF(OR(P97="",Q97=""),"",COUNTIFS('Meal Plan'!$B$5:$B$504,"&gt;="&amp;P97,'Meal Plan'!$B$5:$B$504,"&lt;="&amp;Q97,'Meal Plan'!$G$5:$G$504,E97))</f>
        <v>0</v>
      </c>
      <c r="T97" s="25">
        <f>IF(OR(G97="",E97=""),"",IFERROR(INDEX(Recipes!$AC$5:$AC$204,MATCH(E97,Recipes!$A$5:$A$204,0))*G97,""))</f>
        <v>0</v>
      </c>
      <c r="U97" s="25">
        <f>IF(OR(T97="",I97="",I97=0),"",T97/I97)</f>
        <v>0</v>
      </c>
      <c r="V97" s="18">
        <f>IF(OR(B97="",W97="Done",NOT(ISNUMBER(C97))),"",COUNTIFS($W$5:$W$124,"&lt;&gt;Done",$C$5:$C$124,"&lt;"&amp;C97)+COUNTIFS($W$5:W97,"&lt;&gt;Done",$C$5:C97,C97))</f>
        <v>0</v>
      </c>
      <c r="X97" s="31">
        <f>IF(B97="","",IF(W97="Done","OK",IF(AND(C97&lt;&gt;"",C97&lt;TODAY()),"Overdue - still not made",IF(C97=TODAY(),"Today - prep day",IF(AND(C97&lt;&gt;"",C97-TODAY()&lt;=PrepLeadDays),"Due - coming up","OK")))))</f>
        <v>0</v>
      </c>
    </row>
    <row r="98" spans="1:24">
      <c r="A98" s="39">
        <f>IF(B98="","","PR-"&amp;TEXT(ROW()-4,"000"))</f>
        <v>0</v>
      </c>
      <c r="D98" s="17">
        <f>IF(C98="","",TEXT(C98,"ddd"))</f>
        <v>0</v>
      </c>
      <c r="F98" s="17">
        <f>IF(E98="","",IFERROR(INDEX(Recipes!$B$5:$B$204,MATCH(E98,Recipes!$A$5:$A$204,0)),"Not found"))</f>
        <v>0</v>
      </c>
      <c r="H98" s="18">
        <f>IF(E98="","",IFERROR(INDEX(Recipes!$G$5:$G$204,MATCH(E98,Recipes!$A$5:$A$204,0)),"Not found"))</f>
        <v>0</v>
      </c>
      <c r="I98" s="45">
        <f>IF(OR(G98="",H98="",NOT(ISNUMBER(H98))),"",G98*H98)</f>
        <v>0</v>
      </c>
      <c r="J98" s="18">
        <f>IF(E98="","",IFERROR(INDEX(Recipes!$J$5:$J$204,MATCH(E98,Recipes!$A$5:$A$204,0)),"Not found"))</f>
        <v>0</v>
      </c>
      <c r="L98" s="18">
        <f>IF(B98="","",IF(K98&lt;&gt;"",K98,IF(ISNUMBER(J98),J98,0)))</f>
        <v>0</v>
      </c>
      <c r="M98" s="45">
        <f>IF(OR(I98="",I98=0,L98=0),"",L98/I98)</f>
        <v>0</v>
      </c>
      <c r="R98" s="18">
        <f>IF(OR(P98="",Q98=""),"",COUNTIFS('Meal Plan'!$B$5:$B$504,"&gt;="&amp;P98,'Meal Plan'!$B$5:$B$504,"&lt;="&amp;Q98,'Meal Plan'!$G$5:$G$504,E98))</f>
        <v>0</v>
      </c>
      <c r="T98" s="25">
        <f>IF(OR(G98="",E98=""),"",IFERROR(INDEX(Recipes!$AC$5:$AC$204,MATCH(E98,Recipes!$A$5:$A$204,0))*G98,""))</f>
        <v>0</v>
      </c>
      <c r="U98" s="25">
        <f>IF(OR(T98="",I98="",I98=0),"",T98/I98)</f>
        <v>0</v>
      </c>
      <c r="V98" s="18">
        <f>IF(OR(B98="",W98="Done",NOT(ISNUMBER(C98))),"",COUNTIFS($W$5:$W$124,"&lt;&gt;Done",$C$5:$C$124,"&lt;"&amp;C98)+COUNTIFS($W$5:W98,"&lt;&gt;Done",$C$5:C98,C98))</f>
        <v>0</v>
      </c>
      <c r="X98" s="31">
        <f>IF(B98="","",IF(W98="Done","OK",IF(AND(C98&lt;&gt;"",C98&lt;TODAY()),"Overdue - still not made",IF(C98=TODAY(),"Today - prep day",IF(AND(C98&lt;&gt;"",C98-TODAY()&lt;=PrepLeadDays),"Due - coming up","OK")))))</f>
        <v>0</v>
      </c>
    </row>
    <row r="99" spans="1:24">
      <c r="A99" s="39">
        <f>IF(B99="","","PR-"&amp;TEXT(ROW()-4,"000"))</f>
        <v>0</v>
      </c>
      <c r="D99" s="17">
        <f>IF(C99="","",TEXT(C99,"ddd"))</f>
        <v>0</v>
      </c>
      <c r="F99" s="17">
        <f>IF(E99="","",IFERROR(INDEX(Recipes!$B$5:$B$204,MATCH(E99,Recipes!$A$5:$A$204,0)),"Not found"))</f>
        <v>0</v>
      </c>
      <c r="H99" s="18">
        <f>IF(E99="","",IFERROR(INDEX(Recipes!$G$5:$G$204,MATCH(E99,Recipes!$A$5:$A$204,0)),"Not found"))</f>
        <v>0</v>
      </c>
      <c r="I99" s="45">
        <f>IF(OR(G99="",H99="",NOT(ISNUMBER(H99))),"",G99*H99)</f>
        <v>0</v>
      </c>
      <c r="J99" s="18">
        <f>IF(E99="","",IFERROR(INDEX(Recipes!$J$5:$J$204,MATCH(E99,Recipes!$A$5:$A$204,0)),"Not found"))</f>
        <v>0</v>
      </c>
      <c r="L99" s="18">
        <f>IF(B99="","",IF(K99&lt;&gt;"",K99,IF(ISNUMBER(J99),J99,0)))</f>
        <v>0</v>
      </c>
      <c r="M99" s="45">
        <f>IF(OR(I99="",I99=0,L99=0),"",L99/I99)</f>
        <v>0</v>
      </c>
      <c r="R99" s="18">
        <f>IF(OR(P99="",Q99=""),"",COUNTIFS('Meal Plan'!$B$5:$B$504,"&gt;="&amp;P99,'Meal Plan'!$B$5:$B$504,"&lt;="&amp;Q99,'Meal Plan'!$G$5:$G$504,E99))</f>
        <v>0</v>
      </c>
      <c r="T99" s="25">
        <f>IF(OR(G99="",E99=""),"",IFERROR(INDEX(Recipes!$AC$5:$AC$204,MATCH(E99,Recipes!$A$5:$A$204,0))*G99,""))</f>
        <v>0</v>
      </c>
      <c r="U99" s="25">
        <f>IF(OR(T99="",I99="",I99=0),"",T99/I99)</f>
        <v>0</v>
      </c>
      <c r="V99" s="18">
        <f>IF(OR(B99="",W99="Done",NOT(ISNUMBER(C99))),"",COUNTIFS($W$5:$W$124,"&lt;&gt;Done",$C$5:$C$124,"&lt;"&amp;C99)+COUNTIFS($W$5:W99,"&lt;&gt;Done",$C$5:C99,C99))</f>
        <v>0</v>
      </c>
      <c r="X99" s="31">
        <f>IF(B99="","",IF(W99="Done","OK",IF(AND(C99&lt;&gt;"",C99&lt;TODAY()),"Overdue - still not made",IF(C99=TODAY(),"Today - prep day",IF(AND(C99&lt;&gt;"",C99-TODAY()&lt;=PrepLeadDays),"Due - coming up","OK")))))</f>
        <v>0</v>
      </c>
    </row>
    <row r="100" spans="1:24">
      <c r="A100" s="39">
        <f>IF(B100="","","PR-"&amp;TEXT(ROW()-4,"000"))</f>
        <v>0</v>
      </c>
      <c r="D100" s="17">
        <f>IF(C100="","",TEXT(C100,"ddd"))</f>
        <v>0</v>
      </c>
      <c r="F100" s="17">
        <f>IF(E100="","",IFERROR(INDEX(Recipes!$B$5:$B$204,MATCH(E100,Recipes!$A$5:$A$204,0)),"Not found"))</f>
        <v>0</v>
      </c>
      <c r="H100" s="18">
        <f>IF(E100="","",IFERROR(INDEX(Recipes!$G$5:$G$204,MATCH(E100,Recipes!$A$5:$A$204,0)),"Not found"))</f>
        <v>0</v>
      </c>
      <c r="I100" s="45">
        <f>IF(OR(G100="",H100="",NOT(ISNUMBER(H100))),"",G100*H100)</f>
        <v>0</v>
      </c>
      <c r="J100" s="18">
        <f>IF(E100="","",IFERROR(INDEX(Recipes!$J$5:$J$204,MATCH(E100,Recipes!$A$5:$A$204,0)),"Not found"))</f>
        <v>0</v>
      </c>
      <c r="L100" s="18">
        <f>IF(B100="","",IF(K100&lt;&gt;"",K100,IF(ISNUMBER(J100),J100,0)))</f>
        <v>0</v>
      </c>
      <c r="M100" s="45">
        <f>IF(OR(I100="",I100=0,L100=0),"",L100/I100)</f>
        <v>0</v>
      </c>
      <c r="R100" s="18">
        <f>IF(OR(P100="",Q100=""),"",COUNTIFS('Meal Plan'!$B$5:$B$504,"&gt;="&amp;P100,'Meal Plan'!$B$5:$B$504,"&lt;="&amp;Q100,'Meal Plan'!$G$5:$G$504,E100))</f>
        <v>0</v>
      </c>
      <c r="T100" s="25">
        <f>IF(OR(G100="",E100=""),"",IFERROR(INDEX(Recipes!$AC$5:$AC$204,MATCH(E100,Recipes!$A$5:$A$204,0))*G100,""))</f>
        <v>0</v>
      </c>
      <c r="U100" s="25">
        <f>IF(OR(T100="",I100="",I100=0),"",T100/I100)</f>
        <v>0</v>
      </c>
      <c r="V100" s="18">
        <f>IF(OR(B100="",W100="Done",NOT(ISNUMBER(C100))),"",COUNTIFS($W$5:$W$124,"&lt;&gt;Done",$C$5:$C$124,"&lt;"&amp;C100)+COUNTIFS($W$5:W100,"&lt;&gt;Done",$C$5:C100,C100))</f>
        <v>0</v>
      </c>
      <c r="X100" s="31">
        <f>IF(B100="","",IF(W100="Done","OK",IF(AND(C100&lt;&gt;"",C100&lt;TODAY()),"Overdue - still not made",IF(C100=TODAY(),"Today - prep day",IF(AND(C100&lt;&gt;"",C100-TODAY()&lt;=PrepLeadDays),"Due - coming up","OK")))))</f>
        <v>0</v>
      </c>
    </row>
    <row r="101" spans="1:24">
      <c r="A101" s="39">
        <f>IF(B101="","","PR-"&amp;TEXT(ROW()-4,"000"))</f>
        <v>0</v>
      </c>
      <c r="D101" s="17">
        <f>IF(C101="","",TEXT(C101,"ddd"))</f>
        <v>0</v>
      </c>
      <c r="F101" s="17">
        <f>IF(E101="","",IFERROR(INDEX(Recipes!$B$5:$B$204,MATCH(E101,Recipes!$A$5:$A$204,0)),"Not found"))</f>
        <v>0</v>
      </c>
      <c r="H101" s="18">
        <f>IF(E101="","",IFERROR(INDEX(Recipes!$G$5:$G$204,MATCH(E101,Recipes!$A$5:$A$204,0)),"Not found"))</f>
        <v>0</v>
      </c>
      <c r="I101" s="45">
        <f>IF(OR(G101="",H101="",NOT(ISNUMBER(H101))),"",G101*H101)</f>
        <v>0</v>
      </c>
      <c r="J101" s="18">
        <f>IF(E101="","",IFERROR(INDEX(Recipes!$J$5:$J$204,MATCH(E101,Recipes!$A$5:$A$204,0)),"Not found"))</f>
        <v>0</v>
      </c>
      <c r="L101" s="18">
        <f>IF(B101="","",IF(K101&lt;&gt;"",K101,IF(ISNUMBER(J101),J101,0)))</f>
        <v>0</v>
      </c>
      <c r="M101" s="45">
        <f>IF(OR(I101="",I101=0,L101=0),"",L101/I101)</f>
        <v>0</v>
      </c>
      <c r="R101" s="18">
        <f>IF(OR(P101="",Q101=""),"",COUNTIFS('Meal Plan'!$B$5:$B$504,"&gt;="&amp;P101,'Meal Plan'!$B$5:$B$504,"&lt;="&amp;Q101,'Meal Plan'!$G$5:$G$504,E101))</f>
        <v>0</v>
      </c>
      <c r="T101" s="25">
        <f>IF(OR(G101="",E101=""),"",IFERROR(INDEX(Recipes!$AC$5:$AC$204,MATCH(E101,Recipes!$A$5:$A$204,0))*G101,""))</f>
        <v>0</v>
      </c>
      <c r="U101" s="25">
        <f>IF(OR(T101="",I101="",I101=0),"",T101/I101)</f>
        <v>0</v>
      </c>
      <c r="V101" s="18">
        <f>IF(OR(B101="",W101="Done",NOT(ISNUMBER(C101))),"",COUNTIFS($W$5:$W$124,"&lt;&gt;Done",$C$5:$C$124,"&lt;"&amp;C101)+COUNTIFS($W$5:W101,"&lt;&gt;Done",$C$5:C101,C101))</f>
        <v>0</v>
      </c>
      <c r="X101" s="31">
        <f>IF(B101="","",IF(W101="Done","OK",IF(AND(C101&lt;&gt;"",C101&lt;TODAY()),"Overdue - still not made",IF(C101=TODAY(),"Today - prep day",IF(AND(C101&lt;&gt;"",C101-TODAY()&lt;=PrepLeadDays),"Due - coming up","OK")))))</f>
        <v>0</v>
      </c>
    </row>
    <row r="102" spans="1:24">
      <c r="A102" s="39">
        <f>IF(B102="","","PR-"&amp;TEXT(ROW()-4,"000"))</f>
        <v>0</v>
      </c>
      <c r="D102" s="17">
        <f>IF(C102="","",TEXT(C102,"ddd"))</f>
        <v>0</v>
      </c>
      <c r="F102" s="17">
        <f>IF(E102="","",IFERROR(INDEX(Recipes!$B$5:$B$204,MATCH(E102,Recipes!$A$5:$A$204,0)),"Not found"))</f>
        <v>0</v>
      </c>
      <c r="H102" s="18">
        <f>IF(E102="","",IFERROR(INDEX(Recipes!$G$5:$G$204,MATCH(E102,Recipes!$A$5:$A$204,0)),"Not found"))</f>
        <v>0</v>
      </c>
      <c r="I102" s="45">
        <f>IF(OR(G102="",H102="",NOT(ISNUMBER(H102))),"",G102*H102)</f>
        <v>0</v>
      </c>
      <c r="J102" s="18">
        <f>IF(E102="","",IFERROR(INDEX(Recipes!$J$5:$J$204,MATCH(E102,Recipes!$A$5:$A$204,0)),"Not found"))</f>
        <v>0</v>
      </c>
      <c r="L102" s="18">
        <f>IF(B102="","",IF(K102&lt;&gt;"",K102,IF(ISNUMBER(J102),J102,0)))</f>
        <v>0</v>
      </c>
      <c r="M102" s="45">
        <f>IF(OR(I102="",I102=0,L102=0),"",L102/I102)</f>
        <v>0</v>
      </c>
      <c r="R102" s="18">
        <f>IF(OR(P102="",Q102=""),"",COUNTIFS('Meal Plan'!$B$5:$B$504,"&gt;="&amp;P102,'Meal Plan'!$B$5:$B$504,"&lt;="&amp;Q102,'Meal Plan'!$G$5:$G$504,E102))</f>
        <v>0</v>
      </c>
      <c r="T102" s="25">
        <f>IF(OR(G102="",E102=""),"",IFERROR(INDEX(Recipes!$AC$5:$AC$204,MATCH(E102,Recipes!$A$5:$A$204,0))*G102,""))</f>
        <v>0</v>
      </c>
      <c r="U102" s="25">
        <f>IF(OR(T102="",I102="",I102=0),"",T102/I102)</f>
        <v>0</v>
      </c>
      <c r="V102" s="18">
        <f>IF(OR(B102="",W102="Done",NOT(ISNUMBER(C102))),"",COUNTIFS($W$5:$W$124,"&lt;&gt;Done",$C$5:$C$124,"&lt;"&amp;C102)+COUNTIFS($W$5:W102,"&lt;&gt;Done",$C$5:C102,C102))</f>
        <v>0</v>
      </c>
      <c r="X102" s="31">
        <f>IF(B102="","",IF(W102="Done","OK",IF(AND(C102&lt;&gt;"",C102&lt;TODAY()),"Overdue - still not made",IF(C102=TODAY(),"Today - prep day",IF(AND(C102&lt;&gt;"",C102-TODAY()&lt;=PrepLeadDays),"Due - coming up","OK")))))</f>
        <v>0</v>
      </c>
    </row>
    <row r="103" spans="1:24">
      <c r="A103" s="39">
        <f>IF(B103="","","PR-"&amp;TEXT(ROW()-4,"000"))</f>
        <v>0</v>
      </c>
      <c r="D103" s="17">
        <f>IF(C103="","",TEXT(C103,"ddd"))</f>
        <v>0</v>
      </c>
      <c r="F103" s="17">
        <f>IF(E103="","",IFERROR(INDEX(Recipes!$B$5:$B$204,MATCH(E103,Recipes!$A$5:$A$204,0)),"Not found"))</f>
        <v>0</v>
      </c>
      <c r="H103" s="18">
        <f>IF(E103="","",IFERROR(INDEX(Recipes!$G$5:$G$204,MATCH(E103,Recipes!$A$5:$A$204,0)),"Not found"))</f>
        <v>0</v>
      </c>
      <c r="I103" s="45">
        <f>IF(OR(G103="",H103="",NOT(ISNUMBER(H103))),"",G103*H103)</f>
        <v>0</v>
      </c>
      <c r="J103" s="18">
        <f>IF(E103="","",IFERROR(INDEX(Recipes!$J$5:$J$204,MATCH(E103,Recipes!$A$5:$A$204,0)),"Not found"))</f>
        <v>0</v>
      </c>
      <c r="L103" s="18">
        <f>IF(B103="","",IF(K103&lt;&gt;"",K103,IF(ISNUMBER(J103),J103,0)))</f>
        <v>0</v>
      </c>
      <c r="M103" s="45">
        <f>IF(OR(I103="",I103=0,L103=0),"",L103/I103)</f>
        <v>0</v>
      </c>
      <c r="R103" s="18">
        <f>IF(OR(P103="",Q103=""),"",COUNTIFS('Meal Plan'!$B$5:$B$504,"&gt;="&amp;P103,'Meal Plan'!$B$5:$B$504,"&lt;="&amp;Q103,'Meal Plan'!$G$5:$G$504,E103))</f>
        <v>0</v>
      </c>
      <c r="T103" s="25">
        <f>IF(OR(G103="",E103=""),"",IFERROR(INDEX(Recipes!$AC$5:$AC$204,MATCH(E103,Recipes!$A$5:$A$204,0))*G103,""))</f>
        <v>0</v>
      </c>
      <c r="U103" s="25">
        <f>IF(OR(T103="",I103="",I103=0),"",T103/I103)</f>
        <v>0</v>
      </c>
      <c r="V103" s="18">
        <f>IF(OR(B103="",W103="Done",NOT(ISNUMBER(C103))),"",COUNTIFS($W$5:$W$124,"&lt;&gt;Done",$C$5:$C$124,"&lt;"&amp;C103)+COUNTIFS($W$5:W103,"&lt;&gt;Done",$C$5:C103,C103))</f>
        <v>0</v>
      </c>
      <c r="X103" s="31">
        <f>IF(B103="","",IF(W103="Done","OK",IF(AND(C103&lt;&gt;"",C103&lt;TODAY()),"Overdue - still not made",IF(C103=TODAY(),"Today - prep day",IF(AND(C103&lt;&gt;"",C103-TODAY()&lt;=PrepLeadDays),"Due - coming up","OK")))))</f>
        <v>0</v>
      </c>
    </row>
    <row r="104" spans="1:24">
      <c r="A104" s="39">
        <f>IF(B104="","","PR-"&amp;TEXT(ROW()-4,"000"))</f>
        <v>0</v>
      </c>
      <c r="D104" s="17">
        <f>IF(C104="","",TEXT(C104,"ddd"))</f>
        <v>0</v>
      </c>
      <c r="F104" s="17">
        <f>IF(E104="","",IFERROR(INDEX(Recipes!$B$5:$B$204,MATCH(E104,Recipes!$A$5:$A$204,0)),"Not found"))</f>
        <v>0</v>
      </c>
      <c r="H104" s="18">
        <f>IF(E104="","",IFERROR(INDEX(Recipes!$G$5:$G$204,MATCH(E104,Recipes!$A$5:$A$204,0)),"Not found"))</f>
        <v>0</v>
      </c>
      <c r="I104" s="45">
        <f>IF(OR(G104="",H104="",NOT(ISNUMBER(H104))),"",G104*H104)</f>
        <v>0</v>
      </c>
      <c r="J104" s="18">
        <f>IF(E104="","",IFERROR(INDEX(Recipes!$J$5:$J$204,MATCH(E104,Recipes!$A$5:$A$204,0)),"Not found"))</f>
        <v>0</v>
      </c>
      <c r="L104" s="18">
        <f>IF(B104="","",IF(K104&lt;&gt;"",K104,IF(ISNUMBER(J104),J104,0)))</f>
        <v>0</v>
      </c>
      <c r="M104" s="45">
        <f>IF(OR(I104="",I104=0,L104=0),"",L104/I104)</f>
        <v>0</v>
      </c>
      <c r="R104" s="18">
        <f>IF(OR(P104="",Q104=""),"",COUNTIFS('Meal Plan'!$B$5:$B$504,"&gt;="&amp;P104,'Meal Plan'!$B$5:$B$504,"&lt;="&amp;Q104,'Meal Plan'!$G$5:$G$504,E104))</f>
        <v>0</v>
      </c>
      <c r="T104" s="25">
        <f>IF(OR(G104="",E104=""),"",IFERROR(INDEX(Recipes!$AC$5:$AC$204,MATCH(E104,Recipes!$A$5:$A$204,0))*G104,""))</f>
        <v>0</v>
      </c>
      <c r="U104" s="25">
        <f>IF(OR(T104="",I104="",I104=0),"",T104/I104)</f>
        <v>0</v>
      </c>
      <c r="V104" s="18">
        <f>IF(OR(B104="",W104="Done",NOT(ISNUMBER(C104))),"",COUNTIFS($W$5:$W$124,"&lt;&gt;Done",$C$5:$C$124,"&lt;"&amp;C104)+COUNTIFS($W$5:W104,"&lt;&gt;Done",$C$5:C104,C104))</f>
        <v>0</v>
      </c>
      <c r="X104" s="31">
        <f>IF(B104="","",IF(W104="Done","OK",IF(AND(C104&lt;&gt;"",C104&lt;TODAY()),"Overdue - still not made",IF(C104=TODAY(),"Today - prep day",IF(AND(C104&lt;&gt;"",C104-TODAY()&lt;=PrepLeadDays),"Due - coming up","OK")))))</f>
        <v>0</v>
      </c>
    </row>
    <row r="105" spans="1:24">
      <c r="A105" s="39">
        <f>IF(B105="","","PR-"&amp;TEXT(ROW()-4,"000"))</f>
        <v>0</v>
      </c>
      <c r="D105" s="17">
        <f>IF(C105="","",TEXT(C105,"ddd"))</f>
        <v>0</v>
      </c>
      <c r="F105" s="17">
        <f>IF(E105="","",IFERROR(INDEX(Recipes!$B$5:$B$204,MATCH(E105,Recipes!$A$5:$A$204,0)),"Not found"))</f>
        <v>0</v>
      </c>
      <c r="H105" s="18">
        <f>IF(E105="","",IFERROR(INDEX(Recipes!$G$5:$G$204,MATCH(E105,Recipes!$A$5:$A$204,0)),"Not found"))</f>
        <v>0</v>
      </c>
      <c r="I105" s="45">
        <f>IF(OR(G105="",H105="",NOT(ISNUMBER(H105))),"",G105*H105)</f>
        <v>0</v>
      </c>
      <c r="J105" s="18">
        <f>IF(E105="","",IFERROR(INDEX(Recipes!$J$5:$J$204,MATCH(E105,Recipes!$A$5:$A$204,0)),"Not found"))</f>
        <v>0</v>
      </c>
      <c r="L105" s="18">
        <f>IF(B105="","",IF(K105&lt;&gt;"",K105,IF(ISNUMBER(J105),J105,0)))</f>
        <v>0</v>
      </c>
      <c r="M105" s="45">
        <f>IF(OR(I105="",I105=0,L105=0),"",L105/I105)</f>
        <v>0</v>
      </c>
      <c r="R105" s="18">
        <f>IF(OR(P105="",Q105=""),"",COUNTIFS('Meal Plan'!$B$5:$B$504,"&gt;="&amp;P105,'Meal Plan'!$B$5:$B$504,"&lt;="&amp;Q105,'Meal Plan'!$G$5:$G$504,E105))</f>
        <v>0</v>
      </c>
      <c r="T105" s="25">
        <f>IF(OR(G105="",E105=""),"",IFERROR(INDEX(Recipes!$AC$5:$AC$204,MATCH(E105,Recipes!$A$5:$A$204,0))*G105,""))</f>
        <v>0</v>
      </c>
      <c r="U105" s="25">
        <f>IF(OR(T105="",I105="",I105=0),"",T105/I105)</f>
        <v>0</v>
      </c>
      <c r="V105" s="18">
        <f>IF(OR(B105="",W105="Done",NOT(ISNUMBER(C105))),"",COUNTIFS($W$5:$W$124,"&lt;&gt;Done",$C$5:$C$124,"&lt;"&amp;C105)+COUNTIFS($W$5:W105,"&lt;&gt;Done",$C$5:C105,C105))</f>
        <v>0</v>
      </c>
      <c r="X105" s="31">
        <f>IF(B105="","",IF(W105="Done","OK",IF(AND(C105&lt;&gt;"",C105&lt;TODAY()),"Overdue - still not made",IF(C105=TODAY(),"Today - prep day",IF(AND(C105&lt;&gt;"",C105-TODAY()&lt;=PrepLeadDays),"Due - coming up","OK")))))</f>
        <v>0</v>
      </c>
    </row>
    <row r="106" spans="1:24">
      <c r="A106" s="39">
        <f>IF(B106="","","PR-"&amp;TEXT(ROW()-4,"000"))</f>
        <v>0</v>
      </c>
      <c r="D106" s="17">
        <f>IF(C106="","",TEXT(C106,"ddd"))</f>
        <v>0</v>
      </c>
      <c r="F106" s="17">
        <f>IF(E106="","",IFERROR(INDEX(Recipes!$B$5:$B$204,MATCH(E106,Recipes!$A$5:$A$204,0)),"Not found"))</f>
        <v>0</v>
      </c>
      <c r="H106" s="18">
        <f>IF(E106="","",IFERROR(INDEX(Recipes!$G$5:$G$204,MATCH(E106,Recipes!$A$5:$A$204,0)),"Not found"))</f>
        <v>0</v>
      </c>
      <c r="I106" s="45">
        <f>IF(OR(G106="",H106="",NOT(ISNUMBER(H106))),"",G106*H106)</f>
        <v>0</v>
      </c>
      <c r="J106" s="18">
        <f>IF(E106="","",IFERROR(INDEX(Recipes!$J$5:$J$204,MATCH(E106,Recipes!$A$5:$A$204,0)),"Not found"))</f>
        <v>0</v>
      </c>
      <c r="L106" s="18">
        <f>IF(B106="","",IF(K106&lt;&gt;"",K106,IF(ISNUMBER(J106),J106,0)))</f>
        <v>0</v>
      </c>
      <c r="M106" s="45">
        <f>IF(OR(I106="",I106=0,L106=0),"",L106/I106)</f>
        <v>0</v>
      </c>
      <c r="R106" s="18">
        <f>IF(OR(P106="",Q106=""),"",COUNTIFS('Meal Plan'!$B$5:$B$504,"&gt;="&amp;P106,'Meal Plan'!$B$5:$B$504,"&lt;="&amp;Q106,'Meal Plan'!$G$5:$G$504,E106))</f>
        <v>0</v>
      </c>
      <c r="T106" s="25">
        <f>IF(OR(G106="",E106=""),"",IFERROR(INDEX(Recipes!$AC$5:$AC$204,MATCH(E106,Recipes!$A$5:$A$204,0))*G106,""))</f>
        <v>0</v>
      </c>
      <c r="U106" s="25">
        <f>IF(OR(T106="",I106="",I106=0),"",T106/I106)</f>
        <v>0</v>
      </c>
      <c r="V106" s="18">
        <f>IF(OR(B106="",W106="Done",NOT(ISNUMBER(C106))),"",COUNTIFS($W$5:$W$124,"&lt;&gt;Done",$C$5:$C$124,"&lt;"&amp;C106)+COUNTIFS($W$5:W106,"&lt;&gt;Done",$C$5:C106,C106))</f>
        <v>0</v>
      </c>
      <c r="X106" s="31">
        <f>IF(B106="","",IF(W106="Done","OK",IF(AND(C106&lt;&gt;"",C106&lt;TODAY()),"Overdue - still not made",IF(C106=TODAY(),"Today - prep day",IF(AND(C106&lt;&gt;"",C106-TODAY()&lt;=PrepLeadDays),"Due - coming up","OK")))))</f>
        <v>0</v>
      </c>
    </row>
    <row r="107" spans="1:24">
      <c r="A107" s="39">
        <f>IF(B107="","","PR-"&amp;TEXT(ROW()-4,"000"))</f>
        <v>0</v>
      </c>
      <c r="D107" s="17">
        <f>IF(C107="","",TEXT(C107,"ddd"))</f>
        <v>0</v>
      </c>
      <c r="F107" s="17">
        <f>IF(E107="","",IFERROR(INDEX(Recipes!$B$5:$B$204,MATCH(E107,Recipes!$A$5:$A$204,0)),"Not found"))</f>
        <v>0</v>
      </c>
      <c r="H107" s="18">
        <f>IF(E107="","",IFERROR(INDEX(Recipes!$G$5:$G$204,MATCH(E107,Recipes!$A$5:$A$204,0)),"Not found"))</f>
        <v>0</v>
      </c>
      <c r="I107" s="45">
        <f>IF(OR(G107="",H107="",NOT(ISNUMBER(H107))),"",G107*H107)</f>
        <v>0</v>
      </c>
      <c r="J107" s="18">
        <f>IF(E107="","",IFERROR(INDEX(Recipes!$J$5:$J$204,MATCH(E107,Recipes!$A$5:$A$204,0)),"Not found"))</f>
        <v>0</v>
      </c>
      <c r="L107" s="18">
        <f>IF(B107="","",IF(K107&lt;&gt;"",K107,IF(ISNUMBER(J107),J107,0)))</f>
        <v>0</v>
      </c>
      <c r="M107" s="45">
        <f>IF(OR(I107="",I107=0,L107=0),"",L107/I107)</f>
        <v>0</v>
      </c>
      <c r="R107" s="18">
        <f>IF(OR(P107="",Q107=""),"",COUNTIFS('Meal Plan'!$B$5:$B$504,"&gt;="&amp;P107,'Meal Plan'!$B$5:$B$504,"&lt;="&amp;Q107,'Meal Plan'!$G$5:$G$504,E107))</f>
        <v>0</v>
      </c>
      <c r="T107" s="25">
        <f>IF(OR(G107="",E107=""),"",IFERROR(INDEX(Recipes!$AC$5:$AC$204,MATCH(E107,Recipes!$A$5:$A$204,0))*G107,""))</f>
        <v>0</v>
      </c>
      <c r="U107" s="25">
        <f>IF(OR(T107="",I107="",I107=0),"",T107/I107)</f>
        <v>0</v>
      </c>
      <c r="V107" s="18">
        <f>IF(OR(B107="",W107="Done",NOT(ISNUMBER(C107))),"",COUNTIFS($W$5:$W$124,"&lt;&gt;Done",$C$5:$C$124,"&lt;"&amp;C107)+COUNTIFS($W$5:W107,"&lt;&gt;Done",$C$5:C107,C107))</f>
        <v>0</v>
      </c>
      <c r="X107" s="31">
        <f>IF(B107="","",IF(W107="Done","OK",IF(AND(C107&lt;&gt;"",C107&lt;TODAY()),"Overdue - still not made",IF(C107=TODAY(),"Today - prep day",IF(AND(C107&lt;&gt;"",C107-TODAY()&lt;=PrepLeadDays),"Due - coming up","OK")))))</f>
        <v>0</v>
      </c>
    </row>
    <row r="108" spans="1:24">
      <c r="A108" s="39">
        <f>IF(B108="","","PR-"&amp;TEXT(ROW()-4,"000"))</f>
        <v>0</v>
      </c>
      <c r="D108" s="17">
        <f>IF(C108="","",TEXT(C108,"ddd"))</f>
        <v>0</v>
      </c>
      <c r="F108" s="17">
        <f>IF(E108="","",IFERROR(INDEX(Recipes!$B$5:$B$204,MATCH(E108,Recipes!$A$5:$A$204,0)),"Not found"))</f>
        <v>0</v>
      </c>
      <c r="H108" s="18">
        <f>IF(E108="","",IFERROR(INDEX(Recipes!$G$5:$G$204,MATCH(E108,Recipes!$A$5:$A$204,0)),"Not found"))</f>
        <v>0</v>
      </c>
      <c r="I108" s="45">
        <f>IF(OR(G108="",H108="",NOT(ISNUMBER(H108))),"",G108*H108)</f>
        <v>0</v>
      </c>
      <c r="J108" s="18">
        <f>IF(E108="","",IFERROR(INDEX(Recipes!$J$5:$J$204,MATCH(E108,Recipes!$A$5:$A$204,0)),"Not found"))</f>
        <v>0</v>
      </c>
      <c r="L108" s="18">
        <f>IF(B108="","",IF(K108&lt;&gt;"",K108,IF(ISNUMBER(J108),J108,0)))</f>
        <v>0</v>
      </c>
      <c r="M108" s="45">
        <f>IF(OR(I108="",I108=0,L108=0),"",L108/I108)</f>
        <v>0</v>
      </c>
      <c r="R108" s="18">
        <f>IF(OR(P108="",Q108=""),"",COUNTIFS('Meal Plan'!$B$5:$B$504,"&gt;="&amp;P108,'Meal Plan'!$B$5:$B$504,"&lt;="&amp;Q108,'Meal Plan'!$G$5:$G$504,E108))</f>
        <v>0</v>
      </c>
      <c r="T108" s="25">
        <f>IF(OR(G108="",E108=""),"",IFERROR(INDEX(Recipes!$AC$5:$AC$204,MATCH(E108,Recipes!$A$5:$A$204,0))*G108,""))</f>
        <v>0</v>
      </c>
      <c r="U108" s="25">
        <f>IF(OR(T108="",I108="",I108=0),"",T108/I108)</f>
        <v>0</v>
      </c>
      <c r="V108" s="18">
        <f>IF(OR(B108="",W108="Done",NOT(ISNUMBER(C108))),"",COUNTIFS($W$5:$W$124,"&lt;&gt;Done",$C$5:$C$124,"&lt;"&amp;C108)+COUNTIFS($W$5:W108,"&lt;&gt;Done",$C$5:C108,C108))</f>
        <v>0</v>
      </c>
      <c r="X108" s="31">
        <f>IF(B108="","",IF(W108="Done","OK",IF(AND(C108&lt;&gt;"",C108&lt;TODAY()),"Overdue - still not made",IF(C108=TODAY(),"Today - prep day",IF(AND(C108&lt;&gt;"",C108-TODAY()&lt;=PrepLeadDays),"Due - coming up","OK")))))</f>
        <v>0</v>
      </c>
    </row>
    <row r="109" spans="1:24">
      <c r="A109" s="39">
        <f>IF(B109="","","PR-"&amp;TEXT(ROW()-4,"000"))</f>
        <v>0</v>
      </c>
      <c r="D109" s="17">
        <f>IF(C109="","",TEXT(C109,"ddd"))</f>
        <v>0</v>
      </c>
      <c r="F109" s="17">
        <f>IF(E109="","",IFERROR(INDEX(Recipes!$B$5:$B$204,MATCH(E109,Recipes!$A$5:$A$204,0)),"Not found"))</f>
        <v>0</v>
      </c>
      <c r="H109" s="18">
        <f>IF(E109="","",IFERROR(INDEX(Recipes!$G$5:$G$204,MATCH(E109,Recipes!$A$5:$A$204,0)),"Not found"))</f>
        <v>0</v>
      </c>
      <c r="I109" s="45">
        <f>IF(OR(G109="",H109="",NOT(ISNUMBER(H109))),"",G109*H109)</f>
        <v>0</v>
      </c>
      <c r="J109" s="18">
        <f>IF(E109="","",IFERROR(INDEX(Recipes!$J$5:$J$204,MATCH(E109,Recipes!$A$5:$A$204,0)),"Not found"))</f>
        <v>0</v>
      </c>
      <c r="L109" s="18">
        <f>IF(B109="","",IF(K109&lt;&gt;"",K109,IF(ISNUMBER(J109),J109,0)))</f>
        <v>0</v>
      </c>
      <c r="M109" s="45">
        <f>IF(OR(I109="",I109=0,L109=0),"",L109/I109)</f>
        <v>0</v>
      </c>
      <c r="R109" s="18">
        <f>IF(OR(P109="",Q109=""),"",COUNTIFS('Meal Plan'!$B$5:$B$504,"&gt;="&amp;P109,'Meal Plan'!$B$5:$B$504,"&lt;="&amp;Q109,'Meal Plan'!$G$5:$G$504,E109))</f>
        <v>0</v>
      </c>
      <c r="T109" s="25">
        <f>IF(OR(G109="",E109=""),"",IFERROR(INDEX(Recipes!$AC$5:$AC$204,MATCH(E109,Recipes!$A$5:$A$204,0))*G109,""))</f>
        <v>0</v>
      </c>
      <c r="U109" s="25">
        <f>IF(OR(T109="",I109="",I109=0),"",T109/I109)</f>
        <v>0</v>
      </c>
      <c r="V109" s="18">
        <f>IF(OR(B109="",W109="Done",NOT(ISNUMBER(C109))),"",COUNTIFS($W$5:$W$124,"&lt;&gt;Done",$C$5:$C$124,"&lt;"&amp;C109)+COUNTIFS($W$5:W109,"&lt;&gt;Done",$C$5:C109,C109))</f>
        <v>0</v>
      </c>
      <c r="X109" s="31">
        <f>IF(B109="","",IF(W109="Done","OK",IF(AND(C109&lt;&gt;"",C109&lt;TODAY()),"Overdue - still not made",IF(C109=TODAY(),"Today - prep day",IF(AND(C109&lt;&gt;"",C109-TODAY()&lt;=PrepLeadDays),"Due - coming up","OK")))))</f>
        <v>0</v>
      </c>
    </row>
    <row r="110" spans="1:24">
      <c r="A110" s="39">
        <f>IF(B110="","","PR-"&amp;TEXT(ROW()-4,"000"))</f>
        <v>0</v>
      </c>
      <c r="D110" s="17">
        <f>IF(C110="","",TEXT(C110,"ddd"))</f>
        <v>0</v>
      </c>
      <c r="F110" s="17">
        <f>IF(E110="","",IFERROR(INDEX(Recipes!$B$5:$B$204,MATCH(E110,Recipes!$A$5:$A$204,0)),"Not found"))</f>
        <v>0</v>
      </c>
      <c r="H110" s="18">
        <f>IF(E110="","",IFERROR(INDEX(Recipes!$G$5:$G$204,MATCH(E110,Recipes!$A$5:$A$204,0)),"Not found"))</f>
        <v>0</v>
      </c>
      <c r="I110" s="45">
        <f>IF(OR(G110="",H110="",NOT(ISNUMBER(H110))),"",G110*H110)</f>
        <v>0</v>
      </c>
      <c r="J110" s="18">
        <f>IF(E110="","",IFERROR(INDEX(Recipes!$J$5:$J$204,MATCH(E110,Recipes!$A$5:$A$204,0)),"Not found"))</f>
        <v>0</v>
      </c>
      <c r="L110" s="18">
        <f>IF(B110="","",IF(K110&lt;&gt;"",K110,IF(ISNUMBER(J110),J110,0)))</f>
        <v>0</v>
      </c>
      <c r="M110" s="45">
        <f>IF(OR(I110="",I110=0,L110=0),"",L110/I110)</f>
        <v>0</v>
      </c>
      <c r="R110" s="18">
        <f>IF(OR(P110="",Q110=""),"",COUNTIFS('Meal Plan'!$B$5:$B$504,"&gt;="&amp;P110,'Meal Plan'!$B$5:$B$504,"&lt;="&amp;Q110,'Meal Plan'!$G$5:$G$504,E110))</f>
        <v>0</v>
      </c>
      <c r="T110" s="25">
        <f>IF(OR(G110="",E110=""),"",IFERROR(INDEX(Recipes!$AC$5:$AC$204,MATCH(E110,Recipes!$A$5:$A$204,0))*G110,""))</f>
        <v>0</v>
      </c>
      <c r="U110" s="25">
        <f>IF(OR(T110="",I110="",I110=0),"",T110/I110)</f>
        <v>0</v>
      </c>
      <c r="V110" s="18">
        <f>IF(OR(B110="",W110="Done",NOT(ISNUMBER(C110))),"",COUNTIFS($W$5:$W$124,"&lt;&gt;Done",$C$5:$C$124,"&lt;"&amp;C110)+COUNTIFS($W$5:W110,"&lt;&gt;Done",$C$5:C110,C110))</f>
        <v>0</v>
      </c>
      <c r="X110" s="31">
        <f>IF(B110="","",IF(W110="Done","OK",IF(AND(C110&lt;&gt;"",C110&lt;TODAY()),"Overdue - still not made",IF(C110=TODAY(),"Today - prep day",IF(AND(C110&lt;&gt;"",C110-TODAY()&lt;=PrepLeadDays),"Due - coming up","OK")))))</f>
        <v>0</v>
      </c>
    </row>
    <row r="111" spans="1:24">
      <c r="A111" s="39">
        <f>IF(B111="","","PR-"&amp;TEXT(ROW()-4,"000"))</f>
        <v>0</v>
      </c>
      <c r="D111" s="17">
        <f>IF(C111="","",TEXT(C111,"ddd"))</f>
        <v>0</v>
      </c>
      <c r="F111" s="17">
        <f>IF(E111="","",IFERROR(INDEX(Recipes!$B$5:$B$204,MATCH(E111,Recipes!$A$5:$A$204,0)),"Not found"))</f>
        <v>0</v>
      </c>
      <c r="H111" s="18">
        <f>IF(E111="","",IFERROR(INDEX(Recipes!$G$5:$G$204,MATCH(E111,Recipes!$A$5:$A$204,0)),"Not found"))</f>
        <v>0</v>
      </c>
      <c r="I111" s="45">
        <f>IF(OR(G111="",H111="",NOT(ISNUMBER(H111))),"",G111*H111)</f>
        <v>0</v>
      </c>
      <c r="J111" s="18">
        <f>IF(E111="","",IFERROR(INDEX(Recipes!$J$5:$J$204,MATCH(E111,Recipes!$A$5:$A$204,0)),"Not found"))</f>
        <v>0</v>
      </c>
      <c r="L111" s="18">
        <f>IF(B111="","",IF(K111&lt;&gt;"",K111,IF(ISNUMBER(J111),J111,0)))</f>
        <v>0</v>
      </c>
      <c r="M111" s="45">
        <f>IF(OR(I111="",I111=0,L111=0),"",L111/I111)</f>
        <v>0</v>
      </c>
      <c r="R111" s="18">
        <f>IF(OR(P111="",Q111=""),"",COUNTIFS('Meal Plan'!$B$5:$B$504,"&gt;="&amp;P111,'Meal Plan'!$B$5:$B$504,"&lt;="&amp;Q111,'Meal Plan'!$G$5:$G$504,E111))</f>
        <v>0</v>
      </c>
      <c r="T111" s="25">
        <f>IF(OR(G111="",E111=""),"",IFERROR(INDEX(Recipes!$AC$5:$AC$204,MATCH(E111,Recipes!$A$5:$A$204,0))*G111,""))</f>
        <v>0</v>
      </c>
      <c r="U111" s="25">
        <f>IF(OR(T111="",I111="",I111=0),"",T111/I111)</f>
        <v>0</v>
      </c>
      <c r="V111" s="18">
        <f>IF(OR(B111="",W111="Done",NOT(ISNUMBER(C111))),"",COUNTIFS($W$5:$W$124,"&lt;&gt;Done",$C$5:$C$124,"&lt;"&amp;C111)+COUNTIFS($W$5:W111,"&lt;&gt;Done",$C$5:C111,C111))</f>
        <v>0</v>
      </c>
      <c r="X111" s="31">
        <f>IF(B111="","",IF(W111="Done","OK",IF(AND(C111&lt;&gt;"",C111&lt;TODAY()),"Overdue - still not made",IF(C111=TODAY(),"Today - prep day",IF(AND(C111&lt;&gt;"",C111-TODAY()&lt;=PrepLeadDays),"Due - coming up","OK")))))</f>
        <v>0</v>
      </c>
    </row>
    <row r="112" spans="1:24">
      <c r="A112" s="39">
        <f>IF(B112="","","PR-"&amp;TEXT(ROW()-4,"000"))</f>
        <v>0</v>
      </c>
      <c r="D112" s="17">
        <f>IF(C112="","",TEXT(C112,"ddd"))</f>
        <v>0</v>
      </c>
      <c r="F112" s="17">
        <f>IF(E112="","",IFERROR(INDEX(Recipes!$B$5:$B$204,MATCH(E112,Recipes!$A$5:$A$204,0)),"Not found"))</f>
        <v>0</v>
      </c>
      <c r="H112" s="18">
        <f>IF(E112="","",IFERROR(INDEX(Recipes!$G$5:$G$204,MATCH(E112,Recipes!$A$5:$A$204,0)),"Not found"))</f>
        <v>0</v>
      </c>
      <c r="I112" s="45">
        <f>IF(OR(G112="",H112="",NOT(ISNUMBER(H112))),"",G112*H112)</f>
        <v>0</v>
      </c>
      <c r="J112" s="18">
        <f>IF(E112="","",IFERROR(INDEX(Recipes!$J$5:$J$204,MATCH(E112,Recipes!$A$5:$A$204,0)),"Not found"))</f>
        <v>0</v>
      </c>
      <c r="L112" s="18">
        <f>IF(B112="","",IF(K112&lt;&gt;"",K112,IF(ISNUMBER(J112),J112,0)))</f>
        <v>0</v>
      </c>
      <c r="M112" s="45">
        <f>IF(OR(I112="",I112=0,L112=0),"",L112/I112)</f>
        <v>0</v>
      </c>
      <c r="R112" s="18">
        <f>IF(OR(P112="",Q112=""),"",COUNTIFS('Meal Plan'!$B$5:$B$504,"&gt;="&amp;P112,'Meal Plan'!$B$5:$B$504,"&lt;="&amp;Q112,'Meal Plan'!$G$5:$G$504,E112))</f>
        <v>0</v>
      </c>
      <c r="T112" s="25">
        <f>IF(OR(G112="",E112=""),"",IFERROR(INDEX(Recipes!$AC$5:$AC$204,MATCH(E112,Recipes!$A$5:$A$204,0))*G112,""))</f>
        <v>0</v>
      </c>
      <c r="U112" s="25">
        <f>IF(OR(T112="",I112="",I112=0),"",T112/I112)</f>
        <v>0</v>
      </c>
      <c r="V112" s="18">
        <f>IF(OR(B112="",W112="Done",NOT(ISNUMBER(C112))),"",COUNTIFS($W$5:$W$124,"&lt;&gt;Done",$C$5:$C$124,"&lt;"&amp;C112)+COUNTIFS($W$5:W112,"&lt;&gt;Done",$C$5:C112,C112))</f>
        <v>0</v>
      </c>
      <c r="X112" s="31">
        <f>IF(B112="","",IF(W112="Done","OK",IF(AND(C112&lt;&gt;"",C112&lt;TODAY()),"Overdue - still not made",IF(C112=TODAY(),"Today - prep day",IF(AND(C112&lt;&gt;"",C112-TODAY()&lt;=PrepLeadDays),"Due - coming up","OK")))))</f>
        <v>0</v>
      </c>
    </row>
    <row r="113" spans="1:25">
      <c r="A113" s="39">
        <f>IF(B113="","","PR-"&amp;TEXT(ROW()-4,"000"))</f>
        <v>0</v>
      </c>
      <c r="D113" s="17">
        <f>IF(C113="","",TEXT(C113,"ddd"))</f>
        <v>0</v>
      </c>
      <c r="F113" s="17">
        <f>IF(E113="","",IFERROR(INDEX(Recipes!$B$5:$B$204,MATCH(E113,Recipes!$A$5:$A$204,0)),"Not found"))</f>
        <v>0</v>
      </c>
      <c r="H113" s="18">
        <f>IF(E113="","",IFERROR(INDEX(Recipes!$G$5:$G$204,MATCH(E113,Recipes!$A$5:$A$204,0)),"Not found"))</f>
        <v>0</v>
      </c>
      <c r="I113" s="45">
        <f>IF(OR(G113="",H113="",NOT(ISNUMBER(H113))),"",G113*H113)</f>
        <v>0</v>
      </c>
      <c r="J113" s="18">
        <f>IF(E113="","",IFERROR(INDEX(Recipes!$J$5:$J$204,MATCH(E113,Recipes!$A$5:$A$204,0)),"Not found"))</f>
        <v>0</v>
      </c>
      <c r="L113" s="18">
        <f>IF(B113="","",IF(K113&lt;&gt;"",K113,IF(ISNUMBER(J113),J113,0)))</f>
        <v>0</v>
      </c>
      <c r="M113" s="45">
        <f>IF(OR(I113="",I113=0,L113=0),"",L113/I113)</f>
        <v>0</v>
      </c>
      <c r="R113" s="18">
        <f>IF(OR(P113="",Q113=""),"",COUNTIFS('Meal Plan'!$B$5:$B$504,"&gt;="&amp;P113,'Meal Plan'!$B$5:$B$504,"&lt;="&amp;Q113,'Meal Plan'!$G$5:$G$504,E113))</f>
        <v>0</v>
      </c>
      <c r="T113" s="25">
        <f>IF(OR(G113="",E113=""),"",IFERROR(INDEX(Recipes!$AC$5:$AC$204,MATCH(E113,Recipes!$A$5:$A$204,0))*G113,""))</f>
        <v>0</v>
      </c>
      <c r="U113" s="25">
        <f>IF(OR(T113="",I113="",I113=0),"",T113/I113)</f>
        <v>0</v>
      </c>
      <c r="V113" s="18">
        <f>IF(OR(B113="",W113="Done",NOT(ISNUMBER(C113))),"",COUNTIFS($W$5:$W$124,"&lt;&gt;Done",$C$5:$C$124,"&lt;"&amp;C113)+COUNTIFS($W$5:W113,"&lt;&gt;Done",$C$5:C113,C113))</f>
        <v>0</v>
      </c>
      <c r="X113" s="31">
        <f>IF(B113="","",IF(W113="Done","OK",IF(AND(C113&lt;&gt;"",C113&lt;TODAY()),"Overdue - still not made",IF(C113=TODAY(),"Today - prep day",IF(AND(C113&lt;&gt;"",C113-TODAY()&lt;=PrepLeadDays),"Due - coming up","OK")))))</f>
        <v>0</v>
      </c>
    </row>
    <row r="114" spans="1:25">
      <c r="A114" s="39">
        <f>IF(B114="","","PR-"&amp;TEXT(ROW()-4,"000"))</f>
        <v>0</v>
      </c>
      <c r="D114" s="17">
        <f>IF(C114="","",TEXT(C114,"ddd"))</f>
        <v>0</v>
      </c>
      <c r="F114" s="17">
        <f>IF(E114="","",IFERROR(INDEX(Recipes!$B$5:$B$204,MATCH(E114,Recipes!$A$5:$A$204,0)),"Not found"))</f>
        <v>0</v>
      </c>
      <c r="H114" s="18">
        <f>IF(E114="","",IFERROR(INDEX(Recipes!$G$5:$G$204,MATCH(E114,Recipes!$A$5:$A$204,0)),"Not found"))</f>
        <v>0</v>
      </c>
      <c r="I114" s="45">
        <f>IF(OR(G114="",H114="",NOT(ISNUMBER(H114))),"",G114*H114)</f>
        <v>0</v>
      </c>
      <c r="J114" s="18">
        <f>IF(E114="","",IFERROR(INDEX(Recipes!$J$5:$J$204,MATCH(E114,Recipes!$A$5:$A$204,0)),"Not found"))</f>
        <v>0</v>
      </c>
      <c r="L114" s="18">
        <f>IF(B114="","",IF(K114&lt;&gt;"",K114,IF(ISNUMBER(J114),J114,0)))</f>
        <v>0</v>
      </c>
      <c r="M114" s="45">
        <f>IF(OR(I114="",I114=0,L114=0),"",L114/I114)</f>
        <v>0</v>
      </c>
      <c r="R114" s="18">
        <f>IF(OR(P114="",Q114=""),"",COUNTIFS('Meal Plan'!$B$5:$B$504,"&gt;="&amp;P114,'Meal Plan'!$B$5:$B$504,"&lt;="&amp;Q114,'Meal Plan'!$G$5:$G$504,E114))</f>
        <v>0</v>
      </c>
      <c r="T114" s="25">
        <f>IF(OR(G114="",E114=""),"",IFERROR(INDEX(Recipes!$AC$5:$AC$204,MATCH(E114,Recipes!$A$5:$A$204,0))*G114,""))</f>
        <v>0</v>
      </c>
      <c r="U114" s="25">
        <f>IF(OR(T114="",I114="",I114=0),"",T114/I114)</f>
        <v>0</v>
      </c>
      <c r="V114" s="18">
        <f>IF(OR(B114="",W114="Done",NOT(ISNUMBER(C114))),"",COUNTIFS($W$5:$W$124,"&lt;&gt;Done",$C$5:$C$124,"&lt;"&amp;C114)+COUNTIFS($W$5:W114,"&lt;&gt;Done",$C$5:C114,C114))</f>
        <v>0</v>
      </c>
      <c r="X114" s="31">
        <f>IF(B114="","",IF(W114="Done","OK",IF(AND(C114&lt;&gt;"",C114&lt;TODAY()),"Overdue - still not made",IF(C114=TODAY(),"Today - prep day",IF(AND(C114&lt;&gt;"",C114-TODAY()&lt;=PrepLeadDays),"Due - coming up","OK")))))</f>
        <v>0</v>
      </c>
    </row>
    <row r="115" spans="1:25">
      <c r="A115" s="39">
        <f>IF(B115="","","PR-"&amp;TEXT(ROW()-4,"000"))</f>
        <v>0</v>
      </c>
      <c r="D115" s="17">
        <f>IF(C115="","",TEXT(C115,"ddd"))</f>
        <v>0</v>
      </c>
      <c r="F115" s="17">
        <f>IF(E115="","",IFERROR(INDEX(Recipes!$B$5:$B$204,MATCH(E115,Recipes!$A$5:$A$204,0)),"Not found"))</f>
        <v>0</v>
      </c>
      <c r="H115" s="18">
        <f>IF(E115="","",IFERROR(INDEX(Recipes!$G$5:$G$204,MATCH(E115,Recipes!$A$5:$A$204,0)),"Not found"))</f>
        <v>0</v>
      </c>
      <c r="I115" s="45">
        <f>IF(OR(G115="",H115="",NOT(ISNUMBER(H115))),"",G115*H115)</f>
        <v>0</v>
      </c>
      <c r="J115" s="18">
        <f>IF(E115="","",IFERROR(INDEX(Recipes!$J$5:$J$204,MATCH(E115,Recipes!$A$5:$A$204,0)),"Not found"))</f>
        <v>0</v>
      </c>
      <c r="L115" s="18">
        <f>IF(B115="","",IF(K115&lt;&gt;"",K115,IF(ISNUMBER(J115),J115,0)))</f>
        <v>0</v>
      </c>
      <c r="M115" s="45">
        <f>IF(OR(I115="",I115=0,L115=0),"",L115/I115)</f>
        <v>0</v>
      </c>
      <c r="R115" s="18">
        <f>IF(OR(P115="",Q115=""),"",COUNTIFS('Meal Plan'!$B$5:$B$504,"&gt;="&amp;P115,'Meal Plan'!$B$5:$B$504,"&lt;="&amp;Q115,'Meal Plan'!$G$5:$G$504,E115))</f>
        <v>0</v>
      </c>
      <c r="T115" s="25">
        <f>IF(OR(G115="",E115=""),"",IFERROR(INDEX(Recipes!$AC$5:$AC$204,MATCH(E115,Recipes!$A$5:$A$204,0))*G115,""))</f>
        <v>0</v>
      </c>
      <c r="U115" s="25">
        <f>IF(OR(T115="",I115="",I115=0),"",T115/I115)</f>
        <v>0</v>
      </c>
      <c r="V115" s="18">
        <f>IF(OR(B115="",W115="Done",NOT(ISNUMBER(C115))),"",COUNTIFS($W$5:$W$124,"&lt;&gt;Done",$C$5:$C$124,"&lt;"&amp;C115)+COUNTIFS($W$5:W115,"&lt;&gt;Done",$C$5:C115,C115))</f>
        <v>0</v>
      </c>
      <c r="X115" s="31">
        <f>IF(B115="","",IF(W115="Done","OK",IF(AND(C115&lt;&gt;"",C115&lt;TODAY()),"Overdue - still not made",IF(C115=TODAY(),"Today - prep day",IF(AND(C115&lt;&gt;"",C115-TODAY()&lt;=PrepLeadDays),"Due - coming up","OK")))))</f>
        <v>0</v>
      </c>
    </row>
    <row r="116" spans="1:25">
      <c r="A116" s="39">
        <f>IF(B116="","","PR-"&amp;TEXT(ROW()-4,"000"))</f>
        <v>0</v>
      </c>
      <c r="D116" s="17">
        <f>IF(C116="","",TEXT(C116,"ddd"))</f>
        <v>0</v>
      </c>
      <c r="F116" s="17">
        <f>IF(E116="","",IFERROR(INDEX(Recipes!$B$5:$B$204,MATCH(E116,Recipes!$A$5:$A$204,0)),"Not found"))</f>
        <v>0</v>
      </c>
      <c r="H116" s="18">
        <f>IF(E116="","",IFERROR(INDEX(Recipes!$G$5:$G$204,MATCH(E116,Recipes!$A$5:$A$204,0)),"Not found"))</f>
        <v>0</v>
      </c>
      <c r="I116" s="45">
        <f>IF(OR(G116="",H116="",NOT(ISNUMBER(H116))),"",G116*H116)</f>
        <v>0</v>
      </c>
      <c r="J116" s="18">
        <f>IF(E116="","",IFERROR(INDEX(Recipes!$J$5:$J$204,MATCH(E116,Recipes!$A$5:$A$204,0)),"Not found"))</f>
        <v>0</v>
      </c>
      <c r="L116" s="18">
        <f>IF(B116="","",IF(K116&lt;&gt;"",K116,IF(ISNUMBER(J116),J116,0)))</f>
        <v>0</v>
      </c>
      <c r="M116" s="45">
        <f>IF(OR(I116="",I116=0,L116=0),"",L116/I116)</f>
        <v>0</v>
      </c>
      <c r="R116" s="18">
        <f>IF(OR(P116="",Q116=""),"",COUNTIFS('Meal Plan'!$B$5:$B$504,"&gt;="&amp;P116,'Meal Plan'!$B$5:$B$504,"&lt;="&amp;Q116,'Meal Plan'!$G$5:$G$504,E116))</f>
        <v>0</v>
      </c>
      <c r="T116" s="25">
        <f>IF(OR(G116="",E116=""),"",IFERROR(INDEX(Recipes!$AC$5:$AC$204,MATCH(E116,Recipes!$A$5:$A$204,0))*G116,""))</f>
        <v>0</v>
      </c>
      <c r="U116" s="25">
        <f>IF(OR(T116="",I116="",I116=0),"",T116/I116)</f>
        <v>0</v>
      </c>
      <c r="V116" s="18">
        <f>IF(OR(B116="",W116="Done",NOT(ISNUMBER(C116))),"",COUNTIFS($W$5:$W$124,"&lt;&gt;Done",$C$5:$C$124,"&lt;"&amp;C116)+COUNTIFS($W$5:W116,"&lt;&gt;Done",$C$5:C116,C116))</f>
        <v>0</v>
      </c>
      <c r="X116" s="31">
        <f>IF(B116="","",IF(W116="Done","OK",IF(AND(C116&lt;&gt;"",C116&lt;TODAY()),"Overdue - still not made",IF(C116=TODAY(),"Today - prep day",IF(AND(C116&lt;&gt;"",C116-TODAY()&lt;=PrepLeadDays),"Due - coming up","OK")))))</f>
        <v>0</v>
      </c>
    </row>
    <row r="117" spans="1:25">
      <c r="A117" s="39">
        <f>IF(B117="","","PR-"&amp;TEXT(ROW()-4,"000"))</f>
        <v>0</v>
      </c>
      <c r="D117" s="17">
        <f>IF(C117="","",TEXT(C117,"ddd"))</f>
        <v>0</v>
      </c>
      <c r="F117" s="17">
        <f>IF(E117="","",IFERROR(INDEX(Recipes!$B$5:$B$204,MATCH(E117,Recipes!$A$5:$A$204,0)),"Not found"))</f>
        <v>0</v>
      </c>
      <c r="H117" s="18">
        <f>IF(E117="","",IFERROR(INDEX(Recipes!$G$5:$G$204,MATCH(E117,Recipes!$A$5:$A$204,0)),"Not found"))</f>
        <v>0</v>
      </c>
      <c r="I117" s="45">
        <f>IF(OR(G117="",H117="",NOT(ISNUMBER(H117))),"",G117*H117)</f>
        <v>0</v>
      </c>
      <c r="J117" s="18">
        <f>IF(E117="","",IFERROR(INDEX(Recipes!$J$5:$J$204,MATCH(E117,Recipes!$A$5:$A$204,0)),"Not found"))</f>
        <v>0</v>
      </c>
      <c r="L117" s="18">
        <f>IF(B117="","",IF(K117&lt;&gt;"",K117,IF(ISNUMBER(J117),J117,0)))</f>
        <v>0</v>
      </c>
      <c r="M117" s="45">
        <f>IF(OR(I117="",I117=0,L117=0),"",L117/I117)</f>
        <v>0</v>
      </c>
      <c r="R117" s="18">
        <f>IF(OR(P117="",Q117=""),"",COUNTIFS('Meal Plan'!$B$5:$B$504,"&gt;="&amp;P117,'Meal Plan'!$B$5:$B$504,"&lt;="&amp;Q117,'Meal Plan'!$G$5:$G$504,E117))</f>
        <v>0</v>
      </c>
      <c r="T117" s="25">
        <f>IF(OR(G117="",E117=""),"",IFERROR(INDEX(Recipes!$AC$5:$AC$204,MATCH(E117,Recipes!$A$5:$A$204,0))*G117,""))</f>
        <v>0</v>
      </c>
      <c r="U117" s="25">
        <f>IF(OR(T117="",I117="",I117=0),"",T117/I117)</f>
        <v>0</v>
      </c>
      <c r="V117" s="18">
        <f>IF(OR(B117="",W117="Done",NOT(ISNUMBER(C117))),"",COUNTIFS($W$5:$W$124,"&lt;&gt;Done",$C$5:$C$124,"&lt;"&amp;C117)+COUNTIFS($W$5:W117,"&lt;&gt;Done",$C$5:C117,C117))</f>
        <v>0</v>
      </c>
      <c r="X117" s="31">
        <f>IF(B117="","",IF(W117="Done","OK",IF(AND(C117&lt;&gt;"",C117&lt;TODAY()),"Overdue - still not made",IF(C117=TODAY(),"Today - prep day",IF(AND(C117&lt;&gt;"",C117-TODAY()&lt;=PrepLeadDays),"Due - coming up","OK")))))</f>
        <v>0</v>
      </c>
    </row>
    <row r="118" spans="1:25">
      <c r="A118" s="39">
        <f>IF(B118="","","PR-"&amp;TEXT(ROW()-4,"000"))</f>
        <v>0</v>
      </c>
      <c r="D118" s="17">
        <f>IF(C118="","",TEXT(C118,"ddd"))</f>
        <v>0</v>
      </c>
      <c r="F118" s="17">
        <f>IF(E118="","",IFERROR(INDEX(Recipes!$B$5:$B$204,MATCH(E118,Recipes!$A$5:$A$204,0)),"Not found"))</f>
        <v>0</v>
      </c>
      <c r="H118" s="18">
        <f>IF(E118="","",IFERROR(INDEX(Recipes!$G$5:$G$204,MATCH(E118,Recipes!$A$5:$A$204,0)),"Not found"))</f>
        <v>0</v>
      </c>
      <c r="I118" s="45">
        <f>IF(OR(G118="",H118="",NOT(ISNUMBER(H118))),"",G118*H118)</f>
        <v>0</v>
      </c>
      <c r="J118" s="18">
        <f>IF(E118="","",IFERROR(INDEX(Recipes!$J$5:$J$204,MATCH(E118,Recipes!$A$5:$A$204,0)),"Not found"))</f>
        <v>0</v>
      </c>
      <c r="L118" s="18">
        <f>IF(B118="","",IF(K118&lt;&gt;"",K118,IF(ISNUMBER(J118),J118,0)))</f>
        <v>0</v>
      </c>
      <c r="M118" s="45">
        <f>IF(OR(I118="",I118=0,L118=0),"",L118/I118)</f>
        <v>0</v>
      </c>
      <c r="R118" s="18">
        <f>IF(OR(P118="",Q118=""),"",COUNTIFS('Meal Plan'!$B$5:$B$504,"&gt;="&amp;P118,'Meal Plan'!$B$5:$B$504,"&lt;="&amp;Q118,'Meal Plan'!$G$5:$G$504,E118))</f>
        <v>0</v>
      </c>
      <c r="T118" s="25">
        <f>IF(OR(G118="",E118=""),"",IFERROR(INDEX(Recipes!$AC$5:$AC$204,MATCH(E118,Recipes!$A$5:$A$204,0))*G118,""))</f>
        <v>0</v>
      </c>
      <c r="U118" s="25">
        <f>IF(OR(T118="",I118="",I118=0),"",T118/I118)</f>
        <v>0</v>
      </c>
      <c r="V118" s="18">
        <f>IF(OR(B118="",W118="Done",NOT(ISNUMBER(C118))),"",COUNTIFS($W$5:$W$124,"&lt;&gt;Done",$C$5:$C$124,"&lt;"&amp;C118)+COUNTIFS($W$5:W118,"&lt;&gt;Done",$C$5:C118,C118))</f>
        <v>0</v>
      </c>
      <c r="X118" s="31">
        <f>IF(B118="","",IF(W118="Done","OK",IF(AND(C118&lt;&gt;"",C118&lt;TODAY()),"Overdue - still not made",IF(C118=TODAY(),"Today - prep day",IF(AND(C118&lt;&gt;"",C118-TODAY()&lt;=PrepLeadDays),"Due - coming up","OK")))))</f>
        <v>0</v>
      </c>
    </row>
    <row r="119" spans="1:25">
      <c r="A119" s="39">
        <f>IF(B119="","","PR-"&amp;TEXT(ROW()-4,"000"))</f>
        <v>0</v>
      </c>
      <c r="D119" s="17">
        <f>IF(C119="","",TEXT(C119,"ddd"))</f>
        <v>0</v>
      </c>
      <c r="F119" s="17">
        <f>IF(E119="","",IFERROR(INDEX(Recipes!$B$5:$B$204,MATCH(E119,Recipes!$A$5:$A$204,0)),"Not found"))</f>
        <v>0</v>
      </c>
      <c r="H119" s="18">
        <f>IF(E119="","",IFERROR(INDEX(Recipes!$G$5:$G$204,MATCH(E119,Recipes!$A$5:$A$204,0)),"Not found"))</f>
        <v>0</v>
      </c>
      <c r="I119" s="45">
        <f>IF(OR(G119="",H119="",NOT(ISNUMBER(H119))),"",G119*H119)</f>
        <v>0</v>
      </c>
      <c r="J119" s="18">
        <f>IF(E119="","",IFERROR(INDEX(Recipes!$J$5:$J$204,MATCH(E119,Recipes!$A$5:$A$204,0)),"Not found"))</f>
        <v>0</v>
      </c>
      <c r="L119" s="18">
        <f>IF(B119="","",IF(K119&lt;&gt;"",K119,IF(ISNUMBER(J119),J119,0)))</f>
        <v>0</v>
      </c>
      <c r="M119" s="45">
        <f>IF(OR(I119="",I119=0,L119=0),"",L119/I119)</f>
        <v>0</v>
      </c>
      <c r="R119" s="18">
        <f>IF(OR(P119="",Q119=""),"",COUNTIFS('Meal Plan'!$B$5:$B$504,"&gt;="&amp;P119,'Meal Plan'!$B$5:$B$504,"&lt;="&amp;Q119,'Meal Plan'!$G$5:$G$504,E119))</f>
        <v>0</v>
      </c>
      <c r="T119" s="25">
        <f>IF(OR(G119="",E119=""),"",IFERROR(INDEX(Recipes!$AC$5:$AC$204,MATCH(E119,Recipes!$A$5:$A$204,0))*G119,""))</f>
        <v>0</v>
      </c>
      <c r="U119" s="25">
        <f>IF(OR(T119="",I119="",I119=0),"",T119/I119)</f>
        <v>0</v>
      </c>
      <c r="V119" s="18">
        <f>IF(OR(B119="",W119="Done",NOT(ISNUMBER(C119))),"",COUNTIFS($W$5:$W$124,"&lt;&gt;Done",$C$5:$C$124,"&lt;"&amp;C119)+COUNTIFS($W$5:W119,"&lt;&gt;Done",$C$5:C119,C119))</f>
        <v>0</v>
      </c>
      <c r="X119" s="31">
        <f>IF(B119="","",IF(W119="Done","OK",IF(AND(C119&lt;&gt;"",C119&lt;TODAY()),"Overdue - still not made",IF(C119=TODAY(),"Today - prep day",IF(AND(C119&lt;&gt;"",C119-TODAY()&lt;=PrepLeadDays),"Due - coming up","OK")))))</f>
        <v>0</v>
      </c>
    </row>
    <row r="120" spans="1:25">
      <c r="A120" s="39">
        <f>IF(B120="","","PR-"&amp;TEXT(ROW()-4,"000"))</f>
        <v>0</v>
      </c>
      <c r="D120" s="17">
        <f>IF(C120="","",TEXT(C120,"ddd"))</f>
        <v>0</v>
      </c>
      <c r="F120" s="17">
        <f>IF(E120="","",IFERROR(INDEX(Recipes!$B$5:$B$204,MATCH(E120,Recipes!$A$5:$A$204,0)),"Not found"))</f>
        <v>0</v>
      </c>
      <c r="H120" s="18">
        <f>IF(E120="","",IFERROR(INDEX(Recipes!$G$5:$G$204,MATCH(E120,Recipes!$A$5:$A$204,0)),"Not found"))</f>
        <v>0</v>
      </c>
      <c r="I120" s="45">
        <f>IF(OR(G120="",H120="",NOT(ISNUMBER(H120))),"",G120*H120)</f>
        <v>0</v>
      </c>
      <c r="J120" s="18">
        <f>IF(E120="","",IFERROR(INDEX(Recipes!$J$5:$J$204,MATCH(E120,Recipes!$A$5:$A$204,0)),"Not found"))</f>
        <v>0</v>
      </c>
      <c r="L120" s="18">
        <f>IF(B120="","",IF(K120&lt;&gt;"",K120,IF(ISNUMBER(J120),J120,0)))</f>
        <v>0</v>
      </c>
      <c r="M120" s="45">
        <f>IF(OR(I120="",I120=0,L120=0),"",L120/I120)</f>
        <v>0</v>
      </c>
      <c r="R120" s="18">
        <f>IF(OR(P120="",Q120=""),"",COUNTIFS('Meal Plan'!$B$5:$B$504,"&gt;="&amp;P120,'Meal Plan'!$B$5:$B$504,"&lt;="&amp;Q120,'Meal Plan'!$G$5:$G$504,E120))</f>
        <v>0</v>
      </c>
      <c r="T120" s="25">
        <f>IF(OR(G120="",E120=""),"",IFERROR(INDEX(Recipes!$AC$5:$AC$204,MATCH(E120,Recipes!$A$5:$A$204,0))*G120,""))</f>
        <v>0</v>
      </c>
      <c r="U120" s="25">
        <f>IF(OR(T120="",I120="",I120=0),"",T120/I120)</f>
        <v>0</v>
      </c>
      <c r="V120" s="18">
        <f>IF(OR(B120="",W120="Done",NOT(ISNUMBER(C120))),"",COUNTIFS($W$5:$W$124,"&lt;&gt;Done",$C$5:$C$124,"&lt;"&amp;C120)+COUNTIFS($W$5:W120,"&lt;&gt;Done",$C$5:C120,C120))</f>
        <v>0</v>
      </c>
      <c r="X120" s="31">
        <f>IF(B120="","",IF(W120="Done","OK",IF(AND(C120&lt;&gt;"",C120&lt;TODAY()),"Overdue - still not made",IF(C120=TODAY(),"Today - prep day",IF(AND(C120&lt;&gt;"",C120-TODAY()&lt;=PrepLeadDays),"Due - coming up","OK")))))</f>
        <v>0</v>
      </c>
    </row>
    <row r="121" spans="1:25">
      <c r="A121" s="39">
        <f>IF(B121="","","PR-"&amp;TEXT(ROW()-4,"000"))</f>
        <v>0</v>
      </c>
      <c r="D121" s="17">
        <f>IF(C121="","",TEXT(C121,"ddd"))</f>
        <v>0</v>
      </c>
      <c r="F121" s="17">
        <f>IF(E121="","",IFERROR(INDEX(Recipes!$B$5:$B$204,MATCH(E121,Recipes!$A$5:$A$204,0)),"Not found"))</f>
        <v>0</v>
      </c>
      <c r="H121" s="18">
        <f>IF(E121="","",IFERROR(INDEX(Recipes!$G$5:$G$204,MATCH(E121,Recipes!$A$5:$A$204,0)),"Not found"))</f>
        <v>0</v>
      </c>
      <c r="I121" s="45">
        <f>IF(OR(G121="",H121="",NOT(ISNUMBER(H121))),"",G121*H121)</f>
        <v>0</v>
      </c>
      <c r="J121" s="18">
        <f>IF(E121="","",IFERROR(INDEX(Recipes!$J$5:$J$204,MATCH(E121,Recipes!$A$5:$A$204,0)),"Not found"))</f>
        <v>0</v>
      </c>
      <c r="L121" s="18">
        <f>IF(B121="","",IF(K121&lt;&gt;"",K121,IF(ISNUMBER(J121),J121,0)))</f>
        <v>0</v>
      </c>
      <c r="M121" s="45">
        <f>IF(OR(I121="",I121=0,L121=0),"",L121/I121)</f>
        <v>0</v>
      </c>
      <c r="R121" s="18">
        <f>IF(OR(P121="",Q121=""),"",COUNTIFS('Meal Plan'!$B$5:$B$504,"&gt;="&amp;P121,'Meal Plan'!$B$5:$B$504,"&lt;="&amp;Q121,'Meal Plan'!$G$5:$G$504,E121))</f>
        <v>0</v>
      </c>
      <c r="T121" s="25">
        <f>IF(OR(G121="",E121=""),"",IFERROR(INDEX(Recipes!$AC$5:$AC$204,MATCH(E121,Recipes!$A$5:$A$204,0))*G121,""))</f>
        <v>0</v>
      </c>
      <c r="U121" s="25">
        <f>IF(OR(T121="",I121="",I121=0),"",T121/I121)</f>
        <v>0</v>
      </c>
      <c r="V121" s="18">
        <f>IF(OR(B121="",W121="Done",NOT(ISNUMBER(C121))),"",COUNTIFS($W$5:$W$124,"&lt;&gt;Done",$C$5:$C$124,"&lt;"&amp;C121)+COUNTIFS($W$5:W121,"&lt;&gt;Done",$C$5:C121,C121))</f>
        <v>0</v>
      </c>
      <c r="X121" s="31">
        <f>IF(B121="","",IF(W121="Done","OK",IF(AND(C121&lt;&gt;"",C121&lt;TODAY()),"Overdue - still not made",IF(C121=TODAY(),"Today - prep day",IF(AND(C121&lt;&gt;"",C121-TODAY()&lt;=PrepLeadDays),"Due - coming up","OK")))))</f>
        <v>0</v>
      </c>
    </row>
    <row r="122" spans="1:25">
      <c r="A122" s="39">
        <f>IF(B122="","","PR-"&amp;TEXT(ROW()-4,"000"))</f>
        <v>0</v>
      </c>
      <c r="D122" s="17">
        <f>IF(C122="","",TEXT(C122,"ddd"))</f>
        <v>0</v>
      </c>
      <c r="F122" s="17">
        <f>IF(E122="","",IFERROR(INDEX(Recipes!$B$5:$B$204,MATCH(E122,Recipes!$A$5:$A$204,0)),"Not found"))</f>
        <v>0</v>
      </c>
      <c r="H122" s="18">
        <f>IF(E122="","",IFERROR(INDEX(Recipes!$G$5:$G$204,MATCH(E122,Recipes!$A$5:$A$204,0)),"Not found"))</f>
        <v>0</v>
      </c>
      <c r="I122" s="45">
        <f>IF(OR(G122="",H122="",NOT(ISNUMBER(H122))),"",G122*H122)</f>
        <v>0</v>
      </c>
      <c r="J122" s="18">
        <f>IF(E122="","",IFERROR(INDEX(Recipes!$J$5:$J$204,MATCH(E122,Recipes!$A$5:$A$204,0)),"Not found"))</f>
        <v>0</v>
      </c>
      <c r="L122" s="18">
        <f>IF(B122="","",IF(K122&lt;&gt;"",K122,IF(ISNUMBER(J122),J122,0)))</f>
        <v>0</v>
      </c>
      <c r="M122" s="45">
        <f>IF(OR(I122="",I122=0,L122=0),"",L122/I122)</f>
        <v>0</v>
      </c>
      <c r="R122" s="18">
        <f>IF(OR(P122="",Q122=""),"",COUNTIFS('Meal Plan'!$B$5:$B$504,"&gt;="&amp;P122,'Meal Plan'!$B$5:$B$504,"&lt;="&amp;Q122,'Meal Plan'!$G$5:$G$504,E122))</f>
        <v>0</v>
      </c>
      <c r="T122" s="25">
        <f>IF(OR(G122="",E122=""),"",IFERROR(INDEX(Recipes!$AC$5:$AC$204,MATCH(E122,Recipes!$A$5:$A$204,0))*G122,""))</f>
        <v>0</v>
      </c>
      <c r="U122" s="25">
        <f>IF(OR(T122="",I122="",I122=0),"",T122/I122)</f>
        <v>0</v>
      </c>
      <c r="V122" s="18">
        <f>IF(OR(B122="",W122="Done",NOT(ISNUMBER(C122))),"",COUNTIFS($W$5:$W$124,"&lt;&gt;Done",$C$5:$C$124,"&lt;"&amp;C122)+COUNTIFS($W$5:W122,"&lt;&gt;Done",$C$5:C122,C122))</f>
        <v>0</v>
      </c>
      <c r="X122" s="31">
        <f>IF(B122="","",IF(W122="Done","OK",IF(AND(C122&lt;&gt;"",C122&lt;TODAY()),"Overdue - still not made",IF(C122=TODAY(),"Today - prep day",IF(AND(C122&lt;&gt;"",C122-TODAY()&lt;=PrepLeadDays),"Due - coming up","OK")))))</f>
        <v>0</v>
      </c>
    </row>
    <row r="123" spans="1:25">
      <c r="A123" s="39">
        <f>IF(B123="","","PR-"&amp;TEXT(ROW()-4,"000"))</f>
        <v>0</v>
      </c>
      <c r="D123" s="17">
        <f>IF(C123="","",TEXT(C123,"ddd"))</f>
        <v>0</v>
      </c>
      <c r="F123" s="17">
        <f>IF(E123="","",IFERROR(INDEX(Recipes!$B$5:$B$204,MATCH(E123,Recipes!$A$5:$A$204,0)),"Not found"))</f>
        <v>0</v>
      </c>
      <c r="H123" s="18">
        <f>IF(E123="","",IFERROR(INDEX(Recipes!$G$5:$G$204,MATCH(E123,Recipes!$A$5:$A$204,0)),"Not found"))</f>
        <v>0</v>
      </c>
      <c r="I123" s="45">
        <f>IF(OR(G123="",H123="",NOT(ISNUMBER(H123))),"",G123*H123)</f>
        <v>0</v>
      </c>
      <c r="J123" s="18">
        <f>IF(E123="","",IFERROR(INDEX(Recipes!$J$5:$J$204,MATCH(E123,Recipes!$A$5:$A$204,0)),"Not found"))</f>
        <v>0</v>
      </c>
      <c r="L123" s="18">
        <f>IF(B123="","",IF(K123&lt;&gt;"",K123,IF(ISNUMBER(J123),J123,0)))</f>
        <v>0</v>
      </c>
      <c r="M123" s="45">
        <f>IF(OR(I123="",I123=0,L123=0),"",L123/I123)</f>
        <v>0</v>
      </c>
      <c r="R123" s="18">
        <f>IF(OR(P123="",Q123=""),"",COUNTIFS('Meal Plan'!$B$5:$B$504,"&gt;="&amp;P123,'Meal Plan'!$B$5:$B$504,"&lt;="&amp;Q123,'Meal Plan'!$G$5:$G$504,E123))</f>
        <v>0</v>
      </c>
      <c r="T123" s="25">
        <f>IF(OR(G123="",E123=""),"",IFERROR(INDEX(Recipes!$AC$5:$AC$204,MATCH(E123,Recipes!$A$5:$A$204,0))*G123,""))</f>
        <v>0</v>
      </c>
      <c r="U123" s="25">
        <f>IF(OR(T123="",I123="",I123=0),"",T123/I123)</f>
        <v>0</v>
      </c>
      <c r="V123" s="18">
        <f>IF(OR(B123="",W123="Done",NOT(ISNUMBER(C123))),"",COUNTIFS($W$5:$W$124,"&lt;&gt;Done",$C$5:$C$124,"&lt;"&amp;C123)+COUNTIFS($W$5:W123,"&lt;&gt;Done",$C$5:C123,C123))</f>
        <v>0</v>
      </c>
      <c r="X123" s="31">
        <f>IF(B123="","",IF(W123="Done","OK",IF(AND(C123&lt;&gt;"",C123&lt;TODAY()),"Overdue - still not made",IF(C123=TODAY(),"Today - prep day",IF(AND(C123&lt;&gt;"",C123-TODAY()&lt;=PrepLeadDays),"Due - coming up","OK")))))</f>
        <v>0</v>
      </c>
    </row>
    <row r="124" spans="1:25">
      <c r="A124" s="39">
        <f>IF(B124="","","PR-"&amp;TEXT(ROW()-4,"000"))</f>
        <v>0</v>
      </c>
      <c r="D124" s="17">
        <f>IF(C124="","",TEXT(C124,"ddd"))</f>
        <v>0</v>
      </c>
      <c r="F124" s="17">
        <f>IF(E124="","",IFERROR(INDEX(Recipes!$B$5:$B$204,MATCH(E124,Recipes!$A$5:$A$204,0)),"Not found"))</f>
        <v>0</v>
      </c>
      <c r="H124" s="18">
        <f>IF(E124="","",IFERROR(INDEX(Recipes!$G$5:$G$204,MATCH(E124,Recipes!$A$5:$A$204,0)),"Not found"))</f>
        <v>0</v>
      </c>
      <c r="I124" s="45">
        <f>IF(OR(G124="",H124="",NOT(ISNUMBER(H124))),"",G124*H124)</f>
        <v>0</v>
      </c>
      <c r="J124" s="18">
        <f>IF(E124="","",IFERROR(INDEX(Recipes!$J$5:$J$204,MATCH(E124,Recipes!$A$5:$A$204,0)),"Not found"))</f>
        <v>0</v>
      </c>
      <c r="L124" s="18">
        <f>IF(B124="","",IF(K124&lt;&gt;"",K124,IF(ISNUMBER(J124),J124,0)))</f>
        <v>0</v>
      </c>
      <c r="M124" s="45">
        <f>IF(OR(I124="",I124=0,L124=0),"",L124/I124)</f>
        <v>0</v>
      </c>
      <c r="R124" s="18">
        <f>IF(OR(P124="",Q124=""),"",COUNTIFS('Meal Plan'!$B$5:$B$504,"&gt;="&amp;P124,'Meal Plan'!$B$5:$B$504,"&lt;="&amp;Q124,'Meal Plan'!$G$5:$G$504,E124))</f>
        <v>0</v>
      </c>
      <c r="T124" s="25">
        <f>IF(OR(G124="",E124=""),"",IFERROR(INDEX(Recipes!$AC$5:$AC$204,MATCH(E124,Recipes!$A$5:$A$204,0))*G124,""))</f>
        <v>0</v>
      </c>
      <c r="U124" s="25">
        <f>IF(OR(T124="",I124="",I124=0),"",T124/I124)</f>
        <v>0</v>
      </c>
      <c r="V124" s="18">
        <f>IF(OR(B124="",W124="Done",NOT(ISNUMBER(C124))),"",COUNTIFS($W$5:$W$124,"&lt;&gt;Done",$C$5:$C$124,"&lt;"&amp;C124)+COUNTIFS($W$5:W124,"&lt;&gt;Done",$C$5:C124,C124))</f>
        <v>0</v>
      </c>
      <c r="X124" s="31">
        <f>IF(B124="","",IF(W124="Done","OK",IF(AND(C124&lt;&gt;"",C124&lt;TODAY()),"Overdue - still not made",IF(C124=TODAY(),"Today - prep day",IF(AND(C124&lt;&gt;"",C124-TODAY()&lt;=PrepLeadDays),"Due - coming up","OK")))))</f>
        <v>0</v>
      </c>
    </row>
    <row r="126" spans="1:25" ht="20" customHeight="1">
      <c r="A126" s="7" t="s">
        <v>1216</v>
      </c>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26" customHeight="1">
      <c r="A127" s="8" t="s">
        <v>1217</v>
      </c>
      <c r="B127" s="9" t="s">
        <v>1199</v>
      </c>
      <c r="C127" s="9" t="s">
        <v>1218</v>
      </c>
      <c r="D127" s="9" t="s">
        <v>1219</v>
      </c>
      <c r="E127" s="9" t="s">
        <v>1220</v>
      </c>
      <c r="F127" s="9" t="s">
        <v>1221</v>
      </c>
      <c r="G127" s="9" t="s">
        <v>1222</v>
      </c>
    </row>
    <row r="128" spans="1:25">
      <c r="A128" s="18">
        <f>COUNTIF('Meal Prep'!$B$5:$B$124,"&lt;&gt;")</f>
        <v>0</v>
      </c>
      <c r="B128" s="45">
        <f>SUM('Meal Prep'!$I$5:$I$124)</f>
        <v>0</v>
      </c>
      <c r="C128" s="45">
        <f>SUM('Meal Prep'!$L$5:$L$124)/60</f>
        <v>0</v>
      </c>
      <c r="D128" s="45">
        <f>IFERROR(AVERAGE('Meal Prep'!$M$5:$M$124),"")</f>
        <v>0</v>
      </c>
      <c r="E128" s="25">
        <f>SUM('Meal Prep'!$T$5:$T$124)</f>
        <v>0</v>
      </c>
      <c r="F128" s="25">
        <f>IFERROR(SUM('Meal Prep'!$T$5:$T$124)/SUM('Meal Prep'!$I$5:$I$124),"")</f>
        <v>0</v>
      </c>
      <c r="G128" s="18">
        <f>COUNTIFS('Meal Prep'!$W$5:$W$124,"&lt;&gt;Done",'Meal Prep'!$B$5:$B$124,"&lt;&gt;")</f>
        <v>0</v>
      </c>
    </row>
  </sheetData>
  <sheetProtection password="EC7C" sheet="1" objects="1" scenarios="1" formatCells="0" formatColumns="0" formatRows="0" insertRows="0" insertHyperlinks="0" deleteRows="0" autoFilter="0"/>
  <autoFilter ref="A4:Y124"/>
  <mergeCells count="14">
    <mergeCell ref="A1:V1"/>
    <mergeCell ref="W1:Y1"/>
    <mergeCell ref="A2:Y2"/>
    <mergeCell ref="A3:B3"/>
    <mergeCell ref="C3:D3"/>
    <mergeCell ref="E3:F3"/>
    <mergeCell ref="G3:H3"/>
    <mergeCell ref="I3:J3"/>
    <mergeCell ref="K3:L3"/>
    <mergeCell ref="M3:N3"/>
    <mergeCell ref="O3:P3"/>
    <mergeCell ref="Q3:R3"/>
    <mergeCell ref="S3:Y3"/>
    <mergeCell ref="A126:Y126"/>
  </mergeCells>
  <conditionalFormatting sqref="M5:M124">
    <cfRule type="colorScale" priority="1">
      <colorScale>
        <cfvo type="min" val="0"/>
        <cfvo type="percentile" val="50"/>
        <cfvo type="max" val="0"/>
        <color rgb="FFD9F2E4"/>
        <color rgb="FFFFF1CF"/>
        <color rgb="FFFBD9DD"/>
      </colorScale>
    </cfRule>
  </conditionalFormatting>
  <conditionalFormatting sqref="W5:W124">
    <cfRule type="containsText" dxfId="1" priority="2" operator="containsText" text="Prepared">
      <formula>NOT(ISERROR(SEARCH("Prepared",W5)))</formula>
    </cfRule>
    <cfRule type="containsText" dxfId="1" priority="3" operator="containsText" text="Cooked">
      <formula>NOT(ISERROR(SEARCH("Cooked",W5)))</formula>
    </cfRule>
    <cfRule type="containsText" dxfId="1" priority="4" operator="containsText" text="Eaten">
      <formula>NOT(ISERROR(SEARCH("Eaten",W5)))</formula>
    </cfRule>
    <cfRule type="containsText" dxfId="1" priority="5" operator="containsText" text="Bought">
      <formula>NOT(ISERROR(SEARCH("Bought",W5)))</formula>
    </cfRule>
    <cfRule type="containsText" dxfId="1" priority="6" operator="containsText" text="Purchased">
      <formula>NOT(ISERROR(SEARCH("Purchased",W5)))</formula>
    </cfRule>
    <cfRule type="containsText" dxfId="1" priority="7" operator="containsText" text="Done">
      <formula>NOT(ISERROR(SEARCH("Done",W5)))</formula>
    </cfRule>
    <cfRule type="containsText" dxfId="1" priority="8" operator="containsText" text="Complete">
      <formula>NOT(ISERROR(SEARCH("Complete",W5)))</formula>
    </cfRule>
    <cfRule type="containsText" dxfId="1" priority="9" operator="containsText" text="In stock">
      <formula>NOT(ISERROR(SEARCH("In stock",W5)))</formula>
    </cfRule>
    <cfRule type="containsText" dxfId="1" priority="10" operator="containsText" text="Yes">
      <formula>NOT(ISERROR(SEARCH("Yes",W5)))</formula>
    </cfRule>
    <cfRule type="containsText" dxfId="4" priority="11" operator="containsText" text="Planned">
      <formula>NOT(ISERROR(SEARCH("Planned",W5)))</formula>
    </cfRule>
    <cfRule type="containsText" dxfId="4" priority="12" operator="containsText" text="Scheduled">
      <formula>NOT(ISERROR(SEARCH("Scheduled",W5)))</formula>
    </cfRule>
    <cfRule type="containsText" dxfId="4" priority="13" operator="containsText" text="Shopping">
      <formula>NOT(ISERROR(SEARCH("Shopping",W5)))</formula>
    </cfRule>
    <cfRule type="containsText" dxfId="4" priority="14" operator="containsText" text="On the list">
      <formula>NOT(ISERROR(SEARCH("On the list",W5)))</formula>
    </cfRule>
    <cfRule type="containsText" dxfId="4" priority="15" operator="containsText" text="Prepping">
      <formula>NOT(ISERROR(SEARCH("Prepping",W5)))</formula>
    </cfRule>
    <cfRule type="containsText" dxfId="4" priority="16" operator="containsText" text="Frozen">
      <formula>NOT(ISERROR(SEARCH("Frozen",W5)))</formula>
    </cfRule>
    <cfRule type="containsText" dxfId="0" priority="17" operator="containsText" text="To do">
      <formula>NOT(ISERROR(SEARCH("To do",W5)))</formula>
    </cfRule>
    <cfRule type="containsText" dxfId="0" priority="18" operator="containsText" text="Not started">
      <formula>NOT(ISERROR(SEARCH("Not started",W5)))</formula>
    </cfRule>
    <cfRule type="containsText" dxfId="0" priority="19" operator="containsText" text="Low stock">
      <formula>NOT(ISERROR(SEARCH("Low stock",W5)))</formula>
    </cfRule>
    <cfRule type="containsText" dxfId="0" priority="20" operator="containsText" text="Use soon">
      <formula>NOT(ISERROR(SEARCH("Use soon",W5)))</formula>
    </cfRule>
    <cfRule type="containsText" dxfId="0" priority="21" operator="containsText" text="Defrosting">
      <formula>NOT(ISERROR(SEARCH("Defrosting",W5)))</formula>
    </cfRule>
    <cfRule type="containsText" dxfId="0" priority="22" operator="containsText" text="Substituted">
      <formula>NOT(ISERROR(SEARCH("Substituted",W5)))</formula>
    </cfRule>
    <cfRule type="containsText" dxfId="2" priority="23" operator="containsText" text="Out of stock">
      <formula>NOT(ISERROR(SEARCH("Out of stock",W5)))</formula>
    </cfRule>
    <cfRule type="containsText" dxfId="2" priority="24" operator="containsText" text="Expired">
      <formula>NOT(ISERROR(SEARCH("Expired",W5)))</formula>
    </cfRule>
    <cfRule type="containsText" dxfId="2" priority="25" operator="containsText" text="Skipped">
      <formula>NOT(ISERROR(SEARCH("Skipped",W5)))</formula>
    </cfRule>
    <cfRule type="containsText" dxfId="2" priority="26" operator="containsText" text="Binned">
      <formula>NOT(ISERROR(SEARCH("Binned",W5)))</formula>
    </cfRule>
    <cfRule type="containsText" dxfId="2" priority="27" operator="containsText" text="Wasted">
      <formula>NOT(ISERROR(SEARCH("Wasted",W5)))</formula>
    </cfRule>
    <cfRule type="containsText" dxfId="2" priority="28" operator="containsText" text="Cancelled">
      <formula>NOT(ISERROR(SEARCH("Cancelled",W5)))</formula>
    </cfRule>
    <cfRule type="containsText" dxfId="3" priority="29" operator="containsText" text="Archived">
      <formula>NOT(ISERROR(SEARCH("Archived",W5)))</formula>
    </cfRule>
    <cfRule type="containsText" dxfId="3" priority="30" operator="containsText" text="Not needed">
      <formula>NOT(ISERROR(SEARCH("Not needed",W5)))</formula>
    </cfRule>
  </conditionalFormatting>
  <conditionalFormatting sqref="X5:X124">
    <cfRule type="beginsWith" dxfId="1" priority="31" operator="beginsWith" text="OK">
      <formula>LEFT(X5,2)="OK"</formula>
    </cfRule>
    <cfRule type="containsText" dxfId="2" priority="32" operator="containsText" text="Overdue">
      <formula>NOT(ISERROR(SEARCH("Overdue",X5)))</formula>
    </cfRule>
    <cfRule type="containsText" dxfId="2" priority="33" operator="containsText" text="Late">
      <formula>NOT(ISERROR(SEARCH("Late",X5)))</formula>
    </cfRule>
    <cfRule type="containsText" dxfId="2" priority="34" operator="containsText" text="Missing">
      <formula>NOT(ISERROR(SEARCH("Missing",X5)))</formula>
    </cfRule>
    <cfRule type="containsText" dxfId="2" priority="35" operator="containsText" text="Conflict">
      <formula>NOT(ISERROR(SEARCH("Conflict",X5)))</formula>
    </cfRule>
    <cfRule type="containsText" dxfId="2" priority="36" operator="containsText" text="Expired">
      <formula>NOT(ISERROR(SEARCH("Expired",X5)))</formula>
    </cfRule>
    <cfRule type="containsText" dxfId="2" priority="37" operator="containsText" text="Duplicate">
      <formula>NOT(ISERROR(SEARCH("Duplicate",X5)))</formula>
    </cfRule>
    <cfRule type="containsText" dxfId="0" priority="38" operator="containsText" text="Action">
      <formula>NOT(ISERROR(SEARCH("Action",X5)))</formula>
    </cfRule>
    <cfRule type="containsText" dxfId="0" priority="39" operator="containsText" text="Due">
      <formula>NOT(ISERROR(SEARCH("Due",X5)))</formula>
    </cfRule>
    <cfRule type="containsText" dxfId="0" priority="40" operator="containsText" text="Check">
      <formula>NOT(ISERROR(SEARCH("Check",X5)))</formula>
    </cfRule>
    <cfRule type="containsText" dxfId="0" priority="41" operator="containsText" text="Add">
      <formula>NOT(ISERROR(SEARCH("Add",X5)))</formula>
    </cfRule>
    <cfRule type="containsText" dxfId="4" priority="42" operator="containsText" text="Today">
      <formula>NOT(ISERROR(SEARCH("Today",X5)))</formula>
    </cfRule>
    <cfRule type="containsText" dxfId="4" priority="43" operator="containsText" text="Upcoming">
      <formula>NOT(ISERROR(SEARCH("Upcoming",X5)))</formula>
    </cfRule>
  </conditionalFormatting>
  <dataValidations count="10">
    <dataValidation type="date" allowBlank="1" showInputMessage="1" showErrorMessage="1" errorTitle="Check the date" error="Enter a real date between 2000 and 2100." promptTitle="Prep day" prompt="Your usual prep day is set on the Settings tab." sqref="C5:C124">
      <formula1>36526</formula1>
      <formula2>73415</formula2>
    </dataValidation>
    <dataValidation type="list" allowBlank="1" showInputMessage="1" showErrorMessage="1" sqref="E5:E124">
      <formula1>RecipeIDs</formula1>
    </dataValidation>
    <dataValidation type="decimal" allowBlank="1" showInputMessage="1" showErrorMessage="1" errorTitle="Check the value" error="Enter a number between 0 and 50." promptTitle="Batches" prompt="How many times the recipe. Two batches of a recipe that serves four is eight portions." sqref="G5:G124">
      <formula1>0</formula1>
      <formula2>50</formula2>
    </dataValidation>
    <dataValidation type="whole" allowBlank="1" showInputMessage="1" showErrorMessage="1" errorTitle="Check the value" error="Enter a number between 0 and 1440." promptTitle="Time needed" prompt="Your estimate. Blank uses the recipe's own prep plus cook time." sqref="K5:K124">
      <formula1>0</formula1>
      <formula2>1440</formula2>
    </dataValidation>
    <dataValidation type="list" allowBlank="1" showInputMessage="1" showErrorMessage="1" sqref="N5:N124">
      <formula1>StorageList</formula1>
    </dataValidation>
    <dataValidation type="whole" allowBlank="1" showInputMessage="1" showErrorMessage="1" errorTitle="Check the value" error="Enter a number between 0 and 100." sqref="O5:O124">
      <formula1>0</formula1>
      <formula2>100</formula2>
    </dataValidation>
    <dataValidation type="date" allowBlank="1" showInputMessage="1" showErrorMessage="1" errorTitle="Check the date" error="Enter a real date between 2000 and 2100." sqref="P5:P124">
      <formula1>36526</formula1>
      <formula2>73415</formula2>
    </dataValidation>
    <dataValidation type="date" allowBlank="1" showInputMessage="1" showErrorMessage="1" errorTitle="Check the date" error="Enter a real date between 2000 and 2100." sqref="Q5:Q124">
      <formula1>36526</formula1>
      <formula2>73415</formula2>
    </dataValidation>
    <dataValidation type="list" allowBlank="1" showInputMessage="1" showErrorMessage="1" sqref="S5:S124">
      <formula1>MemberNames</formula1>
    </dataValidation>
    <dataValidation type="list" allowBlank="1" showInputMessage="1" showErrorMessage="1" sqref="W5:W124">
      <formula1>PrepStatusList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&amp;L&amp;"Calibri,Bold"&amp;12&amp;C&amp;"Calibri,Bold"&amp;11Meal Prep&amp;R&amp;"Calibri,Italic"&amp;9Automated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E2EFE6"/>
    <pageSetUpPr fitToPage="1"/>
  </sheetPr>
  <dimension ref="A1:J52"/>
  <sheetViews>
    <sheetView showGridLines="0" workbookViewId="0">
      <pane ySplit="4" topLeftCell="A5" activePane="bottomLeft" state="frozen"/>
      <selection pane="bottomLeft"/>
    </sheetView>
  </sheetViews>
  <sheetFormatPr defaultRowHeight="15"/>
  <cols>
    <col min="1" max="1" width="18.7109375" customWidth="1"/>
    <col min="2" max="2" width="2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 max="1" width="5.7109375" customWidth="1"/>
    <col min="2" max="2" width="26.7109375" customWidth="1"/>
    <col min="3" max="3" width="14.7109375" customWidth="1"/>
    <col min="4" max="4" width="15.7109375" customWidth="1"/>
    <col min="5" max="5" width="12.7109375" customWidth="1"/>
    <col min="6" max="6" width="14.7109375" customWidth="1"/>
    <col min="7" max="7" width="11.7109375" customWidth="1"/>
    <col min="8" max="8" width="10.7109375" customWidth="1"/>
    <col min="9" max="9" width="12.7109375" customWidth="1"/>
    <col min="10" max="10" width="10.7109375" customWidth="1"/>
    <col min="1" max="1" width="18.7109375" customWidth="1"/>
    <col min="2" max="2" width="16.7109375" customWidth="1"/>
    <col min="3" max="3" width="20.7109375" customWidth="1"/>
    <col min="4" max="4" width="26.7109375" customWidth="1"/>
    <col min="5" max="5" width="20.7109375" customWidth="1"/>
  </cols>
  <sheetData>
    <row r="1" spans="1:10" ht="34" customHeight="1">
      <c r="A1" s="2" t="s">
        <v>1223</v>
      </c>
      <c r="B1" s="2"/>
      <c r="C1" s="2"/>
      <c r="D1" s="2"/>
      <c r="E1" s="2"/>
      <c r="F1" s="2"/>
      <c r="G1" s="2"/>
      <c r="H1" s="3" t="s">
        <v>1</v>
      </c>
      <c r="I1" s="3"/>
      <c r="J1" s="3"/>
    </row>
    <row r="2" spans="1:10" ht="18" customHeight="1">
      <c r="A2" s="4" t="s">
        <v>1224</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1225</v>
      </c>
      <c r="B5" s="7"/>
      <c r="C5" s="7"/>
      <c r="D5" s="7"/>
      <c r="E5" s="7"/>
      <c r="F5" s="7"/>
      <c r="G5" s="7"/>
      <c r="H5" s="7"/>
      <c r="I5" s="7"/>
      <c r="J5" s="7"/>
    </row>
    <row r="6" spans="1:10">
      <c r="B6" s="11" t="s">
        <v>381</v>
      </c>
      <c r="C6" s="11"/>
      <c r="D6" s="32" t="s">
        <v>584</v>
      </c>
      <c r="E6" s="12" t="s">
        <v>1226</v>
      </c>
      <c r="F6" s="12"/>
      <c r="G6" s="12"/>
      <c r="H6" s="12"/>
    </row>
    <row r="7" spans="1:10">
      <c r="B7" s="11" t="s">
        <v>763</v>
      </c>
      <c r="C7" s="11"/>
      <c r="D7" s="32" t="s">
        <v>584</v>
      </c>
      <c r="E7" s="12" t="s">
        <v>1227</v>
      </c>
      <c r="F7" s="12"/>
      <c r="G7" s="12"/>
      <c r="H7" s="12"/>
    </row>
    <row r="8" spans="1:10">
      <c r="B8" s="11" t="s">
        <v>771</v>
      </c>
      <c r="C8" s="11"/>
      <c r="D8" s="32" t="s">
        <v>584</v>
      </c>
      <c r="E8" s="12" t="s">
        <v>1228</v>
      </c>
      <c r="F8" s="12"/>
      <c r="G8" s="12"/>
      <c r="H8" s="12"/>
    </row>
    <row r="9" spans="1:10">
      <c r="B9" s="11" t="s">
        <v>1229</v>
      </c>
      <c r="C9" s="11"/>
      <c r="D9" s="35">
        <v>0</v>
      </c>
      <c r="E9" s="12" t="s">
        <v>1230</v>
      </c>
      <c r="F9" s="12"/>
      <c r="G9" s="12"/>
      <c r="H9" s="12"/>
    </row>
    <row r="10" spans="1:10">
      <c r="B10" s="11" t="s">
        <v>1231</v>
      </c>
      <c r="C10" s="11"/>
      <c r="D10" s="35">
        <v>0</v>
      </c>
      <c r="E10" s="12" t="s">
        <v>1232</v>
      </c>
      <c r="F10" s="12"/>
      <c r="G10" s="12"/>
      <c r="H10" s="12"/>
    </row>
    <row r="11" spans="1:10">
      <c r="B11" s="11" t="s">
        <v>1233</v>
      </c>
      <c r="C11" s="11"/>
      <c r="D11" s="32" t="s">
        <v>584</v>
      </c>
      <c r="E11" s="12" t="s">
        <v>1234</v>
      </c>
      <c r="F11" s="12"/>
      <c r="G11" s="12"/>
      <c r="H11" s="12"/>
    </row>
    <row r="13" spans="1:10" ht="20" customHeight="1">
      <c r="A13" s="7" t="s">
        <v>1235</v>
      </c>
      <c r="B13" s="7"/>
      <c r="C13" s="7"/>
      <c r="D13" s="7"/>
      <c r="E13" s="7"/>
      <c r="F13" s="7"/>
      <c r="G13" s="7"/>
      <c r="H13" s="7"/>
      <c r="I13" s="7"/>
      <c r="J13" s="7"/>
    </row>
    <row r="14" spans="1:10">
      <c r="A14" s="51">
        <f>"Recipes that fit: "&amp;SUM(Recipes!$AL$5:$AL$204)</f>
        <v>0</v>
      </c>
      <c r="B14" s="52"/>
      <c r="C14" s="52"/>
      <c r="D14" s="12" t="s">
        <v>1236</v>
      </c>
      <c r="E14" s="12"/>
      <c r="F14" s="12"/>
      <c r="G14" s="12"/>
      <c r="H14" s="12"/>
      <c r="I14" s="12"/>
      <c r="J14" s="12"/>
    </row>
    <row r="16" spans="1:10" ht="26" customHeight="1">
      <c r="A16" s="8" t="s">
        <v>1057</v>
      </c>
      <c r="B16" s="9" t="s">
        <v>762</v>
      </c>
      <c r="C16" s="9" t="s">
        <v>763</v>
      </c>
      <c r="D16" s="9" t="s">
        <v>778</v>
      </c>
      <c r="E16" s="9" t="s">
        <v>1237</v>
      </c>
      <c r="F16" s="9" t="s">
        <v>879</v>
      </c>
      <c r="G16" s="9" t="s">
        <v>881</v>
      </c>
      <c r="H16" s="9" t="s">
        <v>577</v>
      </c>
      <c r="I16" s="9" t="s">
        <v>808</v>
      </c>
      <c r="J16" s="9" t="s">
        <v>1238</v>
      </c>
    </row>
    <row r="17" spans="1:10">
      <c r="A17" s="13">
        <v>1</v>
      </c>
      <c r="B17" s="17">
        <f>IFERROR(INDEX(Recipes!$B$5:$B$204,MATCH(1,Recipes!$AM$5:$AM$204,0)),"")</f>
        <v>0</v>
      </c>
      <c r="C17" s="17">
        <f>IFERROR(INDEX(Recipes!$C$5:$C$204,MATCH(1,Recipes!$AM$5:$AM$204,0)),"")</f>
        <v>0</v>
      </c>
      <c r="D17" s="17">
        <f>IFERROR(INDEX(Recipes!$T$5:$T$204,MATCH(1,Recipes!$AM$5:$AM$204,0)),"")</f>
        <v>0</v>
      </c>
      <c r="E17" s="18">
        <f>IFERROR(INDEX(Recipes!$J$5:$J$204,MATCH(1,Recipes!$AM$5:$AM$204,0)),"")</f>
        <v>0</v>
      </c>
      <c r="F17" s="25">
        <f>IFERROR(INDEX(Recipes!$AD$5:$AD$204,MATCH(1,Recipes!$AM$5:$AM$204,0)),"")</f>
        <v>0</v>
      </c>
      <c r="G17" s="30">
        <f>IFERROR(INDEX(Recipes!$AE$5:$AE$204,MATCH(1,Recipes!$AM$5:$AM$204,0)),"")</f>
        <v>0</v>
      </c>
      <c r="H17" s="46">
        <f>IFERROR(INDEX(Recipes!$AW$5:$AW$204,MATCH(1,Recipes!$AM$5:$AM$204,0)),"")</f>
        <v>0</v>
      </c>
      <c r="I17" s="19">
        <f>IFERROR(INDEX(Recipes!$BB$5:$BB$204,MATCH(1,Recipes!$AM$5:$AM$204,0)),"")</f>
        <v>0</v>
      </c>
      <c r="J17" s="46">
        <f>IFERROR(INDEX(Recipes!$R$5:$R$204,MATCH(1,Recipes!$AM$5:$AM$204,0)),"")</f>
        <v>0</v>
      </c>
    </row>
    <row r="18" spans="1:10">
      <c r="A18" s="13">
        <v>2</v>
      </c>
      <c r="B18" s="17">
        <f>IFERROR(INDEX(Recipes!$B$5:$B$204,MATCH(2,Recipes!$AM$5:$AM$204,0)),"")</f>
        <v>0</v>
      </c>
      <c r="C18" s="17">
        <f>IFERROR(INDEX(Recipes!$C$5:$C$204,MATCH(2,Recipes!$AM$5:$AM$204,0)),"")</f>
        <v>0</v>
      </c>
      <c r="D18" s="17">
        <f>IFERROR(INDEX(Recipes!$T$5:$T$204,MATCH(2,Recipes!$AM$5:$AM$204,0)),"")</f>
        <v>0</v>
      </c>
      <c r="E18" s="18">
        <f>IFERROR(INDEX(Recipes!$J$5:$J$204,MATCH(2,Recipes!$AM$5:$AM$204,0)),"")</f>
        <v>0</v>
      </c>
      <c r="F18" s="25">
        <f>IFERROR(INDEX(Recipes!$AD$5:$AD$204,MATCH(2,Recipes!$AM$5:$AM$204,0)),"")</f>
        <v>0</v>
      </c>
      <c r="G18" s="30">
        <f>IFERROR(INDEX(Recipes!$AE$5:$AE$204,MATCH(2,Recipes!$AM$5:$AM$204,0)),"")</f>
        <v>0</v>
      </c>
      <c r="H18" s="46">
        <f>IFERROR(INDEX(Recipes!$AW$5:$AW$204,MATCH(2,Recipes!$AM$5:$AM$204,0)),"")</f>
        <v>0</v>
      </c>
      <c r="I18" s="19">
        <f>IFERROR(INDEX(Recipes!$BB$5:$BB$204,MATCH(2,Recipes!$AM$5:$AM$204,0)),"")</f>
        <v>0</v>
      </c>
      <c r="J18" s="46">
        <f>IFERROR(INDEX(Recipes!$R$5:$R$204,MATCH(2,Recipes!$AM$5:$AM$204,0)),"")</f>
        <v>0</v>
      </c>
    </row>
    <row r="19" spans="1:10">
      <c r="A19" s="13">
        <v>3</v>
      </c>
      <c r="B19" s="17">
        <f>IFERROR(INDEX(Recipes!$B$5:$B$204,MATCH(3,Recipes!$AM$5:$AM$204,0)),"")</f>
        <v>0</v>
      </c>
      <c r="C19" s="17">
        <f>IFERROR(INDEX(Recipes!$C$5:$C$204,MATCH(3,Recipes!$AM$5:$AM$204,0)),"")</f>
        <v>0</v>
      </c>
      <c r="D19" s="17">
        <f>IFERROR(INDEX(Recipes!$T$5:$T$204,MATCH(3,Recipes!$AM$5:$AM$204,0)),"")</f>
        <v>0</v>
      </c>
      <c r="E19" s="18">
        <f>IFERROR(INDEX(Recipes!$J$5:$J$204,MATCH(3,Recipes!$AM$5:$AM$204,0)),"")</f>
        <v>0</v>
      </c>
      <c r="F19" s="25">
        <f>IFERROR(INDEX(Recipes!$AD$5:$AD$204,MATCH(3,Recipes!$AM$5:$AM$204,0)),"")</f>
        <v>0</v>
      </c>
      <c r="G19" s="30">
        <f>IFERROR(INDEX(Recipes!$AE$5:$AE$204,MATCH(3,Recipes!$AM$5:$AM$204,0)),"")</f>
        <v>0</v>
      </c>
      <c r="H19" s="46">
        <f>IFERROR(INDEX(Recipes!$AW$5:$AW$204,MATCH(3,Recipes!$AM$5:$AM$204,0)),"")</f>
        <v>0</v>
      </c>
      <c r="I19" s="19">
        <f>IFERROR(INDEX(Recipes!$BB$5:$BB$204,MATCH(3,Recipes!$AM$5:$AM$204,0)),"")</f>
        <v>0</v>
      </c>
      <c r="J19" s="46">
        <f>IFERROR(INDEX(Recipes!$R$5:$R$204,MATCH(3,Recipes!$AM$5:$AM$204,0)),"")</f>
        <v>0</v>
      </c>
    </row>
    <row r="20" spans="1:10">
      <c r="A20" s="13">
        <v>4</v>
      </c>
      <c r="B20" s="17">
        <f>IFERROR(INDEX(Recipes!$B$5:$B$204,MATCH(4,Recipes!$AM$5:$AM$204,0)),"")</f>
        <v>0</v>
      </c>
      <c r="C20" s="17">
        <f>IFERROR(INDEX(Recipes!$C$5:$C$204,MATCH(4,Recipes!$AM$5:$AM$204,0)),"")</f>
        <v>0</v>
      </c>
      <c r="D20" s="17">
        <f>IFERROR(INDEX(Recipes!$T$5:$T$204,MATCH(4,Recipes!$AM$5:$AM$204,0)),"")</f>
        <v>0</v>
      </c>
      <c r="E20" s="18">
        <f>IFERROR(INDEX(Recipes!$J$5:$J$204,MATCH(4,Recipes!$AM$5:$AM$204,0)),"")</f>
        <v>0</v>
      </c>
      <c r="F20" s="25">
        <f>IFERROR(INDEX(Recipes!$AD$5:$AD$204,MATCH(4,Recipes!$AM$5:$AM$204,0)),"")</f>
        <v>0</v>
      </c>
      <c r="G20" s="30">
        <f>IFERROR(INDEX(Recipes!$AE$5:$AE$204,MATCH(4,Recipes!$AM$5:$AM$204,0)),"")</f>
        <v>0</v>
      </c>
      <c r="H20" s="46">
        <f>IFERROR(INDEX(Recipes!$AW$5:$AW$204,MATCH(4,Recipes!$AM$5:$AM$204,0)),"")</f>
        <v>0</v>
      </c>
      <c r="I20" s="19">
        <f>IFERROR(INDEX(Recipes!$BB$5:$BB$204,MATCH(4,Recipes!$AM$5:$AM$204,0)),"")</f>
        <v>0</v>
      </c>
      <c r="J20" s="46">
        <f>IFERROR(INDEX(Recipes!$R$5:$R$204,MATCH(4,Recipes!$AM$5:$AM$204,0)),"")</f>
        <v>0</v>
      </c>
    </row>
    <row r="21" spans="1:10">
      <c r="A21" s="13">
        <v>5</v>
      </c>
      <c r="B21" s="17">
        <f>IFERROR(INDEX(Recipes!$B$5:$B$204,MATCH(5,Recipes!$AM$5:$AM$204,0)),"")</f>
        <v>0</v>
      </c>
      <c r="C21" s="17">
        <f>IFERROR(INDEX(Recipes!$C$5:$C$204,MATCH(5,Recipes!$AM$5:$AM$204,0)),"")</f>
        <v>0</v>
      </c>
      <c r="D21" s="17">
        <f>IFERROR(INDEX(Recipes!$T$5:$T$204,MATCH(5,Recipes!$AM$5:$AM$204,0)),"")</f>
        <v>0</v>
      </c>
      <c r="E21" s="18">
        <f>IFERROR(INDEX(Recipes!$J$5:$J$204,MATCH(5,Recipes!$AM$5:$AM$204,0)),"")</f>
        <v>0</v>
      </c>
      <c r="F21" s="25">
        <f>IFERROR(INDEX(Recipes!$AD$5:$AD$204,MATCH(5,Recipes!$AM$5:$AM$204,0)),"")</f>
        <v>0</v>
      </c>
      <c r="G21" s="30">
        <f>IFERROR(INDEX(Recipes!$AE$5:$AE$204,MATCH(5,Recipes!$AM$5:$AM$204,0)),"")</f>
        <v>0</v>
      </c>
      <c r="H21" s="46">
        <f>IFERROR(INDEX(Recipes!$AW$5:$AW$204,MATCH(5,Recipes!$AM$5:$AM$204,0)),"")</f>
        <v>0</v>
      </c>
      <c r="I21" s="19">
        <f>IFERROR(INDEX(Recipes!$BB$5:$BB$204,MATCH(5,Recipes!$AM$5:$AM$204,0)),"")</f>
        <v>0</v>
      </c>
      <c r="J21" s="46">
        <f>IFERROR(INDEX(Recipes!$R$5:$R$204,MATCH(5,Recipes!$AM$5:$AM$204,0)),"")</f>
        <v>0</v>
      </c>
    </row>
    <row r="22" spans="1:10">
      <c r="A22" s="13">
        <v>6</v>
      </c>
      <c r="B22" s="17">
        <f>IFERROR(INDEX(Recipes!$B$5:$B$204,MATCH(6,Recipes!$AM$5:$AM$204,0)),"")</f>
        <v>0</v>
      </c>
      <c r="C22" s="17">
        <f>IFERROR(INDEX(Recipes!$C$5:$C$204,MATCH(6,Recipes!$AM$5:$AM$204,0)),"")</f>
        <v>0</v>
      </c>
      <c r="D22" s="17">
        <f>IFERROR(INDEX(Recipes!$T$5:$T$204,MATCH(6,Recipes!$AM$5:$AM$204,0)),"")</f>
        <v>0</v>
      </c>
      <c r="E22" s="18">
        <f>IFERROR(INDEX(Recipes!$J$5:$J$204,MATCH(6,Recipes!$AM$5:$AM$204,0)),"")</f>
        <v>0</v>
      </c>
      <c r="F22" s="25">
        <f>IFERROR(INDEX(Recipes!$AD$5:$AD$204,MATCH(6,Recipes!$AM$5:$AM$204,0)),"")</f>
        <v>0</v>
      </c>
      <c r="G22" s="30">
        <f>IFERROR(INDEX(Recipes!$AE$5:$AE$204,MATCH(6,Recipes!$AM$5:$AM$204,0)),"")</f>
        <v>0</v>
      </c>
      <c r="H22" s="46">
        <f>IFERROR(INDEX(Recipes!$AW$5:$AW$204,MATCH(6,Recipes!$AM$5:$AM$204,0)),"")</f>
        <v>0</v>
      </c>
      <c r="I22" s="19">
        <f>IFERROR(INDEX(Recipes!$BB$5:$BB$204,MATCH(6,Recipes!$AM$5:$AM$204,0)),"")</f>
        <v>0</v>
      </c>
      <c r="J22" s="46">
        <f>IFERROR(INDEX(Recipes!$R$5:$R$204,MATCH(6,Recipes!$AM$5:$AM$204,0)),"")</f>
        <v>0</v>
      </c>
    </row>
    <row r="23" spans="1:10">
      <c r="A23" s="13">
        <v>7</v>
      </c>
      <c r="B23" s="17">
        <f>IFERROR(INDEX(Recipes!$B$5:$B$204,MATCH(7,Recipes!$AM$5:$AM$204,0)),"")</f>
        <v>0</v>
      </c>
      <c r="C23" s="17">
        <f>IFERROR(INDEX(Recipes!$C$5:$C$204,MATCH(7,Recipes!$AM$5:$AM$204,0)),"")</f>
        <v>0</v>
      </c>
      <c r="D23" s="17">
        <f>IFERROR(INDEX(Recipes!$T$5:$T$204,MATCH(7,Recipes!$AM$5:$AM$204,0)),"")</f>
        <v>0</v>
      </c>
      <c r="E23" s="18">
        <f>IFERROR(INDEX(Recipes!$J$5:$J$204,MATCH(7,Recipes!$AM$5:$AM$204,0)),"")</f>
        <v>0</v>
      </c>
      <c r="F23" s="25">
        <f>IFERROR(INDEX(Recipes!$AD$5:$AD$204,MATCH(7,Recipes!$AM$5:$AM$204,0)),"")</f>
        <v>0</v>
      </c>
      <c r="G23" s="30">
        <f>IFERROR(INDEX(Recipes!$AE$5:$AE$204,MATCH(7,Recipes!$AM$5:$AM$204,0)),"")</f>
        <v>0</v>
      </c>
      <c r="H23" s="46">
        <f>IFERROR(INDEX(Recipes!$AW$5:$AW$204,MATCH(7,Recipes!$AM$5:$AM$204,0)),"")</f>
        <v>0</v>
      </c>
      <c r="I23" s="19">
        <f>IFERROR(INDEX(Recipes!$BB$5:$BB$204,MATCH(7,Recipes!$AM$5:$AM$204,0)),"")</f>
        <v>0</v>
      </c>
      <c r="J23" s="46">
        <f>IFERROR(INDEX(Recipes!$R$5:$R$204,MATCH(7,Recipes!$AM$5:$AM$204,0)),"")</f>
        <v>0</v>
      </c>
    </row>
    <row r="24" spans="1:10">
      <c r="A24" s="13">
        <v>8</v>
      </c>
      <c r="B24" s="17">
        <f>IFERROR(INDEX(Recipes!$B$5:$B$204,MATCH(8,Recipes!$AM$5:$AM$204,0)),"")</f>
        <v>0</v>
      </c>
      <c r="C24" s="17">
        <f>IFERROR(INDEX(Recipes!$C$5:$C$204,MATCH(8,Recipes!$AM$5:$AM$204,0)),"")</f>
        <v>0</v>
      </c>
      <c r="D24" s="17">
        <f>IFERROR(INDEX(Recipes!$T$5:$T$204,MATCH(8,Recipes!$AM$5:$AM$204,0)),"")</f>
        <v>0</v>
      </c>
      <c r="E24" s="18">
        <f>IFERROR(INDEX(Recipes!$J$5:$J$204,MATCH(8,Recipes!$AM$5:$AM$204,0)),"")</f>
        <v>0</v>
      </c>
      <c r="F24" s="25">
        <f>IFERROR(INDEX(Recipes!$AD$5:$AD$204,MATCH(8,Recipes!$AM$5:$AM$204,0)),"")</f>
        <v>0</v>
      </c>
      <c r="G24" s="30">
        <f>IFERROR(INDEX(Recipes!$AE$5:$AE$204,MATCH(8,Recipes!$AM$5:$AM$204,0)),"")</f>
        <v>0</v>
      </c>
      <c r="H24" s="46">
        <f>IFERROR(INDEX(Recipes!$AW$5:$AW$204,MATCH(8,Recipes!$AM$5:$AM$204,0)),"")</f>
        <v>0</v>
      </c>
      <c r="I24" s="19">
        <f>IFERROR(INDEX(Recipes!$BB$5:$BB$204,MATCH(8,Recipes!$AM$5:$AM$204,0)),"")</f>
        <v>0</v>
      </c>
      <c r="J24" s="46">
        <f>IFERROR(INDEX(Recipes!$R$5:$R$204,MATCH(8,Recipes!$AM$5:$AM$204,0)),"")</f>
        <v>0</v>
      </c>
    </row>
    <row r="25" spans="1:10">
      <c r="A25" s="13">
        <v>9</v>
      </c>
      <c r="B25" s="17">
        <f>IFERROR(INDEX(Recipes!$B$5:$B$204,MATCH(9,Recipes!$AM$5:$AM$204,0)),"")</f>
        <v>0</v>
      </c>
      <c r="C25" s="17">
        <f>IFERROR(INDEX(Recipes!$C$5:$C$204,MATCH(9,Recipes!$AM$5:$AM$204,0)),"")</f>
        <v>0</v>
      </c>
      <c r="D25" s="17">
        <f>IFERROR(INDEX(Recipes!$T$5:$T$204,MATCH(9,Recipes!$AM$5:$AM$204,0)),"")</f>
        <v>0</v>
      </c>
      <c r="E25" s="18">
        <f>IFERROR(INDEX(Recipes!$J$5:$J$204,MATCH(9,Recipes!$AM$5:$AM$204,0)),"")</f>
        <v>0</v>
      </c>
      <c r="F25" s="25">
        <f>IFERROR(INDEX(Recipes!$AD$5:$AD$204,MATCH(9,Recipes!$AM$5:$AM$204,0)),"")</f>
        <v>0</v>
      </c>
      <c r="G25" s="30">
        <f>IFERROR(INDEX(Recipes!$AE$5:$AE$204,MATCH(9,Recipes!$AM$5:$AM$204,0)),"")</f>
        <v>0</v>
      </c>
      <c r="H25" s="46">
        <f>IFERROR(INDEX(Recipes!$AW$5:$AW$204,MATCH(9,Recipes!$AM$5:$AM$204,0)),"")</f>
        <v>0</v>
      </c>
      <c r="I25" s="19">
        <f>IFERROR(INDEX(Recipes!$BB$5:$BB$204,MATCH(9,Recipes!$AM$5:$AM$204,0)),"")</f>
        <v>0</v>
      </c>
      <c r="J25" s="46">
        <f>IFERROR(INDEX(Recipes!$R$5:$R$204,MATCH(9,Recipes!$AM$5:$AM$204,0)),"")</f>
        <v>0</v>
      </c>
    </row>
    <row r="26" spans="1:10">
      <c r="A26" s="13">
        <v>10</v>
      </c>
      <c r="B26" s="17">
        <f>IFERROR(INDEX(Recipes!$B$5:$B$204,MATCH(10,Recipes!$AM$5:$AM$204,0)),"")</f>
        <v>0</v>
      </c>
      <c r="C26" s="17">
        <f>IFERROR(INDEX(Recipes!$C$5:$C$204,MATCH(10,Recipes!$AM$5:$AM$204,0)),"")</f>
        <v>0</v>
      </c>
      <c r="D26" s="17">
        <f>IFERROR(INDEX(Recipes!$T$5:$T$204,MATCH(10,Recipes!$AM$5:$AM$204,0)),"")</f>
        <v>0</v>
      </c>
      <c r="E26" s="18">
        <f>IFERROR(INDEX(Recipes!$J$5:$J$204,MATCH(10,Recipes!$AM$5:$AM$204,0)),"")</f>
        <v>0</v>
      </c>
      <c r="F26" s="25">
        <f>IFERROR(INDEX(Recipes!$AD$5:$AD$204,MATCH(10,Recipes!$AM$5:$AM$204,0)),"")</f>
        <v>0</v>
      </c>
      <c r="G26" s="30">
        <f>IFERROR(INDEX(Recipes!$AE$5:$AE$204,MATCH(10,Recipes!$AM$5:$AM$204,0)),"")</f>
        <v>0</v>
      </c>
      <c r="H26" s="46">
        <f>IFERROR(INDEX(Recipes!$AW$5:$AW$204,MATCH(10,Recipes!$AM$5:$AM$204,0)),"")</f>
        <v>0</v>
      </c>
      <c r="I26" s="19">
        <f>IFERROR(INDEX(Recipes!$BB$5:$BB$204,MATCH(10,Recipes!$AM$5:$AM$204,0)),"")</f>
        <v>0</v>
      </c>
      <c r="J26" s="46">
        <f>IFERROR(INDEX(Recipes!$R$5:$R$204,MATCH(10,Recipes!$AM$5:$AM$204,0)),"")</f>
        <v>0</v>
      </c>
    </row>
    <row r="27" spans="1:10">
      <c r="A27" s="13">
        <v>11</v>
      </c>
      <c r="B27" s="17">
        <f>IFERROR(INDEX(Recipes!$B$5:$B$204,MATCH(11,Recipes!$AM$5:$AM$204,0)),"")</f>
        <v>0</v>
      </c>
      <c r="C27" s="17">
        <f>IFERROR(INDEX(Recipes!$C$5:$C$204,MATCH(11,Recipes!$AM$5:$AM$204,0)),"")</f>
        <v>0</v>
      </c>
      <c r="D27" s="17">
        <f>IFERROR(INDEX(Recipes!$T$5:$T$204,MATCH(11,Recipes!$AM$5:$AM$204,0)),"")</f>
        <v>0</v>
      </c>
      <c r="E27" s="18">
        <f>IFERROR(INDEX(Recipes!$J$5:$J$204,MATCH(11,Recipes!$AM$5:$AM$204,0)),"")</f>
        <v>0</v>
      </c>
      <c r="F27" s="25">
        <f>IFERROR(INDEX(Recipes!$AD$5:$AD$204,MATCH(11,Recipes!$AM$5:$AM$204,0)),"")</f>
        <v>0</v>
      </c>
      <c r="G27" s="30">
        <f>IFERROR(INDEX(Recipes!$AE$5:$AE$204,MATCH(11,Recipes!$AM$5:$AM$204,0)),"")</f>
        <v>0</v>
      </c>
      <c r="H27" s="46">
        <f>IFERROR(INDEX(Recipes!$AW$5:$AW$204,MATCH(11,Recipes!$AM$5:$AM$204,0)),"")</f>
        <v>0</v>
      </c>
      <c r="I27" s="19">
        <f>IFERROR(INDEX(Recipes!$BB$5:$BB$204,MATCH(11,Recipes!$AM$5:$AM$204,0)),"")</f>
        <v>0</v>
      </c>
      <c r="J27" s="46">
        <f>IFERROR(INDEX(Recipes!$R$5:$R$204,MATCH(11,Recipes!$AM$5:$AM$204,0)),"")</f>
        <v>0</v>
      </c>
    </row>
    <row r="28" spans="1:10">
      <c r="A28" s="13">
        <v>12</v>
      </c>
      <c r="B28" s="17">
        <f>IFERROR(INDEX(Recipes!$B$5:$B$204,MATCH(12,Recipes!$AM$5:$AM$204,0)),"")</f>
        <v>0</v>
      </c>
      <c r="C28" s="17">
        <f>IFERROR(INDEX(Recipes!$C$5:$C$204,MATCH(12,Recipes!$AM$5:$AM$204,0)),"")</f>
        <v>0</v>
      </c>
      <c r="D28" s="17">
        <f>IFERROR(INDEX(Recipes!$T$5:$T$204,MATCH(12,Recipes!$AM$5:$AM$204,0)),"")</f>
        <v>0</v>
      </c>
      <c r="E28" s="18">
        <f>IFERROR(INDEX(Recipes!$J$5:$J$204,MATCH(12,Recipes!$AM$5:$AM$204,0)),"")</f>
        <v>0</v>
      </c>
      <c r="F28" s="25">
        <f>IFERROR(INDEX(Recipes!$AD$5:$AD$204,MATCH(12,Recipes!$AM$5:$AM$204,0)),"")</f>
        <v>0</v>
      </c>
      <c r="G28" s="30">
        <f>IFERROR(INDEX(Recipes!$AE$5:$AE$204,MATCH(12,Recipes!$AM$5:$AM$204,0)),"")</f>
        <v>0</v>
      </c>
      <c r="H28" s="46">
        <f>IFERROR(INDEX(Recipes!$AW$5:$AW$204,MATCH(12,Recipes!$AM$5:$AM$204,0)),"")</f>
        <v>0</v>
      </c>
      <c r="I28" s="19">
        <f>IFERROR(INDEX(Recipes!$BB$5:$BB$204,MATCH(12,Recipes!$AM$5:$AM$204,0)),"")</f>
        <v>0</v>
      </c>
      <c r="J28" s="46">
        <f>IFERROR(INDEX(Recipes!$R$5:$R$204,MATCH(12,Recipes!$AM$5:$AM$204,0)),"")</f>
        <v>0</v>
      </c>
    </row>
    <row r="29" spans="1:10">
      <c r="A29" s="13">
        <v>13</v>
      </c>
      <c r="B29" s="17">
        <f>IFERROR(INDEX(Recipes!$B$5:$B$204,MATCH(13,Recipes!$AM$5:$AM$204,0)),"")</f>
        <v>0</v>
      </c>
      <c r="C29" s="17">
        <f>IFERROR(INDEX(Recipes!$C$5:$C$204,MATCH(13,Recipes!$AM$5:$AM$204,0)),"")</f>
        <v>0</v>
      </c>
      <c r="D29" s="17">
        <f>IFERROR(INDEX(Recipes!$T$5:$T$204,MATCH(13,Recipes!$AM$5:$AM$204,0)),"")</f>
        <v>0</v>
      </c>
      <c r="E29" s="18">
        <f>IFERROR(INDEX(Recipes!$J$5:$J$204,MATCH(13,Recipes!$AM$5:$AM$204,0)),"")</f>
        <v>0</v>
      </c>
      <c r="F29" s="25">
        <f>IFERROR(INDEX(Recipes!$AD$5:$AD$204,MATCH(13,Recipes!$AM$5:$AM$204,0)),"")</f>
        <v>0</v>
      </c>
      <c r="G29" s="30">
        <f>IFERROR(INDEX(Recipes!$AE$5:$AE$204,MATCH(13,Recipes!$AM$5:$AM$204,0)),"")</f>
        <v>0</v>
      </c>
      <c r="H29" s="46">
        <f>IFERROR(INDEX(Recipes!$AW$5:$AW$204,MATCH(13,Recipes!$AM$5:$AM$204,0)),"")</f>
        <v>0</v>
      </c>
      <c r="I29" s="19">
        <f>IFERROR(INDEX(Recipes!$BB$5:$BB$204,MATCH(13,Recipes!$AM$5:$AM$204,0)),"")</f>
        <v>0</v>
      </c>
      <c r="J29" s="46">
        <f>IFERROR(INDEX(Recipes!$R$5:$R$204,MATCH(13,Recipes!$AM$5:$AM$204,0)),"")</f>
        <v>0</v>
      </c>
    </row>
    <row r="30" spans="1:10">
      <c r="A30" s="13">
        <v>14</v>
      </c>
      <c r="B30" s="17">
        <f>IFERROR(INDEX(Recipes!$B$5:$B$204,MATCH(14,Recipes!$AM$5:$AM$204,0)),"")</f>
        <v>0</v>
      </c>
      <c r="C30" s="17">
        <f>IFERROR(INDEX(Recipes!$C$5:$C$204,MATCH(14,Recipes!$AM$5:$AM$204,0)),"")</f>
        <v>0</v>
      </c>
      <c r="D30" s="17">
        <f>IFERROR(INDEX(Recipes!$T$5:$T$204,MATCH(14,Recipes!$AM$5:$AM$204,0)),"")</f>
        <v>0</v>
      </c>
      <c r="E30" s="18">
        <f>IFERROR(INDEX(Recipes!$J$5:$J$204,MATCH(14,Recipes!$AM$5:$AM$204,0)),"")</f>
        <v>0</v>
      </c>
      <c r="F30" s="25">
        <f>IFERROR(INDEX(Recipes!$AD$5:$AD$204,MATCH(14,Recipes!$AM$5:$AM$204,0)),"")</f>
        <v>0</v>
      </c>
      <c r="G30" s="30">
        <f>IFERROR(INDEX(Recipes!$AE$5:$AE$204,MATCH(14,Recipes!$AM$5:$AM$204,0)),"")</f>
        <v>0</v>
      </c>
      <c r="H30" s="46">
        <f>IFERROR(INDEX(Recipes!$AW$5:$AW$204,MATCH(14,Recipes!$AM$5:$AM$204,0)),"")</f>
        <v>0</v>
      </c>
      <c r="I30" s="19">
        <f>IFERROR(INDEX(Recipes!$BB$5:$BB$204,MATCH(14,Recipes!$AM$5:$AM$204,0)),"")</f>
        <v>0</v>
      </c>
      <c r="J30" s="46">
        <f>IFERROR(INDEX(Recipes!$R$5:$R$204,MATCH(14,Recipes!$AM$5:$AM$204,0)),"")</f>
        <v>0</v>
      </c>
    </row>
    <row r="31" spans="1:10">
      <c r="A31" s="13">
        <v>15</v>
      </c>
      <c r="B31" s="17">
        <f>IFERROR(INDEX(Recipes!$B$5:$B$204,MATCH(15,Recipes!$AM$5:$AM$204,0)),"")</f>
        <v>0</v>
      </c>
      <c r="C31" s="17">
        <f>IFERROR(INDEX(Recipes!$C$5:$C$204,MATCH(15,Recipes!$AM$5:$AM$204,0)),"")</f>
        <v>0</v>
      </c>
      <c r="D31" s="17">
        <f>IFERROR(INDEX(Recipes!$T$5:$T$204,MATCH(15,Recipes!$AM$5:$AM$204,0)),"")</f>
        <v>0</v>
      </c>
      <c r="E31" s="18">
        <f>IFERROR(INDEX(Recipes!$J$5:$J$204,MATCH(15,Recipes!$AM$5:$AM$204,0)),"")</f>
        <v>0</v>
      </c>
      <c r="F31" s="25">
        <f>IFERROR(INDEX(Recipes!$AD$5:$AD$204,MATCH(15,Recipes!$AM$5:$AM$204,0)),"")</f>
        <v>0</v>
      </c>
      <c r="G31" s="30">
        <f>IFERROR(INDEX(Recipes!$AE$5:$AE$204,MATCH(15,Recipes!$AM$5:$AM$204,0)),"")</f>
        <v>0</v>
      </c>
      <c r="H31" s="46">
        <f>IFERROR(INDEX(Recipes!$AW$5:$AW$204,MATCH(15,Recipes!$AM$5:$AM$204,0)),"")</f>
        <v>0</v>
      </c>
      <c r="I31" s="19">
        <f>IFERROR(INDEX(Recipes!$BB$5:$BB$204,MATCH(15,Recipes!$AM$5:$AM$204,0)),"")</f>
        <v>0</v>
      </c>
      <c r="J31" s="46">
        <f>IFERROR(INDEX(Recipes!$R$5:$R$204,MATCH(15,Recipes!$AM$5:$AM$204,0)),"")</f>
        <v>0</v>
      </c>
    </row>
    <row r="32" spans="1:10">
      <c r="A32" s="13">
        <v>16</v>
      </c>
      <c r="B32" s="17">
        <f>IFERROR(INDEX(Recipes!$B$5:$B$204,MATCH(16,Recipes!$AM$5:$AM$204,0)),"")</f>
        <v>0</v>
      </c>
      <c r="C32" s="17">
        <f>IFERROR(INDEX(Recipes!$C$5:$C$204,MATCH(16,Recipes!$AM$5:$AM$204,0)),"")</f>
        <v>0</v>
      </c>
      <c r="D32" s="17">
        <f>IFERROR(INDEX(Recipes!$T$5:$T$204,MATCH(16,Recipes!$AM$5:$AM$204,0)),"")</f>
        <v>0</v>
      </c>
      <c r="E32" s="18">
        <f>IFERROR(INDEX(Recipes!$J$5:$J$204,MATCH(16,Recipes!$AM$5:$AM$204,0)),"")</f>
        <v>0</v>
      </c>
      <c r="F32" s="25">
        <f>IFERROR(INDEX(Recipes!$AD$5:$AD$204,MATCH(16,Recipes!$AM$5:$AM$204,0)),"")</f>
        <v>0</v>
      </c>
      <c r="G32" s="30">
        <f>IFERROR(INDEX(Recipes!$AE$5:$AE$204,MATCH(16,Recipes!$AM$5:$AM$204,0)),"")</f>
        <v>0</v>
      </c>
      <c r="H32" s="46">
        <f>IFERROR(INDEX(Recipes!$AW$5:$AW$204,MATCH(16,Recipes!$AM$5:$AM$204,0)),"")</f>
        <v>0</v>
      </c>
      <c r="I32" s="19">
        <f>IFERROR(INDEX(Recipes!$BB$5:$BB$204,MATCH(16,Recipes!$AM$5:$AM$204,0)),"")</f>
        <v>0</v>
      </c>
      <c r="J32" s="46">
        <f>IFERROR(INDEX(Recipes!$R$5:$R$204,MATCH(16,Recipes!$AM$5:$AM$204,0)),"")</f>
        <v>0</v>
      </c>
    </row>
    <row r="33" spans="1:10">
      <c r="A33" s="13">
        <v>17</v>
      </c>
      <c r="B33" s="17">
        <f>IFERROR(INDEX(Recipes!$B$5:$B$204,MATCH(17,Recipes!$AM$5:$AM$204,0)),"")</f>
        <v>0</v>
      </c>
      <c r="C33" s="17">
        <f>IFERROR(INDEX(Recipes!$C$5:$C$204,MATCH(17,Recipes!$AM$5:$AM$204,0)),"")</f>
        <v>0</v>
      </c>
      <c r="D33" s="17">
        <f>IFERROR(INDEX(Recipes!$T$5:$T$204,MATCH(17,Recipes!$AM$5:$AM$204,0)),"")</f>
        <v>0</v>
      </c>
      <c r="E33" s="18">
        <f>IFERROR(INDEX(Recipes!$J$5:$J$204,MATCH(17,Recipes!$AM$5:$AM$204,0)),"")</f>
        <v>0</v>
      </c>
      <c r="F33" s="25">
        <f>IFERROR(INDEX(Recipes!$AD$5:$AD$204,MATCH(17,Recipes!$AM$5:$AM$204,0)),"")</f>
        <v>0</v>
      </c>
      <c r="G33" s="30">
        <f>IFERROR(INDEX(Recipes!$AE$5:$AE$204,MATCH(17,Recipes!$AM$5:$AM$204,0)),"")</f>
        <v>0</v>
      </c>
      <c r="H33" s="46">
        <f>IFERROR(INDEX(Recipes!$AW$5:$AW$204,MATCH(17,Recipes!$AM$5:$AM$204,0)),"")</f>
        <v>0</v>
      </c>
      <c r="I33" s="19">
        <f>IFERROR(INDEX(Recipes!$BB$5:$BB$204,MATCH(17,Recipes!$AM$5:$AM$204,0)),"")</f>
        <v>0</v>
      </c>
      <c r="J33" s="46">
        <f>IFERROR(INDEX(Recipes!$R$5:$R$204,MATCH(17,Recipes!$AM$5:$AM$204,0)),"")</f>
        <v>0</v>
      </c>
    </row>
    <row r="34" spans="1:10">
      <c r="A34" s="13">
        <v>18</v>
      </c>
      <c r="B34" s="17">
        <f>IFERROR(INDEX(Recipes!$B$5:$B$204,MATCH(18,Recipes!$AM$5:$AM$204,0)),"")</f>
        <v>0</v>
      </c>
      <c r="C34" s="17">
        <f>IFERROR(INDEX(Recipes!$C$5:$C$204,MATCH(18,Recipes!$AM$5:$AM$204,0)),"")</f>
        <v>0</v>
      </c>
      <c r="D34" s="17">
        <f>IFERROR(INDEX(Recipes!$T$5:$T$204,MATCH(18,Recipes!$AM$5:$AM$204,0)),"")</f>
        <v>0</v>
      </c>
      <c r="E34" s="18">
        <f>IFERROR(INDEX(Recipes!$J$5:$J$204,MATCH(18,Recipes!$AM$5:$AM$204,0)),"")</f>
        <v>0</v>
      </c>
      <c r="F34" s="25">
        <f>IFERROR(INDEX(Recipes!$AD$5:$AD$204,MATCH(18,Recipes!$AM$5:$AM$204,0)),"")</f>
        <v>0</v>
      </c>
      <c r="G34" s="30">
        <f>IFERROR(INDEX(Recipes!$AE$5:$AE$204,MATCH(18,Recipes!$AM$5:$AM$204,0)),"")</f>
        <v>0</v>
      </c>
      <c r="H34" s="46">
        <f>IFERROR(INDEX(Recipes!$AW$5:$AW$204,MATCH(18,Recipes!$AM$5:$AM$204,0)),"")</f>
        <v>0</v>
      </c>
      <c r="I34" s="19">
        <f>IFERROR(INDEX(Recipes!$BB$5:$BB$204,MATCH(18,Recipes!$AM$5:$AM$204,0)),"")</f>
        <v>0</v>
      </c>
      <c r="J34" s="46">
        <f>IFERROR(INDEX(Recipes!$R$5:$R$204,MATCH(18,Recipes!$AM$5:$AM$204,0)),"")</f>
        <v>0</v>
      </c>
    </row>
    <row r="35" spans="1:10">
      <c r="A35" s="13">
        <v>19</v>
      </c>
      <c r="B35" s="17">
        <f>IFERROR(INDEX(Recipes!$B$5:$B$204,MATCH(19,Recipes!$AM$5:$AM$204,0)),"")</f>
        <v>0</v>
      </c>
      <c r="C35" s="17">
        <f>IFERROR(INDEX(Recipes!$C$5:$C$204,MATCH(19,Recipes!$AM$5:$AM$204,0)),"")</f>
        <v>0</v>
      </c>
      <c r="D35" s="17">
        <f>IFERROR(INDEX(Recipes!$T$5:$T$204,MATCH(19,Recipes!$AM$5:$AM$204,0)),"")</f>
        <v>0</v>
      </c>
      <c r="E35" s="18">
        <f>IFERROR(INDEX(Recipes!$J$5:$J$204,MATCH(19,Recipes!$AM$5:$AM$204,0)),"")</f>
        <v>0</v>
      </c>
      <c r="F35" s="25">
        <f>IFERROR(INDEX(Recipes!$AD$5:$AD$204,MATCH(19,Recipes!$AM$5:$AM$204,0)),"")</f>
        <v>0</v>
      </c>
      <c r="G35" s="30">
        <f>IFERROR(INDEX(Recipes!$AE$5:$AE$204,MATCH(19,Recipes!$AM$5:$AM$204,0)),"")</f>
        <v>0</v>
      </c>
      <c r="H35" s="46">
        <f>IFERROR(INDEX(Recipes!$AW$5:$AW$204,MATCH(19,Recipes!$AM$5:$AM$204,0)),"")</f>
        <v>0</v>
      </c>
      <c r="I35" s="19">
        <f>IFERROR(INDEX(Recipes!$BB$5:$BB$204,MATCH(19,Recipes!$AM$5:$AM$204,0)),"")</f>
        <v>0</v>
      </c>
      <c r="J35" s="46">
        <f>IFERROR(INDEX(Recipes!$R$5:$R$204,MATCH(19,Recipes!$AM$5:$AM$204,0)),"")</f>
        <v>0</v>
      </c>
    </row>
    <row r="36" spans="1:10">
      <c r="A36" s="13">
        <v>20</v>
      </c>
      <c r="B36" s="17">
        <f>IFERROR(INDEX(Recipes!$B$5:$B$204,MATCH(20,Recipes!$AM$5:$AM$204,0)),"")</f>
        <v>0</v>
      </c>
      <c r="C36" s="17">
        <f>IFERROR(INDEX(Recipes!$C$5:$C$204,MATCH(20,Recipes!$AM$5:$AM$204,0)),"")</f>
        <v>0</v>
      </c>
      <c r="D36" s="17">
        <f>IFERROR(INDEX(Recipes!$T$5:$T$204,MATCH(20,Recipes!$AM$5:$AM$204,0)),"")</f>
        <v>0</v>
      </c>
      <c r="E36" s="18">
        <f>IFERROR(INDEX(Recipes!$J$5:$J$204,MATCH(20,Recipes!$AM$5:$AM$204,0)),"")</f>
        <v>0</v>
      </c>
      <c r="F36" s="25">
        <f>IFERROR(INDEX(Recipes!$AD$5:$AD$204,MATCH(20,Recipes!$AM$5:$AM$204,0)),"")</f>
        <v>0</v>
      </c>
      <c r="G36" s="30">
        <f>IFERROR(INDEX(Recipes!$AE$5:$AE$204,MATCH(20,Recipes!$AM$5:$AM$204,0)),"")</f>
        <v>0</v>
      </c>
      <c r="H36" s="46">
        <f>IFERROR(INDEX(Recipes!$AW$5:$AW$204,MATCH(20,Recipes!$AM$5:$AM$204,0)),"")</f>
        <v>0</v>
      </c>
      <c r="I36" s="19">
        <f>IFERROR(INDEX(Recipes!$BB$5:$BB$204,MATCH(20,Recipes!$AM$5:$AM$204,0)),"")</f>
        <v>0</v>
      </c>
      <c r="J36" s="46">
        <f>IFERROR(INDEX(Recipes!$R$5:$R$204,MATCH(20,Recipes!$AM$5:$AM$204,0)),"")</f>
        <v>0</v>
      </c>
    </row>
    <row r="37" spans="1:10">
      <c r="A37" s="13">
        <v>21</v>
      </c>
      <c r="B37" s="17">
        <f>IFERROR(INDEX(Recipes!$B$5:$B$204,MATCH(21,Recipes!$AM$5:$AM$204,0)),"")</f>
        <v>0</v>
      </c>
      <c r="C37" s="17">
        <f>IFERROR(INDEX(Recipes!$C$5:$C$204,MATCH(21,Recipes!$AM$5:$AM$204,0)),"")</f>
        <v>0</v>
      </c>
      <c r="D37" s="17">
        <f>IFERROR(INDEX(Recipes!$T$5:$T$204,MATCH(21,Recipes!$AM$5:$AM$204,0)),"")</f>
        <v>0</v>
      </c>
      <c r="E37" s="18">
        <f>IFERROR(INDEX(Recipes!$J$5:$J$204,MATCH(21,Recipes!$AM$5:$AM$204,0)),"")</f>
        <v>0</v>
      </c>
      <c r="F37" s="25">
        <f>IFERROR(INDEX(Recipes!$AD$5:$AD$204,MATCH(21,Recipes!$AM$5:$AM$204,0)),"")</f>
        <v>0</v>
      </c>
      <c r="G37" s="30">
        <f>IFERROR(INDEX(Recipes!$AE$5:$AE$204,MATCH(21,Recipes!$AM$5:$AM$204,0)),"")</f>
        <v>0</v>
      </c>
      <c r="H37" s="46">
        <f>IFERROR(INDEX(Recipes!$AW$5:$AW$204,MATCH(21,Recipes!$AM$5:$AM$204,0)),"")</f>
        <v>0</v>
      </c>
      <c r="I37" s="19">
        <f>IFERROR(INDEX(Recipes!$BB$5:$BB$204,MATCH(21,Recipes!$AM$5:$AM$204,0)),"")</f>
        <v>0</v>
      </c>
      <c r="J37" s="46">
        <f>IFERROR(INDEX(Recipes!$R$5:$R$204,MATCH(21,Recipes!$AM$5:$AM$204,0)),"")</f>
        <v>0</v>
      </c>
    </row>
    <row r="38" spans="1:10">
      <c r="A38" s="13">
        <v>22</v>
      </c>
      <c r="B38" s="17">
        <f>IFERROR(INDEX(Recipes!$B$5:$B$204,MATCH(22,Recipes!$AM$5:$AM$204,0)),"")</f>
        <v>0</v>
      </c>
      <c r="C38" s="17">
        <f>IFERROR(INDEX(Recipes!$C$5:$C$204,MATCH(22,Recipes!$AM$5:$AM$204,0)),"")</f>
        <v>0</v>
      </c>
      <c r="D38" s="17">
        <f>IFERROR(INDEX(Recipes!$T$5:$T$204,MATCH(22,Recipes!$AM$5:$AM$204,0)),"")</f>
        <v>0</v>
      </c>
      <c r="E38" s="18">
        <f>IFERROR(INDEX(Recipes!$J$5:$J$204,MATCH(22,Recipes!$AM$5:$AM$204,0)),"")</f>
        <v>0</v>
      </c>
      <c r="F38" s="25">
        <f>IFERROR(INDEX(Recipes!$AD$5:$AD$204,MATCH(22,Recipes!$AM$5:$AM$204,0)),"")</f>
        <v>0</v>
      </c>
      <c r="G38" s="30">
        <f>IFERROR(INDEX(Recipes!$AE$5:$AE$204,MATCH(22,Recipes!$AM$5:$AM$204,0)),"")</f>
        <v>0</v>
      </c>
      <c r="H38" s="46">
        <f>IFERROR(INDEX(Recipes!$AW$5:$AW$204,MATCH(22,Recipes!$AM$5:$AM$204,0)),"")</f>
        <v>0</v>
      </c>
      <c r="I38" s="19">
        <f>IFERROR(INDEX(Recipes!$BB$5:$BB$204,MATCH(22,Recipes!$AM$5:$AM$204,0)),"")</f>
        <v>0</v>
      </c>
      <c r="J38" s="46">
        <f>IFERROR(INDEX(Recipes!$R$5:$R$204,MATCH(22,Recipes!$AM$5:$AM$204,0)),"")</f>
        <v>0</v>
      </c>
    </row>
    <row r="39" spans="1:10">
      <c r="A39" s="13">
        <v>23</v>
      </c>
      <c r="B39" s="17">
        <f>IFERROR(INDEX(Recipes!$B$5:$B$204,MATCH(23,Recipes!$AM$5:$AM$204,0)),"")</f>
        <v>0</v>
      </c>
      <c r="C39" s="17">
        <f>IFERROR(INDEX(Recipes!$C$5:$C$204,MATCH(23,Recipes!$AM$5:$AM$204,0)),"")</f>
        <v>0</v>
      </c>
      <c r="D39" s="17">
        <f>IFERROR(INDEX(Recipes!$T$5:$T$204,MATCH(23,Recipes!$AM$5:$AM$204,0)),"")</f>
        <v>0</v>
      </c>
      <c r="E39" s="18">
        <f>IFERROR(INDEX(Recipes!$J$5:$J$204,MATCH(23,Recipes!$AM$5:$AM$204,0)),"")</f>
        <v>0</v>
      </c>
      <c r="F39" s="25">
        <f>IFERROR(INDEX(Recipes!$AD$5:$AD$204,MATCH(23,Recipes!$AM$5:$AM$204,0)),"")</f>
        <v>0</v>
      </c>
      <c r="G39" s="30">
        <f>IFERROR(INDEX(Recipes!$AE$5:$AE$204,MATCH(23,Recipes!$AM$5:$AM$204,0)),"")</f>
        <v>0</v>
      </c>
      <c r="H39" s="46">
        <f>IFERROR(INDEX(Recipes!$AW$5:$AW$204,MATCH(23,Recipes!$AM$5:$AM$204,0)),"")</f>
        <v>0</v>
      </c>
      <c r="I39" s="19">
        <f>IFERROR(INDEX(Recipes!$BB$5:$BB$204,MATCH(23,Recipes!$AM$5:$AM$204,0)),"")</f>
        <v>0</v>
      </c>
      <c r="J39" s="46">
        <f>IFERROR(INDEX(Recipes!$R$5:$R$204,MATCH(23,Recipes!$AM$5:$AM$204,0)),"")</f>
        <v>0</v>
      </c>
    </row>
    <row r="40" spans="1:10">
      <c r="A40" s="13">
        <v>24</v>
      </c>
      <c r="B40" s="17">
        <f>IFERROR(INDEX(Recipes!$B$5:$B$204,MATCH(24,Recipes!$AM$5:$AM$204,0)),"")</f>
        <v>0</v>
      </c>
      <c r="C40" s="17">
        <f>IFERROR(INDEX(Recipes!$C$5:$C$204,MATCH(24,Recipes!$AM$5:$AM$204,0)),"")</f>
        <v>0</v>
      </c>
      <c r="D40" s="17">
        <f>IFERROR(INDEX(Recipes!$T$5:$T$204,MATCH(24,Recipes!$AM$5:$AM$204,0)),"")</f>
        <v>0</v>
      </c>
      <c r="E40" s="18">
        <f>IFERROR(INDEX(Recipes!$J$5:$J$204,MATCH(24,Recipes!$AM$5:$AM$204,0)),"")</f>
        <v>0</v>
      </c>
      <c r="F40" s="25">
        <f>IFERROR(INDEX(Recipes!$AD$5:$AD$204,MATCH(24,Recipes!$AM$5:$AM$204,0)),"")</f>
        <v>0</v>
      </c>
      <c r="G40" s="30">
        <f>IFERROR(INDEX(Recipes!$AE$5:$AE$204,MATCH(24,Recipes!$AM$5:$AM$204,0)),"")</f>
        <v>0</v>
      </c>
      <c r="H40" s="46">
        <f>IFERROR(INDEX(Recipes!$AW$5:$AW$204,MATCH(24,Recipes!$AM$5:$AM$204,0)),"")</f>
        <v>0</v>
      </c>
      <c r="I40" s="19">
        <f>IFERROR(INDEX(Recipes!$BB$5:$BB$204,MATCH(24,Recipes!$AM$5:$AM$204,0)),"")</f>
        <v>0</v>
      </c>
      <c r="J40" s="46">
        <f>IFERROR(INDEX(Recipes!$R$5:$R$204,MATCH(24,Recipes!$AM$5:$AM$204,0)),"")</f>
        <v>0</v>
      </c>
    </row>
    <row r="41" spans="1:10">
      <c r="A41" s="13">
        <v>25</v>
      </c>
      <c r="B41" s="17">
        <f>IFERROR(INDEX(Recipes!$B$5:$B$204,MATCH(25,Recipes!$AM$5:$AM$204,0)),"")</f>
        <v>0</v>
      </c>
      <c r="C41" s="17">
        <f>IFERROR(INDEX(Recipes!$C$5:$C$204,MATCH(25,Recipes!$AM$5:$AM$204,0)),"")</f>
        <v>0</v>
      </c>
      <c r="D41" s="17">
        <f>IFERROR(INDEX(Recipes!$T$5:$T$204,MATCH(25,Recipes!$AM$5:$AM$204,0)),"")</f>
        <v>0</v>
      </c>
      <c r="E41" s="18">
        <f>IFERROR(INDEX(Recipes!$J$5:$J$204,MATCH(25,Recipes!$AM$5:$AM$204,0)),"")</f>
        <v>0</v>
      </c>
      <c r="F41" s="25">
        <f>IFERROR(INDEX(Recipes!$AD$5:$AD$204,MATCH(25,Recipes!$AM$5:$AM$204,0)),"")</f>
        <v>0</v>
      </c>
      <c r="G41" s="30">
        <f>IFERROR(INDEX(Recipes!$AE$5:$AE$204,MATCH(25,Recipes!$AM$5:$AM$204,0)),"")</f>
        <v>0</v>
      </c>
      <c r="H41" s="46">
        <f>IFERROR(INDEX(Recipes!$AW$5:$AW$204,MATCH(25,Recipes!$AM$5:$AM$204,0)),"")</f>
        <v>0</v>
      </c>
      <c r="I41" s="19">
        <f>IFERROR(INDEX(Recipes!$BB$5:$BB$204,MATCH(25,Recipes!$AM$5:$AM$204,0)),"")</f>
        <v>0</v>
      </c>
      <c r="J41" s="46">
        <f>IFERROR(INDEX(Recipes!$R$5:$R$204,MATCH(25,Recipes!$AM$5:$AM$204,0)),"")</f>
        <v>0</v>
      </c>
    </row>
    <row r="43" spans="1:10" ht="20" customHeight="1">
      <c r="A43" s="7" t="s">
        <v>1239</v>
      </c>
      <c r="B43" s="7"/>
      <c r="C43" s="7"/>
      <c r="D43" s="7"/>
      <c r="E43" s="7"/>
      <c r="F43" s="7"/>
      <c r="G43" s="7"/>
      <c r="H43" s="7"/>
      <c r="I43" s="7"/>
      <c r="J43" s="7"/>
    </row>
    <row r="44" spans="1:10" ht="26" customHeight="1">
      <c r="A44" s="8" t="s">
        <v>1240</v>
      </c>
      <c r="B44" s="9" t="s">
        <v>381</v>
      </c>
      <c r="C44" s="9" t="s">
        <v>713</v>
      </c>
      <c r="D44" s="9" t="s">
        <v>1241</v>
      </c>
      <c r="E44" s="9" t="s">
        <v>1242</v>
      </c>
    </row>
    <row r="45" spans="1:10">
      <c r="A45" s="17">
        <f>IFERROR(IF(INDEX(MemberNames,1)=0,"",INDEX(MemberNames,1)),"")</f>
        <v>0</v>
      </c>
      <c r="B45" s="17">
        <f>IF(A45="","",IFERROR(INDEX(Household!$F$5:$F$16,MATCH(A45,Household!$B$5:$B$16,0)),""))</f>
        <v>0</v>
      </c>
      <c r="C45" s="17">
        <f>IF(A45="","",IFERROR(INDEX(Household!$G$5:$G$16,MATCH(A45,Household!$B$5:$B$16,0)),""))</f>
        <v>0</v>
      </c>
      <c r="D45" s="18">
        <f>IF(A45="","",IF(IFERROR(INDEX(Household!$F$5:$F$16,MATCH(A45,Household!$B$5:$B$16,0)),"")="No restriction",COUNTIF(Recipes!$B$5:$B$204,"&lt;&gt;"),COUNTIFS(Recipes!$T$5:$T$204,IFERROR(INDEX(Household!$F$5:$F$16,MATCH(A45,Household!$B$5:$B$16,0)),""))))</f>
        <v>0</v>
      </c>
      <c r="E45" s="18">
        <f>IF(A45="","",IF(OR(IFERROR(INDEX(Household!$G$5:$G$16,MATCH(A45,Household!$B$5:$B$16,0)),"")="",IFERROR(INDEX(Household!$G$5:$G$16,MATCH(A45,Household!$B$5:$B$16,0)),"")="None"),0,SUMPRODUCT((COUNTIFS('Recipe Ingredients'!$B$5:$B$1204,Recipes!$A$5:$A$204,'Recipe Ingredients'!$V$5:$V$1204,IFERROR(INDEX(Household!$G$5:$G$16,MATCH(A45,Household!$B$5:$B$16,0)),""))&gt;0)*(Recipes!$B$5:$B$204&lt;&gt;""))))</f>
        <v>0</v>
      </c>
    </row>
    <row r="46" spans="1:10">
      <c r="A46" s="17">
        <f>IFERROR(IF(INDEX(MemberNames,2)=0,"",INDEX(MemberNames,2)),"")</f>
        <v>0</v>
      </c>
      <c r="B46" s="17">
        <f>IF(A46="","",IFERROR(INDEX(Household!$F$5:$F$16,MATCH(A46,Household!$B$5:$B$16,0)),""))</f>
        <v>0</v>
      </c>
      <c r="C46" s="17">
        <f>IF(A46="","",IFERROR(INDEX(Household!$G$5:$G$16,MATCH(A46,Household!$B$5:$B$16,0)),""))</f>
        <v>0</v>
      </c>
      <c r="D46" s="18">
        <f>IF(A46="","",IF(IFERROR(INDEX(Household!$F$5:$F$16,MATCH(A46,Household!$B$5:$B$16,0)),"")="No restriction",COUNTIF(Recipes!$B$5:$B$204,"&lt;&gt;"),COUNTIFS(Recipes!$T$5:$T$204,IFERROR(INDEX(Household!$F$5:$F$16,MATCH(A46,Household!$B$5:$B$16,0)),""))))</f>
        <v>0</v>
      </c>
      <c r="E46" s="18">
        <f>IF(A46="","",IF(OR(IFERROR(INDEX(Household!$G$5:$G$16,MATCH(A46,Household!$B$5:$B$16,0)),"")="",IFERROR(INDEX(Household!$G$5:$G$16,MATCH(A46,Household!$B$5:$B$16,0)),"")="None"),0,SUMPRODUCT((COUNTIFS('Recipe Ingredients'!$B$5:$B$1204,Recipes!$A$5:$A$204,'Recipe Ingredients'!$V$5:$V$1204,IFERROR(INDEX(Household!$G$5:$G$16,MATCH(A46,Household!$B$5:$B$16,0)),""))&gt;0)*(Recipes!$B$5:$B$204&lt;&gt;""))))</f>
        <v>0</v>
      </c>
    </row>
    <row r="47" spans="1:10">
      <c r="A47" s="17">
        <f>IFERROR(IF(INDEX(MemberNames,3)=0,"",INDEX(MemberNames,3)),"")</f>
        <v>0</v>
      </c>
      <c r="B47" s="17">
        <f>IF(A47="","",IFERROR(INDEX(Household!$F$5:$F$16,MATCH(A47,Household!$B$5:$B$16,0)),""))</f>
        <v>0</v>
      </c>
      <c r="C47" s="17">
        <f>IF(A47="","",IFERROR(INDEX(Household!$G$5:$G$16,MATCH(A47,Household!$B$5:$B$16,0)),""))</f>
        <v>0</v>
      </c>
      <c r="D47" s="18">
        <f>IF(A47="","",IF(IFERROR(INDEX(Household!$F$5:$F$16,MATCH(A47,Household!$B$5:$B$16,0)),"")="No restriction",COUNTIF(Recipes!$B$5:$B$204,"&lt;&gt;"),COUNTIFS(Recipes!$T$5:$T$204,IFERROR(INDEX(Household!$F$5:$F$16,MATCH(A47,Household!$B$5:$B$16,0)),""))))</f>
        <v>0</v>
      </c>
      <c r="E47" s="18">
        <f>IF(A47="","",IF(OR(IFERROR(INDEX(Household!$G$5:$G$16,MATCH(A47,Household!$B$5:$B$16,0)),"")="",IFERROR(INDEX(Household!$G$5:$G$16,MATCH(A47,Household!$B$5:$B$16,0)),"")="None"),0,SUMPRODUCT((COUNTIFS('Recipe Ingredients'!$B$5:$B$1204,Recipes!$A$5:$A$204,'Recipe Ingredients'!$V$5:$V$1204,IFERROR(INDEX(Household!$G$5:$G$16,MATCH(A47,Household!$B$5:$B$16,0)),""))&gt;0)*(Recipes!$B$5:$B$204&lt;&gt;""))))</f>
        <v>0</v>
      </c>
    </row>
    <row r="48" spans="1:10">
      <c r="A48" s="17">
        <f>IFERROR(IF(INDEX(MemberNames,4)=0,"",INDEX(MemberNames,4)),"")</f>
        <v>0</v>
      </c>
      <c r="B48" s="17">
        <f>IF(A48="","",IFERROR(INDEX(Household!$F$5:$F$16,MATCH(A48,Household!$B$5:$B$16,0)),""))</f>
        <v>0</v>
      </c>
      <c r="C48" s="17">
        <f>IF(A48="","",IFERROR(INDEX(Household!$G$5:$G$16,MATCH(A48,Household!$B$5:$B$16,0)),""))</f>
        <v>0</v>
      </c>
      <c r="D48" s="18">
        <f>IF(A48="","",IF(IFERROR(INDEX(Household!$F$5:$F$16,MATCH(A48,Household!$B$5:$B$16,0)),"")="No restriction",COUNTIF(Recipes!$B$5:$B$204,"&lt;&gt;"),COUNTIFS(Recipes!$T$5:$T$204,IFERROR(INDEX(Household!$F$5:$F$16,MATCH(A48,Household!$B$5:$B$16,0)),""))))</f>
        <v>0</v>
      </c>
      <c r="E48" s="18">
        <f>IF(A48="","",IF(OR(IFERROR(INDEX(Household!$G$5:$G$16,MATCH(A48,Household!$B$5:$B$16,0)),"")="",IFERROR(INDEX(Household!$G$5:$G$16,MATCH(A48,Household!$B$5:$B$16,0)),"")="None"),0,SUMPRODUCT((COUNTIFS('Recipe Ingredients'!$B$5:$B$1204,Recipes!$A$5:$A$204,'Recipe Ingredients'!$V$5:$V$1204,IFERROR(INDEX(Household!$G$5:$G$16,MATCH(A48,Household!$B$5:$B$16,0)),""))&gt;0)*(Recipes!$B$5:$B$204&lt;&gt;""))))</f>
        <v>0</v>
      </c>
    </row>
    <row r="49" spans="1:10">
      <c r="A49" s="17">
        <f>IFERROR(IF(INDEX(MemberNames,5)=0,"",INDEX(MemberNames,5)),"")</f>
        <v>0</v>
      </c>
      <c r="B49" s="17">
        <f>IF(A49="","",IFERROR(INDEX(Household!$F$5:$F$16,MATCH(A49,Household!$B$5:$B$16,0)),""))</f>
        <v>0</v>
      </c>
      <c r="C49" s="17">
        <f>IF(A49="","",IFERROR(INDEX(Household!$G$5:$G$16,MATCH(A49,Household!$B$5:$B$16,0)),""))</f>
        <v>0</v>
      </c>
      <c r="D49" s="18">
        <f>IF(A49="","",IF(IFERROR(INDEX(Household!$F$5:$F$16,MATCH(A49,Household!$B$5:$B$16,0)),"")="No restriction",COUNTIF(Recipes!$B$5:$B$204,"&lt;&gt;"),COUNTIFS(Recipes!$T$5:$T$204,IFERROR(INDEX(Household!$F$5:$F$16,MATCH(A49,Household!$B$5:$B$16,0)),""))))</f>
        <v>0</v>
      </c>
      <c r="E49" s="18">
        <f>IF(A49="","",IF(OR(IFERROR(INDEX(Household!$G$5:$G$16,MATCH(A49,Household!$B$5:$B$16,0)),"")="",IFERROR(INDEX(Household!$G$5:$G$16,MATCH(A49,Household!$B$5:$B$16,0)),"")="None"),0,SUMPRODUCT((COUNTIFS('Recipe Ingredients'!$B$5:$B$1204,Recipes!$A$5:$A$204,'Recipe Ingredients'!$V$5:$V$1204,IFERROR(INDEX(Household!$G$5:$G$16,MATCH(A49,Household!$B$5:$B$16,0)),""))&gt;0)*(Recipes!$B$5:$B$204&lt;&gt;""))))</f>
        <v>0</v>
      </c>
    </row>
    <row r="50" spans="1:10">
      <c r="A50" s="17">
        <f>IFERROR(IF(INDEX(MemberNames,6)=0,"",INDEX(MemberNames,6)),"")</f>
        <v>0</v>
      </c>
      <c r="B50" s="17">
        <f>IF(A50="","",IFERROR(INDEX(Household!$F$5:$F$16,MATCH(A50,Household!$B$5:$B$16,0)),""))</f>
        <v>0</v>
      </c>
      <c r="C50" s="17">
        <f>IF(A50="","",IFERROR(INDEX(Household!$G$5:$G$16,MATCH(A50,Household!$B$5:$B$16,0)),""))</f>
        <v>0</v>
      </c>
      <c r="D50" s="18">
        <f>IF(A50="","",IF(IFERROR(INDEX(Household!$F$5:$F$16,MATCH(A50,Household!$B$5:$B$16,0)),"")="No restriction",COUNTIF(Recipes!$B$5:$B$204,"&lt;&gt;"),COUNTIFS(Recipes!$T$5:$T$204,IFERROR(INDEX(Household!$F$5:$F$16,MATCH(A50,Household!$B$5:$B$16,0)),""))))</f>
        <v>0</v>
      </c>
      <c r="E50" s="18">
        <f>IF(A50="","",IF(OR(IFERROR(INDEX(Household!$G$5:$G$16,MATCH(A50,Household!$B$5:$B$16,0)),"")="",IFERROR(INDEX(Household!$G$5:$G$16,MATCH(A50,Household!$B$5:$B$16,0)),"")="None"),0,SUMPRODUCT((COUNTIFS('Recipe Ingredients'!$B$5:$B$1204,Recipes!$A$5:$A$204,'Recipe Ingredients'!$V$5:$V$1204,IFERROR(INDEX(Household!$G$5:$G$16,MATCH(A50,Household!$B$5:$B$16,0)),""))&gt;0)*(Recipes!$B$5:$B$204&lt;&gt;""))))</f>
        <v>0</v>
      </c>
    </row>
    <row r="52" spans="1:10" ht="46" customHeight="1">
      <c r="A52" s="6" t="s">
        <v>1243</v>
      </c>
      <c r="B52" s="6"/>
      <c r="C52" s="6"/>
      <c r="D52" s="6"/>
      <c r="E52" s="6"/>
      <c r="F52" s="6"/>
      <c r="G52" s="6"/>
      <c r="H52" s="6"/>
      <c r="I52" s="6"/>
      <c r="J52" s="6"/>
    </row>
  </sheetData>
  <sheetProtection password="EC7C" sheet="1" objects="1" scenarios="1" formatCells="0" formatColumns="0" formatRows="0" insertRows="0" insertHyperlinks="0" deleteRows="0" autoFilter="0"/>
  <mergeCells count="26">
    <mergeCell ref="A1:G1"/>
    <mergeCell ref="H1:J1"/>
    <mergeCell ref="A2:J2"/>
    <mergeCell ref="A3:B3"/>
    <mergeCell ref="C3:D3"/>
    <mergeCell ref="E3:F3"/>
    <mergeCell ref="G3:H3"/>
    <mergeCell ref="I3:J3"/>
    <mergeCell ref="A5:J5"/>
    <mergeCell ref="B6:C6"/>
    <mergeCell ref="E6:H6"/>
    <mergeCell ref="B7:C7"/>
    <mergeCell ref="E7:H7"/>
    <mergeCell ref="B8:C8"/>
    <mergeCell ref="E8:H8"/>
    <mergeCell ref="B9:C9"/>
    <mergeCell ref="E9:H9"/>
    <mergeCell ref="B10:C10"/>
    <mergeCell ref="E10:H10"/>
    <mergeCell ref="B11:C11"/>
    <mergeCell ref="E11:H11"/>
    <mergeCell ref="A13:J13"/>
    <mergeCell ref="A14:C14"/>
    <mergeCell ref="D14:J14"/>
    <mergeCell ref="A43:J43"/>
    <mergeCell ref="A52:J52"/>
  </mergeCells>
  <conditionalFormatting sqref="E17:E41">
    <cfRule type="cellIs" dxfId="1" priority="1" operator="lessThanOrEqual">
      <formula>30</formula>
    </cfRule>
  </conditionalFormatting>
  <conditionalFormatting sqref="F17:F41">
    <cfRule type="dataBar" priority="2">
      <dataBar>
        <cfvo type="min" val="0"/>
        <cfvo type="max" val="0"/>
        <color rgb="FF4E8A63"/>
      </dataBar>
    </cfRule>
  </conditionalFormatting>
  <dataValidations count="6">
    <dataValidation type="list" allowBlank="1" showInputMessage="1" showErrorMessage="1" sqref="D6">
      <formula1>DietList</formula1>
    </dataValidation>
    <dataValidation type="list" allowBlank="1" showInputMessage="1" showErrorMessage="1" sqref="D7">
      <formula1>RecipeCategoryList</formula1>
    </dataValidation>
    <dataValidation type="list" allowBlank="1" showInputMessage="1" showErrorMessage="1" sqref="D8">
      <formula1>CookingMethodList</formula1>
    </dataValidation>
    <dataValidation type="whole" allowBlank="1" showInputMessage="1" showErrorMessage="1" errorTitle="Check the value" error="Enter a number between 0 and 600." sqref="D9">
      <formula1>0</formula1>
      <formula2>600</formula2>
    </dataValidation>
    <dataValidation type="decimal" allowBlank="1" showInputMessage="1" showErrorMessage="1" errorTitle="Check the value" error="Enter a number between 0 and 1000." sqref="D10">
      <formula1>0</formula1>
      <formula2>1000</formula2>
    </dataValidation>
    <dataValidation type="list" allowBlank="1" showInputMessage="1" showErrorMessage="1" sqref="D11">
      <formula1>AllergenList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&amp;L&amp;"Calibri,Bold"&amp;12&amp;C&amp;"Calibri,Bold"&amp;11Dietary Filters&amp;R&amp;"Calibri,Italic"&amp;9Automated Meal Planner &amp; Grocery List Spreadsheet</oddHeader>
    <oddFooter>&amp;L&amp;"Calibri,Italic"&amp;8Novality Store - v1.0.0&amp;C&amp;"Calibri,Italic"&amp;8Page &amp;P of &amp;N&amp;R&amp;"Calibri,Italic"&amp;8&amp;D</oddFooter>
  </headerFooter>
</worksheet>
</file>

<file path=xl/worksheets/sheet19.xml><?xml version="1.0" encoding="utf-8"?>
<worksheet xmlns="http://schemas.openxmlformats.org/spreadsheetml/2006/main" xmlns:r="http://schemas.openxmlformats.org/officeDocument/2006/relationships">
  <sheetPr>
    <tabColor rgb="FF4E8A63"/>
    <pageSetUpPr fitToPage="1"/>
  </sheetPr>
  <dimension ref="A1:J41"/>
  <sheetViews>
    <sheetView showGridLines="0" workbookViewId="0">
      <pane ySplit="4" topLeftCell="A5" activePane="bottomLeft" state="frozen"/>
      <selection pane="bottomLeft"/>
    </sheetView>
  </sheetViews>
  <sheetFormatPr defaultRowHeight="15"/>
  <cols>
    <col min="1" max="1" width="18.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 max="1" width="12.7109375" customWidth="1"/>
    <col min="2" max="2" width="12.7109375" customWidth="1"/>
    <col min="3" max="3" width="12.7109375" customWidth="1"/>
    <col min="4" max="4" width="11.7109375" customWidth="1"/>
    <col min="5" max="5" width="12.7109375" customWidth="1"/>
    <col min="6" max="6" width="12.7109375" customWidth="1"/>
    <col min="7" max="7" width="13.7109375" customWidth="1"/>
    <col min="8" max="8" width="15.7109375" customWidth="1"/>
    <col min="1" max="1" width="18.7109375" customWidth="1"/>
    <col min="2" max="2" width="16.7109375" customWidth="1"/>
    <col min="3" max="3" width="13.7109375" customWidth="1"/>
    <col min="4" max="4" width="14.7109375" customWidth="1"/>
    <col min="5" max="5" width="14.7109375" customWidth="1"/>
    <col min="6" max="6" width="26.7109375" customWidth="1"/>
    <col min="1" max="1" width="18.7109375" customWidth="1"/>
    <col min="2" max="2" width="17.7109375" customWidth="1"/>
    <col min="3" max="3" width="17.7109375" customWidth="1"/>
    <col min="4" max="4" width="15.7109375" customWidth="1"/>
    <col min="5" max="5" width="16.7109375" customWidth="1"/>
    <col min="1" max="1" width="26.7109375" customWidth="1"/>
    <col min="2" max="2" width="12.7109375" customWidth="1"/>
    <col min="3" max="3" width="22.7109375" customWidth="1"/>
    <col min="4" max="4" width="12.7109375" customWidth="1"/>
    <col min="5" max="5" width="22.7109375" customWidth="1"/>
    <col min="6" max="6" width="12.7109375" customWidth="1"/>
  </cols>
  <sheetData>
    <row r="1" spans="1:10" ht="34" customHeight="1">
      <c r="A1" s="2" t="s">
        <v>1244</v>
      </c>
      <c r="B1" s="2"/>
      <c r="C1" s="2"/>
      <c r="D1" s="2"/>
      <c r="E1" s="2"/>
      <c r="F1" s="2"/>
      <c r="G1" s="2"/>
      <c r="H1" s="3" t="s">
        <v>1</v>
      </c>
      <c r="I1" s="3"/>
      <c r="J1" s="3"/>
    </row>
    <row r="2" spans="1:10" ht="18" customHeight="1">
      <c r="A2" s="4" t="s">
        <v>1245</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1246</v>
      </c>
      <c r="B5" s="7"/>
      <c r="C5" s="7"/>
      <c r="D5" s="7"/>
      <c r="E5" s="7"/>
      <c r="F5" s="7"/>
      <c r="G5" s="7"/>
      <c r="H5" s="7"/>
      <c r="I5" s="7"/>
      <c r="J5" s="7"/>
    </row>
    <row r="6" spans="1:10" ht="26" customHeight="1">
      <c r="A6" s="8" t="s">
        <v>881</v>
      </c>
      <c r="B6" s="9" t="s">
        <v>253</v>
      </c>
      <c r="C6" s="9" t="s">
        <v>789</v>
      </c>
      <c r="D6" s="9" t="s">
        <v>255</v>
      </c>
      <c r="E6" s="9" t="s">
        <v>256</v>
      </c>
      <c r="F6" s="9" t="s">
        <v>1247</v>
      </c>
      <c r="G6" s="9" t="s">
        <v>1248</v>
      </c>
      <c r="H6" s="9" t="s">
        <v>1249</v>
      </c>
    </row>
    <row r="7" spans="1:10">
      <c r="A7" s="30">
        <f>CalorieTarget</f>
        <v>0</v>
      </c>
      <c r="B7" s="45">
        <f>ProteinTarget</f>
        <v>0</v>
      </c>
      <c r="C7" s="45">
        <f>CarbTarget</f>
        <v>0</v>
      </c>
      <c r="D7" s="45">
        <f>FatTarget</f>
        <v>0</v>
      </c>
      <c r="E7" s="45">
        <f>FibreTarget</f>
        <v>0</v>
      </c>
      <c r="F7" s="45">
        <f>SugarLimit</f>
        <v>0</v>
      </c>
      <c r="G7" s="30">
        <f>SodiumLimit</f>
        <v>0</v>
      </c>
      <c r="H7" s="18">
        <f>WaterTarget</f>
        <v>0</v>
      </c>
    </row>
    <row r="8" spans="1:10" ht="26" customHeight="1">
      <c r="A8" s="6" t="s">
        <v>1250</v>
      </c>
      <c r="B8" s="6"/>
      <c r="C8" s="6"/>
      <c r="D8" s="6"/>
      <c r="E8" s="6"/>
      <c r="F8" s="6"/>
      <c r="G8" s="6"/>
      <c r="H8" s="6"/>
      <c r="I8" s="6"/>
      <c r="J8" s="6"/>
    </row>
    <row r="9" spans="1:10" ht="20" customHeight="1">
      <c r="A9" s="7" t="s">
        <v>1251</v>
      </c>
      <c r="B9" s="7"/>
      <c r="C9" s="7"/>
      <c r="D9" s="7"/>
      <c r="E9" s="7"/>
      <c r="F9" s="7"/>
      <c r="G9" s="7"/>
      <c r="H9" s="7"/>
      <c r="I9" s="7"/>
      <c r="J9" s="7"/>
    </row>
    <row r="10" spans="1:10" ht="24" customHeight="1">
      <c r="A10" s="8" t="s">
        <v>157</v>
      </c>
      <c r="B10" s="23">
        <f>WeekPick+0</f>
        <v>0</v>
      </c>
      <c r="C10" s="23">
        <f>WeekPick+1</f>
        <v>0</v>
      </c>
      <c r="D10" s="23">
        <f>WeekPick+2</f>
        <v>0</v>
      </c>
      <c r="E10" s="23">
        <f>WeekPick+3</f>
        <v>0</v>
      </c>
      <c r="F10" s="23">
        <f>WeekPick+4</f>
        <v>0</v>
      </c>
      <c r="G10" s="23">
        <f>WeekPick+5</f>
        <v>0</v>
      </c>
      <c r="H10" s="23">
        <f>WeekPick+6</f>
        <v>0</v>
      </c>
      <c r="I10" s="9" t="s">
        <v>1252</v>
      </c>
    </row>
    <row r="11" spans="1:10">
      <c r="A11" s="11" t="s">
        <v>1253</v>
      </c>
      <c r="B11" s="30">
        <f>IF(B$10="","",IFERROR(SUMIFS('Meal Plan'!$AA$5:$AA$504,'Meal Plan'!$B$5:$B$504,B$10)/MAX(1,DefaultServings),""))</f>
        <v>0</v>
      </c>
      <c r="C11" s="30">
        <f>IF(C$10="","",IFERROR(SUMIFS('Meal Plan'!$AA$5:$AA$504,'Meal Plan'!$B$5:$B$504,C$10)/MAX(1,DefaultServings),""))</f>
        <v>0</v>
      </c>
      <c r="D11" s="30">
        <f>IF(D$10="","",IFERROR(SUMIFS('Meal Plan'!$AA$5:$AA$504,'Meal Plan'!$B$5:$B$504,D$10)/MAX(1,DefaultServings),""))</f>
        <v>0</v>
      </c>
      <c r="E11" s="30">
        <f>IF(E$10="","",IFERROR(SUMIFS('Meal Plan'!$AA$5:$AA$504,'Meal Plan'!$B$5:$B$504,E$10)/MAX(1,DefaultServings),""))</f>
        <v>0</v>
      </c>
      <c r="F11" s="30">
        <f>IF(F$10="","",IFERROR(SUMIFS('Meal Plan'!$AA$5:$AA$504,'Meal Plan'!$B$5:$B$504,F$10)/MAX(1,DefaultServings),""))</f>
        <v>0</v>
      </c>
      <c r="G11" s="30">
        <f>IF(G$10="","",IFERROR(SUMIFS('Meal Plan'!$AA$5:$AA$504,'Meal Plan'!$B$5:$B$504,G$10)/MAX(1,DefaultServings),""))</f>
        <v>0</v>
      </c>
      <c r="H11" s="30">
        <f>IF(H$10="","",IFERROR(SUMIFS('Meal Plan'!$AA$5:$AA$504,'Meal Plan'!$B$5:$B$504,H$10)/MAX(1,DefaultServings),""))</f>
        <v>0</v>
      </c>
      <c r="I11" s="53">
        <f>IFERROR(AVERAGE(B11:H11),"")</f>
        <v>0</v>
      </c>
    </row>
    <row r="12" spans="1:10">
      <c r="A12" s="11" t="s">
        <v>253</v>
      </c>
      <c r="B12" s="45">
        <f>IF(B$10="","",IFERROR(SUMPRODUCT(('Meal Plan'!$B$5:$B$504=B$10)*IFERROR('Meal Plan'!$W$5:$W$504*1,0)*IFERROR('Meal Plan'!$K$5:$K$504*1,0))/MAX(1,DefaultServings),""))</f>
        <v>0</v>
      </c>
      <c r="C12" s="45">
        <f>IF(C$10="","",IFERROR(SUMPRODUCT(('Meal Plan'!$B$5:$B$504=C$10)*IFERROR('Meal Plan'!$W$5:$W$504*1,0)*IFERROR('Meal Plan'!$K$5:$K$504*1,0))/MAX(1,DefaultServings),""))</f>
        <v>0</v>
      </c>
      <c r="D12" s="45">
        <f>IF(D$10="","",IFERROR(SUMPRODUCT(('Meal Plan'!$B$5:$B$504=D$10)*IFERROR('Meal Plan'!$W$5:$W$504*1,0)*IFERROR('Meal Plan'!$K$5:$K$504*1,0))/MAX(1,DefaultServings),""))</f>
        <v>0</v>
      </c>
      <c r="E12" s="45">
        <f>IF(E$10="","",IFERROR(SUMPRODUCT(('Meal Plan'!$B$5:$B$504=E$10)*IFERROR('Meal Plan'!$W$5:$W$504*1,0)*IFERROR('Meal Plan'!$K$5:$K$504*1,0))/MAX(1,DefaultServings),""))</f>
        <v>0</v>
      </c>
      <c r="F12" s="45">
        <f>IF(F$10="","",IFERROR(SUMPRODUCT(('Meal Plan'!$B$5:$B$504=F$10)*IFERROR('Meal Plan'!$W$5:$W$504*1,0)*IFERROR('Meal Plan'!$K$5:$K$504*1,0))/MAX(1,DefaultServings),""))</f>
        <v>0</v>
      </c>
      <c r="G12" s="45">
        <f>IF(G$10="","",IFERROR(SUMPRODUCT(('Meal Plan'!$B$5:$B$504=G$10)*IFERROR('Meal Plan'!$W$5:$W$504*1,0)*IFERROR('Meal Plan'!$K$5:$K$504*1,0))/MAX(1,DefaultServings),""))</f>
        <v>0</v>
      </c>
      <c r="H12" s="45">
        <f>IF(H$10="","",IFERROR(SUMPRODUCT(('Meal Plan'!$B$5:$B$504=H$10)*IFERROR('Meal Plan'!$W$5:$W$504*1,0)*IFERROR('Meal Plan'!$K$5:$K$504*1,0))/MAX(1,DefaultServings),""))</f>
        <v>0</v>
      </c>
      <c r="I12" s="53">
        <f>IFERROR(AVERAGE(B12:H12),"")</f>
        <v>0</v>
      </c>
    </row>
    <row r="13" spans="1:10">
      <c r="A13" s="11" t="s">
        <v>789</v>
      </c>
      <c r="B13" s="45">
        <f>IF(B$10="","",IFERROR(SUMPRODUCT(('Meal Plan'!$B$5:$B$504=B$10)*IFERROR('Meal Plan'!$X$5:$X$504*1,0)*IFERROR('Meal Plan'!$K$5:$K$504*1,0))/MAX(1,DefaultServings),""))</f>
        <v>0</v>
      </c>
      <c r="C13" s="45">
        <f>IF(C$10="","",IFERROR(SUMPRODUCT(('Meal Plan'!$B$5:$B$504=C$10)*IFERROR('Meal Plan'!$X$5:$X$504*1,0)*IFERROR('Meal Plan'!$K$5:$K$504*1,0))/MAX(1,DefaultServings),""))</f>
        <v>0</v>
      </c>
      <c r="D13" s="45">
        <f>IF(D$10="","",IFERROR(SUMPRODUCT(('Meal Plan'!$B$5:$B$504=D$10)*IFERROR('Meal Plan'!$X$5:$X$504*1,0)*IFERROR('Meal Plan'!$K$5:$K$504*1,0))/MAX(1,DefaultServings),""))</f>
        <v>0</v>
      </c>
      <c r="E13" s="45">
        <f>IF(E$10="","",IFERROR(SUMPRODUCT(('Meal Plan'!$B$5:$B$504=E$10)*IFERROR('Meal Plan'!$X$5:$X$504*1,0)*IFERROR('Meal Plan'!$K$5:$K$504*1,0))/MAX(1,DefaultServings),""))</f>
        <v>0</v>
      </c>
      <c r="F13" s="45">
        <f>IF(F$10="","",IFERROR(SUMPRODUCT(('Meal Plan'!$B$5:$B$504=F$10)*IFERROR('Meal Plan'!$X$5:$X$504*1,0)*IFERROR('Meal Plan'!$K$5:$K$504*1,0))/MAX(1,DefaultServings),""))</f>
        <v>0</v>
      </c>
      <c r="G13" s="45">
        <f>IF(G$10="","",IFERROR(SUMPRODUCT(('Meal Plan'!$B$5:$B$504=G$10)*IFERROR('Meal Plan'!$X$5:$X$504*1,0)*IFERROR('Meal Plan'!$K$5:$K$504*1,0))/MAX(1,DefaultServings),""))</f>
        <v>0</v>
      </c>
      <c r="H13" s="45">
        <f>IF(H$10="","",IFERROR(SUMPRODUCT(('Meal Plan'!$B$5:$B$504=H$10)*IFERROR('Meal Plan'!$X$5:$X$504*1,0)*IFERROR('Meal Plan'!$K$5:$K$504*1,0))/MAX(1,DefaultServings),""))</f>
        <v>0</v>
      </c>
      <c r="I13" s="53">
        <f>IFERROR(AVERAGE(B13:H13),"")</f>
        <v>0</v>
      </c>
    </row>
    <row r="14" spans="1:10">
      <c r="A14" s="11" t="s">
        <v>255</v>
      </c>
      <c r="B14" s="45">
        <f>IF(B$10="","",IFERROR(SUMPRODUCT(('Meal Plan'!$B$5:$B$504=B$10)*IFERROR('Meal Plan'!$Y$5:$Y$504*1,0)*IFERROR('Meal Plan'!$K$5:$K$504*1,0))/MAX(1,DefaultServings),""))</f>
        <v>0</v>
      </c>
      <c r="C14" s="45">
        <f>IF(C$10="","",IFERROR(SUMPRODUCT(('Meal Plan'!$B$5:$B$504=C$10)*IFERROR('Meal Plan'!$Y$5:$Y$504*1,0)*IFERROR('Meal Plan'!$K$5:$K$504*1,0))/MAX(1,DefaultServings),""))</f>
        <v>0</v>
      </c>
      <c r="D14" s="45">
        <f>IF(D$10="","",IFERROR(SUMPRODUCT(('Meal Plan'!$B$5:$B$504=D$10)*IFERROR('Meal Plan'!$Y$5:$Y$504*1,0)*IFERROR('Meal Plan'!$K$5:$K$504*1,0))/MAX(1,DefaultServings),""))</f>
        <v>0</v>
      </c>
      <c r="E14" s="45">
        <f>IF(E$10="","",IFERROR(SUMPRODUCT(('Meal Plan'!$B$5:$B$504=E$10)*IFERROR('Meal Plan'!$Y$5:$Y$504*1,0)*IFERROR('Meal Plan'!$K$5:$K$504*1,0))/MAX(1,DefaultServings),""))</f>
        <v>0</v>
      </c>
      <c r="F14" s="45">
        <f>IF(F$10="","",IFERROR(SUMPRODUCT(('Meal Plan'!$B$5:$B$504=F$10)*IFERROR('Meal Plan'!$Y$5:$Y$504*1,0)*IFERROR('Meal Plan'!$K$5:$K$504*1,0))/MAX(1,DefaultServings),""))</f>
        <v>0</v>
      </c>
      <c r="G14" s="45">
        <f>IF(G$10="","",IFERROR(SUMPRODUCT(('Meal Plan'!$B$5:$B$504=G$10)*IFERROR('Meal Plan'!$Y$5:$Y$504*1,0)*IFERROR('Meal Plan'!$K$5:$K$504*1,0))/MAX(1,DefaultServings),""))</f>
        <v>0</v>
      </c>
      <c r="H14" s="45">
        <f>IF(H$10="","",IFERROR(SUMPRODUCT(('Meal Plan'!$B$5:$B$504=H$10)*IFERROR('Meal Plan'!$Y$5:$Y$504*1,0)*IFERROR('Meal Plan'!$K$5:$K$504*1,0))/MAX(1,DefaultServings),""))</f>
        <v>0</v>
      </c>
      <c r="I14" s="53">
        <f>IFERROR(AVERAGE(B14:H14),"")</f>
        <v>0</v>
      </c>
    </row>
    <row r="15" spans="1:10">
      <c r="A15" s="11" t="s">
        <v>256</v>
      </c>
      <c r="B15" s="45">
        <f>IF(B$10="","",IFERROR(SUMPRODUCT(('Meal Plan'!$B$5:$B$504=B$10)*IFERROR('Meal Plan'!$Z$5:$Z$504*1,0)*IFERROR('Meal Plan'!$K$5:$K$504*1,0))/MAX(1,DefaultServings),""))</f>
        <v>0</v>
      </c>
      <c r="C15" s="45">
        <f>IF(C$10="","",IFERROR(SUMPRODUCT(('Meal Plan'!$B$5:$B$504=C$10)*IFERROR('Meal Plan'!$Z$5:$Z$504*1,0)*IFERROR('Meal Plan'!$K$5:$K$504*1,0))/MAX(1,DefaultServings),""))</f>
        <v>0</v>
      </c>
      <c r="D15" s="45">
        <f>IF(D$10="","",IFERROR(SUMPRODUCT(('Meal Plan'!$B$5:$B$504=D$10)*IFERROR('Meal Plan'!$Z$5:$Z$504*1,0)*IFERROR('Meal Plan'!$K$5:$K$504*1,0))/MAX(1,DefaultServings),""))</f>
        <v>0</v>
      </c>
      <c r="E15" s="45">
        <f>IF(E$10="","",IFERROR(SUMPRODUCT(('Meal Plan'!$B$5:$B$504=E$10)*IFERROR('Meal Plan'!$Z$5:$Z$504*1,0)*IFERROR('Meal Plan'!$K$5:$K$504*1,0))/MAX(1,DefaultServings),""))</f>
        <v>0</v>
      </c>
      <c r="F15" s="45">
        <f>IF(F$10="","",IFERROR(SUMPRODUCT(('Meal Plan'!$B$5:$B$504=F$10)*IFERROR('Meal Plan'!$Z$5:$Z$504*1,0)*IFERROR('Meal Plan'!$K$5:$K$504*1,0))/MAX(1,DefaultServings),""))</f>
        <v>0</v>
      </c>
      <c r="G15" s="45">
        <f>IF(G$10="","",IFERROR(SUMPRODUCT(('Meal Plan'!$B$5:$B$504=G$10)*IFERROR('Meal Plan'!$Z$5:$Z$504*1,0)*IFERROR('Meal Plan'!$K$5:$K$504*1,0))/MAX(1,DefaultServings),""))</f>
        <v>0</v>
      </c>
      <c r="H15" s="45">
        <f>IF(H$10="","",IFERROR(SUMPRODUCT(('Meal Plan'!$B$5:$B$504=H$10)*IFERROR('Meal Plan'!$Z$5:$Z$504*1,0)*IFERROR('Meal Plan'!$K$5:$K$504*1,0))/MAX(1,DefaultServings),""))</f>
        <v>0</v>
      </c>
      <c r="I15" s="53">
        <f>IFERROR(AVERAGE(B15:H15),"")</f>
        <v>0</v>
      </c>
    </row>
    <row r="16" spans="1:10">
      <c r="A16" s="11" t="s">
        <v>1254</v>
      </c>
      <c r="B16" s="18">
        <f>IF(B$10="","",COUNTIFS('Meal Plan'!$B$5:$B$504,B$10))</f>
        <v>0</v>
      </c>
      <c r="C16" s="18">
        <f>IF(C$10="","",COUNTIFS('Meal Plan'!$B$5:$B$504,C$10))</f>
        <v>0</v>
      </c>
      <c r="D16" s="18">
        <f>IF(D$10="","",COUNTIFS('Meal Plan'!$B$5:$B$504,D$10))</f>
        <v>0</v>
      </c>
      <c r="E16" s="18">
        <f>IF(E$10="","",COUNTIFS('Meal Plan'!$B$5:$B$504,E$10))</f>
        <v>0</v>
      </c>
      <c r="F16" s="18">
        <f>IF(F$10="","",COUNTIFS('Meal Plan'!$B$5:$B$504,F$10))</f>
        <v>0</v>
      </c>
      <c r="G16" s="18">
        <f>IF(G$10="","",COUNTIFS('Meal Plan'!$B$5:$B$504,G$10))</f>
        <v>0</v>
      </c>
      <c r="H16" s="18">
        <f>IF(H$10="","",COUNTIFS('Meal Plan'!$B$5:$B$504,H$10))</f>
        <v>0</v>
      </c>
      <c r="I16" s="53">
        <f>SUM(B16:H16)</f>
        <v>0</v>
      </c>
    </row>
    <row r="18" spans="1:10" ht="20" customHeight="1">
      <c r="A18" s="7" t="s">
        <v>1255</v>
      </c>
      <c r="B18" s="7"/>
      <c r="C18" s="7"/>
      <c r="D18" s="7"/>
      <c r="E18" s="7"/>
      <c r="F18" s="7"/>
      <c r="G18" s="7"/>
      <c r="H18" s="7"/>
      <c r="I18" s="7"/>
      <c r="J18" s="7"/>
    </row>
    <row r="19" spans="1:10" ht="26" customHeight="1">
      <c r="A19" s="8" t="s">
        <v>157</v>
      </c>
      <c r="B19" s="9" t="s">
        <v>1256</v>
      </c>
      <c r="C19" s="9" t="s">
        <v>1257</v>
      </c>
      <c r="D19" s="9" t="s">
        <v>142</v>
      </c>
      <c r="E19" s="9" t="s">
        <v>1258</v>
      </c>
      <c r="F19" s="9" t="s">
        <v>1259</v>
      </c>
    </row>
    <row r="20" spans="1:10">
      <c r="A20" s="11" t="s">
        <v>1253</v>
      </c>
      <c r="B20" s="45">
        <f>I11</f>
        <v>0</v>
      </c>
      <c r="C20" s="45">
        <f>CalorieTarget</f>
        <v>0</v>
      </c>
      <c r="D20" s="45">
        <f>IFERROR(I11-CalorieTarget,"")</f>
        <v>0</v>
      </c>
      <c r="E20" s="50">
        <f>IFERROR(I11/CalorieTarget,"")</f>
        <v>0</v>
      </c>
      <c r="F20" s="17">
        <f>IF(I11="","No data yet",IF(I11&lt;CalorieTarget*0.85,"Under - add a bit more",IF(I11&gt;CalorieTarget*1.15,"Over - worth a look","About right")))</f>
        <v>0</v>
      </c>
    </row>
    <row r="21" spans="1:10">
      <c r="A21" s="11" t="s">
        <v>253</v>
      </c>
      <c r="B21" s="45">
        <f>I12</f>
        <v>0</v>
      </c>
      <c r="C21" s="45">
        <f>ProteinTarget</f>
        <v>0</v>
      </c>
      <c r="D21" s="45">
        <f>IFERROR(I12-ProteinTarget,"")</f>
        <v>0</v>
      </c>
      <c r="E21" s="50">
        <f>IFERROR(I12/ProteinTarget,"")</f>
        <v>0</v>
      </c>
      <c r="F21" s="17">
        <f>IF(I12="","No data yet",IF(I12&lt;ProteinTarget*0.85,"Under - add a bit more",IF(I12&gt;ProteinTarget*1.15,"Over - worth a look","About right")))</f>
        <v>0</v>
      </c>
    </row>
    <row r="22" spans="1:10">
      <c r="A22" s="11" t="s">
        <v>789</v>
      </c>
      <c r="B22" s="45">
        <f>I13</f>
        <v>0</v>
      </c>
      <c r="C22" s="45">
        <f>CarbTarget</f>
        <v>0</v>
      </c>
      <c r="D22" s="45">
        <f>IFERROR(I13-CarbTarget,"")</f>
        <v>0</v>
      </c>
      <c r="E22" s="50">
        <f>IFERROR(I13/CarbTarget,"")</f>
        <v>0</v>
      </c>
      <c r="F22" s="17">
        <f>IF(I13="","No data yet",IF(I13&lt;CarbTarget*0.85,"Under - add a bit more",IF(I13&gt;CarbTarget*1.15,"Over - worth a look","About right")))</f>
        <v>0</v>
      </c>
    </row>
    <row r="23" spans="1:10">
      <c r="A23" s="11" t="s">
        <v>255</v>
      </c>
      <c r="B23" s="45">
        <f>I14</f>
        <v>0</v>
      </c>
      <c r="C23" s="45">
        <f>FatTarget</f>
        <v>0</v>
      </c>
      <c r="D23" s="45">
        <f>IFERROR(I14-FatTarget,"")</f>
        <v>0</v>
      </c>
      <c r="E23" s="50">
        <f>IFERROR(I14/FatTarget,"")</f>
        <v>0</v>
      </c>
      <c r="F23" s="17">
        <f>IF(I14="","No data yet",IF(I14&lt;FatTarget*0.85,"Under - add a bit more",IF(I14&gt;FatTarget*1.15,"Over - worth a look","About right")))</f>
        <v>0</v>
      </c>
    </row>
    <row r="24" spans="1:10">
      <c r="A24" s="11" t="s">
        <v>256</v>
      </c>
      <c r="B24" s="45">
        <f>I15</f>
        <v>0</v>
      </c>
      <c r="C24" s="45">
        <f>FibreTarget</f>
        <v>0</v>
      </c>
      <c r="D24" s="45">
        <f>IFERROR(I15-FibreTarget,"")</f>
        <v>0</v>
      </c>
      <c r="E24" s="50">
        <f>IFERROR(I15/FibreTarget,"")</f>
        <v>0</v>
      </c>
      <c r="F24" s="17">
        <f>IF(I15="","No data yet",IF(I15&lt;FibreTarget*0.85,"Under - add a bit more",IF(I15&gt;FibreTarget*1.15,"Over - worth a look","About right")))</f>
        <v>0</v>
      </c>
    </row>
    <row r="26" spans="1:10" ht="20" customHeight="1">
      <c r="A26" s="7" t="s">
        <v>1260</v>
      </c>
      <c r="B26" s="7"/>
      <c r="C26" s="7"/>
      <c r="D26" s="7"/>
      <c r="E26" s="7"/>
      <c r="F26" s="7"/>
      <c r="G26" s="7"/>
      <c r="H26" s="7"/>
      <c r="I26" s="7"/>
      <c r="J26" s="7"/>
    </row>
    <row r="27" spans="1:10" ht="26" customHeight="1">
      <c r="A27" s="8" t="s">
        <v>163</v>
      </c>
      <c r="B27" s="9" t="s">
        <v>1261</v>
      </c>
      <c r="C27" s="9" t="s">
        <v>1262</v>
      </c>
      <c r="D27" s="9" t="s">
        <v>175</v>
      </c>
      <c r="E27" s="9" t="s">
        <v>1263</v>
      </c>
    </row>
    <row r="28" spans="1:10">
      <c r="A28" s="13" t="s">
        <v>165</v>
      </c>
      <c r="B28" s="30">
        <f>SUMIFS('Meal Plan'!$AA$5:$AA$504,'Meal Plan'!$B$5:$B$504,"&gt;="&amp;WeekPick,'Meal Plan'!$B$5:$B$504,"&lt;="&amp;WeekPick+6,'Meal Plan'!$F$5:$F$504,"Breakfast")</f>
        <v>0</v>
      </c>
      <c r="C28" s="50">
        <f>IFERROR(SUMIFS('Meal Plan'!$AA$5:$AA$504,'Meal Plan'!$B$5:$B$504,"&gt;="&amp;WeekPick,'Meal Plan'!$B$5:$B$504,"&lt;="&amp;WeekPick+6,'Meal Plan'!$F$5:$F$504,"Breakfast")/SUMIFS('Meal Plan'!$AA$5:$AA$504,'Meal Plan'!$B$5:$B$504,"&gt;="&amp;WeekPick,'Meal Plan'!$B$5:$B$504,"&lt;="&amp;WeekPick+6),"")</f>
        <v>0</v>
      </c>
      <c r="D28" s="18">
        <f>COUNTIFS('Meal Plan'!$B$5:$B$504,"&gt;="&amp;WeekPick,'Meal Plan'!$B$5:$B$504,"&lt;="&amp;WeekPick+6,'Meal Plan'!$F$5:$F$504,"Breakfast")</f>
        <v>0</v>
      </c>
      <c r="E28" s="30">
        <f>IFERROR(SUMIFS('Meal Plan'!$AA$5:$AA$504,'Meal Plan'!$B$5:$B$504,"&gt;="&amp;WeekPick,'Meal Plan'!$B$5:$B$504,"&lt;="&amp;WeekPick+6,'Meal Plan'!$F$5:$F$504,"Breakfast")/COUNTIFS('Meal Plan'!$B$5:$B$504,"&gt;="&amp;WeekPick,'Meal Plan'!$B$5:$B$504,"&lt;="&amp;WeekPick+6,'Meal Plan'!$F$5:$F$504,"Breakfast"),"")</f>
        <v>0</v>
      </c>
    </row>
    <row r="29" spans="1:10">
      <c r="A29" s="13" t="s">
        <v>167</v>
      </c>
      <c r="B29" s="30">
        <f>SUMIFS('Meal Plan'!$AA$5:$AA$504,'Meal Plan'!$B$5:$B$504,"&gt;="&amp;WeekPick,'Meal Plan'!$B$5:$B$504,"&lt;="&amp;WeekPick+6,'Meal Plan'!$F$5:$F$504,"Lunch")</f>
        <v>0</v>
      </c>
      <c r="C29" s="50">
        <f>IFERROR(SUMIFS('Meal Plan'!$AA$5:$AA$504,'Meal Plan'!$B$5:$B$504,"&gt;="&amp;WeekPick,'Meal Plan'!$B$5:$B$504,"&lt;="&amp;WeekPick+6,'Meal Plan'!$F$5:$F$504,"Lunch")/SUMIFS('Meal Plan'!$AA$5:$AA$504,'Meal Plan'!$B$5:$B$504,"&gt;="&amp;WeekPick,'Meal Plan'!$B$5:$B$504,"&lt;="&amp;WeekPick+6),"")</f>
        <v>0</v>
      </c>
      <c r="D29" s="18">
        <f>COUNTIFS('Meal Plan'!$B$5:$B$504,"&gt;="&amp;WeekPick,'Meal Plan'!$B$5:$B$504,"&lt;="&amp;WeekPick+6,'Meal Plan'!$F$5:$F$504,"Lunch")</f>
        <v>0</v>
      </c>
      <c r="E29" s="30">
        <f>IFERROR(SUMIFS('Meal Plan'!$AA$5:$AA$504,'Meal Plan'!$B$5:$B$504,"&gt;="&amp;WeekPick,'Meal Plan'!$B$5:$B$504,"&lt;="&amp;WeekPick+6,'Meal Plan'!$F$5:$F$504,"Lunch")/COUNTIFS('Meal Plan'!$B$5:$B$504,"&gt;="&amp;WeekPick,'Meal Plan'!$B$5:$B$504,"&lt;="&amp;WeekPick+6,'Meal Plan'!$F$5:$F$504,"Lunch"),"")</f>
        <v>0</v>
      </c>
    </row>
    <row r="30" spans="1:10">
      <c r="A30" s="13" t="s">
        <v>137</v>
      </c>
      <c r="B30" s="30">
        <f>SUMIFS('Meal Plan'!$AA$5:$AA$504,'Meal Plan'!$B$5:$B$504,"&gt;="&amp;WeekPick,'Meal Plan'!$B$5:$B$504,"&lt;="&amp;WeekPick+6,'Meal Plan'!$F$5:$F$504,"Dinner")</f>
        <v>0</v>
      </c>
      <c r="C30" s="50">
        <f>IFERROR(SUMIFS('Meal Plan'!$AA$5:$AA$504,'Meal Plan'!$B$5:$B$504,"&gt;="&amp;WeekPick,'Meal Plan'!$B$5:$B$504,"&lt;="&amp;WeekPick+6,'Meal Plan'!$F$5:$F$504,"Dinner")/SUMIFS('Meal Plan'!$AA$5:$AA$504,'Meal Plan'!$B$5:$B$504,"&gt;="&amp;WeekPick,'Meal Plan'!$B$5:$B$504,"&lt;="&amp;WeekPick+6),"")</f>
        <v>0</v>
      </c>
      <c r="D30" s="18">
        <f>COUNTIFS('Meal Plan'!$B$5:$B$504,"&gt;="&amp;WeekPick,'Meal Plan'!$B$5:$B$504,"&lt;="&amp;WeekPick+6,'Meal Plan'!$F$5:$F$504,"Dinner")</f>
        <v>0</v>
      </c>
      <c r="E30" s="30">
        <f>IFERROR(SUMIFS('Meal Plan'!$AA$5:$AA$504,'Meal Plan'!$B$5:$B$504,"&gt;="&amp;WeekPick,'Meal Plan'!$B$5:$B$504,"&lt;="&amp;WeekPick+6,'Meal Plan'!$F$5:$F$504,"Dinner")/COUNTIFS('Meal Plan'!$B$5:$B$504,"&gt;="&amp;WeekPick,'Meal Plan'!$B$5:$B$504,"&lt;="&amp;WeekPick+6,'Meal Plan'!$F$5:$F$504,"Dinner"),"")</f>
        <v>0</v>
      </c>
    </row>
    <row r="31" spans="1:10">
      <c r="A31" s="13" t="s">
        <v>170</v>
      </c>
      <c r="B31" s="30">
        <f>SUMIFS('Meal Plan'!$AA$5:$AA$504,'Meal Plan'!$B$5:$B$504,"&gt;="&amp;WeekPick,'Meal Plan'!$B$5:$B$504,"&lt;="&amp;WeekPick+6,'Meal Plan'!$F$5:$F$504,"Dessert")</f>
        <v>0</v>
      </c>
      <c r="C31" s="50">
        <f>IFERROR(SUMIFS('Meal Plan'!$AA$5:$AA$504,'Meal Plan'!$B$5:$B$504,"&gt;="&amp;WeekPick,'Meal Plan'!$B$5:$B$504,"&lt;="&amp;WeekPick+6,'Meal Plan'!$F$5:$F$504,"Dessert")/SUMIFS('Meal Plan'!$AA$5:$AA$504,'Meal Plan'!$B$5:$B$504,"&gt;="&amp;WeekPick,'Meal Plan'!$B$5:$B$504,"&lt;="&amp;WeekPick+6),"")</f>
        <v>0</v>
      </c>
      <c r="D31" s="18">
        <f>COUNTIFS('Meal Plan'!$B$5:$B$504,"&gt;="&amp;WeekPick,'Meal Plan'!$B$5:$B$504,"&lt;="&amp;WeekPick+6,'Meal Plan'!$F$5:$F$504,"Dessert")</f>
        <v>0</v>
      </c>
      <c r="E31" s="30">
        <f>IFERROR(SUMIFS('Meal Plan'!$AA$5:$AA$504,'Meal Plan'!$B$5:$B$504,"&gt;="&amp;WeekPick,'Meal Plan'!$B$5:$B$504,"&lt;="&amp;WeekPick+6,'Meal Plan'!$F$5:$F$504,"Dessert")/COUNTIFS('Meal Plan'!$B$5:$B$504,"&gt;="&amp;WeekPick,'Meal Plan'!$B$5:$B$504,"&lt;="&amp;WeekPick+6,'Meal Plan'!$F$5:$F$504,"Dessert"),"")</f>
        <v>0</v>
      </c>
    </row>
    <row r="33" spans="1:10" ht="20" customHeight="1">
      <c r="A33" s="7" t="s">
        <v>1264</v>
      </c>
      <c r="B33" s="7"/>
      <c r="C33" s="7"/>
      <c r="D33" s="7"/>
      <c r="E33" s="7"/>
      <c r="F33" s="7"/>
      <c r="G33" s="7"/>
      <c r="H33" s="7"/>
      <c r="I33" s="7"/>
      <c r="J33" s="7"/>
    </row>
    <row r="34" spans="1:10" ht="26" customHeight="1">
      <c r="A34" s="8" t="s">
        <v>1265</v>
      </c>
      <c r="B34" s="9" t="s">
        <v>1266</v>
      </c>
      <c r="C34" s="9" t="s">
        <v>1267</v>
      </c>
      <c r="D34" s="9" t="s">
        <v>1266</v>
      </c>
      <c r="E34" s="9" t="s">
        <v>1268</v>
      </c>
      <c r="F34" s="9" t="s">
        <v>1266</v>
      </c>
    </row>
    <row r="35" spans="1:10">
      <c r="A35" s="17">
        <f>IFERROR(IF(INDEX(Recipes!$AE$5:$AE$204,MATCH(1,Recipes!$AO$5:$AO$204,0))=0,"",INDEX(Recipes!$B$5:$B$204,MATCH(1,Recipes!$AO$5:$AO$204,0))),"")</f>
        <v>0</v>
      </c>
      <c r="B35" s="45">
        <f>IFERROR(IF(INDEX(Recipes!$AE$5:$AE$204,MATCH(1,Recipes!$AO$5:$AO$204,0))=0,"",INDEX(Recipes!$AE$5:$AE$204,MATCH(1,Recipes!$AO$5:$AO$204,0))),"")</f>
        <v>0</v>
      </c>
      <c r="C35" s="17">
        <f>IFERROR(IF(INDEX(Recipes!$AF$5:$AF$204,MATCH(1,Recipes!$AP$5:$AP$204,0))=0,"",INDEX(Recipes!$B$5:$B$204,MATCH(1,Recipes!$AP$5:$AP$204,0))),"")</f>
        <v>0</v>
      </c>
      <c r="D35" s="45">
        <f>IFERROR(IF(INDEX(Recipes!$AF$5:$AF$204,MATCH(1,Recipes!$AP$5:$AP$204,0))=0,"",INDEX(Recipes!$AF$5:$AF$204,MATCH(1,Recipes!$AP$5:$AP$204,0))),"")</f>
        <v>0</v>
      </c>
      <c r="E35" s="17">
        <f>IFERROR(IF(INDEX(Recipes!$AI$5:$AI$204,MATCH(1,Recipes!$AQ$5:$AQ$204,0))=0,"",INDEX(Recipes!$B$5:$B$204,MATCH(1,Recipes!$AQ$5:$AQ$204,0))),"")</f>
        <v>0</v>
      </c>
      <c r="F35" s="45">
        <f>IFERROR(IF(INDEX(Recipes!$AI$5:$AI$204,MATCH(1,Recipes!$AQ$5:$AQ$204,0))=0,"",INDEX(Recipes!$AI$5:$AI$204,MATCH(1,Recipes!$AQ$5:$AQ$204,0))),"")</f>
        <v>0</v>
      </c>
    </row>
    <row r="36" spans="1:10">
      <c r="A36" s="17">
        <f>IFERROR(IF(INDEX(Recipes!$AE$5:$AE$204,MATCH(2,Recipes!$AO$5:$AO$204,0))=0,"",INDEX(Recipes!$B$5:$B$204,MATCH(2,Recipes!$AO$5:$AO$204,0))),"")</f>
        <v>0</v>
      </c>
      <c r="B36" s="45">
        <f>IFERROR(IF(INDEX(Recipes!$AE$5:$AE$204,MATCH(2,Recipes!$AO$5:$AO$204,0))=0,"",INDEX(Recipes!$AE$5:$AE$204,MATCH(2,Recipes!$AO$5:$AO$204,0))),"")</f>
        <v>0</v>
      </c>
      <c r="C36" s="17">
        <f>IFERROR(IF(INDEX(Recipes!$AF$5:$AF$204,MATCH(2,Recipes!$AP$5:$AP$204,0))=0,"",INDEX(Recipes!$B$5:$B$204,MATCH(2,Recipes!$AP$5:$AP$204,0))),"")</f>
        <v>0</v>
      </c>
      <c r="D36" s="45">
        <f>IFERROR(IF(INDEX(Recipes!$AF$5:$AF$204,MATCH(2,Recipes!$AP$5:$AP$204,0))=0,"",INDEX(Recipes!$AF$5:$AF$204,MATCH(2,Recipes!$AP$5:$AP$204,0))),"")</f>
        <v>0</v>
      </c>
      <c r="E36" s="17">
        <f>IFERROR(IF(INDEX(Recipes!$AI$5:$AI$204,MATCH(2,Recipes!$AQ$5:$AQ$204,0))=0,"",INDEX(Recipes!$B$5:$B$204,MATCH(2,Recipes!$AQ$5:$AQ$204,0))),"")</f>
        <v>0</v>
      </c>
      <c r="F36" s="45">
        <f>IFERROR(IF(INDEX(Recipes!$AI$5:$AI$204,MATCH(2,Recipes!$AQ$5:$AQ$204,0))=0,"",INDEX(Recipes!$AI$5:$AI$204,MATCH(2,Recipes!$AQ$5:$AQ$204,0))),"")</f>
        <v>0</v>
      </c>
    </row>
    <row r="37" spans="1:10">
      <c r="A37" s="17">
        <f>IFERROR(IF(INDEX(Recipes!$AE$5:$AE$204,MATCH(3,Recipes!$AO$5:$AO$204,0))=0,"",INDEX(Recipes!$B$5:$B$204,MATCH(3,Recipes!$AO$5:$AO$204,0))),"")</f>
        <v>0</v>
      </c>
      <c r="B37" s="45">
        <f>IFERROR(IF(INDEX(Recipes!$AE$5:$AE$204,MATCH(3,Recipes!$AO$5:$AO$204,0))=0,"",INDEX(Recipes!$AE$5:$AE$204,MATCH(3,Recipes!$AO$5:$AO$204,0))),"")</f>
        <v>0</v>
      </c>
      <c r="C37" s="17">
        <f>IFERROR(IF(INDEX(Recipes!$AF$5:$AF$204,MATCH(3,Recipes!$AP$5:$AP$204,0))=0,"",INDEX(Recipes!$B$5:$B$204,MATCH(3,Recipes!$AP$5:$AP$204,0))),"")</f>
        <v>0</v>
      </c>
      <c r="D37" s="45">
        <f>IFERROR(IF(INDEX(Recipes!$AF$5:$AF$204,MATCH(3,Recipes!$AP$5:$AP$204,0))=0,"",INDEX(Recipes!$AF$5:$AF$204,MATCH(3,Recipes!$AP$5:$AP$204,0))),"")</f>
        <v>0</v>
      </c>
      <c r="E37" s="17">
        <f>IFERROR(IF(INDEX(Recipes!$AI$5:$AI$204,MATCH(3,Recipes!$AQ$5:$AQ$204,0))=0,"",INDEX(Recipes!$B$5:$B$204,MATCH(3,Recipes!$AQ$5:$AQ$204,0))),"")</f>
        <v>0</v>
      </c>
      <c r="F37" s="45">
        <f>IFERROR(IF(INDEX(Recipes!$AI$5:$AI$204,MATCH(3,Recipes!$AQ$5:$AQ$204,0))=0,"",INDEX(Recipes!$AI$5:$AI$204,MATCH(3,Recipes!$AQ$5:$AQ$204,0))),"")</f>
        <v>0</v>
      </c>
    </row>
    <row r="38" spans="1:10">
      <c r="A38" s="17">
        <f>IFERROR(IF(INDEX(Recipes!$AE$5:$AE$204,MATCH(4,Recipes!$AO$5:$AO$204,0))=0,"",INDEX(Recipes!$B$5:$B$204,MATCH(4,Recipes!$AO$5:$AO$204,0))),"")</f>
        <v>0</v>
      </c>
      <c r="B38" s="45">
        <f>IFERROR(IF(INDEX(Recipes!$AE$5:$AE$204,MATCH(4,Recipes!$AO$5:$AO$204,0))=0,"",INDEX(Recipes!$AE$5:$AE$204,MATCH(4,Recipes!$AO$5:$AO$204,0))),"")</f>
        <v>0</v>
      </c>
      <c r="C38" s="17">
        <f>IFERROR(IF(INDEX(Recipes!$AF$5:$AF$204,MATCH(4,Recipes!$AP$5:$AP$204,0))=0,"",INDEX(Recipes!$B$5:$B$204,MATCH(4,Recipes!$AP$5:$AP$204,0))),"")</f>
        <v>0</v>
      </c>
      <c r="D38" s="45">
        <f>IFERROR(IF(INDEX(Recipes!$AF$5:$AF$204,MATCH(4,Recipes!$AP$5:$AP$204,0))=0,"",INDEX(Recipes!$AF$5:$AF$204,MATCH(4,Recipes!$AP$5:$AP$204,0))),"")</f>
        <v>0</v>
      </c>
      <c r="E38" s="17">
        <f>IFERROR(IF(INDEX(Recipes!$AI$5:$AI$204,MATCH(4,Recipes!$AQ$5:$AQ$204,0))=0,"",INDEX(Recipes!$B$5:$B$204,MATCH(4,Recipes!$AQ$5:$AQ$204,0))),"")</f>
        <v>0</v>
      </c>
      <c r="F38" s="45">
        <f>IFERROR(IF(INDEX(Recipes!$AI$5:$AI$204,MATCH(4,Recipes!$AQ$5:$AQ$204,0))=0,"",INDEX(Recipes!$AI$5:$AI$204,MATCH(4,Recipes!$AQ$5:$AQ$204,0))),"")</f>
        <v>0</v>
      </c>
    </row>
    <row r="39" spans="1:10">
      <c r="A39" s="17">
        <f>IFERROR(IF(INDEX(Recipes!$AE$5:$AE$204,MATCH(5,Recipes!$AO$5:$AO$204,0))=0,"",INDEX(Recipes!$B$5:$B$204,MATCH(5,Recipes!$AO$5:$AO$204,0))),"")</f>
        <v>0</v>
      </c>
      <c r="B39" s="45">
        <f>IFERROR(IF(INDEX(Recipes!$AE$5:$AE$204,MATCH(5,Recipes!$AO$5:$AO$204,0))=0,"",INDEX(Recipes!$AE$5:$AE$204,MATCH(5,Recipes!$AO$5:$AO$204,0))),"")</f>
        <v>0</v>
      </c>
      <c r="C39" s="17">
        <f>IFERROR(IF(INDEX(Recipes!$AF$5:$AF$204,MATCH(5,Recipes!$AP$5:$AP$204,0))=0,"",INDEX(Recipes!$B$5:$B$204,MATCH(5,Recipes!$AP$5:$AP$204,0))),"")</f>
        <v>0</v>
      </c>
      <c r="D39" s="45">
        <f>IFERROR(IF(INDEX(Recipes!$AF$5:$AF$204,MATCH(5,Recipes!$AP$5:$AP$204,0))=0,"",INDEX(Recipes!$AF$5:$AF$204,MATCH(5,Recipes!$AP$5:$AP$204,0))),"")</f>
        <v>0</v>
      </c>
      <c r="E39" s="17">
        <f>IFERROR(IF(INDEX(Recipes!$AI$5:$AI$204,MATCH(5,Recipes!$AQ$5:$AQ$204,0))=0,"",INDEX(Recipes!$B$5:$B$204,MATCH(5,Recipes!$AQ$5:$AQ$204,0))),"")</f>
        <v>0</v>
      </c>
      <c r="F39" s="45">
        <f>IFERROR(IF(INDEX(Recipes!$AI$5:$AI$204,MATCH(5,Recipes!$AQ$5:$AQ$204,0))=0,"",INDEX(Recipes!$AI$5:$AI$204,MATCH(5,Recipes!$AQ$5:$AQ$204,0))),"")</f>
        <v>0</v>
      </c>
    </row>
    <row r="41" spans="1:10" ht="50" customHeight="1">
      <c r="A41" s="6" t="s">
        <v>1269</v>
      </c>
      <c r="B41" s="6"/>
      <c r="C41" s="6"/>
      <c r="D41" s="6"/>
      <c r="E41" s="6"/>
      <c r="F41" s="6"/>
      <c r="G41" s="6"/>
      <c r="H41" s="6"/>
      <c r="I41" s="6"/>
      <c r="J41" s="6"/>
    </row>
  </sheetData>
  <sheetProtection password="EC7C" sheet="1" objects="1" scenarios="1" formatCells="0" formatColumns="0" formatRows="0" insertRows="0" insertHyperlinks="0" deleteRows="0" autoFilter="0"/>
  <mergeCells count="15">
    <mergeCell ref="A1:G1"/>
    <mergeCell ref="H1:J1"/>
    <mergeCell ref="A2:J2"/>
    <mergeCell ref="A3:B3"/>
    <mergeCell ref="C3:D3"/>
    <mergeCell ref="E3:F3"/>
    <mergeCell ref="G3:H3"/>
    <mergeCell ref="I3:J3"/>
    <mergeCell ref="A5:J5"/>
    <mergeCell ref="A8:J8"/>
    <mergeCell ref="A9:J9"/>
    <mergeCell ref="A18:J18"/>
    <mergeCell ref="A26:J26"/>
    <mergeCell ref="A33:J33"/>
    <mergeCell ref="A41:J41"/>
  </mergeCells>
  <conditionalFormatting sqref="B11:H11">
    <cfRule type="expression" dxfId="0" priority="1">
      <formula>AND(B11&lt;&gt;"",B11&gt;CalorieTarget*1.15)</formula>
    </cfRule>
    <cfRule type="expression" dxfId="1" priority="2">
      <formula>AND(B11&lt;&gt;"",B11&gt;=CalorieTarget*0.85,B11&lt;=CalorieTarget*1.15)</formula>
    </cfRule>
  </conditionalFormatting>
  <conditionalFormatting sqref="B12:H12">
    <cfRule type="expression" dxfId="0" priority="3">
      <formula>AND(B12&lt;&gt;"",B12&gt;ProteinTarget*1.15)</formula>
    </cfRule>
    <cfRule type="expression" dxfId="1" priority="4">
      <formula>AND(B12&lt;&gt;"",B12&gt;=ProteinTarget*0.85,B12&lt;=ProteinTarget*1.15)</formula>
    </cfRule>
  </conditionalFormatting>
  <conditionalFormatting sqref="B13:H13">
    <cfRule type="expression" dxfId="0" priority="5">
      <formula>AND(B13&lt;&gt;"",B13&gt;CarbTarget*1.15)</formula>
    </cfRule>
    <cfRule type="expression" dxfId="1" priority="6">
      <formula>AND(B13&lt;&gt;"",B13&gt;=CarbTarget*0.85,B13&lt;=CarbTarget*1.15)</formula>
    </cfRule>
  </conditionalFormatting>
  <conditionalFormatting sqref="B14:H14">
    <cfRule type="expression" dxfId="0" priority="7">
      <formula>AND(B14&lt;&gt;"",B14&gt;FatTarget*1.15)</formula>
    </cfRule>
    <cfRule type="expression" dxfId="1" priority="8">
      <formula>AND(B14&lt;&gt;"",B14&gt;=FatTarget*0.85,B14&lt;=FatTarget*1.15)</formula>
    </cfRule>
  </conditionalFormatting>
  <conditionalFormatting sqref="B15:H15">
    <cfRule type="expression" dxfId="0" priority="9">
      <formula>AND(B15&lt;&gt;"",B15&gt;FibreTarget*1.15)</formula>
    </cfRule>
    <cfRule type="expression" dxfId="1" priority="10">
      <formula>AND(B15&lt;&gt;"",B15&gt;=FibreTarget*0.85,B15&lt;=FibreTarget*1.15)</formula>
    </cfRule>
  </conditionalFormatting>
  <conditionalFormatting sqref="E20:E24">
    <cfRule type="dataBar" priority="14">
      <dataBar>
        <cfvo type="min" val="0"/>
        <cfvo type="max" val="0"/>
        <color rgb="FF4E8A63"/>
      </dataBar>
    </cfRule>
  </conditionalFormatting>
  <conditionalFormatting sqref="F20:F24">
    <cfRule type="containsText" dxfId="1" priority="11" operator="containsText" text="About right">
      <formula>NOT(ISERROR(SEARCH("About right",F20)))</formula>
    </cfRule>
    <cfRule type="containsText" dxfId="0" priority="12" operator="containsText" text="Over">
      <formula>NOT(ISERROR(SEARCH("Over",F20)))</formula>
    </cfRule>
    <cfRule type="containsText" dxfId="4" priority="13" operator="containsText" text="Under">
      <formula>NOT(ISERROR(SEARCH("Under",F20)))</formula>
    </cfRule>
  </conditionalFormatting>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&amp;L&amp;"Calibri,Bold"&amp;12&amp;C&amp;"Calibri,Bold"&amp;11Nutrition&amp;R&amp;"Calibri,Italic"&amp;9Automated Meal Planner &amp; Grocery List Spreadsheet</oddHeader>
    <oddFooter>&amp;L&amp;"Calibri,Italic"&amp;8Novality Store - v1.0.0&amp;C&amp;"Calibri,Italic"&amp;8Page &amp;P of &amp;N&amp;R&amp;"Calibri,Italic"&amp;8&amp;D</oddFooter>
  </headerFooter>
</worksheet>
</file>

<file path=xl/worksheets/sheet20.xml><?xml version="1.0" encoding="utf-8"?>
<worksheet xmlns="http://schemas.openxmlformats.org/spreadsheetml/2006/main" xmlns:r="http://schemas.openxmlformats.org/officeDocument/2006/relationships">
  <sheetPr>
    <tabColor rgb="FF2F5E43"/>
    <pageSetUpPr fitToPage="1"/>
  </sheetPr>
  <dimension ref="A1:K57"/>
  <sheetViews>
    <sheetView showGridLines="0" workbookViewId="0">
      <pane ySplit="4" topLeftCell="A5" activePane="bottomLeft" state="frozen"/>
      <selection pane="bottomLeft"/>
    </sheetView>
  </sheetViews>
  <sheetFormatPr defaultRowHeight="15"/>
  <cols>
    <col min="1" max="1" width="16.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1" max="11" width="14.7109375" customWidth="1"/>
    <col min="1" max="1" width="12.7109375" customWidth="1"/>
    <col min="2" max="2" width="12.7109375" customWidth="1"/>
    <col min="3" max="3" width="13.7109375" customWidth="1"/>
    <col min="4" max="4" width="19.7109375" customWidth="1"/>
    <col min="5" max="5" width="11.7109375" customWidth="1"/>
    <col min="6" max="6" width="13.7109375" customWidth="1"/>
    <col min="7" max="7" width="12.7109375" customWidth="1"/>
    <col min="8" max="8" width="12.7109375" customWidth="1"/>
    <col min="9" max="9" width="12.7109375" customWidth="1"/>
    <col min="10" max="10" width="13.7109375" customWidth="1"/>
    <col min="1" max="1" width="20.7109375" customWidth="1"/>
    <col min="2" max="2" width="14.7109375" customWidth="1"/>
    <col min="3" max="3" width="14.7109375" customWidth="1"/>
    <col min="4" max="4" width="16.7109375" customWidth="1"/>
    <col min="5" max="5" width="13.7109375" customWidth="1"/>
    <col min="6" max="6" width="13.7109375" customWidth="1"/>
    <col min="1" max="1" width="20.7109375" customWidth="1"/>
    <col min="2" max="2" width="10.7109375" customWidth="1"/>
    <col min="3" max="3" width="13.7109375" customWidth="1"/>
    <col min="4" max="4" width="14.7109375" customWidth="1"/>
    <col min="5" max="5" width="12.7109375" customWidth="1"/>
    <col min="6" max="6" width="14.7109375" customWidth="1"/>
    <col min="1" max="1" width="16.7109375" customWidth="1"/>
    <col min="2" max="2" width="18.7109375" customWidth="1"/>
    <col min="3" max="3" width="18.7109375" customWidth="1"/>
    <col min="4" max="4" width="14.7109375" customWidth="1"/>
    <col min="5" max="5" width="14.7109375" customWidth="1"/>
    <col min="6" max="6" width="14.7109375" customWidth="1"/>
    <col min="1" max="1" width="18.7109375" customWidth="1"/>
    <col min="2" max="2" width="22.7109375" customWidth="1"/>
    <col min="3" max="3" width="26.7109375" customWidth="1"/>
    <col min="4" max="4" width="28.7109375" customWidth="1"/>
  </cols>
  <sheetData>
    <row r="1" spans="1:11" ht="34" customHeight="1">
      <c r="A1" s="2" t="s">
        <v>1270</v>
      </c>
      <c r="B1" s="2"/>
      <c r="C1" s="2"/>
      <c r="D1" s="2"/>
      <c r="E1" s="2"/>
      <c r="F1" s="2"/>
      <c r="G1" s="2"/>
      <c r="H1" s="2"/>
      <c r="I1" s="3" t="s">
        <v>1</v>
      </c>
      <c r="J1" s="3"/>
      <c r="K1" s="3"/>
    </row>
    <row r="2" spans="1:11" ht="18" customHeight="1">
      <c r="A2" s="4" t="s">
        <v>1271</v>
      </c>
      <c r="B2" s="4"/>
      <c r="C2" s="4"/>
      <c r="D2" s="4"/>
      <c r="E2" s="4"/>
      <c r="F2" s="4"/>
      <c r="G2" s="4"/>
      <c r="H2" s="4"/>
      <c r="I2" s="4"/>
      <c r="J2" s="4"/>
      <c r="K2" s="4"/>
    </row>
    <row r="3" spans="1:11" ht="16" customHeight="1">
      <c r="A3" s="5" t="s">
        <v>3</v>
      </c>
      <c r="B3" s="5"/>
      <c r="C3" s="5" t="s">
        <v>4</v>
      </c>
      <c r="D3" s="5"/>
      <c r="E3" s="5" t="s">
        <v>5</v>
      </c>
      <c r="F3" s="5"/>
      <c r="G3" s="5" t="s">
        <v>6</v>
      </c>
      <c r="H3" s="5"/>
      <c r="I3" s="5" t="s">
        <v>7</v>
      </c>
      <c r="J3" s="5"/>
      <c r="K3" s="28" t="s">
        <v>157</v>
      </c>
    </row>
    <row r="5" spans="1:11">
      <c r="A5" s="11" t="s">
        <v>161</v>
      </c>
      <c r="B5" s="25">
        <f>WeeklyBudget</f>
        <v>0</v>
      </c>
      <c r="C5" s="16" t="s">
        <v>568</v>
      </c>
      <c r="D5" s="25">
        <f>MonthlyBudget</f>
        <v>0</v>
      </c>
      <c r="E5" s="16" t="s">
        <v>1272</v>
      </c>
      <c r="F5" s="25">
        <f>AnnualBudget</f>
        <v>0</v>
      </c>
      <c r="G5" s="16" t="s">
        <v>1273</v>
      </c>
      <c r="H5" s="25">
        <f>IFERROR(WeeklyBudget/MAX(1,HouseMembers),"")</f>
        <v>0</v>
      </c>
      <c r="I5" s="16" t="s">
        <v>1274</v>
      </c>
      <c r="J5" s="25">
        <f>IFERROR(WeeklyBudget/MAX(1,HouseMembers*21),"")</f>
        <v>0</v>
      </c>
    </row>
    <row r="6" spans="1:11" ht="26" customHeight="1">
      <c r="A6" s="6" t="s">
        <v>1275</v>
      </c>
      <c r="B6" s="6"/>
      <c r="C6" s="6"/>
      <c r="D6" s="6"/>
      <c r="E6" s="6"/>
      <c r="F6" s="6"/>
      <c r="G6" s="6"/>
      <c r="H6" s="6"/>
      <c r="I6" s="6"/>
      <c r="J6" s="6"/>
      <c r="K6" s="6"/>
    </row>
    <row r="7" spans="1:11" ht="20" customHeight="1">
      <c r="A7" s="7" t="s">
        <v>1276</v>
      </c>
      <c r="B7" s="7"/>
      <c r="C7" s="7"/>
      <c r="D7" s="7"/>
      <c r="E7" s="7"/>
      <c r="F7" s="7"/>
      <c r="G7" s="7"/>
      <c r="H7" s="7"/>
      <c r="I7" s="7"/>
      <c r="J7" s="7"/>
      <c r="K7" s="7"/>
    </row>
    <row r="8" spans="1:11" ht="26" customHeight="1">
      <c r="A8" s="8" t="s">
        <v>101</v>
      </c>
      <c r="B8" s="9" t="s">
        <v>141</v>
      </c>
      <c r="C8" s="9" t="s">
        <v>543</v>
      </c>
      <c r="D8" s="9" t="s">
        <v>1277</v>
      </c>
      <c r="E8" s="9" t="s">
        <v>353</v>
      </c>
      <c r="F8" s="9" t="s">
        <v>1278</v>
      </c>
      <c r="G8" s="9" t="s">
        <v>1279</v>
      </c>
      <c r="H8" s="9" t="s">
        <v>1280</v>
      </c>
      <c r="I8" s="9" t="s">
        <v>144</v>
      </c>
      <c r="J8" s="9" t="s">
        <v>1281</v>
      </c>
    </row>
    <row r="9" spans="1:11">
      <c r="A9" s="17">
        <f>TEXT(DATE(PlanYear,1,1),"mmmm")</f>
        <v>0</v>
      </c>
      <c r="B9" s="25">
        <f>MonthlyBudget</f>
        <v>0</v>
      </c>
      <c r="C9" s="25">
        <f>SUMIFS('Grocery Spending'!$K$5:$K$404,'Grocery Spending'!$E$5:$E$404,TEXT(DATE(PlanYear,1,1),"yyyy-mm"),'Grocery Spending'!$G$5:$G$404,"*shop*")</f>
        <v>0</v>
      </c>
      <c r="D9" s="25">
        <f>SUMIFS('Grocery Spending'!$K$5:$K$404,'Grocery Spending'!$E$5:$E$404,TEXT(DATE(PlanYear,1,1),"yyyy-mm"),'Grocery Spending'!$G$5:$G$404,"Takeaway")+SUMIFS('Grocery Spending'!$K$5:$K$404,'Grocery Spending'!$E$5:$E$404,TEXT(DATE(PlanYear,1,1),"yyyy-mm"),'Grocery Spending'!$G$5:$G$404,"Eating out")</f>
        <v>0</v>
      </c>
      <c r="E9" s="25">
        <f>SUMIFS('Grocery Spending'!$K$5:$K$404,'Grocery Spending'!$E$5:$E$404,TEXT(DATE(PlanYear,1,1),"yyyy-mm"))-SUMIFS('Grocery Spending'!$K$5:$K$404,'Grocery Spending'!$E$5:$E$404,TEXT(DATE(PlanYear,1,1),"yyyy-mm"),'Grocery Spending'!$G$5:$G$404,"*shop*")-(SUMIFS('Grocery Spending'!$K$5:$K$404,'Grocery Spending'!$E$5:$E$404,TEXT(DATE(PlanYear,1,1),"yyyy-mm"),'Grocery Spending'!$G$5:$G$404,"Takeaway")+SUMIFS('Grocery Spending'!$K$5:$K$404,'Grocery Spending'!$E$5:$E$404,TEXT(DATE(PlanYear,1,1),"yyyy-mm"),'Grocery Spending'!$G$5:$G$404,"Eating out"))</f>
        <v>0</v>
      </c>
      <c r="F9" s="25">
        <f>SUMIFS('Grocery Spending'!$K$5:$K$404,'Grocery Spending'!$E$5:$E$404,TEXT(DATE(PlanYear,1,1),"yyyy-mm"))</f>
        <v>0</v>
      </c>
      <c r="G9" s="25">
        <f>MonthlyBudget-SUMIFS('Grocery Spending'!$K$5:$K$404,'Grocery Spending'!$E$5:$E$404,TEXT(DATE(PlanYear,1,1),"yyyy-mm"))</f>
        <v>0</v>
      </c>
      <c r="H9" s="50">
        <f>IFERROR((SUMIFS('Grocery Spending'!$K$5:$K$404,'Grocery Spending'!$E$5:$E$404,TEXT(DATE(PlanYear,1,1),"yyyy-mm")))/MonthlyBudget,"")</f>
        <v>0</v>
      </c>
      <c r="I9" s="25">
        <f>SUMIFS('Food Waste'!$L$5:$L$154,'Food Waste'!$D$5:$D$154,TEXT(DATE(PlanYear,1,1),"yyyy-mm"))</f>
        <v>0</v>
      </c>
      <c r="J9" s="25">
        <f>IFERROR((SUMIFS('Grocery Spending'!$K$5:$K$404,'Grocery Spending'!$E$5:$E$404,TEXT(DATE(PlanYear,1,1),"yyyy-mm")))/MAX(1,HouseMembers),"")</f>
        <v>0</v>
      </c>
    </row>
    <row r="10" spans="1:11">
      <c r="A10" s="17">
        <f>TEXT(DATE(PlanYear,2,1),"mmmm")</f>
        <v>0</v>
      </c>
      <c r="B10" s="25">
        <f>MonthlyBudget</f>
        <v>0</v>
      </c>
      <c r="C10" s="25">
        <f>SUMIFS('Grocery Spending'!$K$5:$K$404,'Grocery Spending'!$E$5:$E$404,TEXT(DATE(PlanYear,2,1),"yyyy-mm"),'Grocery Spending'!$G$5:$G$404,"*shop*")</f>
        <v>0</v>
      </c>
      <c r="D10" s="25">
        <f>SUMIFS('Grocery Spending'!$K$5:$K$404,'Grocery Spending'!$E$5:$E$404,TEXT(DATE(PlanYear,2,1),"yyyy-mm"),'Grocery Spending'!$G$5:$G$404,"Takeaway")+SUMIFS('Grocery Spending'!$K$5:$K$404,'Grocery Spending'!$E$5:$E$404,TEXT(DATE(PlanYear,2,1),"yyyy-mm"),'Grocery Spending'!$G$5:$G$404,"Eating out")</f>
        <v>0</v>
      </c>
      <c r="E10" s="25">
        <f>SUMIFS('Grocery Spending'!$K$5:$K$404,'Grocery Spending'!$E$5:$E$404,TEXT(DATE(PlanYear,2,1),"yyyy-mm"))-SUMIFS('Grocery Spending'!$K$5:$K$404,'Grocery Spending'!$E$5:$E$404,TEXT(DATE(PlanYear,2,1),"yyyy-mm"),'Grocery Spending'!$G$5:$G$404,"*shop*")-(SUMIFS('Grocery Spending'!$K$5:$K$404,'Grocery Spending'!$E$5:$E$404,TEXT(DATE(PlanYear,2,1),"yyyy-mm"),'Grocery Spending'!$G$5:$G$404,"Takeaway")+SUMIFS('Grocery Spending'!$K$5:$K$404,'Grocery Spending'!$E$5:$E$404,TEXT(DATE(PlanYear,2,1),"yyyy-mm"),'Grocery Spending'!$G$5:$G$404,"Eating out"))</f>
        <v>0</v>
      </c>
      <c r="F10" s="25">
        <f>SUMIFS('Grocery Spending'!$K$5:$K$404,'Grocery Spending'!$E$5:$E$404,TEXT(DATE(PlanYear,2,1),"yyyy-mm"))</f>
        <v>0</v>
      </c>
      <c r="G10" s="25">
        <f>MonthlyBudget-SUMIFS('Grocery Spending'!$K$5:$K$404,'Grocery Spending'!$E$5:$E$404,TEXT(DATE(PlanYear,2,1),"yyyy-mm"))</f>
        <v>0</v>
      </c>
      <c r="H10" s="50">
        <f>IFERROR((SUMIFS('Grocery Spending'!$K$5:$K$404,'Grocery Spending'!$E$5:$E$404,TEXT(DATE(PlanYear,2,1),"yyyy-mm")))/MonthlyBudget,"")</f>
        <v>0</v>
      </c>
      <c r="I10" s="25">
        <f>SUMIFS('Food Waste'!$L$5:$L$154,'Food Waste'!$D$5:$D$154,TEXT(DATE(PlanYear,2,1),"yyyy-mm"))</f>
        <v>0</v>
      </c>
      <c r="J10" s="25">
        <f>IFERROR((SUMIFS('Grocery Spending'!$K$5:$K$404,'Grocery Spending'!$E$5:$E$404,TEXT(DATE(PlanYear,2,1),"yyyy-mm")))/MAX(1,HouseMembers),"")</f>
        <v>0</v>
      </c>
    </row>
    <row r="11" spans="1:11">
      <c r="A11" s="17">
        <f>TEXT(DATE(PlanYear,3,1),"mmmm")</f>
        <v>0</v>
      </c>
      <c r="B11" s="25">
        <f>MonthlyBudget</f>
        <v>0</v>
      </c>
      <c r="C11" s="25">
        <f>SUMIFS('Grocery Spending'!$K$5:$K$404,'Grocery Spending'!$E$5:$E$404,TEXT(DATE(PlanYear,3,1),"yyyy-mm"),'Grocery Spending'!$G$5:$G$404,"*shop*")</f>
        <v>0</v>
      </c>
      <c r="D11" s="25">
        <f>SUMIFS('Grocery Spending'!$K$5:$K$404,'Grocery Spending'!$E$5:$E$404,TEXT(DATE(PlanYear,3,1),"yyyy-mm"),'Grocery Spending'!$G$5:$G$404,"Takeaway")+SUMIFS('Grocery Spending'!$K$5:$K$404,'Grocery Spending'!$E$5:$E$404,TEXT(DATE(PlanYear,3,1),"yyyy-mm"),'Grocery Spending'!$G$5:$G$404,"Eating out")</f>
        <v>0</v>
      </c>
      <c r="E11" s="25">
        <f>SUMIFS('Grocery Spending'!$K$5:$K$404,'Grocery Spending'!$E$5:$E$404,TEXT(DATE(PlanYear,3,1),"yyyy-mm"))-SUMIFS('Grocery Spending'!$K$5:$K$404,'Grocery Spending'!$E$5:$E$404,TEXT(DATE(PlanYear,3,1),"yyyy-mm"),'Grocery Spending'!$G$5:$G$404,"*shop*")-(SUMIFS('Grocery Spending'!$K$5:$K$404,'Grocery Spending'!$E$5:$E$404,TEXT(DATE(PlanYear,3,1),"yyyy-mm"),'Grocery Spending'!$G$5:$G$404,"Takeaway")+SUMIFS('Grocery Spending'!$K$5:$K$404,'Grocery Spending'!$E$5:$E$404,TEXT(DATE(PlanYear,3,1),"yyyy-mm"),'Grocery Spending'!$G$5:$G$404,"Eating out"))</f>
        <v>0</v>
      </c>
      <c r="F11" s="25">
        <f>SUMIFS('Grocery Spending'!$K$5:$K$404,'Grocery Spending'!$E$5:$E$404,TEXT(DATE(PlanYear,3,1),"yyyy-mm"))</f>
        <v>0</v>
      </c>
      <c r="G11" s="25">
        <f>MonthlyBudget-SUMIFS('Grocery Spending'!$K$5:$K$404,'Grocery Spending'!$E$5:$E$404,TEXT(DATE(PlanYear,3,1),"yyyy-mm"))</f>
        <v>0</v>
      </c>
      <c r="H11" s="50">
        <f>IFERROR((SUMIFS('Grocery Spending'!$K$5:$K$404,'Grocery Spending'!$E$5:$E$404,TEXT(DATE(PlanYear,3,1),"yyyy-mm")))/MonthlyBudget,"")</f>
        <v>0</v>
      </c>
      <c r="I11" s="25">
        <f>SUMIFS('Food Waste'!$L$5:$L$154,'Food Waste'!$D$5:$D$154,TEXT(DATE(PlanYear,3,1),"yyyy-mm"))</f>
        <v>0</v>
      </c>
      <c r="J11" s="25">
        <f>IFERROR((SUMIFS('Grocery Spending'!$K$5:$K$404,'Grocery Spending'!$E$5:$E$404,TEXT(DATE(PlanYear,3,1),"yyyy-mm")))/MAX(1,HouseMembers),"")</f>
        <v>0</v>
      </c>
    </row>
    <row r="12" spans="1:11">
      <c r="A12" s="17">
        <f>TEXT(DATE(PlanYear,4,1),"mmmm")</f>
        <v>0</v>
      </c>
      <c r="B12" s="25">
        <f>MonthlyBudget</f>
        <v>0</v>
      </c>
      <c r="C12" s="25">
        <f>SUMIFS('Grocery Spending'!$K$5:$K$404,'Grocery Spending'!$E$5:$E$404,TEXT(DATE(PlanYear,4,1),"yyyy-mm"),'Grocery Spending'!$G$5:$G$404,"*shop*")</f>
        <v>0</v>
      </c>
      <c r="D12" s="25">
        <f>SUMIFS('Grocery Spending'!$K$5:$K$404,'Grocery Spending'!$E$5:$E$404,TEXT(DATE(PlanYear,4,1),"yyyy-mm"),'Grocery Spending'!$G$5:$G$404,"Takeaway")+SUMIFS('Grocery Spending'!$K$5:$K$404,'Grocery Spending'!$E$5:$E$404,TEXT(DATE(PlanYear,4,1),"yyyy-mm"),'Grocery Spending'!$G$5:$G$404,"Eating out")</f>
        <v>0</v>
      </c>
      <c r="E12" s="25">
        <f>SUMIFS('Grocery Spending'!$K$5:$K$404,'Grocery Spending'!$E$5:$E$404,TEXT(DATE(PlanYear,4,1),"yyyy-mm"))-SUMIFS('Grocery Spending'!$K$5:$K$404,'Grocery Spending'!$E$5:$E$404,TEXT(DATE(PlanYear,4,1),"yyyy-mm"),'Grocery Spending'!$G$5:$G$404,"*shop*")-(SUMIFS('Grocery Spending'!$K$5:$K$404,'Grocery Spending'!$E$5:$E$404,TEXT(DATE(PlanYear,4,1),"yyyy-mm"),'Grocery Spending'!$G$5:$G$404,"Takeaway")+SUMIFS('Grocery Spending'!$K$5:$K$404,'Grocery Spending'!$E$5:$E$404,TEXT(DATE(PlanYear,4,1),"yyyy-mm"),'Grocery Spending'!$G$5:$G$404,"Eating out"))</f>
        <v>0</v>
      </c>
      <c r="F12" s="25">
        <f>SUMIFS('Grocery Spending'!$K$5:$K$404,'Grocery Spending'!$E$5:$E$404,TEXT(DATE(PlanYear,4,1),"yyyy-mm"))</f>
        <v>0</v>
      </c>
      <c r="G12" s="25">
        <f>MonthlyBudget-SUMIFS('Grocery Spending'!$K$5:$K$404,'Grocery Spending'!$E$5:$E$404,TEXT(DATE(PlanYear,4,1),"yyyy-mm"))</f>
        <v>0</v>
      </c>
      <c r="H12" s="50">
        <f>IFERROR((SUMIFS('Grocery Spending'!$K$5:$K$404,'Grocery Spending'!$E$5:$E$404,TEXT(DATE(PlanYear,4,1),"yyyy-mm")))/MonthlyBudget,"")</f>
        <v>0</v>
      </c>
      <c r="I12" s="25">
        <f>SUMIFS('Food Waste'!$L$5:$L$154,'Food Waste'!$D$5:$D$154,TEXT(DATE(PlanYear,4,1),"yyyy-mm"))</f>
        <v>0</v>
      </c>
      <c r="J12" s="25">
        <f>IFERROR((SUMIFS('Grocery Spending'!$K$5:$K$404,'Grocery Spending'!$E$5:$E$404,TEXT(DATE(PlanYear,4,1),"yyyy-mm")))/MAX(1,HouseMembers),"")</f>
        <v>0</v>
      </c>
    </row>
    <row r="13" spans="1:11">
      <c r="A13" s="17">
        <f>TEXT(DATE(PlanYear,5,1),"mmmm")</f>
        <v>0</v>
      </c>
      <c r="B13" s="25">
        <f>MonthlyBudget</f>
        <v>0</v>
      </c>
      <c r="C13" s="25">
        <f>SUMIFS('Grocery Spending'!$K$5:$K$404,'Grocery Spending'!$E$5:$E$404,TEXT(DATE(PlanYear,5,1),"yyyy-mm"),'Grocery Spending'!$G$5:$G$404,"*shop*")</f>
        <v>0</v>
      </c>
      <c r="D13" s="25">
        <f>SUMIFS('Grocery Spending'!$K$5:$K$404,'Grocery Spending'!$E$5:$E$404,TEXT(DATE(PlanYear,5,1),"yyyy-mm"),'Grocery Spending'!$G$5:$G$404,"Takeaway")+SUMIFS('Grocery Spending'!$K$5:$K$404,'Grocery Spending'!$E$5:$E$404,TEXT(DATE(PlanYear,5,1),"yyyy-mm"),'Grocery Spending'!$G$5:$G$404,"Eating out")</f>
        <v>0</v>
      </c>
      <c r="E13" s="25">
        <f>SUMIFS('Grocery Spending'!$K$5:$K$404,'Grocery Spending'!$E$5:$E$404,TEXT(DATE(PlanYear,5,1),"yyyy-mm"))-SUMIFS('Grocery Spending'!$K$5:$K$404,'Grocery Spending'!$E$5:$E$404,TEXT(DATE(PlanYear,5,1),"yyyy-mm"),'Grocery Spending'!$G$5:$G$404,"*shop*")-(SUMIFS('Grocery Spending'!$K$5:$K$404,'Grocery Spending'!$E$5:$E$404,TEXT(DATE(PlanYear,5,1),"yyyy-mm"),'Grocery Spending'!$G$5:$G$404,"Takeaway")+SUMIFS('Grocery Spending'!$K$5:$K$404,'Grocery Spending'!$E$5:$E$404,TEXT(DATE(PlanYear,5,1),"yyyy-mm"),'Grocery Spending'!$G$5:$G$404,"Eating out"))</f>
        <v>0</v>
      </c>
      <c r="F13" s="25">
        <f>SUMIFS('Grocery Spending'!$K$5:$K$404,'Grocery Spending'!$E$5:$E$404,TEXT(DATE(PlanYear,5,1),"yyyy-mm"))</f>
        <v>0</v>
      </c>
      <c r="G13" s="25">
        <f>MonthlyBudget-SUMIFS('Grocery Spending'!$K$5:$K$404,'Grocery Spending'!$E$5:$E$404,TEXT(DATE(PlanYear,5,1),"yyyy-mm"))</f>
        <v>0</v>
      </c>
      <c r="H13" s="50">
        <f>IFERROR((SUMIFS('Grocery Spending'!$K$5:$K$404,'Grocery Spending'!$E$5:$E$404,TEXT(DATE(PlanYear,5,1),"yyyy-mm")))/MonthlyBudget,"")</f>
        <v>0</v>
      </c>
      <c r="I13" s="25">
        <f>SUMIFS('Food Waste'!$L$5:$L$154,'Food Waste'!$D$5:$D$154,TEXT(DATE(PlanYear,5,1),"yyyy-mm"))</f>
        <v>0</v>
      </c>
      <c r="J13" s="25">
        <f>IFERROR((SUMIFS('Grocery Spending'!$K$5:$K$404,'Grocery Spending'!$E$5:$E$404,TEXT(DATE(PlanYear,5,1),"yyyy-mm")))/MAX(1,HouseMembers),"")</f>
        <v>0</v>
      </c>
    </row>
    <row r="14" spans="1:11">
      <c r="A14" s="17">
        <f>TEXT(DATE(PlanYear,6,1),"mmmm")</f>
        <v>0</v>
      </c>
      <c r="B14" s="25">
        <f>MonthlyBudget</f>
        <v>0</v>
      </c>
      <c r="C14" s="25">
        <f>SUMIFS('Grocery Spending'!$K$5:$K$404,'Grocery Spending'!$E$5:$E$404,TEXT(DATE(PlanYear,6,1),"yyyy-mm"),'Grocery Spending'!$G$5:$G$404,"*shop*")</f>
        <v>0</v>
      </c>
      <c r="D14" s="25">
        <f>SUMIFS('Grocery Spending'!$K$5:$K$404,'Grocery Spending'!$E$5:$E$404,TEXT(DATE(PlanYear,6,1),"yyyy-mm"),'Grocery Spending'!$G$5:$G$404,"Takeaway")+SUMIFS('Grocery Spending'!$K$5:$K$404,'Grocery Spending'!$E$5:$E$404,TEXT(DATE(PlanYear,6,1),"yyyy-mm"),'Grocery Spending'!$G$5:$G$404,"Eating out")</f>
        <v>0</v>
      </c>
      <c r="E14" s="25">
        <f>SUMIFS('Grocery Spending'!$K$5:$K$404,'Grocery Spending'!$E$5:$E$404,TEXT(DATE(PlanYear,6,1),"yyyy-mm"))-SUMIFS('Grocery Spending'!$K$5:$K$404,'Grocery Spending'!$E$5:$E$404,TEXT(DATE(PlanYear,6,1),"yyyy-mm"),'Grocery Spending'!$G$5:$G$404,"*shop*")-(SUMIFS('Grocery Spending'!$K$5:$K$404,'Grocery Spending'!$E$5:$E$404,TEXT(DATE(PlanYear,6,1),"yyyy-mm"),'Grocery Spending'!$G$5:$G$404,"Takeaway")+SUMIFS('Grocery Spending'!$K$5:$K$404,'Grocery Spending'!$E$5:$E$404,TEXT(DATE(PlanYear,6,1),"yyyy-mm"),'Grocery Spending'!$G$5:$G$404,"Eating out"))</f>
        <v>0</v>
      </c>
      <c r="F14" s="25">
        <f>SUMIFS('Grocery Spending'!$K$5:$K$404,'Grocery Spending'!$E$5:$E$404,TEXT(DATE(PlanYear,6,1),"yyyy-mm"))</f>
        <v>0</v>
      </c>
      <c r="G14" s="25">
        <f>MonthlyBudget-SUMIFS('Grocery Spending'!$K$5:$K$404,'Grocery Spending'!$E$5:$E$404,TEXT(DATE(PlanYear,6,1),"yyyy-mm"))</f>
        <v>0</v>
      </c>
      <c r="H14" s="50">
        <f>IFERROR((SUMIFS('Grocery Spending'!$K$5:$K$404,'Grocery Spending'!$E$5:$E$404,TEXT(DATE(PlanYear,6,1),"yyyy-mm")))/MonthlyBudget,"")</f>
        <v>0</v>
      </c>
      <c r="I14" s="25">
        <f>SUMIFS('Food Waste'!$L$5:$L$154,'Food Waste'!$D$5:$D$154,TEXT(DATE(PlanYear,6,1),"yyyy-mm"))</f>
        <v>0</v>
      </c>
      <c r="J14" s="25">
        <f>IFERROR((SUMIFS('Grocery Spending'!$K$5:$K$404,'Grocery Spending'!$E$5:$E$404,TEXT(DATE(PlanYear,6,1),"yyyy-mm")))/MAX(1,HouseMembers),"")</f>
        <v>0</v>
      </c>
    </row>
    <row r="15" spans="1:11">
      <c r="A15" s="17">
        <f>TEXT(DATE(PlanYear,7,1),"mmmm")</f>
        <v>0</v>
      </c>
      <c r="B15" s="25">
        <f>MonthlyBudget</f>
        <v>0</v>
      </c>
      <c r="C15" s="25">
        <f>SUMIFS('Grocery Spending'!$K$5:$K$404,'Grocery Spending'!$E$5:$E$404,TEXT(DATE(PlanYear,7,1),"yyyy-mm"),'Grocery Spending'!$G$5:$G$404,"*shop*")</f>
        <v>0</v>
      </c>
      <c r="D15" s="25">
        <f>SUMIFS('Grocery Spending'!$K$5:$K$404,'Grocery Spending'!$E$5:$E$404,TEXT(DATE(PlanYear,7,1),"yyyy-mm"),'Grocery Spending'!$G$5:$G$404,"Takeaway")+SUMIFS('Grocery Spending'!$K$5:$K$404,'Grocery Spending'!$E$5:$E$404,TEXT(DATE(PlanYear,7,1),"yyyy-mm"),'Grocery Spending'!$G$5:$G$404,"Eating out")</f>
        <v>0</v>
      </c>
      <c r="E15" s="25">
        <f>SUMIFS('Grocery Spending'!$K$5:$K$404,'Grocery Spending'!$E$5:$E$404,TEXT(DATE(PlanYear,7,1),"yyyy-mm"))-SUMIFS('Grocery Spending'!$K$5:$K$404,'Grocery Spending'!$E$5:$E$404,TEXT(DATE(PlanYear,7,1),"yyyy-mm"),'Grocery Spending'!$G$5:$G$404,"*shop*")-(SUMIFS('Grocery Spending'!$K$5:$K$404,'Grocery Spending'!$E$5:$E$404,TEXT(DATE(PlanYear,7,1),"yyyy-mm"),'Grocery Spending'!$G$5:$G$404,"Takeaway")+SUMIFS('Grocery Spending'!$K$5:$K$404,'Grocery Spending'!$E$5:$E$404,TEXT(DATE(PlanYear,7,1),"yyyy-mm"),'Grocery Spending'!$G$5:$G$404,"Eating out"))</f>
        <v>0</v>
      </c>
      <c r="F15" s="25">
        <f>SUMIFS('Grocery Spending'!$K$5:$K$404,'Grocery Spending'!$E$5:$E$404,TEXT(DATE(PlanYear,7,1),"yyyy-mm"))</f>
        <v>0</v>
      </c>
      <c r="G15" s="25">
        <f>MonthlyBudget-SUMIFS('Grocery Spending'!$K$5:$K$404,'Grocery Spending'!$E$5:$E$404,TEXT(DATE(PlanYear,7,1),"yyyy-mm"))</f>
        <v>0</v>
      </c>
      <c r="H15" s="50">
        <f>IFERROR((SUMIFS('Grocery Spending'!$K$5:$K$404,'Grocery Spending'!$E$5:$E$404,TEXT(DATE(PlanYear,7,1),"yyyy-mm")))/MonthlyBudget,"")</f>
        <v>0</v>
      </c>
      <c r="I15" s="25">
        <f>SUMIFS('Food Waste'!$L$5:$L$154,'Food Waste'!$D$5:$D$154,TEXT(DATE(PlanYear,7,1),"yyyy-mm"))</f>
        <v>0</v>
      </c>
      <c r="J15" s="25">
        <f>IFERROR((SUMIFS('Grocery Spending'!$K$5:$K$404,'Grocery Spending'!$E$5:$E$404,TEXT(DATE(PlanYear,7,1),"yyyy-mm")))/MAX(1,HouseMembers),"")</f>
        <v>0</v>
      </c>
    </row>
    <row r="16" spans="1:11">
      <c r="A16" s="17">
        <f>TEXT(DATE(PlanYear,8,1),"mmmm")</f>
        <v>0</v>
      </c>
      <c r="B16" s="25">
        <f>MonthlyBudget</f>
        <v>0</v>
      </c>
      <c r="C16" s="25">
        <f>SUMIFS('Grocery Spending'!$K$5:$K$404,'Grocery Spending'!$E$5:$E$404,TEXT(DATE(PlanYear,8,1),"yyyy-mm"),'Grocery Spending'!$G$5:$G$404,"*shop*")</f>
        <v>0</v>
      </c>
      <c r="D16" s="25">
        <f>SUMIFS('Grocery Spending'!$K$5:$K$404,'Grocery Spending'!$E$5:$E$404,TEXT(DATE(PlanYear,8,1),"yyyy-mm"),'Grocery Spending'!$G$5:$G$404,"Takeaway")+SUMIFS('Grocery Spending'!$K$5:$K$404,'Grocery Spending'!$E$5:$E$404,TEXT(DATE(PlanYear,8,1),"yyyy-mm"),'Grocery Spending'!$G$5:$G$404,"Eating out")</f>
        <v>0</v>
      </c>
      <c r="E16" s="25">
        <f>SUMIFS('Grocery Spending'!$K$5:$K$404,'Grocery Spending'!$E$5:$E$404,TEXT(DATE(PlanYear,8,1),"yyyy-mm"))-SUMIFS('Grocery Spending'!$K$5:$K$404,'Grocery Spending'!$E$5:$E$404,TEXT(DATE(PlanYear,8,1),"yyyy-mm"),'Grocery Spending'!$G$5:$G$404,"*shop*")-(SUMIFS('Grocery Spending'!$K$5:$K$404,'Grocery Spending'!$E$5:$E$404,TEXT(DATE(PlanYear,8,1),"yyyy-mm"),'Grocery Spending'!$G$5:$G$404,"Takeaway")+SUMIFS('Grocery Spending'!$K$5:$K$404,'Grocery Spending'!$E$5:$E$404,TEXT(DATE(PlanYear,8,1),"yyyy-mm"),'Grocery Spending'!$G$5:$G$404,"Eating out"))</f>
        <v>0</v>
      </c>
      <c r="F16" s="25">
        <f>SUMIFS('Grocery Spending'!$K$5:$K$404,'Grocery Spending'!$E$5:$E$404,TEXT(DATE(PlanYear,8,1),"yyyy-mm"))</f>
        <v>0</v>
      </c>
      <c r="G16" s="25">
        <f>MonthlyBudget-SUMIFS('Grocery Spending'!$K$5:$K$404,'Grocery Spending'!$E$5:$E$404,TEXT(DATE(PlanYear,8,1),"yyyy-mm"))</f>
        <v>0</v>
      </c>
      <c r="H16" s="50">
        <f>IFERROR((SUMIFS('Grocery Spending'!$K$5:$K$404,'Grocery Spending'!$E$5:$E$404,TEXT(DATE(PlanYear,8,1),"yyyy-mm")))/MonthlyBudget,"")</f>
        <v>0</v>
      </c>
      <c r="I16" s="25">
        <f>SUMIFS('Food Waste'!$L$5:$L$154,'Food Waste'!$D$5:$D$154,TEXT(DATE(PlanYear,8,1),"yyyy-mm"))</f>
        <v>0</v>
      </c>
      <c r="J16" s="25">
        <f>IFERROR((SUMIFS('Grocery Spending'!$K$5:$K$404,'Grocery Spending'!$E$5:$E$404,TEXT(DATE(PlanYear,8,1),"yyyy-mm")))/MAX(1,HouseMembers),"")</f>
        <v>0</v>
      </c>
    </row>
    <row r="17" spans="1:11">
      <c r="A17" s="17">
        <f>TEXT(DATE(PlanYear,9,1),"mmmm")</f>
        <v>0</v>
      </c>
      <c r="B17" s="25">
        <f>MonthlyBudget</f>
        <v>0</v>
      </c>
      <c r="C17" s="25">
        <f>SUMIFS('Grocery Spending'!$K$5:$K$404,'Grocery Spending'!$E$5:$E$404,TEXT(DATE(PlanYear,9,1),"yyyy-mm"),'Grocery Spending'!$G$5:$G$404,"*shop*")</f>
        <v>0</v>
      </c>
      <c r="D17" s="25">
        <f>SUMIFS('Grocery Spending'!$K$5:$K$404,'Grocery Spending'!$E$5:$E$404,TEXT(DATE(PlanYear,9,1),"yyyy-mm"),'Grocery Spending'!$G$5:$G$404,"Takeaway")+SUMIFS('Grocery Spending'!$K$5:$K$404,'Grocery Spending'!$E$5:$E$404,TEXT(DATE(PlanYear,9,1),"yyyy-mm"),'Grocery Spending'!$G$5:$G$404,"Eating out")</f>
        <v>0</v>
      </c>
      <c r="E17" s="25">
        <f>SUMIFS('Grocery Spending'!$K$5:$K$404,'Grocery Spending'!$E$5:$E$404,TEXT(DATE(PlanYear,9,1),"yyyy-mm"))-SUMIFS('Grocery Spending'!$K$5:$K$404,'Grocery Spending'!$E$5:$E$404,TEXT(DATE(PlanYear,9,1),"yyyy-mm"),'Grocery Spending'!$G$5:$G$404,"*shop*")-(SUMIFS('Grocery Spending'!$K$5:$K$404,'Grocery Spending'!$E$5:$E$404,TEXT(DATE(PlanYear,9,1),"yyyy-mm"),'Grocery Spending'!$G$5:$G$404,"Takeaway")+SUMIFS('Grocery Spending'!$K$5:$K$404,'Grocery Spending'!$E$5:$E$404,TEXT(DATE(PlanYear,9,1),"yyyy-mm"),'Grocery Spending'!$G$5:$G$404,"Eating out"))</f>
        <v>0</v>
      </c>
      <c r="F17" s="25">
        <f>SUMIFS('Grocery Spending'!$K$5:$K$404,'Grocery Spending'!$E$5:$E$404,TEXT(DATE(PlanYear,9,1),"yyyy-mm"))</f>
        <v>0</v>
      </c>
      <c r="G17" s="25">
        <f>MonthlyBudget-SUMIFS('Grocery Spending'!$K$5:$K$404,'Grocery Spending'!$E$5:$E$404,TEXT(DATE(PlanYear,9,1),"yyyy-mm"))</f>
        <v>0</v>
      </c>
      <c r="H17" s="50">
        <f>IFERROR((SUMIFS('Grocery Spending'!$K$5:$K$404,'Grocery Spending'!$E$5:$E$404,TEXT(DATE(PlanYear,9,1),"yyyy-mm")))/MonthlyBudget,"")</f>
        <v>0</v>
      </c>
      <c r="I17" s="25">
        <f>SUMIFS('Food Waste'!$L$5:$L$154,'Food Waste'!$D$5:$D$154,TEXT(DATE(PlanYear,9,1),"yyyy-mm"))</f>
        <v>0</v>
      </c>
      <c r="J17" s="25">
        <f>IFERROR((SUMIFS('Grocery Spending'!$K$5:$K$404,'Grocery Spending'!$E$5:$E$404,TEXT(DATE(PlanYear,9,1),"yyyy-mm")))/MAX(1,HouseMembers),"")</f>
        <v>0</v>
      </c>
    </row>
    <row r="18" spans="1:11">
      <c r="A18" s="17">
        <f>TEXT(DATE(PlanYear,10,1),"mmmm")</f>
        <v>0</v>
      </c>
      <c r="B18" s="25">
        <f>MonthlyBudget</f>
        <v>0</v>
      </c>
      <c r="C18" s="25">
        <f>SUMIFS('Grocery Spending'!$K$5:$K$404,'Grocery Spending'!$E$5:$E$404,TEXT(DATE(PlanYear,10,1),"yyyy-mm"),'Grocery Spending'!$G$5:$G$404,"*shop*")</f>
        <v>0</v>
      </c>
      <c r="D18" s="25">
        <f>SUMIFS('Grocery Spending'!$K$5:$K$404,'Grocery Spending'!$E$5:$E$404,TEXT(DATE(PlanYear,10,1),"yyyy-mm"),'Grocery Spending'!$G$5:$G$404,"Takeaway")+SUMIFS('Grocery Spending'!$K$5:$K$404,'Grocery Spending'!$E$5:$E$404,TEXT(DATE(PlanYear,10,1),"yyyy-mm"),'Grocery Spending'!$G$5:$G$404,"Eating out")</f>
        <v>0</v>
      </c>
      <c r="E18" s="25">
        <f>SUMIFS('Grocery Spending'!$K$5:$K$404,'Grocery Spending'!$E$5:$E$404,TEXT(DATE(PlanYear,10,1),"yyyy-mm"))-SUMIFS('Grocery Spending'!$K$5:$K$404,'Grocery Spending'!$E$5:$E$404,TEXT(DATE(PlanYear,10,1),"yyyy-mm"),'Grocery Spending'!$G$5:$G$404,"*shop*")-(SUMIFS('Grocery Spending'!$K$5:$K$404,'Grocery Spending'!$E$5:$E$404,TEXT(DATE(PlanYear,10,1),"yyyy-mm"),'Grocery Spending'!$G$5:$G$404,"Takeaway")+SUMIFS('Grocery Spending'!$K$5:$K$404,'Grocery Spending'!$E$5:$E$404,TEXT(DATE(PlanYear,10,1),"yyyy-mm"),'Grocery Spending'!$G$5:$G$404,"Eating out"))</f>
        <v>0</v>
      </c>
      <c r="F18" s="25">
        <f>SUMIFS('Grocery Spending'!$K$5:$K$404,'Grocery Spending'!$E$5:$E$404,TEXT(DATE(PlanYear,10,1),"yyyy-mm"))</f>
        <v>0</v>
      </c>
      <c r="G18" s="25">
        <f>MonthlyBudget-SUMIFS('Grocery Spending'!$K$5:$K$404,'Grocery Spending'!$E$5:$E$404,TEXT(DATE(PlanYear,10,1),"yyyy-mm"))</f>
        <v>0</v>
      </c>
      <c r="H18" s="50">
        <f>IFERROR((SUMIFS('Grocery Spending'!$K$5:$K$404,'Grocery Spending'!$E$5:$E$404,TEXT(DATE(PlanYear,10,1),"yyyy-mm")))/MonthlyBudget,"")</f>
        <v>0</v>
      </c>
      <c r="I18" s="25">
        <f>SUMIFS('Food Waste'!$L$5:$L$154,'Food Waste'!$D$5:$D$154,TEXT(DATE(PlanYear,10,1),"yyyy-mm"))</f>
        <v>0</v>
      </c>
      <c r="J18" s="25">
        <f>IFERROR((SUMIFS('Grocery Spending'!$K$5:$K$404,'Grocery Spending'!$E$5:$E$404,TEXT(DATE(PlanYear,10,1),"yyyy-mm")))/MAX(1,HouseMembers),"")</f>
        <v>0</v>
      </c>
    </row>
    <row r="19" spans="1:11">
      <c r="A19" s="17">
        <f>TEXT(DATE(PlanYear,11,1),"mmmm")</f>
        <v>0</v>
      </c>
      <c r="B19" s="25">
        <f>MonthlyBudget</f>
        <v>0</v>
      </c>
      <c r="C19" s="25">
        <f>SUMIFS('Grocery Spending'!$K$5:$K$404,'Grocery Spending'!$E$5:$E$404,TEXT(DATE(PlanYear,11,1),"yyyy-mm"),'Grocery Spending'!$G$5:$G$404,"*shop*")</f>
        <v>0</v>
      </c>
      <c r="D19" s="25">
        <f>SUMIFS('Grocery Spending'!$K$5:$K$404,'Grocery Spending'!$E$5:$E$404,TEXT(DATE(PlanYear,11,1),"yyyy-mm"),'Grocery Spending'!$G$5:$G$404,"Takeaway")+SUMIFS('Grocery Spending'!$K$5:$K$404,'Grocery Spending'!$E$5:$E$404,TEXT(DATE(PlanYear,11,1),"yyyy-mm"),'Grocery Spending'!$G$5:$G$404,"Eating out")</f>
        <v>0</v>
      </c>
      <c r="E19" s="25">
        <f>SUMIFS('Grocery Spending'!$K$5:$K$404,'Grocery Spending'!$E$5:$E$404,TEXT(DATE(PlanYear,11,1),"yyyy-mm"))-SUMIFS('Grocery Spending'!$K$5:$K$404,'Grocery Spending'!$E$5:$E$404,TEXT(DATE(PlanYear,11,1),"yyyy-mm"),'Grocery Spending'!$G$5:$G$404,"*shop*")-(SUMIFS('Grocery Spending'!$K$5:$K$404,'Grocery Spending'!$E$5:$E$404,TEXT(DATE(PlanYear,11,1),"yyyy-mm"),'Grocery Spending'!$G$5:$G$404,"Takeaway")+SUMIFS('Grocery Spending'!$K$5:$K$404,'Grocery Spending'!$E$5:$E$404,TEXT(DATE(PlanYear,11,1),"yyyy-mm"),'Grocery Spending'!$G$5:$G$404,"Eating out"))</f>
        <v>0</v>
      </c>
      <c r="F19" s="25">
        <f>SUMIFS('Grocery Spending'!$K$5:$K$404,'Grocery Spending'!$E$5:$E$404,TEXT(DATE(PlanYear,11,1),"yyyy-mm"))</f>
        <v>0</v>
      </c>
      <c r="G19" s="25">
        <f>MonthlyBudget-SUMIFS('Grocery Spending'!$K$5:$K$404,'Grocery Spending'!$E$5:$E$404,TEXT(DATE(PlanYear,11,1),"yyyy-mm"))</f>
        <v>0</v>
      </c>
      <c r="H19" s="50">
        <f>IFERROR((SUMIFS('Grocery Spending'!$K$5:$K$404,'Grocery Spending'!$E$5:$E$404,TEXT(DATE(PlanYear,11,1),"yyyy-mm")))/MonthlyBudget,"")</f>
        <v>0</v>
      </c>
      <c r="I19" s="25">
        <f>SUMIFS('Food Waste'!$L$5:$L$154,'Food Waste'!$D$5:$D$154,TEXT(DATE(PlanYear,11,1),"yyyy-mm"))</f>
        <v>0</v>
      </c>
      <c r="J19" s="25">
        <f>IFERROR((SUMIFS('Grocery Spending'!$K$5:$K$404,'Grocery Spending'!$E$5:$E$404,TEXT(DATE(PlanYear,11,1),"yyyy-mm")))/MAX(1,HouseMembers),"")</f>
        <v>0</v>
      </c>
    </row>
    <row r="20" spans="1:11">
      <c r="A20" s="17">
        <f>TEXT(DATE(PlanYear,12,1),"mmmm")</f>
        <v>0</v>
      </c>
      <c r="B20" s="25">
        <f>MonthlyBudget</f>
        <v>0</v>
      </c>
      <c r="C20" s="25">
        <f>SUMIFS('Grocery Spending'!$K$5:$K$404,'Grocery Spending'!$E$5:$E$404,TEXT(DATE(PlanYear,12,1),"yyyy-mm"),'Grocery Spending'!$G$5:$G$404,"*shop*")</f>
        <v>0</v>
      </c>
      <c r="D20" s="25">
        <f>SUMIFS('Grocery Spending'!$K$5:$K$404,'Grocery Spending'!$E$5:$E$404,TEXT(DATE(PlanYear,12,1),"yyyy-mm"),'Grocery Spending'!$G$5:$G$404,"Takeaway")+SUMIFS('Grocery Spending'!$K$5:$K$404,'Grocery Spending'!$E$5:$E$404,TEXT(DATE(PlanYear,12,1),"yyyy-mm"),'Grocery Spending'!$G$5:$G$404,"Eating out")</f>
        <v>0</v>
      </c>
      <c r="E20" s="25">
        <f>SUMIFS('Grocery Spending'!$K$5:$K$404,'Grocery Spending'!$E$5:$E$404,TEXT(DATE(PlanYear,12,1),"yyyy-mm"))-SUMIFS('Grocery Spending'!$K$5:$K$404,'Grocery Spending'!$E$5:$E$404,TEXT(DATE(PlanYear,12,1),"yyyy-mm"),'Grocery Spending'!$G$5:$G$404,"*shop*")-(SUMIFS('Grocery Spending'!$K$5:$K$404,'Grocery Spending'!$E$5:$E$404,TEXT(DATE(PlanYear,12,1),"yyyy-mm"),'Grocery Spending'!$G$5:$G$404,"Takeaway")+SUMIFS('Grocery Spending'!$K$5:$K$404,'Grocery Spending'!$E$5:$E$404,TEXT(DATE(PlanYear,12,1),"yyyy-mm"),'Grocery Spending'!$G$5:$G$404,"Eating out"))</f>
        <v>0</v>
      </c>
      <c r="F20" s="25">
        <f>SUMIFS('Grocery Spending'!$K$5:$K$404,'Grocery Spending'!$E$5:$E$404,TEXT(DATE(PlanYear,12,1),"yyyy-mm"))</f>
        <v>0</v>
      </c>
      <c r="G20" s="25">
        <f>MonthlyBudget-SUMIFS('Grocery Spending'!$K$5:$K$404,'Grocery Spending'!$E$5:$E$404,TEXT(DATE(PlanYear,12,1),"yyyy-mm"))</f>
        <v>0</v>
      </c>
      <c r="H20" s="50">
        <f>IFERROR((SUMIFS('Grocery Spending'!$K$5:$K$404,'Grocery Spending'!$E$5:$E$404,TEXT(DATE(PlanYear,12,1),"yyyy-mm")))/MonthlyBudget,"")</f>
        <v>0</v>
      </c>
      <c r="I20" s="25">
        <f>SUMIFS('Food Waste'!$L$5:$L$154,'Food Waste'!$D$5:$D$154,TEXT(DATE(PlanYear,12,1),"yyyy-mm"))</f>
        <v>0</v>
      </c>
      <c r="J20" s="25">
        <f>IFERROR((SUMIFS('Grocery Spending'!$K$5:$K$404,'Grocery Spending'!$E$5:$E$404,TEXT(DATE(PlanYear,12,1),"yyyy-mm")))/MAX(1,HouseMembers),"")</f>
        <v>0</v>
      </c>
    </row>
    <row r="21" spans="1:11">
      <c r="A21" s="48" t="s">
        <v>1282</v>
      </c>
      <c r="B21" s="26">
        <f>AnnualBudget</f>
        <v>0</v>
      </c>
      <c r="C21" s="26">
        <f>SUM(C9:C20)</f>
        <v>0</v>
      </c>
      <c r="D21" s="26">
        <f>SUM(D9:D20)</f>
        <v>0</v>
      </c>
      <c r="E21" s="26">
        <f>SUM(E9:E20)</f>
        <v>0</v>
      </c>
      <c r="F21" s="26">
        <f>SUM(F9:F20)</f>
        <v>0</v>
      </c>
      <c r="G21" s="26">
        <f>AnnualBudget-SUM(F9:F20)</f>
        <v>0</v>
      </c>
      <c r="H21" s="54">
        <f>IFERROR(SUM(F9:F20)/AnnualBudget,"")</f>
        <v>0</v>
      </c>
      <c r="I21" s="26">
        <f>SUM(I9:I20)</f>
        <v>0</v>
      </c>
      <c r="J21" s="26">
        <f>IFERROR(SUM(F9:F20)/MAX(1,HouseMembers),"")</f>
        <v>0</v>
      </c>
    </row>
    <row r="23" spans="1:11" ht="20" customHeight="1">
      <c r="A23" s="7" t="s">
        <v>1283</v>
      </c>
      <c r="B23" s="7"/>
      <c r="C23" s="7"/>
      <c r="D23" s="7"/>
      <c r="E23" s="7"/>
      <c r="F23" s="7"/>
      <c r="G23" s="7"/>
      <c r="H23" s="7"/>
      <c r="I23" s="7"/>
      <c r="J23" s="7"/>
      <c r="K23" s="7"/>
    </row>
    <row r="24" spans="1:11" ht="26" customHeight="1">
      <c r="A24" s="8" t="s">
        <v>1284</v>
      </c>
      <c r="B24" s="9" t="s">
        <v>1186</v>
      </c>
      <c r="C24" s="9" t="s">
        <v>1285</v>
      </c>
      <c r="D24" s="9" t="s">
        <v>1286</v>
      </c>
      <c r="E24" s="9" t="s">
        <v>1287</v>
      </c>
      <c r="F24" s="9" t="s">
        <v>1252</v>
      </c>
    </row>
    <row r="25" spans="1:11">
      <c r="A25" s="13" t="s">
        <v>624</v>
      </c>
      <c r="B25" s="25">
        <f>SUMIFS('Grocery Spending'!$K$5:$K$404,'Grocery Spending'!$G$5:$G$404,"Weekly shop",'Grocery Spending'!$E$5:$E$404,TEXT(TODAY(),"yyyy-mm"))</f>
        <v>0</v>
      </c>
      <c r="C25" s="25">
        <f>SUMIFS('Grocery Spending'!$K$5:$K$404,'Grocery Spending'!$G$5:$G$404,"Weekly shop")</f>
        <v>0</v>
      </c>
      <c r="D25" s="50">
        <f>IFERROR(SUMIFS('Grocery Spending'!$K$5:$K$404,'Grocery Spending'!$G$5:$G$404,"Weekly shop")/SUM('Grocery Spending'!$K$5:$K$404),"")</f>
        <v>0</v>
      </c>
      <c r="E25" s="18">
        <f>COUNTIFS('Grocery Spending'!$G$5:$G$404,"Weekly shop")</f>
        <v>0</v>
      </c>
      <c r="F25" s="25">
        <f>IFERROR(AVERAGEIFS('Grocery Spending'!$K$5:$K$404,'Grocery Spending'!$G$5:$G$404,"Weekly shop"),"")</f>
        <v>0</v>
      </c>
    </row>
    <row r="26" spans="1:11">
      <c r="A26" s="13" t="s">
        <v>625</v>
      </c>
      <c r="B26" s="25">
        <f>SUMIFS('Grocery Spending'!$K$5:$K$404,'Grocery Spending'!$G$5:$G$404,"Top-up shop",'Grocery Spending'!$E$5:$E$404,TEXT(TODAY(),"yyyy-mm"))</f>
        <v>0</v>
      </c>
      <c r="C26" s="25">
        <f>SUMIFS('Grocery Spending'!$K$5:$K$404,'Grocery Spending'!$G$5:$G$404,"Top-up shop")</f>
        <v>0</v>
      </c>
      <c r="D26" s="50">
        <f>IFERROR(SUMIFS('Grocery Spending'!$K$5:$K$404,'Grocery Spending'!$G$5:$G$404,"Top-up shop")/SUM('Grocery Spending'!$K$5:$K$404),"")</f>
        <v>0</v>
      </c>
      <c r="E26" s="18">
        <f>COUNTIFS('Grocery Spending'!$G$5:$G$404,"Top-up shop")</f>
        <v>0</v>
      </c>
      <c r="F26" s="25">
        <f>IFERROR(AVERAGEIFS('Grocery Spending'!$K$5:$K$404,'Grocery Spending'!$G$5:$G$404,"Top-up shop"),"")</f>
        <v>0</v>
      </c>
    </row>
    <row r="27" spans="1:11">
      <c r="A27" s="13" t="s">
        <v>545</v>
      </c>
      <c r="B27" s="25">
        <f>SUMIFS('Grocery Spending'!$K$5:$K$404,'Grocery Spending'!$G$5:$G$404,"Bulk shop",'Grocery Spending'!$E$5:$E$404,TEXT(TODAY(),"yyyy-mm"))</f>
        <v>0</v>
      </c>
      <c r="C27" s="25">
        <f>SUMIFS('Grocery Spending'!$K$5:$K$404,'Grocery Spending'!$G$5:$G$404,"Bulk shop")</f>
        <v>0</v>
      </c>
      <c r="D27" s="50">
        <f>IFERROR(SUMIFS('Grocery Spending'!$K$5:$K$404,'Grocery Spending'!$G$5:$G$404,"Bulk shop")/SUM('Grocery Spending'!$K$5:$K$404),"")</f>
        <v>0</v>
      </c>
      <c r="E27" s="18">
        <f>COUNTIFS('Grocery Spending'!$G$5:$G$404,"Bulk shop")</f>
        <v>0</v>
      </c>
      <c r="F27" s="25">
        <f>IFERROR(AVERAGEIFS('Grocery Spending'!$K$5:$K$404,'Grocery Spending'!$G$5:$G$404,"Bulk shop"),"")</f>
        <v>0</v>
      </c>
    </row>
    <row r="28" spans="1:11">
      <c r="A28" s="13" t="s">
        <v>322</v>
      </c>
      <c r="B28" s="25">
        <f>SUMIFS('Grocery Spending'!$K$5:$K$404,'Grocery Spending'!$G$5:$G$404,"Takeaway",'Grocery Spending'!$E$5:$E$404,TEXT(TODAY(),"yyyy-mm"))</f>
        <v>0</v>
      </c>
      <c r="C28" s="25">
        <f>SUMIFS('Grocery Spending'!$K$5:$K$404,'Grocery Spending'!$G$5:$G$404,"Takeaway")</f>
        <v>0</v>
      </c>
      <c r="D28" s="50">
        <f>IFERROR(SUMIFS('Grocery Spending'!$K$5:$K$404,'Grocery Spending'!$G$5:$G$404,"Takeaway")/SUM('Grocery Spending'!$K$5:$K$404),"")</f>
        <v>0</v>
      </c>
      <c r="E28" s="18">
        <f>COUNTIFS('Grocery Spending'!$G$5:$G$404,"Takeaway")</f>
        <v>0</v>
      </c>
      <c r="F28" s="25">
        <f>IFERROR(AVERAGEIFS('Grocery Spending'!$K$5:$K$404,'Grocery Spending'!$G$5:$G$404,"Takeaway"),"")</f>
        <v>0</v>
      </c>
    </row>
    <row r="29" spans="1:11">
      <c r="A29" s="13" t="s">
        <v>143</v>
      </c>
      <c r="B29" s="25">
        <f>SUMIFS('Grocery Spending'!$K$5:$K$404,'Grocery Spending'!$G$5:$G$404,"Eating out",'Grocery Spending'!$E$5:$E$404,TEXT(TODAY(),"yyyy-mm"))</f>
        <v>0</v>
      </c>
      <c r="C29" s="25">
        <f>SUMIFS('Grocery Spending'!$K$5:$K$404,'Grocery Spending'!$G$5:$G$404,"Eating out")</f>
        <v>0</v>
      </c>
      <c r="D29" s="50">
        <f>IFERROR(SUMIFS('Grocery Spending'!$K$5:$K$404,'Grocery Spending'!$G$5:$G$404,"Eating out")/SUM('Grocery Spending'!$K$5:$K$404),"")</f>
        <v>0</v>
      </c>
      <c r="E29" s="18">
        <f>COUNTIFS('Grocery Spending'!$G$5:$G$404,"Eating out")</f>
        <v>0</v>
      </c>
      <c r="F29" s="25">
        <f>IFERROR(AVERAGEIFS('Grocery Spending'!$K$5:$K$404,'Grocery Spending'!$G$5:$G$404,"Eating out"),"")</f>
        <v>0</v>
      </c>
    </row>
    <row r="30" spans="1:11">
      <c r="A30" s="13" t="s">
        <v>547</v>
      </c>
      <c r="B30" s="25">
        <f>SUMIFS('Grocery Spending'!$K$5:$K$404,'Grocery Spending'!$G$5:$G$404,"Work lunch",'Grocery Spending'!$E$5:$E$404,TEXT(TODAY(),"yyyy-mm"))</f>
        <v>0</v>
      </c>
      <c r="C30" s="25">
        <f>SUMIFS('Grocery Spending'!$K$5:$K$404,'Grocery Spending'!$G$5:$G$404,"Work lunch")</f>
        <v>0</v>
      </c>
      <c r="D30" s="50">
        <f>IFERROR(SUMIFS('Grocery Spending'!$K$5:$K$404,'Grocery Spending'!$G$5:$G$404,"Work lunch")/SUM('Grocery Spending'!$K$5:$K$404),"")</f>
        <v>0</v>
      </c>
      <c r="E30" s="18">
        <f>COUNTIFS('Grocery Spending'!$G$5:$G$404,"Work lunch")</f>
        <v>0</v>
      </c>
      <c r="F30" s="25">
        <f>IFERROR(AVERAGEIFS('Grocery Spending'!$K$5:$K$404,'Grocery Spending'!$G$5:$G$404,"Work lunch"),"")</f>
        <v>0</v>
      </c>
    </row>
    <row r="31" spans="1:11">
      <c r="A31" s="13" t="s">
        <v>626</v>
      </c>
      <c r="B31" s="25">
        <f>SUMIFS('Grocery Spending'!$K$5:$K$404,'Grocery Spending'!$G$5:$G$404,"Coffee &amp; treats",'Grocery Spending'!$E$5:$E$404,TEXT(TODAY(),"yyyy-mm"))</f>
        <v>0</v>
      </c>
      <c r="C31" s="25">
        <f>SUMIFS('Grocery Spending'!$K$5:$K$404,'Grocery Spending'!$G$5:$G$404,"Coffee &amp; treats")</f>
        <v>0</v>
      </c>
      <c r="D31" s="50">
        <f>IFERROR(SUMIFS('Grocery Spending'!$K$5:$K$404,'Grocery Spending'!$G$5:$G$404,"Coffee &amp; treats")/SUM('Grocery Spending'!$K$5:$K$404),"")</f>
        <v>0</v>
      </c>
      <c r="E31" s="18">
        <f>COUNTIFS('Grocery Spending'!$G$5:$G$404,"Coffee &amp; treats")</f>
        <v>0</v>
      </c>
      <c r="F31" s="25">
        <f>IFERROR(AVERAGEIFS('Grocery Spending'!$K$5:$K$404,'Grocery Spending'!$G$5:$G$404,"Coffee &amp; treats"),"")</f>
        <v>0</v>
      </c>
    </row>
    <row r="32" spans="1:11">
      <c r="A32" s="13" t="s">
        <v>550</v>
      </c>
      <c r="B32" s="25">
        <f>SUMIFS('Grocery Spending'!$K$5:$K$404,'Grocery Spending'!$G$5:$G$404,"Delivery fee",'Grocery Spending'!$E$5:$E$404,TEXT(TODAY(),"yyyy-mm"))</f>
        <v>0</v>
      </c>
      <c r="C32" s="25">
        <f>SUMIFS('Grocery Spending'!$K$5:$K$404,'Grocery Spending'!$G$5:$G$404,"Delivery fee")</f>
        <v>0</v>
      </c>
      <c r="D32" s="50">
        <f>IFERROR(SUMIFS('Grocery Spending'!$K$5:$K$404,'Grocery Spending'!$G$5:$G$404,"Delivery fee")/SUM('Grocery Spending'!$K$5:$K$404),"")</f>
        <v>0</v>
      </c>
      <c r="E32" s="18">
        <f>COUNTIFS('Grocery Spending'!$G$5:$G$404,"Delivery fee")</f>
        <v>0</v>
      </c>
      <c r="F32" s="25">
        <f>IFERROR(AVERAGEIFS('Grocery Spending'!$K$5:$K$404,'Grocery Spending'!$G$5:$G$404,"Delivery fee"),"")</f>
        <v>0</v>
      </c>
    </row>
    <row r="33" spans="1:11">
      <c r="A33" s="13" t="s">
        <v>628</v>
      </c>
      <c r="B33" s="25">
        <f>SUMIFS('Grocery Spending'!$K$5:$K$404,'Grocery Spending'!$G$5:$G$404,"Special occasion",'Grocery Spending'!$E$5:$E$404,TEXT(TODAY(),"yyyy-mm"))</f>
        <v>0</v>
      </c>
      <c r="C33" s="25">
        <f>SUMIFS('Grocery Spending'!$K$5:$K$404,'Grocery Spending'!$G$5:$G$404,"Special occasion")</f>
        <v>0</v>
      </c>
      <c r="D33" s="50">
        <f>IFERROR(SUMIFS('Grocery Spending'!$K$5:$K$404,'Grocery Spending'!$G$5:$G$404,"Special occasion")/SUM('Grocery Spending'!$K$5:$K$404),"")</f>
        <v>0</v>
      </c>
      <c r="E33" s="18">
        <f>COUNTIFS('Grocery Spending'!$G$5:$G$404,"Special occasion")</f>
        <v>0</v>
      </c>
      <c r="F33" s="25">
        <f>IFERROR(AVERAGEIFS('Grocery Spending'!$K$5:$K$404,'Grocery Spending'!$G$5:$G$404,"Special occasion"),"")</f>
        <v>0</v>
      </c>
    </row>
    <row r="34" spans="1:11">
      <c r="A34" s="13" t="s">
        <v>18</v>
      </c>
      <c r="B34" s="25">
        <f>SUMIFS('Grocery Spending'!$K$5:$K$404,'Grocery Spending'!$G$5:$G$404,"Household",'Grocery Spending'!$E$5:$E$404,TEXT(TODAY(),"yyyy-mm"))</f>
        <v>0</v>
      </c>
      <c r="C34" s="25">
        <f>SUMIFS('Grocery Spending'!$K$5:$K$404,'Grocery Spending'!$G$5:$G$404,"Household")</f>
        <v>0</v>
      </c>
      <c r="D34" s="50">
        <f>IFERROR(SUMIFS('Grocery Spending'!$K$5:$K$404,'Grocery Spending'!$G$5:$G$404,"Household")/SUM('Grocery Spending'!$K$5:$K$404),"")</f>
        <v>0</v>
      </c>
      <c r="E34" s="18">
        <f>COUNTIFS('Grocery Spending'!$G$5:$G$404,"Household")</f>
        <v>0</v>
      </c>
      <c r="F34" s="25">
        <f>IFERROR(AVERAGEIFS('Grocery Spending'!$K$5:$K$404,'Grocery Spending'!$G$5:$G$404,"Household"),"")</f>
        <v>0</v>
      </c>
    </row>
    <row r="36" spans="1:11" ht="20" customHeight="1">
      <c r="A36" s="7" t="s">
        <v>1083</v>
      </c>
      <c r="B36" s="7"/>
      <c r="C36" s="7"/>
      <c r="D36" s="7"/>
      <c r="E36" s="7"/>
      <c r="F36" s="7"/>
      <c r="G36" s="7"/>
      <c r="H36" s="7"/>
      <c r="I36" s="7"/>
      <c r="J36" s="7"/>
      <c r="K36" s="7"/>
    </row>
    <row r="37" spans="1:11" ht="26" customHeight="1">
      <c r="A37" s="8" t="s">
        <v>1059</v>
      </c>
      <c r="B37" s="9" t="s">
        <v>1288</v>
      </c>
      <c r="C37" s="9" t="s">
        <v>1289</v>
      </c>
      <c r="D37" s="9" t="s">
        <v>1290</v>
      </c>
      <c r="E37" s="9" t="s">
        <v>1291</v>
      </c>
      <c r="F37" s="9" t="s">
        <v>1292</v>
      </c>
    </row>
    <row r="38" spans="1:11">
      <c r="A38" s="17">
        <f>IFERROR(IF(INDEX(StoreNames,1)=0,"",INDEX(StoreNames,1)),"")</f>
        <v>0</v>
      </c>
      <c r="B38" s="18">
        <f>IF(A38="","",COUNTIFS('Grocery Spending'!$F$5:$F$404,A38))</f>
        <v>0</v>
      </c>
      <c r="C38" s="25">
        <f>IF(A38="","",SUMIFS('Grocery Spending'!$K$5:$K$404,'Grocery Spending'!$F$5:$F$404,A38))</f>
        <v>0</v>
      </c>
      <c r="D38" s="25">
        <f>IF(A38="","",IFERROR(AVERAGEIFS('Grocery Spending'!$K$5:$K$404,'Grocery Spending'!$F$5:$F$404,A38),""))</f>
        <v>0</v>
      </c>
      <c r="E38" s="50">
        <f>IF(A38="","",IFERROR(SUMIFS('Grocery Spending'!$K$5:$K$404,'Grocery Spending'!$F$5:$F$404,A38)/SUM('Grocery Spending'!$K$5:$K$404),""))</f>
        <v>0</v>
      </c>
      <c r="F38" s="17">
        <f>IF(A38="","",IFERROR(INDEX(Stores!$M$5:$M$44,MATCH(A38,Stores!$B$5:$B$44,0)),""))</f>
        <v>0</v>
      </c>
    </row>
    <row r="39" spans="1:11">
      <c r="A39" s="17">
        <f>IFERROR(IF(INDEX(StoreNames,2)=0,"",INDEX(StoreNames,2)),"")</f>
        <v>0</v>
      </c>
      <c r="B39" s="18">
        <f>IF(A39="","",COUNTIFS('Grocery Spending'!$F$5:$F$404,A39))</f>
        <v>0</v>
      </c>
      <c r="C39" s="25">
        <f>IF(A39="","",SUMIFS('Grocery Spending'!$K$5:$K$404,'Grocery Spending'!$F$5:$F$404,A39))</f>
        <v>0</v>
      </c>
      <c r="D39" s="25">
        <f>IF(A39="","",IFERROR(AVERAGEIFS('Grocery Spending'!$K$5:$K$404,'Grocery Spending'!$F$5:$F$404,A39),""))</f>
        <v>0</v>
      </c>
      <c r="E39" s="50">
        <f>IF(A39="","",IFERROR(SUMIFS('Grocery Spending'!$K$5:$K$404,'Grocery Spending'!$F$5:$F$404,A39)/SUM('Grocery Spending'!$K$5:$K$404),""))</f>
        <v>0</v>
      </c>
      <c r="F39" s="17">
        <f>IF(A39="","",IFERROR(INDEX(Stores!$M$5:$M$44,MATCH(A39,Stores!$B$5:$B$44,0)),""))</f>
        <v>0</v>
      </c>
    </row>
    <row r="40" spans="1:11">
      <c r="A40" s="17">
        <f>IFERROR(IF(INDEX(StoreNames,3)=0,"",INDEX(StoreNames,3)),"")</f>
        <v>0</v>
      </c>
      <c r="B40" s="18">
        <f>IF(A40="","",COUNTIFS('Grocery Spending'!$F$5:$F$404,A40))</f>
        <v>0</v>
      </c>
      <c r="C40" s="25">
        <f>IF(A40="","",SUMIFS('Grocery Spending'!$K$5:$K$404,'Grocery Spending'!$F$5:$F$404,A40))</f>
        <v>0</v>
      </c>
      <c r="D40" s="25">
        <f>IF(A40="","",IFERROR(AVERAGEIFS('Grocery Spending'!$K$5:$K$404,'Grocery Spending'!$F$5:$F$404,A40),""))</f>
        <v>0</v>
      </c>
      <c r="E40" s="50">
        <f>IF(A40="","",IFERROR(SUMIFS('Grocery Spending'!$K$5:$K$404,'Grocery Spending'!$F$5:$F$404,A40)/SUM('Grocery Spending'!$K$5:$K$404),""))</f>
        <v>0</v>
      </c>
      <c r="F40" s="17">
        <f>IF(A40="","",IFERROR(INDEX(Stores!$M$5:$M$44,MATCH(A40,Stores!$B$5:$B$44,0)),""))</f>
        <v>0</v>
      </c>
    </row>
    <row r="41" spans="1:11">
      <c r="A41" s="17">
        <f>IFERROR(IF(INDEX(StoreNames,4)=0,"",INDEX(StoreNames,4)),"")</f>
        <v>0</v>
      </c>
      <c r="B41" s="18">
        <f>IF(A41="","",COUNTIFS('Grocery Spending'!$F$5:$F$404,A41))</f>
        <v>0</v>
      </c>
      <c r="C41" s="25">
        <f>IF(A41="","",SUMIFS('Grocery Spending'!$K$5:$K$404,'Grocery Spending'!$F$5:$F$404,A41))</f>
        <v>0</v>
      </c>
      <c r="D41" s="25">
        <f>IF(A41="","",IFERROR(AVERAGEIFS('Grocery Spending'!$K$5:$K$404,'Grocery Spending'!$F$5:$F$404,A41),""))</f>
        <v>0</v>
      </c>
      <c r="E41" s="50">
        <f>IF(A41="","",IFERROR(SUMIFS('Grocery Spending'!$K$5:$K$404,'Grocery Spending'!$F$5:$F$404,A41)/SUM('Grocery Spending'!$K$5:$K$404),""))</f>
        <v>0</v>
      </c>
      <c r="F41" s="17">
        <f>IF(A41="","",IFERROR(INDEX(Stores!$M$5:$M$44,MATCH(A41,Stores!$B$5:$B$44,0)),""))</f>
        <v>0</v>
      </c>
    </row>
    <row r="42" spans="1:11">
      <c r="A42" s="17">
        <f>IFERROR(IF(INDEX(StoreNames,5)=0,"",INDEX(StoreNames,5)),"")</f>
        <v>0</v>
      </c>
      <c r="B42" s="18">
        <f>IF(A42="","",COUNTIFS('Grocery Spending'!$F$5:$F$404,A42))</f>
        <v>0</v>
      </c>
      <c r="C42" s="25">
        <f>IF(A42="","",SUMIFS('Grocery Spending'!$K$5:$K$404,'Grocery Spending'!$F$5:$F$404,A42))</f>
        <v>0</v>
      </c>
      <c r="D42" s="25">
        <f>IF(A42="","",IFERROR(AVERAGEIFS('Grocery Spending'!$K$5:$K$404,'Grocery Spending'!$F$5:$F$404,A42),""))</f>
        <v>0</v>
      </c>
      <c r="E42" s="50">
        <f>IF(A42="","",IFERROR(SUMIFS('Grocery Spending'!$K$5:$K$404,'Grocery Spending'!$F$5:$F$404,A42)/SUM('Grocery Spending'!$K$5:$K$404),""))</f>
        <v>0</v>
      </c>
      <c r="F42" s="17">
        <f>IF(A42="","",IFERROR(INDEX(Stores!$M$5:$M$44,MATCH(A42,Stores!$B$5:$B$44,0)),""))</f>
        <v>0</v>
      </c>
    </row>
    <row r="43" spans="1:11">
      <c r="A43" s="17">
        <f>IFERROR(IF(INDEX(StoreNames,6)=0,"",INDEX(StoreNames,6)),"")</f>
        <v>0</v>
      </c>
      <c r="B43" s="18">
        <f>IF(A43="","",COUNTIFS('Grocery Spending'!$F$5:$F$404,A43))</f>
        <v>0</v>
      </c>
      <c r="C43" s="25">
        <f>IF(A43="","",SUMIFS('Grocery Spending'!$K$5:$K$404,'Grocery Spending'!$F$5:$F$404,A43))</f>
        <v>0</v>
      </c>
      <c r="D43" s="25">
        <f>IF(A43="","",IFERROR(AVERAGEIFS('Grocery Spending'!$K$5:$K$404,'Grocery Spending'!$F$5:$F$404,A43),""))</f>
        <v>0</v>
      </c>
      <c r="E43" s="50">
        <f>IF(A43="","",IFERROR(SUMIFS('Grocery Spending'!$K$5:$K$404,'Grocery Spending'!$F$5:$F$404,A43)/SUM('Grocery Spending'!$K$5:$K$404),""))</f>
        <v>0</v>
      </c>
      <c r="F43" s="17">
        <f>IF(A43="","",IFERROR(INDEX(Stores!$M$5:$M$44,MATCH(A43,Stores!$B$5:$B$44,0)),""))</f>
        <v>0</v>
      </c>
    </row>
    <row r="44" spans="1:11">
      <c r="A44" s="17">
        <f>IFERROR(IF(INDEX(StoreNames,7)=0,"",INDEX(StoreNames,7)),"")</f>
        <v>0</v>
      </c>
      <c r="B44" s="18">
        <f>IF(A44="","",COUNTIFS('Grocery Spending'!$F$5:$F$404,A44))</f>
        <v>0</v>
      </c>
      <c r="C44" s="25">
        <f>IF(A44="","",SUMIFS('Grocery Spending'!$K$5:$K$404,'Grocery Spending'!$F$5:$F$404,A44))</f>
        <v>0</v>
      </c>
      <c r="D44" s="25">
        <f>IF(A44="","",IFERROR(AVERAGEIFS('Grocery Spending'!$K$5:$K$404,'Grocery Spending'!$F$5:$F$404,A44),""))</f>
        <v>0</v>
      </c>
      <c r="E44" s="50">
        <f>IF(A44="","",IFERROR(SUMIFS('Grocery Spending'!$K$5:$K$404,'Grocery Spending'!$F$5:$F$404,A44)/SUM('Grocery Spending'!$K$5:$K$404),""))</f>
        <v>0</v>
      </c>
      <c r="F44" s="17">
        <f>IF(A44="","",IFERROR(INDEX(Stores!$M$5:$M$44,MATCH(A44,Stores!$B$5:$B$44,0)),""))</f>
        <v>0</v>
      </c>
    </row>
    <row r="45" spans="1:11">
      <c r="A45" s="17">
        <f>IFERROR(IF(INDEX(StoreNames,8)=0,"",INDEX(StoreNames,8)),"")</f>
        <v>0</v>
      </c>
      <c r="B45" s="18">
        <f>IF(A45="","",COUNTIFS('Grocery Spending'!$F$5:$F$404,A45))</f>
        <v>0</v>
      </c>
      <c r="C45" s="25">
        <f>IF(A45="","",SUMIFS('Grocery Spending'!$K$5:$K$404,'Grocery Spending'!$F$5:$F$404,A45))</f>
        <v>0</v>
      </c>
      <c r="D45" s="25">
        <f>IF(A45="","",IFERROR(AVERAGEIFS('Grocery Spending'!$K$5:$K$404,'Grocery Spending'!$F$5:$F$404,A45),""))</f>
        <v>0</v>
      </c>
      <c r="E45" s="50">
        <f>IF(A45="","",IFERROR(SUMIFS('Grocery Spending'!$K$5:$K$404,'Grocery Spending'!$F$5:$F$404,A45)/SUM('Grocery Spending'!$K$5:$K$404),""))</f>
        <v>0</v>
      </c>
      <c r="F45" s="17">
        <f>IF(A45="","",IFERROR(INDEX(Stores!$M$5:$M$44,MATCH(A45,Stores!$B$5:$B$44,0)),""))</f>
        <v>0</v>
      </c>
    </row>
    <row r="47" spans="1:11" ht="20" customHeight="1">
      <c r="A47" s="7" t="s">
        <v>1293</v>
      </c>
      <c r="B47" s="7"/>
      <c r="C47" s="7"/>
      <c r="D47" s="7"/>
      <c r="E47" s="7"/>
      <c r="F47" s="7"/>
      <c r="G47" s="7"/>
      <c r="H47" s="7"/>
      <c r="I47" s="7"/>
      <c r="J47" s="7"/>
      <c r="K47" s="7"/>
    </row>
    <row r="48" spans="1:11" ht="32" customHeight="1">
      <c r="A48" s="6" t="s">
        <v>1294</v>
      </c>
      <c r="B48" s="6"/>
      <c r="C48" s="6"/>
      <c r="D48" s="6"/>
      <c r="E48" s="6"/>
      <c r="F48" s="6"/>
      <c r="G48" s="6"/>
      <c r="H48" s="6"/>
      <c r="I48" s="6"/>
      <c r="J48" s="6"/>
      <c r="K48" s="6"/>
    </row>
    <row r="49" spans="1:11" ht="26" customHeight="1">
      <c r="A49" s="8" t="s">
        <v>157</v>
      </c>
      <c r="B49" s="9" t="s">
        <v>1295</v>
      </c>
      <c r="C49" s="9" t="s">
        <v>1296</v>
      </c>
      <c r="D49" s="9" t="s">
        <v>142</v>
      </c>
      <c r="E49" s="9" t="s">
        <v>1297</v>
      </c>
      <c r="F49" s="9" t="s">
        <v>1298</v>
      </c>
    </row>
    <row r="50" spans="1:11">
      <c r="A50" s="11" t="s">
        <v>1186</v>
      </c>
      <c r="B50" s="25">
        <f>SUMIFS('Meal Plan'!$T$5:$T$504,'Meal Plan'!$E$5:$E$504,TEXT(TODAY(),"yyyy-mm"))</f>
        <v>0</v>
      </c>
      <c r="C50" s="25">
        <f>SUMIFS('Grocery Spending'!$K$5:$K$404,'Grocery Spending'!$E$5:$E$404,TEXT(TODAY(),"yyyy-mm"))</f>
        <v>0</v>
      </c>
      <c r="D50" s="25">
        <f>SUMIFS('Grocery Spending'!$K$5:$K$404,'Grocery Spending'!$E$5:$E$404,TEXT(TODAY(),"yyyy-mm"))-SUMIFS('Meal Plan'!$T$5:$T$504,'Meal Plan'!$E$5:$E$504,TEXT(TODAY(),"yyyy-mm"))</f>
        <v>0</v>
      </c>
      <c r="E50" s="18">
        <f>COUNTIFS('Grocery Spending'!$O$5:$O$404,"No",'Grocery Spending'!$E$5:$E$404,TEXT(TODAY(),"yyyy-mm"))</f>
        <v>0</v>
      </c>
      <c r="F50" s="25">
        <f>SUMIFS('Grocery Spending'!$K$5:$K$404,'Grocery Spending'!$O$5:$O$404,"No",'Grocery Spending'!$E$5:$E$404,TEXT(TODAY(),"yyyy-mm"))</f>
        <v>0</v>
      </c>
    </row>
    <row r="51" spans="1:11">
      <c r="A51" s="11" t="s">
        <v>1299</v>
      </c>
      <c r="B51" s="25">
        <f>SUM('Meal Plan'!$T$5:$T$504)</f>
        <v>0</v>
      </c>
      <c r="C51" s="25">
        <f>SUM('Grocery Spending'!$K$5:$K$404)</f>
        <v>0</v>
      </c>
      <c r="D51" s="25">
        <f>SUM('Grocery Spending'!$K$5:$K$404)-SUM('Meal Plan'!$T$5:$T$504)</f>
        <v>0</v>
      </c>
      <c r="E51" s="18">
        <f>COUNTIF('Grocery Spending'!$O$5:$O$404,"No")</f>
        <v>0</v>
      </c>
      <c r="F51" s="25">
        <f>SUMIFS('Grocery Spending'!$K$5:$K$404,'Grocery Spending'!$O$5:$O$404,"No")</f>
        <v>0</v>
      </c>
    </row>
    <row r="53" spans="1:11" ht="20" customHeight="1">
      <c r="A53" s="7" t="s">
        <v>1300</v>
      </c>
      <c r="B53" s="7"/>
      <c r="C53" s="7"/>
      <c r="D53" s="7"/>
      <c r="E53" s="7"/>
      <c r="F53" s="7"/>
      <c r="G53" s="7"/>
      <c r="H53" s="7"/>
      <c r="I53" s="7"/>
      <c r="J53" s="7"/>
      <c r="K53" s="7"/>
    </row>
    <row r="54" spans="1:11" ht="26" customHeight="1">
      <c r="A54" s="8" t="s">
        <v>659</v>
      </c>
      <c r="B54" s="9" t="s">
        <v>1301</v>
      </c>
      <c r="C54" s="9" t="s">
        <v>1302</v>
      </c>
      <c r="D54" s="9" t="s">
        <v>1303</v>
      </c>
    </row>
    <row r="55" spans="1:11">
      <c r="A55" s="25">
        <f>SUMIFS(Leftovers!$M$5:$M$124,Leftovers!$Q$5:$Q$124,"Eaten")</f>
        <v>0</v>
      </c>
      <c r="B55" s="25">
        <f>SUM(Ingredients!$O$5:$O$304)</f>
        <v>0</v>
      </c>
      <c r="C55" s="25">
        <f>MAX(0,WasteCostTarget-SUMIFS('Food Waste'!$L$5:$L$154,'Food Waste'!$D$5:$D$154,TEXT(TODAY(),"yyyy-mm")))</f>
        <v>0</v>
      </c>
      <c r="D55" s="25">
        <f>IFERROR(SUM('Meal Prep'!$I$5:$I$124)*(EatingOutBudget/MAX(1,TakeawayLimit*2))-SUM('Meal Prep'!$T$5:$T$124),"")</f>
        <v>0</v>
      </c>
    </row>
    <row r="57" spans="1:11" ht="44" customHeight="1">
      <c r="A57" s="6" t="s">
        <v>1304</v>
      </c>
      <c r="B57" s="6"/>
      <c r="C57" s="6"/>
      <c r="D57" s="6"/>
      <c r="E57" s="6"/>
      <c r="F57" s="6"/>
      <c r="G57" s="6"/>
      <c r="H57" s="6"/>
      <c r="I57" s="6"/>
      <c r="J57" s="6"/>
      <c r="K57" s="6"/>
    </row>
  </sheetData>
  <sheetProtection password="EC7C" sheet="1" objects="1" scenarios="1" formatCells="0" formatColumns="0" formatRows="0" insertRows="0" insertHyperlinks="0" deleteRows="0" autoFilter="0"/>
  <mergeCells count="16">
    <mergeCell ref="A1:H1"/>
    <mergeCell ref="I1:K1"/>
    <mergeCell ref="A2:K2"/>
    <mergeCell ref="A3:B3"/>
    <mergeCell ref="C3:D3"/>
    <mergeCell ref="E3:F3"/>
    <mergeCell ref="G3:H3"/>
    <mergeCell ref="I3:J3"/>
    <mergeCell ref="A6:K6"/>
    <mergeCell ref="A7:K7"/>
    <mergeCell ref="A23:K23"/>
    <mergeCell ref="A36:K36"/>
    <mergeCell ref="A47:K47"/>
    <mergeCell ref="A48:K48"/>
    <mergeCell ref="A53:K53"/>
    <mergeCell ref="A57:K57"/>
  </mergeCells>
  <conditionalFormatting sqref="D25:D34">
    <cfRule type="dataBar" priority="5">
      <dataBar>
        <cfvo type="min" val="0"/>
        <cfvo type="max" val="0"/>
        <color rgb="FFD9703C"/>
      </dataBar>
    </cfRule>
  </conditionalFormatting>
  <conditionalFormatting sqref="D50:D51">
    <cfRule type="cellIs" dxfId="0" priority="6" operator="greaterThan">
      <formula>0</formula>
    </cfRule>
  </conditionalFormatting>
  <conditionalFormatting sqref="F9:F20">
    <cfRule type="dataBar" priority="4">
      <dataBar>
        <cfvo type="min" val="0"/>
        <cfvo type="max" val="0"/>
        <color rgb="FF2F5E43"/>
      </dataBar>
    </cfRule>
  </conditionalFormatting>
  <conditionalFormatting sqref="G9:G20">
    <cfRule type="cellIs" dxfId="2" priority="1" operator="lessThan">
      <formula>0</formula>
    </cfRule>
    <cfRule type="cellIs" dxfId="1" priority="2" operator="greaterThanOrEqual">
      <formula>0</formula>
    </cfRule>
  </conditionalFormatting>
  <conditionalFormatting sqref="H9:H20">
    <cfRule type="dataBar" priority="3">
      <dataBar>
        <cfvo type="min" val="0"/>
        <cfvo type="max" val="0"/>
        <color rgb="FF4E8A63"/>
      </dataBar>
    </cfRule>
  </conditionalFormatting>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&amp;L&amp;"Calibri,Bold"&amp;12&amp;C&amp;"Calibri,Bold"&amp;11Budget&amp;R&amp;"Calibri,Italic"&amp;9Automated Meal Planner &amp; Grocery List Spreadsheet</oddHeader>
    <oddFooter>&amp;L&amp;"Calibri,Italic"&amp;8Novality Store - v1.0.0&amp;C&amp;"Calibri,Italic"&amp;8Page &amp;P of &amp;N&amp;R&amp;"Calibri,Italic"&amp;8&amp;D</oddFooter>
  </headerFooter>
</worksheet>
</file>

<file path=xl/worksheets/sheet21.xml><?xml version="1.0" encoding="utf-8"?>
<worksheet xmlns="http://schemas.openxmlformats.org/spreadsheetml/2006/main" xmlns:r="http://schemas.openxmlformats.org/officeDocument/2006/relationships">
  <sheetPr>
    <tabColor rgb="FFFBE9DC"/>
    <pageSetUpPr fitToPage="1"/>
  </sheetPr>
  <dimension ref="A1:J67"/>
  <sheetViews>
    <sheetView showGridLines="0" workbookViewId="0">
      <pane ySplit="4" topLeftCell="A5" activePane="bottomLeft" state="frozen"/>
      <selection pane="bottomLeft"/>
    </sheetView>
  </sheetViews>
  <sheetFormatPr defaultRowHeight="15"/>
  <cols>
    <col min="1" max="1" width="6.7109375" customWidth="1"/>
    <col min="2" max="2" width="28.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 max="1" width="5.7109375" customWidth="1"/>
    <col min="2" max="2" width="28.7109375" customWidth="1"/>
    <col min="3" max="3" width="9.7109375" customWidth="1"/>
    <col min="4" max="4" width="14.7109375" customWidth="1"/>
    <col min="5" max="5" width="14.7109375" customWidth="1"/>
    <col min="6" max="6" width="16.7109375" customWidth="1"/>
    <col min="7" max="7" width="11.7109375" customWidth="1"/>
    <col min="8" max="8" width="24.7109375" customWidth="1"/>
    <col min="9" max="9" width="10.7109375" customWidth="1"/>
    <col min="1" max="1" width="5.7109375" customWidth="1"/>
    <col min="2" max="2" width="26.7109375" customWidth="1"/>
    <col min="3" max="3" width="14.7109375" customWidth="1"/>
    <col min="4" max="4" width="15.7109375" customWidth="1"/>
    <col min="5" max="5" width="20.7109375" customWidth="1"/>
    <col min="6" max="6" width="18.7109375" customWidth="1"/>
    <col min="7" max="7" width="17.7109375" customWidth="1"/>
    <col min="1" max="1" width="18.7109375" customWidth="1"/>
    <col min="2" max="2" width="11.7109375" customWidth="1"/>
    <col min="3" max="3" width="18.7109375" customWidth="1"/>
    <col min="4" max="4" width="13.7109375" customWidth="1"/>
    <col min="5" max="5" width="13.7109375" customWidth="1"/>
    <col min="6" max="6" width="16.7109375" customWidth="1"/>
  </cols>
  <sheetData>
    <row r="1" spans="1:10" ht="34" customHeight="1">
      <c r="A1" s="2" t="s">
        <v>1305</v>
      </c>
      <c r="B1" s="2"/>
      <c r="C1" s="2"/>
      <c r="D1" s="2"/>
      <c r="E1" s="2"/>
      <c r="F1" s="2"/>
      <c r="G1" s="2"/>
      <c r="H1" s="3" t="s">
        <v>1</v>
      </c>
      <c r="I1" s="3"/>
      <c r="J1" s="3"/>
    </row>
    <row r="2" spans="1:10" ht="18" customHeight="1">
      <c r="A2" s="4" t="s">
        <v>1306</v>
      </c>
      <c r="B2" s="4"/>
      <c r="C2" s="4"/>
      <c r="D2" s="4"/>
      <c r="E2" s="4"/>
      <c r="F2" s="4"/>
      <c r="G2" s="4"/>
      <c r="H2" s="4"/>
      <c r="I2" s="4"/>
      <c r="J2" s="4"/>
    </row>
    <row r="3" spans="1:10" ht="16" customHeight="1">
      <c r="A3" s="5" t="s">
        <v>3</v>
      </c>
      <c r="B3" s="5"/>
      <c r="C3" s="5" t="s">
        <v>4</v>
      </c>
      <c r="D3" s="5"/>
      <c r="E3" s="5" t="s">
        <v>5</v>
      </c>
      <c r="F3" s="5"/>
      <c r="G3" s="5" t="s">
        <v>6</v>
      </c>
      <c r="H3" s="5"/>
      <c r="I3" s="5" t="s">
        <v>7</v>
      </c>
      <c r="J3" s="5"/>
    </row>
    <row r="5" spans="1:10">
      <c r="B5" s="10" t="s">
        <v>1307</v>
      </c>
      <c r="C5" s="10"/>
      <c r="D5" s="10" t="s">
        <v>1309</v>
      </c>
      <c r="E5" s="10"/>
      <c r="F5" s="10" t="s">
        <v>1311</v>
      </c>
      <c r="G5" s="10"/>
      <c r="H5" s="10" t="s">
        <v>1313</v>
      </c>
      <c r="I5" s="10"/>
    </row>
    <row r="6" spans="1:10" ht="26" customHeight="1">
      <c r="B6" s="21">
        <f>IFERROR(MIN(IFERROR(Recipes!$AD$5:$AD$204*1,999999)),"")</f>
        <v>0</v>
      </c>
      <c r="C6" s="21"/>
      <c r="D6" s="21">
        <f>IFERROR(AVERAGE(Recipes!$AD$5:$AD$204),"")</f>
        <v>0</v>
      </c>
      <c r="E6" s="21"/>
      <c r="F6" s="21">
        <f>IFERROR(MAX(IFERROR(Recipes!$AD$5:$AD$204*1,0)),"")</f>
        <v>0</v>
      </c>
      <c r="G6" s="21"/>
      <c r="H6" s="20">
        <f>COUNTIFS(Recipes!$B$5:$B$204,"&lt;&gt;",Recipes!$AC$5:$AC$204,0)+COUNTIFS(Recipes!$B$5:$B$204,"&lt;&gt;",Recipes!$AC$5:$AC$204,"")</f>
        <v>0</v>
      </c>
      <c r="I6" s="20"/>
    </row>
    <row r="7" spans="1:10">
      <c r="B7" s="22" t="s">
        <v>1308</v>
      </c>
      <c r="C7" s="22"/>
      <c r="D7" s="22" t="s">
        <v>1310</v>
      </c>
      <c r="E7" s="22"/>
      <c r="F7" s="22" t="s">
        <v>1312</v>
      </c>
      <c r="G7" s="22"/>
      <c r="H7" s="22" t="s">
        <v>1314</v>
      </c>
      <c r="I7" s="22"/>
    </row>
    <row r="9" spans="1:10" ht="20" customHeight="1">
      <c r="A9" s="7" t="s">
        <v>1315</v>
      </c>
      <c r="B9" s="7"/>
      <c r="C9" s="7"/>
      <c r="D9" s="7"/>
      <c r="E9" s="7"/>
      <c r="F9" s="7"/>
      <c r="G9" s="7"/>
      <c r="H9" s="7"/>
      <c r="I9" s="7"/>
      <c r="J9" s="7"/>
    </row>
    <row r="10" spans="1:10">
      <c r="B10" s="11" t="s">
        <v>1316</v>
      </c>
      <c r="C10" s="11"/>
      <c r="D10" s="36">
        <v>30</v>
      </c>
      <c r="E10" s="12" t="s">
        <v>1317</v>
      </c>
      <c r="F10" s="12"/>
      <c r="G10" s="12"/>
      <c r="H10" s="12"/>
    </row>
    <row r="11" spans="1:10">
      <c r="B11" s="11" t="s">
        <v>1318</v>
      </c>
      <c r="C11" s="11"/>
      <c r="D11" s="36">
        <v>6.5</v>
      </c>
      <c r="E11" s="12" t="s">
        <v>1319</v>
      </c>
      <c r="F11" s="12"/>
      <c r="G11" s="12"/>
      <c r="H11" s="12"/>
    </row>
    <row r="13" spans="1:10" ht="20" customHeight="1">
      <c r="A13" s="7" t="s">
        <v>1320</v>
      </c>
      <c r="B13" s="7"/>
      <c r="C13" s="7"/>
      <c r="D13" s="7"/>
      <c r="E13" s="7"/>
      <c r="F13" s="7"/>
      <c r="G13" s="7"/>
      <c r="H13" s="7"/>
      <c r="I13" s="7"/>
      <c r="J13" s="7"/>
    </row>
    <row r="14" spans="1:10" ht="26" customHeight="1">
      <c r="A14" s="8" t="s">
        <v>1057</v>
      </c>
      <c r="B14" s="9" t="s">
        <v>762</v>
      </c>
      <c r="C14" s="9" t="s">
        <v>766</v>
      </c>
      <c r="D14" s="9" t="s">
        <v>786</v>
      </c>
      <c r="E14" s="9" t="s">
        <v>879</v>
      </c>
      <c r="F14" s="9" t="s">
        <v>1321</v>
      </c>
      <c r="G14" s="9" t="s">
        <v>1322</v>
      </c>
      <c r="H14" s="9" t="s">
        <v>1323</v>
      </c>
      <c r="I14" s="9" t="s">
        <v>577</v>
      </c>
    </row>
    <row r="15" spans="1:10">
      <c r="A15" s="13">
        <v>1</v>
      </c>
      <c r="B15" s="17">
        <f>IFERROR(INDEX(Recipes!$B$5:$B$204,MATCH(1,Recipes!$AK$5:$AK$204,0)),"")</f>
        <v>0</v>
      </c>
      <c r="C15" s="18">
        <f>IFERROR(INDEX(Recipes!$G$5:$G$204,MATCH(1,Recipes!$AK$5:$AK$204,0)),"")</f>
        <v>0</v>
      </c>
      <c r="D15" s="25">
        <f>IFERROR(INDEX(Recipes!$AC$5:$AC$204,MATCH(1,Recipes!$AK$5:$AK$204,0)),"")</f>
        <v>0</v>
      </c>
      <c r="E15" s="25">
        <f>IFERROR(INDEX(Recipes!$AD$5:$AD$204,MATCH(1,Recipes!$AK$5:$AK$204,0)),"")</f>
        <v>0</v>
      </c>
      <c r="F15" s="25">
        <f>IF(E15="","",IFERROR(E15/(IFERROR(INDEX(Recipes!$AE$5:$AE$204,MATCH(1,Recipes!$AK$5:$AK$204,0)),0)/100),""))</f>
        <v>0</v>
      </c>
      <c r="G15" s="18">
        <f>IFERROR(INDEX(Recipes!$J$5:$J$204,MATCH(1,Recipes!$AK$5:$AK$204,0)),"")</f>
        <v>0</v>
      </c>
      <c r="H15" s="25">
        <f>IF(D15="","",TakeawayCost-D15)</f>
        <v>0</v>
      </c>
      <c r="I15" s="46">
        <f>IFERROR(INDEX(Recipes!$AW$5:$AW$204,MATCH(1,Recipes!$AK$5:$AK$204,0)),"")</f>
        <v>0</v>
      </c>
    </row>
    <row r="16" spans="1:10">
      <c r="A16" s="13">
        <v>2</v>
      </c>
      <c r="B16" s="17">
        <f>IFERROR(INDEX(Recipes!$B$5:$B$204,MATCH(2,Recipes!$AK$5:$AK$204,0)),"")</f>
        <v>0</v>
      </c>
      <c r="C16" s="18">
        <f>IFERROR(INDEX(Recipes!$G$5:$G$204,MATCH(2,Recipes!$AK$5:$AK$204,0)),"")</f>
        <v>0</v>
      </c>
      <c r="D16" s="25">
        <f>IFERROR(INDEX(Recipes!$AC$5:$AC$204,MATCH(2,Recipes!$AK$5:$AK$204,0)),"")</f>
        <v>0</v>
      </c>
      <c r="E16" s="25">
        <f>IFERROR(INDEX(Recipes!$AD$5:$AD$204,MATCH(2,Recipes!$AK$5:$AK$204,0)),"")</f>
        <v>0</v>
      </c>
      <c r="F16" s="25">
        <f>IF(E16="","",IFERROR(E16/(IFERROR(INDEX(Recipes!$AE$5:$AE$204,MATCH(2,Recipes!$AK$5:$AK$204,0)),0)/100),""))</f>
        <v>0</v>
      </c>
      <c r="G16" s="18">
        <f>IFERROR(INDEX(Recipes!$J$5:$J$204,MATCH(2,Recipes!$AK$5:$AK$204,0)),"")</f>
        <v>0</v>
      </c>
      <c r="H16" s="25">
        <f>IF(D16="","",TakeawayCost-D16)</f>
        <v>0</v>
      </c>
      <c r="I16" s="46">
        <f>IFERROR(INDEX(Recipes!$AW$5:$AW$204,MATCH(2,Recipes!$AK$5:$AK$204,0)),"")</f>
        <v>0</v>
      </c>
    </row>
    <row r="17" spans="1:9">
      <c r="A17" s="13">
        <v>3</v>
      </c>
      <c r="B17" s="17">
        <f>IFERROR(INDEX(Recipes!$B$5:$B$204,MATCH(3,Recipes!$AK$5:$AK$204,0)),"")</f>
        <v>0</v>
      </c>
      <c r="C17" s="18">
        <f>IFERROR(INDEX(Recipes!$G$5:$G$204,MATCH(3,Recipes!$AK$5:$AK$204,0)),"")</f>
        <v>0</v>
      </c>
      <c r="D17" s="25">
        <f>IFERROR(INDEX(Recipes!$AC$5:$AC$204,MATCH(3,Recipes!$AK$5:$AK$204,0)),"")</f>
        <v>0</v>
      </c>
      <c r="E17" s="25">
        <f>IFERROR(INDEX(Recipes!$AD$5:$AD$204,MATCH(3,Recipes!$AK$5:$AK$204,0)),"")</f>
        <v>0</v>
      </c>
      <c r="F17" s="25">
        <f>IF(E17="","",IFERROR(E17/(IFERROR(INDEX(Recipes!$AE$5:$AE$204,MATCH(3,Recipes!$AK$5:$AK$204,0)),0)/100),""))</f>
        <v>0</v>
      </c>
      <c r="G17" s="18">
        <f>IFERROR(INDEX(Recipes!$J$5:$J$204,MATCH(3,Recipes!$AK$5:$AK$204,0)),"")</f>
        <v>0</v>
      </c>
      <c r="H17" s="25">
        <f>IF(D17="","",TakeawayCost-D17)</f>
        <v>0</v>
      </c>
      <c r="I17" s="46">
        <f>IFERROR(INDEX(Recipes!$AW$5:$AW$204,MATCH(3,Recipes!$AK$5:$AK$204,0)),"")</f>
        <v>0</v>
      </c>
    </row>
    <row r="18" spans="1:9">
      <c r="A18" s="13">
        <v>4</v>
      </c>
      <c r="B18" s="17">
        <f>IFERROR(INDEX(Recipes!$B$5:$B$204,MATCH(4,Recipes!$AK$5:$AK$204,0)),"")</f>
        <v>0</v>
      </c>
      <c r="C18" s="18">
        <f>IFERROR(INDEX(Recipes!$G$5:$G$204,MATCH(4,Recipes!$AK$5:$AK$204,0)),"")</f>
        <v>0</v>
      </c>
      <c r="D18" s="25">
        <f>IFERROR(INDEX(Recipes!$AC$5:$AC$204,MATCH(4,Recipes!$AK$5:$AK$204,0)),"")</f>
        <v>0</v>
      </c>
      <c r="E18" s="25">
        <f>IFERROR(INDEX(Recipes!$AD$5:$AD$204,MATCH(4,Recipes!$AK$5:$AK$204,0)),"")</f>
        <v>0</v>
      </c>
      <c r="F18" s="25">
        <f>IF(E18="","",IFERROR(E18/(IFERROR(INDEX(Recipes!$AE$5:$AE$204,MATCH(4,Recipes!$AK$5:$AK$204,0)),0)/100),""))</f>
        <v>0</v>
      </c>
      <c r="G18" s="18">
        <f>IFERROR(INDEX(Recipes!$J$5:$J$204,MATCH(4,Recipes!$AK$5:$AK$204,0)),"")</f>
        <v>0</v>
      </c>
      <c r="H18" s="25">
        <f>IF(D18="","",TakeawayCost-D18)</f>
        <v>0</v>
      </c>
      <c r="I18" s="46">
        <f>IFERROR(INDEX(Recipes!$AW$5:$AW$204,MATCH(4,Recipes!$AK$5:$AK$204,0)),"")</f>
        <v>0</v>
      </c>
    </row>
    <row r="19" spans="1:9">
      <c r="A19" s="13">
        <v>5</v>
      </c>
      <c r="B19" s="17">
        <f>IFERROR(INDEX(Recipes!$B$5:$B$204,MATCH(5,Recipes!$AK$5:$AK$204,0)),"")</f>
        <v>0</v>
      </c>
      <c r="C19" s="18">
        <f>IFERROR(INDEX(Recipes!$G$5:$G$204,MATCH(5,Recipes!$AK$5:$AK$204,0)),"")</f>
        <v>0</v>
      </c>
      <c r="D19" s="25">
        <f>IFERROR(INDEX(Recipes!$AC$5:$AC$204,MATCH(5,Recipes!$AK$5:$AK$204,0)),"")</f>
        <v>0</v>
      </c>
      <c r="E19" s="25">
        <f>IFERROR(INDEX(Recipes!$AD$5:$AD$204,MATCH(5,Recipes!$AK$5:$AK$204,0)),"")</f>
        <v>0</v>
      </c>
      <c r="F19" s="25">
        <f>IF(E19="","",IFERROR(E19/(IFERROR(INDEX(Recipes!$AE$5:$AE$204,MATCH(5,Recipes!$AK$5:$AK$204,0)),0)/100),""))</f>
        <v>0</v>
      </c>
      <c r="G19" s="18">
        <f>IFERROR(INDEX(Recipes!$J$5:$J$204,MATCH(5,Recipes!$AK$5:$AK$204,0)),"")</f>
        <v>0</v>
      </c>
      <c r="H19" s="25">
        <f>IF(D19="","",TakeawayCost-D19)</f>
        <v>0</v>
      </c>
      <c r="I19" s="46">
        <f>IFERROR(INDEX(Recipes!$AW$5:$AW$204,MATCH(5,Recipes!$AK$5:$AK$204,0)),"")</f>
        <v>0</v>
      </c>
    </row>
    <row r="20" spans="1:9">
      <c r="A20" s="13">
        <v>6</v>
      </c>
      <c r="B20" s="17">
        <f>IFERROR(INDEX(Recipes!$B$5:$B$204,MATCH(6,Recipes!$AK$5:$AK$204,0)),"")</f>
        <v>0</v>
      </c>
      <c r="C20" s="18">
        <f>IFERROR(INDEX(Recipes!$G$5:$G$204,MATCH(6,Recipes!$AK$5:$AK$204,0)),"")</f>
        <v>0</v>
      </c>
      <c r="D20" s="25">
        <f>IFERROR(INDEX(Recipes!$AC$5:$AC$204,MATCH(6,Recipes!$AK$5:$AK$204,0)),"")</f>
        <v>0</v>
      </c>
      <c r="E20" s="25">
        <f>IFERROR(INDEX(Recipes!$AD$5:$AD$204,MATCH(6,Recipes!$AK$5:$AK$204,0)),"")</f>
        <v>0</v>
      </c>
      <c r="F20" s="25">
        <f>IF(E20="","",IFERROR(E20/(IFERROR(INDEX(Recipes!$AE$5:$AE$204,MATCH(6,Recipes!$AK$5:$AK$204,0)),0)/100),""))</f>
        <v>0</v>
      </c>
      <c r="G20" s="18">
        <f>IFERROR(INDEX(Recipes!$J$5:$J$204,MATCH(6,Recipes!$AK$5:$AK$204,0)),"")</f>
        <v>0</v>
      </c>
      <c r="H20" s="25">
        <f>IF(D20="","",TakeawayCost-D20)</f>
        <v>0</v>
      </c>
      <c r="I20" s="46">
        <f>IFERROR(INDEX(Recipes!$AW$5:$AW$204,MATCH(6,Recipes!$AK$5:$AK$204,0)),"")</f>
        <v>0</v>
      </c>
    </row>
    <row r="21" spans="1:9">
      <c r="A21" s="13">
        <v>7</v>
      </c>
      <c r="B21" s="17">
        <f>IFERROR(INDEX(Recipes!$B$5:$B$204,MATCH(7,Recipes!$AK$5:$AK$204,0)),"")</f>
        <v>0</v>
      </c>
      <c r="C21" s="18">
        <f>IFERROR(INDEX(Recipes!$G$5:$G$204,MATCH(7,Recipes!$AK$5:$AK$204,0)),"")</f>
        <v>0</v>
      </c>
      <c r="D21" s="25">
        <f>IFERROR(INDEX(Recipes!$AC$5:$AC$204,MATCH(7,Recipes!$AK$5:$AK$204,0)),"")</f>
        <v>0</v>
      </c>
      <c r="E21" s="25">
        <f>IFERROR(INDEX(Recipes!$AD$5:$AD$204,MATCH(7,Recipes!$AK$5:$AK$204,0)),"")</f>
        <v>0</v>
      </c>
      <c r="F21" s="25">
        <f>IF(E21="","",IFERROR(E21/(IFERROR(INDEX(Recipes!$AE$5:$AE$204,MATCH(7,Recipes!$AK$5:$AK$204,0)),0)/100),""))</f>
        <v>0</v>
      </c>
      <c r="G21" s="18">
        <f>IFERROR(INDEX(Recipes!$J$5:$J$204,MATCH(7,Recipes!$AK$5:$AK$204,0)),"")</f>
        <v>0</v>
      </c>
      <c r="H21" s="25">
        <f>IF(D21="","",TakeawayCost-D21)</f>
        <v>0</v>
      </c>
      <c r="I21" s="46">
        <f>IFERROR(INDEX(Recipes!$AW$5:$AW$204,MATCH(7,Recipes!$AK$5:$AK$204,0)),"")</f>
        <v>0</v>
      </c>
    </row>
    <row r="22" spans="1:9">
      <c r="A22" s="13">
        <v>8</v>
      </c>
      <c r="B22" s="17">
        <f>IFERROR(INDEX(Recipes!$B$5:$B$204,MATCH(8,Recipes!$AK$5:$AK$204,0)),"")</f>
        <v>0</v>
      </c>
      <c r="C22" s="18">
        <f>IFERROR(INDEX(Recipes!$G$5:$G$204,MATCH(8,Recipes!$AK$5:$AK$204,0)),"")</f>
        <v>0</v>
      </c>
      <c r="D22" s="25">
        <f>IFERROR(INDEX(Recipes!$AC$5:$AC$204,MATCH(8,Recipes!$AK$5:$AK$204,0)),"")</f>
        <v>0</v>
      </c>
      <c r="E22" s="25">
        <f>IFERROR(INDEX(Recipes!$AD$5:$AD$204,MATCH(8,Recipes!$AK$5:$AK$204,0)),"")</f>
        <v>0</v>
      </c>
      <c r="F22" s="25">
        <f>IF(E22="","",IFERROR(E22/(IFERROR(INDEX(Recipes!$AE$5:$AE$204,MATCH(8,Recipes!$AK$5:$AK$204,0)),0)/100),""))</f>
        <v>0</v>
      </c>
      <c r="G22" s="18">
        <f>IFERROR(INDEX(Recipes!$J$5:$J$204,MATCH(8,Recipes!$AK$5:$AK$204,0)),"")</f>
        <v>0</v>
      </c>
      <c r="H22" s="25">
        <f>IF(D22="","",TakeawayCost-D22)</f>
        <v>0</v>
      </c>
      <c r="I22" s="46">
        <f>IFERROR(INDEX(Recipes!$AW$5:$AW$204,MATCH(8,Recipes!$AK$5:$AK$204,0)),"")</f>
        <v>0</v>
      </c>
    </row>
    <row r="23" spans="1:9">
      <c r="A23" s="13">
        <v>9</v>
      </c>
      <c r="B23" s="17">
        <f>IFERROR(INDEX(Recipes!$B$5:$B$204,MATCH(9,Recipes!$AK$5:$AK$204,0)),"")</f>
        <v>0</v>
      </c>
      <c r="C23" s="18">
        <f>IFERROR(INDEX(Recipes!$G$5:$G$204,MATCH(9,Recipes!$AK$5:$AK$204,0)),"")</f>
        <v>0</v>
      </c>
      <c r="D23" s="25">
        <f>IFERROR(INDEX(Recipes!$AC$5:$AC$204,MATCH(9,Recipes!$AK$5:$AK$204,0)),"")</f>
        <v>0</v>
      </c>
      <c r="E23" s="25">
        <f>IFERROR(INDEX(Recipes!$AD$5:$AD$204,MATCH(9,Recipes!$AK$5:$AK$204,0)),"")</f>
        <v>0</v>
      </c>
      <c r="F23" s="25">
        <f>IF(E23="","",IFERROR(E23/(IFERROR(INDEX(Recipes!$AE$5:$AE$204,MATCH(9,Recipes!$AK$5:$AK$204,0)),0)/100),""))</f>
        <v>0</v>
      </c>
      <c r="G23" s="18">
        <f>IFERROR(INDEX(Recipes!$J$5:$J$204,MATCH(9,Recipes!$AK$5:$AK$204,0)),"")</f>
        <v>0</v>
      </c>
      <c r="H23" s="25">
        <f>IF(D23="","",TakeawayCost-D23)</f>
        <v>0</v>
      </c>
      <c r="I23" s="46">
        <f>IFERROR(INDEX(Recipes!$AW$5:$AW$204,MATCH(9,Recipes!$AK$5:$AK$204,0)),"")</f>
        <v>0</v>
      </c>
    </row>
    <row r="24" spans="1:9">
      <c r="A24" s="13">
        <v>10</v>
      </c>
      <c r="B24" s="17">
        <f>IFERROR(INDEX(Recipes!$B$5:$B$204,MATCH(10,Recipes!$AK$5:$AK$204,0)),"")</f>
        <v>0</v>
      </c>
      <c r="C24" s="18">
        <f>IFERROR(INDEX(Recipes!$G$5:$G$204,MATCH(10,Recipes!$AK$5:$AK$204,0)),"")</f>
        <v>0</v>
      </c>
      <c r="D24" s="25">
        <f>IFERROR(INDEX(Recipes!$AC$5:$AC$204,MATCH(10,Recipes!$AK$5:$AK$204,0)),"")</f>
        <v>0</v>
      </c>
      <c r="E24" s="25">
        <f>IFERROR(INDEX(Recipes!$AD$5:$AD$204,MATCH(10,Recipes!$AK$5:$AK$204,0)),"")</f>
        <v>0</v>
      </c>
      <c r="F24" s="25">
        <f>IF(E24="","",IFERROR(E24/(IFERROR(INDEX(Recipes!$AE$5:$AE$204,MATCH(10,Recipes!$AK$5:$AK$204,0)),0)/100),""))</f>
        <v>0</v>
      </c>
      <c r="G24" s="18">
        <f>IFERROR(INDEX(Recipes!$J$5:$J$204,MATCH(10,Recipes!$AK$5:$AK$204,0)),"")</f>
        <v>0</v>
      </c>
      <c r="H24" s="25">
        <f>IF(D24="","",TakeawayCost-D24)</f>
        <v>0</v>
      </c>
      <c r="I24" s="46">
        <f>IFERROR(INDEX(Recipes!$AW$5:$AW$204,MATCH(10,Recipes!$AK$5:$AK$204,0)),"")</f>
        <v>0</v>
      </c>
    </row>
    <row r="25" spans="1:9">
      <c r="A25" s="13">
        <v>11</v>
      </c>
      <c r="B25" s="17">
        <f>IFERROR(INDEX(Recipes!$B$5:$B$204,MATCH(11,Recipes!$AK$5:$AK$204,0)),"")</f>
        <v>0</v>
      </c>
      <c r="C25" s="18">
        <f>IFERROR(INDEX(Recipes!$G$5:$G$204,MATCH(11,Recipes!$AK$5:$AK$204,0)),"")</f>
        <v>0</v>
      </c>
      <c r="D25" s="25">
        <f>IFERROR(INDEX(Recipes!$AC$5:$AC$204,MATCH(11,Recipes!$AK$5:$AK$204,0)),"")</f>
        <v>0</v>
      </c>
      <c r="E25" s="25">
        <f>IFERROR(INDEX(Recipes!$AD$5:$AD$204,MATCH(11,Recipes!$AK$5:$AK$204,0)),"")</f>
        <v>0</v>
      </c>
      <c r="F25" s="25">
        <f>IF(E25="","",IFERROR(E25/(IFERROR(INDEX(Recipes!$AE$5:$AE$204,MATCH(11,Recipes!$AK$5:$AK$204,0)),0)/100),""))</f>
        <v>0</v>
      </c>
      <c r="G25" s="18">
        <f>IFERROR(INDEX(Recipes!$J$5:$J$204,MATCH(11,Recipes!$AK$5:$AK$204,0)),"")</f>
        <v>0</v>
      </c>
      <c r="H25" s="25">
        <f>IF(D25="","",TakeawayCost-D25)</f>
        <v>0</v>
      </c>
      <c r="I25" s="46">
        <f>IFERROR(INDEX(Recipes!$AW$5:$AW$204,MATCH(11,Recipes!$AK$5:$AK$204,0)),"")</f>
        <v>0</v>
      </c>
    </row>
    <row r="26" spans="1:9">
      <c r="A26" s="13">
        <v>12</v>
      </c>
      <c r="B26" s="17">
        <f>IFERROR(INDEX(Recipes!$B$5:$B$204,MATCH(12,Recipes!$AK$5:$AK$204,0)),"")</f>
        <v>0</v>
      </c>
      <c r="C26" s="18">
        <f>IFERROR(INDEX(Recipes!$G$5:$G$204,MATCH(12,Recipes!$AK$5:$AK$204,0)),"")</f>
        <v>0</v>
      </c>
      <c r="D26" s="25">
        <f>IFERROR(INDEX(Recipes!$AC$5:$AC$204,MATCH(12,Recipes!$AK$5:$AK$204,0)),"")</f>
        <v>0</v>
      </c>
      <c r="E26" s="25">
        <f>IFERROR(INDEX(Recipes!$AD$5:$AD$204,MATCH(12,Recipes!$AK$5:$AK$204,0)),"")</f>
        <v>0</v>
      </c>
      <c r="F26" s="25">
        <f>IF(E26="","",IFERROR(E26/(IFERROR(INDEX(Recipes!$AE$5:$AE$204,MATCH(12,Recipes!$AK$5:$AK$204,0)),0)/100),""))</f>
        <v>0</v>
      </c>
      <c r="G26" s="18">
        <f>IFERROR(INDEX(Recipes!$J$5:$J$204,MATCH(12,Recipes!$AK$5:$AK$204,0)),"")</f>
        <v>0</v>
      </c>
      <c r="H26" s="25">
        <f>IF(D26="","",TakeawayCost-D26)</f>
        <v>0</v>
      </c>
      <c r="I26" s="46">
        <f>IFERROR(INDEX(Recipes!$AW$5:$AW$204,MATCH(12,Recipes!$AK$5:$AK$204,0)),"")</f>
        <v>0</v>
      </c>
    </row>
    <row r="27" spans="1:9">
      <c r="A27" s="13">
        <v>13</v>
      </c>
      <c r="B27" s="17">
        <f>IFERROR(INDEX(Recipes!$B$5:$B$204,MATCH(13,Recipes!$AK$5:$AK$204,0)),"")</f>
        <v>0</v>
      </c>
      <c r="C27" s="18">
        <f>IFERROR(INDEX(Recipes!$G$5:$G$204,MATCH(13,Recipes!$AK$5:$AK$204,0)),"")</f>
        <v>0</v>
      </c>
      <c r="D27" s="25">
        <f>IFERROR(INDEX(Recipes!$AC$5:$AC$204,MATCH(13,Recipes!$AK$5:$AK$204,0)),"")</f>
        <v>0</v>
      </c>
      <c r="E27" s="25">
        <f>IFERROR(INDEX(Recipes!$AD$5:$AD$204,MATCH(13,Recipes!$AK$5:$AK$204,0)),"")</f>
        <v>0</v>
      </c>
      <c r="F27" s="25">
        <f>IF(E27="","",IFERROR(E27/(IFERROR(INDEX(Recipes!$AE$5:$AE$204,MATCH(13,Recipes!$AK$5:$AK$204,0)),0)/100),""))</f>
        <v>0</v>
      </c>
      <c r="G27" s="18">
        <f>IFERROR(INDEX(Recipes!$J$5:$J$204,MATCH(13,Recipes!$AK$5:$AK$204,0)),"")</f>
        <v>0</v>
      </c>
      <c r="H27" s="25">
        <f>IF(D27="","",TakeawayCost-D27)</f>
        <v>0</v>
      </c>
      <c r="I27" s="46">
        <f>IFERROR(INDEX(Recipes!$AW$5:$AW$204,MATCH(13,Recipes!$AK$5:$AK$204,0)),"")</f>
        <v>0</v>
      </c>
    </row>
    <row r="28" spans="1:9">
      <c r="A28" s="13">
        <v>14</v>
      </c>
      <c r="B28" s="17">
        <f>IFERROR(INDEX(Recipes!$B$5:$B$204,MATCH(14,Recipes!$AK$5:$AK$204,0)),"")</f>
        <v>0</v>
      </c>
      <c r="C28" s="18">
        <f>IFERROR(INDEX(Recipes!$G$5:$G$204,MATCH(14,Recipes!$AK$5:$AK$204,0)),"")</f>
        <v>0</v>
      </c>
      <c r="D28" s="25">
        <f>IFERROR(INDEX(Recipes!$AC$5:$AC$204,MATCH(14,Recipes!$AK$5:$AK$204,0)),"")</f>
        <v>0</v>
      </c>
      <c r="E28" s="25">
        <f>IFERROR(INDEX(Recipes!$AD$5:$AD$204,MATCH(14,Recipes!$AK$5:$AK$204,0)),"")</f>
        <v>0</v>
      </c>
      <c r="F28" s="25">
        <f>IF(E28="","",IFERROR(E28/(IFERROR(INDEX(Recipes!$AE$5:$AE$204,MATCH(14,Recipes!$AK$5:$AK$204,0)),0)/100),""))</f>
        <v>0</v>
      </c>
      <c r="G28" s="18">
        <f>IFERROR(INDEX(Recipes!$J$5:$J$204,MATCH(14,Recipes!$AK$5:$AK$204,0)),"")</f>
        <v>0</v>
      </c>
      <c r="H28" s="25">
        <f>IF(D28="","",TakeawayCost-D28)</f>
        <v>0</v>
      </c>
      <c r="I28" s="46">
        <f>IFERROR(INDEX(Recipes!$AW$5:$AW$204,MATCH(14,Recipes!$AK$5:$AK$204,0)),"")</f>
        <v>0</v>
      </c>
    </row>
    <row r="29" spans="1:9">
      <c r="A29" s="13">
        <v>15</v>
      </c>
      <c r="B29" s="17">
        <f>IFERROR(INDEX(Recipes!$B$5:$B$204,MATCH(15,Recipes!$AK$5:$AK$204,0)),"")</f>
        <v>0</v>
      </c>
      <c r="C29" s="18">
        <f>IFERROR(INDEX(Recipes!$G$5:$G$204,MATCH(15,Recipes!$AK$5:$AK$204,0)),"")</f>
        <v>0</v>
      </c>
      <c r="D29" s="25">
        <f>IFERROR(INDEX(Recipes!$AC$5:$AC$204,MATCH(15,Recipes!$AK$5:$AK$204,0)),"")</f>
        <v>0</v>
      </c>
      <c r="E29" s="25">
        <f>IFERROR(INDEX(Recipes!$AD$5:$AD$204,MATCH(15,Recipes!$AK$5:$AK$204,0)),"")</f>
        <v>0</v>
      </c>
      <c r="F29" s="25">
        <f>IF(E29="","",IFERROR(E29/(IFERROR(INDEX(Recipes!$AE$5:$AE$204,MATCH(15,Recipes!$AK$5:$AK$204,0)),0)/100),""))</f>
        <v>0</v>
      </c>
      <c r="G29" s="18">
        <f>IFERROR(INDEX(Recipes!$J$5:$J$204,MATCH(15,Recipes!$AK$5:$AK$204,0)),"")</f>
        <v>0</v>
      </c>
      <c r="H29" s="25">
        <f>IF(D29="","",TakeawayCost-D29)</f>
        <v>0</v>
      </c>
      <c r="I29" s="46">
        <f>IFERROR(INDEX(Recipes!$AW$5:$AW$204,MATCH(15,Recipes!$AK$5:$AK$204,0)),"")</f>
        <v>0</v>
      </c>
    </row>
    <row r="30" spans="1:9">
      <c r="A30" s="13">
        <v>16</v>
      </c>
      <c r="B30" s="17">
        <f>IFERROR(INDEX(Recipes!$B$5:$B$204,MATCH(16,Recipes!$AK$5:$AK$204,0)),"")</f>
        <v>0</v>
      </c>
      <c r="C30" s="18">
        <f>IFERROR(INDEX(Recipes!$G$5:$G$204,MATCH(16,Recipes!$AK$5:$AK$204,0)),"")</f>
        <v>0</v>
      </c>
      <c r="D30" s="25">
        <f>IFERROR(INDEX(Recipes!$AC$5:$AC$204,MATCH(16,Recipes!$AK$5:$AK$204,0)),"")</f>
        <v>0</v>
      </c>
      <c r="E30" s="25">
        <f>IFERROR(INDEX(Recipes!$AD$5:$AD$204,MATCH(16,Recipes!$AK$5:$AK$204,0)),"")</f>
        <v>0</v>
      </c>
      <c r="F30" s="25">
        <f>IF(E30="","",IFERROR(E30/(IFERROR(INDEX(Recipes!$AE$5:$AE$204,MATCH(16,Recipes!$AK$5:$AK$204,0)),0)/100),""))</f>
        <v>0</v>
      </c>
      <c r="G30" s="18">
        <f>IFERROR(INDEX(Recipes!$J$5:$J$204,MATCH(16,Recipes!$AK$5:$AK$204,0)),"")</f>
        <v>0</v>
      </c>
      <c r="H30" s="25">
        <f>IF(D30="","",TakeawayCost-D30)</f>
        <v>0</v>
      </c>
      <c r="I30" s="46">
        <f>IFERROR(INDEX(Recipes!$AW$5:$AW$204,MATCH(16,Recipes!$AK$5:$AK$204,0)),"")</f>
        <v>0</v>
      </c>
    </row>
    <row r="31" spans="1:9">
      <c r="A31" s="13">
        <v>17</v>
      </c>
      <c r="B31" s="17">
        <f>IFERROR(INDEX(Recipes!$B$5:$B$204,MATCH(17,Recipes!$AK$5:$AK$204,0)),"")</f>
        <v>0</v>
      </c>
      <c r="C31" s="18">
        <f>IFERROR(INDEX(Recipes!$G$5:$G$204,MATCH(17,Recipes!$AK$5:$AK$204,0)),"")</f>
        <v>0</v>
      </c>
      <c r="D31" s="25">
        <f>IFERROR(INDEX(Recipes!$AC$5:$AC$204,MATCH(17,Recipes!$AK$5:$AK$204,0)),"")</f>
        <v>0</v>
      </c>
      <c r="E31" s="25">
        <f>IFERROR(INDEX(Recipes!$AD$5:$AD$204,MATCH(17,Recipes!$AK$5:$AK$204,0)),"")</f>
        <v>0</v>
      </c>
      <c r="F31" s="25">
        <f>IF(E31="","",IFERROR(E31/(IFERROR(INDEX(Recipes!$AE$5:$AE$204,MATCH(17,Recipes!$AK$5:$AK$204,0)),0)/100),""))</f>
        <v>0</v>
      </c>
      <c r="G31" s="18">
        <f>IFERROR(INDEX(Recipes!$J$5:$J$204,MATCH(17,Recipes!$AK$5:$AK$204,0)),"")</f>
        <v>0</v>
      </c>
      <c r="H31" s="25">
        <f>IF(D31="","",TakeawayCost-D31)</f>
        <v>0</v>
      </c>
      <c r="I31" s="46">
        <f>IFERROR(INDEX(Recipes!$AW$5:$AW$204,MATCH(17,Recipes!$AK$5:$AK$204,0)),"")</f>
        <v>0</v>
      </c>
    </row>
    <row r="32" spans="1:9">
      <c r="A32" s="13">
        <v>18</v>
      </c>
      <c r="B32" s="17">
        <f>IFERROR(INDEX(Recipes!$B$5:$B$204,MATCH(18,Recipes!$AK$5:$AK$204,0)),"")</f>
        <v>0</v>
      </c>
      <c r="C32" s="18">
        <f>IFERROR(INDEX(Recipes!$G$5:$G$204,MATCH(18,Recipes!$AK$5:$AK$204,0)),"")</f>
        <v>0</v>
      </c>
      <c r="D32" s="25">
        <f>IFERROR(INDEX(Recipes!$AC$5:$AC$204,MATCH(18,Recipes!$AK$5:$AK$204,0)),"")</f>
        <v>0</v>
      </c>
      <c r="E32" s="25">
        <f>IFERROR(INDEX(Recipes!$AD$5:$AD$204,MATCH(18,Recipes!$AK$5:$AK$204,0)),"")</f>
        <v>0</v>
      </c>
      <c r="F32" s="25">
        <f>IF(E32="","",IFERROR(E32/(IFERROR(INDEX(Recipes!$AE$5:$AE$204,MATCH(18,Recipes!$AK$5:$AK$204,0)),0)/100),""))</f>
        <v>0</v>
      </c>
      <c r="G32" s="18">
        <f>IFERROR(INDEX(Recipes!$J$5:$J$204,MATCH(18,Recipes!$AK$5:$AK$204,0)),"")</f>
        <v>0</v>
      </c>
      <c r="H32" s="25">
        <f>IF(D32="","",TakeawayCost-D32)</f>
        <v>0</v>
      </c>
      <c r="I32" s="46">
        <f>IFERROR(INDEX(Recipes!$AW$5:$AW$204,MATCH(18,Recipes!$AK$5:$AK$204,0)),"")</f>
        <v>0</v>
      </c>
    </row>
    <row r="33" spans="1:10">
      <c r="A33" s="13">
        <v>19</v>
      </c>
      <c r="B33" s="17">
        <f>IFERROR(INDEX(Recipes!$B$5:$B$204,MATCH(19,Recipes!$AK$5:$AK$204,0)),"")</f>
        <v>0</v>
      </c>
      <c r="C33" s="18">
        <f>IFERROR(INDEX(Recipes!$G$5:$G$204,MATCH(19,Recipes!$AK$5:$AK$204,0)),"")</f>
        <v>0</v>
      </c>
      <c r="D33" s="25">
        <f>IFERROR(INDEX(Recipes!$AC$5:$AC$204,MATCH(19,Recipes!$AK$5:$AK$204,0)),"")</f>
        <v>0</v>
      </c>
      <c r="E33" s="25">
        <f>IFERROR(INDEX(Recipes!$AD$5:$AD$204,MATCH(19,Recipes!$AK$5:$AK$204,0)),"")</f>
        <v>0</v>
      </c>
      <c r="F33" s="25">
        <f>IF(E33="","",IFERROR(E33/(IFERROR(INDEX(Recipes!$AE$5:$AE$204,MATCH(19,Recipes!$AK$5:$AK$204,0)),0)/100),""))</f>
        <v>0</v>
      </c>
      <c r="G33" s="18">
        <f>IFERROR(INDEX(Recipes!$J$5:$J$204,MATCH(19,Recipes!$AK$5:$AK$204,0)),"")</f>
        <v>0</v>
      </c>
      <c r="H33" s="25">
        <f>IF(D33="","",TakeawayCost-D33)</f>
        <v>0</v>
      </c>
      <c r="I33" s="46">
        <f>IFERROR(INDEX(Recipes!$AW$5:$AW$204,MATCH(19,Recipes!$AK$5:$AK$204,0)),"")</f>
        <v>0</v>
      </c>
    </row>
    <row r="34" spans="1:10">
      <c r="A34" s="13">
        <v>20</v>
      </c>
      <c r="B34" s="17">
        <f>IFERROR(INDEX(Recipes!$B$5:$B$204,MATCH(20,Recipes!$AK$5:$AK$204,0)),"")</f>
        <v>0</v>
      </c>
      <c r="C34" s="18">
        <f>IFERROR(INDEX(Recipes!$G$5:$G$204,MATCH(20,Recipes!$AK$5:$AK$204,0)),"")</f>
        <v>0</v>
      </c>
      <c r="D34" s="25">
        <f>IFERROR(INDEX(Recipes!$AC$5:$AC$204,MATCH(20,Recipes!$AK$5:$AK$204,0)),"")</f>
        <v>0</v>
      </c>
      <c r="E34" s="25">
        <f>IFERROR(INDEX(Recipes!$AD$5:$AD$204,MATCH(20,Recipes!$AK$5:$AK$204,0)),"")</f>
        <v>0</v>
      </c>
      <c r="F34" s="25">
        <f>IF(E34="","",IFERROR(E34/(IFERROR(INDEX(Recipes!$AE$5:$AE$204,MATCH(20,Recipes!$AK$5:$AK$204,0)),0)/100),""))</f>
        <v>0</v>
      </c>
      <c r="G34" s="18">
        <f>IFERROR(INDEX(Recipes!$J$5:$J$204,MATCH(20,Recipes!$AK$5:$AK$204,0)),"")</f>
        <v>0</v>
      </c>
      <c r="H34" s="25">
        <f>IF(D34="","",TakeawayCost-D34)</f>
        <v>0</v>
      </c>
      <c r="I34" s="46">
        <f>IFERROR(INDEX(Recipes!$AW$5:$AW$204,MATCH(20,Recipes!$AK$5:$AK$204,0)),"")</f>
        <v>0</v>
      </c>
    </row>
    <row r="35" spans="1:10">
      <c r="A35" s="13">
        <v>21</v>
      </c>
      <c r="B35" s="17">
        <f>IFERROR(INDEX(Recipes!$B$5:$B$204,MATCH(21,Recipes!$AK$5:$AK$204,0)),"")</f>
        <v>0</v>
      </c>
      <c r="C35" s="18">
        <f>IFERROR(INDEX(Recipes!$G$5:$G$204,MATCH(21,Recipes!$AK$5:$AK$204,0)),"")</f>
        <v>0</v>
      </c>
      <c r="D35" s="25">
        <f>IFERROR(INDEX(Recipes!$AC$5:$AC$204,MATCH(21,Recipes!$AK$5:$AK$204,0)),"")</f>
        <v>0</v>
      </c>
      <c r="E35" s="25">
        <f>IFERROR(INDEX(Recipes!$AD$5:$AD$204,MATCH(21,Recipes!$AK$5:$AK$204,0)),"")</f>
        <v>0</v>
      </c>
      <c r="F35" s="25">
        <f>IF(E35="","",IFERROR(E35/(IFERROR(INDEX(Recipes!$AE$5:$AE$204,MATCH(21,Recipes!$AK$5:$AK$204,0)),0)/100),""))</f>
        <v>0</v>
      </c>
      <c r="G35" s="18">
        <f>IFERROR(INDEX(Recipes!$J$5:$J$204,MATCH(21,Recipes!$AK$5:$AK$204,0)),"")</f>
        <v>0</v>
      </c>
      <c r="H35" s="25">
        <f>IF(D35="","",TakeawayCost-D35)</f>
        <v>0</v>
      </c>
      <c r="I35" s="46">
        <f>IFERROR(INDEX(Recipes!$AW$5:$AW$204,MATCH(21,Recipes!$AK$5:$AK$204,0)),"")</f>
        <v>0</v>
      </c>
    </row>
    <row r="36" spans="1:10">
      <c r="A36" s="13">
        <v>22</v>
      </c>
      <c r="B36" s="17">
        <f>IFERROR(INDEX(Recipes!$B$5:$B$204,MATCH(22,Recipes!$AK$5:$AK$204,0)),"")</f>
        <v>0</v>
      </c>
      <c r="C36" s="18">
        <f>IFERROR(INDEX(Recipes!$G$5:$G$204,MATCH(22,Recipes!$AK$5:$AK$204,0)),"")</f>
        <v>0</v>
      </c>
      <c r="D36" s="25">
        <f>IFERROR(INDEX(Recipes!$AC$5:$AC$204,MATCH(22,Recipes!$AK$5:$AK$204,0)),"")</f>
        <v>0</v>
      </c>
      <c r="E36" s="25">
        <f>IFERROR(INDEX(Recipes!$AD$5:$AD$204,MATCH(22,Recipes!$AK$5:$AK$204,0)),"")</f>
        <v>0</v>
      </c>
      <c r="F36" s="25">
        <f>IF(E36="","",IFERROR(E36/(IFERROR(INDEX(Recipes!$AE$5:$AE$204,MATCH(22,Recipes!$AK$5:$AK$204,0)),0)/100),""))</f>
        <v>0</v>
      </c>
      <c r="G36" s="18">
        <f>IFERROR(INDEX(Recipes!$J$5:$J$204,MATCH(22,Recipes!$AK$5:$AK$204,0)),"")</f>
        <v>0</v>
      </c>
      <c r="H36" s="25">
        <f>IF(D36="","",TakeawayCost-D36)</f>
        <v>0</v>
      </c>
      <c r="I36" s="46">
        <f>IFERROR(INDEX(Recipes!$AW$5:$AW$204,MATCH(22,Recipes!$AK$5:$AK$204,0)),"")</f>
        <v>0</v>
      </c>
    </row>
    <row r="37" spans="1:10">
      <c r="A37" s="13">
        <v>23</v>
      </c>
      <c r="B37" s="17">
        <f>IFERROR(INDEX(Recipes!$B$5:$B$204,MATCH(23,Recipes!$AK$5:$AK$204,0)),"")</f>
        <v>0</v>
      </c>
      <c r="C37" s="18">
        <f>IFERROR(INDEX(Recipes!$G$5:$G$204,MATCH(23,Recipes!$AK$5:$AK$204,0)),"")</f>
        <v>0</v>
      </c>
      <c r="D37" s="25">
        <f>IFERROR(INDEX(Recipes!$AC$5:$AC$204,MATCH(23,Recipes!$AK$5:$AK$204,0)),"")</f>
        <v>0</v>
      </c>
      <c r="E37" s="25">
        <f>IFERROR(INDEX(Recipes!$AD$5:$AD$204,MATCH(23,Recipes!$AK$5:$AK$204,0)),"")</f>
        <v>0</v>
      </c>
      <c r="F37" s="25">
        <f>IF(E37="","",IFERROR(E37/(IFERROR(INDEX(Recipes!$AE$5:$AE$204,MATCH(23,Recipes!$AK$5:$AK$204,0)),0)/100),""))</f>
        <v>0</v>
      </c>
      <c r="G37" s="18">
        <f>IFERROR(INDEX(Recipes!$J$5:$J$204,MATCH(23,Recipes!$AK$5:$AK$204,0)),"")</f>
        <v>0</v>
      </c>
      <c r="H37" s="25">
        <f>IF(D37="","",TakeawayCost-D37)</f>
        <v>0</v>
      </c>
      <c r="I37" s="46">
        <f>IFERROR(INDEX(Recipes!$AW$5:$AW$204,MATCH(23,Recipes!$AK$5:$AK$204,0)),"")</f>
        <v>0</v>
      </c>
    </row>
    <row r="38" spans="1:10">
      <c r="A38" s="13">
        <v>24</v>
      </c>
      <c r="B38" s="17">
        <f>IFERROR(INDEX(Recipes!$B$5:$B$204,MATCH(24,Recipes!$AK$5:$AK$204,0)),"")</f>
        <v>0</v>
      </c>
      <c r="C38" s="18">
        <f>IFERROR(INDEX(Recipes!$G$5:$G$204,MATCH(24,Recipes!$AK$5:$AK$204,0)),"")</f>
        <v>0</v>
      </c>
      <c r="D38" s="25">
        <f>IFERROR(INDEX(Recipes!$AC$5:$AC$204,MATCH(24,Recipes!$AK$5:$AK$204,0)),"")</f>
        <v>0</v>
      </c>
      <c r="E38" s="25">
        <f>IFERROR(INDEX(Recipes!$AD$5:$AD$204,MATCH(24,Recipes!$AK$5:$AK$204,0)),"")</f>
        <v>0</v>
      </c>
      <c r="F38" s="25">
        <f>IF(E38="","",IFERROR(E38/(IFERROR(INDEX(Recipes!$AE$5:$AE$204,MATCH(24,Recipes!$AK$5:$AK$204,0)),0)/100),""))</f>
        <v>0</v>
      </c>
      <c r="G38" s="18">
        <f>IFERROR(INDEX(Recipes!$J$5:$J$204,MATCH(24,Recipes!$AK$5:$AK$204,0)),"")</f>
        <v>0</v>
      </c>
      <c r="H38" s="25">
        <f>IF(D38="","",TakeawayCost-D38)</f>
        <v>0</v>
      </c>
      <c r="I38" s="46">
        <f>IFERROR(INDEX(Recipes!$AW$5:$AW$204,MATCH(24,Recipes!$AK$5:$AK$204,0)),"")</f>
        <v>0</v>
      </c>
    </row>
    <row r="39" spans="1:10">
      <c r="A39" s="13">
        <v>25</v>
      </c>
      <c r="B39" s="17">
        <f>IFERROR(INDEX(Recipes!$B$5:$B$204,MATCH(25,Recipes!$AK$5:$AK$204,0)),"")</f>
        <v>0</v>
      </c>
      <c r="C39" s="18">
        <f>IFERROR(INDEX(Recipes!$G$5:$G$204,MATCH(25,Recipes!$AK$5:$AK$204,0)),"")</f>
        <v>0</v>
      </c>
      <c r="D39" s="25">
        <f>IFERROR(INDEX(Recipes!$AC$5:$AC$204,MATCH(25,Recipes!$AK$5:$AK$204,0)),"")</f>
        <v>0</v>
      </c>
      <c r="E39" s="25">
        <f>IFERROR(INDEX(Recipes!$AD$5:$AD$204,MATCH(25,Recipes!$AK$5:$AK$204,0)),"")</f>
        <v>0</v>
      </c>
      <c r="F39" s="25">
        <f>IF(E39="","",IFERROR(E39/(IFERROR(INDEX(Recipes!$AE$5:$AE$204,MATCH(25,Recipes!$AK$5:$AK$204,0)),0)/100),""))</f>
        <v>0</v>
      </c>
      <c r="G39" s="18">
        <f>IFERROR(INDEX(Recipes!$J$5:$J$204,MATCH(25,Recipes!$AK$5:$AK$204,0)),"")</f>
        <v>0</v>
      </c>
      <c r="H39" s="25">
        <f>IF(D39="","",TakeawayCost-D39)</f>
        <v>0</v>
      </c>
      <c r="I39" s="46">
        <f>IFERROR(INDEX(Recipes!$AW$5:$AW$204,MATCH(25,Recipes!$AK$5:$AK$204,0)),"")</f>
        <v>0</v>
      </c>
    </row>
    <row r="41" spans="1:10" ht="20" customHeight="1">
      <c r="A41" s="7" t="s">
        <v>1324</v>
      </c>
      <c r="B41" s="7"/>
      <c r="C41" s="7"/>
      <c r="D41" s="7"/>
      <c r="E41" s="7"/>
      <c r="F41" s="7"/>
      <c r="G41" s="7"/>
      <c r="H41" s="7"/>
      <c r="I41" s="7"/>
      <c r="J41" s="7"/>
    </row>
    <row r="42" spans="1:10" ht="24" customHeight="1">
      <c r="A42" s="6" t="s">
        <v>1325</v>
      </c>
      <c r="B42" s="6"/>
      <c r="C42" s="6"/>
      <c r="D42" s="6"/>
      <c r="E42" s="6"/>
      <c r="F42" s="6"/>
      <c r="G42" s="6"/>
      <c r="H42" s="6"/>
      <c r="I42" s="6"/>
      <c r="J42" s="6"/>
    </row>
    <row r="43" spans="1:10" ht="26" customHeight="1">
      <c r="A43" s="8" t="s">
        <v>157</v>
      </c>
      <c r="B43" s="9" t="s">
        <v>870</v>
      </c>
      <c r="C43" s="9" t="s">
        <v>985</v>
      </c>
      <c r="D43" s="9" t="s">
        <v>1003</v>
      </c>
      <c r="E43" s="9" t="s">
        <v>1326</v>
      </c>
      <c r="F43" s="9" t="s">
        <v>1327</v>
      </c>
      <c r="G43" s="9" t="s">
        <v>1328</v>
      </c>
    </row>
    <row r="44" spans="1:10">
      <c r="A44" s="13">
        <v>1</v>
      </c>
      <c r="B44" s="17">
        <f>IFERROR(IF(INDEX(Ingredients!$AH$5:$AH$304,MATCH(1,Ingredients!$AI$5:$AI$304,0))=0,"",INDEX(Ingredients!$B$5:$B$304,MATCH(1,Ingredients!$AI$5:$AI$304,0))),"")</f>
        <v>0</v>
      </c>
      <c r="C44" s="25">
        <f>IFERROR(IF(INDEX(Ingredients!$AH$5:$AH$304,MATCH(1,Ingredients!$AI$5:$AI$304,0))=0,"",INDEX(Ingredients!$K$5:$K$304,MATCH(1,Ingredients!$AI$5:$AI$304,0))),"")</f>
        <v>0</v>
      </c>
      <c r="D44" s="18">
        <f>IFERROR(IF(INDEX(Ingredients!$AH$5:$AH$304,MATCH(1,Ingredients!$AI$5:$AI$304,0))=0,"",INDEX(Ingredients!$AF$5:$AF$304,MATCH(1,Ingredients!$AI$5:$AI$304,0))),"")</f>
        <v>0</v>
      </c>
      <c r="E44" s="25">
        <f>IFERROR(IF(INDEX(Ingredients!$AH$5:$AH$304,MATCH(1,Ingredients!$AI$5:$AI$304,0))=0,"",INDEX(Ingredients!$AH$5:$AH$304,MATCH(1,Ingredients!$AI$5:$AI$304,0))),"")</f>
        <v>0</v>
      </c>
      <c r="F44" s="17">
        <f>IFERROR(IF(INDEX(Ingredients!$AH$5:$AH$304,MATCH(1,Ingredients!$AI$5:$AI$304,0))=0,"",INDEX(Ingredients!$N$5:$N$304,MATCH(1,Ingredients!$AI$5:$AI$304,0))),"")</f>
        <v>0</v>
      </c>
      <c r="G44" s="25">
        <f>IFERROR(IF(INDEX(Ingredients!$AH$5:$AH$304,MATCH(1,Ingredients!$AI$5:$AI$304,0))=0,"",INDEX(Ingredients!$O$5:$O$304,MATCH(1,Ingredients!$AI$5:$AI$304,0))),"")</f>
        <v>0</v>
      </c>
    </row>
    <row r="45" spans="1:10">
      <c r="A45" s="13">
        <v>2</v>
      </c>
      <c r="B45" s="17">
        <f>IFERROR(IF(INDEX(Ingredients!$AH$5:$AH$304,MATCH(2,Ingredients!$AI$5:$AI$304,0))=0,"",INDEX(Ingredients!$B$5:$B$304,MATCH(2,Ingredients!$AI$5:$AI$304,0))),"")</f>
        <v>0</v>
      </c>
      <c r="C45" s="25">
        <f>IFERROR(IF(INDEX(Ingredients!$AH$5:$AH$304,MATCH(2,Ingredients!$AI$5:$AI$304,0))=0,"",INDEX(Ingredients!$K$5:$K$304,MATCH(2,Ingredients!$AI$5:$AI$304,0))),"")</f>
        <v>0</v>
      </c>
      <c r="D45" s="18">
        <f>IFERROR(IF(INDEX(Ingredients!$AH$5:$AH$304,MATCH(2,Ingredients!$AI$5:$AI$304,0))=0,"",INDEX(Ingredients!$AF$5:$AF$304,MATCH(2,Ingredients!$AI$5:$AI$304,0))),"")</f>
        <v>0</v>
      </c>
      <c r="E45" s="25">
        <f>IFERROR(IF(INDEX(Ingredients!$AH$5:$AH$304,MATCH(2,Ingredients!$AI$5:$AI$304,0))=0,"",INDEX(Ingredients!$AH$5:$AH$304,MATCH(2,Ingredients!$AI$5:$AI$304,0))),"")</f>
        <v>0</v>
      </c>
      <c r="F45" s="17">
        <f>IFERROR(IF(INDEX(Ingredients!$AH$5:$AH$304,MATCH(2,Ingredients!$AI$5:$AI$304,0))=0,"",INDEX(Ingredients!$N$5:$N$304,MATCH(2,Ingredients!$AI$5:$AI$304,0))),"")</f>
        <v>0</v>
      </c>
      <c r="G45" s="25">
        <f>IFERROR(IF(INDEX(Ingredients!$AH$5:$AH$304,MATCH(2,Ingredients!$AI$5:$AI$304,0))=0,"",INDEX(Ingredients!$O$5:$O$304,MATCH(2,Ingredients!$AI$5:$AI$304,0))),"")</f>
        <v>0</v>
      </c>
    </row>
    <row r="46" spans="1:10">
      <c r="A46" s="13">
        <v>3</v>
      </c>
      <c r="B46" s="17">
        <f>IFERROR(IF(INDEX(Ingredients!$AH$5:$AH$304,MATCH(3,Ingredients!$AI$5:$AI$304,0))=0,"",INDEX(Ingredients!$B$5:$B$304,MATCH(3,Ingredients!$AI$5:$AI$304,0))),"")</f>
        <v>0</v>
      </c>
      <c r="C46" s="25">
        <f>IFERROR(IF(INDEX(Ingredients!$AH$5:$AH$304,MATCH(3,Ingredients!$AI$5:$AI$304,0))=0,"",INDEX(Ingredients!$K$5:$K$304,MATCH(3,Ingredients!$AI$5:$AI$304,0))),"")</f>
        <v>0</v>
      </c>
      <c r="D46" s="18">
        <f>IFERROR(IF(INDEX(Ingredients!$AH$5:$AH$304,MATCH(3,Ingredients!$AI$5:$AI$304,0))=0,"",INDEX(Ingredients!$AF$5:$AF$304,MATCH(3,Ingredients!$AI$5:$AI$304,0))),"")</f>
        <v>0</v>
      </c>
      <c r="E46" s="25">
        <f>IFERROR(IF(INDEX(Ingredients!$AH$5:$AH$304,MATCH(3,Ingredients!$AI$5:$AI$304,0))=0,"",INDEX(Ingredients!$AH$5:$AH$304,MATCH(3,Ingredients!$AI$5:$AI$304,0))),"")</f>
        <v>0</v>
      </c>
      <c r="F46" s="17">
        <f>IFERROR(IF(INDEX(Ingredients!$AH$5:$AH$304,MATCH(3,Ingredients!$AI$5:$AI$304,0))=0,"",INDEX(Ingredients!$N$5:$N$304,MATCH(3,Ingredients!$AI$5:$AI$304,0))),"")</f>
        <v>0</v>
      </c>
      <c r="G46" s="25">
        <f>IFERROR(IF(INDEX(Ingredients!$AH$5:$AH$304,MATCH(3,Ingredients!$AI$5:$AI$304,0))=0,"",INDEX(Ingredients!$O$5:$O$304,MATCH(3,Ingredients!$AI$5:$AI$304,0))),"")</f>
        <v>0</v>
      </c>
    </row>
    <row r="47" spans="1:10">
      <c r="A47" s="13">
        <v>4</v>
      </c>
      <c r="B47" s="17">
        <f>IFERROR(IF(INDEX(Ingredients!$AH$5:$AH$304,MATCH(4,Ingredients!$AI$5:$AI$304,0))=0,"",INDEX(Ingredients!$B$5:$B$304,MATCH(4,Ingredients!$AI$5:$AI$304,0))),"")</f>
        <v>0</v>
      </c>
      <c r="C47" s="25">
        <f>IFERROR(IF(INDEX(Ingredients!$AH$5:$AH$304,MATCH(4,Ingredients!$AI$5:$AI$304,0))=0,"",INDEX(Ingredients!$K$5:$K$304,MATCH(4,Ingredients!$AI$5:$AI$304,0))),"")</f>
        <v>0</v>
      </c>
      <c r="D47" s="18">
        <f>IFERROR(IF(INDEX(Ingredients!$AH$5:$AH$304,MATCH(4,Ingredients!$AI$5:$AI$304,0))=0,"",INDEX(Ingredients!$AF$5:$AF$304,MATCH(4,Ingredients!$AI$5:$AI$304,0))),"")</f>
        <v>0</v>
      </c>
      <c r="E47" s="25">
        <f>IFERROR(IF(INDEX(Ingredients!$AH$5:$AH$304,MATCH(4,Ingredients!$AI$5:$AI$304,0))=0,"",INDEX(Ingredients!$AH$5:$AH$304,MATCH(4,Ingredients!$AI$5:$AI$304,0))),"")</f>
        <v>0</v>
      </c>
      <c r="F47" s="17">
        <f>IFERROR(IF(INDEX(Ingredients!$AH$5:$AH$304,MATCH(4,Ingredients!$AI$5:$AI$304,0))=0,"",INDEX(Ingredients!$N$5:$N$304,MATCH(4,Ingredients!$AI$5:$AI$304,0))),"")</f>
        <v>0</v>
      </c>
      <c r="G47" s="25">
        <f>IFERROR(IF(INDEX(Ingredients!$AH$5:$AH$304,MATCH(4,Ingredients!$AI$5:$AI$304,0))=0,"",INDEX(Ingredients!$O$5:$O$304,MATCH(4,Ingredients!$AI$5:$AI$304,0))),"")</f>
        <v>0</v>
      </c>
    </row>
    <row r="48" spans="1:10">
      <c r="A48" s="13">
        <v>5</v>
      </c>
      <c r="B48" s="17">
        <f>IFERROR(IF(INDEX(Ingredients!$AH$5:$AH$304,MATCH(5,Ingredients!$AI$5:$AI$304,0))=0,"",INDEX(Ingredients!$B$5:$B$304,MATCH(5,Ingredients!$AI$5:$AI$304,0))),"")</f>
        <v>0</v>
      </c>
      <c r="C48" s="25">
        <f>IFERROR(IF(INDEX(Ingredients!$AH$5:$AH$304,MATCH(5,Ingredients!$AI$5:$AI$304,0))=0,"",INDEX(Ingredients!$K$5:$K$304,MATCH(5,Ingredients!$AI$5:$AI$304,0))),"")</f>
        <v>0</v>
      </c>
      <c r="D48" s="18">
        <f>IFERROR(IF(INDEX(Ingredients!$AH$5:$AH$304,MATCH(5,Ingredients!$AI$5:$AI$304,0))=0,"",INDEX(Ingredients!$AF$5:$AF$304,MATCH(5,Ingredients!$AI$5:$AI$304,0))),"")</f>
        <v>0</v>
      </c>
      <c r="E48" s="25">
        <f>IFERROR(IF(INDEX(Ingredients!$AH$5:$AH$304,MATCH(5,Ingredients!$AI$5:$AI$304,0))=0,"",INDEX(Ingredients!$AH$5:$AH$304,MATCH(5,Ingredients!$AI$5:$AI$304,0))),"")</f>
        <v>0</v>
      </c>
      <c r="F48" s="17">
        <f>IFERROR(IF(INDEX(Ingredients!$AH$5:$AH$304,MATCH(5,Ingredients!$AI$5:$AI$304,0))=0,"",INDEX(Ingredients!$N$5:$N$304,MATCH(5,Ingredients!$AI$5:$AI$304,0))),"")</f>
        <v>0</v>
      </c>
      <c r="G48" s="25">
        <f>IFERROR(IF(INDEX(Ingredients!$AH$5:$AH$304,MATCH(5,Ingredients!$AI$5:$AI$304,0))=0,"",INDEX(Ingredients!$O$5:$O$304,MATCH(5,Ingredients!$AI$5:$AI$304,0))),"")</f>
        <v>0</v>
      </c>
    </row>
    <row r="49" spans="1:10">
      <c r="A49" s="13">
        <v>6</v>
      </c>
      <c r="B49" s="17">
        <f>IFERROR(IF(INDEX(Ingredients!$AH$5:$AH$304,MATCH(6,Ingredients!$AI$5:$AI$304,0))=0,"",INDEX(Ingredients!$B$5:$B$304,MATCH(6,Ingredients!$AI$5:$AI$304,0))),"")</f>
        <v>0</v>
      </c>
      <c r="C49" s="25">
        <f>IFERROR(IF(INDEX(Ingredients!$AH$5:$AH$304,MATCH(6,Ingredients!$AI$5:$AI$304,0))=0,"",INDEX(Ingredients!$K$5:$K$304,MATCH(6,Ingredients!$AI$5:$AI$304,0))),"")</f>
        <v>0</v>
      </c>
      <c r="D49" s="18">
        <f>IFERROR(IF(INDEX(Ingredients!$AH$5:$AH$304,MATCH(6,Ingredients!$AI$5:$AI$304,0))=0,"",INDEX(Ingredients!$AF$5:$AF$304,MATCH(6,Ingredients!$AI$5:$AI$304,0))),"")</f>
        <v>0</v>
      </c>
      <c r="E49" s="25">
        <f>IFERROR(IF(INDEX(Ingredients!$AH$5:$AH$304,MATCH(6,Ingredients!$AI$5:$AI$304,0))=0,"",INDEX(Ingredients!$AH$5:$AH$304,MATCH(6,Ingredients!$AI$5:$AI$304,0))),"")</f>
        <v>0</v>
      </c>
      <c r="F49" s="17">
        <f>IFERROR(IF(INDEX(Ingredients!$AH$5:$AH$304,MATCH(6,Ingredients!$AI$5:$AI$304,0))=0,"",INDEX(Ingredients!$N$5:$N$304,MATCH(6,Ingredients!$AI$5:$AI$304,0))),"")</f>
        <v>0</v>
      </c>
      <c r="G49" s="25">
        <f>IFERROR(IF(INDEX(Ingredients!$AH$5:$AH$304,MATCH(6,Ingredients!$AI$5:$AI$304,0))=0,"",INDEX(Ingredients!$O$5:$O$304,MATCH(6,Ingredients!$AI$5:$AI$304,0))),"")</f>
        <v>0</v>
      </c>
    </row>
    <row r="50" spans="1:10">
      <c r="A50" s="13">
        <v>7</v>
      </c>
      <c r="B50" s="17">
        <f>IFERROR(IF(INDEX(Ingredients!$AH$5:$AH$304,MATCH(7,Ingredients!$AI$5:$AI$304,0))=0,"",INDEX(Ingredients!$B$5:$B$304,MATCH(7,Ingredients!$AI$5:$AI$304,0))),"")</f>
        <v>0</v>
      </c>
      <c r="C50" s="25">
        <f>IFERROR(IF(INDEX(Ingredients!$AH$5:$AH$304,MATCH(7,Ingredients!$AI$5:$AI$304,0))=0,"",INDEX(Ingredients!$K$5:$K$304,MATCH(7,Ingredients!$AI$5:$AI$304,0))),"")</f>
        <v>0</v>
      </c>
      <c r="D50" s="18">
        <f>IFERROR(IF(INDEX(Ingredients!$AH$5:$AH$304,MATCH(7,Ingredients!$AI$5:$AI$304,0))=0,"",INDEX(Ingredients!$AF$5:$AF$304,MATCH(7,Ingredients!$AI$5:$AI$304,0))),"")</f>
        <v>0</v>
      </c>
      <c r="E50" s="25">
        <f>IFERROR(IF(INDEX(Ingredients!$AH$5:$AH$304,MATCH(7,Ingredients!$AI$5:$AI$304,0))=0,"",INDEX(Ingredients!$AH$5:$AH$304,MATCH(7,Ingredients!$AI$5:$AI$304,0))),"")</f>
        <v>0</v>
      </c>
      <c r="F50" s="17">
        <f>IFERROR(IF(INDEX(Ingredients!$AH$5:$AH$304,MATCH(7,Ingredients!$AI$5:$AI$304,0))=0,"",INDEX(Ingredients!$N$5:$N$304,MATCH(7,Ingredients!$AI$5:$AI$304,0))),"")</f>
        <v>0</v>
      </c>
      <c r="G50" s="25">
        <f>IFERROR(IF(INDEX(Ingredients!$AH$5:$AH$304,MATCH(7,Ingredients!$AI$5:$AI$304,0))=0,"",INDEX(Ingredients!$O$5:$O$304,MATCH(7,Ingredients!$AI$5:$AI$304,0))),"")</f>
        <v>0</v>
      </c>
    </row>
    <row r="51" spans="1:10">
      <c r="A51" s="13">
        <v>8</v>
      </c>
      <c r="B51" s="17">
        <f>IFERROR(IF(INDEX(Ingredients!$AH$5:$AH$304,MATCH(8,Ingredients!$AI$5:$AI$304,0))=0,"",INDEX(Ingredients!$B$5:$B$304,MATCH(8,Ingredients!$AI$5:$AI$304,0))),"")</f>
        <v>0</v>
      </c>
      <c r="C51" s="25">
        <f>IFERROR(IF(INDEX(Ingredients!$AH$5:$AH$304,MATCH(8,Ingredients!$AI$5:$AI$304,0))=0,"",INDEX(Ingredients!$K$5:$K$304,MATCH(8,Ingredients!$AI$5:$AI$304,0))),"")</f>
        <v>0</v>
      </c>
      <c r="D51" s="18">
        <f>IFERROR(IF(INDEX(Ingredients!$AH$5:$AH$304,MATCH(8,Ingredients!$AI$5:$AI$304,0))=0,"",INDEX(Ingredients!$AF$5:$AF$304,MATCH(8,Ingredients!$AI$5:$AI$304,0))),"")</f>
        <v>0</v>
      </c>
      <c r="E51" s="25">
        <f>IFERROR(IF(INDEX(Ingredients!$AH$5:$AH$304,MATCH(8,Ingredients!$AI$5:$AI$304,0))=0,"",INDEX(Ingredients!$AH$5:$AH$304,MATCH(8,Ingredients!$AI$5:$AI$304,0))),"")</f>
        <v>0</v>
      </c>
      <c r="F51" s="17">
        <f>IFERROR(IF(INDEX(Ingredients!$AH$5:$AH$304,MATCH(8,Ingredients!$AI$5:$AI$304,0))=0,"",INDEX(Ingredients!$N$5:$N$304,MATCH(8,Ingredients!$AI$5:$AI$304,0))),"")</f>
        <v>0</v>
      </c>
      <c r="G51" s="25">
        <f>IFERROR(IF(INDEX(Ingredients!$AH$5:$AH$304,MATCH(8,Ingredients!$AI$5:$AI$304,0))=0,"",INDEX(Ingredients!$O$5:$O$304,MATCH(8,Ingredients!$AI$5:$AI$304,0))),"")</f>
        <v>0</v>
      </c>
    </row>
    <row r="52" spans="1:10">
      <c r="A52" s="13">
        <v>9</v>
      </c>
      <c r="B52" s="17">
        <f>IFERROR(IF(INDEX(Ingredients!$AH$5:$AH$304,MATCH(9,Ingredients!$AI$5:$AI$304,0))=0,"",INDEX(Ingredients!$B$5:$B$304,MATCH(9,Ingredients!$AI$5:$AI$304,0))),"")</f>
        <v>0</v>
      </c>
      <c r="C52" s="25">
        <f>IFERROR(IF(INDEX(Ingredients!$AH$5:$AH$304,MATCH(9,Ingredients!$AI$5:$AI$304,0))=0,"",INDEX(Ingredients!$K$5:$K$304,MATCH(9,Ingredients!$AI$5:$AI$304,0))),"")</f>
        <v>0</v>
      </c>
      <c r="D52" s="18">
        <f>IFERROR(IF(INDEX(Ingredients!$AH$5:$AH$304,MATCH(9,Ingredients!$AI$5:$AI$304,0))=0,"",INDEX(Ingredients!$AF$5:$AF$304,MATCH(9,Ingredients!$AI$5:$AI$304,0))),"")</f>
        <v>0</v>
      </c>
      <c r="E52" s="25">
        <f>IFERROR(IF(INDEX(Ingredients!$AH$5:$AH$304,MATCH(9,Ingredients!$AI$5:$AI$304,0))=0,"",INDEX(Ingredients!$AH$5:$AH$304,MATCH(9,Ingredients!$AI$5:$AI$304,0))),"")</f>
        <v>0</v>
      </c>
      <c r="F52" s="17">
        <f>IFERROR(IF(INDEX(Ingredients!$AH$5:$AH$304,MATCH(9,Ingredients!$AI$5:$AI$304,0))=0,"",INDEX(Ingredients!$N$5:$N$304,MATCH(9,Ingredients!$AI$5:$AI$304,0))),"")</f>
        <v>0</v>
      </c>
      <c r="G52" s="25">
        <f>IFERROR(IF(INDEX(Ingredients!$AH$5:$AH$304,MATCH(9,Ingredients!$AI$5:$AI$304,0))=0,"",INDEX(Ingredients!$O$5:$O$304,MATCH(9,Ingredients!$AI$5:$AI$304,0))),"")</f>
        <v>0</v>
      </c>
    </row>
    <row r="53" spans="1:10">
      <c r="A53" s="13">
        <v>10</v>
      </c>
      <c r="B53" s="17">
        <f>IFERROR(IF(INDEX(Ingredients!$AH$5:$AH$304,MATCH(10,Ingredients!$AI$5:$AI$304,0))=0,"",INDEX(Ingredients!$B$5:$B$304,MATCH(10,Ingredients!$AI$5:$AI$304,0))),"")</f>
        <v>0</v>
      </c>
      <c r="C53" s="25">
        <f>IFERROR(IF(INDEX(Ingredients!$AH$5:$AH$304,MATCH(10,Ingredients!$AI$5:$AI$304,0))=0,"",INDEX(Ingredients!$K$5:$K$304,MATCH(10,Ingredients!$AI$5:$AI$304,0))),"")</f>
        <v>0</v>
      </c>
      <c r="D53" s="18">
        <f>IFERROR(IF(INDEX(Ingredients!$AH$5:$AH$304,MATCH(10,Ingredients!$AI$5:$AI$304,0))=0,"",INDEX(Ingredients!$AF$5:$AF$304,MATCH(10,Ingredients!$AI$5:$AI$304,0))),"")</f>
        <v>0</v>
      </c>
      <c r="E53" s="25">
        <f>IFERROR(IF(INDEX(Ingredients!$AH$5:$AH$304,MATCH(10,Ingredients!$AI$5:$AI$304,0))=0,"",INDEX(Ingredients!$AH$5:$AH$304,MATCH(10,Ingredients!$AI$5:$AI$304,0))),"")</f>
        <v>0</v>
      </c>
      <c r="F53" s="17">
        <f>IFERROR(IF(INDEX(Ingredients!$AH$5:$AH$304,MATCH(10,Ingredients!$AI$5:$AI$304,0))=0,"",INDEX(Ingredients!$N$5:$N$304,MATCH(10,Ingredients!$AI$5:$AI$304,0))),"")</f>
        <v>0</v>
      </c>
      <c r="G53" s="25">
        <f>IFERROR(IF(INDEX(Ingredients!$AH$5:$AH$304,MATCH(10,Ingredients!$AI$5:$AI$304,0))=0,"",INDEX(Ingredients!$O$5:$O$304,MATCH(10,Ingredients!$AI$5:$AI$304,0))),"")</f>
        <v>0</v>
      </c>
    </row>
    <row r="55" spans="1:10" ht="20" customHeight="1">
      <c r="A55" s="7" t="s">
        <v>1329</v>
      </c>
      <c r="B55" s="7"/>
      <c r="C55" s="7"/>
      <c r="D55" s="7"/>
      <c r="E55" s="7"/>
      <c r="F55" s="7"/>
      <c r="G55" s="7"/>
      <c r="H55" s="7"/>
      <c r="I55" s="7"/>
      <c r="J55" s="7"/>
    </row>
    <row r="56" spans="1:10" ht="26" customHeight="1">
      <c r="A56" s="8" t="s">
        <v>763</v>
      </c>
      <c r="B56" s="9" t="s">
        <v>59</v>
      </c>
      <c r="C56" s="9" t="s">
        <v>1330</v>
      </c>
      <c r="D56" s="9" t="s">
        <v>1331</v>
      </c>
      <c r="E56" s="9" t="s">
        <v>1332</v>
      </c>
      <c r="F56" s="9" t="s">
        <v>1333</v>
      </c>
    </row>
    <row r="57" spans="1:10">
      <c r="A57" s="13" t="s">
        <v>325</v>
      </c>
      <c r="B57" s="18">
        <f>COUNTIFS(Recipes!$C$5:$C$204,"Main")</f>
        <v>0</v>
      </c>
      <c r="C57" s="25">
        <f>IFERROR(AVERAGEIFS(Recipes!$AD$5:$AD$204,Recipes!$C$5:$C$204,"Main"),"")</f>
        <v>0</v>
      </c>
      <c r="D57" s="25">
        <f>IFERROR(IF(COUNTIFS(Recipes!$C$5:$C$204,"Main")=0,"",SUMPRODUCT(MIN(((Recipes!$C$5:$C$204="Main")*IFERROR(Recipes!$AD$5:$AD$204*1,0)&gt;0)*IFERROR(Recipes!$AD$5:$AD$204*1,0)+(1-((Recipes!$C$5:$C$204="Main")*IFERROR(Recipes!$AD$5:$AD$204*1,0)&gt;0))*9999))),"")</f>
        <v>0</v>
      </c>
      <c r="E57" s="25">
        <f>IFERROR(SUMPRODUCT(MAX((Recipes!$C$5:$C$204="Main")*IFERROR(Recipes!$AD$5:$AD$204*1,0))),"")</f>
        <v>0</v>
      </c>
      <c r="F57" s="18">
        <f>IFERROR(AVERAGEIFS(Recipes!$J$5:$J$204,Recipes!$C$5:$C$204,"Main"),"")</f>
        <v>0</v>
      </c>
    </row>
    <row r="58" spans="1:10">
      <c r="A58" s="13" t="s">
        <v>326</v>
      </c>
      <c r="B58" s="18">
        <f>COUNTIFS(Recipes!$C$5:$C$204,"Side")</f>
        <v>0</v>
      </c>
      <c r="C58" s="25">
        <f>IFERROR(AVERAGEIFS(Recipes!$AD$5:$AD$204,Recipes!$C$5:$C$204,"Side"),"")</f>
        <v>0</v>
      </c>
      <c r="D58" s="25">
        <f>IFERROR(IF(COUNTIFS(Recipes!$C$5:$C$204,"Side")=0,"",SUMPRODUCT(MIN(((Recipes!$C$5:$C$204="Side")*IFERROR(Recipes!$AD$5:$AD$204*1,0)&gt;0)*IFERROR(Recipes!$AD$5:$AD$204*1,0)+(1-((Recipes!$C$5:$C$204="Side")*IFERROR(Recipes!$AD$5:$AD$204*1,0)&gt;0))*9999))),"")</f>
        <v>0</v>
      </c>
      <c r="E58" s="25">
        <f>IFERROR(SUMPRODUCT(MAX((Recipes!$C$5:$C$204="Side")*IFERROR(Recipes!$AD$5:$AD$204*1,0))),"")</f>
        <v>0</v>
      </c>
      <c r="F58" s="18">
        <f>IFERROR(AVERAGEIFS(Recipes!$J$5:$J$204,Recipes!$C$5:$C$204,"Side"),"")</f>
        <v>0</v>
      </c>
    </row>
    <row r="59" spans="1:10">
      <c r="A59" s="13" t="s">
        <v>327</v>
      </c>
      <c r="B59" s="18">
        <f>COUNTIFS(Recipes!$C$5:$C$204,"Soup")</f>
        <v>0</v>
      </c>
      <c r="C59" s="25">
        <f>IFERROR(AVERAGEIFS(Recipes!$AD$5:$AD$204,Recipes!$C$5:$C$204,"Soup"),"")</f>
        <v>0</v>
      </c>
      <c r="D59" s="25">
        <f>IFERROR(IF(COUNTIFS(Recipes!$C$5:$C$204,"Soup")=0,"",SUMPRODUCT(MIN(((Recipes!$C$5:$C$204="Soup")*IFERROR(Recipes!$AD$5:$AD$204*1,0)&gt;0)*IFERROR(Recipes!$AD$5:$AD$204*1,0)+(1-((Recipes!$C$5:$C$204="Soup")*IFERROR(Recipes!$AD$5:$AD$204*1,0)&gt;0))*9999))),"")</f>
        <v>0</v>
      </c>
      <c r="E59" s="25">
        <f>IFERROR(SUMPRODUCT(MAX((Recipes!$C$5:$C$204="Soup")*IFERROR(Recipes!$AD$5:$AD$204*1,0))),"")</f>
        <v>0</v>
      </c>
      <c r="F59" s="18">
        <f>IFERROR(AVERAGEIFS(Recipes!$J$5:$J$204,Recipes!$C$5:$C$204,"Soup"),"")</f>
        <v>0</v>
      </c>
    </row>
    <row r="60" spans="1:10">
      <c r="A60" s="13" t="s">
        <v>328</v>
      </c>
      <c r="B60" s="18">
        <f>COUNTIFS(Recipes!$C$5:$C$204,"Salad")</f>
        <v>0</v>
      </c>
      <c r="C60" s="25">
        <f>IFERROR(AVERAGEIFS(Recipes!$AD$5:$AD$204,Recipes!$C$5:$C$204,"Salad"),"")</f>
        <v>0</v>
      </c>
      <c r="D60" s="25">
        <f>IFERROR(IF(COUNTIFS(Recipes!$C$5:$C$204,"Salad")=0,"",SUMPRODUCT(MIN(((Recipes!$C$5:$C$204="Salad")*IFERROR(Recipes!$AD$5:$AD$204*1,0)&gt;0)*IFERROR(Recipes!$AD$5:$AD$204*1,0)+(1-((Recipes!$C$5:$C$204="Salad")*IFERROR(Recipes!$AD$5:$AD$204*1,0)&gt;0))*9999))),"")</f>
        <v>0</v>
      </c>
      <c r="E60" s="25">
        <f>IFERROR(SUMPRODUCT(MAX((Recipes!$C$5:$C$204="Salad")*IFERROR(Recipes!$AD$5:$AD$204*1,0))),"")</f>
        <v>0</v>
      </c>
      <c r="F60" s="18">
        <f>IFERROR(AVERAGEIFS(Recipes!$J$5:$J$204,Recipes!$C$5:$C$204,"Salad"),"")</f>
        <v>0</v>
      </c>
    </row>
    <row r="61" spans="1:10">
      <c r="A61" s="13" t="s">
        <v>165</v>
      </c>
      <c r="B61" s="18">
        <f>COUNTIFS(Recipes!$C$5:$C$204,"Breakfast")</f>
        <v>0</v>
      </c>
      <c r="C61" s="25">
        <f>IFERROR(AVERAGEIFS(Recipes!$AD$5:$AD$204,Recipes!$C$5:$C$204,"Breakfast"),"")</f>
        <v>0</v>
      </c>
      <c r="D61" s="25">
        <f>IFERROR(IF(COUNTIFS(Recipes!$C$5:$C$204,"Breakfast")=0,"",SUMPRODUCT(MIN(((Recipes!$C$5:$C$204="Breakfast")*IFERROR(Recipes!$AD$5:$AD$204*1,0)&gt;0)*IFERROR(Recipes!$AD$5:$AD$204*1,0)+(1-((Recipes!$C$5:$C$204="Breakfast")*IFERROR(Recipes!$AD$5:$AD$204*1,0)&gt;0))*9999))),"")</f>
        <v>0</v>
      </c>
      <c r="E61" s="25">
        <f>IFERROR(SUMPRODUCT(MAX((Recipes!$C$5:$C$204="Breakfast")*IFERROR(Recipes!$AD$5:$AD$204*1,0))),"")</f>
        <v>0</v>
      </c>
      <c r="F61" s="18">
        <f>IFERROR(AVERAGEIFS(Recipes!$J$5:$J$204,Recipes!$C$5:$C$204,"Breakfast"),"")</f>
        <v>0</v>
      </c>
    </row>
    <row r="62" spans="1:10">
      <c r="A62" s="13" t="s">
        <v>329</v>
      </c>
      <c r="B62" s="18">
        <f>COUNTIFS(Recipes!$C$5:$C$204,"Snack")</f>
        <v>0</v>
      </c>
      <c r="C62" s="25">
        <f>IFERROR(AVERAGEIFS(Recipes!$AD$5:$AD$204,Recipes!$C$5:$C$204,"Snack"),"")</f>
        <v>0</v>
      </c>
      <c r="D62" s="25">
        <f>IFERROR(IF(COUNTIFS(Recipes!$C$5:$C$204,"Snack")=0,"",SUMPRODUCT(MIN(((Recipes!$C$5:$C$204="Snack")*IFERROR(Recipes!$AD$5:$AD$204*1,0)&gt;0)*IFERROR(Recipes!$AD$5:$AD$204*1,0)+(1-((Recipes!$C$5:$C$204="Snack")*IFERROR(Recipes!$AD$5:$AD$204*1,0)&gt;0))*9999))),"")</f>
        <v>0</v>
      </c>
      <c r="E62" s="25">
        <f>IFERROR(SUMPRODUCT(MAX((Recipes!$C$5:$C$204="Snack")*IFERROR(Recipes!$AD$5:$AD$204*1,0))),"")</f>
        <v>0</v>
      </c>
      <c r="F62" s="18">
        <f>IFERROR(AVERAGEIFS(Recipes!$J$5:$J$204,Recipes!$C$5:$C$204,"Snack"),"")</f>
        <v>0</v>
      </c>
    </row>
    <row r="63" spans="1:10">
      <c r="A63" s="13" t="s">
        <v>170</v>
      </c>
      <c r="B63" s="18">
        <f>COUNTIFS(Recipes!$C$5:$C$204,"Dessert")</f>
        <v>0</v>
      </c>
      <c r="C63" s="25">
        <f>IFERROR(AVERAGEIFS(Recipes!$AD$5:$AD$204,Recipes!$C$5:$C$204,"Dessert"),"")</f>
        <v>0</v>
      </c>
      <c r="D63" s="25">
        <f>IFERROR(IF(COUNTIFS(Recipes!$C$5:$C$204,"Dessert")=0,"",SUMPRODUCT(MIN(((Recipes!$C$5:$C$204="Dessert")*IFERROR(Recipes!$AD$5:$AD$204*1,0)&gt;0)*IFERROR(Recipes!$AD$5:$AD$204*1,0)+(1-((Recipes!$C$5:$C$204="Dessert")*IFERROR(Recipes!$AD$5:$AD$204*1,0)&gt;0))*9999))),"")</f>
        <v>0</v>
      </c>
      <c r="E63" s="25">
        <f>IFERROR(SUMPRODUCT(MAX((Recipes!$C$5:$C$204="Dessert")*IFERROR(Recipes!$AD$5:$AD$204*1,0))),"")</f>
        <v>0</v>
      </c>
      <c r="F63" s="18">
        <f>IFERROR(AVERAGEIFS(Recipes!$J$5:$J$204,Recipes!$C$5:$C$204,"Dessert"),"")</f>
        <v>0</v>
      </c>
    </row>
    <row r="64" spans="1:10">
      <c r="A64" s="13" t="s">
        <v>334</v>
      </c>
      <c r="B64" s="18">
        <f>COUNTIFS(Recipes!$C$5:$C$204,"Lunchbox")</f>
        <v>0</v>
      </c>
      <c r="C64" s="25">
        <f>IFERROR(AVERAGEIFS(Recipes!$AD$5:$AD$204,Recipes!$C$5:$C$204,"Lunchbox"),"")</f>
        <v>0</v>
      </c>
      <c r="D64" s="25">
        <f>IFERROR(IF(COUNTIFS(Recipes!$C$5:$C$204,"Lunchbox")=0,"",SUMPRODUCT(MIN(((Recipes!$C$5:$C$204="Lunchbox")*IFERROR(Recipes!$AD$5:$AD$204*1,0)&gt;0)*IFERROR(Recipes!$AD$5:$AD$204*1,0)+(1-((Recipes!$C$5:$C$204="Lunchbox")*IFERROR(Recipes!$AD$5:$AD$204*1,0)&gt;0))*9999))),"")</f>
        <v>0</v>
      </c>
      <c r="E64" s="25">
        <f>IFERROR(SUMPRODUCT(MAX((Recipes!$C$5:$C$204="Lunchbox")*IFERROR(Recipes!$AD$5:$AD$204*1,0))),"")</f>
        <v>0</v>
      </c>
      <c r="F64" s="18">
        <f>IFERROR(AVERAGEIFS(Recipes!$J$5:$J$204,Recipes!$C$5:$C$204,"Lunchbox"),"")</f>
        <v>0</v>
      </c>
    </row>
    <row r="65" spans="1:10">
      <c r="A65" s="13" t="s">
        <v>333</v>
      </c>
      <c r="B65" s="18">
        <f>COUNTIFS(Recipes!$C$5:$C$204,"Batch base")</f>
        <v>0</v>
      </c>
      <c r="C65" s="25">
        <f>IFERROR(AVERAGEIFS(Recipes!$AD$5:$AD$204,Recipes!$C$5:$C$204,"Batch base"),"")</f>
        <v>0</v>
      </c>
      <c r="D65" s="25">
        <f>IFERROR(IF(COUNTIFS(Recipes!$C$5:$C$204,"Batch base")=0,"",SUMPRODUCT(MIN(((Recipes!$C$5:$C$204="Batch base")*IFERROR(Recipes!$AD$5:$AD$204*1,0)&gt;0)*IFERROR(Recipes!$AD$5:$AD$204*1,0)+(1-((Recipes!$C$5:$C$204="Batch base")*IFERROR(Recipes!$AD$5:$AD$204*1,0)&gt;0))*9999))),"")</f>
        <v>0</v>
      </c>
      <c r="E65" s="25">
        <f>IFERROR(SUMPRODUCT(MAX((Recipes!$C$5:$C$204="Batch base")*IFERROR(Recipes!$AD$5:$AD$204*1,0))),"")</f>
        <v>0</v>
      </c>
      <c r="F65" s="18">
        <f>IFERROR(AVERAGEIFS(Recipes!$J$5:$J$204,Recipes!$C$5:$C$204,"Batch base"),"")</f>
        <v>0</v>
      </c>
    </row>
    <row r="67" spans="1:10" ht="44" customHeight="1">
      <c r="A67" s="6" t="s">
        <v>1334</v>
      </c>
      <c r="B67" s="6"/>
      <c r="C67" s="6"/>
      <c r="D67" s="6"/>
      <c r="E67" s="6"/>
      <c r="F67" s="6"/>
      <c r="G67" s="6"/>
      <c r="H67" s="6"/>
      <c r="I67" s="6"/>
      <c r="J67" s="6"/>
    </row>
  </sheetData>
  <sheetProtection password="EC7C" sheet="1" objects="1" scenarios="1" formatCells="0" formatColumns="0" formatRows="0" insertRows="0" insertHyperlinks="0" deleteRows="0" autoFilter="0"/>
  <mergeCells count="30">
    <mergeCell ref="A1:G1"/>
    <mergeCell ref="H1:J1"/>
    <mergeCell ref="A2:J2"/>
    <mergeCell ref="A3:B3"/>
    <mergeCell ref="C3:D3"/>
    <mergeCell ref="E3:F3"/>
    <mergeCell ref="G3:H3"/>
    <mergeCell ref="I3:J3"/>
    <mergeCell ref="B5:C5"/>
    <mergeCell ref="B6:C6"/>
    <mergeCell ref="B7:C7"/>
    <mergeCell ref="D5:E5"/>
    <mergeCell ref="D6:E6"/>
    <mergeCell ref="D7:E7"/>
    <mergeCell ref="F5:G5"/>
    <mergeCell ref="F6:G6"/>
    <mergeCell ref="F7:G7"/>
    <mergeCell ref="H5:I5"/>
    <mergeCell ref="H6:I6"/>
    <mergeCell ref="H7:I7"/>
    <mergeCell ref="A9:J9"/>
    <mergeCell ref="B10:C10"/>
    <mergeCell ref="E10:H10"/>
    <mergeCell ref="B11:C11"/>
    <mergeCell ref="E11:H11"/>
    <mergeCell ref="A13:J13"/>
    <mergeCell ref="A41:J41"/>
    <mergeCell ref="A42:J42"/>
    <mergeCell ref="A55:J55"/>
    <mergeCell ref="A67:J67"/>
  </mergeCells>
  <conditionalFormatting sqref="D15:D39">
    <cfRule type="dataBar" priority="3">
      <dataBar>
        <cfvo type="min" val="0"/>
        <cfvo type="max" val="0"/>
        <color rgb="FF4E8A63"/>
      </dataBar>
    </cfRule>
  </conditionalFormatting>
  <conditionalFormatting sqref="E15:E39">
    <cfRule type="colorScale" priority="1">
      <colorScale>
        <cfvo type="min" val="0"/>
        <cfvo type="percentile" val="50"/>
        <cfvo type="max" val="0"/>
        <color rgb="FFD9F2E4"/>
        <color rgb="FFFFF1CF"/>
        <color rgb="FFFBD9DD"/>
      </colorScale>
    </cfRule>
  </conditionalFormatting>
  <conditionalFormatting sqref="H15:H39">
    <cfRule type="cellIs" dxfId="1" priority="2" operator="greaterThan">
      <formula>0</formula>
    </cfRule>
  </conditionalFormatting>
  <dataValidations count="2">
    <dataValidation type="decimal" allowBlank="1" showInputMessage="1" showErrorMessage="1" errorTitle="Check the value" error="Enter a number between 0 and 1000." sqref="D10">
      <formula1>0</formula1>
      <formula2>1000</formula2>
    </dataValidation>
    <dataValidation type="decimal" allowBlank="1" showInputMessage="1" showErrorMessage="1" errorTitle="Check the value" error="Enter a number between 0 and 200." sqref="D11">
      <formula1>0</formula1>
      <formula2>200</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&amp;L&amp;"Calibri,Bold"&amp;12&amp;C&amp;"Calibri,Bold"&amp;11Recipe Costs&amp;R&amp;"Calibri,Italic"&amp;9Automated Meal Planner &amp; Grocery List Spreadsheet</oddHeader>
    <oddFooter>&amp;L&amp;"Calibri,Italic"&amp;8Novality Store - v1.0.0&amp;C&amp;"Calibri,Italic"&amp;8Page &amp;P of &amp;N&amp;R&amp;"Calibri,Italic"&amp;8&amp;D</oddFooter>
  </headerFooter>
</worksheet>
</file>

<file path=xl/worksheets/sheet22.xml><?xml version="1.0" encoding="utf-8"?>
<worksheet xmlns="http://schemas.openxmlformats.org/spreadsheetml/2006/main" xmlns:r="http://schemas.openxmlformats.org/officeDocument/2006/relationships">
  <sheetPr>
    <tabColor rgb="FF4E8A63"/>
    <pageSetUpPr fitToPage="1"/>
  </sheetPr>
  <dimension ref="A1:J57"/>
  <sheetViews>
    <sheetView showGridLines="0" workbookViewId="0">
      <pane ySplit="4" topLeftCell="A5" activePane="bottomLeft" state="frozen"/>
      <selection pane="bottomLeft"/>
    </sheetView>
  </sheetViews>
  <sheetFormatPr defaultRowHeight="15"/>
  <cols>
    <col min="1" max="1" width="22.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 max="1" width="12.7109375" customWidth="1"/>
    <col min="2" max="2" width="14.7109375" customWidth="1"/>
    <col min="3" max="3" width="14.7109375" customWidth="1"/>
    <col min="4" max="4" width="16.7109375" customWidth="1"/>
    <col min="5" max="5" width="16.7109375" customWidth="1"/>
    <col min="6" max="6" width="14.7109375" customWidth="1"/>
    <col min="1" max="1" width="18.7109375" customWidth="1"/>
    <col min="2" max="2" width="4.7109375" customWidth="1"/>
    <col min="3" max="3" width="22.7109375" customWidth="1"/>
    <col min="4" max="4" width="18.7109375" customWidth="1"/>
    <col min="5" max="5" width="4.7109375" customWidth="1"/>
    <col min="6" max="6" width="22.7109375" customWidth="1"/>
    <col min="1" max="1" width="26.7109375" customWidth="1"/>
    <col min="2" max="2" width="12.7109375" customWidth="1"/>
    <col min="3" max="3" width="10.7109375" customWidth="1"/>
    <col min="4" max="4" width="14.7109375" customWidth="1"/>
    <col min="5" max="5" width="16.7109375" customWidth="1"/>
    <col min="6" max="6" width="18.7109375" customWidth="1"/>
    <col min="7" max="7" width="12.7109375" customWidth="1"/>
    <col min="8" max="8" width="10.7109375" customWidth="1"/>
  </cols>
  <sheetData>
    <row r="1" spans="1:10" ht="34" customHeight="1">
      <c r="A1" s="2" t="s">
        <v>1335</v>
      </c>
      <c r="B1" s="2"/>
      <c r="C1" s="2"/>
      <c r="D1" s="2"/>
      <c r="E1" s="2"/>
      <c r="F1" s="2"/>
      <c r="G1" s="2"/>
      <c r="H1" s="3" t="s">
        <v>1</v>
      </c>
      <c r="I1" s="3"/>
      <c r="J1" s="3"/>
    </row>
    <row r="2" spans="1:10" ht="18" customHeight="1">
      <c r="A2" s="4" t="s">
        <v>1336</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1337</v>
      </c>
      <c r="B5" s="7"/>
      <c r="C5" s="7"/>
      <c r="D5" s="7"/>
      <c r="E5" s="7"/>
      <c r="F5" s="7"/>
      <c r="G5" s="7"/>
      <c r="H5" s="7"/>
      <c r="I5" s="7"/>
      <c r="J5" s="7"/>
    </row>
    <row r="6" spans="1:10" ht="26" customHeight="1">
      <c r="A6" s="6" t="s">
        <v>1338</v>
      </c>
      <c r="B6" s="6"/>
      <c r="C6" s="6"/>
      <c r="D6" s="6"/>
      <c r="E6" s="6"/>
      <c r="F6" s="6"/>
      <c r="G6" s="6"/>
      <c r="H6" s="6"/>
      <c r="I6" s="6"/>
      <c r="J6" s="6"/>
    </row>
    <row r="7" spans="1:10" ht="26" customHeight="1">
      <c r="A7" s="8" t="s">
        <v>1339</v>
      </c>
      <c r="B7" s="9" t="s">
        <v>1340</v>
      </c>
      <c r="C7" s="9" t="s">
        <v>1341</v>
      </c>
      <c r="D7" s="9" t="s">
        <v>1342</v>
      </c>
      <c r="E7" s="9" t="s">
        <v>875</v>
      </c>
      <c r="F7" s="9" t="s">
        <v>665</v>
      </c>
    </row>
    <row r="8" spans="1:10">
      <c r="A8" s="38">
        <v>100</v>
      </c>
      <c r="B8" s="32" t="s">
        <v>668</v>
      </c>
      <c r="C8" s="32" t="s">
        <v>672</v>
      </c>
      <c r="D8" s="45">
        <f>IF(OR(A8="",B8="",C8=""),"",IFERROR(IF(INDEX(UnitBases,MATCH(B8,UnitNames,0))=INDEX(UnitBases,MATCH(C8,UnitNames,0)),A8*INDEX(UnitFactors,MATCH(B8,UnitNames,0))/INDEX(UnitFactors,MATCH(C8,UnitNames,0)),"Cannot convert "&amp;INDEX(UnitKinds,MATCH(B8,UnitNames,0))&amp;" to "&amp;INDEX(UnitKinds,MATCH(C8,UnitNames,0))),"Check the units"))</f>
        <v>0</v>
      </c>
      <c r="E8" s="17">
        <f>IF(OR(A8="",B8=""),"",IFERROR(A8*INDEX(UnitFactors,MATCH(B8,UnitNames,0))&amp;" "&amp;INDEX(UnitBases,MATCH(B8,UnitNames,0)),""))</f>
        <v>0</v>
      </c>
      <c r="F8" s="17">
        <f>IF(B8="","",IFERROR(INDEX(UnitKinds,MATCH(B8,UnitNames,0)),""))</f>
        <v>0</v>
      </c>
    </row>
    <row r="9" spans="1:10">
      <c r="A9" s="38"/>
      <c r="B9" s="32"/>
      <c r="C9" s="32"/>
      <c r="D9" s="45">
        <f>IF(OR(A9="",B9="",C9=""),"",IFERROR(IF(INDEX(UnitBases,MATCH(B9,UnitNames,0))=INDEX(UnitBases,MATCH(C9,UnitNames,0)),A9*INDEX(UnitFactors,MATCH(B9,UnitNames,0))/INDEX(UnitFactors,MATCH(C9,UnitNames,0)),"Cannot convert "&amp;INDEX(UnitKinds,MATCH(B9,UnitNames,0))&amp;" to "&amp;INDEX(UnitKinds,MATCH(C9,UnitNames,0))),"Check the units"))</f>
        <v>0</v>
      </c>
      <c r="E9" s="17">
        <f>IF(OR(A9="",B9=""),"",IFERROR(A9*INDEX(UnitFactors,MATCH(B9,UnitNames,0))&amp;" "&amp;INDEX(UnitBases,MATCH(B9,UnitNames,0)),""))</f>
        <v>0</v>
      </c>
      <c r="F9" s="17">
        <f>IF(B9="","",IFERROR(INDEX(UnitKinds,MATCH(B9,UnitNames,0)),""))</f>
        <v>0</v>
      </c>
    </row>
    <row r="10" spans="1:10">
      <c r="A10" s="38"/>
      <c r="B10" s="32"/>
      <c r="C10" s="32"/>
      <c r="D10" s="45">
        <f>IF(OR(A10="",B10="",C10=""),"",IFERROR(IF(INDEX(UnitBases,MATCH(B10,UnitNames,0))=INDEX(UnitBases,MATCH(C10,UnitNames,0)),A10*INDEX(UnitFactors,MATCH(B10,UnitNames,0))/INDEX(UnitFactors,MATCH(C10,UnitNames,0)),"Cannot convert "&amp;INDEX(UnitKinds,MATCH(B10,UnitNames,0))&amp;" to "&amp;INDEX(UnitKinds,MATCH(C10,UnitNames,0))),"Check the units"))</f>
        <v>0</v>
      </c>
      <c r="E10" s="17">
        <f>IF(OR(A10="",B10=""),"",IFERROR(A10*INDEX(UnitFactors,MATCH(B10,UnitNames,0))&amp;" "&amp;INDEX(UnitBases,MATCH(B10,UnitNames,0)),""))</f>
        <v>0</v>
      </c>
      <c r="F10" s="17">
        <f>IF(B10="","",IFERROR(INDEX(UnitKinds,MATCH(B10,UnitNames,0)),""))</f>
        <v>0</v>
      </c>
    </row>
    <row r="11" spans="1:10">
      <c r="A11" s="38"/>
      <c r="B11" s="32"/>
      <c r="C11" s="32"/>
      <c r="D11" s="45">
        <f>IF(OR(A11="",B11="",C11=""),"",IFERROR(IF(INDEX(UnitBases,MATCH(B11,UnitNames,0))=INDEX(UnitBases,MATCH(C11,UnitNames,0)),A11*INDEX(UnitFactors,MATCH(B11,UnitNames,0))/INDEX(UnitFactors,MATCH(C11,UnitNames,0)),"Cannot convert "&amp;INDEX(UnitKinds,MATCH(B11,UnitNames,0))&amp;" to "&amp;INDEX(UnitKinds,MATCH(C11,UnitNames,0))),"Check the units"))</f>
        <v>0</v>
      </c>
      <c r="E11" s="17">
        <f>IF(OR(A11="",B11=""),"",IFERROR(A11*INDEX(UnitFactors,MATCH(B11,UnitNames,0))&amp;" "&amp;INDEX(UnitBases,MATCH(B11,UnitNames,0)),""))</f>
        <v>0</v>
      </c>
      <c r="F11" s="17">
        <f>IF(B11="","",IFERROR(INDEX(UnitKinds,MATCH(B11,UnitNames,0)),""))</f>
        <v>0</v>
      </c>
    </row>
    <row r="12" spans="1:10">
      <c r="A12" s="38"/>
      <c r="B12" s="32"/>
      <c r="C12" s="32"/>
      <c r="D12" s="45">
        <f>IF(OR(A12="",B12="",C12=""),"",IFERROR(IF(INDEX(UnitBases,MATCH(B12,UnitNames,0))=INDEX(UnitBases,MATCH(C12,UnitNames,0)),A12*INDEX(UnitFactors,MATCH(B12,UnitNames,0))/INDEX(UnitFactors,MATCH(C12,UnitNames,0)),"Cannot convert "&amp;INDEX(UnitKinds,MATCH(B12,UnitNames,0))&amp;" to "&amp;INDEX(UnitKinds,MATCH(C12,UnitNames,0))),"Check the units"))</f>
        <v>0</v>
      </c>
      <c r="E12" s="17">
        <f>IF(OR(A12="",B12=""),"",IFERROR(A12*INDEX(UnitFactors,MATCH(B12,UnitNames,0))&amp;" "&amp;INDEX(UnitBases,MATCH(B12,UnitNames,0)),""))</f>
        <v>0</v>
      </c>
      <c r="F12" s="17">
        <f>IF(B12="","",IFERROR(INDEX(UnitKinds,MATCH(B12,UnitNames,0)),""))</f>
        <v>0</v>
      </c>
    </row>
    <row r="13" spans="1:10">
      <c r="A13" s="38"/>
      <c r="B13" s="32"/>
      <c r="C13" s="32"/>
      <c r="D13" s="45">
        <f>IF(OR(A13="",B13="",C13=""),"",IFERROR(IF(INDEX(UnitBases,MATCH(B13,UnitNames,0))=INDEX(UnitBases,MATCH(C13,UnitNames,0)),A13*INDEX(UnitFactors,MATCH(B13,UnitNames,0))/INDEX(UnitFactors,MATCH(C13,UnitNames,0)),"Cannot convert "&amp;INDEX(UnitKinds,MATCH(B13,UnitNames,0))&amp;" to "&amp;INDEX(UnitKinds,MATCH(C13,UnitNames,0))),"Check the units"))</f>
        <v>0</v>
      </c>
      <c r="E13" s="17">
        <f>IF(OR(A13="",B13=""),"",IFERROR(A13*INDEX(UnitFactors,MATCH(B13,UnitNames,0))&amp;" "&amp;INDEX(UnitBases,MATCH(B13,UnitNames,0)),""))</f>
        <v>0</v>
      </c>
      <c r="F13" s="17">
        <f>IF(B13="","",IFERROR(INDEX(UnitKinds,MATCH(B13,UnitNames,0)),""))</f>
        <v>0</v>
      </c>
    </row>
    <row r="14" spans="1:10">
      <c r="A14" s="38"/>
      <c r="B14" s="32"/>
      <c r="C14" s="32"/>
      <c r="D14" s="45">
        <f>IF(OR(A14="",B14="",C14=""),"",IFERROR(IF(INDEX(UnitBases,MATCH(B14,UnitNames,0))=INDEX(UnitBases,MATCH(C14,UnitNames,0)),A14*INDEX(UnitFactors,MATCH(B14,UnitNames,0))/INDEX(UnitFactors,MATCH(C14,UnitNames,0)),"Cannot convert "&amp;INDEX(UnitKinds,MATCH(B14,UnitNames,0))&amp;" to "&amp;INDEX(UnitKinds,MATCH(C14,UnitNames,0))),"Check the units"))</f>
        <v>0</v>
      </c>
      <c r="E14" s="17">
        <f>IF(OR(A14="",B14=""),"",IFERROR(A14*INDEX(UnitFactors,MATCH(B14,UnitNames,0))&amp;" "&amp;INDEX(UnitBases,MATCH(B14,UnitNames,0)),""))</f>
        <v>0</v>
      </c>
      <c r="F14" s="17">
        <f>IF(B14="","",IFERROR(INDEX(UnitKinds,MATCH(B14,UnitNames,0)),""))</f>
        <v>0</v>
      </c>
    </row>
    <row r="15" spans="1:10">
      <c r="A15" s="38"/>
      <c r="B15" s="32"/>
      <c r="C15" s="32"/>
      <c r="D15" s="45">
        <f>IF(OR(A15="",B15="",C15=""),"",IFERROR(IF(INDEX(UnitBases,MATCH(B15,UnitNames,0))=INDEX(UnitBases,MATCH(C15,UnitNames,0)),A15*INDEX(UnitFactors,MATCH(B15,UnitNames,0))/INDEX(UnitFactors,MATCH(C15,UnitNames,0)),"Cannot convert "&amp;INDEX(UnitKinds,MATCH(B15,UnitNames,0))&amp;" to "&amp;INDEX(UnitKinds,MATCH(C15,UnitNames,0))),"Check the units"))</f>
        <v>0</v>
      </c>
      <c r="E15" s="17">
        <f>IF(OR(A15="",B15=""),"",IFERROR(A15*INDEX(UnitFactors,MATCH(B15,UnitNames,0))&amp;" "&amp;INDEX(UnitBases,MATCH(B15,UnitNames,0)),""))</f>
        <v>0</v>
      </c>
      <c r="F15" s="17">
        <f>IF(B15="","",IFERROR(INDEX(UnitKinds,MATCH(B15,UnitNames,0)),""))</f>
        <v>0</v>
      </c>
    </row>
    <row r="16" spans="1:10">
      <c r="A16" s="38"/>
      <c r="B16" s="32"/>
      <c r="C16" s="32"/>
      <c r="D16" s="45">
        <f>IF(OR(A16="",B16="",C16=""),"",IFERROR(IF(INDEX(UnitBases,MATCH(B16,UnitNames,0))=INDEX(UnitBases,MATCH(C16,UnitNames,0)),A16*INDEX(UnitFactors,MATCH(B16,UnitNames,0))/INDEX(UnitFactors,MATCH(C16,UnitNames,0)),"Cannot convert "&amp;INDEX(UnitKinds,MATCH(B16,UnitNames,0))&amp;" to "&amp;INDEX(UnitKinds,MATCH(C16,UnitNames,0))),"Check the units"))</f>
        <v>0</v>
      </c>
      <c r="E16" s="17">
        <f>IF(OR(A16="",B16=""),"",IFERROR(A16*INDEX(UnitFactors,MATCH(B16,UnitNames,0))&amp;" "&amp;INDEX(UnitBases,MATCH(B16,UnitNames,0)),""))</f>
        <v>0</v>
      </c>
      <c r="F16" s="17">
        <f>IF(B16="","",IFERROR(INDEX(UnitKinds,MATCH(B16,UnitNames,0)),""))</f>
        <v>0</v>
      </c>
    </row>
    <row r="17" spans="1:10">
      <c r="A17" s="38"/>
      <c r="B17" s="32"/>
      <c r="C17" s="32"/>
      <c r="D17" s="45">
        <f>IF(OR(A17="",B17="",C17=""),"",IFERROR(IF(INDEX(UnitBases,MATCH(B17,UnitNames,0))=INDEX(UnitBases,MATCH(C17,UnitNames,0)),A17*INDEX(UnitFactors,MATCH(B17,UnitNames,0))/INDEX(UnitFactors,MATCH(C17,UnitNames,0)),"Cannot convert "&amp;INDEX(UnitKinds,MATCH(B17,UnitNames,0))&amp;" to "&amp;INDEX(UnitKinds,MATCH(C17,UnitNames,0))),"Check the units"))</f>
        <v>0</v>
      </c>
      <c r="E17" s="17">
        <f>IF(OR(A17="",B17=""),"",IFERROR(A17*INDEX(UnitFactors,MATCH(B17,UnitNames,0))&amp;" "&amp;INDEX(UnitBases,MATCH(B17,UnitNames,0)),""))</f>
        <v>0</v>
      </c>
      <c r="F17" s="17">
        <f>IF(B17="","",IFERROR(INDEX(UnitKinds,MATCH(B17,UnitNames,0)),""))</f>
        <v>0</v>
      </c>
    </row>
    <row r="19" spans="1:10" ht="20" customHeight="1">
      <c r="A19" s="7" t="s">
        <v>1343</v>
      </c>
      <c r="B19" s="7"/>
      <c r="C19" s="7"/>
      <c r="D19" s="7"/>
      <c r="E19" s="7"/>
      <c r="F19" s="7"/>
      <c r="G19" s="7"/>
      <c r="H19" s="7"/>
      <c r="I19" s="7"/>
      <c r="J19" s="7"/>
    </row>
    <row r="20" spans="1:10" ht="26" customHeight="1">
      <c r="A20" s="8" t="s">
        <v>232</v>
      </c>
      <c r="B20" s="9">
        <f/>
        <v>0</v>
      </c>
      <c r="C20" s="9" t="s">
        <v>1344</v>
      </c>
      <c r="D20" s="9" t="s">
        <v>232</v>
      </c>
      <c r="E20" s="9">
        <f/>
        <v>0</v>
      </c>
      <c r="F20" s="9" t="s">
        <v>1344</v>
      </c>
    </row>
    <row r="21" spans="1:10">
      <c r="A21" s="13" t="s">
        <v>1345</v>
      </c>
      <c r="B21" s="13">
        <f/>
        <v>0</v>
      </c>
      <c r="C21" s="11" t="s">
        <v>1346</v>
      </c>
      <c r="D21" s="13" t="s">
        <v>1347</v>
      </c>
      <c r="E21" s="13">
        <f/>
        <v>0</v>
      </c>
      <c r="F21" s="11" t="s">
        <v>1348</v>
      </c>
    </row>
    <row r="22" spans="1:10">
      <c r="A22" s="13" t="s">
        <v>1349</v>
      </c>
      <c r="B22" s="13">
        <f/>
        <v>0</v>
      </c>
      <c r="C22" s="11" t="s">
        <v>1350</v>
      </c>
      <c r="D22" s="13" t="s">
        <v>1351</v>
      </c>
      <c r="E22" s="13">
        <f/>
        <v>0</v>
      </c>
      <c r="F22" s="11" t="s">
        <v>1352</v>
      </c>
    </row>
    <row r="23" spans="1:10">
      <c r="A23" s="13" t="s">
        <v>1353</v>
      </c>
      <c r="B23" s="13">
        <f/>
        <v>0</v>
      </c>
      <c r="C23" s="11" t="s">
        <v>1354</v>
      </c>
      <c r="D23" s="13" t="s">
        <v>1355</v>
      </c>
      <c r="E23" s="13">
        <f/>
        <v>0</v>
      </c>
      <c r="F23" s="11" t="s">
        <v>1356</v>
      </c>
    </row>
    <row r="24" spans="1:10">
      <c r="A24" s="13" t="s">
        <v>1357</v>
      </c>
      <c r="B24" s="13">
        <f/>
        <v>0</v>
      </c>
      <c r="C24" s="11" t="s">
        <v>1358</v>
      </c>
      <c r="D24" s="13" t="s">
        <v>1359</v>
      </c>
      <c r="E24" s="13">
        <f/>
        <v>0</v>
      </c>
      <c r="F24" s="11" t="s">
        <v>1360</v>
      </c>
    </row>
    <row r="25" spans="1:10">
      <c r="A25" s="13" t="s">
        <v>1361</v>
      </c>
      <c r="B25" s="13">
        <f/>
        <v>0</v>
      </c>
      <c r="C25" s="11" t="s">
        <v>1362</v>
      </c>
      <c r="D25" s="13" t="s">
        <v>1363</v>
      </c>
      <c r="E25" s="13">
        <f/>
        <v>0</v>
      </c>
      <c r="F25" s="11" t="s">
        <v>1364</v>
      </c>
    </row>
    <row r="26" spans="1:10">
      <c r="A26" s="13" t="s">
        <v>1365</v>
      </c>
      <c r="B26" s="13">
        <f/>
        <v>0</v>
      </c>
      <c r="C26" s="11" t="s">
        <v>1366</v>
      </c>
      <c r="D26" s="13" t="s">
        <v>1367</v>
      </c>
      <c r="E26" s="13">
        <f/>
        <v>0</v>
      </c>
      <c r="F26" s="11" t="s">
        <v>1368</v>
      </c>
    </row>
    <row r="27" spans="1:10">
      <c r="A27" s="13" t="s">
        <v>1369</v>
      </c>
      <c r="B27" s="13">
        <f/>
        <v>0</v>
      </c>
      <c r="C27" s="11" t="s">
        <v>1370</v>
      </c>
      <c r="D27" s="13" t="s">
        <v>1371</v>
      </c>
      <c r="E27" s="13">
        <f/>
        <v>0</v>
      </c>
      <c r="F27" s="11" t="s">
        <v>1372</v>
      </c>
    </row>
    <row r="28" spans="1:10">
      <c r="A28" s="13" t="s">
        <v>1373</v>
      </c>
      <c r="B28" s="13">
        <f/>
        <v>0</v>
      </c>
      <c r="C28" s="11" t="s">
        <v>1374</v>
      </c>
      <c r="D28" s="13" t="s">
        <v>1375</v>
      </c>
      <c r="E28" s="13">
        <f/>
        <v>0</v>
      </c>
      <c r="F28" s="11" t="s">
        <v>1376</v>
      </c>
    </row>
    <row r="29" spans="1:10">
      <c r="A29" s="13" t="s">
        <v>1377</v>
      </c>
      <c r="B29" s="13">
        <f/>
        <v>0</v>
      </c>
      <c r="C29" s="11" t="s">
        <v>1378</v>
      </c>
      <c r="D29" s="13" t="s">
        <v>1379</v>
      </c>
      <c r="E29" s="13">
        <f/>
        <v>0</v>
      </c>
      <c r="F29" s="11" t="s">
        <v>1380</v>
      </c>
    </row>
    <row r="30" spans="1:10" ht="26" customHeight="1">
      <c r="A30" s="6" t="s">
        <v>1381</v>
      </c>
      <c r="B30" s="6"/>
      <c r="C30" s="6"/>
      <c r="D30" s="6"/>
      <c r="E30" s="6"/>
      <c r="F30" s="6"/>
      <c r="G30" s="6"/>
      <c r="H30" s="6"/>
      <c r="I30" s="6"/>
      <c r="J30" s="6"/>
    </row>
    <row r="31" spans="1:10" ht="20" customHeight="1">
      <c r="A31" s="7" t="s">
        <v>1382</v>
      </c>
      <c r="B31" s="7"/>
      <c r="C31" s="7"/>
      <c r="D31" s="7"/>
      <c r="E31" s="7"/>
      <c r="F31" s="7"/>
      <c r="G31" s="7"/>
      <c r="H31" s="7"/>
      <c r="I31" s="7"/>
      <c r="J31" s="7"/>
    </row>
    <row r="32" spans="1:10">
      <c r="B32" s="11" t="s">
        <v>762</v>
      </c>
      <c r="C32" s="11"/>
      <c r="D32" s="32" t="s">
        <v>887</v>
      </c>
      <c r="E32" s="12" t="s">
        <v>1383</v>
      </c>
      <c r="F32" s="12"/>
      <c r="G32" s="12"/>
      <c r="H32" s="12"/>
    </row>
    <row r="33" spans="1:8">
      <c r="B33" s="11" t="s">
        <v>1028</v>
      </c>
      <c r="C33" s="11"/>
      <c r="D33" s="35">
        <v>4</v>
      </c>
      <c r="E33" s="12" t="s">
        <v>1384</v>
      </c>
      <c r="F33" s="12"/>
      <c r="G33" s="12"/>
      <c r="H33" s="12"/>
    </row>
    <row r="34" spans="1:8">
      <c r="B34" s="16" t="s">
        <v>1385</v>
      </c>
      <c r="C34" s="16"/>
      <c r="D34" s="17">
        <f>IFERROR(INDEX(Recipes!$B$5:$B$204,MATCH(ScaleRecipe,Recipes!$A$5:$A$204,0)),"Pick a recipe above")</f>
        <v>0</v>
      </c>
      <c r="E34" s="16" t="s">
        <v>1386</v>
      </c>
      <c r="F34" s="18">
        <f>IFERROR(INDEX(Recipes!$G$5:$G$204,MATCH(ScaleRecipe,Recipes!$A$5:$A$204,0)),"")</f>
        <v>0</v>
      </c>
      <c r="G34" s="16" t="s">
        <v>1387</v>
      </c>
      <c r="H34" s="45">
        <f>IFERROR(ScalePeople/INDEX(Recipes!$G$5:$G$204,MATCH(ScaleRecipe,Recipes!$A$5:$A$204,0)),"")</f>
        <v>0</v>
      </c>
    </row>
    <row r="36" spans="1:8" ht="26" customHeight="1">
      <c r="A36" s="8" t="s">
        <v>870</v>
      </c>
      <c r="B36" s="9" t="s">
        <v>1388</v>
      </c>
      <c r="C36" s="9" t="s">
        <v>664</v>
      </c>
      <c r="D36" s="9" t="s">
        <v>1389</v>
      </c>
      <c r="E36" s="9" t="s">
        <v>875</v>
      </c>
      <c r="F36" s="9" t="s">
        <v>318</v>
      </c>
      <c r="G36" s="9" t="s">
        <v>138</v>
      </c>
      <c r="H36" s="9" t="s">
        <v>874</v>
      </c>
    </row>
    <row r="37" spans="1:8">
      <c r="A37" s="17">
        <f>IFERROR(INDEX('Recipe Ingredients'!$D$5:$D$1204,MATCH(ScaleRecipe&amp;"#"&amp;1,'Recipe Ingredients'!$Z$5:$Z$1204,0)),"")</f>
        <v>0</v>
      </c>
      <c r="B37" s="45">
        <f>IFERROR(INDEX('Recipe Ingredients'!$E$5:$E$1204,MATCH(ScaleRecipe&amp;"#"&amp;1,'Recipe Ingredients'!$Z$5:$Z$1204,0)),"")</f>
        <v>0</v>
      </c>
      <c r="C37" s="17">
        <f>IFERROR(INDEX('Recipe Ingredients'!$F$5:$F$1204,MATCH(ScaleRecipe&amp;"#"&amp;1,'Recipe Ingredients'!$Z$5:$Z$1204,0)),"")</f>
        <v>0</v>
      </c>
      <c r="D37" s="45">
        <f>IF(B37="","",IFERROR(ROUND(B37*ScaleFactor,2),""))</f>
        <v>0</v>
      </c>
      <c r="E37" s="17">
        <f>IF(A37="","",IFERROR(ROUND(INDEX('Recipe Ingredients'!$J$5:$J$1204,MATCH(ScaleRecipe&amp;"#"&amp;1,'Recipe Ingredients'!$Z$5:$Z$1204,0))*ScaleFactor,0)&amp;" "&amp;INDEX('Recipe Ingredients'!$K$5:$K$1204,MATCH(ScaleRecipe&amp;"#"&amp;1,'Recipe Ingredients'!$Z$5:$Z$1204,0)),""))</f>
        <v>0</v>
      </c>
      <c r="F37" s="17">
        <f>IFERROR(INDEX('Recipe Ingredients'!$G$5:$G$1204,MATCH(ScaleRecipe&amp;"#"&amp;1,'Recipe Ingredients'!$Z$5:$Z$1204,0)),"")</f>
        <v>0</v>
      </c>
      <c r="G37" s="25">
        <f>IF(A37="","",IFERROR(INDEX('Recipe Ingredients'!$N$5:$N$1204,MATCH(ScaleRecipe&amp;"#"&amp;1,'Recipe Ingredients'!$Z$5:$Z$1204,0))*ScaleFactor,""))</f>
        <v>0</v>
      </c>
      <c r="H37" s="46">
        <f>IFERROR(INDEX('Recipe Ingredients'!$I$5:$I$1204,MATCH(ScaleRecipe&amp;"#"&amp;1,'Recipe Ingredients'!$Z$5:$Z$1204,0)),"")</f>
        <v>0</v>
      </c>
    </row>
    <row r="38" spans="1:8">
      <c r="A38" s="17">
        <f>IFERROR(INDEX('Recipe Ingredients'!$D$5:$D$1204,MATCH(ScaleRecipe&amp;"#"&amp;2,'Recipe Ingredients'!$Z$5:$Z$1204,0)),"")</f>
        <v>0</v>
      </c>
      <c r="B38" s="45">
        <f>IFERROR(INDEX('Recipe Ingredients'!$E$5:$E$1204,MATCH(ScaleRecipe&amp;"#"&amp;2,'Recipe Ingredients'!$Z$5:$Z$1204,0)),"")</f>
        <v>0</v>
      </c>
      <c r="C38" s="17">
        <f>IFERROR(INDEX('Recipe Ingredients'!$F$5:$F$1204,MATCH(ScaleRecipe&amp;"#"&amp;2,'Recipe Ingredients'!$Z$5:$Z$1204,0)),"")</f>
        <v>0</v>
      </c>
      <c r="D38" s="45">
        <f>IF(B38="","",IFERROR(ROUND(B38*ScaleFactor,2),""))</f>
        <v>0</v>
      </c>
      <c r="E38" s="17">
        <f>IF(A38="","",IFERROR(ROUND(INDEX('Recipe Ingredients'!$J$5:$J$1204,MATCH(ScaleRecipe&amp;"#"&amp;2,'Recipe Ingredients'!$Z$5:$Z$1204,0))*ScaleFactor,0)&amp;" "&amp;INDEX('Recipe Ingredients'!$K$5:$K$1204,MATCH(ScaleRecipe&amp;"#"&amp;2,'Recipe Ingredients'!$Z$5:$Z$1204,0)),""))</f>
        <v>0</v>
      </c>
      <c r="F38" s="17">
        <f>IFERROR(INDEX('Recipe Ingredients'!$G$5:$G$1204,MATCH(ScaleRecipe&amp;"#"&amp;2,'Recipe Ingredients'!$Z$5:$Z$1204,0)),"")</f>
        <v>0</v>
      </c>
      <c r="G38" s="25">
        <f>IF(A38="","",IFERROR(INDEX('Recipe Ingredients'!$N$5:$N$1204,MATCH(ScaleRecipe&amp;"#"&amp;2,'Recipe Ingredients'!$Z$5:$Z$1204,0))*ScaleFactor,""))</f>
        <v>0</v>
      </c>
      <c r="H38" s="46">
        <f>IFERROR(INDEX('Recipe Ingredients'!$I$5:$I$1204,MATCH(ScaleRecipe&amp;"#"&amp;2,'Recipe Ingredients'!$Z$5:$Z$1204,0)),"")</f>
        <v>0</v>
      </c>
    </row>
    <row r="39" spans="1:8">
      <c r="A39" s="17">
        <f>IFERROR(INDEX('Recipe Ingredients'!$D$5:$D$1204,MATCH(ScaleRecipe&amp;"#"&amp;3,'Recipe Ingredients'!$Z$5:$Z$1204,0)),"")</f>
        <v>0</v>
      </c>
      <c r="B39" s="45">
        <f>IFERROR(INDEX('Recipe Ingredients'!$E$5:$E$1204,MATCH(ScaleRecipe&amp;"#"&amp;3,'Recipe Ingredients'!$Z$5:$Z$1204,0)),"")</f>
        <v>0</v>
      </c>
      <c r="C39" s="17">
        <f>IFERROR(INDEX('Recipe Ingredients'!$F$5:$F$1204,MATCH(ScaleRecipe&amp;"#"&amp;3,'Recipe Ingredients'!$Z$5:$Z$1204,0)),"")</f>
        <v>0</v>
      </c>
      <c r="D39" s="45">
        <f>IF(B39="","",IFERROR(ROUND(B39*ScaleFactor,2),""))</f>
        <v>0</v>
      </c>
      <c r="E39" s="17">
        <f>IF(A39="","",IFERROR(ROUND(INDEX('Recipe Ingredients'!$J$5:$J$1204,MATCH(ScaleRecipe&amp;"#"&amp;3,'Recipe Ingredients'!$Z$5:$Z$1204,0))*ScaleFactor,0)&amp;" "&amp;INDEX('Recipe Ingredients'!$K$5:$K$1204,MATCH(ScaleRecipe&amp;"#"&amp;3,'Recipe Ingredients'!$Z$5:$Z$1204,0)),""))</f>
        <v>0</v>
      </c>
      <c r="F39" s="17">
        <f>IFERROR(INDEX('Recipe Ingredients'!$G$5:$G$1204,MATCH(ScaleRecipe&amp;"#"&amp;3,'Recipe Ingredients'!$Z$5:$Z$1204,0)),"")</f>
        <v>0</v>
      </c>
      <c r="G39" s="25">
        <f>IF(A39="","",IFERROR(INDEX('Recipe Ingredients'!$N$5:$N$1204,MATCH(ScaleRecipe&amp;"#"&amp;3,'Recipe Ingredients'!$Z$5:$Z$1204,0))*ScaleFactor,""))</f>
        <v>0</v>
      </c>
      <c r="H39" s="46">
        <f>IFERROR(INDEX('Recipe Ingredients'!$I$5:$I$1204,MATCH(ScaleRecipe&amp;"#"&amp;3,'Recipe Ingredients'!$Z$5:$Z$1204,0)),"")</f>
        <v>0</v>
      </c>
    </row>
    <row r="40" spans="1:8">
      <c r="A40" s="17">
        <f>IFERROR(INDEX('Recipe Ingredients'!$D$5:$D$1204,MATCH(ScaleRecipe&amp;"#"&amp;4,'Recipe Ingredients'!$Z$5:$Z$1204,0)),"")</f>
        <v>0</v>
      </c>
      <c r="B40" s="45">
        <f>IFERROR(INDEX('Recipe Ingredients'!$E$5:$E$1204,MATCH(ScaleRecipe&amp;"#"&amp;4,'Recipe Ingredients'!$Z$5:$Z$1204,0)),"")</f>
        <v>0</v>
      </c>
      <c r="C40" s="17">
        <f>IFERROR(INDEX('Recipe Ingredients'!$F$5:$F$1204,MATCH(ScaleRecipe&amp;"#"&amp;4,'Recipe Ingredients'!$Z$5:$Z$1204,0)),"")</f>
        <v>0</v>
      </c>
      <c r="D40" s="45">
        <f>IF(B40="","",IFERROR(ROUND(B40*ScaleFactor,2),""))</f>
        <v>0</v>
      </c>
      <c r="E40" s="17">
        <f>IF(A40="","",IFERROR(ROUND(INDEX('Recipe Ingredients'!$J$5:$J$1204,MATCH(ScaleRecipe&amp;"#"&amp;4,'Recipe Ingredients'!$Z$5:$Z$1204,0))*ScaleFactor,0)&amp;" "&amp;INDEX('Recipe Ingredients'!$K$5:$K$1204,MATCH(ScaleRecipe&amp;"#"&amp;4,'Recipe Ingredients'!$Z$5:$Z$1204,0)),""))</f>
        <v>0</v>
      </c>
      <c r="F40" s="17">
        <f>IFERROR(INDEX('Recipe Ingredients'!$G$5:$G$1204,MATCH(ScaleRecipe&amp;"#"&amp;4,'Recipe Ingredients'!$Z$5:$Z$1204,0)),"")</f>
        <v>0</v>
      </c>
      <c r="G40" s="25">
        <f>IF(A40="","",IFERROR(INDEX('Recipe Ingredients'!$N$5:$N$1204,MATCH(ScaleRecipe&amp;"#"&amp;4,'Recipe Ingredients'!$Z$5:$Z$1204,0))*ScaleFactor,""))</f>
        <v>0</v>
      </c>
      <c r="H40" s="46">
        <f>IFERROR(INDEX('Recipe Ingredients'!$I$5:$I$1204,MATCH(ScaleRecipe&amp;"#"&amp;4,'Recipe Ingredients'!$Z$5:$Z$1204,0)),"")</f>
        <v>0</v>
      </c>
    </row>
    <row r="41" spans="1:8">
      <c r="A41" s="17">
        <f>IFERROR(INDEX('Recipe Ingredients'!$D$5:$D$1204,MATCH(ScaleRecipe&amp;"#"&amp;5,'Recipe Ingredients'!$Z$5:$Z$1204,0)),"")</f>
        <v>0</v>
      </c>
      <c r="B41" s="45">
        <f>IFERROR(INDEX('Recipe Ingredients'!$E$5:$E$1204,MATCH(ScaleRecipe&amp;"#"&amp;5,'Recipe Ingredients'!$Z$5:$Z$1204,0)),"")</f>
        <v>0</v>
      </c>
      <c r="C41" s="17">
        <f>IFERROR(INDEX('Recipe Ingredients'!$F$5:$F$1204,MATCH(ScaleRecipe&amp;"#"&amp;5,'Recipe Ingredients'!$Z$5:$Z$1204,0)),"")</f>
        <v>0</v>
      </c>
      <c r="D41" s="45">
        <f>IF(B41="","",IFERROR(ROUND(B41*ScaleFactor,2),""))</f>
        <v>0</v>
      </c>
      <c r="E41" s="17">
        <f>IF(A41="","",IFERROR(ROUND(INDEX('Recipe Ingredients'!$J$5:$J$1204,MATCH(ScaleRecipe&amp;"#"&amp;5,'Recipe Ingredients'!$Z$5:$Z$1204,0))*ScaleFactor,0)&amp;" "&amp;INDEX('Recipe Ingredients'!$K$5:$K$1204,MATCH(ScaleRecipe&amp;"#"&amp;5,'Recipe Ingredients'!$Z$5:$Z$1204,0)),""))</f>
        <v>0</v>
      </c>
      <c r="F41" s="17">
        <f>IFERROR(INDEX('Recipe Ingredients'!$G$5:$G$1204,MATCH(ScaleRecipe&amp;"#"&amp;5,'Recipe Ingredients'!$Z$5:$Z$1204,0)),"")</f>
        <v>0</v>
      </c>
      <c r="G41" s="25">
        <f>IF(A41="","",IFERROR(INDEX('Recipe Ingredients'!$N$5:$N$1204,MATCH(ScaleRecipe&amp;"#"&amp;5,'Recipe Ingredients'!$Z$5:$Z$1204,0))*ScaleFactor,""))</f>
        <v>0</v>
      </c>
      <c r="H41" s="46">
        <f>IFERROR(INDEX('Recipe Ingredients'!$I$5:$I$1204,MATCH(ScaleRecipe&amp;"#"&amp;5,'Recipe Ingredients'!$Z$5:$Z$1204,0)),"")</f>
        <v>0</v>
      </c>
    </row>
    <row r="42" spans="1:8">
      <c r="A42" s="17">
        <f>IFERROR(INDEX('Recipe Ingredients'!$D$5:$D$1204,MATCH(ScaleRecipe&amp;"#"&amp;6,'Recipe Ingredients'!$Z$5:$Z$1204,0)),"")</f>
        <v>0</v>
      </c>
      <c r="B42" s="45">
        <f>IFERROR(INDEX('Recipe Ingredients'!$E$5:$E$1204,MATCH(ScaleRecipe&amp;"#"&amp;6,'Recipe Ingredients'!$Z$5:$Z$1204,0)),"")</f>
        <v>0</v>
      </c>
      <c r="C42" s="17">
        <f>IFERROR(INDEX('Recipe Ingredients'!$F$5:$F$1204,MATCH(ScaleRecipe&amp;"#"&amp;6,'Recipe Ingredients'!$Z$5:$Z$1204,0)),"")</f>
        <v>0</v>
      </c>
      <c r="D42" s="45">
        <f>IF(B42="","",IFERROR(ROUND(B42*ScaleFactor,2),""))</f>
        <v>0</v>
      </c>
      <c r="E42" s="17">
        <f>IF(A42="","",IFERROR(ROUND(INDEX('Recipe Ingredients'!$J$5:$J$1204,MATCH(ScaleRecipe&amp;"#"&amp;6,'Recipe Ingredients'!$Z$5:$Z$1204,0))*ScaleFactor,0)&amp;" "&amp;INDEX('Recipe Ingredients'!$K$5:$K$1204,MATCH(ScaleRecipe&amp;"#"&amp;6,'Recipe Ingredients'!$Z$5:$Z$1204,0)),""))</f>
        <v>0</v>
      </c>
      <c r="F42" s="17">
        <f>IFERROR(INDEX('Recipe Ingredients'!$G$5:$G$1204,MATCH(ScaleRecipe&amp;"#"&amp;6,'Recipe Ingredients'!$Z$5:$Z$1204,0)),"")</f>
        <v>0</v>
      </c>
      <c r="G42" s="25">
        <f>IF(A42="","",IFERROR(INDEX('Recipe Ingredients'!$N$5:$N$1204,MATCH(ScaleRecipe&amp;"#"&amp;6,'Recipe Ingredients'!$Z$5:$Z$1204,0))*ScaleFactor,""))</f>
        <v>0</v>
      </c>
      <c r="H42" s="46">
        <f>IFERROR(INDEX('Recipe Ingredients'!$I$5:$I$1204,MATCH(ScaleRecipe&amp;"#"&amp;6,'Recipe Ingredients'!$Z$5:$Z$1204,0)),"")</f>
        <v>0</v>
      </c>
    </row>
    <row r="43" spans="1:8">
      <c r="A43" s="17">
        <f>IFERROR(INDEX('Recipe Ingredients'!$D$5:$D$1204,MATCH(ScaleRecipe&amp;"#"&amp;7,'Recipe Ingredients'!$Z$5:$Z$1204,0)),"")</f>
        <v>0</v>
      </c>
      <c r="B43" s="45">
        <f>IFERROR(INDEX('Recipe Ingredients'!$E$5:$E$1204,MATCH(ScaleRecipe&amp;"#"&amp;7,'Recipe Ingredients'!$Z$5:$Z$1204,0)),"")</f>
        <v>0</v>
      </c>
      <c r="C43" s="17">
        <f>IFERROR(INDEX('Recipe Ingredients'!$F$5:$F$1204,MATCH(ScaleRecipe&amp;"#"&amp;7,'Recipe Ingredients'!$Z$5:$Z$1204,0)),"")</f>
        <v>0</v>
      </c>
      <c r="D43" s="45">
        <f>IF(B43="","",IFERROR(ROUND(B43*ScaleFactor,2),""))</f>
        <v>0</v>
      </c>
      <c r="E43" s="17">
        <f>IF(A43="","",IFERROR(ROUND(INDEX('Recipe Ingredients'!$J$5:$J$1204,MATCH(ScaleRecipe&amp;"#"&amp;7,'Recipe Ingredients'!$Z$5:$Z$1204,0))*ScaleFactor,0)&amp;" "&amp;INDEX('Recipe Ingredients'!$K$5:$K$1204,MATCH(ScaleRecipe&amp;"#"&amp;7,'Recipe Ingredients'!$Z$5:$Z$1204,0)),""))</f>
        <v>0</v>
      </c>
      <c r="F43" s="17">
        <f>IFERROR(INDEX('Recipe Ingredients'!$G$5:$G$1204,MATCH(ScaleRecipe&amp;"#"&amp;7,'Recipe Ingredients'!$Z$5:$Z$1204,0)),"")</f>
        <v>0</v>
      </c>
      <c r="G43" s="25">
        <f>IF(A43="","",IFERROR(INDEX('Recipe Ingredients'!$N$5:$N$1204,MATCH(ScaleRecipe&amp;"#"&amp;7,'Recipe Ingredients'!$Z$5:$Z$1204,0))*ScaleFactor,""))</f>
        <v>0</v>
      </c>
      <c r="H43" s="46">
        <f>IFERROR(INDEX('Recipe Ingredients'!$I$5:$I$1204,MATCH(ScaleRecipe&amp;"#"&amp;7,'Recipe Ingredients'!$Z$5:$Z$1204,0)),"")</f>
        <v>0</v>
      </c>
    </row>
    <row r="44" spans="1:8">
      <c r="A44" s="17">
        <f>IFERROR(INDEX('Recipe Ingredients'!$D$5:$D$1204,MATCH(ScaleRecipe&amp;"#"&amp;8,'Recipe Ingredients'!$Z$5:$Z$1204,0)),"")</f>
        <v>0</v>
      </c>
      <c r="B44" s="45">
        <f>IFERROR(INDEX('Recipe Ingredients'!$E$5:$E$1204,MATCH(ScaleRecipe&amp;"#"&amp;8,'Recipe Ingredients'!$Z$5:$Z$1204,0)),"")</f>
        <v>0</v>
      </c>
      <c r="C44" s="17">
        <f>IFERROR(INDEX('Recipe Ingredients'!$F$5:$F$1204,MATCH(ScaleRecipe&amp;"#"&amp;8,'Recipe Ingredients'!$Z$5:$Z$1204,0)),"")</f>
        <v>0</v>
      </c>
      <c r="D44" s="45">
        <f>IF(B44="","",IFERROR(ROUND(B44*ScaleFactor,2),""))</f>
        <v>0</v>
      </c>
      <c r="E44" s="17">
        <f>IF(A44="","",IFERROR(ROUND(INDEX('Recipe Ingredients'!$J$5:$J$1204,MATCH(ScaleRecipe&amp;"#"&amp;8,'Recipe Ingredients'!$Z$5:$Z$1204,0))*ScaleFactor,0)&amp;" "&amp;INDEX('Recipe Ingredients'!$K$5:$K$1204,MATCH(ScaleRecipe&amp;"#"&amp;8,'Recipe Ingredients'!$Z$5:$Z$1204,0)),""))</f>
        <v>0</v>
      </c>
      <c r="F44" s="17">
        <f>IFERROR(INDEX('Recipe Ingredients'!$G$5:$G$1204,MATCH(ScaleRecipe&amp;"#"&amp;8,'Recipe Ingredients'!$Z$5:$Z$1204,0)),"")</f>
        <v>0</v>
      </c>
      <c r="G44" s="25">
        <f>IF(A44="","",IFERROR(INDEX('Recipe Ingredients'!$N$5:$N$1204,MATCH(ScaleRecipe&amp;"#"&amp;8,'Recipe Ingredients'!$Z$5:$Z$1204,0))*ScaleFactor,""))</f>
        <v>0</v>
      </c>
      <c r="H44" s="46">
        <f>IFERROR(INDEX('Recipe Ingredients'!$I$5:$I$1204,MATCH(ScaleRecipe&amp;"#"&amp;8,'Recipe Ingredients'!$Z$5:$Z$1204,0)),"")</f>
        <v>0</v>
      </c>
    </row>
    <row r="45" spans="1:8">
      <c r="A45" s="17">
        <f>IFERROR(INDEX('Recipe Ingredients'!$D$5:$D$1204,MATCH(ScaleRecipe&amp;"#"&amp;9,'Recipe Ingredients'!$Z$5:$Z$1204,0)),"")</f>
        <v>0</v>
      </c>
      <c r="B45" s="45">
        <f>IFERROR(INDEX('Recipe Ingredients'!$E$5:$E$1204,MATCH(ScaleRecipe&amp;"#"&amp;9,'Recipe Ingredients'!$Z$5:$Z$1204,0)),"")</f>
        <v>0</v>
      </c>
      <c r="C45" s="17">
        <f>IFERROR(INDEX('Recipe Ingredients'!$F$5:$F$1204,MATCH(ScaleRecipe&amp;"#"&amp;9,'Recipe Ingredients'!$Z$5:$Z$1204,0)),"")</f>
        <v>0</v>
      </c>
      <c r="D45" s="45">
        <f>IF(B45="","",IFERROR(ROUND(B45*ScaleFactor,2),""))</f>
        <v>0</v>
      </c>
      <c r="E45" s="17">
        <f>IF(A45="","",IFERROR(ROUND(INDEX('Recipe Ingredients'!$J$5:$J$1204,MATCH(ScaleRecipe&amp;"#"&amp;9,'Recipe Ingredients'!$Z$5:$Z$1204,0))*ScaleFactor,0)&amp;" "&amp;INDEX('Recipe Ingredients'!$K$5:$K$1204,MATCH(ScaleRecipe&amp;"#"&amp;9,'Recipe Ingredients'!$Z$5:$Z$1204,0)),""))</f>
        <v>0</v>
      </c>
      <c r="F45" s="17">
        <f>IFERROR(INDEX('Recipe Ingredients'!$G$5:$G$1204,MATCH(ScaleRecipe&amp;"#"&amp;9,'Recipe Ingredients'!$Z$5:$Z$1204,0)),"")</f>
        <v>0</v>
      </c>
      <c r="G45" s="25">
        <f>IF(A45="","",IFERROR(INDEX('Recipe Ingredients'!$N$5:$N$1204,MATCH(ScaleRecipe&amp;"#"&amp;9,'Recipe Ingredients'!$Z$5:$Z$1204,0))*ScaleFactor,""))</f>
        <v>0</v>
      </c>
      <c r="H45" s="46">
        <f>IFERROR(INDEX('Recipe Ingredients'!$I$5:$I$1204,MATCH(ScaleRecipe&amp;"#"&amp;9,'Recipe Ingredients'!$Z$5:$Z$1204,0)),"")</f>
        <v>0</v>
      </c>
    </row>
    <row r="46" spans="1:8">
      <c r="A46" s="17">
        <f>IFERROR(INDEX('Recipe Ingredients'!$D$5:$D$1204,MATCH(ScaleRecipe&amp;"#"&amp;10,'Recipe Ingredients'!$Z$5:$Z$1204,0)),"")</f>
        <v>0</v>
      </c>
      <c r="B46" s="45">
        <f>IFERROR(INDEX('Recipe Ingredients'!$E$5:$E$1204,MATCH(ScaleRecipe&amp;"#"&amp;10,'Recipe Ingredients'!$Z$5:$Z$1204,0)),"")</f>
        <v>0</v>
      </c>
      <c r="C46" s="17">
        <f>IFERROR(INDEX('Recipe Ingredients'!$F$5:$F$1204,MATCH(ScaleRecipe&amp;"#"&amp;10,'Recipe Ingredients'!$Z$5:$Z$1204,0)),"")</f>
        <v>0</v>
      </c>
      <c r="D46" s="45">
        <f>IF(B46="","",IFERROR(ROUND(B46*ScaleFactor,2),""))</f>
        <v>0</v>
      </c>
      <c r="E46" s="17">
        <f>IF(A46="","",IFERROR(ROUND(INDEX('Recipe Ingredients'!$J$5:$J$1204,MATCH(ScaleRecipe&amp;"#"&amp;10,'Recipe Ingredients'!$Z$5:$Z$1204,0))*ScaleFactor,0)&amp;" "&amp;INDEX('Recipe Ingredients'!$K$5:$K$1204,MATCH(ScaleRecipe&amp;"#"&amp;10,'Recipe Ingredients'!$Z$5:$Z$1204,0)),""))</f>
        <v>0</v>
      </c>
      <c r="F46" s="17">
        <f>IFERROR(INDEX('Recipe Ingredients'!$G$5:$G$1204,MATCH(ScaleRecipe&amp;"#"&amp;10,'Recipe Ingredients'!$Z$5:$Z$1204,0)),"")</f>
        <v>0</v>
      </c>
      <c r="G46" s="25">
        <f>IF(A46="","",IFERROR(INDEX('Recipe Ingredients'!$N$5:$N$1204,MATCH(ScaleRecipe&amp;"#"&amp;10,'Recipe Ingredients'!$Z$5:$Z$1204,0))*ScaleFactor,""))</f>
        <v>0</v>
      </c>
      <c r="H46" s="46">
        <f>IFERROR(INDEX('Recipe Ingredients'!$I$5:$I$1204,MATCH(ScaleRecipe&amp;"#"&amp;10,'Recipe Ingredients'!$Z$5:$Z$1204,0)),"")</f>
        <v>0</v>
      </c>
    </row>
    <row r="47" spans="1:8">
      <c r="A47" s="17">
        <f>IFERROR(INDEX('Recipe Ingredients'!$D$5:$D$1204,MATCH(ScaleRecipe&amp;"#"&amp;11,'Recipe Ingredients'!$Z$5:$Z$1204,0)),"")</f>
        <v>0</v>
      </c>
      <c r="B47" s="45">
        <f>IFERROR(INDEX('Recipe Ingredients'!$E$5:$E$1204,MATCH(ScaleRecipe&amp;"#"&amp;11,'Recipe Ingredients'!$Z$5:$Z$1204,0)),"")</f>
        <v>0</v>
      </c>
      <c r="C47" s="17">
        <f>IFERROR(INDEX('Recipe Ingredients'!$F$5:$F$1204,MATCH(ScaleRecipe&amp;"#"&amp;11,'Recipe Ingredients'!$Z$5:$Z$1204,0)),"")</f>
        <v>0</v>
      </c>
      <c r="D47" s="45">
        <f>IF(B47="","",IFERROR(ROUND(B47*ScaleFactor,2),""))</f>
        <v>0</v>
      </c>
      <c r="E47" s="17">
        <f>IF(A47="","",IFERROR(ROUND(INDEX('Recipe Ingredients'!$J$5:$J$1204,MATCH(ScaleRecipe&amp;"#"&amp;11,'Recipe Ingredients'!$Z$5:$Z$1204,0))*ScaleFactor,0)&amp;" "&amp;INDEX('Recipe Ingredients'!$K$5:$K$1204,MATCH(ScaleRecipe&amp;"#"&amp;11,'Recipe Ingredients'!$Z$5:$Z$1204,0)),""))</f>
        <v>0</v>
      </c>
      <c r="F47" s="17">
        <f>IFERROR(INDEX('Recipe Ingredients'!$G$5:$G$1204,MATCH(ScaleRecipe&amp;"#"&amp;11,'Recipe Ingredients'!$Z$5:$Z$1204,0)),"")</f>
        <v>0</v>
      </c>
      <c r="G47" s="25">
        <f>IF(A47="","",IFERROR(INDEX('Recipe Ingredients'!$N$5:$N$1204,MATCH(ScaleRecipe&amp;"#"&amp;11,'Recipe Ingredients'!$Z$5:$Z$1204,0))*ScaleFactor,""))</f>
        <v>0</v>
      </c>
      <c r="H47" s="46">
        <f>IFERROR(INDEX('Recipe Ingredients'!$I$5:$I$1204,MATCH(ScaleRecipe&amp;"#"&amp;11,'Recipe Ingredients'!$Z$5:$Z$1204,0)),"")</f>
        <v>0</v>
      </c>
    </row>
    <row r="48" spans="1:8">
      <c r="A48" s="17">
        <f>IFERROR(INDEX('Recipe Ingredients'!$D$5:$D$1204,MATCH(ScaleRecipe&amp;"#"&amp;12,'Recipe Ingredients'!$Z$5:$Z$1204,0)),"")</f>
        <v>0</v>
      </c>
      <c r="B48" s="45">
        <f>IFERROR(INDEX('Recipe Ingredients'!$E$5:$E$1204,MATCH(ScaleRecipe&amp;"#"&amp;12,'Recipe Ingredients'!$Z$5:$Z$1204,0)),"")</f>
        <v>0</v>
      </c>
      <c r="C48" s="17">
        <f>IFERROR(INDEX('Recipe Ingredients'!$F$5:$F$1204,MATCH(ScaleRecipe&amp;"#"&amp;12,'Recipe Ingredients'!$Z$5:$Z$1204,0)),"")</f>
        <v>0</v>
      </c>
      <c r="D48" s="45">
        <f>IF(B48="","",IFERROR(ROUND(B48*ScaleFactor,2),""))</f>
        <v>0</v>
      </c>
      <c r="E48" s="17">
        <f>IF(A48="","",IFERROR(ROUND(INDEX('Recipe Ingredients'!$J$5:$J$1204,MATCH(ScaleRecipe&amp;"#"&amp;12,'Recipe Ingredients'!$Z$5:$Z$1204,0))*ScaleFactor,0)&amp;" "&amp;INDEX('Recipe Ingredients'!$K$5:$K$1204,MATCH(ScaleRecipe&amp;"#"&amp;12,'Recipe Ingredients'!$Z$5:$Z$1204,0)),""))</f>
        <v>0</v>
      </c>
      <c r="F48" s="17">
        <f>IFERROR(INDEX('Recipe Ingredients'!$G$5:$G$1204,MATCH(ScaleRecipe&amp;"#"&amp;12,'Recipe Ingredients'!$Z$5:$Z$1204,0)),"")</f>
        <v>0</v>
      </c>
      <c r="G48" s="25">
        <f>IF(A48="","",IFERROR(INDEX('Recipe Ingredients'!$N$5:$N$1204,MATCH(ScaleRecipe&amp;"#"&amp;12,'Recipe Ingredients'!$Z$5:$Z$1204,0))*ScaleFactor,""))</f>
        <v>0</v>
      </c>
      <c r="H48" s="46">
        <f>IFERROR(INDEX('Recipe Ingredients'!$I$5:$I$1204,MATCH(ScaleRecipe&amp;"#"&amp;12,'Recipe Ingredients'!$Z$5:$Z$1204,0)),"")</f>
        <v>0</v>
      </c>
    </row>
    <row r="49" spans="1:10">
      <c r="A49" s="17">
        <f>IFERROR(INDEX('Recipe Ingredients'!$D$5:$D$1204,MATCH(ScaleRecipe&amp;"#"&amp;13,'Recipe Ingredients'!$Z$5:$Z$1204,0)),"")</f>
        <v>0</v>
      </c>
      <c r="B49" s="45">
        <f>IFERROR(INDEX('Recipe Ingredients'!$E$5:$E$1204,MATCH(ScaleRecipe&amp;"#"&amp;13,'Recipe Ingredients'!$Z$5:$Z$1204,0)),"")</f>
        <v>0</v>
      </c>
      <c r="C49" s="17">
        <f>IFERROR(INDEX('Recipe Ingredients'!$F$5:$F$1204,MATCH(ScaleRecipe&amp;"#"&amp;13,'Recipe Ingredients'!$Z$5:$Z$1204,0)),"")</f>
        <v>0</v>
      </c>
      <c r="D49" s="45">
        <f>IF(B49="","",IFERROR(ROUND(B49*ScaleFactor,2),""))</f>
        <v>0</v>
      </c>
      <c r="E49" s="17">
        <f>IF(A49="","",IFERROR(ROUND(INDEX('Recipe Ingredients'!$J$5:$J$1204,MATCH(ScaleRecipe&amp;"#"&amp;13,'Recipe Ingredients'!$Z$5:$Z$1204,0))*ScaleFactor,0)&amp;" "&amp;INDEX('Recipe Ingredients'!$K$5:$K$1204,MATCH(ScaleRecipe&amp;"#"&amp;13,'Recipe Ingredients'!$Z$5:$Z$1204,0)),""))</f>
        <v>0</v>
      </c>
      <c r="F49" s="17">
        <f>IFERROR(INDEX('Recipe Ingredients'!$G$5:$G$1204,MATCH(ScaleRecipe&amp;"#"&amp;13,'Recipe Ingredients'!$Z$5:$Z$1204,0)),"")</f>
        <v>0</v>
      </c>
      <c r="G49" s="25">
        <f>IF(A49="","",IFERROR(INDEX('Recipe Ingredients'!$N$5:$N$1204,MATCH(ScaleRecipe&amp;"#"&amp;13,'Recipe Ingredients'!$Z$5:$Z$1204,0))*ScaleFactor,""))</f>
        <v>0</v>
      </c>
      <c r="H49" s="46">
        <f>IFERROR(INDEX('Recipe Ingredients'!$I$5:$I$1204,MATCH(ScaleRecipe&amp;"#"&amp;13,'Recipe Ingredients'!$Z$5:$Z$1204,0)),"")</f>
        <v>0</v>
      </c>
    </row>
    <row r="50" spans="1:10">
      <c r="A50" s="17">
        <f>IFERROR(INDEX('Recipe Ingredients'!$D$5:$D$1204,MATCH(ScaleRecipe&amp;"#"&amp;14,'Recipe Ingredients'!$Z$5:$Z$1204,0)),"")</f>
        <v>0</v>
      </c>
      <c r="B50" s="45">
        <f>IFERROR(INDEX('Recipe Ingredients'!$E$5:$E$1204,MATCH(ScaleRecipe&amp;"#"&amp;14,'Recipe Ingredients'!$Z$5:$Z$1204,0)),"")</f>
        <v>0</v>
      </c>
      <c r="C50" s="17">
        <f>IFERROR(INDEX('Recipe Ingredients'!$F$5:$F$1204,MATCH(ScaleRecipe&amp;"#"&amp;14,'Recipe Ingredients'!$Z$5:$Z$1204,0)),"")</f>
        <v>0</v>
      </c>
      <c r="D50" s="45">
        <f>IF(B50="","",IFERROR(ROUND(B50*ScaleFactor,2),""))</f>
        <v>0</v>
      </c>
      <c r="E50" s="17">
        <f>IF(A50="","",IFERROR(ROUND(INDEX('Recipe Ingredients'!$J$5:$J$1204,MATCH(ScaleRecipe&amp;"#"&amp;14,'Recipe Ingredients'!$Z$5:$Z$1204,0))*ScaleFactor,0)&amp;" "&amp;INDEX('Recipe Ingredients'!$K$5:$K$1204,MATCH(ScaleRecipe&amp;"#"&amp;14,'Recipe Ingredients'!$Z$5:$Z$1204,0)),""))</f>
        <v>0</v>
      </c>
      <c r="F50" s="17">
        <f>IFERROR(INDEX('Recipe Ingredients'!$G$5:$G$1204,MATCH(ScaleRecipe&amp;"#"&amp;14,'Recipe Ingredients'!$Z$5:$Z$1204,0)),"")</f>
        <v>0</v>
      </c>
      <c r="G50" s="25">
        <f>IF(A50="","",IFERROR(INDEX('Recipe Ingredients'!$N$5:$N$1204,MATCH(ScaleRecipe&amp;"#"&amp;14,'Recipe Ingredients'!$Z$5:$Z$1204,0))*ScaleFactor,""))</f>
        <v>0</v>
      </c>
      <c r="H50" s="46">
        <f>IFERROR(INDEX('Recipe Ingredients'!$I$5:$I$1204,MATCH(ScaleRecipe&amp;"#"&amp;14,'Recipe Ingredients'!$Z$5:$Z$1204,0)),"")</f>
        <v>0</v>
      </c>
    </row>
    <row r="51" spans="1:10">
      <c r="A51" s="17">
        <f>IFERROR(INDEX('Recipe Ingredients'!$D$5:$D$1204,MATCH(ScaleRecipe&amp;"#"&amp;15,'Recipe Ingredients'!$Z$5:$Z$1204,0)),"")</f>
        <v>0</v>
      </c>
      <c r="B51" s="45">
        <f>IFERROR(INDEX('Recipe Ingredients'!$E$5:$E$1204,MATCH(ScaleRecipe&amp;"#"&amp;15,'Recipe Ingredients'!$Z$5:$Z$1204,0)),"")</f>
        <v>0</v>
      </c>
      <c r="C51" s="17">
        <f>IFERROR(INDEX('Recipe Ingredients'!$F$5:$F$1204,MATCH(ScaleRecipe&amp;"#"&amp;15,'Recipe Ingredients'!$Z$5:$Z$1204,0)),"")</f>
        <v>0</v>
      </c>
      <c r="D51" s="45">
        <f>IF(B51="","",IFERROR(ROUND(B51*ScaleFactor,2),""))</f>
        <v>0</v>
      </c>
      <c r="E51" s="17">
        <f>IF(A51="","",IFERROR(ROUND(INDEX('Recipe Ingredients'!$J$5:$J$1204,MATCH(ScaleRecipe&amp;"#"&amp;15,'Recipe Ingredients'!$Z$5:$Z$1204,0))*ScaleFactor,0)&amp;" "&amp;INDEX('Recipe Ingredients'!$K$5:$K$1204,MATCH(ScaleRecipe&amp;"#"&amp;15,'Recipe Ingredients'!$Z$5:$Z$1204,0)),""))</f>
        <v>0</v>
      </c>
      <c r="F51" s="17">
        <f>IFERROR(INDEX('Recipe Ingredients'!$G$5:$G$1204,MATCH(ScaleRecipe&amp;"#"&amp;15,'Recipe Ingredients'!$Z$5:$Z$1204,0)),"")</f>
        <v>0</v>
      </c>
      <c r="G51" s="25">
        <f>IF(A51="","",IFERROR(INDEX('Recipe Ingredients'!$N$5:$N$1204,MATCH(ScaleRecipe&amp;"#"&amp;15,'Recipe Ingredients'!$Z$5:$Z$1204,0))*ScaleFactor,""))</f>
        <v>0</v>
      </c>
      <c r="H51" s="46">
        <f>IFERROR(INDEX('Recipe Ingredients'!$I$5:$I$1204,MATCH(ScaleRecipe&amp;"#"&amp;15,'Recipe Ingredients'!$Z$5:$Z$1204,0)),"")</f>
        <v>0</v>
      </c>
    </row>
    <row r="52" spans="1:10">
      <c r="A52" s="17">
        <f>IFERROR(INDEX('Recipe Ingredients'!$D$5:$D$1204,MATCH(ScaleRecipe&amp;"#"&amp;16,'Recipe Ingredients'!$Z$5:$Z$1204,0)),"")</f>
        <v>0</v>
      </c>
      <c r="B52" s="45">
        <f>IFERROR(INDEX('Recipe Ingredients'!$E$5:$E$1204,MATCH(ScaleRecipe&amp;"#"&amp;16,'Recipe Ingredients'!$Z$5:$Z$1204,0)),"")</f>
        <v>0</v>
      </c>
      <c r="C52" s="17">
        <f>IFERROR(INDEX('Recipe Ingredients'!$F$5:$F$1204,MATCH(ScaleRecipe&amp;"#"&amp;16,'Recipe Ingredients'!$Z$5:$Z$1204,0)),"")</f>
        <v>0</v>
      </c>
      <c r="D52" s="45">
        <f>IF(B52="","",IFERROR(ROUND(B52*ScaleFactor,2),""))</f>
        <v>0</v>
      </c>
      <c r="E52" s="17">
        <f>IF(A52="","",IFERROR(ROUND(INDEX('Recipe Ingredients'!$J$5:$J$1204,MATCH(ScaleRecipe&amp;"#"&amp;16,'Recipe Ingredients'!$Z$5:$Z$1204,0))*ScaleFactor,0)&amp;" "&amp;INDEX('Recipe Ingredients'!$K$5:$K$1204,MATCH(ScaleRecipe&amp;"#"&amp;16,'Recipe Ingredients'!$Z$5:$Z$1204,0)),""))</f>
        <v>0</v>
      </c>
      <c r="F52" s="17">
        <f>IFERROR(INDEX('Recipe Ingredients'!$G$5:$G$1204,MATCH(ScaleRecipe&amp;"#"&amp;16,'Recipe Ingredients'!$Z$5:$Z$1204,0)),"")</f>
        <v>0</v>
      </c>
      <c r="G52" s="25">
        <f>IF(A52="","",IFERROR(INDEX('Recipe Ingredients'!$N$5:$N$1204,MATCH(ScaleRecipe&amp;"#"&amp;16,'Recipe Ingredients'!$Z$5:$Z$1204,0))*ScaleFactor,""))</f>
        <v>0</v>
      </c>
      <c r="H52" s="46">
        <f>IFERROR(INDEX('Recipe Ingredients'!$I$5:$I$1204,MATCH(ScaleRecipe&amp;"#"&amp;16,'Recipe Ingredients'!$Z$5:$Z$1204,0)),"")</f>
        <v>0</v>
      </c>
    </row>
    <row r="53" spans="1:10">
      <c r="A53" s="17">
        <f>IFERROR(INDEX('Recipe Ingredients'!$D$5:$D$1204,MATCH(ScaleRecipe&amp;"#"&amp;17,'Recipe Ingredients'!$Z$5:$Z$1204,0)),"")</f>
        <v>0</v>
      </c>
      <c r="B53" s="45">
        <f>IFERROR(INDEX('Recipe Ingredients'!$E$5:$E$1204,MATCH(ScaleRecipe&amp;"#"&amp;17,'Recipe Ingredients'!$Z$5:$Z$1204,0)),"")</f>
        <v>0</v>
      </c>
      <c r="C53" s="17">
        <f>IFERROR(INDEX('Recipe Ingredients'!$F$5:$F$1204,MATCH(ScaleRecipe&amp;"#"&amp;17,'Recipe Ingredients'!$Z$5:$Z$1204,0)),"")</f>
        <v>0</v>
      </c>
      <c r="D53" s="45">
        <f>IF(B53="","",IFERROR(ROUND(B53*ScaleFactor,2),""))</f>
        <v>0</v>
      </c>
      <c r="E53" s="17">
        <f>IF(A53="","",IFERROR(ROUND(INDEX('Recipe Ingredients'!$J$5:$J$1204,MATCH(ScaleRecipe&amp;"#"&amp;17,'Recipe Ingredients'!$Z$5:$Z$1204,0))*ScaleFactor,0)&amp;" "&amp;INDEX('Recipe Ingredients'!$K$5:$K$1204,MATCH(ScaleRecipe&amp;"#"&amp;17,'Recipe Ingredients'!$Z$5:$Z$1204,0)),""))</f>
        <v>0</v>
      </c>
      <c r="F53" s="17">
        <f>IFERROR(INDEX('Recipe Ingredients'!$G$5:$G$1204,MATCH(ScaleRecipe&amp;"#"&amp;17,'Recipe Ingredients'!$Z$5:$Z$1204,0)),"")</f>
        <v>0</v>
      </c>
      <c r="G53" s="25">
        <f>IF(A53="","",IFERROR(INDEX('Recipe Ingredients'!$N$5:$N$1204,MATCH(ScaleRecipe&amp;"#"&amp;17,'Recipe Ingredients'!$Z$5:$Z$1204,0))*ScaleFactor,""))</f>
        <v>0</v>
      </c>
      <c r="H53" s="46">
        <f>IFERROR(INDEX('Recipe Ingredients'!$I$5:$I$1204,MATCH(ScaleRecipe&amp;"#"&amp;17,'Recipe Ingredients'!$Z$5:$Z$1204,0)),"")</f>
        <v>0</v>
      </c>
    </row>
    <row r="54" spans="1:10">
      <c r="A54" s="17">
        <f>IFERROR(INDEX('Recipe Ingredients'!$D$5:$D$1204,MATCH(ScaleRecipe&amp;"#"&amp;18,'Recipe Ingredients'!$Z$5:$Z$1204,0)),"")</f>
        <v>0</v>
      </c>
      <c r="B54" s="45">
        <f>IFERROR(INDEX('Recipe Ingredients'!$E$5:$E$1204,MATCH(ScaleRecipe&amp;"#"&amp;18,'Recipe Ingredients'!$Z$5:$Z$1204,0)),"")</f>
        <v>0</v>
      </c>
      <c r="C54" s="17">
        <f>IFERROR(INDEX('Recipe Ingredients'!$F$5:$F$1204,MATCH(ScaleRecipe&amp;"#"&amp;18,'Recipe Ingredients'!$Z$5:$Z$1204,0)),"")</f>
        <v>0</v>
      </c>
      <c r="D54" s="45">
        <f>IF(B54="","",IFERROR(ROUND(B54*ScaleFactor,2),""))</f>
        <v>0</v>
      </c>
      <c r="E54" s="17">
        <f>IF(A54="","",IFERROR(ROUND(INDEX('Recipe Ingredients'!$J$5:$J$1204,MATCH(ScaleRecipe&amp;"#"&amp;18,'Recipe Ingredients'!$Z$5:$Z$1204,0))*ScaleFactor,0)&amp;" "&amp;INDEX('Recipe Ingredients'!$K$5:$K$1204,MATCH(ScaleRecipe&amp;"#"&amp;18,'Recipe Ingredients'!$Z$5:$Z$1204,0)),""))</f>
        <v>0</v>
      </c>
      <c r="F54" s="17">
        <f>IFERROR(INDEX('Recipe Ingredients'!$G$5:$G$1204,MATCH(ScaleRecipe&amp;"#"&amp;18,'Recipe Ingredients'!$Z$5:$Z$1204,0)),"")</f>
        <v>0</v>
      </c>
      <c r="G54" s="25">
        <f>IF(A54="","",IFERROR(INDEX('Recipe Ingredients'!$N$5:$N$1204,MATCH(ScaleRecipe&amp;"#"&amp;18,'Recipe Ingredients'!$Z$5:$Z$1204,0))*ScaleFactor,""))</f>
        <v>0</v>
      </c>
      <c r="H54" s="46">
        <f>IFERROR(INDEX('Recipe Ingredients'!$I$5:$I$1204,MATCH(ScaleRecipe&amp;"#"&amp;18,'Recipe Ingredients'!$Z$5:$Z$1204,0)),"")</f>
        <v>0</v>
      </c>
    </row>
    <row r="55" spans="1:10">
      <c r="A55" s="48" t="s">
        <v>1390</v>
      </c>
      <c r="B55" s="48"/>
      <c r="C55" s="48"/>
      <c r="G55" s="26">
        <f>SUM(G37:G54)</f>
        <v>0</v>
      </c>
      <c r="H55" s="49">
        <f>IFERROR("That is "&amp;TEXT(ScalePeople,"0")&amp;" servings at "&amp;TEXT(SUM(G37:G54)/MAX(1,ScalePeople),"0.00")&amp;" each","")</f>
        <v>0</v>
      </c>
      <c r="I55" s="49"/>
      <c r="J55" s="49"/>
    </row>
    <row r="57" spans="1:10" ht="46" customHeight="1">
      <c r="A57" s="6" t="s">
        <v>1391</v>
      </c>
      <c r="B57" s="6"/>
      <c r="C57" s="6"/>
      <c r="D57" s="6"/>
      <c r="E57" s="6"/>
      <c r="F57" s="6"/>
      <c r="G57" s="6"/>
      <c r="H57" s="6"/>
      <c r="I57" s="6"/>
      <c r="J57" s="6"/>
    </row>
  </sheetData>
  <sheetProtection password="EC7C" sheet="1" objects="1" scenarios="1" formatCells="0" formatColumns="0" formatRows="0" insertRows="0" insertHyperlinks="0" deleteRows="0" autoFilter="0"/>
  <mergeCells count="21">
    <mergeCell ref="A1:G1"/>
    <mergeCell ref="H1:J1"/>
    <mergeCell ref="A2:J2"/>
    <mergeCell ref="A3:B3"/>
    <mergeCell ref="C3:D3"/>
    <mergeCell ref="E3:F3"/>
    <mergeCell ref="G3:H3"/>
    <mergeCell ref="I3:J3"/>
    <mergeCell ref="A5:J5"/>
    <mergeCell ref="A6:J6"/>
    <mergeCell ref="A19:J19"/>
    <mergeCell ref="A30:J30"/>
    <mergeCell ref="A31:J31"/>
    <mergeCell ref="B32:C32"/>
    <mergeCell ref="E32:H32"/>
    <mergeCell ref="B33:C33"/>
    <mergeCell ref="E33:H33"/>
    <mergeCell ref="B34:C34"/>
    <mergeCell ref="A55:C55"/>
    <mergeCell ref="H55:J55"/>
    <mergeCell ref="A57:J57"/>
  </mergeCells>
  <conditionalFormatting sqref="D8:D17">
    <cfRule type="containsText" dxfId="0" priority="1" operator="containsText" text="Cannot">
      <formula>NOT(ISERROR(SEARCH("Cannot",D8)))</formula>
    </cfRule>
  </conditionalFormatting>
  <dataValidations count="22">
    <dataValidation type="list" allowBlank="1" showInputMessage="1" showErrorMessage="1" sqref="B8">
      <formula1>UnitList</formula1>
    </dataValidation>
    <dataValidation type="list" allowBlank="1" showInputMessage="1" showErrorMessage="1" sqref="C8">
      <formula1>UnitList</formula1>
    </dataValidation>
    <dataValidation type="list" allowBlank="1" showInputMessage="1" showErrorMessage="1" sqref="B9">
      <formula1>UnitList</formula1>
    </dataValidation>
    <dataValidation type="list" allowBlank="1" showInputMessage="1" showErrorMessage="1" sqref="C9">
      <formula1>UnitList</formula1>
    </dataValidation>
    <dataValidation type="list" allowBlank="1" showInputMessage="1" showErrorMessage="1" sqref="B10">
      <formula1>UnitList</formula1>
    </dataValidation>
    <dataValidation type="list" allowBlank="1" showInputMessage="1" showErrorMessage="1" sqref="C10">
      <formula1>UnitList</formula1>
    </dataValidation>
    <dataValidation type="list" allowBlank="1" showInputMessage="1" showErrorMessage="1" sqref="B11">
      <formula1>UnitList</formula1>
    </dataValidation>
    <dataValidation type="list" allowBlank="1" showInputMessage="1" showErrorMessage="1" sqref="C11">
      <formula1>UnitList</formula1>
    </dataValidation>
    <dataValidation type="list" allowBlank="1" showInputMessage="1" showErrorMessage="1" sqref="B12">
      <formula1>UnitList</formula1>
    </dataValidation>
    <dataValidation type="list" allowBlank="1" showInputMessage="1" showErrorMessage="1" sqref="C12">
      <formula1>UnitList</formula1>
    </dataValidation>
    <dataValidation type="list" allowBlank="1" showInputMessage="1" showErrorMessage="1" sqref="B13">
      <formula1>UnitList</formula1>
    </dataValidation>
    <dataValidation type="list" allowBlank="1" showInputMessage="1" showErrorMessage="1" sqref="C13">
      <formula1>UnitList</formula1>
    </dataValidation>
    <dataValidation type="list" allowBlank="1" showInputMessage="1" showErrorMessage="1" sqref="B14">
      <formula1>UnitList</formula1>
    </dataValidation>
    <dataValidation type="list" allowBlank="1" showInputMessage="1" showErrorMessage="1" sqref="C14">
      <formula1>UnitList</formula1>
    </dataValidation>
    <dataValidation type="list" allowBlank="1" showInputMessage="1" showErrorMessage="1" sqref="B15">
      <formula1>UnitList</formula1>
    </dataValidation>
    <dataValidation type="list" allowBlank="1" showInputMessage="1" showErrorMessage="1" sqref="C15">
      <formula1>UnitList</formula1>
    </dataValidation>
    <dataValidation type="list" allowBlank="1" showInputMessage="1" showErrorMessage="1" sqref="B16">
      <formula1>UnitList</formula1>
    </dataValidation>
    <dataValidation type="list" allowBlank="1" showInputMessage="1" showErrorMessage="1" sqref="C16">
      <formula1>UnitList</formula1>
    </dataValidation>
    <dataValidation type="list" allowBlank="1" showInputMessage="1" showErrorMessage="1" sqref="B17">
      <formula1>UnitList</formula1>
    </dataValidation>
    <dataValidation type="list" allowBlank="1" showInputMessage="1" showErrorMessage="1" sqref="C17">
      <formula1>UnitList</formula1>
    </dataValidation>
    <dataValidation type="list" allowBlank="1" showInputMessage="1" showErrorMessage="1" sqref="D32">
      <formula1>RecipeIDs</formula1>
    </dataValidation>
    <dataValidation type="whole" allowBlank="1" showInputMessage="1" showErrorMessage="1" errorTitle="Check the value" error="Enter a number between 1 and 200." sqref="D33">
      <formula1>1</formula1>
      <formula2>200</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&amp;L&amp;"Calibri,Bold"&amp;12&amp;C&amp;"Calibri,Bold"&amp;11Converter&amp;R&amp;"Calibri,Italic"&amp;9Automated Meal Planner &amp; Grocery List Spreadsheet</oddHeader>
    <oddFooter>&amp;L&amp;"Calibri,Italic"&amp;8Novality Store - v1.0.0&amp;C&amp;"Calibri,Italic"&amp;8Page &amp;P of &amp;N&amp;R&amp;"Calibri,Italic"&amp;8&amp;D</oddFooter>
  </headerFooter>
</worksheet>
</file>

<file path=xl/worksheets/sheet23.xml><?xml version="1.0" encoding="utf-8"?>
<worksheet xmlns="http://schemas.openxmlformats.org/spreadsheetml/2006/main" xmlns:r="http://schemas.openxmlformats.org/officeDocument/2006/relationships">
  <sheetPr>
    <tabColor rgb="FFE2EFE6"/>
    <pageSetUpPr fitToPage="1"/>
  </sheetPr>
  <dimension ref="A1:I68"/>
  <sheetViews>
    <sheetView showGridLines="0" workbookViewId="0">
      <pane ySplit="4" topLeftCell="A5" activePane="bottomLeft" state="frozen"/>
      <selection pane="bottomLeft"/>
    </sheetView>
  </sheetViews>
  <sheetFormatPr defaultRowHeight="15"/>
  <cols>
    <col min="1" max="1" width="6.7109375" customWidth="1"/>
    <col min="2" max="2" width="3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 max="1" width="5.7109375" customWidth="1"/>
    <col min="2" max="2" width="30.7109375" customWidth="1"/>
    <col min="3" max="3" width="15.7109375" customWidth="1"/>
    <col min="4" max="4" width="14.7109375" customWidth="1"/>
    <col min="5" max="5" width="12.7109375" customWidth="1"/>
    <col min="6" max="6" width="10.7109375" customWidth="1"/>
    <col min="7" max="7" width="15.7109375" customWidth="1"/>
    <col min="8" max="8" width="11.7109375" customWidth="1"/>
    <col min="1" max="1" width="5.7109375" customWidth="1"/>
    <col min="2" max="2" width="30.7109375" customWidth="1"/>
    <col min="3" max="3" width="15.7109375" customWidth="1"/>
    <col min="4" max="4" width="14.7109375" customWidth="1"/>
    <col min="5" max="5" width="10.7109375" customWidth="1"/>
    <col min="6" max="6" width="15.7109375" customWidth="1"/>
    <col min="7" max="7" width="14.7109375" customWidth="1"/>
    <col min="1" max="1" width="16.7109375" customWidth="1"/>
    <col min="2" max="2" width="10.7109375" customWidth="1"/>
    <col min="3" max="3" width="14.7109375" customWidth="1"/>
    <col min="4" max="4" width="14.7109375" customWidth="1"/>
    <col min="5" max="5" width="3.7109375" customWidth="1"/>
    <col min="6" max="6" width="16.7109375" customWidth="1"/>
    <col min="7" max="7" width="10.7109375" customWidth="1"/>
    <col min="8" max="8" width="14.7109375" customWidth="1"/>
    <col min="1" max="1" width="30.7109375" customWidth="1"/>
    <col min="2" max="2" width="13.7109375" customWidth="1"/>
    <col min="3" max="3" width="14.7109375" customWidth="1"/>
    <col min="4" max="4" width="10.7109375" customWidth="1"/>
    <col min="5" max="5" width="30.7109375" customWidth="1"/>
  </cols>
  <sheetData>
    <row r="1" spans="1:9" ht="34" customHeight="1">
      <c r="A1" s="2" t="s">
        <v>1392</v>
      </c>
      <c r="B1" s="2"/>
      <c r="C1" s="2"/>
      <c r="D1" s="2"/>
      <c r="E1" s="2"/>
      <c r="F1" s="2"/>
      <c r="G1" s="3" t="s">
        <v>1</v>
      </c>
      <c r="H1" s="3"/>
      <c r="I1" s="3"/>
    </row>
    <row r="2" spans="1:9" ht="18" customHeight="1">
      <c r="A2" s="4" t="s">
        <v>1393</v>
      </c>
      <c r="B2" s="4"/>
      <c r="C2" s="4"/>
      <c r="D2" s="4"/>
      <c r="E2" s="4"/>
      <c r="F2" s="4"/>
      <c r="G2" s="4"/>
      <c r="H2" s="4"/>
      <c r="I2" s="4"/>
    </row>
    <row r="3" spans="1:9" ht="16" customHeight="1">
      <c r="A3" s="5" t="s">
        <v>3</v>
      </c>
      <c r="B3" s="5"/>
      <c r="C3" s="5" t="s">
        <v>4</v>
      </c>
      <c r="D3" s="5"/>
      <c r="E3" s="5" t="s">
        <v>5</v>
      </c>
      <c r="F3" s="5"/>
      <c r="G3" s="5" t="s">
        <v>6</v>
      </c>
      <c r="H3" s="5"/>
      <c r="I3" s="28" t="s">
        <v>157</v>
      </c>
    </row>
    <row r="5" spans="1:9">
      <c r="A5" s="10" t="s">
        <v>153</v>
      </c>
      <c r="B5" s="10"/>
      <c r="C5" s="10" t="s">
        <v>1395</v>
      </c>
      <c r="D5" s="10"/>
      <c r="E5" s="10" t="s">
        <v>1397</v>
      </c>
      <c r="F5" s="10"/>
      <c r="G5" s="10" t="s">
        <v>1399</v>
      </c>
      <c r="H5" s="10"/>
    </row>
    <row r="6" spans="1:9" ht="26" customHeight="1">
      <c r="A6" s="20">
        <f>COUNTIF(Recipes!$B$5:$B$204,"&lt;&gt;")</f>
        <v>0</v>
      </c>
      <c r="B6" s="20"/>
      <c r="C6" s="20">
        <f>SUMPRODUCT((COUNTIFS('Meal Plan'!$G$5:$G$504,Recipes!$A$5:$A$204,'Meal Plan'!$B$5:$B$504,"&gt;="&amp;TODAY()-30,'Meal Plan'!$B$5:$B$504,"&lt;="&amp;TODAY())&gt;0)*(Recipes!$B$5:$B$204&lt;&gt;""))</f>
        <v>0</v>
      </c>
      <c r="D6" s="20"/>
      <c r="E6" s="20">
        <f>COUNTIFS(Recipes!$B$5:$B$204,"&lt;&gt;",Recipes!$AZ$5:$AZ$204,0)</f>
        <v>0</v>
      </c>
      <c r="F6" s="20"/>
      <c r="G6" s="55">
        <f>IFERROR(SUMPRODUCT((COUNTIFS('Meal Plan'!$G$5:$G$504,Recipes!$A$5:$A$204,'Meal Plan'!$B$5:$B$504,"&gt;="&amp;TODAY()-30,'Meal Plan'!$B$5:$B$504,"&lt;="&amp;TODAY())&gt;0)*(Recipes!$B$5:$B$204&lt;&gt;""))/MAX(1,COUNTIFS('Meal Plan'!$B$5:$B$504,"&gt;="&amp;TODAY()-30,'Meal Plan'!$B$5:$B$504,"&lt;="&amp;TODAY(),'Meal Plan'!$G$5:$G$504,"&lt;&gt;")),"")</f>
        <v>0</v>
      </c>
      <c r="H6" s="55"/>
    </row>
    <row r="7" spans="1:9">
      <c r="A7" s="22" t="s">
        <v>1394</v>
      </c>
      <c r="B7" s="22"/>
      <c r="C7" s="22" t="s">
        <v>1396</v>
      </c>
      <c r="D7" s="22"/>
      <c r="E7" s="22" t="s">
        <v>1398</v>
      </c>
      <c r="F7" s="22"/>
      <c r="G7" s="22" t="s">
        <v>1400</v>
      </c>
      <c r="H7" s="22"/>
    </row>
    <row r="9" spans="1:9" ht="30" customHeight="1">
      <c r="A9" s="6" t="s">
        <v>1401</v>
      </c>
      <c r="B9" s="6"/>
      <c r="C9" s="6"/>
      <c r="D9" s="6"/>
      <c r="E9" s="6"/>
      <c r="F9" s="6"/>
      <c r="G9" s="6"/>
      <c r="H9" s="6"/>
      <c r="I9" s="6"/>
    </row>
    <row r="10" spans="1:9" ht="20" customHeight="1">
      <c r="A10" s="7" t="s">
        <v>1402</v>
      </c>
      <c r="B10" s="7"/>
      <c r="C10" s="7"/>
      <c r="D10" s="7"/>
      <c r="E10" s="7"/>
      <c r="F10" s="7"/>
      <c r="G10" s="7"/>
      <c r="H10" s="7"/>
      <c r="I10" s="7"/>
    </row>
    <row r="11" spans="1:9" ht="26" customHeight="1">
      <c r="A11" s="8" t="s">
        <v>1057</v>
      </c>
      <c r="B11" s="9" t="s">
        <v>762</v>
      </c>
      <c r="C11" s="9" t="s">
        <v>763</v>
      </c>
      <c r="D11" s="9" t="s">
        <v>808</v>
      </c>
      <c r="E11" s="9" t="s">
        <v>1403</v>
      </c>
      <c r="F11" s="9" t="s">
        <v>577</v>
      </c>
      <c r="G11" s="9" t="s">
        <v>879</v>
      </c>
      <c r="H11" s="9" t="s">
        <v>1322</v>
      </c>
    </row>
    <row r="12" spans="1:9">
      <c r="A12" s="13">
        <v>1</v>
      </c>
      <c r="B12" s="17">
        <f>IFERROR(INDEX(Recipes!$B$5:$B$204,MATCH(1,Recipes!$AR$5:$AR$204,0)),"")</f>
        <v>0</v>
      </c>
      <c r="C12" s="17">
        <f>IFERROR(INDEX(Recipes!$C$5:$C$204,MATCH(1,Recipes!$AR$5:$AR$204,0)),"")</f>
        <v>0</v>
      </c>
      <c r="D12" s="19">
        <f>IFERROR(INDEX(Recipes!$BB$5:$BB$204,MATCH(1,Recipes!$AR$5:$AR$204,0)),"")</f>
        <v>0</v>
      </c>
      <c r="E12" s="18">
        <f>IFERROR(IF(INDEX(Recipes!$BB$5:$BB$204,MATCH(1,Recipes!$AR$5:$AR$204,0))="","Never",TODAY()-INDEX(Recipes!$BB$5:$BB$204,MATCH(1,Recipes!$AR$5:$AR$204,0))),"")</f>
        <v>0</v>
      </c>
      <c r="F12" s="46">
        <f>IFERROR(INDEX(Recipes!$AW$5:$AW$204,MATCH(1,Recipes!$AR$5:$AR$204,0)),"")</f>
        <v>0</v>
      </c>
      <c r="G12" s="25">
        <f>IFERROR(INDEX(Recipes!$AD$5:$AD$204,MATCH(1,Recipes!$AR$5:$AR$204,0)),"")</f>
        <v>0</v>
      </c>
      <c r="H12" s="18">
        <f>IFERROR(INDEX(Recipes!$J$5:$J$204,MATCH(1,Recipes!$AR$5:$AR$204,0)),"")</f>
        <v>0</v>
      </c>
    </row>
    <row r="13" spans="1:9">
      <c r="A13" s="13">
        <v>2</v>
      </c>
      <c r="B13" s="17">
        <f>IFERROR(INDEX(Recipes!$B$5:$B$204,MATCH(2,Recipes!$AR$5:$AR$204,0)),"")</f>
        <v>0</v>
      </c>
      <c r="C13" s="17">
        <f>IFERROR(INDEX(Recipes!$C$5:$C$204,MATCH(2,Recipes!$AR$5:$AR$204,0)),"")</f>
        <v>0</v>
      </c>
      <c r="D13" s="19">
        <f>IFERROR(INDEX(Recipes!$BB$5:$BB$204,MATCH(2,Recipes!$AR$5:$AR$204,0)),"")</f>
        <v>0</v>
      </c>
      <c r="E13" s="18">
        <f>IFERROR(IF(INDEX(Recipes!$BB$5:$BB$204,MATCH(2,Recipes!$AR$5:$AR$204,0))="","Never",TODAY()-INDEX(Recipes!$BB$5:$BB$204,MATCH(2,Recipes!$AR$5:$AR$204,0))),"")</f>
        <v>0</v>
      </c>
      <c r="F13" s="46">
        <f>IFERROR(INDEX(Recipes!$AW$5:$AW$204,MATCH(2,Recipes!$AR$5:$AR$204,0)),"")</f>
        <v>0</v>
      </c>
      <c r="G13" s="25">
        <f>IFERROR(INDEX(Recipes!$AD$5:$AD$204,MATCH(2,Recipes!$AR$5:$AR$204,0)),"")</f>
        <v>0</v>
      </c>
      <c r="H13" s="18">
        <f>IFERROR(INDEX(Recipes!$J$5:$J$204,MATCH(2,Recipes!$AR$5:$AR$204,0)),"")</f>
        <v>0</v>
      </c>
    </row>
    <row r="14" spans="1:9">
      <c r="A14" s="13">
        <v>3</v>
      </c>
      <c r="B14" s="17">
        <f>IFERROR(INDEX(Recipes!$B$5:$B$204,MATCH(3,Recipes!$AR$5:$AR$204,0)),"")</f>
        <v>0</v>
      </c>
      <c r="C14" s="17">
        <f>IFERROR(INDEX(Recipes!$C$5:$C$204,MATCH(3,Recipes!$AR$5:$AR$204,0)),"")</f>
        <v>0</v>
      </c>
      <c r="D14" s="19">
        <f>IFERROR(INDEX(Recipes!$BB$5:$BB$204,MATCH(3,Recipes!$AR$5:$AR$204,0)),"")</f>
        <v>0</v>
      </c>
      <c r="E14" s="18">
        <f>IFERROR(IF(INDEX(Recipes!$BB$5:$BB$204,MATCH(3,Recipes!$AR$5:$AR$204,0))="","Never",TODAY()-INDEX(Recipes!$BB$5:$BB$204,MATCH(3,Recipes!$AR$5:$AR$204,0))),"")</f>
        <v>0</v>
      </c>
      <c r="F14" s="46">
        <f>IFERROR(INDEX(Recipes!$AW$5:$AW$204,MATCH(3,Recipes!$AR$5:$AR$204,0)),"")</f>
        <v>0</v>
      </c>
      <c r="G14" s="25">
        <f>IFERROR(INDEX(Recipes!$AD$5:$AD$204,MATCH(3,Recipes!$AR$5:$AR$204,0)),"")</f>
        <v>0</v>
      </c>
      <c r="H14" s="18">
        <f>IFERROR(INDEX(Recipes!$J$5:$J$204,MATCH(3,Recipes!$AR$5:$AR$204,0)),"")</f>
        <v>0</v>
      </c>
    </row>
    <row r="15" spans="1:9">
      <c r="A15" s="13">
        <v>4</v>
      </c>
      <c r="B15" s="17">
        <f>IFERROR(INDEX(Recipes!$B$5:$B$204,MATCH(4,Recipes!$AR$5:$AR$204,0)),"")</f>
        <v>0</v>
      </c>
      <c r="C15" s="17">
        <f>IFERROR(INDEX(Recipes!$C$5:$C$204,MATCH(4,Recipes!$AR$5:$AR$204,0)),"")</f>
        <v>0</v>
      </c>
      <c r="D15" s="19">
        <f>IFERROR(INDEX(Recipes!$BB$5:$BB$204,MATCH(4,Recipes!$AR$5:$AR$204,0)),"")</f>
        <v>0</v>
      </c>
      <c r="E15" s="18">
        <f>IFERROR(IF(INDEX(Recipes!$BB$5:$BB$204,MATCH(4,Recipes!$AR$5:$AR$204,0))="","Never",TODAY()-INDEX(Recipes!$BB$5:$BB$204,MATCH(4,Recipes!$AR$5:$AR$204,0))),"")</f>
        <v>0</v>
      </c>
      <c r="F15" s="46">
        <f>IFERROR(INDEX(Recipes!$AW$5:$AW$204,MATCH(4,Recipes!$AR$5:$AR$204,0)),"")</f>
        <v>0</v>
      </c>
      <c r="G15" s="25">
        <f>IFERROR(INDEX(Recipes!$AD$5:$AD$204,MATCH(4,Recipes!$AR$5:$AR$204,0)),"")</f>
        <v>0</v>
      </c>
      <c r="H15" s="18">
        <f>IFERROR(INDEX(Recipes!$J$5:$J$204,MATCH(4,Recipes!$AR$5:$AR$204,0)),"")</f>
        <v>0</v>
      </c>
    </row>
    <row r="16" spans="1:9">
      <c r="A16" s="13">
        <v>5</v>
      </c>
      <c r="B16" s="17">
        <f>IFERROR(INDEX(Recipes!$B$5:$B$204,MATCH(5,Recipes!$AR$5:$AR$204,0)),"")</f>
        <v>0</v>
      </c>
      <c r="C16" s="17">
        <f>IFERROR(INDEX(Recipes!$C$5:$C$204,MATCH(5,Recipes!$AR$5:$AR$204,0)),"")</f>
        <v>0</v>
      </c>
      <c r="D16" s="19">
        <f>IFERROR(INDEX(Recipes!$BB$5:$BB$204,MATCH(5,Recipes!$AR$5:$AR$204,0)),"")</f>
        <v>0</v>
      </c>
      <c r="E16" s="18">
        <f>IFERROR(IF(INDEX(Recipes!$BB$5:$BB$204,MATCH(5,Recipes!$AR$5:$AR$204,0))="","Never",TODAY()-INDEX(Recipes!$BB$5:$BB$204,MATCH(5,Recipes!$AR$5:$AR$204,0))),"")</f>
        <v>0</v>
      </c>
      <c r="F16" s="46">
        <f>IFERROR(INDEX(Recipes!$AW$5:$AW$204,MATCH(5,Recipes!$AR$5:$AR$204,0)),"")</f>
        <v>0</v>
      </c>
      <c r="G16" s="25">
        <f>IFERROR(INDEX(Recipes!$AD$5:$AD$204,MATCH(5,Recipes!$AR$5:$AR$204,0)),"")</f>
        <v>0</v>
      </c>
      <c r="H16" s="18">
        <f>IFERROR(INDEX(Recipes!$J$5:$J$204,MATCH(5,Recipes!$AR$5:$AR$204,0)),"")</f>
        <v>0</v>
      </c>
    </row>
    <row r="17" spans="1:8">
      <c r="A17" s="13">
        <v>6</v>
      </c>
      <c r="B17" s="17">
        <f>IFERROR(INDEX(Recipes!$B$5:$B$204,MATCH(6,Recipes!$AR$5:$AR$204,0)),"")</f>
        <v>0</v>
      </c>
      <c r="C17" s="17">
        <f>IFERROR(INDEX(Recipes!$C$5:$C$204,MATCH(6,Recipes!$AR$5:$AR$204,0)),"")</f>
        <v>0</v>
      </c>
      <c r="D17" s="19">
        <f>IFERROR(INDEX(Recipes!$BB$5:$BB$204,MATCH(6,Recipes!$AR$5:$AR$204,0)),"")</f>
        <v>0</v>
      </c>
      <c r="E17" s="18">
        <f>IFERROR(IF(INDEX(Recipes!$BB$5:$BB$204,MATCH(6,Recipes!$AR$5:$AR$204,0))="","Never",TODAY()-INDEX(Recipes!$BB$5:$BB$204,MATCH(6,Recipes!$AR$5:$AR$204,0))),"")</f>
        <v>0</v>
      </c>
      <c r="F17" s="46">
        <f>IFERROR(INDEX(Recipes!$AW$5:$AW$204,MATCH(6,Recipes!$AR$5:$AR$204,0)),"")</f>
        <v>0</v>
      </c>
      <c r="G17" s="25">
        <f>IFERROR(INDEX(Recipes!$AD$5:$AD$204,MATCH(6,Recipes!$AR$5:$AR$204,0)),"")</f>
        <v>0</v>
      </c>
      <c r="H17" s="18">
        <f>IFERROR(INDEX(Recipes!$J$5:$J$204,MATCH(6,Recipes!$AR$5:$AR$204,0)),"")</f>
        <v>0</v>
      </c>
    </row>
    <row r="18" spans="1:8">
      <c r="A18" s="13">
        <v>7</v>
      </c>
      <c r="B18" s="17">
        <f>IFERROR(INDEX(Recipes!$B$5:$B$204,MATCH(7,Recipes!$AR$5:$AR$204,0)),"")</f>
        <v>0</v>
      </c>
      <c r="C18" s="17">
        <f>IFERROR(INDEX(Recipes!$C$5:$C$204,MATCH(7,Recipes!$AR$5:$AR$204,0)),"")</f>
        <v>0</v>
      </c>
      <c r="D18" s="19">
        <f>IFERROR(INDEX(Recipes!$BB$5:$BB$204,MATCH(7,Recipes!$AR$5:$AR$204,0)),"")</f>
        <v>0</v>
      </c>
      <c r="E18" s="18">
        <f>IFERROR(IF(INDEX(Recipes!$BB$5:$BB$204,MATCH(7,Recipes!$AR$5:$AR$204,0))="","Never",TODAY()-INDEX(Recipes!$BB$5:$BB$204,MATCH(7,Recipes!$AR$5:$AR$204,0))),"")</f>
        <v>0</v>
      </c>
      <c r="F18" s="46">
        <f>IFERROR(INDEX(Recipes!$AW$5:$AW$204,MATCH(7,Recipes!$AR$5:$AR$204,0)),"")</f>
        <v>0</v>
      </c>
      <c r="G18" s="25">
        <f>IFERROR(INDEX(Recipes!$AD$5:$AD$204,MATCH(7,Recipes!$AR$5:$AR$204,0)),"")</f>
        <v>0</v>
      </c>
      <c r="H18" s="18">
        <f>IFERROR(INDEX(Recipes!$J$5:$J$204,MATCH(7,Recipes!$AR$5:$AR$204,0)),"")</f>
        <v>0</v>
      </c>
    </row>
    <row r="19" spans="1:8">
      <c r="A19" s="13">
        <v>8</v>
      </c>
      <c r="B19" s="17">
        <f>IFERROR(INDEX(Recipes!$B$5:$B$204,MATCH(8,Recipes!$AR$5:$AR$204,0)),"")</f>
        <v>0</v>
      </c>
      <c r="C19" s="17">
        <f>IFERROR(INDEX(Recipes!$C$5:$C$204,MATCH(8,Recipes!$AR$5:$AR$204,0)),"")</f>
        <v>0</v>
      </c>
      <c r="D19" s="19">
        <f>IFERROR(INDEX(Recipes!$BB$5:$BB$204,MATCH(8,Recipes!$AR$5:$AR$204,0)),"")</f>
        <v>0</v>
      </c>
      <c r="E19" s="18">
        <f>IFERROR(IF(INDEX(Recipes!$BB$5:$BB$204,MATCH(8,Recipes!$AR$5:$AR$204,0))="","Never",TODAY()-INDEX(Recipes!$BB$5:$BB$204,MATCH(8,Recipes!$AR$5:$AR$204,0))),"")</f>
        <v>0</v>
      </c>
      <c r="F19" s="46">
        <f>IFERROR(INDEX(Recipes!$AW$5:$AW$204,MATCH(8,Recipes!$AR$5:$AR$204,0)),"")</f>
        <v>0</v>
      </c>
      <c r="G19" s="25">
        <f>IFERROR(INDEX(Recipes!$AD$5:$AD$204,MATCH(8,Recipes!$AR$5:$AR$204,0)),"")</f>
        <v>0</v>
      </c>
      <c r="H19" s="18">
        <f>IFERROR(INDEX(Recipes!$J$5:$J$204,MATCH(8,Recipes!$AR$5:$AR$204,0)),"")</f>
        <v>0</v>
      </c>
    </row>
    <row r="20" spans="1:8">
      <c r="A20" s="13">
        <v>9</v>
      </c>
      <c r="B20" s="17">
        <f>IFERROR(INDEX(Recipes!$B$5:$B$204,MATCH(9,Recipes!$AR$5:$AR$204,0)),"")</f>
        <v>0</v>
      </c>
      <c r="C20" s="17">
        <f>IFERROR(INDEX(Recipes!$C$5:$C$204,MATCH(9,Recipes!$AR$5:$AR$204,0)),"")</f>
        <v>0</v>
      </c>
      <c r="D20" s="19">
        <f>IFERROR(INDEX(Recipes!$BB$5:$BB$204,MATCH(9,Recipes!$AR$5:$AR$204,0)),"")</f>
        <v>0</v>
      </c>
      <c r="E20" s="18">
        <f>IFERROR(IF(INDEX(Recipes!$BB$5:$BB$204,MATCH(9,Recipes!$AR$5:$AR$204,0))="","Never",TODAY()-INDEX(Recipes!$BB$5:$BB$204,MATCH(9,Recipes!$AR$5:$AR$204,0))),"")</f>
        <v>0</v>
      </c>
      <c r="F20" s="46">
        <f>IFERROR(INDEX(Recipes!$AW$5:$AW$204,MATCH(9,Recipes!$AR$5:$AR$204,0)),"")</f>
        <v>0</v>
      </c>
      <c r="G20" s="25">
        <f>IFERROR(INDEX(Recipes!$AD$5:$AD$204,MATCH(9,Recipes!$AR$5:$AR$204,0)),"")</f>
        <v>0</v>
      </c>
      <c r="H20" s="18">
        <f>IFERROR(INDEX(Recipes!$J$5:$J$204,MATCH(9,Recipes!$AR$5:$AR$204,0)),"")</f>
        <v>0</v>
      </c>
    </row>
    <row r="21" spans="1:8">
      <c r="A21" s="13">
        <v>10</v>
      </c>
      <c r="B21" s="17">
        <f>IFERROR(INDEX(Recipes!$B$5:$B$204,MATCH(10,Recipes!$AR$5:$AR$204,0)),"")</f>
        <v>0</v>
      </c>
      <c r="C21" s="17">
        <f>IFERROR(INDEX(Recipes!$C$5:$C$204,MATCH(10,Recipes!$AR$5:$AR$204,0)),"")</f>
        <v>0</v>
      </c>
      <c r="D21" s="19">
        <f>IFERROR(INDEX(Recipes!$BB$5:$BB$204,MATCH(10,Recipes!$AR$5:$AR$204,0)),"")</f>
        <v>0</v>
      </c>
      <c r="E21" s="18">
        <f>IFERROR(IF(INDEX(Recipes!$BB$5:$BB$204,MATCH(10,Recipes!$AR$5:$AR$204,0))="","Never",TODAY()-INDEX(Recipes!$BB$5:$BB$204,MATCH(10,Recipes!$AR$5:$AR$204,0))),"")</f>
        <v>0</v>
      </c>
      <c r="F21" s="46">
        <f>IFERROR(INDEX(Recipes!$AW$5:$AW$204,MATCH(10,Recipes!$AR$5:$AR$204,0)),"")</f>
        <v>0</v>
      </c>
      <c r="G21" s="25">
        <f>IFERROR(INDEX(Recipes!$AD$5:$AD$204,MATCH(10,Recipes!$AR$5:$AR$204,0)),"")</f>
        <v>0</v>
      </c>
      <c r="H21" s="18">
        <f>IFERROR(INDEX(Recipes!$J$5:$J$204,MATCH(10,Recipes!$AR$5:$AR$204,0)),"")</f>
        <v>0</v>
      </c>
    </row>
    <row r="22" spans="1:8">
      <c r="A22" s="13">
        <v>11</v>
      </c>
      <c r="B22" s="17">
        <f>IFERROR(INDEX(Recipes!$B$5:$B$204,MATCH(11,Recipes!$AR$5:$AR$204,0)),"")</f>
        <v>0</v>
      </c>
      <c r="C22" s="17">
        <f>IFERROR(INDEX(Recipes!$C$5:$C$204,MATCH(11,Recipes!$AR$5:$AR$204,0)),"")</f>
        <v>0</v>
      </c>
      <c r="D22" s="19">
        <f>IFERROR(INDEX(Recipes!$BB$5:$BB$204,MATCH(11,Recipes!$AR$5:$AR$204,0)),"")</f>
        <v>0</v>
      </c>
      <c r="E22" s="18">
        <f>IFERROR(IF(INDEX(Recipes!$BB$5:$BB$204,MATCH(11,Recipes!$AR$5:$AR$204,0))="","Never",TODAY()-INDEX(Recipes!$BB$5:$BB$204,MATCH(11,Recipes!$AR$5:$AR$204,0))),"")</f>
        <v>0</v>
      </c>
      <c r="F22" s="46">
        <f>IFERROR(INDEX(Recipes!$AW$5:$AW$204,MATCH(11,Recipes!$AR$5:$AR$204,0)),"")</f>
        <v>0</v>
      </c>
      <c r="G22" s="25">
        <f>IFERROR(INDEX(Recipes!$AD$5:$AD$204,MATCH(11,Recipes!$AR$5:$AR$204,0)),"")</f>
        <v>0</v>
      </c>
      <c r="H22" s="18">
        <f>IFERROR(INDEX(Recipes!$J$5:$J$204,MATCH(11,Recipes!$AR$5:$AR$204,0)),"")</f>
        <v>0</v>
      </c>
    </row>
    <row r="23" spans="1:8">
      <c r="A23" s="13">
        <v>12</v>
      </c>
      <c r="B23" s="17">
        <f>IFERROR(INDEX(Recipes!$B$5:$B$204,MATCH(12,Recipes!$AR$5:$AR$204,0)),"")</f>
        <v>0</v>
      </c>
      <c r="C23" s="17">
        <f>IFERROR(INDEX(Recipes!$C$5:$C$204,MATCH(12,Recipes!$AR$5:$AR$204,0)),"")</f>
        <v>0</v>
      </c>
      <c r="D23" s="19">
        <f>IFERROR(INDEX(Recipes!$BB$5:$BB$204,MATCH(12,Recipes!$AR$5:$AR$204,0)),"")</f>
        <v>0</v>
      </c>
      <c r="E23" s="18">
        <f>IFERROR(IF(INDEX(Recipes!$BB$5:$BB$204,MATCH(12,Recipes!$AR$5:$AR$204,0))="","Never",TODAY()-INDEX(Recipes!$BB$5:$BB$204,MATCH(12,Recipes!$AR$5:$AR$204,0))),"")</f>
        <v>0</v>
      </c>
      <c r="F23" s="46">
        <f>IFERROR(INDEX(Recipes!$AW$5:$AW$204,MATCH(12,Recipes!$AR$5:$AR$204,0)),"")</f>
        <v>0</v>
      </c>
      <c r="G23" s="25">
        <f>IFERROR(INDEX(Recipes!$AD$5:$AD$204,MATCH(12,Recipes!$AR$5:$AR$204,0)),"")</f>
        <v>0</v>
      </c>
      <c r="H23" s="18">
        <f>IFERROR(INDEX(Recipes!$J$5:$J$204,MATCH(12,Recipes!$AR$5:$AR$204,0)),"")</f>
        <v>0</v>
      </c>
    </row>
    <row r="24" spans="1:8">
      <c r="A24" s="13">
        <v>13</v>
      </c>
      <c r="B24" s="17">
        <f>IFERROR(INDEX(Recipes!$B$5:$B$204,MATCH(13,Recipes!$AR$5:$AR$204,0)),"")</f>
        <v>0</v>
      </c>
      <c r="C24" s="17">
        <f>IFERROR(INDEX(Recipes!$C$5:$C$204,MATCH(13,Recipes!$AR$5:$AR$204,0)),"")</f>
        <v>0</v>
      </c>
      <c r="D24" s="19">
        <f>IFERROR(INDEX(Recipes!$BB$5:$BB$204,MATCH(13,Recipes!$AR$5:$AR$204,0)),"")</f>
        <v>0</v>
      </c>
      <c r="E24" s="18">
        <f>IFERROR(IF(INDEX(Recipes!$BB$5:$BB$204,MATCH(13,Recipes!$AR$5:$AR$204,0))="","Never",TODAY()-INDEX(Recipes!$BB$5:$BB$204,MATCH(13,Recipes!$AR$5:$AR$204,0))),"")</f>
        <v>0</v>
      </c>
      <c r="F24" s="46">
        <f>IFERROR(INDEX(Recipes!$AW$5:$AW$204,MATCH(13,Recipes!$AR$5:$AR$204,0)),"")</f>
        <v>0</v>
      </c>
      <c r="G24" s="25">
        <f>IFERROR(INDEX(Recipes!$AD$5:$AD$204,MATCH(13,Recipes!$AR$5:$AR$204,0)),"")</f>
        <v>0</v>
      </c>
      <c r="H24" s="18">
        <f>IFERROR(INDEX(Recipes!$J$5:$J$204,MATCH(13,Recipes!$AR$5:$AR$204,0)),"")</f>
        <v>0</v>
      </c>
    </row>
    <row r="25" spans="1:8">
      <c r="A25" s="13">
        <v>14</v>
      </c>
      <c r="B25" s="17">
        <f>IFERROR(INDEX(Recipes!$B$5:$B$204,MATCH(14,Recipes!$AR$5:$AR$204,0)),"")</f>
        <v>0</v>
      </c>
      <c r="C25" s="17">
        <f>IFERROR(INDEX(Recipes!$C$5:$C$204,MATCH(14,Recipes!$AR$5:$AR$204,0)),"")</f>
        <v>0</v>
      </c>
      <c r="D25" s="19">
        <f>IFERROR(INDEX(Recipes!$BB$5:$BB$204,MATCH(14,Recipes!$AR$5:$AR$204,0)),"")</f>
        <v>0</v>
      </c>
      <c r="E25" s="18">
        <f>IFERROR(IF(INDEX(Recipes!$BB$5:$BB$204,MATCH(14,Recipes!$AR$5:$AR$204,0))="","Never",TODAY()-INDEX(Recipes!$BB$5:$BB$204,MATCH(14,Recipes!$AR$5:$AR$204,0))),"")</f>
        <v>0</v>
      </c>
      <c r="F25" s="46">
        <f>IFERROR(INDEX(Recipes!$AW$5:$AW$204,MATCH(14,Recipes!$AR$5:$AR$204,0)),"")</f>
        <v>0</v>
      </c>
      <c r="G25" s="25">
        <f>IFERROR(INDEX(Recipes!$AD$5:$AD$204,MATCH(14,Recipes!$AR$5:$AR$204,0)),"")</f>
        <v>0</v>
      </c>
      <c r="H25" s="18">
        <f>IFERROR(INDEX(Recipes!$J$5:$J$204,MATCH(14,Recipes!$AR$5:$AR$204,0)),"")</f>
        <v>0</v>
      </c>
    </row>
    <row r="26" spans="1:8">
      <c r="A26" s="13">
        <v>15</v>
      </c>
      <c r="B26" s="17">
        <f>IFERROR(INDEX(Recipes!$B$5:$B$204,MATCH(15,Recipes!$AR$5:$AR$204,0)),"")</f>
        <v>0</v>
      </c>
      <c r="C26" s="17">
        <f>IFERROR(INDEX(Recipes!$C$5:$C$204,MATCH(15,Recipes!$AR$5:$AR$204,0)),"")</f>
        <v>0</v>
      </c>
      <c r="D26" s="19">
        <f>IFERROR(INDEX(Recipes!$BB$5:$BB$204,MATCH(15,Recipes!$AR$5:$AR$204,0)),"")</f>
        <v>0</v>
      </c>
      <c r="E26" s="18">
        <f>IFERROR(IF(INDEX(Recipes!$BB$5:$BB$204,MATCH(15,Recipes!$AR$5:$AR$204,0))="","Never",TODAY()-INDEX(Recipes!$BB$5:$BB$204,MATCH(15,Recipes!$AR$5:$AR$204,0))),"")</f>
        <v>0</v>
      </c>
      <c r="F26" s="46">
        <f>IFERROR(INDEX(Recipes!$AW$5:$AW$204,MATCH(15,Recipes!$AR$5:$AR$204,0)),"")</f>
        <v>0</v>
      </c>
      <c r="G26" s="25">
        <f>IFERROR(INDEX(Recipes!$AD$5:$AD$204,MATCH(15,Recipes!$AR$5:$AR$204,0)),"")</f>
        <v>0</v>
      </c>
      <c r="H26" s="18">
        <f>IFERROR(INDEX(Recipes!$J$5:$J$204,MATCH(15,Recipes!$AR$5:$AR$204,0)),"")</f>
        <v>0</v>
      </c>
    </row>
    <row r="27" spans="1:8">
      <c r="A27" s="13">
        <v>16</v>
      </c>
      <c r="B27" s="17">
        <f>IFERROR(INDEX(Recipes!$B$5:$B$204,MATCH(16,Recipes!$AR$5:$AR$204,0)),"")</f>
        <v>0</v>
      </c>
      <c r="C27" s="17">
        <f>IFERROR(INDEX(Recipes!$C$5:$C$204,MATCH(16,Recipes!$AR$5:$AR$204,0)),"")</f>
        <v>0</v>
      </c>
      <c r="D27" s="19">
        <f>IFERROR(INDEX(Recipes!$BB$5:$BB$204,MATCH(16,Recipes!$AR$5:$AR$204,0)),"")</f>
        <v>0</v>
      </c>
      <c r="E27" s="18">
        <f>IFERROR(IF(INDEX(Recipes!$BB$5:$BB$204,MATCH(16,Recipes!$AR$5:$AR$204,0))="","Never",TODAY()-INDEX(Recipes!$BB$5:$BB$204,MATCH(16,Recipes!$AR$5:$AR$204,0))),"")</f>
        <v>0</v>
      </c>
      <c r="F27" s="46">
        <f>IFERROR(INDEX(Recipes!$AW$5:$AW$204,MATCH(16,Recipes!$AR$5:$AR$204,0)),"")</f>
        <v>0</v>
      </c>
      <c r="G27" s="25">
        <f>IFERROR(INDEX(Recipes!$AD$5:$AD$204,MATCH(16,Recipes!$AR$5:$AR$204,0)),"")</f>
        <v>0</v>
      </c>
      <c r="H27" s="18">
        <f>IFERROR(INDEX(Recipes!$J$5:$J$204,MATCH(16,Recipes!$AR$5:$AR$204,0)),"")</f>
        <v>0</v>
      </c>
    </row>
    <row r="28" spans="1:8">
      <c r="A28" s="13">
        <v>17</v>
      </c>
      <c r="B28" s="17">
        <f>IFERROR(INDEX(Recipes!$B$5:$B$204,MATCH(17,Recipes!$AR$5:$AR$204,0)),"")</f>
        <v>0</v>
      </c>
      <c r="C28" s="17">
        <f>IFERROR(INDEX(Recipes!$C$5:$C$204,MATCH(17,Recipes!$AR$5:$AR$204,0)),"")</f>
        <v>0</v>
      </c>
      <c r="D28" s="19">
        <f>IFERROR(INDEX(Recipes!$BB$5:$BB$204,MATCH(17,Recipes!$AR$5:$AR$204,0)),"")</f>
        <v>0</v>
      </c>
      <c r="E28" s="18">
        <f>IFERROR(IF(INDEX(Recipes!$BB$5:$BB$204,MATCH(17,Recipes!$AR$5:$AR$204,0))="","Never",TODAY()-INDEX(Recipes!$BB$5:$BB$204,MATCH(17,Recipes!$AR$5:$AR$204,0))),"")</f>
        <v>0</v>
      </c>
      <c r="F28" s="46">
        <f>IFERROR(INDEX(Recipes!$AW$5:$AW$204,MATCH(17,Recipes!$AR$5:$AR$204,0)),"")</f>
        <v>0</v>
      </c>
      <c r="G28" s="25">
        <f>IFERROR(INDEX(Recipes!$AD$5:$AD$204,MATCH(17,Recipes!$AR$5:$AR$204,0)),"")</f>
        <v>0</v>
      </c>
      <c r="H28" s="18">
        <f>IFERROR(INDEX(Recipes!$J$5:$J$204,MATCH(17,Recipes!$AR$5:$AR$204,0)),"")</f>
        <v>0</v>
      </c>
    </row>
    <row r="29" spans="1:8">
      <c r="A29" s="13">
        <v>18</v>
      </c>
      <c r="B29" s="17">
        <f>IFERROR(INDEX(Recipes!$B$5:$B$204,MATCH(18,Recipes!$AR$5:$AR$204,0)),"")</f>
        <v>0</v>
      </c>
      <c r="C29" s="17">
        <f>IFERROR(INDEX(Recipes!$C$5:$C$204,MATCH(18,Recipes!$AR$5:$AR$204,0)),"")</f>
        <v>0</v>
      </c>
      <c r="D29" s="19">
        <f>IFERROR(INDEX(Recipes!$BB$5:$BB$204,MATCH(18,Recipes!$AR$5:$AR$204,0)),"")</f>
        <v>0</v>
      </c>
      <c r="E29" s="18">
        <f>IFERROR(IF(INDEX(Recipes!$BB$5:$BB$204,MATCH(18,Recipes!$AR$5:$AR$204,0))="","Never",TODAY()-INDEX(Recipes!$BB$5:$BB$204,MATCH(18,Recipes!$AR$5:$AR$204,0))),"")</f>
        <v>0</v>
      </c>
      <c r="F29" s="46">
        <f>IFERROR(INDEX(Recipes!$AW$5:$AW$204,MATCH(18,Recipes!$AR$5:$AR$204,0)),"")</f>
        <v>0</v>
      </c>
      <c r="G29" s="25">
        <f>IFERROR(INDEX(Recipes!$AD$5:$AD$204,MATCH(18,Recipes!$AR$5:$AR$204,0)),"")</f>
        <v>0</v>
      </c>
      <c r="H29" s="18">
        <f>IFERROR(INDEX(Recipes!$J$5:$J$204,MATCH(18,Recipes!$AR$5:$AR$204,0)),"")</f>
        <v>0</v>
      </c>
    </row>
    <row r="30" spans="1:8">
      <c r="A30" s="13">
        <v>19</v>
      </c>
      <c r="B30" s="17">
        <f>IFERROR(INDEX(Recipes!$B$5:$B$204,MATCH(19,Recipes!$AR$5:$AR$204,0)),"")</f>
        <v>0</v>
      </c>
      <c r="C30" s="17">
        <f>IFERROR(INDEX(Recipes!$C$5:$C$204,MATCH(19,Recipes!$AR$5:$AR$204,0)),"")</f>
        <v>0</v>
      </c>
      <c r="D30" s="19">
        <f>IFERROR(INDEX(Recipes!$BB$5:$BB$204,MATCH(19,Recipes!$AR$5:$AR$204,0)),"")</f>
        <v>0</v>
      </c>
      <c r="E30" s="18">
        <f>IFERROR(IF(INDEX(Recipes!$BB$5:$BB$204,MATCH(19,Recipes!$AR$5:$AR$204,0))="","Never",TODAY()-INDEX(Recipes!$BB$5:$BB$204,MATCH(19,Recipes!$AR$5:$AR$204,0))),"")</f>
        <v>0</v>
      </c>
      <c r="F30" s="46">
        <f>IFERROR(INDEX(Recipes!$AW$5:$AW$204,MATCH(19,Recipes!$AR$5:$AR$204,0)),"")</f>
        <v>0</v>
      </c>
      <c r="G30" s="25">
        <f>IFERROR(INDEX(Recipes!$AD$5:$AD$204,MATCH(19,Recipes!$AR$5:$AR$204,0)),"")</f>
        <v>0</v>
      </c>
      <c r="H30" s="18">
        <f>IFERROR(INDEX(Recipes!$J$5:$J$204,MATCH(19,Recipes!$AR$5:$AR$204,0)),"")</f>
        <v>0</v>
      </c>
    </row>
    <row r="31" spans="1:8">
      <c r="A31" s="13">
        <v>20</v>
      </c>
      <c r="B31" s="17">
        <f>IFERROR(INDEX(Recipes!$B$5:$B$204,MATCH(20,Recipes!$AR$5:$AR$204,0)),"")</f>
        <v>0</v>
      </c>
      <c r="C31" s="17">
        <f>IFERROR(INDEX(Recipes!$C$5:$C$204,MATCH(20,Recipes!$AR$5:$AR$204,0)),"")</f>
        <v>0</v>
      </c>
      <c r="D31" s="19">
        <f>IFERROR(INDEX(Recipes!$BB$5:$BB$204,MATCH(20,Recipes!$AR$5:$AR$204,0)),"")</f>
        <v>0</v>
      </c>
      <c r="E31" s="18">
        <f>IFERROR(IF(INDEX(Recipes!$BB$5:$BB$204,MATCH(20,Recipes!$AR$5:$AR$204,0))="","Never",TODAY()-INDEX(Recipes!$BB$5:$BB$204,MATCH(20,Recipes!$AR$5:$AR$204,0))),"")</f>
        <v>0</v>
      </c>
      <c r="F31" s="46">
        <f>IFERROR(INDEX(Recipes!$AW$5:$AW$204,MATCH(20,Recipes!$AR$5:$AR$204,0)),"")</f>
        <v>0</v>
      </c>
      <c r="G31" s="25">
        <f>IFERROR(INDEX(Recipes!$AD$5:$AD$204,MATCH(20,Recipes!$AR$5:$AR$204,0)),"")</f>
        <v>0</v>
      </c>
      <c r="H31" s="18">
        <f>IFERROR(INDEX(Recipes!$J$5:$J$204,MATCH(20,Recipes!$AR$5:$AR$204,0)),"")</f>
        <v>0</v>
      </c>
    </row>
    <row r="33" spans="1:9" ht="20" customHeight="1">
      <c r="A33" s="7" t="s">
        <v>1404</v>
      </c>
      <c r="B33" s="7"/>
      <c r="C33" s="7"/>
      <c r="D33" s="7"/>
      <c r="E33" s="7"/>
      <c r="F33" s="7"/>
      <c r="G33" s="7"/>
      <c r="H33" s="7"/>
      <c r="I33" s="7"/>
    </row>
    <row r="34" spans="1:9" ht="26" customHeight="1">
      <c r="A34" s="8" t="s">
        <v>157</v>
      </c>
      <c r="B34" s="9" t="s">
        <v>762</v>
      </c>
      <c r="C34" s="9" t="s">
        <v>806</v>
      </c>
      <c r="D34" s="9" t="s">
        <v>807</v>
      </c>
      <c r="E34" s="9" t="s">
        <v>577</v>
      </c>
      <c r="F34" s="9" t="s">
        <v>879</v>
      </c>
      <c r="G34" s="9" t="s">
        <v>808</v>
      </c>
    </row>
    <row r="35" spans="1:9">
      <c r="A35" s="13">
        <v>1</v>
      </c>
      <c r="B35" s="17">
        <f>IFERROR(IF(INDEX(Recipes!$AZ$5:$AZ$204,MATCH(1,Recipes!$AN$5:$AN$204,0))=0,"",INDEX(Recipes!$B$5:$B$204,MATCH(1,Recipes!$AN$5:$AN$204,0))),"")</f>
        <v>0</v>
      </c>
      <c r="C35" s="18">
        <f>IFERROR(IF(INDEX(Recipes!$AZ$5:$AZ$204,MATCH(1,Recipes!$AN$5:$AN$204,0))=0,"",INDEX(Recipes!$AZ$5:$AZ$204,MATCH(1,Recipes!$AN$5:$AN$204,0))),"")</f>
        <v>0</v>
      </c>
      <c r="D35" s="18">
        <f>IFERROR(IF(INDEX(Recipes!$AZ$5:$AZ$204,MATCH(1,Recipes!$AN$5:$AN$204,0))=0,"",INDEX(Recipes!$BA$5:$BA$204,MATCH(1,Recipes!$AN$5:$AN$204,0))),"")</f>
        <v>0</v>
      </c>
      <c r="E35" s="46">
        <f>IFERROR(IF(INDEX(Recipes!$AZ$5:$AZ$204,MATCH(1,Recipes!$AN$5:$AN$204,0))=0,"",INDEX(Recipes!$AW$5:$AW$204,MATCH(1,Recipes!$AN$5:$AN$204,0))),"")</f>
        <v>0</v>
      </c>
      <c r="F35" s="25">
        <f>IFERROR(IF(INDEX(Recipes!$AZ$5:$AZ$204,MATCH(1,Recipes!$AN$5:$AN$204,0))=0,"",INDEX(Recipes!$AD$5:$AD$204,MATCH(1,Recipes!$AN$5:$AN$204,0))),"")</f>
        <v>0</v>
      </c>
      <c r="G35" s="19">
        <f>IFERROR(IF(INDEX(Recipes!$AZ$5:$AZ$204,MATCH(1,Recipes!$AN$5:$AN$204,0))=0,"",INDEX(Recipes!$BB$5:$BB$204,MATCH(1,Recipes!$AN$5:$AN$204,0))),"")</f>
        <v>0</v>
      </c>
    </row>
    <row r="36" spans="1:9">
      <c r="A36" s="13">
        <v>2</v>
      </c>
      <c r="B36" s="17">
        <f>IFERROR(IF(INDEX(Recipes!$AZ$5:$AZ$204,MATCH(2,Recipes!$AN$5:$AN$204,0))=0,"",INDEX(Recipes!$B$5:$B$204,MATCH(2,Recipes!$AN$5:$AN$204,0))),"")</f>
        <v>0</v>
      </c>
      <c r="C36" s="18">
        <f>IFERROR(IF(INDEX(Recipes!$AZ$5:$AZ$204,MATCH(2,Recipes!$AN$5:$AN$204,0))=0,"",INDEX(Recipes!$AZ$5:$AZ$204,MATCH(2,Recipes!$AN$5:$AN$204,0))),"")</f>
        <v>0</v>
      </c>
      <c r="D36" s="18">
        <f>IFERROR(IF(INDEX(Recipes!$AZ$5:$AZ$204,MATCH(2,Recipes!$AN$5:$AN$204,0))=0,"",INDEX(Recipes!$BA$5:$BA$204,MATCH(2,Recipes!$AN$5:$AN$204,0))),"")</f>
        <v>0</v>
      </c>
      <c r="E36" s="46">
        <f>IFERROR(IF(INDEX(Recipes!$AZ$5:$AZ$204,MATCH(2,Recipes!$AN$5:$AN$204,0))=0,"",INDEX(Recipes!$AW$5:$AW$204,MATCH(2,Recipes!$AN$5:$AN$204,0))),"")</f>
        <v>0</v>
      </c>
      <c r="F36" s="25">
        <f>IFERROR(IF(INDEX(Recipes!$AZ$5:$AZ$204,MATCH(2,Recipes!$AN$5:$AN$204,0))=0,"",INDEX(Recipes!$AD$5:$AD$204,MATCH(2,Recipes!$AN$5:$AN$204,0))),"")</f>
        <v>0</v>
      </c>
      <c r="G36" s="19">
        <f>IFERROR(IF(INDEX(Recipes!$AZ$5:$AZ$204,MATCH(2,Recipes!$AN$5:$AN$204,0))=0,"",INDEX(Recipes!$BB$5:$BB$204,MATCH(2,Recipes!$AN$5:$AN$204,0))),"")</f>
        <v>0</v>
      </c>
    </row>
    <row r="37" spans="1:9">
      <c r="A37" s="13">
        <v>3</v>
      </c>
      <c r="B37" s="17">
        <f>IFERROR(IF(INDEX(Recipes!$AZ$5:$AZ$204,MATCH(3,Recipes!$AN$5:$AN$204,0))=0,"",INDEX(Recipes!$B$5:$B$204,MATCH(3,Recipes!$AN$5:$AN$204,0))),"")</f>
        <v>0</v>
      </c>
      <c r="C37" s="18">
        <f>IFERROR(IF(INDEX(Recipes!$AZ$5:$AZ$204,MATCH(3,Recipes!$AN$5:$AN$204,0))=0,"",INDEX(Recipes!$AZ$5:$AZ$204,MATCH(3,Recipes!$AN$5:$AN$204,0))),"")</f>
        <v>0</v>
      </c>
      <c r="D37" s="18">
        <f>IFERROR(IF(INDEX(Recipes!$AZ$5:$AZ$204,MATCH(3,Recipes!$AN$5:$AN$204,0))=0,"",INDEX(Recipes!$BA$5:$BA$204,MATCH(3,Recipes!$AN$5:$AN$204,0))),"")</f>
        <v>0</v>
      </c>
      <c r="E37" s="46">
        <f>IFERROR(IF(INDEX(Recipes!$AZ$5:$AZ$204,MATCH(3,Recipes!$AN$5:$AN$204,0))=0,"",INDEX(Recipes!$AW$5:$AW$204,MATCH(3,Recipes!$AN$5:$AN$204,0))),"")</f>
        <v>0</v>
      </c>
      <c r="F37" s="25">
        <f>IFERROR(IF(INDEX(Recipes!$AZ$5:$AZ$204,MATCH(3,Recipes!$AN$5:$AN$204,0))=0,"",INDEX(Recipes!$AD$5:$AD$204,MATCH(3,Recipes!$AN$5:$AN$204,0))),"")</f>
        <v>0</v>
      </c>
      <c r="G37" s="19">
        <f>IFERROR(IF(INDEX(Recipes!$AZ$5:$AZ$204,MATCH(3,Recipes!$AN$5:$AN$204,0))=0,"",INDEX(Recipes!$BB$5:$BB$204,MATCH(3,Recipes!$AN$5:$AN$204,0))),"")</f>
        <v>0</v>
      </c>
    </row>
    <row r="38" spans="1:9">
      <c r="A38" s="13">
        <v>4</v>
      </c>
      <c r="B38" s="17">
        <f>IFERROR(IF(INDEX(Recipes!$AZ$5:$AZ$204,MATCH(4,Recipes!$AN$5:$AN$204,0))=0,"",INDEX(Recipes!$B$5:$B$204,MATCH(4,Recipes!$AN$5:$AN$204,0))),"")</f>
        <v>0</v>
      </c>
      <c r="C38" s="18">
        <f>IFERROR(IF(INDEX(Recipes!$AZ$5:$AZ$204,MATCH(4,Recipes!$AN$5:$AN$204,0))=0,"",INDEX(Recipes!$AZ$5:$AZ$204,MATCH(4,Recipes!$AN$5:$AN$204,0))),"")</f>
        <v>0</v>
      </c>
      <c r="D38" s="18">
        <f>IFERROR(IF(INDEX(Recipes!$AZ$5:$AZ$204,MATCH(4,Recipes!$AN$5:$AN$204,0))=0,"",INDEX(Recipes!$BA$5:$BA$204,MATCH(4,Recipes!$AN$5:$AN$204,0))),"")</f>
        <v>0</v>
      </c>
      <c r="E38" s="46">
        <f>IFERROR(IF(INDEX(Recipes!$AZ$5:$AZ$204,MATCH(4,Recipes!$AN$5:$AN$204,0))=0,"",INDEX(Recipes!$AW$5:$AW$204,MATCH(4,Recipes!$AN$5:$AN$204,0))),"")</f>
        <v>0</v>
      </c>
      <c r="F38" s="25">
        <f>IFERROR(IF(INDEX(Recipes!$AZ$5:$AZ$204,MATCH(4,Recipes!$AN$5:$AN$204,0))=0,"",INDEX(Recipes!$AD$5:$AD$204,MATCH(4,Recipes!$AN$5:$AN$204,0))),"")</f>
        <v>0</v>
      </c>
      <c r="G38" s="19">
        <f>IFERROR(IF(INDEX(Recipes!$AZ$5:$AZ$204,MATCH(4,Recipes!$AN$5:$AN$204,0))=0,"",INDEX(Recipes!$BB$5:$BB$204,MATCH(4,Recipes!$AN$5:$AN$204,0))),"")</f>
        <v>0</v>
      </c>
    </row>
    <row r="39" spans="1:9">
      <c r="A39" s="13">
        <v>5</v>
      </c>
      <c r="B39" s="17">
        <f>IFERROR(IF(INDEX(Recipes!$AZ$5:$AZ$204,MATCH(5,Recipes!$AN$5:$AN$204,0))=0,"",INDEX(Recipes!$B$5:$B$204,MATCH(5,Recipes!$AN$5:$AN$204,0))),"")</f>
        <v>0</v>
      </c>
      <c r="C39" s="18">
        <f>IFERROR(IF(INDEX(Recipes!$AZ$5:$AZ$204,MATCH(5,Recipes!$AN$5:$AN$204,0))=0,"",INDEX(Recipes!$AZ$5:$AZ$204,MATCH(5,Recipes!$AN$5:$AN$204,0))),"")</f>
        <v>0</v>
      </c>
      <c r="D39" s="18">
        <f>IFERROR(IF(INDEX(Recipes!$AZ$5:$AZ$204,MATCH(5,Recipes!$AN$5:$AN$204,0))=0,"",INDEX(Recipes!$BA$5:$BA$204,MATCH(5,Recipes!$AN$5:$AN$204,0))),"")</f>
        <v>0</v>
      </c>
      <c r="E39" s="46">
        <f>IFERROR(IF(INDEX(Recipes!$AZ$5:$AZ$204,MATCH(5,Recipes!$AN$5:$AN$204,0))=0,"",INDEX(Recipes!$AW$5:$AW$204,MATCH(5,Recipes!$AN$5:$AN$204,0))),"")</f>
        <v>0</v>
      </c>
      <c r="F39" s="25">
        <f>IFERROR(IF(INDEX(Recipes!$AZ$5:$AZ$204,MATCH(5,Recipes!$AN$5:$AN$204,0))=0,"",INDEX(Recipes!$AD$5:$AD$204,MATCH(5,Recipes!$AN$5:$AN$204,0))),"")</f>
        <v>0</v>
      </c>
      <c r="G39" s="19">
        <f>IFERROR(IF(INDEX(Recipes!$AZ$5:$AZ$204,MATCH(5,Recipes!$AN$5:$AN$204,0))=0,"",INDEX(Recipes!$BB$5:$BB$204,MATCH(5,Recipes!$AN$5:$AN$204,0))),"")</f>
        <v>0</v>
      </c>
    </row>
    <row r="40" spans="1:9">
      <c r="A40" s="13">
        <v>6</v>
      </c>
      <c r="B40" s="17">
        <f>IFERROR(IF(INDEX(Recipes!$AZ$5:$AZ$204,MATCH(6,Recipes!$AN$5:$AN$204,0))=0,"",INDEX(Recipes!$B$5:$B$204,MATCH(6,Recipes!$AN$5:$AN$204,0))),"")</f>
        <v>0</v>
      </c>
      <c r="C40" s="18">
        <f>IFERROR(IF(INDEX(Recipes!$AZ$5:$AZ$204,MATCH(6,Recipes!$AN$5:$AN$204,0))=0,"",INDEX(Recipes!$AZ$5:$AZ$204,MATCH(6,Recipes!$AN$5:$AN$204,0))),"")</f>
        <v>0</v>
      </c>
      <c r="D40" s="18">
        <f>IFERROR(IF(INDEX(Recipes!$AZ$5:$AZ$204,MATCH(6,Recipes!$AN$5:$AN$204,0))=0,"",INDEX(Recipes!$BA$5:$BA$204,MATCH(6,Recipes!$AN$5:$AN$204,0))),"")</f>
        <v>0</v>
      </c>
      <c r="E40" s="46">
        <f>IFERROR(IF(INDEX(Recipes!$AZ$5:$AZ$204,MATCH(6,Recipes!$AN$5:$AN$204,0))=0,"",INDEX(Recipes!$AW$5:$AW$204,MATCH(6,Recipes!$AN$5:$AN$204,0))),"")</f>
        <v>0</v>
      </c>
      <c r="F40" s="25">
        <f>IFERROR(IF(INDEX(Recipes!$AZ$5:$AZ$204,MATCH(6,Recipes!$AN$5:$AN$204,0))=0,"",INDEX(Recipes!$AD$5:$AD$204,MATCH(6,Recipes!$AN$5:$AN$204,0))),"")</f>
        <v>0</v>
      </c>
      <c r="G40" s="19">
        <f>IFERROR(IF(INDEX(Recipes!$AZ$5:$AZ$204,MATCH(6,Recipes!$AN$5:$AN$204,0))=0,"",INDEX(Recipes!$BB$5:$BB$204,MATCH(6,Recipes!$AN$5:$AN$204,0))),"")</f>
        <v>0</v>
      </c>
    </row>
    <row r="41" spans="1:9">
      <c r="A41" s="13">
        <v>7</v>
      </c>
      <c r="B41" s="17">
        <f>IFERROR(IF(INDEX(Recipes!$AZ$5:$AZ$204,MATCH(7,Recipes!$AN$5:$AN$204,0))=0,"",INDEX(Recipes!$B$5:$B$204,MATCH(7,Recipes!$AN$5:$AN$204,0))),"")</f>
        <v>0</v>
      </c>
      <c r="C41" s="18">
        <f>IFERROR(IF(INDEX(Recipes!$AZ$5:$AZ$204,MATCH(7,Recipes!$AN$5:$AN$204,0))=0,"",INDEX(Recipes!$AZ$5:$AZ$204,MATCH(7,Recipes!$AN$5:$AN$204,0))),"")</f>
        <v>0</v>
      </c>
      <c r="D41" s="18">
        <f>IFERROR(IF(INDEX(Recipes!$AZ$5:$AZ$204,MATCH(7,Recipes!$AN$5:$AN$204,0))=0,"",INDEX(Recipes!$BA$5:$BA$204,MATCH(7,Recipes!$AN$5:$AN$204,0))),"")</f>
        <v>0</v>
      </c>
      <c r="E41" s="46">
        <f>IFERROR(IF(INDEX(Recipes!$AZ$5:$AZ$204,MATCH(7,Recipes!$AN$5:$AN$204,0))=0,"",INDEX(Recipes!$AW$5:$AW$204,MATCH(7,Recipes!$AN$5:$AN$204,0))),"")</f>
        <v>0</v>
      </c>
      <c r="F41" s="25">
        <f>IFERROR(IF(INDEX(Recipes!$AZ$5:$AZ$204,MATCH(7,Recipes!$AN$5:$AN$204,0))=0,"",INDEX(Recipes!$AD$5:$AD$204,MATCH(7,Recipes!$AN$5:$AN$204,0))),"")</f>
        <v>0</v>
      </c>
      <c r="G41" s="19">
        <f>IFERROR(IF(INDEX(Recipes!$AZ$5:$AZ$204,MATCH(7,Recipes!$AN$5:$AN$204,0))=0,"",INDEX(Recipes!$BB$5:$BB$204,MATCH(7,Recipes!$AN$5:$AN$204,0))),"")</f>
        <v>0</v>
      </c>
    </row>
    <row r="42" spans="1:9">
      <c r="A42" s="13">
        <v>8</v>
      </c>
      <c r="B42" s="17">
        <f>IFERROR(IF(INDEX(Recipes!$AZ$5:$AZ$204,MATCH(8,Recipes!$AN$5:$AN$204,0))=0,"",INDEX(Recipes!$B$5:$B$204,MATCH(8,Recipes!$AN$5:$AN$204,0))),"")</f>
        <v>0</v>
      </c>
      <c r="C42" s="18">
        <f>IFERROR(IF(INDEX(Recipes!$AZ$5:$AZ$204,MATCH(8,Recipes!$AN$5:$AN$204,0))=0,"",INDEX(Recipes!$AZ$5:$AZ$204,MATCH(8,Recipes!$AN$5:$AN$204,0))),"")</f>
        <v>0</v>
      </c>
      <c r="D42" s="18">
        <f>IFERROR(IF(INDEX(Recipes!$AZ$5:$AZ$204,MATCH(8,Recipes!$AN$5:$AN$204,0))=0,"",INDEX(Recipes!$BA$5:$BA$204,MATCH(8,Recipes!$AN$5:$AN$204,0))),"")</f>
        <v>0</v>
      </c>
      <c r="E42" s="46">
        <f>IFERROR(IF(INDEX(Recipes!$AZ$5:$AZ$204,MATCH(8,Recipes!$AN$5:$AN$204,0))=0,"",INDEX(Recipes!$AW$5:$AW$204,MATCH(8,Recipes!$AN$5:$AN$204,0))),"")</f>
        <v>0</v>
      </c>
      <c r="F42" s="25">
        <f>IFERROR(IF(INDEX(Recipes!$AZ$5:$AZ$204,MATCH(8,Recipes!$AN$5:$AN$204,0))=0,"",INDEX(Recipes!$AD$5:$AD$204,MATCH(8,Recipes!$AN$5:$AN$204,0))),"")</f>
        <v>0</v>
      </c>
      <c r="G42" s="19">
        <f>IFERROR(IF(INDEX(Recipes!$AZ$5:$AZ$204,MATCH(8,Recipes!$AN$5:$AN$204,0))=0,"",INDEX(Recipes!$BB$5:$BB$204,MATCH(8,Recipes!$AN$5:$AN$204,0))),"")</f>
        <v>0</v>
      </c>
    </row>
    <row r="43" spans="1:9">
      <c r="A43" s="13">
        <v>9</v>
      </c>
      <c r="B43" s="17">
        <f>IFERROR(IF(INDEX(Recipes!$AZ$5:$AZ$204,MATCH(9,Recipes!$AN$5:$AN$204,0))=0,"",INDEX(Recipes!$B$5:$B$204,MATCH(9,Recipes!$AN$5:$AN$204,0))),"")</f>
        <v>0</v>
      </c>
      <c r="C43" s="18">
        <f>IFERROR(IF(INDEX(Recipes!$AZ$5:$AZ$204,MATCH(9,Recipes!$AN$5:$AN$204,0))=0,"",INDEX(Recipes!$AZ$5:$AZ$204,MATCH(9,Recipes!$AN$5:$AN$204,0))),"")</f>
        <v>0</v>
      </c>
      <c r="D43" s="18">
        <f>IFERROR(IF(INDEX(Recipes!$AZ$5:$AZ$204,MATCH(9,Recipes!$AN$5:$AN$204,0))=0,"",INDEX(Recipes!$BA$5:$BA$204,MATCH(9,Recipes!$AN$5:$AN$204,0))),"")</f>
        <v>0</v>
      </c>
      <c r="E43" s="46">
        <f>IFERROR(IF(INDEX(Recipes!$AZ$5:$AZ$204,MATCH(9,Recipes!$AN$5:$AN$204,0))=0,"",INDEX(Recipes!$AW$5:$AW$204,MATCH(9,Recipes!$AN$5:$AN$204,0))),"")</f>
        <v>0</v>
      </c>
      <c r="F43" s="25">
        <f>IFERROR(IF(INDEX(Recipes!$AZ$5:$AZ$204,MATCH(9,Recipes!$AN$5:$AN$204,0))=0,"",INDEX(Recipes!$AD$5:$AD$204,MATCH(9,Recipes!$AN$5:$AN$204,0))),"")</f>
        <v>0</v>
      </c>
      <c r="G43" s="19">
        <f>IFERROR(IF(INDEX(Recipes!$AZ$5:$AZ$204,MATCH(9,Recipes!$AN$5:$AN$204,0))=0,"",INDEX(Recipes!$BB$5:$BB$204,MATCH(9,Recipes!$AN$5:$AN$204,0))),"")</f>
        <v>0</v>
      </c>
    </row>
    <row r="44" spans="1:9">
      <c r="A44" s="13">
        <v>10</v>
      </c>
      <c r="B44" s="17">
        <f>IFERROR(IF(INDEX(Recipes!$AZ$5:$AZ$204,MATCH(10,Recipes!$AN$5:$AN$204,0))=0,"",INDEX(Recipes!$B$5:$B$204,MATCH(10,Recipes!$AN$5:$AN$204,0))),"")</f>
        <v>0</v>
      </c>
      <c r="C44" s="18">
        <f>IFERROR(IF(INDEX(Recipes!$AZ$5:$AZ$204,MATCH(10,Recipes!$AN$5:$AN$204,0))=0,"",INDEX(Recipes!$AZ$5:$AZ$204,MATCH(10,Recipes!$AN$5:$AN$204,0))),"")</f>
        <v>0</v>
      </c>
      <c r="D44" s="18">
        <f>IFERROR(IF(INDEX(Recipes!$AZ$5:$AZ$204,MATCH(10,Recipes!$AN$5:$AN$204,0))=0,"",INDEX(Recipes!$BA$5:$BA$204,MATCH(10,Recipes!$AN$5:$AN$204,0))),"")</f>
        <v>0</v>
      </c>
      <c r="E44" s="46">
        <f>IFERROR(IF(INDEX(Recipes!$AZ$5:$AZ$204,MATCH(10,Recipes!$AN$5:$AN$204,0))=0,"",INDEX(Recipes!$AW$5:$AW$204,MATCH(10,Recipes!$AN$5:$AN$204,0))),"")</f>
        <v>0</v>
      </c>
      <c r="F44" s="25">
        <f>IFERROR(IF(INDEX(Recipes!$AZ$5:$AZ$204,MATCH(10,Recipes!$AN$5:$AN$204,0))=0,"",INDEX(Recipes!$AD$5:$AD$204,MATCH(10,Recipes!$AN$5:$AN$204,0))),"")</f>
        <v>0</v>
      </c>
      <c r="G44" s="19">
        <f>IFERROR(IF(INDEX(Recipes!$AZ$5:$AZ$204,MATCH(10,Recipes!$AN$5:$AN$204,0))=0,"",INDEX(Recipes!$BB$5:$BB$204,MATCH(10,Recipes!$AN$5:$AN$204,0))),"")</f>
        <v>0</v>
      </c>
    </row>
    <row r="46" spans="1:9" ht="20" customHeight="1">
      <c r="A46" s="7" t="s">
        <v>1405</v>
      </c>
      <c r="B46" s="7"/>
      <c r="C46" s="7"/>
      <c r="D46" s="7"/>
      <c r="E46" s="7"/>
      <c r="F46" s="7"/>
      <c r="G46" s="7"/>
      <c r="H46" s="7"/>
      <c r="I46" s="7"/>
    </row>
    <row r="47" spans="1:9" ht="26" customHeight="1">
      <c r="A47" s="8" t="s">
        <v>335</v>
      </c>
      <c r="B47" s="9" t="s">
        <v>59</v>
      </c>
      <c r="C47" s="9" t="s">
        <v>175</v>
      </c>
      <c r="D47" s="9" t="s">
        <v>1406</v>
      </c>
      <c r="E47" s="9" t="s">
        <v>157</v>
      </c>
      <c r="F47" s="9" t="s">
        <v>771</v>
      </c>
      <c r="G47" s="9" t="s">
        <v>59</v>
      </c>
      <c r="H47" s="9" t="s">
        <v>175</v>
      </c>
    </row>
    <row r="48" spans="1:9">
      <c r="A48" s="13" t="s">
        <v>337</v>
      </c>
      <c r="B48" s="18">
        <f>COUNTIFS(Recipes!$E$5:$E$204,"British")</f>
        <v>0</v>
      </c>
      <c r="C48" s="18">
        <f>SUMPRODUCT((Recipes!$E$5:$E$204="British")*IFERROR(Recipes!$AZ$5:$AZ$204*1,0))</f>
        <v>0</v>
      </c>
      <c r="D48" s="50">
        <f>IFERROR(SUMPRODUCT((Recipes!$E$5:$E$204="British")*IFERROR(Recipes!$AZ$5:$AZ$204*1,0))/MAX(1,SUM(IFERROR(Recipes!$AZ$5:$AZ$204*1,0))),"")</f>
        <v>0</v>
      </c>
      <c r="F48" s="13" t="s">
        <v>355</v>
      </c>
      <c r="G48" s="18">
        <f>COUNTIFS(Recipes!$L$5:$L$204,"Oven")</f>
        <v>0</v>
      </c>
      <c r="H48" s="18">
        <f>SUMPRODUCT((Recipes!$L$5:$L$204="Oven")*IFERROR(Recipes!$AZ$5:$AZ$204*1,0))</f>
        <v>0</v>
      </c>
    </row>
    <row r="49" spans="1:9">
      <c r="A49" s="13" t="s">
        <v>342</v>
      </c>
      <c r="B49" s="18">
        <f>COUNTIFS(Recipes!$E$5:$E$204,"Italian")</f>
        <v>0</v>
      </c>
      <c r="C49" s="18">
        <f>SUMPRODUCT((Recipes!$E$5:$E$204="Italian")*IFERROR(Recipes!$AZ$5:$AZ$204*1,0))</f>
        <v>0</v>
      </c>
      <c r="D49" s="50">
        <f>IFERROR(SUMPRODUCT((Recipes!$E$5:$E$204="Italian")*IFERROR(Recipes!$AZ$5:$AZ$204*1,0))/MAX(1,SUM(IFERROR(Recipes!$AZ$5:$AZ$204*1,0))),"")</f>
        <v>0</v>
      </c>
      <c r="F49" s="13" t="s">
        <v>356</v>
      </c>
      <c r="G49" s="18">
        <f>COUNTIFS(Recipes!$L$5:$L$204,"Hob")</f>
        <v>0</v>
      </c>
      <c r="H49" s="18">
        <f>SUMPRODUCT((Recipes!$L$5:$L$204="Hob")*IFERROR(Recipes!$AZ$5:$AZ$204*1,0))</f>
        <v>0</v>
      </c>
    </row>
    <row r="50" spans="1:9">
      <c r="A50" s="13" t="s">
        <v>341</v>
      </c>
      <c r="B50" s="18">
        <f>COUNTIFS(Recipes!$E$5:$E$204,"Indian")</f>
        <v>0</v>
      </c>
      <c r="C50" s="18">
        <f>SUMPRODUCT((Recipes!$E$5:$E$204="Indian")*IFERROR(Recipes!$AZ$5:$AZ$204*1,0))</f>
        <v>0</v>
      </c>
      <c r="D50" s="50">
        <f>IFERROR(SUMPRODUCT((Recipes!$E$5:$E$204="Indian")*IFERROR(Recipes!$AZ$5:$AZ$204*1,0))/MAX(1,SUM(IFERROR(Recipes!$AZ$5:$AZ$204*1,0))),"")</f>
        <v>0</v>
      </c>
      <c r="F50" s="13" t="s">
        <v>357</v>
      </c>
      <c r="G50" s="18">
        <f>COUNTIFS(Recipes!$L$5:$L$204,"One pot")</f>
        <v>0</v>
      </c>
      <c r="H50" s="18">
        <f>SUMPRODUCT((Recipes!$L$5:$L$204="One pot")*IFERROR(Recipes!$AZ$5:$AZ$204*1,0))</f>
        <v>0</v>
      </c>
    </row>
    <row r="51" spans="1:9">
      <c r="A51" s="13" t="s">
        <v>345</v>
      </c>
      <c r="B51" s="18">
        <f>COUNTIFS(Recipes!$E$5:$E$204,"Mexican")</f>
        <v>0</v>
      </c>
      <c r="C51" s="18">
        <f>SUMPRODUCT((Recipes!$E$5:$E$204="Mexican")*IFERROR(Recipes!$AZ$5:$AZ$204*1,0))</f>
        <v>0</v>
      </c>
      <c r="D51" s="50">
        <f>IFERROR(SUMPRODUCT((Recipes!$E$5:$E$204="Mexican")*IFERROR(Recipes!$AZ$5:$AZ$204*1,0))/MAX(1,SUM(IFERROR(Recipes!$AZ$5:$AZ$204*1,0))),"")</f>
        <v>0</v>
      </c>
      <c r="F51" s="13" t="s">
        <v>358</v>
      </c>
      <c r="G51" s="18">
        <f>COUNTIFS(Recipes!$L$5:$L$204,"Slow cooker")</f>
        <v>0</v>
      </c>
      <c r="H51" s="18">
        <f>SUMPRODUCT((Recipes!$L$5:$L$204="Slow cooker")*IFERROR(Recipes!$AZ$5:$AZ$204*1,0))</f>
        <v>0</v>
      </c>
    </row>
    <row r="52" spans="1:9">
      <c r="A52" s="13" t="s">
        <v>338</v>
      </c>
      <c r="B52" s="18">
        <f>COUNTIFS(Recipes!$E$5:$E$204,"Chinese")</f>
        <v>0</v>
      </c>
      <c r="C52" s="18">
        <f>SUMPRODUCT((Recipes!$E$5:$E$204="Chinese")*IFERROR(Recipes!$AZ$5:$AZ$204*1,0))</f>
        <v>0</v>
      </c>
      <c r="D52" s="50">
        <f>IFERROR(SUMPRODUCT((Recipes!$E$5:$E$204="Chinese")*IFERROR(Recipes!$AZ$5:$AZ$204*1,0))/MAX(1,SUM(IFERROR(Recipes!$AZ$5:$AZ$204*1,0))),"")</f>
        <v>0</v>
      </c>
      <c r="F52" s="13" t="s">
        <v>360</v>
      </c>
      <c r="G52" s="18">
        <f>COUNTIFS(Recipes!$L$5:$L$204,"Air fryer")</f>
        <v>0</v>
      </c>
      <c r="H52" s="18">
        <f>SUMPRODUCT((Recipes!$L$5:$L$204="Air fryer")*IFERROR(Recipes!$AZ$5:$AZ$204*1,0))</f>
        <v>0</v>
      </c>
    </row>
    <row r="53" spans="1:9">
      <c r="A53" s="13" t="s">
        <v>343</v>
      </c>
      <c r="B53" s="18">
        <f>COUNTIFS(Recipes!$E$5:$E$204,"Japanese")</f>
        <v>0</v>
      </c>
      <c r="C53" s="18">
        <f>SUMPRODUCT((Recipes!$E$5:$E$204="Japanese")*IFERROR(Recipes!$AZ$5:$AZ$204*1,0))</f>
        <v>0</v>
      </c>
      <c r="D53" s="50">
        <f>IFERROR(SUMPRODUCT((Recipes!$E$5:$E$204="Japanese")*IFERROR(Recipes!$AZ$5:$AZ$204*1,0))/MAX(1,SUM(IFERROR(Recipes!$AZ$5:$AZ$204*1,0))),"")</f>
        <v>0</v>
      </c>
      <c r="F53" s="13" t="s">
        <v>364</v>
      </c>
      <c r="G53" s="18">
        <f>COUNTIFS(Recipes!$L$5:$L$204,"No cook")</f>
        <v>0</v>
      </c>
      <c r="H53" s="18">
        <f>SUMPRODUCT((Recipes!$L$5:$L$204="No cook")*IFERROR(Recipes!$AZ$5:$AZ$204*1,0))</f>
        <v>0</v>
      </c>
    </row>
    <row r="54" spans="1:9">
      <c r="A54" s="13" t="s">
        <v>346</v>
      </c>
      <c r="B54" s="18">
        <f>COUNTIFS(Recipes!$E$5:$E$204,"Middle Eastern")</f>
        <v>0</v>
      </c>
      <c r="C54" s="18">
        <f>SUMPRODUCT((Recipes!$E$5:$E$204="Middle Eastern")*IFERROR(Recipes!$AZ$5:$AZ$204*1,0))</f>
        <v>0</v>
      </c>
      <c r="D54" s="50">
        <f>IFERROR(SUMPRODUCT((Recipes!$E$5:$E$204="Middle Eastern")*IFERROR(Recipes!$AZ$5:$AZ$204*1,0))/MAX(1,SUM(IFERROR(Recipes!$AZ$5:$AZ$204*1,0))),"")</f>
        <v>0</v>
      </c>
      <c r="F54" s="13" t="s">
        <v>361</v>
      </c>
      <c r="G54" s="18">
        <f>COUNTIFS(Recipes!$L$5:$L$204,"Grill")</f>
        <v>0</v>
      </c>
      <c r="H54" s="18">
        <f>SUMPRODUCT((Recipes!$L$5:$L$204="Grill")*IFERROR(Recipes!$AZ$5:$AZ$204*1,0))</f>
        <v>0</v>
      </c>
    </row>
    <row r="55" spans="1:9">
      <c r="A55" s="13" t="s">
        <v>348</v>
      </c>
      <c r="B55" s="18">
        <f>COUNTIFS(Recipes!$E$5:$E$204,"Thai")</f>
        <v>0</v>
      </c>
      <c r="C55" s="18">
        <f>SUMPRODUCT((Recipes!$E$5:$E$204="Thai")*IFERROR(Recipes!$AZ$5:$AZ$204*1,0))</f>
        <v>0</v>
      </c>
      <c r="D55" s="50">
        <f>IFERROR(SUMPRODUCT((Recipes!$E$5:$E$204="Thai")*IFERROR(Recipes!$AZ$5:$AZ$204*1,0))/MAX(1,SUM(IFERROR(Recipes!$AZ$5:$AZ$204*1,0))),"")</f>
        <v>0</v>
      </c>
      <c r="F55" s="13" t="s">
        <v>359</v>
      </c>
      <c r="G55" s="18">
        <f>COUNTIFS(Recipes!$L$5:$L$204,"Pressure cooker")</f>
        <v>0</v>
      </c>
      <c r="H55" s="18">
        <f>SUMPRODUCT((Recipes!$L$5:$L$204="Pressure cooker")*IFERROR(Recipes!$AZ$5:$AZ$204*1,0))</f>
        <v>0</v>
      </c>
    </row>
    <row r="56" spans="1:9">
      <c r="A56" s="13" t="s">
        <v>336</v>
      </c>
      <c r="B56" s="18">
        <f>COUNTIFS(Recipes!$E$5:$E$204,"American")</f>
        <v>0</v>
      </c>
      <c r="C56" s="18">
        <f>SUMPRODUCT((Recipes!$E$5:$E$204="American")*IFERROR(Recipes!$AZ$5:$AZ$204*1,0))</f>
        <v>0</v>
      </c>
      <c r="D56" s="50">
        <f>IFERROR(SUMPRODUCT((Recipes!$E$5:$E$204="American")*IFERROR(Recipes!$AZ$5:$AZ$204*1,0))/MAX(1,SUM(IFERROR(Recipes!$AZ$5:$AZ$204*1,0))),"")</f>
        <v>0</v>
      </c>
      <c r="F56" s="13" t="s">
        <v>363</v>
      </c>
      <c r="G56" s="18">
        <f>COUNTIFS(Recipes!$L$5:$L$204,"Microwave")</f>
        <v>0</v>
      </c>
      <c r="H56" s="18">
        <f>SUMPRODUCT((Recipes!$L$5:$L$204="Microwave")*IFERROR(Recipes!$AZ$5:$AZ$204*1,0))</f>
        <v>0</v>
      </c>
    </row>
    <row r="57" spans="1:9">
      <c r="A57" s="13" t="s">
        <v>353</v>
      </c>
      <c r="B57" s="18">
        <f>COUNTIFS(Recipes!$E$5:$E$204,"Other")</f>
        <v>0</v>
      </c>
      <c r="C57" s="18">
        <f>SUMPRODUCT((Recipes!$E$5:$E$204="Other")*IFERROR(Recipes!$AZ$5:$AZ$204*1,0))</f>
        <v>0</v>
      </c>
      <c r="D57" s="50">
        <f>IFERROR(SUMPRODUCT((Recipes!$E$5:$E$204="Other")*IFERROR(Recipes!$AZ$5:$AZ$204*1,0))/MAX(1,SUM(IFERROR(Recipes!$AZ$5:$AZ$204*1,0))),"")</f>
        <v>0</v>
      </c>
      <c r="F57" s="13" t="s">
        <v>362</v>
      </c>
      <c r="G57" s="18">
        <f>COUNTIFS(Recipes!$L$5:$L$204,"Barbecue")</f>
        <v>0</v>
      </c>
      <c r="H57" s="18">
        <f>SUMPRODUCT((Recipes!$L$5:$L$204="Barbecue")*IFERROR(Recipes!$AZ$5:$AZ$204*1,0))</f>
        <v>0</v>
      </c>
    </row>
    <row r="59" spans="1:9" ht="20" customHeight="1">
      <c r="A59" s="7" t="s">
        <v>1407</v>
      </c>
      <c r="B59" s="7"/>
      <c r="C59" s="7"/>
      <c r="D59" s="7"/>
      <c r="E59" s="7"/>
      <c r="F59" s="7"/>
      <c r="G59" s="7"/>
      <c r="H59" s="7"/>
      <c r="I59" s="7"/>
    </row>
    <row r="60" spans="1:9" ht="28" customHeight="1">
      <c r="A60" s="6" t="s">
        <v>1408</v>
      </c>
      <c r="B60" s="6"/>
      <c r="C60" s="6"/>
      <c r="D60" s="6"/>
      <c r="E60" s="6"/>
      <c r="F60" s="6"/>
      <c r="G60" s="6"/>
      <c r="H60" s="6"/>
      <c r="I60" s="6"/>
    </row>
    <row r="61" spans="1:9" ht="26" customHeight="1">
      <c r="A61" s="8" t="s">
        <v>762</v>
      </c>
      <c r="B61" s="9" t="s">
        <v>809</v>
      </c>
      <c r="C61" s="9" t="s">
        <v>806</v>
      </c>
      <c r="D61" s="9" t="s">
        <v>577</v>
      </c>
      <c r="E61" s="9" t="s">
        <v>1409</v>
      </c>
    </row>
    <row r="62" spans="1:9">
      <c r="A62" s="17">
        <f>IFERROR(INDEX(Recipes!$B$5:$B$204,MATCH(COUNTIF(Recipes!$B$5:$B$204,"&lt;&gt;")-0,Recipes!$AR$5:$AR$204,0)),"")</f>
        <v>0</v>
      </c>
      <c r="B62" s="18">
        <f>IFERROR(INDEX(Recipes!$BC$5:$BC$204,MATCH(COUNTIF(Recipes!$B$5:$B$204,"&lt;&gt;")-0,Recipes!$AR$5:$AR$204,0)),"")</f>
        <v>0</v>
      </c>
      <c r="C62" s="18">
        <f>IFERROR(INDEX(Recipes!$AZ$5:$AZ$204,MATCH(COUNTIF(Recipes!$B$5:$B$204,"&lt;&gt;")-0,Recipes!$AR$5:$AR$204,0)),"")</f>
        <v>0</v>
      </c>
      <c r="D62" s="46">
        <f>IFERROR(INDEX(Recipes!$AW$5:$AW$204,MATCH(COUNTIF(Recipes!$B$5:$B$204,"&lt;&gt;")-0,Recipes!$AR$5:$AR$204,0)),"")</f>
        <v>0</v>
      </c>
      <c r="E62" s="17">
        <f>IFERROR(INDEX(Recipes!$B$5:$B$204,MATCH(1,Recipes!$AR$5:$AR$204,0)),"")</f>
        <v>0</v>
      </c>
    </row>
    <row r="63" spans="1:9">
      <c r="A63" s="17">
        <f>IFERROR(INDEX(Recipes!$B$5:$B$204,MATCH(COUNTIF(Recipes!$B$5:$B$204,"&lt;&gt;")-1,Recipes!$AR$5:$AR$204,0)),"")</f>
        <v>0</v>
      </c>
      <c r="B63" s="18">
        <f>IFERROR(INDEX(Recipes!$BC$5:$BC$204,MATCH(COUNTIF(Recipes!$B$5:$B$204,"&lt;&gt;")-1,Recipes!$AR$5:$AR$204,0)),"")</f>
        <v>0</v>
      </c>
      <c r="C63" s="18">
        <f>IFERROR(INDEX(Recipes!$AZ$5:$AZ$204,MATCH(COUNTIF(Recipes!$B$5:$B$204,"&lt;&gt;")-1,Recipes!$AR$5:$AR$204,0)),"")</f>
        <v>0</v>
      </c>
      <c r="D63" s="46">
        <f>IFERROR(INDEX(Recipes!$AW$5:$AW$204,MATCH(COUNTIF(Recipes!$B$5:$B$204,"&lt;&gt;")-1,Recipes!$AR$5:$AR$204,0)),"")</f>
        <v>0</v>
      </c>
      <c r="E63" s="17">
        <f>IFERROR(INDEX(Recipes!$B$5:$B$204,MATCH(2,Recipes!$AR$5:$AR$204,0)),"")</f>
        <v>0</v>
      </c>
    </row>
    <row r="64" spans="1:9">
      <c r="A64" s="17">
        <f>IFERROR(INDEX(Recipes!$B$5:$B$204,MATCH(COUNTIF(Recipes!$B$5:$B$204,"&lt;&gt;")-2,Recipes!$AR$5:$AR$204,0)),"")</f>
        <v>0</v>
      </c>
      <c r="B64" s="18">
        <f>IFERROR(INDEX(Recipes!$BC$5:$BC$204,MATCH(COUNTIF(Recipes!$B$5:$B$204,"&lt;&gt;")-2,Recipes!$AR$5:$AR$204,0)),"")</f>
        <v>0</v>
      </c>
      <c r="C64" s="18">
        <f>IFERROR(INDEX(Recipes!$AZ$5:$AZ$204,MATCH(COUNTIF(Recipes!$B$5:$B$204,"&lt;&gt;")-2,Recipes!$AR$5:$AR$204,0)),"")</f>
        <v>0</v>
      </c>
      <c r="D64" s="46">
        <f>IFERROR(INDEX(Recipes!$AW$5:$AW$204,MATCH(COUNTIF(Recipes!$B$5:$B$204,"&lt;&gt;")-2,Recipes!$AR$5:$AR$204,0)),"")</f>
        <v>0</v>
      </c>
      <c r="E64" s="17">
        <f>IFERROR(INDEX(Recipes!$B$5:$B$204,MATCH(3,Recipes!$AR$5:$AR$204,0)),"")</f>
        <v>0</v>
      </c>
    </row>
    <row r="65" spans="1:9">
      <c r="A65" s="17">
        <f>IFERROR(INDEX(Recipes!$B$5:$B$204,MATCH(COUNTIF(Recipes!$B$5:$B$204,"&lt;&gt;")-3,Recipes!$AR$5:$AR$204,0)),"")</f>
        <v>0</v>
      </c>
      <c r="B65" s="18">
        <f>IFERROR(INDEX(Recipes!$BC$5:$BC$204,MATCH(COUNTIF(Recipes!$B$5:$B$204,"&lt;&gt;")-3,Recipes!$AR$5:$AR$204,0)),"")</f>
        <v>0</v>
      </c>
      <c r="C65" s="18">
        <f>IFERROR(INDEX(Recipes!$AZ$5:$AZ$204,MATCH(COUNTIF(Recipes!$B$5:$B$204,"&lt;&gt;")-3,Recipes!$AR$5:$AR$204,0)),"")</f>
        <v>0</v>
      </c>
      <c r="D65" s="46">
        <f>IFERROR(INDEX(Recipes!$AW$5:$AW$204,MATCH(COUNTIF(Recipes!$B$5:$B$204,"&lt;&gt;")-3,Recipes!$AR$5:$AR$204,0)),"")</f>
        <v>0</v>
      </c>
      <c r="E65" s="17">
        <f>IFERROR(INDEX(Recipes!$B$5:$B$204,MATCH(4,Recipes!$AR$5:$AR$204,0)),"")</f>
        <v>0</v>
      </c>
    </row>
    <row r="66" spans="1:9">
      <c r="A66" s="17">
        <f>IFERROR(INDEX(Recipes!$B$5:$B$204,MATCH(COUNTIF(Recipes!$B$5:$B$204,"&lt;&gt;")-4,Recipes!$AR$5:$AR$204,0)),"")</f>
        <v>0</v>
      </c>
      <c r="B66" s="18">
        <f>IFERROR(INDEX(Recipes!$BC$5:$BC$204,MATCH(COUNTIF(Recipes!$B$5:$B$204,"&lt;&gt;")-4,Recipes!$AR$5:$AR$204,0)),"")</f>
        <v>0</v>
      </c>
      <c r="C66" s="18">
        <f>IFERROR(INDEX(Recipes!$AZ$5:$AZ$204,MATCH(COUNTIF(Recipes!$B$5:$B$204,"&lt;&gt;")-4,Recipes!$AR$5:$AR$204,0)),"")</f>
        <v>0</v>
      </c>
      <c r="D66" s="46">
        <f>IFERROR(INDEX(Recipes!$AW$5:$AW$204,MATCH(COUNTIF(Recipes!$B$5:$B$204,"&lt;&gt;")-4,Recipes!$AR$5:$AR$204,0)),"")</f>
        <v>0</v>
      </c>
      <c r="E66" s="17">
        <f>IFERROR(INDEX(Recipes!$B$5:$B$204,MATCH(5,Recipes!$AR$5:$AR$204,0)),"")</f>
        <v>0</v>
      </c>
    </row>
    <row r="68" spans="1:9" ht="26" customHeight="1">
      <c r="A68" s="6" t="s">
        <v>1410</v>
      </c>
      <c r="B68" s="6"/>
      <c r="C68" s="6"/>
      <c r="D68" s="6"/>
      <c r="E68" s="6"/>
      <c r="F68" s="6"/>
      <c r="G68" s="6"/>
      <c r="H68" s="6"/>
      <c r="I68" s="6"/>
    </row>
  </sheetData>
  <sheetProtection password="EC7C" sheet="1" objects="1" scenarios="1" formatCells="0" formatColumns="0" formatRows="0" insertRows="0" insertHyperlinks="0" deleteRows="0" autoFilter="0"/>
  <mergeCells count="26">
    <mergeCell ref="A1:F1"/>
    <mergeCell ref="G1:I1"/>
    <mergeCell ref="A2:I2"/>
    <mergeCell ref="A3:B3"/>
    <mergeCell ref="C3:D3"/>
    <mergeCell ref="E3:F3"/>
    <mergeCell ref="G3:H3"/>
    <mergeCell ref="A5:B5"/>
    <mergeCell ref="A6:B6"/>
    <mergeCell ref="A7:B7"/>
    <mergeCell ref="C5:D5"/>
    <mergeCell ref="C6:D6"/>
    <mergeCell ref="C7:D7"/>
    <mergeCell ref="E5:F5"/>
    <mergeCell ref="E6:F6"/>
    <mergeCell ref="E7:F7"/>
    <mergeCell ref="G5:H5"/>
    <mergeCell ref="G6:H6"/>
    <mergeCell ref="G7:H7"/>
    <mergeCell ref="A9:I9"/>
    <mergeCell ref="A10:I10"/>
    <mergeCell ref="A33:I33"/>
    <mergeCell ref="A46:I46"/>
    <mergeCell ref="A59:I59"/>
    <mergeCell ref="A60:I60"/>
    <mergeCell ref="A68:I68"/>
  </mergeCells>
  <conditionalFormatting sqref="E12:E31">
    <cfRule type="containsText" dxfId="4" priority="1" operator="containsText" text="Never">
      <formula>NOT(ISERROR(SEARCH("Never",E12)))</formula>
    </cfRule>
  </conditionalFormatting>
  <conditionalFormatting sqref="F12:F31">
    <cfRule type="cellIs" dxfId="1" priority="2" operator="greaterThanOrEqual">
      <formula>4</formula>
    </cfRule>
  </conditionalFormatting>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&amp;L&amp;"Calibri,Bold"&amp;12&amp;C&amp;"Calibri,Bold"&amp;11Rotation&amp;R&amp;"Calibri,Italic"&amp;9Automated Meal Planner &amp; Grocery List Spreadsheet</oddHeader>
    <oddFooter>&amp;L&amp;"Calibri,Italic"&amp;8Novality Store - v1.0.0&amp;C&amp;"Calibri,Italic"&amp;8Page &amp;P of &amp;N&amp;R&amp;"Calibri,Italic"&amp;8&amp;D</oddFooter>
  </headerFooter>
</worksheet>
</file>

<file path=xl/worksheets/sheet24.xml><?xml version="1.0" encoding="utf-8"?>
<worksheet xmlns="http://schemas.openxmlformats.org/spreadsheetml/2006/main" xmlns:r="http://schemas.openxmlformats.org/officeDocument/2006/relationships">
  <sheetPr>
    <tabColor rgb="FFD9703C"/>
    <pageSetUpPr fitToPage="1"/>
  </sheetPr>
  <dimension ref="A1:J68"/>
  <sheetViews>
    <sheetView showGridLines="0" workbookViewId="0">
      <pane ySplit="4" topLeftCell="A5" activePane="bottomLeft" state="frozen"/>
      <selection pane="bottomLeft"/>
    </sheetView>
  </sheetViews>
  <sheetFormatPr defaultRowHeight="15"/>
  <cols>
    <col min="1" max="1" width="24.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 max="1" width="30.7109375" customWidth="1"/>
    <col min="2" max="2" width="26.7109375" customWidth="1"/>
    <col min="3" max="3" width="10.7109375" customWidth="1"/>
    <col min="4" max="4" width="15.7109375" customWidth="1"/>
    <col min="5" max="5" width="14.7109375" customWidth="1"/>
    <col min="1" max="1" width="18.7109375" customWidth="1"/>
    <col min="2" max="2" width="18.7109375" customWidth="1"/>
    <col min="3" max="3" width="44.7109375" customWidth="1"/>
    <col min="4" max="4" width="18.7109375" customWidth="1"/>
    <col min="1" max="1" width="28.7109375" customWidth="1"/>
    <col min="2" max="2" width="18.7109375" customWidth="1"/>
    <col min="3" max="3" width="50.7109375" customWidth="1"/>
  </cols>
  <sheetData>
    <row r="1" spans="1:10" ht="34" customHeight="1">
      <c r="A1" s="2" t="s">
        <v>1411</v>
      </c>
      <c r="B1" s="2"/>
      <c r="C1" s="2"/>
      <c r="D1" s="2"/>
      <c r="E1" s="2"/>
      <c r="F1" s="2"/>
      <c r="G1" s="2"/>
      <c r="H1" s="3" t="s">
        <v>1</v>
      </c>
      <c r="I1" s="3"/>
      <c r="J1" s="3"/>
    </row>
    <row r="2" spans="1:10" ht="18" customHeight="1">
      <c r="A2" s="4" t="s">
        <v>1412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c r="A5" s="10" t="s">
        <v>1413</v>
      </c>
      <c r="B5" s="10"/>
      <c r="C5" s="10" t="s">
        <v>1415</v>
      </c>
      <c r="D5" s="10"/>
      <c r="E5" s="10" t="s">
        <v>1417</v>
      </c>
      <c r="F5" s="10"/>
      <c r="G5" s="10" t="s">
        <v>1419</v>
      </c>
      <c r="H5" s="10"/>
    </row>
    <row r="6" spans="1:10" ht="26" customHeight="1">
      <c r="A6" s="20">
        <f>COUNTIFS(Household!$G$5:$G$16,"&lt;&gt;",Household!$G$5:$G$16,"&lt;&gt;None")</f>
        <v>0</v>
      </c>
      <c r="B6" s="20"/>
      <c r="C6" s="20">
        <f>COUNTIFS(Ingredients!$W$5:$W$304,"&lt;&gt;",Ingredients!$W$5:$W$304,"&lt;&gt;None")</f>
        <v>0</v>
      </c>
      <c r="D6" s="20"/>
      <c r="E6" s="20">
        <f>COUNTIF(Recipes!$AJ$5:$AJ$204,"*flagged*")</f>
        <v>0</v>
      </c>
      <c r="F6" s="20"/>
      <c r="G6" s="20">
        <f>COUNTIF(Pantry!$W$5:$W$304,"Expired")</f>
        <v>0</v>
      </c>
      <c r="H6" s="20"/>
    </row>
    <row r="7" spans="1:10">
      <c r="A7" s="22" t="s">
        <v>1414</v>
      </c>
      <c r="B7" s="22"/>
      <c r="C7" s="22" t="s">
        <v>1416</v>
      </c>
      <c r="D7" s="22"/>
      <c r="E7" s="22" t="s">
        <v>1418</v>
      </c>
      <c r="F7" s="22"/>
      <c r="G7" s="22" t="s">
        <v>1420</v>
      </c>
      <c r="H7" s="22"/>
    </row>
    <row r="9" spans="1:10" ht="20" customHeight="1">
      <c r="A9" s="7" t="s">
        <v>1421</v>
      </c>
      <c r="B9" s="7"/>
      <c r="C9" s="7"/>
      <c r="D9" s="7"/>
      <c r="E9" s="7"/>
      <c r="F9" s="7"/>
      <c r="G9" s="7"/>
      <c r="H9" s="7"/>
      <c r="I9" s="7"/>
      <c r="J9" s="7"/>
    </row>
    <row r="10" spans="1:10" ht="26" customHeight="1">
      <c r="A10" s="6" t="s">
        <v>1422</v>
      </c>
      <c r="B10" s="6"/>
      <c r="C10" s="6"/>
      <c r="D10" s="6"/>
      <c r="E10" s="6"/>
      <c r="F10" s="6"/>
      <c r="G10" s="6"/>
      <c r="H10" s="6"/>
      <c r="I10" s="6"/>
      <c r="J10" s="6"/>
    </row>
    <row r="11" spans="1:10" ht="26" customHeight="1">
      <c r="A11" s="8" t="s">
        <v>397</v>
      </c>
      <c r="B11" s="9" t="s">
        <v>21</v>
      </c>
      <c r="C11" s="9" t="s">
        <v>59</v>
      </c>
      <c r="D11" s="9" t="s">
        <v>1423</v>
      </c>
      <c r="E11" s="9">
        <f>IFERROR(IF(INDEX(MemberNames,1)=0,"",INDEX(MemberNames,1)),"")</f>
        <v>0</v>
      </c>
      <c r="F11" s="9">
        <f>IFERROR(IF(INDEX(MemberNames,2)=0,"",INDEX(MemberNames,2)),"")</f>
        <v>0</v>
      </c>
      <c r="G11" s="9">
        <f>IFERROR(IF(INDEX(MemberNames,3)=0,"",INDEX(MemberNames,3)),"")</f>
        <v>0</v>
      </c>
      <c r="H11" s="9">
        <f>IFERROR(IF(INDEX(MemberNames,4)=0,"",INDEX(MemberNames,4)),"")</f>
        <v>0</v>
      </c>
      <c r="I11" s="9">
        <f>IFERROR(IF(INDEX(MemberNames,5)=0,"",INDEX(MemberNames,5)),"")</f>
        <v>0</v>
      </c>
    </row>
    <row r="12" spans="1:10">
      <c r="A12" s="11" t="s">
        <v>398</v>
      </c>
      <c r="B12" s="18">
        <f>COUNTIFS(Ingredients!$W$5:$W$304,"Celery")</f>
        <v>0</v>
      </c>
      <c r="C12" s="18">
        <f>SUMPRODUCT((COUNTIFS('Recipe Ingredients'!$B$5:$B$1204,Recipes!$A$5:$A$204,'Recipe Ingredients'!$V$5:$V$1204,"Celery")&gt;0)*(Recipes!$B$5:$B$204&lt;&gt;""))</f>
        <v>0</v>
      </c>
      <c r="D12" s="18">
        <f>SUMPRODUCT((COUNTIFS(Ingredients!$B$5:$B$304,Pantry!$B$5:$B$304)&gt;0)*0)+COUNTIFS(Pantry!$B$5:$B$304,"&lt;&gt;")*0+SUMPRODUCT((Pantry!$B$5:$B$304&lt;&gt;"")*(COUNTIFS(Ingredients!$B$5:$B$304,Pantry!$B$5:$B$304,Ingredients!$W$5:$W$304,"Celery")&gt;0))</f>
        <v>0</v>
      </c>
      <c r="E12" s="46">
        <f>IF(E$11="","",IF(IFERROR(INDEX(Household!$G$5:$G$16,MATCH(E$11,Household!$B$5:$B$16,0)),"")="Celery","AVOID","ok"))</f>
        <v>0</v>
      </c>
      <c r="F12" s="46">
        <f>IF(F$11="","",IF(IFERROR(INDEX(Household!$G$5:$G$16,MATCH(F$11,Household!$B$5:$B$16,0)),"")="Celery","AVOID","ok"))</f>
        <v>0</v>
      </c>
      <c r="G12" s="46">
        <f>IF(G$11="","",IF(IFERROR(INDEX(Household!$G$5:$G$16,MATCH(G$11,Household!$B$5:$B$16,0)),"")="Celery","AVOID","ok"))</f>
        <v>0</v>
      </c>
      <c r="H12" s="46">
        <f>IF(H$11="","",IF(IFERROR(INDEX(Household!$G$5:$G$16,MATCH(H$11,Household!$B$5:$B$16,0)),"")="Celery","AVOID","ok"))</f>
        <v>0</v>
      </c>
      <c r="I12" s="46">
        <f>IF(I$11="","",IF(IFERROR(INDEX(Household!$G$5:$G$16,MATCH(I$11,Household!$B$5:$B$16,0)),"")="Celery","AVOID","ok"))</f>
        <v>0</v>
      </c>
    </row>
    <row r="13" spans="1:10">
      <c r="A13" s="11" t="s">
        <v>399</v>
      </c>
      <c r="B13" s="18">
        <f>COUNTIFS(Ingredients!$W$5:$W$304,"Cereals with gluten")</f>
        <v>0</v>
      </c>
      <c r="C13" s="18">
        <f>SUMPRODUCT((COUNTIFS('Recipe Ingredients'!$B$5:$B$1204,Recipes!$A$5:$A$204,'Recipe Ingredients'!$V$5:$V$1204,"Cereals with gluten")&gt;0)*(Recipes!$B$5:$B$204&lt;&gt;""))</f>
        <v>0</v>
      </c>
      <c r="D13" s="18">
        <f>SUMPRODUCT((COUNTIFS(Ingredients!$B$5:$B$304,Pantry!$B$5:$B$304)&gt;0)*0)+COUNTIFS(Pantry!$B$5:$B$304,"&lt;&gt;")*0+SUMPRODUCT((Pantry!$B$5:$B$304&lt;&gt;"")*(COUNTIFS(Ingredients!$B$5:$B$304,Pantry!$B$5:$B$304,Ingredients!$W$5:$W$304,"Cereals with gluten")&gt;0))</f>
        <v>0</v>
      </c>
      <c r="E13" s="46">
        <f>IF(E$11="","",IF(IFERROR(INDEX(Household!$G$5:$G$16,MATCH(E$11,Household!$B$5:$B$16,0)),"")="Cereals with gluten","AVOID","ok"))</f>
        <v>0</v>
      </c>
      <c r="F13" s="46">
        <f>IF(F$11="","",IF(IFERROR(INDEX(Household!$G$5:$G$16,MATCH(F$11,Household!$B$5:$B$16,0)),"")="Cereals with gluten","AVOID","ok"))</f>
        <v>0</v>
      </c>
      <c r="G13" s="46">
        <f>IF(G$11="","",IF(IFERROR(INDEX(Household!$G$5:$G$16,MATCH(G$11,Household!$B$5:$B$16,0)),"")="Cereals with gluten","AVOID","ok"))</f>
        <v>0</v>
      </c>
      <c r="H13" s="46">
        <f>IF(H$11="","",IF(IFERROR(INDEX(Household!$G$5:$G$16,MATCH(H$11,Household!$B$5:$B$16,0)),"")="Cereals with gluten","AVOID","ok"))</f>
        <v>0</v>
      </c>
      <c r="I13" s="46">
        <f>IF(I$11="","",IF(IFERROR(INDEX(Household!$G$5:$G$16,MATCH(I$11,Household!$B$5:$B$16,0)),"")="Cereals with gluten","AVOID","ok"))</f>
        <v>0</v>
      </c>
    </row>
    <row r="14" spans="1:10">
      <c r="A14" s="11" t="s">
        <v>400</v>
      </c>
      <c r="B14" s="18">
        <f>COUNTIFS(Ingredients!$W$5:$W$304,"Crustaceans")</f>
        <v>0</v>
      </c>
      <c r="C14" s="18">
        <f>SUMPRODUCT((COUNTIFS('Recipe Ingredients'!$B$5:$B$1204,Recipes!$A$5:$A$204,'Recipe Ingredients'!$V$5:$V$1204,"Crustaceans")&gt;0)*(Recipes!$B$5:$B$204&lt;&gt;""))</f>
        <v>0</v>
      </c>
      <c r="D14" s="18">
        <f>SUMPRODUCT((COUNTIFS(Ingredients!$B$5:$B$304,Pantry!$B$5:$B$304)&gt;0)*0)+COUNTIFS(Pantry!$B$5:$B$304,"&lt;&gt;")*0+SUMPRODUCT((Pantry!$B$5:$B$304&lt;&gt;"")*(COUNTIFS(Ingredients!$B$5:$B$304,Pantry!$B$5:$B$304,Ingredients!$W$5:$W$304,"Crustaceans")&gt;0))</f>
        <v>0</v>
      </c>
      <c r="E14" s="46">
        <f>IF(E$11="","",IF(IFERROR(INDEX(Household!$G$5:$G$16,MATCH(E$11,Household!$B$5:$B$16,0)),"")="Crustaceans","AVOID","ok"))</f>
        <v>0</v>
      </c>
      <c r="F14" s="46">
        <f>IF(F$11="","",IF(IFERROR(INDEX(Household!$G$5:$G$16,MATCH(F$11,Household!$B$5:$B$16,0)),"")="Crustaceans","AVOID","ok"))</f>
        <v>0</v>
      </c>
      <c r="G14" s="46">
        <f>IF(G$11="","",IF(IFERROR(INDEX(Household!$G$5:$G$16,MATCH(G$11,Household!$B$5:$B$16,0)),"")="Crustaceans","AVOID","ok"))</f>
        <v>0</v>
      </c>
      <c r="H14" s="46">
        <f>IF(H$11="","",IF(IFERROR(INDEX(Household!$G$5:$G$16,MATCH(H$11,Household!$B$5:$B$16,0)),"")="Crustaceans","AVOID","ok"))</f>
        <v>0</v>
      </c>
      <c r="I14" s="46">
        <f>IF(I$11="","",IF(IFERROR(INDEX(Household!$G$5:$G$16,MATCH(I$11,Household!$B$5:$B$16,0)),"")="Crustaceans","AVOID","ok"))</f>
        <v>0</v>
      </c>
    </row>
    <row r="15" spans="1:10">
      <c r="A15" s="11" t="s">
        <v>401</v>
      </c>
      <c r="B15" s="18">
        <f>COUNTIFS(Ingredients!$W$5:$W$304,"Eggs")</f>
        <v>0</v>
      </c>
      <c r="C15" s="18">
        <f>SUMPRODUCT((COUNTIFS('Recipe Ingredients'!$B$5:$B$1204,Recipes!$A$5:$A$204,'Recipe Ingredients'!$V$5:$V$1204,"Eggs")&gt;0)*(Recipes!$B$5:$B$204&lt;&gt;""))</f>
        <v>0</v>
      </c>
      <c r="D15" s="18">
        <f>SUMPRODUCT((COUNTIFS(Ingredients!$B$5:$B$304,Pantry!$B$5:$B$304)&gt;0)*0)+COUNTIFS(Pantry!$B$5:$B$304,"&lt;&gt;")*0+SUMPRODUCT((Pantry!$B$5:$B$304&lt;&gt;"")*(COUNTIFS(Ingredients!$B$5:$B$304,Pantry!$B$5:$B$304,Ingredients!$W$5:$W$304,"Eggs")&gt;0))</f>
        <v>0</v>
      </c>
      <c r="E15" s="46">
        <f>IF(E$11="","",IF(IFERROR(INDEX(Household!$G$5:$G$16,MATCH(E$11,Household!$B$5:$B$16,0)),"")="Eggs","AVOID","ok"))</f>
        <v>0</v>
      </c>
      <c r="F15" s="46">
        <f>IF(F$11="","",IF(IFERROR(INDEX(Household!$G$5:$G$16,MATCH(F$11,Household!$B$5:$B$16,0)),"")="Eggs","AVOID","ok"))</f>
        <v>0</v>
      </c>
      <c r="G15" s="46">
        <f>IF(G$11="","",IF(IFERROR(INDEX(Household!$G$5:$G$16,MATCH(G$11,Household!$B$5:$B$16,0)),"")="Eggs","AVOID","ok"))</f>
        <v>0</v>
      </c>
      <c r="H15" s="46">
        <f>IF(H$11="","",IF(IFERROR(INDEX(Household!$G$5:$G$16,MATCH(H$11,Household!$B$5:$B$16,0)),"")="Eggs","AVOID","ok"))</f>
        <v>0</v>
      </c>
      <c r="I15" s="46">
        <f>IF(I$11="","",IF(IFERROR(INDEX(Household!$G$5:$G$16,MATCH(I$11,Household!$B$5:$B$16,0)),"")="Eggs","AVOID","ok"))</f>
        <v>0</v>
      </c>
    </row>
    <row r="16" spans="1:10">
      <c r="A16" s="11" t="s">
        <v>402</v>
      </c>
      <c r="B16" s="18">
        <f>COUNTIFS(Ingredients!$W$5:$W$304,"Fish")</f>
        <v>0</v>
      </c>
      <c r="C16" s="18">
        <f>SUMPRODUCT((COUNTIFS('Recipe Ingredients'!$B$5:$B$1204,Recipes!$A$5:$A$204,'Recipe Ingredients'!$V$5:$V$1204,"Fish")&gt;0)*(Recipes!$B$5:$B$204&lt;&gt;""))</f>
        <v>0</v>
      </c>
      <c r="D16" s="18">
        <f>SUMPRODUCT((COUNTIFS(Ingredients!$B$5:$B$304,Pantry!$B$5:$B$304)&gt;0)*0)+COUNTIFS(Pantry!$B$5:$B$304,"&lt;&gt;")*0+SUMPRODUCT((Pantry!$B$5:$B$304&lt;&gt;"")*(COUNTIFS(Ingredients!$B$5:$B$304,Pantry!$B$5:$B$304,Ingredients!$W$5:$W$304,"Fish")&gt;0))</f>
        <v>0</v>
      </c>
      <c r="E16" s="46">
        <f>IF(E$11="","",IF(IFERROR(INDEX(Household!$G$5:$G$16,MATCH(E$11,Household!$B$5:$B$16,0)),"")="Fish","AVOID","ok"))</f>
        <v>0</v>
      </c>
      <c r="F16" s="46">
        <f>IF(F$11="","",IF(IFERROR(INDEX(Household!$G$5:$G$16,MATCH(F$11,Household!$B$5:$B$16,0)),"")="Fish","AVOID","ok"))</f>
        <v>0</v>
      </c>
      <c r="G16" s="46">
        <f>IF(G$11="","",IF(IFERROR(INDEX(Household!$G$5:$G$16,MATCH(G$11,Household!$B$5:$B$16,0)),"")="Fish","AVOID","ok"))</f>
        <v>0</v>
      </c>
      <c r="H16" s="46">
        <f>IF(H$11="","",IF(IFERROR(INDEX(Household!$G$5:$G$16,MATCH(H$11,Household!$B$5:$B$16,0)),"")="Fish","AVOID","ok"))</f>
        <v>0</v>
      </c>
      <c r="I16" s="46">
        <f>IF(I$11="","",IF(IFERROR(INDEX(Household!$G$5:$G$16,MATCH(I$11,Household!$B$5:$B$16,0)),"")="Fish","AVOID","ok"))</f>
        <v>0</v>
      </c>
    </row>
    <row r="17" spans="1:10">
      <c r="A17" s="11" t="s">
        <v>403</v>
      </c>
      <c r="B17" s="18">
        <f>COUNTIFS(Ingredients!$W$5:$W$304,"Lupin")</f>
        <v>0</v>
      </c>
      <c r="C17" s="18">
        <f>SUMPRODUCT((COUNTIFS('Recipe Ingredients'!$B$5:$B$1204,Recipes!$A$5:$A$204,'Recipe Ingredients'!$V$5:$V$1204,"Lupin")&gt;0)*(Recipes!$B$5:$B$204&lt;&gt;""))</f>
        <v>0</v>
      </c>
      <c r="D17" s="18">
        <f>SUMPRODUCT((COUNTIFS(Ingredients!$B$5:$B$304,Pantry!$B$5:$B$304)&gt;0)*0)+COUNTIFS(Pantry!$B$5:$B$304,"&lt;&gt;")*0+SUMPRODUCT((Pantry!$B$5:$B$304&lt;&gt;"")*(COUNTIFS(Ingredients!$B$5:$B$304,Pantry!$B$5:$B$304,Ingredients!$W$5:$W$304,"Lupin")&gt;0))</f>
        <v>0</v>
      </c>
      <c r="E17" s="46">
        <f>IF(E$11="","",IF(IFERROR(INDEX(Household!$G$5:$G$16,MATCH(E$11,Household!$B$5:$B$16,0)),"")="Lupin","AVOID","ok"))</f>
        <v>0</v>
      </c>
      <c r="F17" s="46">
        <f>IF(F$11="","",IF(IFERROR(INDEX(Household!$G$5:$G$16,MATCH(F$11,Household!$B$5:$B$16,0)),"")="Lupin","AVOID","ok"))</f>
        <v>0</v>
      </c>
      <c r="G17" s="46">
        <f>IF(G$11="","",IF(IFERROR(INDEX(Household!$G$5:$G$16,MATCH(G$11,Household!$B$5:$B$16,0)),"")="Lupin","AVOID","ok"))</f>
        <v>0</v>
      </c>
      <c r="H17" s="46">
        <f>IF(H$11="","",IF(IFERROR(INDEX(Household!$G$5:$G$16,MATCH(H$11,Household!$B$5:$B$16,0)),"")="Lupin","AVOID","ok"))</f>
        <v>0</v>
      </c>
      <c r="I17" s="46">
        <f>IF(I$11="","",IF(IFERROR(INDEX(Household!$G$5:$G$16,MATCH(I$11,Household!$B$5:$B$16,0)),"")="Lupin","AVOID","ok"))</f>
        <v>0</v>
      </c>
    </row>
    <row r="18" spans="1:10">
      <c r="A18" s="11" t="s">
        <v>404</v>
      </c>
      <c r="B18" s="18">
        <f>COUNTIFS(Ingredients!$W$5:$W$304,"Milk")</f>
        <v>0</v>
      </c>
      <c r="C18" s="18">
        <f>SUMPRODUCT((COUNTIFS('Recipe Ingredients'!$B$5:$B$1204,Recipes!$A$5:$A$204,'Recipe Ingredients'!$V$5:$V$1204,"Milk")&gt;0)*(Recipes!$B$5:$B$204&lt;&gt;""))</f>
        <v>0</v>
      </c>
      <c r="D18" s="18">
        <f>SUMPRODUCT((COUNTIFS(Ingredients!$B$5:$B$304,Pantry!$B$5:$B$304)&gt;0)*0)+COUNTIFS(Pantry!$B$5:$B$304,"&lt;&gt;")*0+SUMPRODUCT((Pantry!$B$5:$B$304&lt;&gt;"")*(COUNTIFS(Ingredients!$B$5:$B$304,Pantry!$B$5:$B$304,Ingredients!$W$5:$W$304,"Milk")&gt;0))</f>
        <v>0</v>
      </c>
      <c r="E18" s="46">
        <f>IF(E$11="","",IF(IFERROR(INDEX(Household!$G$5:$G$16,MATCH(E$11,Household!$B$5:$B$16,0)),"")="Milk","AVOID","ok"))</f>
        <v>0</v>
      </c>
      <c r="F18" s="46">
        <f>IF(F$11="","",IF(IFERROR(INDEX(Household!$G$5:$G$16,MATCH(F$11,Household!$B$5:$B$16,0)),"")="Milk","AVOID","ok"))</f>
        <v>0</v>
      </c>
      <c r="G18" s="46">
        <f>IF(G$11="","",IF(IFERROR(INDEX(Household!$G$5:$G$16,MATCH(G$11,Household!$B$5:$B$16,0)),"")="Milk","AVOID","ok"))</f>
        <v>0</v>
      </c>
      <c r="H18" s="46">
        <f>IF(H$11="","",IF(IFERROR(INDEX(Household!$G$5:$G$16,MATCH(H$11,Household!$B$5:$B$16,0)),"")="Milk","AVOID","ok"))</f>
        <v>0</v>
      </c>
      <c r="I18" s="46">
        <f>IF(I$11="","",IF(IFERROR(INDEX(Household!$G$5:$G$16,MATCH(I$11,Household!$B$5:$B$16,0)),"")="Milk","AVOID","ok"))</f>
        <v>0</v>
      </c>
    </row>
    <row r="19" spans="1:10">
      <c r="A19" s="11" t="s">
        <v>405</v>
      </c>
      <c r="B19" s="18">
        <f>COUNTIFS(Ingredients!$W$5:$W$304,"Molluscs")</f>
        <v>0</v>
      </c>
      <c r="C19" s="18">
        <f>SUMPRODUCT((COUNTIFS('Recipe Ingredients'!$B$5:$B$1204,Recipes!$A$5:$A$204,'Recipe Ingredients'!$V$5:$V$1204,"Molluscs")&gt;0)*(Recipes!$B$5:$B$204&lt;&gt;""))</f>
        <v>0</v>
      </c>
      <c r="D19" s="18">
        <f>SUMPRODUCT((COUNTIFS(Ingredients!$B$5:$B$304,Pantry!$B$5:$B$304)&gt;0)*0)+COUNTIFS(Pantry!$B$5:$B$304,"&lt;&gt;")*0+SUMPRODUCT((Pantry!$B$5:$B$304&lt;&gt;"")*(COUNTIFS(Ingredients!$B$5:$B$304,Pantry!$B$5:$B$304,Ingredients!$W$5:$W$304,"Molluscs")&gt;0))</f>
        <v>0</v>
      </c>
      <c r="E19" s="46">
        <f>IF(E$11="","",IF(IFERROR(INDEX(Household!$G$5:$G$16,MATCH(E$11,Household!$B$5:$B$16,0)),"")="Molluscs","AVOID","ok"))</f>
        <v>0</v>
      </c>
      <c r="F19" s="46">
        <f>IF(F$11="","",IF(IFERROR(INDEX(Household!$G$5:$G$16,MATCH(F$11,Household!$B$5:$B$16,0)),"")="Molluscs","AVOID","ok"))</f>
        <v>0</v>
      </c>
      <c r="G19" s="46">
        <f>IF(G$11="","",IF(IFERROR(INDEX(Household!$G$5:$G$16,MATCH(G$11,Household!$B$5:$B$16,0)),"")="Molluscs","AVOID","ok"))</f>
        <v>0</v>
      </c>
      <c r="H19" s="46">
        <f>IF(H$11="","",IF(IFERROR(INDEX(Household!$G$5:$G$16,MATCH(H$11,Household!$B$5:$B$16,0)),"")="Molluscs","AVOID","ok"))</f>
        <v>0</v>
      </c>
      <c r="I19" s="46">
        <f>IF(I$11="","",IF(IFERROR(INDEX(Household!$G$5:$G$16,MATCH(I$11,Household!$B$5:$B$16,0)),"")="Molluscs","AVOID","ok"))</f>
        <v>0</v>
      </c>
    </row>
    <row r="20" spans="1:10">
      <c r="A20" s="11" t="s">
        <v>406</v>
      </c>
      <c r="B20" s="18">
        <f>COUNTIFS(Ingredients!$W$5:$W$304,"Mustard")</f>
        <v>0</v>
      </c>
      <c r="C20" s="18">
        <f>SUMPRODUCT((COUNTIFS('Recipe Ingredients'!$B$5:$B$1204,Recipes!$A$5:$A$204,'Recipe Ingredients'!$V$5:$V$1204,"Mustard")&gt;0)*(Recipes!$B$5:$B$204&lt;&gt;""))</f>
        <v>0</v>
      </c>
      <c r="D20" s="18">
        <f>SUMPRODUCT((COUNTIFS(Ingredients!$B$5:$B$304,Pantry!$B$5:$B$304)&gt;0)*0)+COUNTIFS(Pantry!$B$5:$B$304,"&lt;&gt;")*0+SUMPRODUCT((Pantry!$B$5:$B$304&lt;&gt;"")*(COUNTIFS(Ingredients!$B$5:$B$304,Pantry!$B$5:$B$304,Ingredients!$W$5:$W$304,"Mustard")&gt;0))</f>
        <v>0</v>
      </c>
      <c r="E20" s="46">
        <f>IF(E$11="","",IF(IFERROR(INDEX(Household!$G$5:$G$16,MATCH(E$11,Household!$B$5:$B$16,0)),"")="Mustard","AVOID","ok"))</f>
        <v>0</v>
      </c>
      <c r="F20" s="46">
        <f>IF(F$11="","",IF(IFERROR(INDEX(Household!$G$5:$G$16,MATCH(F$11,Household!$B$5:$B$16,0)),"")="Mustard","AVOID","ok"))</f>
        <v>0</v>
      </c>
      <c r="G20" s="46">
        <f>IF(G$11="","",IF(IFERROR(INDEX(Household!$G$5:$G$16,MATCH(G$11,Household!$B$5:$B$16,0)),"")="Mustard","AVOID","ok"))</f>
        <v>0</v>
      </c>
      <c r="H20" s="46">
        <f>IF(H$11="","",IF(IFERROR(INDEX(Household!$G$5:$G$16,MATCH(H$11,Household!$B$5:$B$16,0)),"")="Mustard","AVOID","ok"))</f>
        <v>0</v>
      </c>
      <c r="I20" s="46">
        <f>IF(I$11="","",IF(IFERROR(INDEX(Household!$G$5:$G$16,MATCH(I$11,Household!$B$5:$B$16,0)),"")="Mustard","AVOID","ok"))</f>
        <v>0</v>
      </c>
    </row>
    <row r="21" spans="1:10">
      <c r="A21" s="11" t="s">
        <v>407</v>
      </c>
      <c r="B21" s="18">
        <f>COUNTIFS(Ingredients!$W$5:$W$304,"Nuts")</f>
        <v>0</v>
      </c>
      <c r="C21" s="18">
        <f>SUMPRODUCT((COUNTIFS('Recipe Ingredients'!$B$5:$B$1204,Recipes!$A$5:$A$204,'Recipe Ingredients'!$V$5:$V$1204,"Nuts")&gt;0)*(Recipes!$B$5:$B$204&lt;&gt;""))</f>
        <v>0</v>
      </c>
      <c r="D21" s="18">
        <f>SUMPRODUCT((COUNTIFS(Ingredients!$B$5:$B$304,Pantry!$B$5:$B$304)&gt;0)*0)+COUNTIFS(Pantry!$B$5:$B$304,"&lt;&gt;")*0+SUMPRODUCT((Pantry!$B$5:$B$304&lt;&gt;"")*(COUNTIFS(Ingredients!$B$5:$B$304,Pantry!$B$5:$B$304,Ingredients!$W$5:$W$304,"Nuts")&gt;0))</f>
        <v>0</v>
      </c>
      <c r="E21" s="46">
        <f>IF(E$11="","",IF(IFERROR(INDEX(Household!$G$5:$G$16,MATCH(E$11,Household!$B$5:$B$16,0)),"")="Nuts","AVOID","ok"))</f>
        <v>0</v>
      </c>
      <c r="F21" s="46">
        <f>IF(F$11="","",IF(IFERROR(INDEX(Household!$G$5:$G$16,MATCH(F$11,Household!$B$5:$B$16,0)),"")="Nuts","AVOID","ok"))</f>
        <v>0</v>
      </c>
      <c r="G21" s="46">
        <f>IF(G$11="","",IF(IFERROR(INDEX(Household!$G$5:$G$16,MATCH(G$11,Household!$B$5:$B$16,0)),"")="Nuts","AVOID","ok"))</f>
        <v>0</v>
      </c>
      <c r="H21" s="46">
        <f>IF(H$11="","",IF(IFERROR(INDEX(Household!$G$5:$G$16,MATCH(H$11,Household!$B$5:$B$16,0)),"")="Nuts","AVOID","ok"))</f>
        <v>0</v>
      </c>
      <c r="I21" s="46">
        <f>IF(I$11="","",IF(IFERROR(INDEX(Household!$G$5:$G$16,MATCH(I$11,Household!$B$5:$B$16,0)),"")="Nuts","AVOID","ok"))</f>
        <v>0</v>
      </c>
    </row>
    <row r="22" spans="1:10">
      <c r="A22" s="11" t="s">
        <v>408</v>
      </c>
      <c r="B22" s="18">
        <f>COUNTIFS(Ingredients!$W$5:$W$304,"Peanuts")</f>
        <v>0</v>
      </c>
      <c r="C22" s="18">
        <f>SUMPRODUCT((COUNTIFS('Recipe Ingredients'!$B$5:$B$1204,Recipes!$A$5:$A$204,'Recipe Ingredients'!$V$5:$V$1204,"Peanuts")&gt;0)*(Recipes!$B$5:$B$204&lt;&gt;""))</f>
        <v>0</v>
      </c>
      <c r="D22" s="18">
        <f>SUMPRODUCT((COUNTIFS(Ingredients!$B$5:$B$304,Pantry!$B$5:$B$304)&gt;0)*0)+COUNTIFS(Pantry!$B$5:$B$304,"&lt;&gt;")*0+SUMPRODUCT((Pantry!$B$5:$B$304&lt;&gt;"")*(COUNTIFS(Ingredients!$B$5:$B$304,Pantry!$B$5:$B$304,Ingredients!$W$5:$W$304,"Peanuts")&gt;0))</f>
        <v>0</v>
      </c>
      <c r="E22" s="46">
        <f>IF(E$11="","",IF(IFERROR(INDEX(Household!$G$5:$G$16,MATCH(E$11,Household!$B$5:$B$16,0)),"")="Peanuts","AVOID","ok"))</f>
        <v>0</v>
      </c>
      <c r="F22" s="46">
        <f>IF(F$11="","",IF(IFERROR(INDEX(Household!$G$5:$G$16,MATCH(F$11,Household!$B$5:$B$16,0)),"")="Peanuts","AVOID","ok"))</f>
        <v>0</v>
      </c>
      <c r="G22" s="46">
        <f>IF(G$11="","",IF(IFERROR(INDEX(Household!$G$5:$G$16,MATCH(G$11,Household!$B$5:$B$16,0)),"")="Peanuts","AVOID","ok"))</f>
        <v>0</v>
      </c>
      <c r="H22" s="46">
        <f>IF(H$11="","",IF(IFERROR(INDEX(Household!$G$5:$G$16,MATCH(H$11,Household!$B$5:$B$16,0)),"")="Peanuts","AVOID","ok"))</f>
        <v>0</v>
      </c>
      <c r="I22" s="46">
        <f>IF(I$11="","",IF(IFERROR(INDEX(Household!$G$5:$G$16,MATCH(I$11,Household!$B$5:$B$16,0)),"")="Peanuts","AVOID","ok"))</f>
        <v>0</v>
      </c>
    </row>
    <row r="23" spans="1:10">
      <c r="A23" s="11" t="s">
        <v>409</v>
      </c>
      <c r="B23" s="18">
        <f>COUNTIFS(Ingredients!$W$5:$W$304,"Sesame")</f>
        <v>0</v>
      </c>
      <c r="C23" s="18">
        <f>SUMPRODUCT((COUNTIFS('Recipe Ingredients'!$B$5:$B$1204,Recipes!$A$5:$A$204,'Recipe Ingredients'!$V$5:$V$1204,"Sesame")&gt;0)*(Recipes!$B$5:$B$204&lt;&gt;""))</f>
        <v>0</v>
      </c>
      <c r="D23" s="18">
        <f>SUMPRODUCT((COUNTIFS(Ingredients!$B$5:$B$304,Pantry!$B$5:$B$304)&gt;0)*0)+COUNTIFS(Pantry!$B$5:$B$304,"&lt;&gt;")*0+SUMPRODUCT((Pantry!$B$5:$B$304&lt;&gt;"")*(COUNTIFS(Ingredients!$B$5:$B$304,Pantry!$B$5:$B$304,Ingredients!$W$5:$W$304,"Sesame")&gt;0))</f>
        <v>0</v>
      </c>
      <c r="E23" s="46">
        <f>IF(E$11="","",IF(IFERROR(INDEX(Household!$G$5:$G$16,MATCH(E$11,Household!$B$5:$B$16,0)),"")="Sesame","AVOID","ok"))</f>
        <v>0</v>
      </c>
      <c r="F23" s="46">
        <f>IF(F$11="","",IF(IFERROR(INDEX(Household!$G$5:$G$16,MATCH(F$11,Household!$B$5:$B$16,0)),"")="Sesame","AVOID","ok"))</f>
        <v>0</v>
      </c>
      <c r="G23" s="46">
        <f>IF(G$11="","",IF(IFERROR(INDEX(Household!$G$5:$G$16,MATCH(G$11,Household!$B$5:$B$16,0)),"")="Sesame","AVOID","ok"))</f>
        <v>0</v>
      </c>
      <c r="H23" s="46">
        <f>IF(H$11="","",IF(IFERROR(INDEX(Household!$G$5:$G$16,MATCH(H$11,Household!$B$5:$B$16,0)),"")="Sesame","AVOID","ok"))</f>
        <v>0</v>
      </c>
      <c r="I23" s="46">
        <f>IF(I$11="","",IF(IFERROR(INDEX(Household!$G$5:$G$16,MATCH(I$11,Household!$B$5:$B$16,0)),"")="Sesame","AVOID","ok"))</f>
        <v>0</v>
      </c>
    </row>
    <row r="24" spans="1:10">
      <c r="A24" s="11" t="s">
        <v>410</v>
      </c>
      <c r="B24" s="18">
        <f>COUNTIFS(Ingredients!$W$5:$W$304,"Soya")</f>
        <v>0</v>
      </c>
      <c r="C24" s="18">
        <f>SUMPRODUCT((COUNTIFS('Recipe Ingredients'!$B$5:$B$1204,Recipes!$A$5:$A$204,'Recipe Ingredients'!$V$5:$V$1204,"Soya")&gt;0)*(Recipes!$B$5:$B$204&lt;&gt;""))</f>
        <v>0</v>
      </c>
      <c r="D24" s="18">
        <f>SUMPRODUCT((COUNTIFS(Ingredients!$B$5:$B$304,Pantry!$B$5:$B$304)&gt;0)*0)+COUNTIFS(Pantry!$B$5:$B$304,"&lt;&gt;")*0+SUMPRODUCT((Pantry!$B$5:$B$304&lt;&gt;"")*(COUNTIFS(Ingredients!$B$5:$B$304,Pantry!$B$5:$B$304,Ingredients!$W$5:$W$304,"Soya")&gt;0))</f>
        <v>0</v>
      </c>
      <c r="E24" s="46">
        <f>IF(E$11="","",IF(IFERROR(INDEX(Household!$G$5:$G$16,MATCH(E$11,Household!$B$5:$B$16,0)),"")="Soya","AVOID","ok"))</f>
        <v>0</v>
      </c>
      <c r="F24" s="46">
        <f>IF(F$11="","",IF(IFERROR(INDEX(Household!$G$5:$G$16,MATCH(F$11,Household!$B$5:$B$16,0)),"")="Soya","AVOID","ok"))</f>
        <v>0</v>
      </c>
      <c r="G24" s="46">
        <f>IF(G$11="","",IF(IFERROR(INDEX(Household!$G$5:$G$16,MATCH(G$11,Household!$B$5:$B$16,0)),"")="Soya","AVOID","ok"))</f>
        <v>0</v>
      </c>
      <c r="H24" s="46">
        <f>IF(H$11="","",IF(IFERROR(INDEX(Household!$G$5:$G$16,MATCH(H$11,Household!$B$5:$B$16,0)),"")="Soya","AVOID","ok"))</f>
        <v>0</v>
      </c>
      <c r="I24" s="46">
        <f>IF(I$11="","",IF(IFERROR(INDEX(Household!$G$5:$G$16,MATCH(I$11,Household!$B$5:$B$16,0)),"")="Soya","AVOID","ok"))</f>
        <v>0</v>
      </c>
    </row>
    <row r="25" spans="1:10">
      <c r="A25" s="11" t="s">
        <v>411</v>
      </c>
      <c r="B25" s="18">
        <f>COUNTIFS(Ingredients!$W$5:$W$304,"Sulphites")</f>
        <v>0</v>
      </c>
      <c r="C25" s="18">
        <f>SUMPRODUCT((COUNTIFS('Recipe Ingredients'!$B$5:$B$1204,Recipes!$A$5:$A$204,'Recipe Ingredients'!$V$5:$V$1204,"Sulphites")&gt;0)*(Recipes!$B$5:$B$204&lt;&gt;""))</f>
        <v>0</v>
      </c>
      <c r="D25" s="18">
        <f>SUMPRODUCT((COUNTIFS(Ingredients!$B$5:$B$304,Pantry!$B$5:$B$304)&gt;0)*0)+COUNTIFS(Pantry!$B$5:$B$304,"&lt;&gt;")*0+SUMPRODUCT((Pantry!$B$5:$B$304&lt;&gt;"")*(COUNTIFS(Ingredients!$B$5:$B$304,Pantry!$B$5:$B$304,Ingredients!$W$5:$W$304,"Sulphites")&gt;0))</f>
        <v>0</v>
      </c>
      <c r="E25" s="46">
        <f>IF(E$11="","",IF(IFERROR(INDEX(Household!$G$5:$G$16,MATCH(E$11,Household!$B$5:$B$16,0)),"")="Sulphites","AVOID","ok"))</f>
        <v>0</v>
      </c>
      <c r="F25" s="46">
        <f>IF(F$11="","",IF(IFERROR(INDEX(Household!$G$5:$G$16,MATCH(F$11,Household!$B$5:$B$16,0)),"")="Sulphites","AVOID","ok"))</f>
        <v>0</v>
      </c>
      <c r="G25" s="46">
        <f>IF(G$11="","",IF(IFERROR(INDEX(Household!$G$5:$G$16,MATCH(G$11,Household!$B$5:$B$16,0)),"")="Sulphites","AVOID","ok"))</f>
        <v>0</v>
      </c>
      <c r="H25" s="46">
        <f>IF(H$11="","",IF(IFERROR(INDEX(Household!$G$5:$G$16,MATCH(H$11,Household!$B$5:$B$16,0)),"")="Sulphites","AVOID","ok"))</f>
        <v>0</v>
      </c>
      <c r="I25" s="46">
        <f>IF(I$11="","",IF(IFERROR(INDEX(Household!$G$5:$G$16,MATCH(I$11,Household!$B$5:$B$16,0)),"")="Sulphites","AVOID","ok"))</f>
        <v>0</v>
      </c>
    </row>
    <row r="27" spans="1:10" ht="20" customHeight="1">
      <c r="A27" s="7" t="s">
        <v>1424</v>
      </c>
      <c r="B27" s="7"/>
      <c r="C27" s="7"/>
      <c r="D27" s="7"/>
      <c r="E27" s="7"/>
      <c r="F27" s="7"/>
      <c r="G27" s="7"/>
      <c r="H27" s="7"/>
      <c r="I27" s="7"/>
      <c r="J27" s="7"/>
    </row>
    <row r="28" spans="1:10" ht="26" customHeight="1">
      <c r="A28" s="8" t="s">
        <v>762</v>
      </c>
      <c r="B28" s="9" t="s">
        <v>1425</v>
      </c>
      <c r="C28" s="9" t="s">
        <v>766</v>
      </c>
      <c r="D28" s="9" t="s">
        <v>763</v>
      </c>
      <c r="E28" s="9" t="s">
        <v>808</v>
      </c>
    </row>
    <row r="29" spans="1:10">
      <c r="A29" s="17">
        <f>IFERROR(IF(INDEX(Recipes!$AJ$5:$AJ$204,MATCH(1,Recipes!$AK$5:$AK$204,0))="None listed","",INDEX(Recipes!$B$5:$B$204,MATCH(1,Recipes!$AK$5:$AK$204,0))),"")</f>
        <v>0</v>
      </c>
      <c r="B29" s="17">
        <f>IFERROR(IF(INDEX(Recipes!$AJ$5:$AJ$204,MATCH(1,Recipes!$AK$5:$AK$204,0))="None listed","",INDEX(Recipes!$AJ$5:$AJ$204,MATCH(1,Recipes!$AK$5:$AK$204,0))),"")</f>
        <v>0</v>
      </c>
      <c r="C29" s="18">
        <f>IFERROR(IF(INDEX(Recipes!$AJ$5:$AJ$204,MATCH(1,Recipes!$AK$5:$AK$204,0))="None listed","",INDEX(Recipes!$G$5:$G$204,MATCH(1,Recipes!$AK$5:$AK$204,0))),"")</f>
        <v>0</v>
      </c>
      <c r="D29" s="17">
        <f>IFERROR(IF(INDEX(Recipes!$AJ$5:$AJ$204,MATCH(1,Recipes!$AK$5:$AK$204,0))="None listed","",INDEX(Recipes!$C$5:$C$204,MATCH(1,Recipes!$AK$5:$AK$204,0))),"")</f>
        <v>0</v>
      </c>
      <c r="E29" s="19">
        <f>IFERROR(IF(INDEX(Recipes!$AJ$5:$AJ$204,MATCH(1,Recipes!$AK$5:$AK$204,0))="None listed","",INDEX(Recipes!$BB$5:$BB$204,MATCH(1,Recipes!$AK$5:$AK$204,0))),"")</f>
        <v>0</v>
      </c>
    </row>
    <row r="30" spans="1:10">
      <c r="A30" s="17">
        <f>IFERROR(IF(INDEX(Recipes!$AJ$5:$AJ$204,MATCH(2,Recipes!$AK$5:$AK$204,0))="None listed","",INDEX(Recipes!$B$5:$B$204,MATCH(2,Recipes!$AK$5:$AK$204,0))),"")</f>
        <v>0</v>
      </c>
      <c r="B30" s="17">
        <f>IFERROR(IF(INDEX(Recipes!$AJ$5:$AJ$204,MATCH(2,Recipes!$AK$5:$AK$204,0))="None listed","",INDEX(Recipes!$AJ$5:$AJ$204,MATCH(2,Recipes!$AK$5:$AK$204,0))),"")</f>
        <v>0</v>
      </c>
      <c r="C30" s="18">
        <f>IFERROR(IF(INDEX(Recipes!$AJ$5:$AJ$204,MATCH(2,Recipes!$AK$5:$AK$204,0))="None listed","",INDEX(Recipes!$G$5:$G$204,MATCH(2,Recipes!$AK$5:$AK$204,0))),"")</f>
        <v>0</v>
      </c>
      <c r="D30" s="17">
        <f>IFERROR(IF(INDEX(Recipes!$AJ$5:$AJ$204,MATCH(2,Recipes!$AK$5:$AK$204,0))="None listed","",INDEX(Recipes!$C$5:$C$204,MATCH(2,Recipes!$AK$5:$AK$204,0))),"")</f>
        <v>0</v>
      </c>
      <c r="E30" s="19">
        <f>IFERROR(IF(INDEX(Recipes!$AJ$5:$AJ$204,MATCH(2,Recipes!$AK$5:$AK$204,0))="None listed","",INDEX(Recipes!$BB$5:$BB$204,MATCH(2,Recipes!$AK$5:$AK$204,0))),"")</f>
        <v>0</v>
      </c>
    </row>
    <row r="31" spans="1:10">
      <c r="A31" s="17">
        <f>IFERROR(IF(INDEX(Recipes!$AJ$5:$AJ$204,MATCH(3,Recipes!$AK$5:$AK$204,0))="None listed","",INDEX(Recipes!$B$5:$B$204,MATCH(3,Recipes!$AK$5:$AK$204,0))),"")</f>
        <v>0</v>
      </c>
      <c r="B31" s="17">
        <f>IFERROR(IF(INDEX(Recipes!$AJ$5:$AJ$204,MATCH(3,Recipes!$AK$5:$AK$204,0))="None listed","",INDEX(Recipes!$AJ$5:$AJ$204,MATCH(3,Recipes!$AK$5:$AK$204,0))),"")</f>
        <v>0</v>
      </c>
      <c r="C31" s="18">
        <f>IFERROR(IF(INDEX(Recipes!$AJ$5:$AJ$204,MATCH(3,Recipes!$AK$5:$AK$204,0))="None listed","",INDEX(Recipes!$G$5:$G$204,MATCH(3,Recipes!$AK$5:$AK$204,0))),"")</f>
        <v>0</v>
      </c>
      <c r="D31" s="17">
        <f>IFERROR(IF(INDEX(Recipes!$AJ$5:$AJ$204,MATCH(3,Recipes!$AK$5:$AK$204,0))="None listed","",INDEX(Recipes!$C$5:$C$204,MATCH(3,Recipes!$AK$5:$AK$204,0))),"")</f>
        <v>0</v>
      </c>
      <c r="E31" s="19">
        <f>IFERROR(IF(INDEX(Recipes!$AJ$5:$AJ$204,MATCH(3,Recipes!$AK$5:$AK$204,0))="None listed","",INDEX(Recipes!$BB$5:$BB$204,MATCH(3,Recipes!$AK$5:$AK$204,0))),"")</f>
        <v>0</v>
      </c>
    </row>
    <row r="32" spans="1:10">
      <c r="A32" s="17">
        <f>IFERROR(IF(INDEX(Recipes!$AJ$5:$AJ$204,MATCH(4,Recipes!$AK$5:$AK$204,0))="None listed","",INDEX(Recipes!$B$5:$B$204,MATCH(4,Recipes!$AK$5:$AK$204,0))),"")</f>
        <v>0</v>
      </c>
      <c r="B32" s="17">
        <f>IFERROR(IF(INDEX(Recipes!$AJ$5:$AJ$204,MATCH(4,Recipes!$AK$5:$AK$204,0))="None listed","",INDEX(Recipes!$AJ$5:$AJ$204,MATCH(4,Recipes!$AK$5:$AK$204,0))),"")</f>
        <v>0</v>
      </c>
      <c r="C32" s="18">
        <f>IFERROR(IF(INDEX(Recipes!$AJ$5:$AJ$204,MATCH(4,Recipes!$AK$5:$AK$204,0))="None listed","",INDEX(Recipes!$G$5:$G$204,MATCH(4,Recipes!$AK$5:$AK$204,0))),"")</f>
        <v>0</v>
      </c>
      <c r="D32" s="17">
        <f>IFERROR(IF(INDEX(Recipes!$AJ$5:$AJ$204,MATCH(4,Recipes!$AK$5:$AK$204,0))="None listed","",INDEX(Recipes!$C$5:$C$204,MATCH(4,Recipes!$AK$5:$AK$204,0))),"")</f>
        <v>0</v>
      </c>
      <c r="E32" s="19">
        <f>IFERROR(IF(INDEX(Recipes!$AJ$5:$AJ$204,MATCH(4,Recipes!$AK$5:$AK$204,0))="None listed","",INDEX(Recipes!$BB$5:$BB$204,MATCH(4,Recipes!$AK$5:$AK$204,0))),"")</f>
        <v>0</v>
      </c>
    </row>
    <row r="33" spans="1:10">
      <c r="A33" s="17">
        <f>IFERROR(IF(INDEX(Recipes!$AJ$5:$AJ$204,MATCH(5,Recipes!$AK$5:$AK$204,0))="None listed","",INDEX(Recipes!$B$5:$B$204,MATCH(5,Recipes!$AK$5:$AK$204,0))),"")</f>
        <v>0</v>
      </c>
      <c r="B33" s="17">
        <f>IFERROR(IF(INDEX(Recipes!$AJ$5:$AJ$204,MATCH(5,Recipes!$AK$5:$AK$204,0))="None listed","",INDEX(Recipes!$AJ$5:$AJ$204,MATCH(5,Recipes!$AK$5:$AK$204,0))),"")</f>
        <v>0</v>
      </c>
      <c r="C33" s="18">
        <f>IFERROR(IF(INDEX(Recipes!$AJ$5:$AJ$204,MATCH(5,Recipes!$AK$5:$AK$204,0))="None listed","",INDEX(Recipes!$G$5:$G$204,MATCH(5,Recipes!$AK$5:$AK$204,0))),"")</f>
        <v>0</v>
      </c>
      <c r="D33" s="17">
        <f>IFERROR(IF(INDEX(Recipes!$AJ$5:$AJ$204,MATCH(5,Recipes!$AK$5:$AK$204,0))="None listed","",INDEX(Recipes!$C$5:$C$204,MATCH(5,Recipes!$AK$5:$AK$204,0))),"")</f>
        <v>0</v>
      </c>
      <c r="E33" s="19">
        <f>IFERROR(IF(INDEX(Recipes!$AJ$5:$AJ$204,MATCH(5,Recipes!$AK$5:$AK$204,0))="None listed","",INDEX(Recipes!$BB$5:$BB$204,MATCH(5,Recipes!$AK$5:$AK$204,0))),"")</f>
        <v>0</v>
      </c>
    </row>
    <row r="34" spans="1:10">
      <c r="A34" s="17">
        <f>IFERROR(IF(INDEX(Recipes!$AJ$5:$AJ$204,MATCH(6,Recipes!$AK$5:$AK$204,0))="None listed","",INDEX(Recipes!$B$5:$B$204,MATCH(6,Recipes!$AK$5:$AK$204,0))),"")</f>
        <v>0</v>
      </c>
      <c r="B34" s="17">
        <f>IFERROR(IF(INDEX(Recipes!$AJ$5:$AJ$204,MATCH(6,Recipes!$AK$5:$AK$204,0))="None listed","",INDEX(Recipes!$AJ$5:$AJ$204,MATCH(6,Recipes!$AK$5:$AK$204,0))),"")</f>
        <v>0</v>
      </c>
      <c r="C34" s="18">
        <f>IFERROR(IF(INDEX(Recipes!$AJ$5:$AJ$204,MATCH(6,Recipes!$AK$5:$AK$204,0))="None listed","",INDEX(Recipes!$G$5:$G$204,MATCH(6,Recipes!$AK$5:$AK$204,0))),"")</f>
        <v>0</v>
      </c>
      <c r="D34" s="17">
        <f>IFERROR(IF(INDEX(Recipes!$AJ$5:$AJ$204,MATCH(6,Recipes!$AK$5:$AK$204,0))="None listed","",INDEX(Recipes!$C$5:$C$204,MATCH(6,Recipes!$AK$5:$AK$204,0))),"")</f>
        <v>0</v>
      </c>
      <c r="E34" s="19">
        <f>IFERROR(IF(INDEX(Recipes!$AJ$5:$AJ$204,MATCH(6,Recipes!$AK$5:$AK$204,0))="None listed","",INDEX(Recipes!$BB$5:$BB$204,MATCH(6,Recipes!$AK$5:$AK$204,0))),"")</f>
        <v>0</v>
      </c>
    </row>
    <row r="35" spans="1:10">
      <c r="A35" s="17">
        <f>IFERROR(IF(INDEX(Recipes!$AJ$5:$AJ$204,MATCH(7,Recipes!$AK$5:$AK$204,0))="None listed","",INDEX(Recipes!$B$5:$B$204,MATCH(7,Recipes!$AK$5:$AK$204,0))),"")</f>
        <v>0</v>
      </c>
      <c r="B35" s="17">
        <f>IFERROR(IF(INDEX(Recipes!$AJ$5:$AJ$204,MATCH(7,Recipes!$AK$5:$AK$204,0))="None listed","",INDEX(Recipes!$AJ$5:$AJ$204,MATCH(7,Recipes!$AK$5:$AK$204,0))),"")</f>
        <v>0</v>
      </c>
      <c r="C35" s="18">
        <f>IFERROR(IF(INDEX(Recipes!$AJ$5:$AJ$204,MATCH(7,Recipes!$AK$5:$AK$204,0))="None listed","",INDEX(Recipes!$G$5:$G$204,MATCH(7,Recipes!$AK$5:$AK$204,0))),"")</f>
        <v>0</v>
      </c>
      <c r="D35" s="17">
        <f>IFERROR(IF(INDEX(Recipes!$AJ$5:$AJ$204,MATCH(7,Recipes!$AK$5:$AK$204,0))="None listed","",INDEX(Recipes!$C$5:$C$204,MATCH(7,Recipes!$AK$5:$AK$204,0))),"")</f>
        <v>0</v>
      </c>
      <c r="E35" s="19">
        <f>IFERROR(IF(INDEX(Recipes!$AJ$5:$AJ$204,MATCH(7,Recipes!$AK$5:$AK$204,0))="None listed","",INDEX(Recipes!$BB$5:$BB$204,MATCH(7,Recipes!$AK$5:$AK$204,0))),"")</f>
        <v>0</v>
      </c>
    </row>
    <row r="36" spans="1:10">
      <c r="A36" s="17">
        <f>IFERROR(IF(INDEX(Recipes!$AJ$5:$AJ$204,MATCH(8,Recipes!$AK$5:$AK$204,0))="None listed","",INDEX(Recipes!$B$5:$B$204,MATCH(8,Recipes!$AK$5:$AK$204,0))),"")</f>
        <v>0</v>
      </c>
      <c r="B36" s="17">
        <f>IFERROR(IF(INDEX(Recipes!$AJ$5:$AJ$204,MATCH(8,Recipes!$AK$5:$AK$204,0))="None listed","",INDEX(Recipes!$AJ$5:$AJ$204,MATCH(8,Recipes!$AK$5:$AK$204,0))),"")</f>
        <v>0</v>
      </c>
      <c r="C36" s="18">
        <f>IFERROR(IF(INDEX(Recipes!$AJ$5:$AJ$204,MATCH(8,Recipes!$AK$5:$AK$204,0))="None listed","",INDEX(Recipes!$G$5:$G$204,MATCH(8,Recipes!$AK$5:$AK$204,0))),"")</f>
        <v>0</v>
      </c>
      <c r="D36" s="17">
        <f>IFERROR(IF(INDEX(Recipes!$AJ$5:$AJ$204,MATCH(8,Recipes!$AK$5:$AK$204,0))="None listed","",INDEX(Recipes!$C$5:$C$204,MATCH(8,Recipes!$AK$5:$AK$204,0))),"")</f>
        <v>0</v>
      </c>
      <c r="E36" s="19">
        <f>IFERROR(IF(INDEX(Recipes!$AJ$5:$AJ$204,MATCH(8,Recipes!$AK$5:$AK$204,0))="None listed","",INDEX(Recipes!$BB$5:$BB$204,MATCH(8,Recipes!$AK$5:$AK$204,0))),"")</f>
        <v>0</v>
      </c>
    </row>
    <row r="37" spans="1:10">
      <c r="A37" s="17">
        <f>IFERROR(IF(INDEX(Recipes!$AJ$5:$AJ$204,MATCH(9,Recipes!$AK$5:$AK$204,0))="None listed","",INDEX(Recipes!$B$5:$B$204,MATCH(9,Recipes!$AK$5:$AK$204,0))),"")</f>
        <v>0</v>
      </c>
      <c r="B37" s="17">
        <f>IFERROR(IF(INDEX(Recipes!$AJ$5:$AJ$204,MATCH(9,Recipes!$AK$5:$AK$204,0))="None listed","",INDEX(Recipes!$AJ$5:$AJ$204,MATCH(9,Recipes!$AK$5:$AK$204,0))),"")</f>
        <v>0</v>
      </c>
      <c r="C37" s="18">
        <f>IFERROR(IF(INDEX(Recipes!$AJ$5:$AJ$204,MATCH(9,Recipes!$AK$5:$AK$204,0))="None listed","",INDEX(Recipes!$G$5:$G$204,MATCH(9,Recipes!$AK$5:$AK$204,0))),"")</f>
        <v>0</v>
      </c>
      <c r="D37" s="17">
        <f>IFERROR(IF(INDEX(Recipes!$AJ$5:$AJ$204,MATCH(9,Recipes!$AK$5:$AK$204,0))="None listed","",INDEX(Recipes!$C$5:$C$204,MATCH(9,Recipes!$AK$5:$AK$204,0))),"")</f>
        <v>0</v>
      </c>
      <c r="E37" s="19">
        <f>IFERROR(IF(INDEX(Recipes!$AJ$5:$AJ$204,MATCH(9,Recipes!$AK$5:$AK$204,0))="None listed","",INDEX(Recipes!$BB$5:$BB$204,MATCH(9,Recipes!$AK$5:$AK$204,0))),"")</f>
        <v>0</v>
      </c>
    </row>
    <row r="38" spans="1:10">
      <c r="A38" s="17">
        <f>IFERROR(IF(INDEX(Recipes!$AJ$5:$AJ$204,MATCH(10,Recipes!$AK$5:$AK$204,0))="None listed","",INDEX(Recipes!$B$5:$B$204,MATCH(10,Recipes!$AK$5:$AK$204,0))),"")</f>
        <v>0</v>
      </c>
      <c r="B38" s="17">
        <f>IFERROR(IF(INDEX(Recipes!$AJ$5:$AJ$204,MATCH(10,Recipes!$AK$5:$AK$204,0))="None listed","",INDEX(Recipes!$AJ$5:$AJ$204,MATCH(10,Recipes!$AK$5:$AK$204,0))),"")</f>
        <v>0</v>
      </c>
      <c r="C38" s="18">
        <f>IFERROR(IF(INDEX(Recipes!$AJ$5:$AJ$204,MATCH(10,Recipes!$AK$5:$AK$204,0))="None listed","",INDEX(Recipes!$G$5:$G$204,MATCH(10,Recipes!$AK$5:$AK$204,0))),"")</f>
        <v>0</v>
      </c>
      <c r="D38" s="17">
        <f>IFERROR(IF(INDEX(Recipes!$AJ$5:$AJ$204,MATCH(10,Recipes!$AK$5:$AK$204,0))="None listed","",INDEX(Recipes!$C$5:$C$204,MATCH(10,Recipes!$AK$5:$AK$204,0))),"")</f>
        <v>0</v>
      </c>
      <c r="E38" s="19">
        <f>IFERROR(IF(INDEX(Recipes!$AJ$5:$AJ$204,MATCH(10,Recipes!$AK$5:$AK$204,0))="None listed","",INDEX(Recipes!$BB$5:$BB$204,MATCH(10,Recipes!$AK$5:$AK$204,0))),"")</f>
        <v>0</v>
      </c>
    </row>
    <row r="40" spans="1:10" ht="20" customHeight="1">
      <c r="A40" s="7" t="s">
        <v>1426</v>
      </c>
      <c r="B40" s="7"/>
      <c r="C40" s="7"/>
      <c r="D40" s="7"/>
      <c r="E40" s="7"/>
      <c r="F40" s="7"/>
      <c r="G40" s="7"/>
      <c r="H40" s="7"/>
      <c r="I40" s="7"/>
      <c r="J40" s="7"/>
    </row>
    <row r="41" spans="1:10" ht="26" customHeight="1">
      <c r="A41" s="8" t="s">
        <v>1427</v>
      </c>
      <c r="B41" s="9" t="s">
        <v>1428</v>
      </c>
      <c r="C41" s="9" t="s">
        <v>1429</v>
      </c>
      <c r="D41" s="9" t="s">
        <v>1430</v>
      </c>
    </row>
    <row r="42" spans="1:10">
      <c r="A42" s="11" t="s">
        <v>444</v>
      </c>
      <c r="B42" s="13" t="s">
        <v>1431</v>
      </c>
      <c r="C42" s="13" t="s">
        <v>1432</v>
      </c>
      <c r="D42" s="13"/>
      <c r="E42" s="13"/>
      <c r="F42" s="13"/>
      <c r="G42" s="13"/>
      <c r="H42" s="13"/>
      <c r="I42" s="13"/>
      <c r="J42" s="18">
        <f>COUNTIFS(Pantry!$D$5:$D$304,"Fridge")</f>
        <v>0</v>
      </c>
    </row>
    <row r="43" spans="1:10">
      <c r="A43" s="11" t="s">
        <v>445</v>
      </c>
      <c r="B43" s="13" t="s">
        <v>1433</v>
      </c>
      <c r="C43" s="13" t="s">
        <v>1434</v>
      </c>
      <c r="D43" s="13"/>
      <c r="E43" s="13"/>
      <c r="F43" s="13"/>
      <c r="G43" s="13"/>
      <c r="H43" s="13"/>
      <c r="I43" s="13"/>
      <c r="J43" s="18">
        <f>COUNTIFS(Pantry!$D$5:$D$304,"Freezer")</f>
        <v>0</v>
      </c>
    </row>
    <row r="44" spans="1:10">
      <c r="A44" s="11" t="s">
        <v>443</v>
      </c>
      <c r="B44" s="13" t="s">
        <v>1435</v>
      </c>
      <c r="C44" s="13" t="s">
        <v>1436</v>
      </c>
      <c r="D44" s="13"/>
      <c r="E44" s="13"/>
      <c r="F44" s="13"/>
      <c r="G44" s="13"/>
      <c r="H44" s="13"/>
      <c r="I44" s="13"/>
      <c r="J44" s="18">
        <f>COUNTIFS(Pantry!$D$5:$D$304,"Cupboard")</f>
        <v>0</v>
      </c>
    </row>
    <row r="45" spans="1:10">
      <c r="A45" s="11" t="s">
        <v>446</v>
      </c>
      <c r="B45" s="13" t="s">
        <v>1437</v>
      </c>
      <c r="C45" s="13" t="s">
        <v>1438</v>
      </c>
      <c r="D45" s="13"/>
      <c r="E45" s="13"/>
      <c r="F45" s="13"/>
      <c r="G45" s="13"/>
      <c r="H45" s="13"/>
      <c r="I45" s="13"/>
      <c r="J45" s="18">
        <f>COUNTIFS(Pantry!$D$5:$D$304,"Fruit bowl")</f>
        <v>0</v>
      </c>
    </row>
    <row r="46" spans="1:10">
      <c r="A46" s="11" t="s">
        <v>1439</v>
      </c>
      <c r="B46" s="13" t="s">
        <v>1437</v>
      </c>
      <c r="C46" s="13" t="s">
        <v>1440</v>
      </c>
      <c r="D46" s="13"/>
      <c r="E46" s="13"/>
      <c r="F46" s="13"/>
      <c r="G46" s="13"/>
      <c r="H46" s="13"/>
      <c r="I46" s="13"/>
      <c r="J46" s="18">
        <f>COUNTIFS(Pantry!$D$5:$D$304,"Not the fridge")</f>
        <v>0</v>
      </c>
    </row>
    <row r="48" spans="1:10" ht="20" customHeight="1">
      <c r="A48" s="7" t="s">
        <v>1441</v>
      </c>
      <c r="B48" s="7"/>
      <c r="C48" s="7"/>
      <c r="D48" s="7"/>
      <c r="E48" s="7"/>
      <c r="F48" s="7"/>
      <c r="G48" s="7"/>
      <c r="H48" s="7"/>
      <c r="I48" s="7"/>
      <c r="J48" s="7"/>
    </row>
    <row r="49" spans="1:10" ht="26" customHeight="1">
      <c r="A49" s="8" t="s">
        <v>121</v>
      </c>
      <c r="B49" s="9" t="s">
        <v>1428</v>
      </c>
      <c r="C49" s="9" t="s">
        <v>1442</v>
      </c>
    </row>
    <row r="50" spans="1:10">
      <c r="A50" s="11" t="s">
        <v>1443</v>
      </c>
      <c r="B50" s="11" t="s">
        <v>1444</v>
      </c>
      <c r="C50" s="13" t="s">
        <v>1445</v>
      </c>
      <c r="D50" s="13"/>
      <c r="E50" s="13"/>
      <c r="F50" s="13"/>
      <c r="G50" s="13"/>
      <c r="H50" s="13"/>
      <c r="I50" s="13"/>
      <c r="J50" s="13"/>
    </row>
    <row r="51" spans="1:10">
      <c r="A51" s="11" t="s">
        <v>1446</v>
      </c>
      <c r="B51" s="11" t="s">
        <v>1447</v>
      </c>
      <c r="C51" s="13" t="s">
        <v>1448</v>
      </c>
      <c r="D51" s="13"/>
      <c r="E51" s="13"/>
      <c r="F51" s="13"/>
      <c r="G51" s="13"/>
      <c r="H51" s="13"/>
      <c r="I51" s="13"/>
      <c r="J51" s="13"/>
    </row>
    <row r="52" spans="1:10">
      <c r="A52" s="11" t="s">
        <v>1449</v>
      </c>
      <c r="B52" s="11" t="s">
        <v>1447</v>
      </c>
      <c r="C52" s="13" t="s">
        <v>1450</v>
      </c>
      <c r="D52" s="13"/>
      <c r="E52" s="13"/>
      <c r="F52" s="13"/>
      <c r="G52" s="13"/>
      <c r="H52" s="13"/>
      <c r="I52" s="13"/>
      <c r="J52" s="13"/>
    </row>
    <row r="53" spans="1:10">
      <c r="A53" s="11" t="s">
        <v>1451</v>
      </c>
      <c r="B53" s="11" t="s">
        <v>1452</v>
      </c>
      <c r="C53" s="13" t="s">
        <v>1453</v>
      </c>
      <c r="D53" s="13"/>
      <c r="E53" s="13"/>
      <c r="F53" s="13"/>
      <c r="G53" s="13"/>
      <c r="H53" s="13"/>
      <c r="I53" s="13"/>
      <c r="J53" s="13"/>
    </row>
    <row r="54" spans="1:10">
      <c r="A54" s="11" t="s">
        <v>402</v>
      </c>
      <c r="B54" s="11" t="s">
        <v>1454</v>
      </c>
      <c r="C54" s="13" t="s">
        <v>1455</v>
      </c>
      <c r="D54" s="13"/>
      <c r="E54" s="13"/>
      <c r="F54" s="13"/>
      <c r="G54" s="13"/>
      <c r="H54" s="13"/>
      <c r="I54" s="13"/>
      <c r="J54" s="13"/>
    </row>
    <row r="55" spans="1:10">
      <c r="A55" s="11" t="s">
        <v>1456</v>
      </c>
      <c r="B55" s="11" t="s">
        <v>1444</v>
      </c>
      <c r="C55" s="13" t="s">
        <v>1457</v>
      </c>
      <c r="D55" s="13"/>
      <c r="E55" s="13"/>
      <c r="F55" s="13"/>
      <c r="G55" s="13"/>
      <c r="H55" s="13"/>
      <c r="I55" s="13"/>
      <c r="J55" s="13"/>
    </row>
    <row r="56" spans="1:10">
      <c r="A56" s="11" t="s">
        <v>444</v>
      </c>
      <c r="B56" s="11" t="s">
        <v>1431</v>
      </c>
      <c r="C56" s="13" t="s">
        <v>1458</v>
      </c>
      <c r="D56" s="13"/>
      <c r="E56" s="13"/>
      <c r="F56" s="13"/>
      <c r="G56" s="13"/>
      <c r="H56" s="13"/>
      <c r="I56" s="13"/>
      <c r="J56" s="13"/>
    </row>
    <row r="57" spans="1:10">
      <c r="A57" s="11" t="s">
        <v>445</v>
      </c>
      <c r="B57" s="11" t="s">
        <v>1459</v>
      </c>
      <c r="C57" s="13" t="s">
        <v>1460</v>
      </c>
      <c r="D57" s="13"/>
      <c r="E57" s="13"/>
      <c r="F57" s="13"/>
      <c r="G57" s="13"/>
      <c r="H57" s="13"/>
      <c r="I57" s="13"/>
      <c r="J57" s="13"/>
    </row>
    <row r="59" spans="1:10" ht="20" customHeight="1">
      <c r="A59" s="7" t="s">
        <v>1461</v>
      </c>
      <c r="B59" s="7"/>
      <c r="C59" s="7"/>
      <c r="D59" s="7"/>
      <c r="E59" s="7"/>
      <c r="F59" s="7"/>
      <c r="G59" s="7"/>
      <c r="H59" s="7"/>
      <c r="I59" s="7"/>
      <c r="J59" s="7"/>
    </row>
    <row r="60" spans="1:10" ht="26" customHeight="1">
      <c r="A60" s="13" t="s">
        <v>1462</v>
      </c>
      <c r="B60" s="13"/>
      <c r="C60" s="13"/>
      <c r="D60" s="13"/>
      <c r="E60" s="13"/>
      <c r="F60" s="13"/>
      <c r="G60" s="13"/>
      <c r="H60" s="13"/>
      <c r="I60" s="13"/>
      <c r="J60" s="13"/>
    </row>
    <row r="61" spans="1:10" ht="26" customHeight="1">
      <c r="A61" s="13" t="s">
        <v>1463</v>
      </c>
      <c r="B61" s="13"/>
      <c r="C61" s="13"/>
      <c r="D61" s="13"/>
      <c r="E61" s="13"/>
      <c r="F61" s="13"/>
      <c r="G61" s="13"/>
      <c r="H61" s="13"/>
      <c r="I61" s="13"/>
      <c r="J61" s="13"/>
    </row>
    <row r="62" spans="1:10" ht="26" customHeight="1">
      <c r="A62" s="13" t="s">
        <v>1464</v>
      </c>
      <c r="B62" s="13"/>
      <c r="C62" s="13"/>
      <c r="D62" s="13"/>
      <c r="E62" s="13"/>
      <c r="F62" s="13"/>
      <c r="G62" s="13"/>
      <c r="H62" s="13"/>
      <c r="I62" s="13"/>
      <c r="J62" s="13"/>
    </row>
    <row r="63" spans="1:10" ht="26" customHeight="1">
      <c r="A63" s="13" t="s">
        <v>1465</v>
      </c>
      <c r="B63" s="13"/>
      <c r="C63" s="13"/>
      <c r="D63" s="13"/>
      <c r="E63" s="13"/>
      <c r="F63" s="13"/>
      <c r="G63" s="13"/>
      <c r="H63" s="13"/>
      <c r="I63" s="13"/>
      <c r="J63" s="13"/>
    </row>
    <row r="64" spans="1:10" ht="26" customHeight="1">
      <c r="A64" s="13" t="s">
        <v>1466</v>
      </c>
      <c r="B64" s="13"/>
      <c r="C64" s="13"/>
      <c r="D64" s="13"/>
      <c r="E64" s="13"/>
      <c r="F64" s="13"/>
      <c r="G64" s="13"/>
      <c r="H64" s="13"/>
      <c r="I64" s="13"/>
      <c r="J64" s="13"/>
    </row>
    <row r="65" spans="1:10" ht="26" customHeight="1">
      <c r="A65" s="13" t="s">
        <v>1467</v>
      </c>
      <c r="B65" s="13"/>
      <c r="C65" s="13"/>
      <c r="D65" s="13"/>
      <c r="E65" s="13"/>
      <c r="F65" s="13"/>
      <c r="G65" s="13"/>
      <c r="H65" s="13"/>
      <c r="I65" s="13"/>
      <c r="J65" s="13"/>
    </row>
    <row r="66" spans="1:10" ht="26" customHeight="1">
      <c r="A66" s="13" t="s">
        <v>1468</v>
      </c>
      <c r="B66" s="13"/>
      <c r="C66" s="13"/>
      <c r="D66" s="13"/>
      <c r="E66" s="13"/>
      <c r="F66" s="13"/>
      <c r="G66" s="13"/>
      <c r="H66" s="13"/>
      <c r="I66" s="13"/>
      <c r="J66" s="13"/>
    </row>
    <row r="68" spans="1:10" ht="46" customHeight="1">
      <c r="A68" s="6" t="s">
        <v>1469</v>
      </c>
      <c r="B68" s="6"/>
      <c r="C68" s="6"/>
      <c r="D68" s="6"/>
      <c r="E68" s="6"/>
      <c r="F68" s="6"/>
      <c r="G68" s="6"/>
      <c r="H68" s="6"/>
      <c r="I68" s="6"/>
      <c r="J68" s="6"/>
    </row>
  </sheetData>
  <sheetProtection password="EC7C" sheet="1" objects="1" scenarios="1" formatCells="0" formatColumns="0" formatRows="0" insertRows="0" insertHyperlinks="0" deleteRows="0" autoFilter="0"/>
  <mergeCells count="47">
    <mergeCell ref="A1:G1"/>
    <mergeCell ref="H1:J1"/>
    <mergeCell ref="A2:J2"/>
    <mergeCell ref="A3:B3"/>
    <mergeCell ref="C3:D3"/>
    <mergeCell ref="E3:F3"/>
    <mergeCell ref="G3:H3"/>
    <mergeCell ref="I3:J3"/>
    <mergeCell ref="A5:B5"/>
    <mergeCell ref="A6:B6"/>
    <mergeCell ref="A7:B7"/>
    <mergeCell ref="C5:D5"/>
    <mergeCell ref="C6:D6"/>
    <mergeCell ref="C7:D7"/>
    <mergeCell ref="E5:F5"/>
    <mergeCell ref="E6:F6"/>
    <mergeCell ref="E7:F7"/>
    <mergeCell ref="G5:H5"/>
    <mergeCell ref="G6:H6"/>
    <mergeCell ref="G7:H7"/>
    <mergeCell ref="A9:J9"/>
    <mergeCell ref="A10:J10"/>
    <mergeCell ref="A27:J27"/>
    <mergeCell ref="A40:J40"/>
    <mergeCell ref="C42:I42"/>
    <mergeCell ref="C43:I43"/>
    <mergeCell ref="C44:I44"/>
    <mergeCell ref="C45:I45"/>
    <mergeCell ref="C46:I46"/>
    <mergeCell ref="A48:J48"/>
    <mergeCell ref="C50:J50"/>
    <mergeCell ref="C51:J51"/>
    <mergeCell ref="C52:J52"/>
    <mergeCell ref="C53:J53"/>
    <mergeCell ref="C54:J54"/>
    <mergeCell ref="C55:J55"/>
    <mergeCell ref="C56:J56"/>
    <mergeCell ref="C57:J57"/>
    <mergeCell ref="A59:J59"/>
    <mergeCell ref="A60:J60"/>
    <mergeCell ref="A61:J61"/>
    <mergeCell ref="A62:J62"/>
    <mergeCell ref="A63:J63"/>
    <mergeCell ref="A64:J64"/>
    <mergeCell ref="A65:J65"/>
    <mergeCell ref="A66:J66"/>
    <mergeCell ref="A68:J68"/>
  </mergeCells>
  <conditionalFormatting sqref="B12:D25">
    <cfRule type="dataBar" priority="3">
      <dataBar>
        <cfvo type="min" val="0"/>
        <cfvo type="max" val="0"/>
        <color rgb="FFD9703C"/>
      </dataBar>
    </cfRule>
  </conditionalFormatting>
  <conditionalFormatting sqref="E12:I25">
    <cfRule type="containsText" dxfId="2" priority="1" operator="containsText" text="AVOID">
      <formula>NOT(ISERROR(SEARCH("AVOID",E12)))</formula>
    </cfRule>
    <cfRule type="containsText" dxfId="3" priority="2" operator="containsText" text="ok">
      <formula>NOT(ISERROR(SEARCH("ok",E12)))</formula>
    </cfRule>
  </conditionalFormatting>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&amp;L&amp;"Calibri,Bold"&amp;12&amp;C&amp;"Calibri,Bold"&amp;11Food Safety&amp;R&amp;"Calibri,Italic"&amp;9Automated Meal Planner &amp; Grocery List Spreadsheet</oddHeader>
    <oddFooter>&amp;L&amp;"Calibri,Italic"&amp;8Novality Store - v1.0.0&amp;C&amp;"Calibri,Italic"&amp;8Page &amp;P of &amp;N&amp;R&amp;"Calibri,Italic"&amp;8&amp;D</oddFooter>
  </headerFooter>
</worksheet>
</file>

<file path=xl/worksheets/sheet25.xml><?xml version="1.0" encoding="utf-8"?>
<worksheet xmlns="http://schemas.openxmlformats.org/spreadsheetml/2006/main" xmlns:r="http://schemas.openxmlformats.org/officeDocument/2006/relationships">
  <sheetPr>
    <tabColor rgb="FF4E8A63"/>
    <pageSetUpPr fitToPage="1"/>
  </sheetPr>
  <dimension ref="A1:I68"/>
  <sheetViews>
    <sheetView showGridLines="0" workbookViewId="0">
      <pane ySplit="4" topLeftCell="A5" activePane="bottomLeft" state="frozen"/>
      <selection pane="bottomLeft"/>
    </sheetView>
  </sheetViews>
  <sheetFormatPr defaultRowHeight="15"/>
  <cols>
    <col min="1" max="1" width="6.7109375" customWidth="1"/>
    <col min="2" max="2" width="26.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 max="1" width="5.7109375" customWidth="1"/>
    <col min="2" max="2" width="26.7109375" customWidth="1"/>
    <col min="3" max="3" width="12.7109375" customWidth="1"/>
    <col min="4" max="4" width="10.7109375" customWidth="1"/>
    <col min="5" max="5" width="13.7109375" customWidth="1"/>
    <col min="6" max="6" width="12.7109375" customWidth="1"/>
    <col min="7" max="7" width="12.7109375" customWidth="1"/>
    <col min="8" max="8" width="14.7109375" customWidth="1"/>
    <col min="1" max="1" width="5.7109375" customWidth="1"/>
    <col min="2" max="2" width="26.7109375" customWidth="1"/>
    <col min="3" max="3" width="12.7109375" customWidth="1"/>
    <col min="4" max="4" width="10.7109375" customWidth="1"/>
    <col min="5" max="5" width="13.7109375" customWidth="1"/>
    <col min="6" max="6" width="12.7109375" customWidth="1"/>
    <col min="7" max="7" width="12.7109375" customWidth="1"/>
    <col min="8" max="8" width="14.7109375" customWidth="1"/>
    <col min="1" max="1" width="5.7109375" customWidth="1"/>
    <col min="2" max="2" width="28.7109375" customWidth="1"/>
    <col min="3" max="3" width="10.7109375" customWidth="1"/>
    <col min="4" max="4" width="12.7109375" customWidth="1"/>
    <col min="5" max="5" width="13.7109375" customWidth="1"/>
    <col min="6" max="6" width="13.7109375" customWidth="1"/>
    <col min="7" max="7" width="12.7109375" customWidth="1"/>
    <col min="8" max="8" width="12.7109375" customWidth="1"/>
    <col min="1" max="1" width="22.7109375" customWidth="1"/>
    <col min="2" max="2" width="22.7109375" customWidth="1"/>
    <col min="3" max="3" width="24.7109375" customWidth="1"/>
    <col min="4" max="4" width="30.7109375" customWidth="1"/>
  </cols>
  <sheetData>
    <row r="1" spans="1:9" ht="34" customHeight="1">
      <c r="A1" s="2" t="s">
        <v>1470</v>
      </c>
      <c r="B1" s="2"/>
      <c r="C1" s="2"/>
      <c r="D1" s="2"/>
      <c r="E1" s="2"/>
      <c r="F1" s="2"/>
      <c r="G1" s="3" t="s">
        <v>1</v>
      </c>
      <c r="H1" s="3"/>
      <c r="I1" s="3"/>
    </row>
    <row r="2" spans="1:9" ht="18" customHeight="1">
      <c r="A2" s="4" t="s">
        <v>1471</v>
      </c>
      <c r="B2" s="4"/>
      <c r="C2" s="4"/>
      <c r="D2" s="4"/>
      <c r="E2" s="4"/>
      <c r="F2" s="4"/>
      <c r="G2" s="4"/>
      <c r="H2" s="4"/>
      <c r="I2" s="4"/>
    </row>
    <row r="3" spans="1:9" ht="16" customHeight="1">
      <c r="A3" s="5" t="s">
        <v>3</v>
      </c>
      <c r="B3" s="5"/>
      <c r="C3" s="5" t="s">
        <v>4</v>
      </c>
      <c r="D3" s="5"/>
      <c r="E3" s="5" t="s">
        <v>5</v>
      </c>
      <c r="F3" s="5"/>
      <c r="G3" s="5" t="s">
        <v>6</v>
      </c>
      <c r="H3" s="5"/>
      <c r="I3" s="28" t="s">
        <v>157</v>
      </c>
    </row>
    <row r="5" spans="1:9">
      <c r="A5" s="10" t="s">
        <v>511</v>
      </c>
      <c r="B5" s="10"/>
      <c r="C5" s="10" t="s">
        <v>512</v>
      </c>
      <c r="D5" s="10"/>
      <c r="E5" s="10" t="s">
        <v>1473</v>
      </c>
      <c r="F5" s="10"/>
      <c r="G5" s="10" t="s">
        <v>1475</v>
      </c>
      <c r="H5" s="10"/>
    </row>
    <row r="6" spans="1:9" ht="26" customHeight="1">
      <c r="A6" s="20">
        <f>COUNTIFS(Pantry!$D$5:$D$304,"Fridge")</f>
        <v>0</v>
      </c>
      <c r="B6" s="20"/>
      <c r="C6" s="20">
        <f>COUNTIFS(Pantry!$D$5:$D$304,"Freezer")</f>
        <v>0</v>
      </c>
      <c r="D6" s="20"/>
      <c r="E6" s="20">
        <f>COUNTIF(Pantry!$W$5:$W$304,"Use soon")</f>
        <v>0</v>
      </c>
      <c r="F6" s="20"/>
      <c r="G6" s="21">
        <f>SUMIFS(Pantry!$P$5:$P$304,Pantry!$D$5:$D$304,"Fridge")+SUMIFS(Pantry!$P$5:$P$304,Pantry!$D$5:$D$304,"Freezer")</f>
        <v>0</v>
      </c>
      <c r="H6" s="21"/>
    </row>
    <row r="7" spans="1:9">
      <c r="A7" s="22" t="s">
        <v>1472</v>
      </c>
      <c r="B7" s="22"/>
      <c r="C7" s="22" t="s">
        <v>1472</v>
      </c>
      <c r="D7" s="22"/>
      <c r="E7" s="22" t="s">
        <v>1474</v>
      </c>
      <c r="F7" s="22"/>
      <c r="G7" s="22" t="s">
        <v>107</v>
      </c>
      <c r="H7" s="22"/>
    </row>
    <row r="9" spans="1:9" ht="20" customHeight="1">
      <c r="A9" s="7" t="s">
        <v>444</v>
      </c>
      <c r="B9" s="7"/>
      <c r="C9" s="7"/>
      <c r="D9" s="7"/>
      <c r="E9" s="7"/>
      <c r="F9" s="7"/>
      <c r="G9" s="7"/>
      <c r="H9" s="7"/>
      <c r="I9" s="7"/>
    </row>
    <row r="10" spans="1:9" ht="24" customHeight="1">
      <c r="A10" s="6" t="s">
        <v>1476</v>
      </c>
      <c r="B10" s="6"/>
      <c r="C10" s="6"/>
      <c r="D10" s="6"/>
      <c r="E10" s="6"/>
      <c r="F10" s="6"/>
      <c r="G10" s="6"/>
      <c r="H10" s="6"/>
      <c r="I10" s="6"/>
    </row>
    <row r="11" spans="1:9" ht="26" customHeight="1">
      <c r="A11" s="8" t="s">
        <v>1057</v>
      </c>
      <c r="B11" s="9" t="s">
        <v>1058</v>
      </c>
      <c r="C11" s="9" t="s">
        <v>1166</v>
      </c>
      <c r="D11" s="9" t="s">
        <v>664</v>
      </c>
      <c r="E11" s="9" t="s">
        <v>1100</v>
      </c>
      <c r="F11" s="9" t="s">
        <v>1103</v>
      </c>
      <c r="G11" s="9" t="s">
        <v>1104</v>
      </c>
      <c r="H11" s="9" t="s">
        <v>728</v>
      </c>
    </row>
    <row r="12" spans="1:9">
      <c r="A12" s="13">
        <v>1</v>
      </c>
      <c r="B12" s="17">
        <f>IFERROR(INDEX(Pantry!$B$5:$B$304,MATCH(1,Pantry!$U$5:$U$304,0)),"")</f>
        <v>0</v>
      </c>
      <c r="C12" s="45">
        <f>IFERROR(INDEX(Pantry!$E$5:$E$304,MATCH(1,Pantry!$U$5:$U$304,0)),"")</f>
        <v>0</v>
      </c>
      <c r="D12" s="17">
        <f>IFERROR(INDEX(Pantry!$F$5:$F$304,MATCH(1,Pantry!$U$5:$U$304,0)),"")</f>
        <v>0</v>
      </c>
      <c r="E12" s="19">
        <f>IFERROR(INDEX(Pantry!$M$5:$M$304,MATCH(1,Pantry!$U$5:$U$304,0)),"")</f>
        <v>0</v>
      </c>
      <c r="F12" s="18">
        <f>IFERROR(INDEX(Pantry!$N$5:$N$304,MATCH(1,Pantry!$U$5:$U$304,0)),"")</f>
        <v>0</v>
      </c>
      <c r="G12" s="25">
        <f>IFERROR(INDEX(Pantry!$P$5:$P$304,MATCH(1,Pantry!$U$5:$U$304,0)),"")</f>
        <v>0</v>
      </c>
      <c r="H12" s="31">
        <f>IFERROR(INDEX(Pantry!$W$5:$W$304,MATCH(1,Pantry!$U$5:$U$304,0)),"")</f>
        <v>0</v>
      </c>
    </row>
    <row r="13" spans="1:9">
      <c r="A13" s="13">
        <v>2</v>
      </c>
      <c r="B13" s="17">
        <f>IFERROR(INDEX(Pantry!$B$5:$B$304,MATCH(2,Pantry!$U$5:$U$304,0)),"")</f>
        <v>0</v>
      </c>
      <c r="C13" s="45">
        <f>IFERROR(INDEX(Pantry!$E$5:$E$304,MATCH(2,Pantry!$U$5:$U$304,0)),"")</f>
        <v>0</v>
      </c>
      <c r="D13" s="17">
        <f>IFERROR(INDEX(Pantry!$F$5:$F$304,MATCH(2,Pantry!$U$5:$U$304,0)),"")</f>
        <v>0</v>
      </c>
      <c r="E13" s="19">
        <f>IFERROR(INDEX(Pantry!$M$5:$M$304,MATCH(2,Pantry!$U$5:$U$304,0)),"")</f>
        <v>0</v>
      </c>
      <c r="F13" s="18">
        <f>IFERROR(INDEX(Pantry!$N$5:$N$304,MATCH(2,Pantry!$U$5:$U$304,0)),"")</f>
        <v>0</v>
      </c>
      <c r="G13" s="25">
        <f>IFERROR(INDEX(Pantry!$P$5:$P$304,MATCH(2,Pantry!$U$5:$U$304,0)),"")</f>
        <v>0</v>
      </c>
      <c r="H13" s="31">
        <f>IFERROR(INDEX(Pantry!$W$5:$W$304,MATCH(2,Pantry!$U$5:$U$304,0)),"")</f>
        <v>0</v>
      </c>
    </row>
    <row r="14" spans="1:9">
      <c r="A14" s="13">
        <v>3</v>
      </c>
      <c r="B14" s="17">
        <f>IFERROR(INDEX(Pantry!$B$5:$B$304,MATCH(3,Pantry!$U$5:$U$304,0)),"")</f>
        <v>0</v>
      </c>
      <c r="C14" s="45">
        <f>IFERROR(INDEX(Pantry!$E$5:$E$304,MATCH(3,Pantry!$U$5:$U$304,0)),"")</f>
        <v>0</v>
      </c>
      <c r="D14" s="17">
        <f>IFERROR(INDEX(Pantry!$F$5:$F$304,MATCH(3,Pantry!$U$5:$U$304,0)),"")</f>
        <v>0</v>
      </c>
      <c r="E14" s="19">
        <f>IFERROR(INDEX(Pantry!$M$5:$M$304,MATCH(3,Pantry!$U$5:$U$304,0)),"")</f>
        <v>0</v>
      </c>
      <c r="F14" s="18">
        <f>IFERROR(INDEX(Pantry!$N$5:$N$304,MATCH(3,Pantry!$U$5:$U$304,0)),"")</f>
        <v>0</v>
      </c>
      <c r="G14" s="25">
        <f>IFERROR(INDEX(Pantry!$P$5:$P$304,MATCH(3,Pantry!$U$5:$U$304,0)),"")</f>
        <v>0</v>
      </c>
      <c r="H14" s="31">
        <f>IFERROR(INDEX(Pantry!$W$5:$W$304,MATCH(3,Pantry!$U$5:$U$304,0)),"")</f>
        <v>0</v>
      </c>
    </row>
    <row r="15" spans="1:9">
      <c r="A15" s="13">
        <v>4</v>
      </c>
      <c r="B15" s="17">
        <f>IFERROR(INDEX(Pantry!$B$5:$B$304,MATCH(4,Pantry!$U$5:$U$304,0)),"")</f>
        <v>0</v>
      </c>
      <c r="C15" s="45">
        <f>IFERROR(INDEX(Pantry!$E$5:$E$304,MATCH(4,Pantry!$U$5:$U$304,0)),"")</f>
        <v>0</v>
      </c>
      <c r="D15" s="17">
        <f>IFERROR(INDEX(Pantry!$F$5:$F$304,MATCH(4,Pantry!$U$5:$U$304,0)),"")</f>
        <v>0</v>
      </c>
      <c r="E15" s="19">
        <f>IFERROR(INDEX(Pantry!$M$5:$M$304,MATCH(4,Pantry!$U$5:$U$304,0)),"")</f>
        <v>0</v>
      </c>
      <c r="F15" s="18">
        <f>IFERROR(INDEX(Pantry!$N$5:$N$304,MATCH(4,Pantry!$U$5:$U$304,0)),"")</f>
        <v>0</v>
      </c>
      <c r="G15" s="25">
        <f>IFERROR(INDEX(Pantry!$P$5:$P$304,MATCH(4,Pantry!$U$5:$U$304,0)),"")</f>
        <v>0</v>
      </c>
      <c r="H15" s="31">
        <f>IFERROR(INDEX(Pantry!$W$5:$W$304,MATCH(4,Pantry!$U$5:$U$304,0)),"")</f>
        <v>0</v>
      </c>
    </row>
    <row r="16" spans="1:9">
      <c r="A16" s="13">
        <v>5</v>
      </c>
      <c r="B16" s="17">
        <f>IFERROR(INDEX(Pantry!$B$5:$B$304,MATCH(5,Pantry!$U$5:$U$304,0)),"")</f>
        <v>0</v>
      </c>
      <c r="C16" s="45">
        <f>IFERROR(INDEX(Pantry!$E$5:$E$304,MATCH(5,Pantry!$U$5:$U$304,0)),"")</f>
        <v>0</v>
      </c>
      <c r="D16" s="17">
        <f>IFERROR(INDEX(Pantry!$F$5:$F$304,MATCH(5,Pantry!$U$5:$U$304,0)),"")</f>
        <v>0</v>
      </c>
      <c r="E16" s="19">
        <f>IFERROR(INDEX(Pantry!$M$5:$M$304,MATCH(5,Pantry!$U$5:$U$304,0)),"")</f>
        <v>0</v>
      </c>
      <c r="F16" s="18">
        <f>IFERROR(INDEX(Pantry!$N$5:$N$304,MATCH(5,Pantry!$U$5:$U$304,0)),"")</f>
        <v>0</v>
      </c>
      <c r="G16" s="25">
        <f>IFERROR(INDEX(Pantry!$P$5:$P$304,MATCH(5,Pantry!$U$5:$U$304,0)),"")</f>
        <v>0</v>
      </c>
      <c r="H16" s="31">
        <f>IFERROR(INDEX(Pantry!$W$5:$W$304,MATCH(5,Pantry!$U$5:$U$304,0)),"")</f>
        <v>0</v>
      </c>
    </row>
    <row r="17" spans="1:9">
      <c r="A17" s="13">
        <v>6</v>
      </c>
      <c r="B17" s="17">
        <f>IFERROR(INDEX(Pantry!$B$5:$B$304,MATCH(6,Pantry!$U$5:$U$304,0)),"")</f>
        <v>0</v>
      </c>
      <c r="C17" s="45">
        <f>IFERROR(INDEX(Pantry!$E$5:$E$304,MATCH(6,Pantry!$U$5:$U$304,0)),"")</f>
        <v>0</v>
      </c>
      <c r="D17" s="17">
        <f>IFERROR(INDEX(Pantry!$F$5:$F$304,MATCH(6,Pantry!$U$5:$U$304,0)),"")</f>
        <v>0</v>
      </c>
      <c r="E17" s="19">
        <f>IFERROR(INDEX(Pantry!$M$5:$M$304,MATCH(6,Pantry!$U$5:$U$304,0)),"")</f>
        <v>0</v>
      </c>
      <c r="F17" s="18">
        <f>IFERROR(INDEX(Pantry!$N$5:$N$304,MATCH(6,Pantry!$U$5:$U$304,0)),"")</f>
        <v>0</v>
      </c>
      <c r="G17" s="25">
        <f>IFERROR(INDEX(Pantry!$P$5:$P$304,MATCH(6,Pantry!$U$5:$U$304,0)),"")</f>
        <v>0</v>
      </c>
      <c r="H17" s="31">
        <f>IFERROR(INDEX(Pantry!$W$5:$W$304,MATCH(6,Pantry!$U$5:$U$304,0)),"")</f>
        <v>0</v>
      </c>
    </row>
    <row r="18" spans="1:9">
      <c r="A18" s="13">
        <v>7</v>
      </c>
      <c r="B18" s="17">
        <f>IFERROR(INDEX(Pantry!$B$5:$B$304,MATCH(7,Pantry!$U$5:$U$304,0)),"")</f>
        <v>0</v>
      </c>
      <c r="C18" s="45">
        <f>IFERROR(INDEX(Pantry!$E$5:$E$304,MATCH(7,Pantry!$U$5:$U$304,0)),"")</f>
        <v>0</v>
      </c>
      <c r="D18" s="17">
        <f>IFERROR(INDEX(Pantry!$F$5:$F$304,MATCH(7,Pantry!$U$5:$U$304,0)),"")</f>
        <v>0</v>
      </c>
      <c r="E18" s="19">
        <f>IFERROR(INDEX(Pantry!$M$5:$M$304,MATCH(7,Pantry!$U$5:$U$304,0)),"")</f>
        <v>0</v>
      </c>
      <c r="F18" s="18">
        <f>IFERROR(INDEX(Pantry!$N$5:$N$304,MATCH(7,Pantry!$U$5:$U$304,0)),"")</f>
        <v>0</v>
      </c>
      <c r="G18" s="25">
        <f>IFERROR(INDEX(Pantry!$P$5:$P$304,MATCH(7,Pantry!$U$5:$U$304,0)),"")</f>
        <v>0</v>
      </c>
      <c r="H18" s="31">
        <f>IFERROR(INDEX(Pantry!$W$5:$W$304,MATCH(7,Pantry!$U$5:$U$304,0)),"")</f>
        <v>0</v>
      </c>
    </row>
    <row r="19" spans="1:9">
      <c r="A19" s="13">
        <v>8</v>
      </c>
      <c r="B19" s="17">
        <f>IFERROR(INDEX(Pantry!$B$5:$B$304,MATCH(8,Pantry!$U$5:$U$304,0)),"")</f>
        <v>0</v>
      </c>
      <c r="C19" s="45">
        <f>IFERROR(INDEX(Pantry!$E$5:$E$304,MATCH(8,Pantry!$U$5:$U$304,0)),"")</f>
        <v>0</v>
      </c>
      <c r="D19" s="17">
        <f>IFERROR(INDEX(Pantry!$F$5:$F$304,MATCH(8,Pantry!$U$5:$U$304,0)),"")</f>
        <v>0</v>
      </c>
      <c r="E19" s="19">
        <f>IFERROR(INDEX(Pantry!$M$5:$M$304,MATCH(8,Pantry!$U$5:$U$304,0)),"")</f>
        <v>0</v>
      </c>
      <c r="F19" s="18">
        <f>IFERROR(INDEX(Pantry!$N$5:$N$304,MATCH(8,Pantry!$U$5:$U$304,0)),"")</f>
        <v>0</v>
      </c>
      <c r="G19" s="25">
        <f>IFERROR(INDEX(Pantry!$P$5:$P$304,MATCH(8,Pantry!$U$5:$U$304,0)),"")</f>
        <v>0</v>
      </c>
      <c r="H19" s="31">
        <f>IFERROR(INDEX(Pantry!$W$5:$W$304,MATCH(8,Pantry!$U$5:$U$304,0)),"")</f>
        <v>0</v>
      </c>
    </row>
    <row r="20" spans="1:9">
      <c r="A20" s="13">
        <v>9</v>
      </c>
      <c r="B20" s="17">
        <f>IFERROR(INDEX(Pantry!$B$5:$B$304,MATCH(9,Pantry!$U$5:$U$304,0)),"")</f>
        <v>0</v>
      </c>
      <c r="C20" s="45">
        <f>IFERROR(INDEX(Pantry!$E$5:$E$304,MATCH(9,Pantry!$U$5:$U$304,0)),"")</f>
        <v>0</v>
      </c>
      <c r="D20" s="17">
        <f>IFERROR(INDEX(Pantry!$F$5:$F$304,MATCH(9,Pantry!$U$5:$U$304,0)),"")</f>
        <v>0</v>
      </c>
      <c r="E20" s="19">
        <f>IFERROR(INDEX(Pantry!$M$5:$M$304,MATCH(9,Pantry!$U$5:$U$304,0)),"")</f>
        <v>0</v>
      </c>
      <c r="F20" s="18">
        <f>IFERROR(INDEX(Pantry!$N$5:$N$304,MATCH(9,Pantry!$U$5:$U$304,0)),"")</f>
        <v>0</v>
      </c>
      <c r="G20" s="25">
        <f>IFERROR(INDEX(Pantry!$P$5:$P$304,MATCH(9,Pantry!$U$5:$U$304,0)),"")</f>
        <v>0</v>
      </c>
      <c r="H20" s="31">
        <f>IFERROR(INDEX(Pantry!$W$5:$W$304,MATCH(9,Pantry!$U$5:$U$304,0)),"")</f>
        <v>0</v>
      </c>
    </row>
    <row r="21" spans="1:9">
      <c r="A21" s="13">
        <v>10</v>
      </c>
      <c r="B21" s="17">
        <f>IFERROR(INDEX(Pantry!$B$5:$B$304,MATCH(10,Pantry!$U$5:$U$304,0)),"")</f>
        <v>0</v>
      </c>
      <c r="C21" s="45">
        <f>IFERROR(INDEX(Pantry!$E$5:$E$304,MATCH(10,Pantry!$U$5:$U$304,0)),"")</f>
        <v>0</v>
      </c>
      <c r="D21" s="17">
        <f>IFERROR(INDEX(Pantry!$F$5:$F$304,MATCH(10,Pantry!$U$5:$U$304,0)),"")</f>
        <v>0</v>
      </c>
      <c r="E21" s="19">
        <f>IFERROR(INDEX(Pantry!$M$5:$M$304,MATCH(10,Pantry!$U$5:$U$304,0)),"")</f>
        <v>0</v>
      </c>
      <c r="F21" s="18">
        <f>IFERROR(INDEX(Pantry!$N$5:$N$304,MATCH(10,Pantry!$U$5:$U$304,0)),"")</f>
        <v>0</v>
      </c>
      <c r="G21" s="25">
        <f>IFERROR(INDEX(Pantry!$P$5:$P$304,MATCH(10,Pantry!$U$5:$U$304,0)),"")</f>
        <v>0</v>
      </c>
      <c r="H21" s="31">
        <f>IFERROR(INDEX(Pantry!$W$5:$W$304,MATCH(10,Pantry!$U$5:$U$304,0)),"")</f>
        <v>0</v>
      </c>
    </row>
    <row r="22" spans="1:9">
      <c r="A22" s="13">
        <v>11</v>
      </c>
      <c r="B22" s="17">
        <f>IFERROR(INDEX(Pantry!$B$5:$B$304,MATCH(11,Pantry!$U$5:$U$304,0)),"")</f>
        <v>0</v>
      </c>
      <c r="C22" s="45">
        <f>IFERROR(INDEX(Pantry!$E$5:$E$304,MATCH(11,Pantry!$U$5:$U$304,0)),"")</f>
        <v>0</v>
      </c>
      <c r="D22" s="17">
        <f>IFERROR(INDEX(Pantry!$F$5:$F$304,MATCH(11,Pantry!$U$5:$U$304,0)),"")</f>
        <v>0</v>
      </c>
      <c r="E22" s="19">
        <f>IFERROR(INDEX(Pantry!$M$5:$M$304,MATCH(11,Pantry!$U$5:$U$304,0)),"")</f>
        <v>0</v>
      </c>
      <c r="F22" s="18">
        <f>IFERROR(INDEX(Pantry!$N$5:$N$304,MATCH(11,Pantry!$U$5:$U$304,0)),"")</f>
        <v>0</v>
      </c>
      <c r="G22" s="25">
        <f>IFERROR(INDEX(Pantry!$P$5:$P$304,MATCH(11,Pantry!$U$5:$U$304,0)),"")</f>
        <v>0</v>
      </c>
      <c r="H22" s="31">
        <f>IFERROR(INDEX(Pantry!$W$5:$W$304,MATCH(11,Pantry!$U$5:$U$304,0)),"")</f>
        <v>0</v>
      </c>
    </row>
    <row r="23" spans="1:9">
      <c r="A23" s="13">
        <v>12</v>
      </c>
      <c r="B23" s="17">
        <f>IFERROR(INDEX(Pantry!$B$5:$B$304,MATCH(12,Pantry!$U$5:$U$304,0)),"")</f>
        <v>0</v>
      </c>
      <c r="C23" s="45">
        <f>IFERROR(INDEX(Pantry!$E$5:$E$304,MATCH(12,Pantry!$U$5:$U$304,0)),"")</f>
        <v>0</v>
      </c>
      <c r="D23" s="17">
        <f>IFERROR(INDEX(Pantry!$F$5:$F$304,MATCH(12,Pantry!$U$5:$U$304,0)),"")</f>
        <v>0</v>
      </c>
      <c r="E23" s="19">
        <f>IFERROR(INDEX(Pantry!$M$5:$M$304,MATCH(12,Pantry!$U$5:$U$304,0)),"")</f>
        <v>0</v>
      </c>
      <c r="F23" s="18">
        <f>IFERROR(INDEX(Pantry!$N$5:$N$304,MATCH(12,Pantry!$U$5:$U$304,0)),"")</f>
        <v>0</v>
      </c>
      <c r="G23" s="25">
        <f>IFERROR(INDEX(Pantry!$P$5:$P$304,MATCH(12,Pantry!$U$5:$U$304,0)),"")</f>
        <v>0</v>
      </c>
      <c r="H23" s="31">
        <f>IFERROR(INDEX(Pantry!$W$5:$W$304,MATCH(12,Pantry!$U$5:$U$304,0)),"")</f>
        <v>0</v>
      </c>
    </row>
    <row r="24" spans="1:9">
      <c r="A24" s="13">
        <v>13</v>
      </c>
      <c r="B24" s="17">
        <f>IFERROR(INDEX(Pantry!$B$5:$B$304,MATCH(13,Pantry!$U$5:$U$304,0)),"")</f>
        <v>0</v>
      </c>
      <c r="C24" s="45">
        <f>IFERROR(INDEX(Pantry!$E$5:$E$304,MATCH(13,Pantry!$U$5:$U$304,0)),"")</f>
        <v>0</v>
      </c>
      <c r="D24" s="17">
        <f>IFERROR(INDEX(Pantry!$F$5:$F$304,MATCH(13,Pantry!$U$5:$U$304,0)),"")</f>
        <v>0</v>
      </c>
      <c r="E24" s="19">
        <f>IFERROR(INDEX(Pantry!$M$5:$M$304,MATCH(13,Pantry!$U$5:$U$304,0)),"")</f>
        <v>0</v>
      </c>
      <c r="F24" s="18">
        <f>IFERROR(INDEX(Pantry!$N$5:$N$304,MATCH(13,Pantry!$U$5:$U$304,0)),"")</f>
        <v>0</v>
      </c>
      <c r="G24" s="25">
        <f>IFERROR(INDEX(Pantry!$P$5:$P$304,MATCH(13,Pantry!$U$5:$U$304,0)),"")</f>
        <v>0</v>
      </c>
      <c r="H24" s="31">
        <f>IFERROR(INDEX(Pantry!$W$5:$W$304,MATCH(13,Pantry!$U$5:$U$304,0)),"")</f>
        <v>0</v>
      </c>
    </row>
    <row r="25" spans="1:9">
      <c r="A25" s="13">
        <v>14</v>
      </c>
      <c r="B25" s="17">
        <f>IFERROR(INDEX(Pantry!$B$5:$B$304,MATCH(14,Pantry!$U$5:$U$304,0)),"")</f>
        <v>0</v>
      </c>
      <c r="C25" s="45">
        <f>IFERROR(INDEX(Pantry!$E$5:$E$304,MATCH(14,Pantry!$U$5:$U$304,0)),"")</f>
        <v>0</v>
      </c>
      <c r="D25" s="17">
        <f>IFERROR(INDEX(Pantry!$F$5:$F$304,MATCH(14,Pantry!$U$5:$U$304,0)),"")</f>
        <v>0</v>
      </c>
      <c r="E25" s="19">
        <f>IFERROR(INDEX(Pantry!$M$5:$M$304,MATCH(14,Pantry!$U$5:$U$304,0)),"")</f>
        <v>0</v>
      </c>
      <c r="F25" s="18">
        <f>IFERROR(INDEX(Pantry!$N$5:$N$304,MATCH(14,Pantry!$U$5:$U$304,0)),"")</f>
        <v>0</v>
      </c>
      <c r="G25" s="25">
        <f>IFERROR(INDEX(Pantry!$P$5:$P$304,MATCH(14,Pantry!$U$5:$U$304,0)),"")</f>
        <v>0</v>
      </c>
      <c r="H25" s="31">
        <f>IFERROR(INDEX(Pantry!$W$5:$W$304,MATCH(14,Pantry!$U$5:$U$304,0)),"")</f>
        <v>0</v>
      </c>
    </row>
    <row r="26" spans="1:9">
      <c r="A26" s="13">
        <v>15</v>
      </c>
      <c r="B26" s="17">
        <f>IFERROR(INDEX(Pantry!$B$5:$B$304,MATCH(15,Pantry!$U$5:$U$304,0)),"")</f>
        <v>0</v>
      </c>
      <c r="C26" s="45">
        <f>IFERROR(INDEX(Pantry!$E$5:$E$304,MATCH(15,Pantry!$U$5:$U$304,0)),"")</f>
        <v>0</v>
      </c>
      <c r="D26" s="17">
        <f>IFERROR(INDEX(Pantry!$F$5:$F$304,MATCH(15,Pantry!$U$5:$U$304,0)),"")</f>
        <v>0</v>
      </c>
      <c r="E26" s="19">
        <f>IFERROR(INDEX(Pantry!$M$5:$M$304,MATCH(15,Pantry!$U$5:$U$304,0)),"")</f>
        <v>0</v>
      </c>
      <c r="F26" s="18">
        <f>IFERROR(INDEX(Pantry!$N$5:$N$304,MATCH(15,Pantry!$U$5:$U$304,0)),"")</f>
        <v>0</v>
      </c>
      <c r="G26" s="25">
        <f>IFERROR(INDEX(Pantry!$P$5:$P$304,MATCH(15,Pantry!$U$5:$U$304,0)),"")</f>
        <v>0</v>
      </c>
      <c r="H26" s="31">
        <f>IFERROR(INDEX(Pantry!$W$5:$W$304,MATCH(15,Pantry!$U$5:$U$304,0)),"")</f>
        <v>0</v>
      </c>
    </row>
    <row r="27" spans="1:9">
      <c r="A27" s="13">
        <v>16</v>
      </c>
      <c r="B27" s="17">
        <f>IFERROR(INDEX(Pantry!$B$5:$B$304,MATCH(16,Pantry!$U$5:$U$304,0)),"")</f>
        <v>0</v>
      </c>
      <c r="C27" s="45">
        <f>IFERROR(INDEX(Pantry!$E$5:$E$304,MATCH(16,Pantry!$U$5:$U$304,0)),"")</f>
        <v>0</v>
      </c>
      <c r="D27" s="17">
        <f>IFERROR(INDEX(Pantry!$F$5:$F$304,MATCH(16,Pantry!$U$5:$U$304,0)),"")</f>
        <v>0</v>
      </c>
      <c r="E27" s="19">
        <f>IFERROR(INDEX(Pantry!$M$5:$M$304,MATCH(16,Pantry!$U$5:$U$304,0)),"")</f>
        <v>0</v>
      </c>
      <c r="F27" s="18">
        <f>IFERROR(INDEX(Pantry!$N$5:$N$304,MATCH(16,Pantry!$U$5:$U$304,0)),"")</f>
        <v>0</v>
      </c>
      <c r="G27" s="25">
        <f>IFERROR(INDEX(Pantry!$P$5:$P$304,MATCH(16,Pantry!$U$5:$U$304,0)),"")</f>
        <v>0</v>
      </c>
      <c r="H27" s="31">
        <f>IFERROR(INDEX(Pantry!$W$5:$W$304,MATCH(16,Pantry!$U$5:$U$304,0)),"")</f>
        <v>0</v>
      </c>
    </row>
    <row r="29" spans="1:9" ht="20" customHeight="1">
      <c r="A29" s="7" t="s">
        <v>445</v>
      </c>
      <c r="B29" s="7"/>
      <c r="C29" s="7"/>
      <c r="D29" s="7"/>
      <c r="E29" s="7"/>
      <c r="F29" s="7"/>
      <c r="G29" s="7"/>
      <c r="H29" s="7"/>
      <c r="I29" s="7"/>
    </row>
    <row r="30" spans="1:9" ht="24" customHeight="1">
      <c r="A30" s="6" t="s">
        <v>1477</v>
      </c>
      <c r="B30" s="6"/>
      <c r="C30" s="6"/>
      <c r="D30" s="6"/>
      <c r="E30" s="6"/>
      <c r="F30" s="6"/>
      <c r="G30" s="6"/>
      <c r="H30" s="6"/>
      <c r="I30" s="6"/>
    </row>
    <row r="31" spans="1:9" ht="26" customHeight="1">
      <c r="A31" s="8" t="s">
        <v>1057</v>
      </c>
      <c r="B31" s="9" t="s">
        <v>1058</v>
      </c>
      <c r="C31" s="9" t="s">
        <v>1166</v>
      </c>
      <c r="D31" s="9" t="s">
        <v>664</v>
      </c>
      <c r="E31" s="9" t="s">
        <v>1100</v>
      </c>
      <c r="F31" s="9" t="s">
        <v>1103</v>
      </c>
      <c r="G31" s="9" t="s">
        <v>1104</v>
      </c>
      <c r="H31" s="9" t="s">
        <v>728</v>
      </c>
    </row>
    <row r="32" spans="1:9">
      <c r="A32" s="13">
        <v>1</v>
      </c>
      <c r="B32" s="17">
        <f>IFERROR(INDEX(Pantry!$B$5:$B$304,MATCH(1,Pantry!$V$5:$V$304,0)),"")</f>
        <v>0</v>
      </c>
      <c r="C32" s="45">
        <f>IFERROR(INDEX(Pantry!$E$5:$E$304,MATCH(1,Pantry!$V$5:$V$304,0)),"")</f>
        <v>0</v>
      </c>
      <c r="D32" s="17">
        <f>IFERROR(INDEX(Pantry!$F$5:$F$304,MATCH(1,Pantry!$V$5:$V$304,0)),"")</f>
        <v>0</v>
      </c>
      <c r="E32" s="19">
        <f>IFERROR(INDEX(Pantry!$M$5:$M$304,MATCH(1,Pantry!$V$5:$V$304,0)),"")</f>
        <v>0</v>
      </c>
      <c r="F32" s="18">
        <f>IFERROR(INDEX(Pantry!$N$5:$N$304,MATCH(1,Pantry!$V$5:$V$304,0)),"")</f>
        <v>0</v>
      </c>
      <c r="G32" s="25">
        <f>IFERROR(INDEX(Pantry!$P$5:$P$304,MATCH(1,Pantry!$V$5:$V$304,0)),"")</f>
        <v>0</v>
      </c>
      <c r="H32" s="31">
        <f>IFERROR(INDEX(Pantry!$W$5:$W$304,MATCH(1,Pantry!$V$5:$V$304,0)),"")</f>
        <v>0</v>
      </c>
    </row>
    <row r="33" spans="1:8">
      <c r="A33" s="13">
        <v>2</v>
      </c>
      <c r="B33" s="17">
        <f>IFERROR(INDEX(Pantry!$B$5:$B$304,MATCH(2,Pantry!$V$5:$V$304,0)),"")</f>
        <v>0</v>
      </c>
      <c r="C33" s="45">
        <f>IFERROR(INDEX(Pantry!$E$5:$E$304,MATCH(2,Pantry!$V$5:$V$304,0)),"")</f>
        <v>0</v>
      </c>
      <c r="D33" s="17">
        <f>IFERROR(INDEX(Pantry!$F$5:$F$304,MATCH(2,Pantry!$V$5:$V$304,0)),"")</f>
        <v>0</v>
      </c>
      <c r="E33" s="19">
        <f>IFERROR(INDEX(Pantry!$M$5:$M$304,MATCH(2,Pantry!$V$5:$V$304,0)),"")</f>
        <v>0</v>
      </c>
      <c r="F33" s="18">
        <f>IFERROR(INDEX(Pantry!$N$5:$N$304,MATCH(2,Pantry!$V$5:$V$304,0)),"")</f>
        <v>0</v>
      </c>
      <c r="G33" s="25">
        <f>IFERROR(INDEX(Pantry!$P$5:$P$304,MATCH(2,Pantry!$V$5:$V$304,0)),"")</f>
        <v>0</v>
      </c>
      <c r="H33" s="31">
        <f>IFERROR(INDEX(Pantry!$W$5:$W$304,MATCH(2,Pantry!$V$5:$V$304,0)),"")</f>
        <v>0</v>
      </c>
    </row>
    <row r="34" spans="1:8">
      <c r="A34" s="13">
        <v>3</v>
      </c>
      <c r="B34" s="17">
        <f>IFERROR(INDEX(Pantry!$B$5:$B$304,MATCH(3,Pantry!$V$5:$V$304,0)),"")</f>
        <v>0</v>
      </c>
      <c r="C34" s="45">
        <f>IFERROR(INDEX(Pantry!$E$5:$E$304,MATCH(3,Pantry!$V$5:$V$304,0)),"")</f>
        <v>0</v>
      </c>
      <c r="D34" s="17">
        <f>IFERROR(INDEX(Pantry!$F$5:$F$304,MATCH(3,Pantry!$V$5:$V$304,0)),"")</f>
        <v>0</v>
      </c>
      <c r="E34" s="19">
        <f>IFERROR(INDEX(Pantry!$M$5:$M$304,MATCH(3,Pantry!$V$5:$V$304,0)),"")</f>
        <v>0</v>
      </c>
      <c r="F34" s="18">
        <f>IFERROR(INDEX(Pantry!$N$5:$N$304,MATCH(3,Pantry!$V$5:$V$304,0)),"")</f>
        <v>0</v>
      </c>
      <c r="G34" s="25">
        <f>IFERROR(INDEX(Pantry!$P$5:$P$304,MATCH(3,Pantry!$V$5:$V$304,0)),"")</f>
        <v>0</v>
      </c>
      <c r="H34" s="31">
        <f>IFERROR(INDEX(Pantry!$W$5:$W$304,MATCH(3,Pantry!$V$5:$V$304,0)),"")</f>
        <v>0</v>
      </c>
    </row>
    <row r="35" spans="1:8">
      <c r="A35" s="13">
        <v>4</v>
      </c>
      <c r="B35" s="17">
        <f>IFERROR(INDEX(Pantry!$B$5:$B$304,MATCH(4,Pantry!$V$5:$V$304,0)),"")</f>
        <v>0</v>
      </c>
      <c r="C35" s="45">
        <f>IFERROR(INDEX(Pantry!$E$5:$E$304,MATCH(4,Pantry!$V$5:$V$304,0)),"")</f>
        <v>0</v>
      </c>
      <c r="D35" s="17">
        <f>IFERROR(INDEX(Pantry!$F$5:$F$304,MATCH(4,Pantry!$V$5:$V$304,0)),"")</f>
        <v>0</v>
      </c>
      <c r="E35" s="19">
        <f>IFERROR(INDEX(Pantry!$M$5:$M$304,MATCH(4,Pantry!$V$5:$V$304,0)),"")</f>
        <v>0</v>
      </c>
      <c r="F35" s="18">
        <f>IFERROR(INDEX(Pantry!$N$5:$N$304,MATCH(4,Pantry!$V$5:$V$304,0)),"")</f>
        <v>0</v>
      </c>
      <c r="G35" s="25">
        <f>IFERROR(INDEX(Pantry!$P$5:$P$304,MATCH(4,Pantry!$V$5:$V$304,0)),"")</f>
        <v>0</v>
      </c>
      <c r="H35" s="31">
        <f>IFERROR(INDEX(Pantry!$W$5:$W$304,MATCH(4,Pantry!$V$5:$V$304,0)),"")</f>
        <v>0</v>
      </c>
    </row>
    <row r="36" spans="1:8">
      <c r="A36" s="13">
        <v>5</v>
      </c>
      <c r="B36" s="17">
        <f>IFERROR(INDEX(Pantry!$B$5:$B$304,MATCH(5,Pantry!$V$5:$V$304,0)),"")</f>
        <v>0</v>
      </c>
      <c r="C36" s="45">
        <f>IFERROR(INDEX(Pantry!$E$5:$E$304,MATCH(5,Pantry!$V$5:$V$304,0)),"")</f>
        <v>0</v>
      </c>
      <c r="D36" s="17">
        <f>IFERROR(INDEX(Pantry!$F$5:$F$304,MATCH(5,Pantry!$V$5:$V$304,0)),"")</f>
        <v>0</v>
      </c>
      <c r="E36" s="19">
        <f>IFERROR(INDEX(Pantry!$M$5:$M$304,MATCH(5,Pantry!$V$5:$V$304,0)),"")</f>
        <v>0</v>
      </c>
      <c r="F36" s="18">
        <f>IFERROR(INDEX(Pantry!$N$5:$N$304,MATCH(5,Pantry!$V$5:$V$304,0)),"")</f>
        <v>0</v>
      </c>
      <c r="G36" s="25">
        <f>IFERROR(INDEX(Pantry!$P$5:$P$304,MATCH(5,Pantry!$V$5:$V$304,0)),"")</f>
        <v>0</v>
      </c>
      <c r="H36" s="31">
        <f>IFERROR(INDEX(Pantry!$W$5:$W$304,MATCH(5,Pantry!$V$5:$V$304,0)),"")</f>
        <v>0</v>
      </c>
    </row>
    <row r="37" spans="1:8">
      <c r="A37" s="13">
        <v>6</v>
      </c>
      <c r="B37" s="17">
        <f>IFERROR(INDEX(Pantry!$B$5:$B$304,MATCH(6,Pantry!$V$5:$V$304,0)),"")</f>
        <v>0</v>
      </c>
      <c r="C37" s="45">
        <f>IFERROR(INDEX(Pantry!$E$5:$E$304,MATCH(6,Pantry!$V$5:$V$304,0)),"")</f>
        <v>0</v>
      </c>
      <c r="D37" s="17">
        <f>IFERROR(INDEX(Pantry!$F$5:$F$304,MATCH(6,Pantry!$V$5:$V$304,0)),"")</f>
        <v>0</v>
      </c>
      <c r="E37" s="19">
        <f>IFERROR(INDEX(Pantry!$M$5:$M$304,MATCH(6,Pantry!$V$5:$V$304,0)),"")</f>
        <v>0</v>
      </c>
      <c r="F37" s="18">
        <f>IFERROR(INDEX(Pantry!$N$5:$N$304,MATCH(6,Pantry!$V$5:$V$304,0)),"")</f>
        <v>0</v>
      </c>
      <c r="G37" s="25">
        <f>IFERROR(INDEX(Pantry!$P$5:$P$304,MATCH(6,Pantry!$V$5:$V$304,0)),"")</f>
        <v>0</v>
      </c>
      <c r="H37" s="31">
        <f>IFERROR(INDEX(Pantry!$W$5:$W$304,MATCH(6,Pantry!$V$5:$V$304,0)),"")</f>
        <v>0</v>
      </c>
    </row>
    <row r="38" spans="1:8">
      <c r="A38" s="13">
        <v>7</v>
      </c>
      <c r="B38" s="17">
        <f>IFERROR(INDEX(Pantry!$B$5:$B$304,MATCH(7,Pantry!$V$5:$V$304,0)),"")</f>
        <v>0</v>
      </c>
      <c r="C38" s="45">
        <f>IFERROR(INDEX(Pantry!$E$5:$E$304,MATCH(7,Pantry!$V$5:$V$304,0)),"")</f>
        <v>0</v>
      </c>
      <c r="D38" s="17">
        <f>IFERROR(INDEX(Pantry!$F$5:$F$304,MATCH(7,Pantry!$V$5:$V$304,0)),"")</f>
        <v>0</v>
      </c>
      <c r="E38" s="19">
        <f>IFERROR(INDEX(Pantry!$M$5:$M$304,MATCH(7,Pantry!$V$5:$V$304,0)),"")</f>
        <v>0</v>
      </c>
      <c r="F38" s="18">
        <f>IFERROR(INDEX(Pantry!$N$5:$N$304,MATCH(7,Pantry!$V$5:$V$304,0)),"")</f>
        <v>0</v>
      </c>
      <c r="G38" s="25">
        <f>IFERROR(INDEX(Pantry!$P$5:$P$304,MATCH(7,Pantry!$V$5:$V$304,0)),"")</f>
        <v>0</v>
      </c>
      <c r="H38" s="31">
        <f>IFERROR(INDEX(Pantry!$W$5:$W$304,MATCH(7,Pantry!$V$5:$V$304,0)),"")</f>
        <v>0</v>
      </c>
    </row>
    <row r="39" spans="1:8">
      <c r="A39" s="13">
        <v>8</v>
      </c>
      <c r="B39" s="17">
        <f>IFERROR(INDEX(Pantry!$B$5:$B$304,MATCH(8,Pantry!$V$5:$V$304,0)),"")</f>
        <v>0</v>
      </c>
      <c r="C39" s="45">
        <f>IFERROR(INDEX(Pantry!$E$5:$E$304,MATCH(8,Pantry!$V$5:$V$304,0)),"")</f>
        <v>0</v>
      </c>
      <c r="D39" s="17">
        <f>IFERROR(INDEX(Pantry!$F$5:$F$304,MATCH(8,Pantry!$V$5:$V$304,0)),"")</f>
        <v>0</v>
      </c>
      <c r="E39" s="19">
        <f>IFERROR(INDEX(Pantry!$M$5:$M$304,MATCH(8,Pantry!$V$5:$V$304,0)),"")</f>
        <v>0</v>
      </c>
      <c r="F39" s="18">
        <f>IFERROR(INDEX(Pantry!$N$5:$N$304,MATCH(8,Pantry!$V$5:$V$304,0)),"")</f>
        <v>0</v>
      </c>
      <c r="G39" s="25">
        <f>IFERROR(INDEX(Pantry!$P$5:$P$304,MATCH(8,Pantry!$V$5:$V$304,0)),"")</f>
        <v>0</v>
      </c>
      <c r="H39" s="31">
        <f>IFERROR(INDEX(Pantry!$W$5:$W$304,MATCH(8,Pantry!$V$5:$V$304,0)),"")</f>
        <v>0</v>
      </c>
    </row>
    <row r="40" spans="1:8">
      <c r="A40" s="13">
        <v>9</v>
      </c>
      <c r="B40" s="17">
        <f>IFERROR(INDEX(Pantry!$B$5:$B$304,MATCH(9,Pantry!$V$5:$V$304,0)),"")</f>
        <v>0</v>
      </c>
      <c r="C40" s="45">
        <f>IFERROR(INDEX(Pantry!$E$5:$E$304,MATCH(9,Pantry!$V$5:$V$304,0)),"")</f>
        <v>0</v>
      </c>
      <c r="D40" s="17">
        <f>IFERROR(INDEX(Pantry!$F$5:$F$304,MATCH(9,Pantry!$V$5:$V$304,0)),"")</f>
        <v>0</v>
      </c>
      <c r="E40" s="19">
        <f>IFERROR(INDEX(Pantry!$M$5:$M$304,MATCH(9,Pantry!$V$5:$V$304,0)),"")</f>
        <v>0</v>
      </c>
      <c r="F40" s="18">
        <f>IFERROR(INDEX(Pantry!$N$5:$N$304,MATCH(9,Pantry!$V$5:$V$304,0)),"")</f>
        <v>0</v>
      </c>
      <c r="G40" s="25">
        <f>IFERROR(INDEX(Pantry!$P$5:$P$304,MATCH(9,Pantry!$V$5:$V$304,0)),"")</f>
        <v>0</v>
      </c>
      <c r="H40" s="31">
        <f>IFERROR(INDEX(Pantry!$W$5:$W$304,MATCH(9,Pantry!$V$5:$V$304,0)),"")</f>
        <v>0</v>
      </c>
    </row>
    <row r="41" spans="1:8">
      <c r="A41" s="13">
        <v>10</v>
      </c>
      <c r="B41" s="17">
        <f>IFERROR(INDEX(Pantry!$B$5:$B$304,MATCH(10,Pantry!$V$5:$V$304,0)),"")</f>
        <v>0</v>
      </c>
      <c r="C41" s="45">
        <f>IFERROR(INDEX(Pantry!$E$5:$E$304,MATCH(10,Pantry!$V$5:$V$304,0)),"")</f>
        <v>0</v>
      </c>
      <c r="D41" s="17">
        <f>IFERROR(INDEX(Pantry!$F$5:$F$304,MATCH(10,Pantry!$V$5:$V$304,0)),"")</f>
        <v>0</v>
      </c>
      <c r="E41" s="19">
        <f>IFERROR(INDEX(Pantry!$M$5:$M$304,MATCH(10,Pantry!$V$5:$V$304,0)),"")</f>
        <v>0</v>
      </c>
      <c r="F41" s="18">
        <f>IFERROR(INDEX(Pantry!$N$5:$N$304,MATCH(10,Pantry!$V$5:$V$304,0)),"")</f>
        <v>0</v>
      </c>
      <c r="G41" s="25">
        <f>IFERROR(INDEX(Pantry!$P$5:$P$304,MATCH(10,Pantry!$V$5:$V$304,0)),"")</f>
        <v>0</v>
      </c>
      <c r="H41" s="31">
        <f>IFERROR(INDEX(Pantry!$W$5:$W$304,MATCH(10,Pantry!$V$5:$V$304,0)),"")</f>
        <v>0</v>
      </c>
    </row>
    <row r="42" spans="1:8">
      <c r="A42" s="13">
        <v>11</v>
      </c>
      <c r="B42" s="17">
        <f>IFERROR(INDEX(Pantry!$B$5:$B$304,MATCH(11,Pantry!$V$5:$V$304,0)),"")</f>
        <v>0</v>
      </c>
      <c r="C42" s="45">
        <f>IFERROR(INDEX(Pantry!$E$5:$E$304,MATCH(11,Pantry!$V$5:$V$304,0)),"")</f>
        <v>0</v>
      </c>
      <c r="D42" s="17">
        <f>IFERROR(INDEX(Pantry!$F$5:$F$304,MATCH(11,Pantry!$V$5:$V$304,0)),"")</f>
        <v>0</v>
      </c>
      <c r="E42" s="19">
        <f>IFERROR(INDEX(Pantry!$M$5:$M$304,MATCH(11,Pantry!$V$5:$V$304,0)),"")</f>
        <v>0</v>
      </c>
      <c r="F42" s="18">
        <f>IFERROR(INDEX(Pantry!$N$5:$N$304,MATCH(11,Pantry!$V$5:$V$304,0)),"")</f>
        <v>0</v>
      </c>
      <c r="G42" s="25">
        <f>IFERROR(INDEX(Pantry!$P$5:$P$304,MATCH(11,Pantry!$V$5:$V$304,0)),"")</f>
        <v>0</v>
      </c>
      <c r="H42" s="31">
        <f>IFERROR(INDEX(Pantry!$W$5:$W$304,MATCH(11,Pantry!$V$5:$V$304,0)),"")</f>
        <v>0</v>
      </c>
    </row>
    <row r="43" spans="1:8">
      <c r="A43" s="13">
        <v>12</v>
      </c>
      <c r="B43" s="17">
        <f>IFERROR(INDEX(Pantry!$B$5:$B$304,MATCH(12,Pantry!$V$5:$V$304,0)),"")</f>
        <v>0</v>
      </c>
      <c r="C43" s="45">
        <f>IFERROR(INDEX(Pantry!$E$5:$E$304,MATCH(12,Pantry!$V$5:$V$304,0)),"")</f>
        <v>0</v>
      </c>
      <c r="D43" s="17">
        <f>IFERROR(INDEX(Pantry!$F$5:$F$304,MATCH(12,Pantry!$V$5:$V$304,0)),"")</f>
        <v>0</v>
      </c>
      <c r="E43" s="19">
        <f>IFERROR(INDEX(Pantry!$M$5:$M$304,MATCH(12,Pantry!$V$5:$V$304,0)),"")</f>
        <v>0</v>
      </c>
      <c r="F43" s="18">
        <f>IFERROR(INDEX(Pantry!$N$5:$N$304,MATCH(12,Pantry!$V$5:$V$304,0)),"")</f>
        <v>0</v>
      </c>
      <c r="G43" s="25">
        <f>IFERROR(INDEX(Pantry!$P$5:$P$304,MATCH(12,Pantry!$V$5:$V$304,0)),"")</f>
        <v>0</v>
      </c>
      <c r="H43" s="31">
        <f>IFERROR(INDEX(Pantry!$W$5:$W$304,MATCH(12,Pantry!$V$5:$V$304,0)),"")</f>
        <v>0</v>
      </c>
    </row>
    <row r="44" spans="1:8">
      <c r="A44" s="13">
        <v>13</v>
      </c>
      <c r="B44" s="17">
        <f>IFERROR(INDEX(Pantry!$B$5:$B$304,MATCH(13,Pantry!$V$5:$V$304,0)),"")</f>
        <v>0</v>
      </c>
      <c r="C44" s="45">
        <f>IFERROR(INDEX(Pantry!$E$5:$E$304,MATCH(13,Pantry!$V$5:$V$304,0)),"")</f>
        <v>0</v>
      </c>
      <c r="D44" s="17">
        <f>IFERROR(INDEX(Pantry!$F$5:$F$304,MATCH(13,Pantry!$V$5:$V$304,0)),"")</f>
        <v>0</v>
      </c>
      <c r="E44" s="19">
        <f>IFERROR(INDEX(Pantry!$M$5:$M$304,MATCH(13,Pantry!$V$5:$V$304,0)),"")</f>
        <v>0</v>
      </c>
      <c r="F44" s="18">
        <f>IFERROR(INDEX(Pantry!$N$5:$N$304,MATCH(13,Pantry!$V$5:$V$304,0)),"")</f>
        <v>0</v>
      </c>
      <c r="G44" s="25">
        <f>IFERROR(INDEX(Pantry!$P$5:$P$304,MATCH(13,Pantry!$V$5:$V$304,0)),"")</f>
        <v>0</v>
      </c>
      <c r="H44" s="31">
        <f>IFERROR(INDEX(Pantry!$W$5:$W$304,MATCH(13,Pantry!$V$5:$V$304,0)),"")</f>
        <v>0</v>
      </c>
    </row>
    <row r="45" spans="1:8">
      <c r="A45" s="13">
        <v>14</v>
      </c>
      <c r="B45" s="17">
        <f>IFERROR(INDEX(Pantry!$B$5:$B$304,MATCH(14,Pantry!$V$5:$V$304,0)),"")</f>
        <v>0</v>
      </c>
      <c r="C45" s="45">
        <f>IFERROR(INDEX(Pantry!$E$5:$E$304,MATCH(14,Pantry!$V$5:$V$304,0)),"")</f>
        <v>0</v>
      </c>
      <c r="D45" s="17">
        <f>IFERROR(INDEX(Pantry!$F$5:$F$304,MATCH(14,Pantry!$V$5:$V$304,0)),"")</f>
        <v>0</v>
      </c>
      <c r="E45" s="19">
        <f>IFERROR(INDEX(Pantry!$M$5:$M$304,MATCH(14,Pantry!$V$5:$V$304,0)),"")</f>
        <v>0</v>
      </c>
      <c r="F45" s="18">
        <f>IFERROR(INDEX(Pantry!$N$5:$N$304,MATCH(14,Pantry!$V$5:$V$304,0)),"")</f>
        <v>0</v>
      </c>
      <c r="G45" s="25">
        <f>IFERROR(INDEX(Pantry!$P$5:$P$304,MATCH(14,Pantry!$V$5:$V$304,0)),"")</f>
        <v>0</v>
      </c>
      <c r="H45" s="31">
        <f>IFERROR(INDEX(Pantry!$W$5:$W$304,MATCH(14,Pantry!$V$5:$V$304,0)),"")</f>
        <v>0</v>
      </c>
    </row>
    <row r="46" spans="1:8">
      <c r="A46" s="13">
        <v>15</v>
      </c>
      <c r="B46" s="17">
        <f>IFERROR(INDEX(Pantry!$B$5:$B$304,MATCH(15,Pantry!$V$5:$V$304,0)),"")</f>
        <v>0</v>
      </c>
      <c r="C46" s="45">
        <f>IFERROR(INDEX(Pantry!$E$5:$E$304,MATCH(15,Pantry!$V$5:$V$304,0)),"")</f>
        <v>0</v>
      </c>
      <c r="D46" s="17">
        <f>IFERROR(INDEX(Pantry!$F$5:$F$304,MATCH(15,Pantry!$V$5:$V$304,0)),"")</f>
        <v>0</v>
      </c>
      <c r="E46" s="19">
        <f>IFERROR(INDEX(Pantry!$M$5:$M$304,MATCH(15,Pantry!$V$5:$V$304,0)),"")</f>
        <v>0</v>
      </c>
      <c r="F46" s="18">
        <f>IFERROR(INDEX(Pantry!$N$5:$N$304,MATCH(15,Pantry!$V$5:$V$304,0)),"")</f>
        <v>0</v>
      </c>
      <c r="G46" s="25">
        <f>IFERROR(INDEX(Pantry!$P$5:$P$304,MATCH(15,Pantry!$V$5:$V$304,0)),"")</f>
        <v>0</v>
      </c>
      <c r="H46" s="31">
        <f>IFERROR(INDEX(Pantry!$W$5:$W$304,MATCH(15,Pantry!$V$5:$V$304,0)),"")</f>
        <v>0</v>
      </c>
    </row>
    <row r="47" spans="1:8">
      <c r="A47" s="13">
        <v>16</v>
      </c>
      <c r="B47" s="17">
        <f>IFERROR(INDEX(Pantry!$B$5:$B$304,MATCH(16,Pantry!$V$5:$V$304,0)),"")</f>
        <v>0</v>
      </c>
      <c r="C47" s="45">
        <f>IFERROR(INDEX(Pantry!$E$5:$E$304,MATCH(16,Pantry!$V$5:$V$304,0)),"")</f>
        <v>0</v>
      </c>
      <c r="D47" s="17">
        <f>IFERROR(INDEX(Pantry!$F$5:$F$304,MATCH(16,Pantry!$V$5:$V$304,0)),"")</f>
        <v>0</v>
      </c>
      <c r="E47" s="19">
        <f>IFERROR(INDEX(Pantry!$M$5:$M$304,MATCH(16,Pantry!$V$5:$V$304,0)),"")</f>
        <v>0</v>
      </c>
      <c r="F47" s="18">
        <f>IFERROR(INDEX(Pantry!$N$5:$N$304,MATCH(16,Pantry!$V$5:$V$304,0)),"")</f>
        <v>0</v>
      </c>
      <c r="G47" s="25">
        <f>IFERROR(INDEX(Pantry!$P$5:$P$304,MATCH(16,Pantry!$V$5:$V$304,0)),"")</f>
        <v>0</v>
      </c>
      <c r="H47" s="31">
        <f>IFERROR(INDEX(Pantry!$W$5:$W$304,MATCH(16,Pantry!$V$5:$V$304,0)),"")</f>
        <v>0</v>
      </c>
    </row>
    <row r="49" spans="1:9" ht="20" customHeight="1">
      <c r="A49" s="7" t="s">
        <v>1478</v>
      </c>
      <c r="B49" s="7"/>
      <c r="C49" s="7"/>
      <c r="D49" s="7"/>
      <c r="E49" s="7"/>
      <c r="F49" s="7"/>
      <c r="G49" s="7"/>
      <c r="H49" s="7"/>
      <c r="I49" s="7"/>
    </row>
    <row r="50" spans="1:9" ht="26" customHeight="1">
      <c r="A50" s="8" t="s">
        <v>1057</v>
      </c>
      <c r="B50" s="9" t="s">
        <v>765</v>
      </c>
      <c r="C50" s="9" t="s">
        <v>1479</v>
      </c>
      <c r="D50" s="9" t="s">
        <v>12</v>
      </c>
      <c r="E50" s="9" t="s">
        <v>1480</v>
      </c>
      <c r="F50" s="9" t="s">
        <v>1481</v>
      </c>
      <c r="G50" s="9" t="s">
        <v>1103</v>
      </c>
      <c r="H50" s="9" t="s">
        <v>1143</v>
      </c>
    </row>
    <row r="51" spans="1:9">
      <c r="A51" s="13">
        <v>1</v>
      </c>
      <c r="B51" s="17">
        <f>IFERROR(INDEX(Leftovers!$B$5:$B$124,MATCH(1,Leftovers!$P$5:$P$124,0)),"")</f>
        <v>0</v>
      </c>
      <c r="C51" s="45">
        <f>IFERROR(INDEX(Leftovers!$F$5:$F$124,MATCH(1,Leftovers!$P$5:$P$124,0)),"")</f>
        <v>0</v>
      </c>
      <c r="D51" s="17">
        <f>IFERROR(INDEX(Leftovers!$G$5:$G$124,MATCH(1,Leftovers!$P$5:$P$124,0)),"")</f>
        <v>0</v>
      </c>
      <c r="E51" s="19">
        <f>IFERROR(INDEX(Leftovers!$E$5:$E$124,MATCH(1,Leftovers!$P$5:$P$124,0)),"")</f>
        <v>0</v>
      </c>
      <c r="F51" s="19">
        <f>IFERROR(INDEX(Leftovers!$J$5:$J$124,MATCH(1,Leftovers!$P$5:$P$124,0)),"")</f>
        <v>0</v>
      </c>
      <c r="G51" s="18">
        <f>IFERROR(INDEX(Leftovers!$K$5:$K$124,MATCH(1,Leftovers!$P$5:$P$124,0)),"")</f>
        <v>0</v>
      </c>
      <c r="H51" s="25">
        <f>IFERROR(INDEX(Leftovers!$M$5:$M$124,MATCH(1,Leftovers!$P$5:$P$124,0)),"")</f>
        <v>0</v>
      </c>
    </row>
    <row r="52" spans="1:9">
      <c r="A52" s="13">
        <v>2</v>
      </c>
      <c r="B52" s="17">
        <f>IFERROR(INDEX(Leftovers!$B$5:$B$124,MATCH(2,Leftovers!$P$5:$P$124,0)),"")</f>
        <v>0</v>
      </c>
      <c r="C52" s="45">
        <f>IFERROR(INDEX(Leftovers!$F$5:$F$124,MATCH(2,Leftovers!$P$5:$P$124,0)),"")</f>
        <v>0</v>
      </c>
      <c r="D52" s="17">
        <f>IFERROR(INDEX(Leftovers!$G$5:$G$124,MATCH(2,Leftovers!$P$5:$P$124,0)),"")</f>
        <v>0</v>
      </c>
      <c r="E52" s="19">
        <f>IFERROR(INDEX(Leftovers!$E$5:$E$124,MATCH(2,Leftovers!$P$5:$P$124,0)),"")</f>
        <v>0</v>
      </c>
      <c r="F52" s="19">
        <f>IFERROR(INDEX(Leftovers!$J$5:$J$124,MATCH(2,Leftovers!$P$5:$P$124,0)),"")</f>
        <v>0</v>
      </c>
      <c r="G52" s="18">
        <f>IFERROR(INDEX(Leftovers!$K$5:$K$124,MATCH(2,Leftovers!$P$5:$P$124,0)),"")</f>
        <v>0</v>
      </c>
      <c r="H52" s="25">
        <f>IFERROR(INDEX(Leftovers!$M$5:$M$124,MATCH(2,Leftovers!$P$5:$P$124,0)),"")</f>
        <v>0</v>
      </c>
    </row>
    <row r="53" spans="1:9">
      <c r="A53" s="13">
        <v>3</v>
      </c>
      <c r="B53" s="17">
        <f>IFERROR(INDEX(Leftovers!$B$5:$B$124,MATCH(3,Leftovers!$P$5:$P$124,0)),"")</f>
        <v>0</v>
      </c>
      <c r="C53" s="45">
        <f>IFERROR(INDEX(Leftovers!$F$5:$F$124,MATCH(3,Leftovers!$P$5:$P$124,0)),"")</f>
        <v>0</v>
      </c>
      <c r="D53" s="17">
        <f>IFERROR(INDEX(Leftovers!$G$5:$G$124,MATCH(3,Leftovers!$P$5:$P$124,0)),"")</f>
        <v>0</v>
      </c>
      <c r="E53" s="19">
        <f>IFERROR(INDEX(Leftovers!$E$5:$E$124,MATCH(3,Leftovers!$P$5:$P$124,0)),"")</f>
        <v>0</v>
      </c>
      <c r="F53" s="19">
        <f>IFERROR(INDEX(Leftovers!$J$5:$J$124,MATCH(3,Leftovers!$P$5:$P$124,0)),"")</f>
        <v>0</v>
      </c>
      <c r="G53" s="18">
        <f>IFERROR(INDEX(Leftovers!$K$5:$K$124,MATCH(3,Leftovers!$P$5:$P$124,0)),"")</f>
        <v>0</v>
      </c>
      <c r="H53" s="25">
        <f>IFERROR(INDEX(Leftovers!$M$5:$M$124,MATCH(3,Leftovers!$P$5:$P$124,0)),"")</f>
        <v>0</v>
      </c>
    </row>
    <row r="54" spans="1:9">
      <c r="A54" s="13">
        <v>4</v>
      </c>
      <c r="B54" s="17">
        <f>IFERROR(INDEX(Leftovers!$B$5:$B$124,MATCH(4,Leftovers!$P$5:$P$124,0)),"")</f>
        <v>0</v>
      </c>
      <c r="C54" s="45">
        <f>IFERROR(INDEX(Leftovers!$F$5:$F$124,MATCH(4,Leftovers!$P$5:$P$124,0)),"")</f>
        <v>0</v>
      </c>
      <c r="D54" s="17">
        <f>IFERROR(INDEX(Leftovers!$G$5:$G$124,MATCH(4,Leftovers!$P$5:$P$124,0)),"")</f>
        <v>0</v>
      </c>
      <c r="E54" s="19">
        <f>IFERROR(INDEX(Leftovers!$E$5:$E$124,MATCH(4,Leftovers!$P$5:$P$124,0)),"")</f>
        <v>0</v>
      </c>
      <c r="F54" s="19">
        <f>IFERROR(INDEX(Leftovers!$J$5:$J$124,MATCH(4,Leftovers!$P$5:$P$124,0)),"")</f>
        <v>0</v>
      </c>
      <c r="G54" s="18">
        <f>IFERROR(INDEX(Leftovers!$K$5:$K$124,MATCH(4,Leftovers!$P$5:$P$124,0)),"")</f>
        <v>0</v>
      </c>
      <c r="H54" s="25">
        <f>IFERROR(INDEX(Leftovers!$M$5:$M$124,MATCH(4,Leftovers!$P$5:$P$124,0)),"")</f>
        <v>0</v>
      </c>
    </row>
    <row r="55" spans="1:9">
      <c r="A55" s="13">
        <v>5</v>
      </c>
      <c r="B55" s="17">
        <f>IFERROR(INDEX(Leftovers!$B$5:$B$124,MATCH(5,Leftovers!$P$5:$P$124,0)),"")</f>
        <v>0</v>
      </c>
      <c r="C55" s="45">
        <f>IFERROR(INDEX(Leftovers!$F$5:$F$124,MATCH(5,Leftovers!$P$5:$P$124,0)),"")</f>
        <v>0</v>
      </c>
      <c r="D55" s="17">
        <f>IFERROR(INDEX(Leftovers!$G$5:$G$124,MATCH(5,Leftovers!$P$5:$P$124,0)),"")</f>
        <v>0</v>
      </c>
      <c r="E55" s="19">
        <f>IFERROR(INDEX(Leftovers!$E$5:$E$124,MATCH(5,Leftovers!$P$5:$P$124,0)),"")</f>
        <v>0</v>
      </c>
      <c r="F55" s="19">
        <f>IFERROR(INDEX(Leftovers!$J$5:$J$124,MATCH(5,Leftovers!$P$5:$P$124,0)),"")</f>
        <v>0</v>
      </c>
      <c r="G55" s="18">
        <f>IFERROR(INDEX(Leftovers!$K$5:$K$124,MATCH(5,Leftovers!$P$5:$P$124,0)),"")</f>
        <v>0</v>
      </c>
      <c r="H55" s="25">
        <f>IFERROR(INDEX(Leftovers!$M$5:$M$124,MATCH(5,Leftovers!$P$5:$P$124,0)),"")</f>
        <v>0</v>
      </c>
    </row>
    <row r="56" spans="1:9">
      <c r="A56" s="13">
        <v>6</v>
      </c>
      <c r="B56" s="17">
        <f>IFERROR(INDEX(Leftovers!$B$5:$B$124,MATCH(6,Leftovers!$P$5:$P$124,0)),"")</f>
        <v>0</v>
      </c>
      <c r="C56" s="45">
        <f>IFERROR(INDEX(Leftovers!$F$5:$F$124,MATCH(6,Leftovers!$P$5:$P$124,0)),"")</f>
        <v>0</v>
      </c>
      <c r="D56" s="17">
        <f>IFERROR(INDEX(Leftovers!$G$5:$G$124,MATCH(6,Leftovers!$P$5:$P$124,0)),"")</f>
        <v>0</v>
      </c>
      <c r="E56" s="19">
        <f>IFERROR(INDEX(Leftovers!$E$5:$E$124,MATCH(6,Leftovers!$P$5:$P$124,0)),"")</f>
        <v>0</v>
      </c>
      <c r="F56" s="19">
        <f>IFERROR(INDEX(Leftovers!$J$5:$J$124,MATCH(6,Leftovers!$P$5:$P$124,0)),"")</f>
        <v>0</v>
      </c>
      <c r="G56" s="18">
        <f>IFERROR(INDEX(Leftovers!$K$5:$K$124,MATCH(6,Leftovers!$P$5:$P$124,0)),"")</f>
        <v>0</v>
      </c>
      <c r="H56" s="25">
        <f>IFERROR(INDEX(Leftovers!$M$5:$M$124,MATCH(6,Leftovers!$P$5:$P$124,0)),"")</f>
        <v>0</v>
      </c>
    </row>
    <row r="57" spans="1:9">
      <c r="A57" s="13">
        <v>7</v>
      </c>
      <c r="B57" s="17">
        <f>IFERROR(INDEX(Leftovers!$B$5:$B$124,MATCH(7,Leftovers!$P$5:$P$124,0)),"")</f>
        <v>0</v>
      </c>
      <c r="C57" s="45">
        <f>IFERROR(INDEX(Leftovers!$F$5:$F$124,MATCH(7,Leftovers!$P$5:$P$124,0)),"")</f>
        <v>0</v>
      </c>
      <c r="D57" s="17">
        <f>IFERROR(INDEX(Leftovers!$G$5:$G$124,MATCH(7,Leftovers!$P$5:$P$124,0)),"")</f>
        <v>0</v>
      </c>
      <c r="E57" s="19">
        <f>IFERROR(INDEX(Leftovers!$E$5:$E$124,MATCH(7,Leftovers!$P$5:$P$124,0)),"")</f>
        <v>0</v>
      </c>
      <c r="F57" s="19">
        <f>IFERROR(INDEX(Leftovers!$J$5:$J$124,MATCH(7,Leftovers!$P$5:$P$124,0)),"")</f>
        <v>0</v>
      </c>
      <c r="G57" s="18">
        <f>IFERROR(INDEX(Leftovers!$K$5:$K$124,MATCH(7,Leftovers!$P$5:$P$124,0)),"")</f>
        <v>0</v>
      </c>
      <c r="H57" s="25">
        <f>IFERROR(INDEX(Leftovers!$M$5:$M$124,MATCH(7,Leftovers!$P$5:$P$124,0)),"")</f>
        <v>0</v>
      </c>
    </row>
    <row r="58" spans="1:9">
      <c r="A58" s="13">
        <v>8</v>
      </c>
      <c r="B58" s="17">
        <f>IFERROR(INDEX(Leftovers!$B$5:$B$124,MATCH(8,Leftovers!$P$5:$P$124,0)),"")</f>
        <v>0</v>
      </c>
      <c r="C58" s="45">
        <f>IFERROR(INDEX(Leftovers!$F$5:$F$124,MATCH(8,Leftovers!$P$5:$P$124,0)),"")</f>
        <v>0</v>
      </c>
      <c r="D58" s="17">
        <f>IFERROR(INDEX(Leftovers!$G$5:$G$124,MATCH(8,Leftovers!$P$5:$P$124,0)),"")</f>
        <v>0</v>
      </c>
      <c r="E58" s="19">
        <f>IFERROR(INDEX(Leftovers!$E$5:$E$124,MATCH(8,Leftovers!$P$5:$P$124,0)),"")</f>
        <v>0</v>
      </c>
      <c r="F58" s="19">
        <f>IFERROR(INDEX(Leftovers!$J$5:$J$124,MATCH(8,Leftovers!$P$5:$P$124,0)),"")</f>
        <v>0</v>
      </c>
      <c r="G58" s="18">
        <f>IFERROR(INDEX(Leftovers!$K$5:$K$124,MATCH(8,Leftovers!$P$5:$P$124,0)),"")</f>
        <v>0</v>
      </c>
      <c r="H58" s="25">
        <f>IFERROR(INDEX(Leftovers!$M$5:$M$124,MATCH(8,Leftovers!$P$5:$P$124,0)),"")</f>
        <v>0</v>
      </c>
    </row>
    <row r="60" spans="1:9" ht="20" customHeight="1">
      <c r="A60" s="7" t="s">
        <v>1482</v>
      </c>
      <c r="B60" s="7"/>
      <c r="C60" s="7"/>
      <c r="D60" s="7"/>
      <c r="E60" s="7"/>
      <c r="F60" s="7"/>
      <c r="G60" s="7"/>
      <c r="H60" s="7"/>
      <c r="I60" s="7"/>
    </row>
    <row r="61" spans="1:9" ht="26" customHeight="1">
      <c r="A61" s="8" t="s">
        <v>1483</v>
      </c>
      <c r="B61" s="9" t="s">
        <v>511</v>
      </c>
      <c r="C61" s="9" t="s">
        <v>1484</v>
      </c>
      <c r="D61" s="9" t="s">
        <v>1485</v>
      </c>
    </row>
    <row r="62" spans="1:9">
      <c r="A62" s="11" t="s">
        <v>1486</v>
      </c>
      <c r="B62" s="13" t="s">
        <v>1487</v>
      </c>
      <c r="C62" s="13" t="s">
        <v>1488</v>
      </c>
      <c r="D62" s="13"/>
      <c r="E62" s="12" t="s">
        <v>1489</v>
      </c>
      <c r="F62" s="12"/>
      <c r="G62" s="12"/>
      <c r="H62" s="12"/>
      <c r="I62" s="12"/>
    </row>
    <row r="63" spans="1:9">
      <c r="A63" s="11" t="s">
        <v>1490</v>
      </c>
      <c r="B63" s="13" t="s">
        <v>1491</v>
      </c>
      <c r="C63" s="13" t="s">
        <v>1492</v>
      </c>
      <c r="D63" s="13"/>
      <c r="E63" s="12" t="s">
        <v>1493</v>
      </c>
      <c r="F63" s="12"/>
      <c r="G63" s="12"/>
      <c r="H63" s="12"/>
      <c r="I63" s="12"/>
    </row>
    <row r="64" spans="1:9">
      <c r="A64" s="11" t="s">
        <v>1494</v>
      </c>
      <c r="B64" s="13" t="s">
        <v>1495</v>
      </c>
      <c r="C64" s="13" t="s">
        <v>1496</v>
      </c>
      <c r="D64" s="13"/>
      <c r="E64" s="12" t="s">
        <v>1497</v>
      </c>
      <c r="F64" s="12"/>
      <c r="G64" s="12"/>
      <c r="H64" s="12"/>
      <c r="I64" s="12"/>
    </row>
    <row r="65" spans="1:9">
      <c r="A65" s="11" t="s">
        <v>1498</v>
      </c>
      <c r="B65" s="13" t="s">
        <v>1499</v>
      </c>
      <c r="C65" s="13" t="s">
        <v>1500</v>
      </c>
      <c r="D65" s="13"/>
      <c r="E65" s="12" t="s">
        <v>1501</v>
      </c>
      <c r="F65" s="12"/>
      <c r="G65" s="12"/>
      <c r="H65" s="12"/>
      <c r="I65" s="12"/>
    </row>
    <row r="66" spans="1:9">
      <c r="A66" s="11" t="s">
        <v>1502</v>
      </c>
      <c r="B66" s="13" t="s">
        <v>1487</v>
      </c>
      <c r="C66" s="13" t="s">
        <v>1503</v>
      </c>
      <c r="D66" s="13"/>
      <c r="E66" s="12" t="s">
        <v>1504</v>
      </c>
      <c r="F66" s="12"/>
      <c r="G66" s="12"/>
      <c r="H66" s="12"/>
      <c r="I66" s="12"/>
    </row>
    <row r="68" spans="1:9" ht="30" customHeight="1">
      <c r="A68" s="6" t="s">
        <v>1505</v>
      </c>
      <c r="B68" s="6"/>
      <c r="C68" s="6"/>
      <c r="D68" s="6"/>
      <c r="E68" s="6"/>
      <c r="F68" s="6"/>
      <c r="G68" s="6"/>
      <c r="H68" s="6"/>
      <c r="I68" s="6"/>
    </row>
  </sheetData>
  <sheetProtection password="EC7C" sheet="1" objects="1" scenarios="1" formatCells="0" formatColumns="0" formatRows="0" insertRows="0" insertHyperlinks="0" deleteRows="0" autoFilter="0"/>
  <mergeCells count="36">
    <mergeCell ref="A1:F1"/>
    <mergeCell ref="G1:I1"/>
    <mergeCell ref="A2:I2"/>
    <mergeCell ref="A3:B3"/>
    <mergeCell ref="C3:D3"/>
    <mergeCell ref="E3:F3"/>
    <mergeCell ref="G3:H3"/>
    <mergeCell ref="A5:B5"/>
    <mergeCell ref="A6:B6"/>
    <mergeCell ref="A7:B7"/>
    <mergeCell ref="C5:D5"/>
    <mergeCell ref="C6:D6"/>
    <mergeCell ref="C7:D7"/>
    <mergeCell ref="E5:F5"/>
    <mergeCell ref="E6:F6"/>
    <mergeCell ref="E7:F7"/>
    <mergeCell ref="G5:H5"/>
    <mergeCell ref="G6:H6"/>
    <mergeCell ref="G7:H7"/>
    <mergeCell ref="A9:I9"/>
    <mergeCell ref="A10:I10"/>
    <mergeCell ref="A29:I29"/>
    <mergeCell ref="A30:I30"/>
    <mergeCell ref="A49:I49"/>
    <mergeCell ref="A60:I60"/>
    <mergeCell ref="C62:D62"/>
    <mergeCell ref="E62:I62"/>
    <mergeCell ref="C63:D63"/>
    <mergeCell ref="E63:I63"/>
    <mergeCell ref="C64:D64"/>
    <mergeCell ref="E64:I64"/>
    <mergeCell ref="C65:D65"/>
    <mergeCell ref="E65:I65"/>
    <mergeCell ref="C66:D66"/>
    <mergeCell ref="E66:I66"/>
    <mergeCell ref="A68:I68"/>
  </mergeCells>
  <conditionalFormatting sqref="F12:F27">
    <cfRule type="cellIs" dxfId="2" priority="1" operator="lessThan">
      <formula>0</formula>
    </cfRule>
    <cfRule type="cellIs" dxfId="0" priority="2" operator="between">
      <formula>0</formula>
      <formula>5</formula>
    </cfRule>
  </conditionalFormatting>
  <conditionalFormatting sqref="F32:F47">
    <cfRule type="cellIs" dxfId="2" priority="4" operator="lessThan">
      <formula>0</formula>
    </cfRule>
    <cfRule type="cellIs" dxfId="0" priority="5" operator="between">
      <formula>0</formula>
      <formula>5</formula>
    </cfRule>
  </conditionalFormatting>
  <conditionalFormatting sqref="G51:G58">
    <cfRule type="cellIs" dxfId="0" priority="7" operator="lessThanOrEqual">
      <formula>1</formula>
    </cfRule>
  </conditionalFormatting>
  <conditionalFormatting sqref="H12:H27">
    <cfRule type="containsText" dxfId="2" priority="3" operator="containsText" text="Expired">
      <formula>NOT(ISERROR(SEARCH("Expired",H12)))</formula>
    </cfRule>
  </conditionalFormatting>
  <conditionalFormatting sqref="H32:H47">
    <cfRule type="containsText" dxfId="2" priority="6" operator="containsText" text="Expired">
      <formula>NOT(ISERROR(SEARCH("Expired",H32)))</formula>
    </cfRule>
  </conditionalFormatting>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&amp;L&amp;"Calibri,Bold"&amp;12&amp;C&amp;"Calibri,Bold"&amp;11Fridge &amp; Freezer&amp;R&amp;"Calibri,Italic"&amp;9Automated Meal Planner &amp; Grocery List Spreadsheet</oddHeader>
    <oddFooter>&amp;L&amp;"Calibri,Italic"&amp;8Novality Store - v1.0.0&amp;C&amp;"Calibri,Italic"&amp;8Page &amp;P of &amp;N&amp;R&amp;"Calibri,Italic"&amp;8&amp;D</oddFooter>
  </headerFooter>
</worksheet>
</file>

<file path=xl/worksheets/sheet26.xml><?xml version="1.0" encoding="utf-8"?>
<worksheet xmlns="http://schemas.openxmlformats.org/spreadsheetml/2006/main" xmlns:r="http://schemas.openxmlformats.org/officeDocument/2006/relationships">
  <sheetPr>
    <tabColor rgb="FFD9703C"/>
    <pageSetUpPr fitToPage="1"/>
  </sheetPr>
  <dimension ref="A1:W4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11.7109375" style="15" customWidth="1"/>
    <col min="3" max="3" width="9.7109375" style="17" customWidth="1"/>
    <col min="4" max="4" width="7.7109375" style="18" customWidth="1"/>
    <col min="5" max="5" width="10.7109375" style="17" customWidth="1"/>
    <col min="6" max="6" width="18.7109375" style="32" customWidth="1"/>
    <col min="7" max="7" width="15.7109375" style="32" customWidth="1"/>
    <col min="8" max="8" width="24.7109375" style="32" customWidth="1"/>
    <col min="9" max="9" width="9.7109375" style="38" customWidth="1"/>
    <col min="10" max="10" width="8.7109375" style="32" customWidth="1"/>
    <col min="11" max="11" width="11.7109375" style="36" customWidth="1"/>
    <col min="12" max="12" width="11.7109375" style="25" hidden="1" customWidth="1"/>
    <col min="13" max="13" width="14.7109375" style="32" customWidth="1"/>
    <col min="14" max="14" width="13.7109375" style="32" customWidth="1"/>
    <col min="15" max="15" width="9.7109375" style="40" customWidth="1"/>
    <col min="16" max="16" width="15.7109375" style="32" customWidth="1"/>
    <col min="17" max="17" width="10.7109375" style="40" customWidth="1"/>
    <col min="18" max="18" width="18.7109375" style="47" customWidth="1"/>
    <col min="19" max="19" width="11.7109375" style="25" hidden="1" customWidth="1"/>
    <col min="20" max="20" width="12.7109375" style="25" customWidth="1"/>
    <col min="21" max="21" width="12.7109375" style="31" hidden="1" customWidth="1"/>
    <col min="22" max="22" width="12.7109375" style="31" customWidth="1"/>
    <col min="23" max="23" width="24.7109375" style="43" customWidth="1"/>
    <col min="1" max="1" width="13.7109375" customWidth="1"/>
    <col min="2" max="2" width="13.7109375" customWidth="1"/>
    <col min="3" max="3" width="13.7109375" customWidth="1"/>
    <col min="4" max="4" width="14.7109375" customWidth="1"/>
    <col min="5" max="5" width="15.7109375" customWidth="1"/>
    <col min="6" max="6" width="13.7109375" customWidth="1"/>
    <col min="7" max="7" width="14.7109375" customWidth="1"/>
    <col min="8" max="8" width="14.7109375" customWidth="1"/>
  </cols>
  <sheetData>
    <row r="1" spans="1:23" ht="34" customHeight="1">
      <c r="A1" s="2" t="s">
        <v>76</v>
      </c>
      <c r="B1" s="2"/>
      <c r="C1" s="2"/>
      <c r="D1" s="2"/>
      <c r="E1" s="2"/>
      <c r="F1" s="2"/>
      <c r="G1" s="2"/>
      <c r="H1" s="2"/>
      <c r="I1" s="2"/>
      <c r="J1" s="2"/>
      <c r="K1" s="2"/>
      <c r="L1" s="2"/>
      <c r="M1" s="2"/>
      <c r="N1" s="2"/>
      <c r="O1" s="2"/>
      <c r="P1" s="2"/>
      <c r="Q1" s="2"/>
      <c r="R1" s="2"/>
      <c r="S1" s="2"/>
      <c r="T1" s="2"/>
      <c r="U1" s="3" t="s">
        <v>1</v>
      </c>
      <c r="V1" s="3"/>
      <c r="W1" s="3"/>
    </row>
    <row r="2" spans="1:23" ht="18" customHeight="1">
      <c r="A2" s="4" t="s">
        <v>1506</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1507</v>
      </c>
      <c r="T3" s="44"/>
      <c r="U3" s="44"/>
      <c r="V3" s="44"/>
      <c r="W3" s="44"/>
    </row>
    <row r="4" spans="1:23" ht="30" customHeight="1">
      <c r="A4" s="8" t="s">
        <v>708</v>
      </c>
      <c r="B4" s="8" t="s">
        <v>1025</v>
      </c>
      <c r="C4" s="9" t="s">
        <v>135</v>
      </c>
      <c r="D4" s="9" t="s">
        <v>136</v>
      </c>
      <c r="E4" s="9" t="s">
        <v>101</v>
      </c>
      <c r="F4" s="9" t="s">
        <v>1059</v>
      </c>
      <c r="G4" s="9" t="s">
        <v>1284</v>
      </c>
      <c r="H4" s="9" t="s">
        <v>1508</v>
      </c>
      <c r="I4" s="9" t="s">
        <v>871</v>
      </c>
      <c r="J4" s="9" t="s">
        <v>664</v>
      </c>
      <c r="K4" s="9" t="s">
        <v>1339</v>
      </c>
      <c r="L4" s="9" t="s">
        <v>1509</v>
      </c>
      <c r="M4" s="9" t="s">
        <v>1510</v>
      </c>
      <c r="N4" s="9" t="s">
        <v>1511</v>
      </c>
      <c r="O4" s="9" t="s">
        <v>1512</v>
      </c>
      <c r="P4" s="9" t="s">
        <v>1513</v>
      </c>
      <c r="Q4" s="9" t="s">
        <v>1514</v>
      </c>
      <c r="R4" s="9" t="s">
        <v>1515</v>
      </c>
      <c r="S4" s="9" t="s">
        <v>1516</v>
      </c>
      <c r="T4" s="9" t="s">
        <v>112</v>
      </c>
      <c r="U4" s="9" t="s">
        <v>1517</v>
      </c>
      <c r="V4" s="9" t="s">
        <v>728</v>
      </c>
      <c r="W4" s="9" t="s">
        <v>730</v>
      </c>
    </row>
    <row r="5" spans="1:23">
      <c r="A5" s="39">
        <f>IF(B5="","",SpendPrefix&amp;TEXT(ROW()-4,"0000"))</f>
        <v>0</v>
      </c>
      <c r="B5" s="15">
        <v>46285</v>
      </c>
      <c r="C5" s="17">
        <f>IF(B5="","",TEXT(B5,"ddd"))</f>
        <v>0</v>
      </c>
      <c r="D5" s="18">
        <f>IF(B5="","",WEEKNUM(B5,IF(WeekStart="Sunday",1,2)))</f>
        <v>0</v>
      </c>
      <c r="E5" s="17">
        <f>IF(B5="","",TEXT(B5,"yyyy-mm"))</f>
        <v>0</v>
      </c>
      <c r="F5" s="32" t="s">
        <v>214</v>
      </c>
      <c r="G5" s="32" t="s">
        <v>624</v>
      </c>
      <c r="H5" s="32" t="s">
        <v>624</v>
      </c>
      <c r="K5" s="36">
        <v>142.8</v>
      </c>
      <c r="L5" s="25">
        <f>IF(OR(K5="",I5="",I5=0),"",K5/I5)</f>
        <v>0</v>
      </c>
      <c r="M5" s="32" t="s">
        <v>206</v>
      </c>
      <c r="N5" s="32" t="s">
        <v>632</v>
      </c>
      <c r="O5" s="40" t="s">
        <v>311</v>
      </c>
      <c r="P5" s="32" t="s">
        <v>624</v>
      </c>
      <c r="Q5" s="40" t="s">
        <v>312</v>
      </c>
      <c r="S5" s="25">
        <f>MonthlyBudget</f>
        <v>0</v>
      </c>
      <c r="T5" s="25">
        <f>IF(B5="","",SUMIFS($K$5:$K$404,$E$5:$E$404,E5))</f>
        <v>0</v>
      </c>
      <c r="U5" s="31">
        <f>IF(B5="","",IF(T5&gt;MonthlyBudget,"Check - over the monthly budget","OK"))</f>
        <v>0</v>
      </c>
      <c r="V5" s="31">
        <f>IF(B5="","",IF(K5="","Add - no amount",IF(Q5="Yes","Wasted",IF(O5="No","Check - unplanned","Purchased"))))</f>
        <v>0</v>
      </c>
      <c r="W5" s="43" t="s">
        <v>157</v>
      </c>
    </row>
    <row r="6" spans="1:23">
      <c r="A6" s="39">
        <f>IF(B6="","",SpendPrefix&amp;TEXT(ROW()-4,"0000"))</f>
        <v>0</v>
      </c>
      <c r="B6" s="15">
        <v>46287</v>
      </c>
      <c r="C6" s="17">
        <f>IF(B6="","",TEXT(B6,"ddd"))</f>
        <v>0</v>
      </c>
      <c r="D6" s="18">
        <f>IF(B6="","",WEEKNUM(B6,IF(WeekStart="Sunday",1,2)))</f>
        <v>0</v>
      </c>
      <c r="E6" s="17">
        <f>IF(B6="","",TEXT(B6,"yyyy-mm"))</f>
        <v>0</v>
      </c>
      <c r="F6" s="32" t="s">
        <v>1013</v>
      </c>
      <c r="G6" s="32" t="s">
        <v>625</v>
      </c>
      <c r="H6" s="32" t="s">
        <v>1518</v>
      </c>
      <c r="K6" s="36">
        <v>6.4</v>
      </c>
      <c r="L6" s="25">
        <f>IF(OR(K6="",I6="",I6=0),"",K6/I6)</f>
        <v>0</v>
      </c>
      <c r="M6" s="32" t="s">
        <v>736</v>
      </c>
      <c r="N6" s="32" t="s">
        <v>632</v>
      </c>
      <c r="O6" s="40" t="s">
        <v>312</v>
      </c>
      <c r="P6" s="32" t="s">
        <v>625</v>
      </c>
      <c r="Q6" s="40" t="s">
        <v>312</v>
      </c>
      <c r="S6" s="25">
        <f>MonthlyBudget</f>
        <v>0</v>
      </c>
      <c r="T6" s="25">
        <f>IF(B6="","",SUMIFS($K$5:$K$404,$E$5:$E$404,E6))</f>
        <v>0</v>
      </c>
      <c r="U6" s="31">
        <f>IF(B6="","",IF(T6&gt;MonthlyBudget,"Check - over the monthly budget","OK"))</f>
        <v>0</v>
      </c>
      <c r="V6" s="31">
        <f>IF(B6="","",IF(K6="","Add - no amount",IF(Q6="Yes","Wasted",IF(O6="No","Check - unplanned","Purchased"))))</f>
        <v>0</v>
      </c>
      <c r="W6" s="43" t="s">
        <v>157</v>
      </c>
    </row>
    <row r="7" spans="1:23">
      <c r="A7" s="39">
        <f>IF(B7="","",SpendPrefix&amp;TEXT(ROW()-4,"0000"))</f>
        <v>0</v>
      </c>
      <c r="B7" s="15">
        <v>46289</v>
      </c>
      <c r="C7" s="17">
        <f>IF(B7="","",TEXT(B7,"ddd"))</f>
        <v>0</v>
      </c>
      <c r="D7" s="18">
        <f>IF(B7="","",WEEKNUM(B7,IF(WeekStart="Sunday",1,2)))</f>
        <v>0</v>
      </c>
      <c r="E7" s="17">
        <f>IF(B7="","",TEXT(B7,"yyyy-mm"))</f>
        <v>0</v>
      </c>
      <c r="F7" s="32" t="s">
        <v>1011</v>
      </c>
      <c r="G7" s="32" t="s">
        <v>625</v>
      </c>
      <c r="H7" s="32" t="s">
        <v>1519</v>
      </c>
      <c r="K7" s="36">
        <v>18.5</v>
      </c>
      <c r="L7" s="25">
        <f>IF(OR(K7="",I7="",I7=0),"",K7/I7)</f>
        <v>0</v>
      </c>
      <c r="M7" s="32" t="s">
        <v>736</v>
      </c>
      <c r="N7" s="32" t="s">
        <v>632</v>
      </c>
      <c r="O7" s="40" t="s">
        <v>311</v>
      </c>
      <c r="P7" s="32" t="s">
        <v>624</v>
      </c>
      <c r="Q7" s="40" t="s">
        <v>312</v>
      </c>
      <c r="S7" s="25">
        <f>MonthlyBudget</f>
        <v>0</v>
      </c>
      <c r="T7" s="25">
        <f>IF(B7="","",SUMIFS($K$5:$K$404,$E$5:$E$404,E7))</f>
        <v>0</v>
      </c>
      <c r="U7" s="31">
        <f>IF(B7="","",IF(T7&gt;MonthlyBudget,"Check - over the monthly budget","OK"))</f>
        <v>0</v>
      </c>
      <c r="V7" s="31">
        <f>IF(B7="","",IF(K7="","Add - no amount",IF(Q7="Yes","Wasted",IF(O7="No","Check - unplanned","Purchased"))))</f>
        <v>0</v>
      </c>
      <c r="W7" s="43" t="s">
        <v>157</v>
      </c>
    </row>
    <row r="8" spans="1:23">
      <c r="A8" s="39">
        <f>IF(B8="","",SpendPrefix&amp;TEXT(ROW()-4,"0000"))</f>
        <v>0</v>
      </c>
      <c r="B8" s="15">
        <v>46292</v>
      </c>
      <c r="C8" s="17">
        <f>IF(B8="","",TEXT(B8,"ddd"))</f>
        <v>0</v>
      </c>
      <c r="D8" s="18">
        <f>IF(B8="","",WEEKNUM(B8,IF(WeekStart="Sunday",1,2)))</f>
        <v>0</v>
      </c>
      <c r="E8" s="17">
        <f>IF(B8="","",TEXT(B8,"yyyy-mm"))</f>
        <v>0</v>
      </c>
      <c r="F8" s="32" t="s">
        <v>214</v>
      </c>
      <c r="G8" s="32" t="s">
        <v>624</v>
      </c>
      <c r="H8" s="32" t="s">
        <v>624</v>
      </c>
      <c r="K8" s="36">
        <v>151.25</v>
      </c>
      <c r="L8" s="25">
        <f>IF(OR(K8="",I8="",I8=0),"",K8/I8)</f>
        <v>0</v>
      </c>
      <c r="M8" s="32" t="s">
        <v>206</v>
      </c>
      <c r="N8" s="32" t="s">
        <v>632</v>
      </c>
      <c r="O8" s="40" t="s">
        <v>311</v>
      </c>
      <c r="P8" s="32" t="s">
        <v>624</v>
      </c>
      <c r="Q8" s="40" t="s">
        <v>312</v>
      </c>
      <c r="S8" s="25">
        <f>MonthlyBudget</f>
        <v>0</v>
      </c>
      <c r="T8" s="25">
        <f>IF(B8="","",SUMIFS($K$5:$K$404,$E$5:$E$404,E8))</f>
        <v>0</v>
      </c>
      <c r="U8" s="31">
        <f>IF(B8="","",IF(T8&gt;MonthlyBudget,"Check - over the monthly budget","OK"))</f>
        <v>0</v>
      </c>
      <c r="V8" s="31">
        <f>IF(B8="","",IF(K8="","Add - no amount",IF(Q8="Yes","Wasted",IF(O8="No","Check - unplanned","Purchased"))))</f>
        <v>0</v>
      </c>
      <c r="W8" s="43" t="s">
        <v>157</v>
      </c>
    </row>
    <row r="9" spans="1:23">
      <c r="A9" s="39">
        <f>IF(B9="","",SpendPrefix&amp;TEXT(ROW()-4,"0000"))</f>
        <v>0</v>
      </c>
      <c r="B9" s="15">
        <v>46294</v>
      </c>
      <c r="C9" s="17">
        <f>IF(B9="","",TEXT(B9,"ddd"))</f>
        <v>0</v>
      </c>
      <c r="D9" s="18">
        <f>IF(B9="","",WEEKNUM(B9,IF(WeekStart="Sunday",1,2)))</f>
        <v>0</v>
      </c>
      <c r="E9" s="17">
        <f>IF(B9="","",TEXT(B9,"yyyy-mm"))</f>
        <v>0</v>
      </c>
      <c r="F9" s="32" t="s">
        <v>1015</v>
      </c>
      <c r="G9" s="32" t="s">
        <v>545</v>
      </c>
      <c r="H9" s="32" t="s">
        <v>1520</v>
      </c>
      <c r="K9" s="36">
        <v>62.4</v>
      </c>
      <c r="L9" s="25">
        <f>IF(OR(K9="",I9="",I9=0),"",K9/I9)</f>
        <v>0</v>
      </c>
      <c r="M9" s="32" t="s">
        <v>206</v>
      </c>
      <c r="N9" s="32" t="s">
        <v>632</v>
      </c>
      <c r="O9" s="40" t="s">
        <v>311</v>
      </c>
      <c r="P9" s="32" t="s">
        <v>624</v>
      </c>
      <c r="Q9" s="40" t="s">
        <v>312</v>
      </c>
      <c r="S9" s="25">
        <f>MonthlyBudget</f>
        <v>0</v>
      </c>
      <c r="T9" s="25">
        <f>IF(B9="","",SUMIFS($K$5:$K$404,$E$5:$E$404,E9))</f>
        <v>0</v>
      </c>
      <c r="U9" s="31">
        <f>IF(B9="","",IF(T9&gt;MonthlyBudget,"Check - over the monthly budget","OK"))</f>
        <v>0</v>
      </c>
      <c r="V9" s="31">
        <f>IF(B9="","",IF(K9="","Add - no amount",IF(Q9="Yes","Wasted",IF(O9="No","Check - unplanned","Purchased"))))</f>
        <v>0</v>
      </c>
      <c r="W9" s="43" t="s">
        <v>157</v>
      </c>
    </row>
    <row r="10" spans="1:23">
      <c r="A10" s="39">
        <f>IF(B10="","",SpendPrefix&amp;TEXT(ROW()-4,"0000"))</f>
        <v>0</v>
      </c>
      <c r="B10" s="15">
        <v>46295</v>
      </c>
      <c r="C10" s="17">
        <f>IF(B10="","",TEXT(B10,"ddd"))</f>
        <v>0</v>
      </c>
      <c r="D10" s="18">
        <f>IF(B10="","",WEEKNUM(B10,IF(WeekStart="Sunday",1,2)))</f>
        <v>0</v>
      </c>
      <c r="E10" s="17">
        <f>IF(B10="","",TEXT(B10,"yyyy-mm"))</f>
        <v>0</v>
      </c>
      <c r="F10" s="32" t="s">
        <v>1013</v>
      </c>
      <c r="G10" s="32" t="s">
        <v>625</v>
      </c>
      <c r="H10" s="32" t="s">
        <v>404</v>
      </c>
      <c r="K10" s="36">
        <v>2.1</v>
      </c>
      <c r="L10" s="25">
        <f>IF(OR(K10="",I10="",I10=0),"",K10/I10)</f>
        <v>0</v>
      </c>
      <c r="M10" s="32" t="s">
        <v>736</v>
      </c>
      <c r="N10" s="32" t="s">
        <v>632</v>
      </c>
      <c r="O10" s="40" t="s">
        <v>312</v>
      </c>
      <c r="P10" s="32" t="s">
        <v>625</v>
      </c>
      <c r="Q10" s="40" t="s">
        <v>312</v>
      </c>
      <c r="S10" s="25">
        <f>MonthlyBudget</f>
        <v>0</v>
      </c>
      <c r="T10" s="25">
        <f>IF(B10="","",SUMIFS($K$5:$K$404,$E$5:$E$404,E10))</f>
        <v>0</v>
      </c>
      <c r="U10" s="31">
        <f>IF(B10="","",IF(T10&gt;MonthlyBudget,"Check - over the monthly budget","OK"))</f>
        <v>0</v>
      </c>
      <c r="V10" s="31">
        <f>IF(B10="","",IF(K10="","Add - no amount",IF(Q10="Yes","Wasted",IF(O10="No","Check - unplanned","Purchased"))))</f>
        <v>0</v>
      </c>
      <c r="W10" s="43" t="s">
        <v>157</v>
      </c>
    </row>
    <row r="11" spans="1:23">
      <c r="A11" s="39">
        <f>IF(B11="","",SpendPrefix&amp;TEXT(ROW()-4,"0000"))</f>
        <v>0</v>
      </c>
      <c r="B11" s="15">
        <v>46297</v>
      </c>
      <c r="C11" s="17">
        <f>IF(B11="","",TEXT(B11,"ddd"))</f>
        <v>0</v>
      </c>
      <c r="D11" s="18">
        <f>IF(B11="","",WEEKNUM(B11,IF(WeekStart="Sunday",1,2)))</f>
        <v>0</v>
      </c>
      <c r="E11" s="17">
        <f>IF(B11="","",TEXT(B11,"yyyy-mm"))</f>
        <v>0</v>
      </c>
      <c r="F11" s="32" t="s">
        <v>1521</v>
      </c>
      <c r="G11" s="32" t="s">
        <v>322</v>
      </c>
      <c r="H11" s="32" t="s">
        <v>1522</v>
      </c>
      <c r="K11" s="36">
        <v>38.5</v>
      </c>
      <c r="L11" s="25">
        <f>IF(OR(K11="",I11="",I11=0),"",K11/I11)</f>
        <v>0</v>
      </c>
      <c r="M11" s="32" t="s">
        <v>206</v>
      </c>
      <c r="N11" s="32" t="s">
        <v>632</v>
      </c>
      <c r="O11" s="40" t="s">
        <v>312</v>
      </c>
      <c r="P11" s="32" t="s">
        <v>322</v>
      </c>
      <c r="Q11" s="40" t="s">
        <v>312</v>
      </c>
      <c r="S11" s="25">
        <f>MonthlyBudget</f>
        <v>0</v>
      </c>
      <c r="T11" s="25">
        <f>IF(B11="","",SUMIFS($K$5:$K$404,$E$5:$E$404,E11))</f>
        <v>0</v>
      </c>
      <c r="U11" s="31">
        <f>IF(B11="","",IF(T11&gt;MonthlyBudget,"Check - over the monthly budget","OK"))</f>
        <v>0</v>
      </c>
      <c r="V11" s="31">
        <f>IF(B11="","",IF(K11="","Add - no amount",IF(Q11="Yes","Wasted",IF(O11="No","Check - unplanned","Purchased"))))</f>
        <v>0</v>
      </c>
      <c r="W11" s="43" t="s">
        <v>157</v>
      </c>
    </row>
    <row r="12" spans="1:23">
      <c r="A12" s="39">
        <f>IF(B12="","",SpendPrefix&amp;TEXT(ROW()-4,"0000"))</f>
        <v>0</v>
      </c>
      <c r="B12" s="15">
        <v>46299</v>
      </c>
      <c r="C12" s="17">
        <f>IF(B12="","",TEXT(B12,"ddd"))</f>
        <v>0</v>
      </c>
      <c r="D12" s="18">
        <f>IF(B12="","",WEEKNUM(B12,IF(WeekStart="Sunday",1,2)))</f>
        <v>0</v>
      </c>
      <c r="E12" s="17">
        <f>IF(B12="","",TEXT(B12,"yyyy-mm"))</f>
        <v>0</v>
      </c>
      <c r="F12" s="32" t="s">
        <v>214</v>
      </c>
      <c r="G12" s="32" t="s">
        <v>624</v>
      </c>
      <c r="H12" s="32" t="s">
        <v>624</v>
      </c>
      <c r="K12" s="36">
        <v>138.6</v>
      </c>
      <c r="L12" s="25">
        <f>IF(OR(K12="",I12="",I12=0),"",K12/I12)</f>
        <v>0</v>
      </c>
      <c r="M12" s="32" t="s">
        <v>206</v>
      </c>
      <c r="N12" s="32" t="s">
        <v>632</v>
      </c>
      <c r="O12" s="40" t="s">
        <v>311</v>
      </c>
      <c r="P12" s="32" t="s">
        <v>624</v>
      </c>
      <c r="Q12" s="40" t="s">
        <v>312</v>
      </c>
      <c r="S12" s="25">
        <f>MonthlyBudget</f>
        <v>0</v>
      </c>
      <c r="T12" s="25">
        <f>IF(B12="","",SUMIFS($K$5:$K$404,$E$5:$E$404,E12))</f>
        <v>0</v>
      </c>
      <c r="U12" s="31">
        <f>IF(B12="","",IF(T12&gt;MonthlyBudget,"Check - over the monthly budget","OK"))</f>
        <v>0</v>
      </c>
      <c r="V12" s="31">
        <f>IF(B12="","",IF(K12="","Add - no amount",IF(Q12="Yes","Wasted",IF(O12="No","Check - unplanned","Purchased"))))</f>
        <v>0</v>
      </c>
      <c r="W12" s="43" t="s">
        <v>157</v>
      </c>
    </row>
    <row r="13" spans="1:23">
      <c r="A13" s="39">
        <f>IF(B13="","",SpendPrefix&amp;TEXT(ROW()-4,"0000"))</f>
        <v>0</v>
      </c>
      <c r="B13" s="15">
        <v>46300</v>
      </c>
      <c r="C13" s="17">
        <f>IF(B13="","",TEXT(B13,"ddd"))</f>
        <v>0</v>
      </c>
      <c r="D13" s="18">
        <f>IF(B13="","",WEEKNUM(B13,IF(WeekStart="Sunday",1,2)))</f>
        <v>0</v>
      </c>
      <c r="E13" s="17">
        <f>IF(B13="","",TEXT(B13,"yyyy-mm"))</f>
        <v>0</v>
      </c>
      <c r="F13" s="32" t="s">
        <v>1010</v>
      </c>
      <c r="G13" s="32" t="s">
        <v>545</v>
      </c>
      <c r="H13" s="32" t="s">
        <v>1523</v>
      </c>
      <c r="K13" s="36">
        <v>31.2</v>
      </c>
      <c r="L13" s="25">
        <f>IF(OR(K13="",I13="",I13=0),"",K13/I13)</f>
        <v>0</v>
      </c>
      <c r="M13" s="32" t="s">
        <v>206</v>
      </c>
      <c r="N13" s="32" t="s">
        <v>632</v>
      </c>
      <c r="O13" s="40" t="s">
        <v>311</v>
      </c>
      <c r="P13" s="32" t="s">
        <v>624</v>
      </c>
      <c r="Q13" s="40" t="s">
        <v>312</v>
      </c>
      <c r="S13" s="25">
        <f>MonthlyBudget</f>
        <v>0</v>
      </c>
      <c r="T13" s="25">
        <f>IF(B13="","",SUMIFS($K$5:$K$404,$E$5:$E$404,E13))</f>
        <v>0</v>
      </c>
      <c r="U13" s="31">
        <f>IF(B13="","",IF(T13&gt;MonthlyBudget,"Check - over the monthly budget","OK"))</f>
        <v>0</v>
      </c>
      <c r="V13" s="31">
        <f>IF(B13="","",IF(K13="","Add - no amount",IF(Q13="Yes","Wasted",IF(O13="No","Check - unplanned","Purchased"))))</f>
        <v>0</v>
      </c>
      <c r="W13" s="43" t="s">
        <v>157</v>
      </c>
    </row>
    <row r="14" spans="1:23">
      <c r="A14" s="39">
        <f>IF(B14="","",SpendPrefix&amp;TEXT(ROW()-4,"0000"))</f>
        <v>0</v>
      </c>
      <c r="B14" s="15">
        <v>46301</v>
      </c>
      <c r="C14" s="17">
        <f>IF(B14="","",TEXT(B14,"ddd"))</f>
        <v>0</v>
      </c>
      <c r="D14" s="18">
        <f>IF(B14="","",WEEKNUM(B14,IF(WeekStart="Sunday",1,2)))</f>
        <v>0</v>
      </c>
      <c r="E14" s="17">
        <f>IF(B14="","",TEXT(B14,"yyyy-mm"))</f>
        <v>0</v>
      </c>
      <c r="F14" s="32" t="s">
        <v>1013</v>
      </c>
      <c r="G14" s="32" t="s">
        <v>625</v>
      </c>
      <c r="H14" s="32" t="s">
        <v>948</v>
      </c>
      <c r="K14" s="36">
        <v>1.35</v>
      </c>
      <c r="L14" s="25">
        <f>IF(OR(K14="",I14="",I14=0),"",K14/I14)</f>
        <v>0</v>
      </c>
      <c r="M14" s="32" t="s">
        <v>736</v>
      </c>
      <c r="N14" s="32" t="s">
        <v>632</v>
      </c>
      <c r="O14" s="40" t="s">
        <v>312</v>
      </c>
      <c r="P14" s="32" t="s">
        <v>625</v>
      </c>
      <c r="Q14" s="40" t="s">
        <v>312</v>
      </c>
      <c r="S14" s="25">
        <f>MonthlyBudget</f>
        <v>0</v>
      </c>
      <c r="T14" s="25">
        <f>IF(B14="","",SUMIFS($K$5:$K$404,$E$5:$E$404,E14))</f>
        <v>0</v>
      </c>
      <c r="U14" s="31">
        <f>IF(B14="","",IF(T14&gt;MonthlyBudget,"Check - over the monthly budget","OK"))</f>
        <v>0</v>
      </c>
      <c r="V14" s="31">
        <f>IF(B14="","",IF(K14="","Add - no amount",IF(Q14="Yes","Wasted",IF(O14="No","Check - unplanned","Purchased"))))</f>
        <v>0</v>
      </c>
      <c r="W14" s="43" t="s">
        <v>157</v>
      </c>
    </row>
    <row r="15" spans="1:23">
      <c r="A15" s="39">
        <f>IF(B15="","",SpendPrefix&amp;TEXT(ROW()-4,"0000"))</f>
        <v>0</v>
      </c>
      <c r="B15" s="15">
        <v>46302</v>
      </c>
      <c r="C15" s="17">
        <f>IF(B15="","",TEXT(B15,"ddd"))</f>
        <v>0</v>
      </c>
      <c r="D15" s="18">
        <f>IF(B15="","",WEEKNUM(B15,IF(WeekStart="Sunday",1,2)))</f>
        <v>0</v>
      </c>
      <c r="E15" s="17">
        <f>IF(B15="","",TEXT(B15,"yyyy-mm"))</f>
        <v>0</v>
      </c>
      <c r="F15" s="32" t="s">
        <v>1524</v>
      </c>
      <c r="G15" s="32" t="s">
        <v>143</v>
      </c>
      <c r="H15" s="32" t="s">
        <v>1525</v>
      </c>
      <c r="K15" s="36">
        <v>64</v>
      </c>
      <c r="L15" s="25">
        <f>IF(OR(K15="",I15="",I15=0),"",K15/I15)</f>
        <v>0</v>
      </c>
      <c r="M15" s="32" t="s">
        <v>206</v>
      </c>
      <c r="N15" s="32" t="s">
        <v>632</v>
      </c>
      <c r="O15" s="40" t="s">
        <v>311</v>
      </c>
      <c r="P15" s="32" t="s">
        <v>628</v>
      </c>
      <c r="Q15" s="40" t="s">
        <v>312</v>
      </c>
      <c r="S15" s="25">
        <f>MonthlyBudget</f>
        <v>0</v>
      </c>
      <c r="T15" s="25">
        <f>IF(B15="","",SUMIFS($K$5:$K$404,$E$5:$E$404,E15))</f>
        <v>0</v>
      </c>
      <c r="U15" s="31">
        <f>IF(B15="","",IF(T15&gt;MonthlyBudget,"Check - over the monthly budget","OK"))</f>
        <v>0</v>
      </c>
      <c r="V15" s="31">
        <f>IF(B15="","",IF(K15="","Add - no amount",IF(Q15="Yes","Wasted",IF(O15="No","Check - unplanned","Purchased"))))</f>
        <v>0</v>
      </c>
      <c r="W15" s="43" t="s">
        <v>157</v>
      </c>
    </row>
    <row r="16" spans="1:23">
      <c r="A16" s="39">
        <f>IF(B16="","",SpendPrefix&amp;TEXT(ROW()-4,"0000"))</f>
        <v>0</v>
      </c>
      <c r="B16" s="15">
        <v>46304</v>
      </c>
      <c r="C16" s="17">
        <f>IF(B16="","",TEXT(B16,"ddd"))</f>
        <v>0</v>
      </c>
      <c r="D16" s="18">
        <f>IF(B16="","",WEEKNUM(B16,IF(WeekStart="Sunday",1,2)))</f>
        <v>0</v>
      </c>
      <c r="E16" s="17">
        <f>IF(B16="","",TEXT(B16,"yyyy-mm"))</f>
        <v>0</v>
      </c>
      <c r="F16" s="32" t="s">
        <v>214</v>
      </c>
      <c r="G16" s="32" t="s">
        <v>624</v>
      </c>
      <c r="H16" s="32" t="s">
        <v>624</v>
      </c>
      <c r="K16" s="36">
        <v>147.95</v>
      </c>
      <c r="L16" s="25">
        <f>IF(OR(K16="",I16="",I16=0),"",K16/I16)</f>
        <v>0</v>
      </c>
      <c r="M16" s="32" t="s">
        <v>206</v>
      </c>
      <c r="N16" s="32" t="s">
        <v>632</v>
      </c>
      <c r="O16" s="40" t="s">
        <v>311</v>
      </c>
      <c r="P16" s="32" t="s">
        <v>624</v>
      </c>
      <c r="Q16" s="40" t="s">
        <v>312</v>
      </c>
      <c r="S16" s="25">
        <f>MonthlyBudget</f>
        <v>0</v>
      </c>
      <c r="T16" s="25">
        <f>IF(B16="","",SUMIFS($K$5:$K$404,$E$5:$E$404,E16))</f>
        <v>0</v>
      </c>
      <c r="U16" s="31">
        <f>IF(B16="","",IF(T16&gt;MonthlyBudget,"Check - over the monthly budget","OK"))</f>
        <v>0</v>
      </c>
      <c r="V16" s="31">
        <f>IF(B16="","",IF(K16="","Add - no amount",IF(Q16="Yes","Wasted",IF(O16="No","Check - unplanned","Purchased"))))</f>
        <v>0</v>
      </c>
      <c r="W16" s="43" t="s">
        <v>157</v>
      </c>
    </row>
    <row r="17" spans="1:23">
      <c r="A17" s="39">
        <f>IF(B17="","",SpendPrefix&amp;TEXT(ROW()-4,"0000"))</f>
        <v>0</v>
      </c>
      <c r="B17" s="15">
        <v>46305</v>
      </c>
      <c r="C17" s="17">
        <f>IF(B17="","",TEXT(B17,"ddd"))</f>
        <v>0</v>
      </c>
      <c r="D17" s="18">
        <f>IF(B17="","",WEEKNUM(B17,IF(WeekStart="Sunday",1,2)))</f>
        <v>0</v>
      </c>
      <c r="E17" s="17">
        <f>IF(B17="","",TEXT(B17,"yyyy-mm"))</f>
        <v>0</v>
      </c>
      <c r="F17" s="32" t="s">
        <v>1011</v>
      </c>
      <c r="G17" s="32" t="s">
        <v>625</v>
      </c>
      <c r="H17" s="32" t="s">
        <v>1526</v>
      </c>
      <c r="K17" s="36">
        <v>12.75</v>
      </c>
      <c r="L17" s="25">
        <f>IF(OR(K17="",I17="",I17=0),"",K17/I17)</f>
        <v>0</v>
      </c>
      <c r="M17" s="32" t="s">
        <v>736</v>
      </c>
      <c r="N17" s="32" t="s">
        <v>632</v>
      </c>
      <c r="O17" s="40" t="s">
        <v>311</v>
      </c>
      <c r="P17" s="32" t="s">
        <v>624</v>
      </c>
      <c r="Q17" s="40" t="s">
        <v>312</v>
      </c>
      <c r="S17" s="25">
        <f>MonthlyBudget</f>
        <v>0</v>
      </c>
      <c r="T17" s="25">
        <f>IF(B17="","",SUMIFS($K$5:$K$404,$E$5:$E$404,E17))</f>
        <v>0</v>
      </c>
      <c r="U17" s="31">
        <f>IF(B17="","",IF(T17&gt;MonthlyBudget,"Check - over the monthly budget","OK"))</f>
        <v>0</v>
      </c>
      <c r="V17" s="31">
        <f>IF(B17="","",IF(K17="","Add - no amount",IF(Q17="Yes","Wasted",IF(O17="No","Check - unplanned","Purchased"))))</f>
        <v>0</v>
      </c>
      <c r="W17" s="43" t="s">
        <v>157</v>
      </c>
    </row>
    <row r="18" spans="1:23">
      <c r="A18" s="39">
        <f>IF(B18="","",SpendPrefix&amp;TEXT(ROW()-4,"0000"))</f>
        <v>0</v>
      </c>
      <c r="C18" s="17">
        <f>IF(B18="","",TEXT(B18,"ddd"))</f>
        <v>0</v>
      </c>
      <c r="D18" s="18">
        <f>IF(B18="","",WEEKNUM(B18,IF(WeekStart="Sunday",1,2)))</f>
        <v>0</v>
      </c>
      <c r="E18" s="17">
        <f>IF(B18="","",TEXT(B18,"yyyy-mm"))</f>
        <v>0</v>
      </c>
      <c r="L18" s="25">
        <f>IF(OR(K18="",I18="",I18=0),"",K18/I18)</f>
        <v>0</v>
      </c>
      <c r="S18" s="25">
        <f>MonthlyBudget</f>
        <v>0</v>
      </c>
      <c r="T18" s="25">
        <f>IF(B18="","",SUMIFS($K$5:$K$404,$E$5:$E$404,E18))</f>
        <v>0</v>
      </c>
      <c r="U18" s="31">
        <f>IF(B18="","",IF(T18&gt;MonthlyBudget,"Check - over the monthly budget","OK"))</f>
        <v>0</v>
      </c>
      <c r="V18" s="31">
        <f>IF(B18="","",IF(K18="","Add - no amount",IF(Q18="Yes","Wasted",IF(O18="No","Check - unplanned","Purchased"))))</f>
        <v>0</v>
      </c>
    </row>
    <row r="19" spans="1:23">
      <c r="A19" s="39">
        <f>IF(B19="","",SpendPrefix&amp;TEXT(ROW()-4,"0000"))</f>
        <v>0</v>
      </c>
      <c r="C19" s="17">
        <f>IF(B19="","",TEXT(B19,"ddd"))</f>
        <v>0</v>
      </c>
      <c r="D19" s="18">
        <f>IF(B19="","",WEEKNUM(B19,IF(WeekStart="Sunday",1,2)))</f>
        <v>0</v>
      </c>
      <c r="E19" s="17">
        <f>IF(B19="","",TEXT(B19,"yyyy-mm"))</f>
        <v>0</v>
      </c>
      <c r="L19" s="25">
        <f>IF(OR(K19="",I19="",I19=0),"",K19/I19)</f>
        <v>0</v>
      </c>
      <c r="S19" s="25">
        <f>MonthlyBudget</f>
        <v>0</v>
      </c>
      <c r="T19" s="25">
        <f>IF(B19="","",SUMIFS($K$5:$K$404,$E$5:$E$404,E19))</f>
        <v>0</v>
      </c>
      <c r="U19" s="31">
        <f>IF(B19="","",IF(T19&gt;MonthlyBudget,"Check - over the monthly budget","OK"))</f>
        <v>0</v>
      </c>
      <c r="V19" s="31">
        <f>IF(B19="","",IF(K19="","Add - no amount",IF(Q19="Yes","Wasted",IF(O19="No","Check - unplanned","Purchased"))))</f>
        <v>0</v>
      </c>
    </row>
    <row r="20" spans="1:23">
      <c r="A20" s="39">
        <f>IF(B20="","",SpendPrefix&amp;TEXT(ROW()-4,"0000"))</f>
        <v>0</v>
      </c>
      <c r="C20" s="17">
        <f>IF(B20="","",TEXT(B20,"ddd"))</f>
        <v>0</v>
      </c>
      <c r="D20" s="18">
        <f>IF(B20="","",WEEKNUM(B20,IF(WeekStart="Sunday",1,2)))</f>
        <v>0</v>
      </c>
      <c r="E20" s="17">
        <f>IF(B20="","",TEXT(B20,"yyyy-mm"))</f>
        <v>0</v>
      </c>
      <c r="L20" s="25">
        <f>IF(OR(K20="",I20="",I20=0),"",K20/I20)</f>
        <v>0</v>
      </c>
      <c r="S20" s="25">
        <f>MonthlyBudget</f>
        <v>0</v>
      </c>
      <c r="T20" s="25">
        <f>IF(B20="","",SUMIFS($K$5:$K$404,$E$5:$E$404,E20))</f>
        <v>0</v>
      </c>
      <c r="U20" s="31">
        <f>IF(B20="","",IF(T20&gt;MonthlyBudget,"Check - over the monthly budget","OK"))</f>
        <v>0</v>
      </c>
      <c r="V20" s="31">
        <f>IF(B20="","",IF(K20="","Add - no amount",IF(Q20="Yes","Wasted",IF(O20="No","Check - unplanned","Purchased"))))</f>
        <v>0</v>
      </c>
    </row>
    <row r="21" spans="1:23">
      <c r="A21" s="39">
        <f>IF(B21="","",SpendPrefix&amp;TEXT(ROW()-4,"0000"))</f>
        <v>0</v>
      </c>
      <c r="C21" s="17">
        <f>IF(B21="","",TEXT(B21,"ddd"))</f>
        <v>0</v>
      </c>
      <c r="D21" s="18">
        <f>IF(B21="","",WEEKNUM(B21,IF(WeekStart="Sunday",1,2)))</f>
        <v>0</v>
      </c>
      <c r="E21" s="17">
        <f>IF(B21="","",TEXT(B21,"yyyy-mm"))</f>
        <v>0</v>
      </c>
      <c r="L21" s="25">
        <f>IF(OR(K21="",I21="",I21=0),"",K21/I21)</f>
        <v>0</v>
      </c>
      <c r="S21" s="25">
        <f>MonthlyBudget</f>
        <v>0</v>
      </c>
      <c r="T21" s="25">
        <f>IF(B21="","",SUMIFS($K$5:$K$404,$E$5:$E$404,E21))</f>
        <v>0</v>
      </c>
      <c r="U21" s="31">
        <f>IF(B21="","",IF(T21&gt;MonthlyBudget,"Check - over the monthly budget","OK"))</f>
        <v>0</v>
      </c>
      <c r="V21" s="31">
        <f>IF(B21="","",IF(K21="","Add - no amount",IF(Q21="Yes","Wasted",IF(O21="No","Check - unplanned","Purchased"))))</f>
        <v>0</v>
      </c>
    </row>
    <row r="22" spans="1:23">
      <c r="A22" s="39">
        <f>IF(B22="","",SpendPrefix&amp;TEXT(ROW()-4,"0000"))</f>
        <v>0</v>
      </c>
      <c r="C22" s="17">
        <f>IF(B22="","",TEXT(B22,"ddd"))</f>
        <v>0</v>
      </c>
      <c r="D22" s="18">
        <f>IF(B22="","",WEEKNUM(B22,IF(WeekStart="Sunday",1,2)))</f>
        <v>0</v>
      </c>
      <c r="E22" s="17">
        <f>IF(B22="","",TEXT(B22,"yyyy-mm"))</f>
        <v>0</v>
      </c>
      <c r="L22" s="25">
        <f>IF(OR(K22="",I22="",I22=0),"",K22/I22)</f>
        <v>0</v>
      </c>
      <c r="S22" s="25">
        <f>MonthlyBudget</f>
        <v>0</v>
      </c>
      <c r="T22" s="25">
        <f>IF(B22="","",SUMIFS($K$5:$K$404,$E$5:$E$404,E22))</f>
        <v>0</v>
      </c>
      <c r="U22" s="31">
        <f>IF(B22="","",IF(T22&gt;MonthlyBudget,"Check - over the monthly budget","OK"))</f>
        <v>0</v>
      </c>
      <c r="V22" s="31">
        <f>IF(B22="","",IF(K22="","Add - no amount",IF(Q22="Yes","Wasted",IF(O22="No","Check - unplanned","Purchased"))))</f>
        <v>0</v>
      </c>
    </row>
    <row r="23" spans="1:23">
      <c r="A23" s="39">
        <f>IF(B23="","",SpendPrefix&amp;TEXT(ROW()-4,"0000"))</f>
        <v>0</v>
      </c>
      <c r="C23" s="17">
        <f>IF(B23="","",TEXT(B23,"ddd"))</f>
        <v>0</v>
      </c>
      <c r="D23" s="18">
        <f>IF(B23="","",WEEKNUM(B23,IF(WeekStart="Sunday",1,2)))</f>
        <v>0</v>
      </c>
      <c r="E23" s="17">
        <f>IF(B23="","",TEXT(B23,"yyyy-mm"))</f>
        <v>0</v>
      </c>
      <c r="L23" s="25">
        <f>IF(OR(K23="",I23="",I23=0),"",K23/I23)</f>
        <v>0</v>
      </c>
      <c r="S23" s="25">
        <f>MonthlyBudget</f>
        <v>0</v>
      </c>
      <c r="T23" s="25">
        <f>IF(B23="","",SUMIFS($K$5:$K$404,$E$5:$E$404,E23))</f>
        <v>0</v>
      </c>
      <c r="U23" s="31">
        <f>IF(B23="","",IF(T23&gt;MonthlyBudget,"Check - over the monthly budget","OK"))</f>
        <v>0</v>
      </c>
      <c r="V23" s="31">
        <f>IF(B23="","",IF(K23="","Add - no amount",IF(Q23="Yes","Wasted",IF(O23="No","Check - unplanned","Purchased"))))</f>
        <v>0</v>
      </c>
    </row>
    <row r="24" spans="1:23">
      <c r="A24" s="39">
        <f>IF(B24="","",SpendPrefix&amp;TEXT(ROW()-4,"0000"))</f>
        <v>0</v>
      </c>
      <c r="C24" s="17">
        <f>IF(B24="","",TEXT(B24,"ddd"))</f>
        <v>0</v>
      </c>
      <c r="D24" s="18">
        <f>IF(B24="","",WEEKNUM(B24,IF(WeekStart="Sunday",1,2)))</f>
        <v>0</v>
      </c>
      <c r="E24" s="17">
        <f>IF(B24="","",TEXT(B24,"yyyy-mm"))</f>
        <v>0</v>
      </c>
      <c r="L24" s="25">
        <f>IF(OR(K24="",I24="",I24=0),"",K24/I24)</f>
        <v>0</v>
      </c>
      <c r="S24" s="25">
        <f>MonthlyBudget</f>
        <v>0</v>
      </c>
      <c r="T24" s="25">
        <f>IF(B24="","",SUMIFS($K$5:$K$404,$E$5:$E$404,E24))</f>
        <v>0</v>
      </c>
      <c r="U24" s="31">
        <f>IF(B24="","",IF(T24&gt;MonthlyBudget,"Check - over the monthly budget","OK"))</f>
        <v>0</v>
      </c>
      <c r="V24" s="31">
        <f>IF(B24="","",IF(K24="","Add - no amount",IF(Q24="Yes","Wasted",IF(O24="No","Check - unplanned","Purchased"))))</f>
        <v>0</v>
      </c>
    </row>
    <row r="25" spans="1:23">
      <c r="A25" s="39">
        <f>IF(B25="","",SpendPrefix&amp;TEXT(ROW()-4,"0000"))</f>
        <v>0</v>
      </c>
      <c r="C25" s="17">
        <f>IF(B25="","",TEXT(B25,"ddd"))</f>
        <v>0</v>
      </c>
      <c r="D25" s="18">
        <f>IF(B25="","",WEEKNUM(B25,IF(WeekStart="Sunday",1,2)))</f>
        <v>0</v>
      </c>
      <c r="E25" s="17">
        <f>IF(B25="","",TEXT(B25,"yyyy-mm"))</f>
        <v>0</v>
      </c>
      <c r="L25" s="25">
        <f>IF(OR(K25="",I25="",I25=0),"",K25/I25)</f>
        <v>0</v>
      </c>
      <c r="S25" s="25">
        <f>MonthlyBudget</f>
        <v>0</v>
      </c>
      <c r="T25" s="25">
        <f>IF(B25="","",SUMIFS($K$5:$K$404,$E$5:$E$404,E25))</f>
        <v>0</v>
      </c>
      <c r="U25" s="31">
        <f>IF(B25="","",IF(T25&gt;MonthlyBudget,"Check - over the monthly budget","OK"))</f>
        <v>0</v>
      </c>
      <c r="V25" s="31">
        <f>IF(B25="","",IF(K25="","Add - no amount",IF(Q25="Yes","Wasted",IF(O25="No","Check - unplanned","Purchased"))))</f>
        <v>0</v>
      </c>
    </row>
    <row r="26" spans="1:23">
      <c r="A26" s="39">
        <f>IF(B26="","",SpendPrefix&amp;TEXT(ROW()-4,"0000"))</f>
        <v>0</v>
      </c>
      <c r="C26" s="17">
        <f>IF(B26="","",TEXT(B26,"ddd"))</f>
        <v>0</v>
      </c>
      <c r="D26" s="18">
        <f>IF(B26="","",WEEKNUM(B26,IF(WeekStart="Sunday",1,2)))</f>
        <v>0</v>
      </c>
      <c r="E26" s="17">
        <f>IF(B26="","",TEXT(B26,"yyyy-mm"))</f>
        <v>0</v>
      </c>
      <c r="L26" s="25">
        <f>IF(OR(K26="",I26="",I26=0),"",K26/I26)</f>
        <v>0</v>
      </c>
      <c r="S26" s="25">
        <f>MonthlyBudget</f>
        <v>0</v>
      </c>
      <c r="T26" s="25">
        <f>IF(B26="","",SUMIFS($K$5:$K$404,$E$5:$E$404,E26))</f>
        <v>0</v>
      </c>
      <c r="U26" s="31">
        <f>IF(B26="","",IF(T26&gt;MonthlyBudget,"Check - over the monthly budget","OK"))</f>
        <v>0</v>
      </c>
      <c r="V26" s="31">
        <f>IF(B26="","",IF(K26="","Add - no amount",IF(Q26="Yes","Wasted",IF(O26="No","Check - unplanned","Purchased"))))</f>
        <v>0</v>
      </c>
    </row>
    <row r="27" spans="1:23">
      <c r="A27" s="39">
        <f>IF(B27="","",SpendPrefix&amp;TEXT(ROW()-4,"0000"))</f>
        <v>0</v>
      </c>
      <c r="C27" s="17">
        <f>IF(B27="","",TEXT(B27,"ddd"))</f>
        <v>0</v>
      </c>
      <c r="D27" s="18">
        <f>IF(B27="","",WEEKNUM(B27,IF(WeekStart="Sunday",1,2)))</f>
        <v>0</v>
      </c>
      <c r="E27" s="17">
        <f>IF(B27="","",TEXT(B27,"yyyy-mm"))</f>
        <v>0</v>
      </c>
      <c r="L27" s="25">
        <f>IF(OR(K27="",I27="",I27=0),"",K27/I27)</f>
        <v>0</v>
      </c>
      <c r="S27" s="25">
        <f>MonthlyBudget</f>
        <v>0</v>
      </c>
      <c r="T27" s="25">
        <f>IF(B27="","",SUMIFS($K$5:$K$404,$E$5:$E$404,E27))</f>
        <v>0</v>
      </c>
      <c r="U27" s="31">
        <f>IF(B27="","",IF(T27&gt;MonthlyBudget,"Check - over the monthly budget","OK"))</f>
        <v>0</v>
      </c>
      <c r="V27" s="31">
        <f>IF(B27="","",IF(K27="","Add - no amount",IF(Q27="Yes","Wasted",IF(O27="No","Check - unplanned","Purchased"))))</f>
        <v>0</v>
      </c>
    </row>
    <row r="28" spans="1:23">
      <c r="A28" s="39">
        <f>IF(B28="","",SpendPrefix&amp;TEXT(ROW()-4,"0000"))</f>
        <v>0</v>
      </c>
      <c r="C28" s="17">
        <f>IF(B28="","",TEXT(B28,"ddd"))</f>
        <v>0</v>
      </c>
      <c r="D28" s="18">
        <f>IF(B28="","",WEEKNUM(B28,IF(WeekStart="Sunday",1,2)))</f>
        <v>0</v>
      </c>
      <c r="E28" s="17">
        <f>IF(B28="","",TEXT(B28,"yyyy-mm"))</f>
        <v>0</v>
      </c>
      <c r="L28" s="25">
        <f>IF(OR(K28="",I28="",I28=0),"",K28/I28)</f>
        <v>0</v>
      </c>
      <c r="S28" s="25">
        <f>MonthlyBudget</f>
        <v>0</v>
      </c>
      <c r="T28" s="25">
        <f>IF(B28="","",SUMIFS($K$5:$K$404,$E$5:$E$404,E28))</f>
        <v>0</v>
      </c>
      <c r="U28" s="31">
        <f>IF(B28="","",IF(T28&gt;MonthlyBudget,"Check - over the monthly budget","OK"))</f>
        <v>0</v>
      </c>
      <c r="V28" s="31">
        <f>IF(B28="","",IF(K28="","Add - no amount",IF(Q28="Yes","Wasted",IF(O28="No","Check - unplanned","Purchased"))))</f>
        <v>0</v>
      </c>
    </row>
    <row r="29" spans="1:23">
      <c r="A29" s="39">
        <f>IF(B29="","",SpendPrefix&amp;TEXT(ROW()-4,"0000"))</f>
        <v>0</v>
      </c>
      <c r="C29" s="17">
        <f>IF(B29="","",TEXT(B29,"ddd"))</f>
        <v>0</v>
      </c>
      <c r="D29" s="18">
        <f>IF(B29="","",WEEKNUM(B29,IF(WeekStart="Sunday",1,2)))</f>
        <v>0</v>
      </c>
      <c r="E29" s="17">
        <f>IF(B29="","",TEXT(B29,"yyyy-mm"))</f>
        <v>0</v>
      </c>
      <c r="L29" s="25">
        <f>IF(OR(K29="",I29="",I29=0),"",K29/I29)</f>
        <v>0</v>
      </c>
      <c r="S29" s="25">
        <f>MonthlyBudget</f>
        <v>0</v>
      </c>
      <c r="T29" s="25">
        <f>IF(B29="","",SUMIFS($K$5:$K$404,$E$5:$E$404,E29))</f>
        <v>0</v>
      </c>
      <c r="U29" s="31">
        <f>IF(B29="","",IF(T29&gt;MonthlyBudget,"Check - over the monthly budget","OK"))</f>
        <v>0</v>
      </c>
      <c r="V29" s="31">
        <f>IF(B29="","",IF(K29="","Add - no amount",IF(Q29="Yes","Wasted",IF(O29="No","Check - unplanned","Purchased"))))</f>
        <v>0</v>
      </c>
    </row>
    <row r="30" spans="1:23">
      <c r="A30" s="39">
        <f>IF(B30="","",SpendPrefix&amp;TEXT(ROW()-4,"0000"))</f>
        <v>0</v>
      </c>
      <c r="C30" s="17">
        <f>IF(B30="","",TEXT(B30,"ddd"))</f>
        <v>0</v>
      </c>
      <c r="D30" s="18">
        <f>IF(B30="","",WEEKNUM(B30,IF(WeekStart="Sunday",1,2)))</f>
        <v>0</v>
      </c>
      <c r="E30" s="17">
        <f>IF(B30="","",TEXT(B30,"yyyy-mm"))</f>
        <v>0</v>
      </c>
      <c r="L30" s="25">
        <f>IF(OR(K30="",I30="",I30=0),"",K30/I30)</f>
        <v>0</v>
      </c>
      <c r="S30" s="25">
        <f>MonthlyBudget</f>
        <v>0</v>
      </c>
      <c r="T30" s="25">
        <f>IF(B30="","",SUMIFS($K$5:$K$404,$E$5:$E$404,E30))</f>
        <v>0</v>
      </c>
      <c r="U30" s="31">
        <f>IF(B30="","",IF(T30&gt;MonthlyBudget,"Check - over the monthly budget","OK"))</f>
        <v>0</v>
      </c>
      <c r="V30" s="31">
        <f>IF(B30="","",IF(K30="","Add - no amount",IF(Q30="Yes","Wasted",IF(O30="No","Check - unplanned","Purchased"))))</f>
        <v>0</v>
      </c>
    </row>
    <row r="31" spans="1:23">
      <c r="A31" s="39">
        <f>IF(B31="","",SpendPrefix&amp;TEXT(ROW()-4,"0000"))</f>
        <v>0</v>
      </c>
      <c r="C31" s="17">
        <f>IF(B31="","",TEXT(B31,"ddd"))</f>
        <v>0</v>
      </c>
      <c r="D31" s="18">
        <f>IF(B31="","",WEEKNUM(B31,IF(WeekStart="Sunday",1,2)))</f>
        <v>0</v>
      </c>
      <c r="E31" s="17">
        <f>IF(B31="","",TEXT(B31,"yyyy-mm"))</f>
        <v>0</v>
      </c>
      <c r="L31" s="25">
        <f>IF(OR(K31="",I31="",I31=0),"",K31/I31)</f>
        <v>0</v>
      </c>
      <c r="S31" s="25">
        <f>MonthlyBudget</f>
        <v>0</v>
      </c>
      <c r="T31" s="25">
        <f>IF(B31="","",SUMIFS($K$5:$K$404,$E$5:$E$404,E31))</f>
        <v>0</v>
      </c>
      <c r="U31" s="31">
        <f>IF(B31="","",IF(T31&gt;MonthlyBudget,"Check - over the monthly budget","OK"))</f>
        <v>0</v>
      </c>
      <c r="V31" s="31">
        <f>IF(B31="","",IF(K31="","Add - no amount",IF(Q31="Yes","Wasted",IF(O31="No","Check - unplanned","Purchased"))))</f>
        <v>0</v>
      </c>
    </row>
    <row r="32" spans="1:23">
      <c r="A32" s="39">
        <f>IF(B32="","",SpendPrefix&amp;TEXT(ROW()-4,"0000"))</f>
        <v>0</v>
      </c>
      <c r="C32" s="17">
        <f>IF(B32="","",TEXT(B32,"ddd"))</f>
        <v>0</v>
      </c>
      <c r="D32" s="18">
        <f>IF(B32="","",WEEKNUM(B32,IF(WeekStart="Sunday",1,2)))</f>
        <v>0</v>
      </c>
      <c r="E32" s="17">
        <f>IF(B32="","",TEXT(B32,"yyyy-mm"))</f>
        <v>0</v>
      </c>
      <c r="L32" s="25">
        <f>IF(OR(K32="",I32="",I32=0),"",K32/I32)</f>
        <v>0</v>
      </c>
      <c r="S32" s="25">
        <f>MonthlyBudget</f>
        <v>0</v>
      </c>
      <c r="T32" s="25">
        <f>IF(B32="","",SUMIFS($K$5:$K$404,$E$5:$E$404,E32))</f>
        <v>0</v>
      </c>
      <c r="U32" s="31">
        <f>IF(B32="","",IF(T32&gt;MonthlyBudget,"Check - over the monthly budget","OK"))</f>
        <v>0</v>
      </c>
      <c r="V32" s="31">
        <f>IF(B32="","",IF(K32="","Add - no amount",IF(Q32="Yes","Wasted",IF(O32="No","Check - unplanned","Purchased"))))</f>
        <v>0</v>
      </c>
    </row>
    <row r="33" spans="1:22">
      <c r="A33" s="39">
        <f>IF(B33="","",SpendPrefix&amp;TEXT(ROW()-4,"0000"))</f>
        <v>0</v>
      </c>
      <c r="C33" s="17">
        <f>IF(B33="","",TEXT(B33,"ddd"))</f>
        <v>0</v>
      </c>
      <c r="D33" s="18">
        <f>IF(B33="","",WEEKNUM(B33,IF(WeekStart="Sunday",1,2)))</f>
        <v>0</v>
      </c>
      <c r="E33" s="17">
        <f>IF(B33="","",TEXT(B33,"yyyy-mm"))</f>
        <v>0</v>
      </c>
      <c r="L33" s="25">
        <f>IF(OR(K33="",I33="",I33=0),"",K33/I33)</f>
        <v>0</v>
      </c>
      <c r="S33" s="25">
        <f>MonthlyBudget</f>
        <v>0</v>
      </c>
      <c r="T33" s="25">
        <f>IF(B33="","",SUMIFS($K$5:$K$404,$E$5:$E$404,E33))</f>
        <v>0</v>
      </c>
      <c r="U33" s="31">
        <f>IF(B33="","",IF(T33&gt;MonthlyBudget,"Check - over the monthly budget","OK"))</f>
        <v>0</v>
      </c>
      <c r="V33" s="31">
        <f>IF(B33="","",IF(K33="","Add - no amount",IF(Q33="Yes","Wasted",IF(O33="No","Check - unplanned","Purchased"))))</f>
        <v>0</v>
      </c>
    </row>
    <row r="34" spans="1:22">
      <c r="A34" s="39">
        <f>IF(B34="","",SpendPrefix&amp;TEXT(ROW()-4,"0000"))</f>
        <v>0</v>
      </c>
      <c r="C34" s="17">
        <f>IF(B34="","",TEXT(B34,"ddd"))</f>
        <v>0</v>
      </c>
      <c r="D34" s="18">
        <f>IF(B34="","",WEEKNUM(B34,IF(WeekStart="Sunday",1,2)))</f>
        <v>0</v>
      </c>
      <c r="E34" s="17">
        <f>IF(B34="","",TEXT(B34,"yyyy-mm"))</f>
        <v>0</v>
      </c>
      <c r="L34" s="25">
        <f>IF(OR(K34="",I34="",I34=0),"",K34/I34)</f>
        <v>0</v>
      </c>
      <c r="S34" s="25">
        <f>MonthlyBudget</f>
        <v>0</v>
      </c>
      <c r="T34" s="25">
        <f>IF(B34="","",SUMIFS($K$5:$K$404,$E$5:$E$404,E34))</f>
        <v>0</v>
      </c>
      <c r="U34" s="31">
        <f>IF(B34="","",IF(T34&gt;MonthlyBudget,"Check - over the monthly budget","OK"))</f>
        <v>0</v>
      </c>
      <c r="V34" s="31">
        <f>IF(B34="","",IF(K34="","Add - no amount",IF(Q34="Yes","Wasted",IF(O34="No","Check - unplanned","Purchased"))))</f>
        <v>0</v>
      </c>
    </row>
    <row r="35" spans="1:22">
      <c r="A35" s="39">
        <f>IF(B35="","",SpendPrefix&amp;TEXT(ROW()-4,"0000"))</f>
        <v>0</v>
      </c>
      <c r="C35" s="17">
        <f>IF(B35="","",TEXT(B35,"ddd"))</f>
        <v>0</v>
      </c>
      <c r="D35" s="18">
        <f>IF(B35="","",WEEKNUM(B35,IF(WeekStart="Sunday",1,2)))</f>
        <v>0</v>
      </c>
      <c r="E35" s="17">
        <f>IF(B35="","",TEXT(B35,"yyyy-mm"))</f>
        <v>0</v>
      </c>
      <c r="L35" s="25">
        <f>IF(OR(K35="",I35="",I35=0),"",K35/I35)</f>
        <v>0</v>
      </c>
      <c r="S35" s="25">
        <f>MonthlyBudget</f>
        <v>0</v>
      </c>
      <c r="T35" s="25">
        <f>IF(B35="","",SUMIFS($K$5:$K$404,$E$5:$E$404,E35))</f>
        <v>0</v>
      </c>
      <c r="U35" s="31">
        <f>IF(B35="","",IF(T35&gt;MonthlyBudget,"Check - over the monthly budget","OK"))</f>
        <v>0</v>
      </c>
      <c r="V35" s="31">
        <f>IF(B35="","",IF(K35="","Add - no amount",IF(Q35="Yes","Wasted",IF(O35="No","Check - unplanned","Purchased"))))</f>
        <v>0</v>
      </c>
    </row>
    <row r="36" spans="1:22">
      <c r="A36" s="39">
        <f>IF(B36="","",SpendPrefix&amp;TEXT(ROW()-4,"0000"))</f>
        <v>0</v>
      </c>
      <c r="C36" s="17">
        <f>IF(B36="","",TEXT(B36,"ddd"))</f>
        <v>0</v>
      </c>
      <c r="D36" s="18">
        <f>IF(B36="","",WEEKNUM(B36,IF(WeekStart="Sunday",1,2)))</f>
        <v>0</v>
      </c>
      <c r="E36" s="17">
        <f>IF(B36="","",TEXT(B36,"yyyy-mm"))</f>
        <v>0</v>
      </c>
      <c r="L36" s="25">
        <f>IF(OR(K36="",I36="",I36=0),"",K36/I36)</f>
        <v>0</v>
      </c>
      <c r="S36" s="25">
        <f>MonthlyBudget</f>
        <v>0</v>
      </c>
      <c r="T36" s="25">
        <f>IF(B36="","",SUMIFS($K$5:$K$404,$E$5:$E$404,E36))</f>
        <v>0</v>
      </c>
      <c r="U36" s="31">
        <f>IF(B36="","",IF(T36&gt;MonthlyBudget,"Check - over the monthly budget","OK"))</f>
        <v>0</v>
      </c>
      <c r="V36" s="31">
        <f>IF(B36="","",IF(K36="","Add - no amount",IF(Q36="Yes","Wasted",IF(O36="No","Check - unplanned","Purchased"))))</f>
        <v>0</v>
      </c>
    </row>
    <row r="37" spans="1:22">
      <c r="A37" s="39">
        <f>IF(B37="","",SpendPrefix&amp;TEXT(ROW()-4,"0000"))</f>
        <v>0</v>
      </c>
      <c r="C37" s="17">
        <f>IF(B37="","",TEXT(B37,"ddd"))</f>
        <v>0</v>
      </c>
      <c r="D37" s="18">
        <f>IF(B37="","",WEEKNUM(B37,IF(WeekStart="Sunday",1,2)))</f>
        <v>0</v>
      </c>
      <c r="E37" s="17">
        <f>IF(B37="","",TEXT(B37,"yyyy-mm"))</f>
        <v>0</v>
      </c>
      <c r="L37" s="25">
        <f>IF(OR(K37="",I37="",I37=0),"",K37/I37)</f>
        <v>0</v>
      </c>
      <c r="S37" s="25">
        <f>MonthlyBudget</f>
        <v>0</v>
      </c>
      <c r="T37" s="25">
        <f>IF(B37="","",SUMIFS($K$5:$K$404,$E$5:$E$404,E37))</f>
        <v>0</v>
      </c>
      <c r="U37" s="31">
        <f>IF(B37="","",IF(T37&gt;MonthlyBudget,"Check - over the monthly budget","OK"))</f>
        <v>0</v>
      </c>
      <c r="V37" s="31">
        <f>IF(B37="","",IF(K37="","Add - no amount",IF(Q37="Yes","Wasted",IF(O37="No","Check - unplanned","Purchased"))))</f>
        <v>0</v>
      </c>
    </row>
    <row r="38" spans="1:22">
      <c r="A38" s="39">
        <f>IF(B38="","",SpendPrefix&amp;TEXT(ROW()-4,"0000"))</f>
        <v>0</v>
      </c>
      <c r="C38" s="17">
        <f>IF(B38="","",TEXT(B38,"ddd"))</f>
        <v>0</v>
      </c>
      <c r="D38" s="18">
        <f>IF(B38="","",WEEKNUM(B38,IF(WeekStart="Sunday",1,2)))</f>
        <v>0</v>
      </c>
      <c r="E38" s="17">
        <f>IF(B38="","",TEXT(B38,"yyyy-mm"))</f>
        <v>0</v>
      </c>
      <c r="L38" s="25">
        <f>IF(OR(K38="",I38="",I38=0),"",K38/I38)</f>
        <v>0</v>
      </c>
      <c r="S38" s="25">
        <f>MonthlyBudget</f>
        <v>0</v>
      </c>
      <c r="T38" s="25">
        <f>IF(B38="","",SUMIFS($K$5:$K$404,$E$5:$E$404,E38))</f>
        <v>0</v>
      </c>
      <c r="U38" s="31">
        <f>IF(B38="","",IF(T38&gt;MonthlyBudget,"Check - over the monthly budget","OK"))</f>
        <v>0</v>
      </c>
      <c r="V38" s="31">
        <f>IF(B38="","",IF(K38="","Add - no amount",IF(Q38="Yes","Wasted",IF(O38="No","Check - unplanned","Purchased"))))</f>
        <v>0</v>
      </c>
    </row>
    <row r="39" spans="1:22">
      <c r="A39" s="39">
        <f>IF(B39="","",SpendPrefix&amp;TEXT(ROW()-4,"0000"))</f>
        <v>0</v>
      </c>
      <c r="C39" s="17">
        <f>IF(B39="","",TEXT(B39,"ddd"))</f>
        <v>0</v>
      </c>
      <c r="D39" s="18">
        <f>IF(B39="","",WEEKNUM(B39,IF(WeekStart="Sunday",1,2)))</f>
        <v>0</v>
      </c>
      <c r="E39" s="17">
        <f>IF(B39="","",TEXT(B39,"yyyy-mm"))</f>
        <v>0</v>
      </c>
      <c r="L39" s="25">
        <f>IF(OR(K39="",I39="",I39=0),"",K39/I39)</f>
        <v>0</v>
      </c>
      <c r="S39" s="25">
        <f>MonthlyBudget</f>
        <v>0</v>
      </c>
      <c r="T39" s="25">
        <f>IF(B39="","",SUMIFS($K$5:$K$404,$E$5:$E$404,E39))</f>
        <v>0</v>
      </c>
      <c r="U39" s="31">
        <f>IF(B39="","",IF(T39&gt;MonthlyBudget,"Check - over the monthly budget","OK"))</f>
        <v>0</v>
      </c>
      <c r="V39" s="31">
        <f>IF(B39="","",IF(K39="","Add - no amount",IF(Q39="Yes","Wasted",IF(O39="No","Check - unplanned","Purchased"))))</f>
        <v>0</v>
      </c>
    </row>
    <row r="40" spans="1:22">
      <c r="A40" s="39">
        <f>IF(B40="","",SpendPrefix&amp;TEXT(ROW()-4,"0000"))</f>
        <v>0</v>
      </c>
      <c r="C40" s="17">
        <f>IF(B40="","",TEXT(B40,"ddd"))</f>
        <v>0</v>
      </c>
      <c r="D40" s="18">
        <f>IF(B40="","",WEEKNUM(B40,IF(WeekStart="Sunday",1,2)))</f>
        <v>0</v>
      </c>
      <c r="E40" s="17">
        <f>IF(B40="","",TEXT(B40,"yyyy-mm"))</f>
        <v>0</v>
      </c>
      <c r="L40" s="25">
        <f>IF(OR(K40="",I40="",I40=0),"",K40/I40)</f>
        <v>0</v>
      </c>
      <c r="S40" s="25">
        <f>MonthlyBudget</f>
        <v>0</v>
      </c>
      <c r="T40" s="25">
        <f>IF(B40="","",SUMIFS($K$5:$K$404,$E$5:$E$404,E40))</f>
        <v>0</v>
      </c>
      <c r="U40" s="31">
        <f>IF(B40="","",IF(T40&gt;MonthlyBudget,"Check - over the monthly budget","OK"))</f>
        <v>0</v>
      </c>
      <c r="V40" s="31">
        <f>IF(B40="","",IF(K40="","Add - no amount",IF(Q40="Yes","Wasted",IF(O40="No","Check - unplanned","Purchased"))))</f>
        <v>0</v>
      </c>
    </row>
    <row r="41" spans="1:22">
      <c r="A41" s="39">
        <f>IF(B41="","",SpendPrefix&amp;TEXT(ROW()-4,"0000"))</f>
        <v>0</v>
      </c>
      <c r="C41" s="17">
        <f>IF(B41="","",TEXT(B41,"ddd"))</f>
        <v>0</v>
      </c>
      <c r="D41" s="18">
        <f>IF(B41="","",WEEKNUM(B41,IF(WeekStart="Sunday",1,2)))</f>
        <v>0</v>
      </c>
      <c r="E41" s="17">
        <f>IF(B41="","",TEXT(B41,"yyyy-mm"))</f>
        <v>0</v>
      </c>
      <c r="L41" s="25">
        <f>IF(OR(K41="",I41="",I41=0),"",K41/I41)</f>
        <v>0</v>
      </c>
      <c r="S41" s="25">
        <f>MonthlyBudget</f>
        <v>0</v>
      </c>
      <c r="T41" s="25">
        <f>IF(B41="","",SUMIFS($K$5:$K$404,$E$5:$E$404,E41))</f>
        <v>0</v>
      </c>
      <c r="U41" s="31">
        <f>IF(B41="","",IF(T41&gt;MonthlyBudget,"Check - over the monthly budget","OK"))</f>
        <v>0</v>
      </c>
      <c r="V41" s="31">
        <f>IF(B41="","",IF(K41="","Add - no amount",IF(Q41="Yes","Wasted",IF(O41="No","Check - unplanned","Purchased"))))</f>
        <v>0</v>
      </c>
    </row>
    <row r="42" spans="1:22">
      <c r="A42" s="39">
        <f>IF(B42="","",SpendPrefix&amp;TEXT(ROW()-4,"0000"))</f>
        <v>0</v>
      </c>
      <c r="C42" s="17">
        <f>IF(B42="","",TEXT(B42,"ddd"))</f>
        <v>0</v>
      </c>
      <c r="D42" s="18">
        <f>IF(B42="","",WEEKNUM(B42,IF(WeekStart="Sunday",1,2)))</f>
        <v>0</v>
      </c>
      <c r="E42" s="17">
        <f>IF(B42="","",TEXT(B42,"yyyy-mm"))</f>
        <v>0</v>
      </c>
      <c r="L42" s="25">
        <f>IF(OR(K42="",I42="",I42=0),"",K42/I42)</f>
        <v>0</v>
      </c>
      <c r="S42" s="25">
        <f>MonthlyBudget</f>
        <v>0</v>
      </c>
      <c r="T42" s="25">
        <f>IF(B42="","",SUMIFS($K$5:$K$404,$E$5:$E$404,E42))</f>
        <v>0</v>
      </c>
      <c r="U42" s="31">
        <f>IF(B42="","",IF(T42&gt;MonthlyBudget,"Check - over the monthly budget","OK"))</f>
        <v>0</v>
      </c>
      <c r="V42" s="31">
        <f>IF(B42="","",IF(K42="","Add - no amount",IF(Q42="Yes","Wasted",IF(O42="No","Check - unplanned","Purchased"))))</f>
        <v>0</v>
      </c>
    </row>
    <row r="43" spans="1:22">
      <c r="A43" s="39">
        <f>IF(B43="","",SpendPrefix&amp;TEXT(ROW()-4,"0000"))</f>
        <v>0</v>
      </c>
      <c r="C43" s="17">
        <f>IF(B43="","",TEXT(B43,"ddd"))</f>
        <v>0</v>
      </c>
      <c r="D43" s="18">
        <f>IF(B43="","",WEEKNUM(B43,IF(WeekStart="Sunday",1,2)))</f>
        <v>0</v>
      </c>
      <c r="E43" s="17">
        <f>IF(B43="","",TEXT(B43,"yyyy-mm"))</f>
        <v>0</v>
      </c>
      <c r="L43" s="25">
        <f>IF(OR(K43="",I43="",I43=0),"",K43/I43)</f>
        <v>0</v>
      </c>
      <c r="S43" s="25">
        <f>MonthlyBudget</f>
        <v>0</v>
      </c>
      <c r="T43" s="25">
        <f>IF(B43="","",SUMIFS($K$5:$K$404,$E$5:$E$404,E43))</f>
        <v>0</v>
      </c>
      <c r="U43" s="31">
        <f>IF(B43="","",IF(T43&gt;MonthlyBudget,"Check - over the monthly budget","OK"))</f>
        <v>0</v>
      </c>
      <c r="V43" s="31">
        <f>IF(B43="","",IF(K43="","Add - no amount",IF(Q43="Yes","Wasted",IF(O43="No","Check - unplanned","Purchased"))))</f>
        <v>0</v>
      </c>
    </row>
    <row r="44" spans="1:22">
      <c r="A44" s="39">
        <f>IF(B44="","",SpendPrefix&amp;TEXT(ROW()-4,"0000"))</f>
        <v>0</v>
      </c>
      <c r="C44" s="17">
        <f>IF(B44="","",TEXT(B44,"ddd"))</f>
        <v>0</v>
      </c>
      <c r="D44" s="18">
        <f>IF(B44="","",WEEKNUM(B44,IF(WeekStart="Sunday",1,2)))</f>
        <v>0</v>
      </c>
      <c r="E44" s="17">
        <f>IF(B44="","",TEXT(B44,"yyyy-mm"))</f>
        <v>0</v>
      </c>
      <c r="L44" s="25">
        <f>IF(OR(K44="",I44="",I44=0),"",K44/I44)</f>
        <v>0</v>
      </c>
      <c r="S44" s="25">
        <f>MonthlyBudget</f>
        <v>0</v>
      </c>
      <c r="T44" s="25">
        <f>IF(B44="","",SUMIFS($K$5:$K$404,$E$5:$E$404,E44))</f>
        <v>0</v>
      </c>
      <c r="U44" s="31">
        <f>IF(B44="","",IF(T44&gt;MonthlyBudget,"Check - over the monthly budget","OK"))</f>
        <v>0</v>
      </c>
      <c r="V44" s="31">
        <f>IF(B44="","",IF(K44="","Add - no amount",IF(Q44="Yes","Wasted",IF(O44="No","Check - unplanned","Purchased"))))</f>
        <v>0</v>
      </c>
    </row>
    <row r="45" spans="1:22">
      <c r="A45" s="39">
        <f>IF(B45="","",SpendPrefix&amp;TEXT(ROW()-4,"0000"))</f>
        <v>0</v>
      </c>
      <c r="C45" s="17">
        <f>IF(B45="","",TEXT(B45,"ddd"))</f>
        <v>0</v>
      </c>
      <c r="D45" s="18">
        <f>IF(B45="","",WEEKNUM(B45,IF(WeekStart="Sunday",1,2)))</f>
        <v>0</v>
      </c>
      <c r="E45" s="17">
        <f>IF(B45="","",TEXT(B45,"yyyy-mm"))</f>
        <v>0</v>
      </c>
      <c r="L45" s="25">
        <f>IF(OR(K45="",I45="",I45=0),"",K45/I45)</f>
        <v>0</v>
      </c>
      <c r="S45" s="25">
        <f>MonthlyBudget</f>
        <v>0</v>
      </c>
      <c r="T45" s="25">
        <f>IF(B45="","",SUMIFS($K$5:$K$404,$E$5:$E$404,E45))</f>
        <v>0</v>
      </c>
      <c r="U45" s="31">
        <f>IF(B45="","",IF(T45&gt;MonthlyBudget,"Check - over the monthly budget","OK"))</f>
        <v>0</v>
      </c>
      <c r="V45" s="31">
        <f>IF(B45="","",IF(K45="","Add - no amount",IF(Q45="Yes","Wasted",IF(O45="No","Check - unplanned","Purchased"))))</f>
        <v>0</v>
      </c>
    </row>
    <row r="46" spans="1:22">
      <c r="A46" s="39">
        <f>IF(B46="","",SpendPrefix&amp;TEXT(ROW()-4,"0000"))</f>
        <v>0</v>
      </c>
      <c r="C46" s="17">
        <f>IF(B46="","",TEXT(B46,"ddd"))</f>
        <v>0</v>
      </c>
      <c r="D46" s="18">
        <f>IF(B46="","",WEEKNUM(B46,IF(WeekStart="Sunday",1,2)))</f>
        <v>0</v>
      </c>
      <c r="E46" s="17">
        <f>IF(B46="","",TEXT(B46,"yyyy-mm"))</f>
        <v>0</v>
      </c>
      <c r="L46" s="25">
        <f>IF(OR(K46="",I46="",I46=0),"",K46/I46)</f>
        <v>0</v>
      </c>
      <c r="S46" s="25">
        <f>MonthlyBudget</f>
        <v>0</v>
      </c>
      <c r="T46" s="25">
        <f>IF(B46="","",SUMIFS($K$5:$K$404,$E$5:$E$404,E46))</f>
        <v>0</v>
      </c>
      <c r="U46" s="31">
        <f>IF(B46="","",IF(T46&gt;MonthlyBudget,"Check - over the monthly budget","OK"))</f>
        <v>0</v>
      </c>
      <c r="V46" s="31">
        <f>IF(B46="","",IF(K46="","Add - no amount",IF(Q46="Yes","Wasted",IF(O46="No","Check - unplanned","Purchased"))))</f>
        <v>0</v>
      </c>
    </row>
    <row r="47" spans="1:22">
      <c r="A47" s="39">
        <f>IF(B47="","",SpendPrefix&amp;TEXT(ROW()-4,"0000"))</f>
        <v>0</v>
      </c>
      <c r="C47" s="17">
        <f>IF(B47="","",TEXT(B47,"ddd"))</f>
        <v>0</v>
      </c>
      <c r="D47" s="18">
        <f>IF(B47="","",WEEKNUM(B47,IF(WeekStart="Sunday",1,2)))</f>
        <v>0</v>
      </c>
      <c r="E47" s="17">
        <f>IF(B47="","",TEXT(B47,"yyyy-mm"))</f>
        <v>0</v>
      </c>
      <c r="L47" s="25">
        <f>IF(OR(K47="",I47="",I47=0),"",K47/I47)</f>
        <v>0</v>
      </c>
      <c r="S47" s="25">
        <f>MonthlyBudget</f>
        <v>0</v>
      </c>
      <c r="T47" s="25">
        <f>IF(B47="","",SUMIFS($K$5:$K$404,$E$5:$E$404,E47))</f>
        <v>0</v>
      </c>
      <c r="U47" s="31">
        <f>IF(B47="","",IF(T47&gt;MonthlyBudget,"Check - over the monthly budget","OK"))</f>
        <v>0</v>
      </c>
      <c r="V47" s="31">
        <f>IF(B47="","",IF(K47="","Add - no amount",IF(Q47="Yes","Wasted",IF(O47="No","Check - unplanned","Purchased"))))</f>
        <v>0</v>
      </c>
    </row>
    <row r="48" spans="1:22">
      <c r="A48" s="39">
        <f>IF(B48="","",SpendPrefix&amp;TEXT(ROW()-4,"0000"))</f>
        <v>0</v>
      </c>
      <c r="C48" s="17">
        <f>IF(B48="","",TEXT(B48,"ddd"))</f>
        <v>0</v>
      </c>
      <c r="D48" s="18">
        <f>IF(B48="","",WEEKNUM(B48,IF(WeekStart="Sunday",1,2)))</f>
        <v>0</v>
      </c>
      <c r="E48" s="17">
        <f>IF(B48="","",TEXT(B48,"yyyy-mm"))</f>
        <v>0</v>
      </c>
      <c r="L48" s="25">
        <f>IF(OR(K48="",I48="",I48=0),"",K48/I48)</f>
        <v>0</v>
      </c>
      <c r="S48" s="25">
        <f>MonthlyBudget</f>
        <v>0</v>
      </c>
      <c r="T48" s="25">
        <f>IF(B48="","",SUMIFS($K$5:$K$404,$E$5:$E$404,E48))</f>
        <v>0</v>
      </c>
      <c r="U48" s="31">
        <f>IF(B48="","",IF(T48&gt;MonthlyBudget,"Check - over the monthly budget","OK"))</f>
        <v>0</v>
      </c>
      <c r="V48" s="31">
        <f>IF(B48="","",IF(K48="","Add - no amount",IF(Q48="Yes","Wasted",IF(O48="No","Check - unplanned","Purchased"))))</f>
        <v>0</v>
      </c>
    </row>
    <row r="49" spans="1:22">
      <c r="A49" s="39">
        <f>IF(B49="","",SpendPrefix&amp;TEXT(ROW()-4,"0000"))</f>
        <v>0</v>
      </c>
      <c r="C49" s="17">
        <f>IF(B49="","",TEXT(B49,"ddd"))</f>
        <v>0</v>
      </c>
      <c r="D49" s="18">
        <f>IF(B49="","",WEEKNUM(B49,IF(WeekStart="Sunday",1,2)))</f>
        <v>0</v>
      </c>
      <c r="E49" s="17">
        <f>IF(B49="","",TEXT(B49,"yyyy-mm"))</f>
        <v>0</v>
      </c>
      <c r="L49" s="25">
        <f>IF(OR(K49="",I49="",I49=0),"",K49/I49)</f>
        <v>0</v>
      </c>
      <c r="S49" s="25">
        <f>MonthlyBudget</f>
        <v>0</v>
      </c>
      <c r="T49" s="25">
        <f>IF(B49="","",SUMIFS($K$5:$K$404,$E$5:$E$404,E49))</f>
        <v>0</v>
      </c>
      <c r="U49" s="31">
        <f>IF(B49="","",IF(T49&gt;MonthlyBudget,"Check - over the monthly budget","OK"))</f>
        <v>0</v>
      </c>
      <c r="V49" s="31">
        <f>IF(B49="","",IF(K49="","Add - no amount",IF(Q49="Yes","Wasted",IF(O49="No","Check - unplanned","Purchased"))))</f>
        <v>0</v>
      </c>
    </row>
    <row r="50" spans="1:22">
      <c r="A50" s="39">
        <f>IF(B50="","",SpendPrefix&amp;TEXT(ROW()-4,"0000"))</f>
        <v>0</v>
      </c>
      <c r="C50" s="17">
        <f>IF(B50="","",TEXT(B50,"ddd"))</f>
        <v>0</v>
      </c>
      <c r="D50" s="18">
        <f>IF(B50="","",WEEKNUM(B50,IF(WeekStart="Sunday",1,2)))</f>
        <v>0</v>
      </c>
      <c r="E50" s="17">
        <f>IF(B50="","",TEXT(B50,"yyyy-mm"))</f>
        <v>0</v>
      </c>
      <c r="L50" s="25">
        <f>IF(OR(K50="",I50="",I50=0),"",K50/I50)</f>
        <v>0</v>
      </c>
      <c r="S50" s="25">
        <f>MonthlyBudget</f>
        <v>0</v>
      </c>
      <c r="T50" s="25">
        <f>IF(B50="","",SUMIFS($K$5:$K$404,$E$5:$E$404,E50))</f>
        <v>0</v>
      </c>
      <c r="U50" s="31">
        <f>IF(B50="","",IF(T50&gt;MonthlyBudget,"Check - over the monthly budget","OK"))</f>
        <v>0</v>
      </c>
      <c r="V50" s="31">
        <f>IF(B50="","",IF(K50="","Add - no amount",IF(Q50="Yes","Wasted",IF(O50="No","Check - unplanned","Purchased"))))</f>
        <v>0</v>
      </c>
    </row>
    <row r="51" spans="1:22">
      <c r="A51" s="39">
        <f>IF(B51="","",SpendPrefix&amp;TEXT(ROW()-4,"0000"))</f>
        <v>0</v>
      </c>
      <c r="C51" s="17">
        <f>IF(B51="","",TEXT(B51,"ddd"))</f>
        <v>0</v>
      </c>
      <c r="D51" s="18">
        <f>IF(B51="","",WEEKNUM(B51,IF(WeekStart="Sunday",1,2)))</f>
        <v>0</v>
      </c>
      <c r="E51" s="17">
        <f>IF(B51="","",TEXT(B51,"yyyy-mm"))</f>
        <v>0</v>
      </c>
      <c r="L51" s="25">
        <f>IF(OR(K51="",I51="",I51=0),"",K51/I51)</f>
        <v>0</v>
      </c>
      <c r="S51" s="25">
        <f>MonthlyBudget</f>
        <v>0</v>
      </c>
      <c r="T51" s="25">
        <f>IF(B51="","",SUMIFS($K$5:$K$404,$E$5:$E$404,E51))</f>
        <v>0</v>
      </c>
      <c r="U51" s="31">
        <f>IF(B51="","",IF(T51&gt;MonthlyBudget,"Check - over the monthly budget","OK"))</f>
        <v>0</v>
      </c>
      <c r="V51" s="31">
        <f>IF(B51="","",IF(K51="","Add - no amount",IF(Q51="Yes","Wasted",IF(O51="No","Check - unplanned","Purchased"))))</f>
        <v>0</v>
      </c>
    </row>
    <row r="52" spans="1:22">
      <c r="A52" s="39">
        <f>IF(B52="","",SpendPrefix&amp;TEXT(ROW()-4,"0000"))</f>
        <v>0</v>
      </c>
      <c r="C52" s="17">
        <f>IF(B52="","",TEXT(B52,"ddd"))</f>
        <v>0</v>
      </c>
      <c r="D52" s="18">
        <f>IF(B52="","",WEEKNUM(B52,IF(WeekStart="Sunday",1,2)))</f>
        <v>0</v>
      </c>
      <c r="E52" s="17">
        <f>IF(B52="","",TEXT(B52,"yyyy-mm"))</f>
        <v>0</v>
      </c>
      <c r="L52" s="25">
        <f>IF(OR(K52="",I52="",I52=0),"",K52/I52)</f>
        <v>0</v>
      </c>
      <c r="S52" s="25">
        <f>MonthlyBudget</f>
        <v>0</v>
      </c>
      <c r="T52" s="25">
        <f>IF(B52="","",SUMIFS($K$5:$K$404,$E$5:$E$404,E52))</f>
        <v>0</v>
      </c>
      <c r="U52" s="31">
        <f>IF(B52="","",IF(T52&gt;MonthlyBudget,"Check - over the monthly budget","OK"))</f>
        <v>0</v>
      </c>
      <c r="V52" s="31">
        <f>IF(B52="","",IF(K52="","Add - no amount",IF(Q52="Yes","Wasted",IF(O52="No","Check - unplanned","Purchased"))))</f>
        <v>0</v>
      </c>
    </row>
    <row r="53" spans="1:22">
      <c r="A53" s="39">
        <f>IF(B53="","",SpendPrefix&amp;TEXT(ROW()-4,"0000"))</f>
        <v>0</v>
      </c>
      <c r="C53" s="17">
        <f>IF(B53="","",TEXT(B53,"ddd"))</f>
        <v>0</v>
      </c>
      <c r="D53" s="18">
        <f>IF(B53="","",WEEKNUM(B53,IF(WeekStart="Sunday",1,2)))</f>
        <v>0</v>
      </c>
      <c r="E53" s="17">
        <f>IF(B53="","",TEXT(B53,"yyyy-mm"))</f>
        <v>0</v>
      </c>
      <c r="L53" s="25">
        <f>IF(OR(K53="",I53="",I53=0),"",K53/I53)</f>
        <v>0</v>
      </c>
      <c r="S53" s="25">
        <f>MonthlyBudget</f>
        <v>0</v>
      </c>
      <c r="T53" s="25">
        <f>IF(B53="","",SUMIFS($K$5:$K$404,$E$5:$E$404,E53))</f>
        <v>0</v>
      </c>
      <c r="U53" s="31">
        <f>IF(B53="","",IF(T53&gt;MonthlyBudget,"Check - over the monthly budget","OK"))</f>
        <v>0</v>
      </c>
      <c r="V53" s="31">
        <f>IF(B53="","",IF(K53="","Add - no amount",IF(Q53="Yes","Wasted",IF(O53="No","Check - unplanned","Purchased"))))</f>
        <v>0</v>
      </c>
    </row>
    <row r="54" spans="1:22">
      <c r="A54" s="39">
        <f>IF(B54="","",SpendPrefix&amp;TEXT(ROW()-4,"0000"))</f>
        <v>0</v>
      </c>
      <c r="C54" s="17">
        <f>IF(B54="","",TEXT(B54,"ddd"))</f>
        <v>0</v>
      </c>
      <c r="D54" s="18">
        <f>IF(B54="","",WEEKNUM(B54,IF(WeekStart="Sunday",1,2)))</f>
        <v>0</v>
      </c>
      <c r="E54" s="17">
        <f>IF(B54="","",TEXT(B54,"yyyy-mm"))</f>
        <v>0</v>
      </c>
      <c r="L54" s="25">
        <f>IF(OR(K54="",I54="",I54=0),"",K54/I54)</f>
        <v>0</v>
      </c>
      <c r="S54" s="25">
        <f>MonthlyBudget</f>
        <v>0</v>
      </c>
      <c r="T54" s="25">
        <f>IF(B54="","",SUMIFS($K$5:$K$404,$E$5:$E$404,E54))</f>
        <v>0</v>
      </c>
      <c r="U54" s="31">
        <f>IF(B54="","",IF(T54&gt;MonthlyBudget,"Check - over the monthly budget","OK"))</f>
        <v>0</v>
      </c>
      <c r="V54" s="31">
        <f>IF(B54="","",IF(K54="","Add - no amount",IF(Q54="Yes","Wasted",IF(O54="No","Check - unplanned","Purchased"))))</f>
        <v>0</v>
      </c>
    </row>
    <row r="55" spans="1:22">
      <c r="A55" s="39">
        <f>IF(B55="","",SpendPrefix&amp;TEXT(ROW()-4,"0000"))</f>
        <v>0</v>
      </c>
      <c r="C55" s="17">
        <f>IF(B55="","",TEXT(B55,"ddd"))</f>
        <v>0</v>
      </c>
      <c r="D55" s="18">
        <f>IF(B55="","",WEEKNUM(B55,IF(WeekStart="Sunday",1,2)))</f>
        <v>0</v>
      </c>
      <c r="E55" s="17">
        <f>IF(B55="","",TEXT(B55,"yyyy-mm"))</f>
        <v>0</v>
      </c>
      <c r="L55" s="25">
        <f>IF(OR(K55="",I55="",I55=0),"",K55/I55)</f>
        <v>0</v>
      </c>
      <c r="S55" s="25">
        <f>MonthlyBudget</f>
        <v>0</v>
      </c>
      <c r="T55" s="25">
        <f>IF(B55="","",SUMIFS($K$5:$K$404,$E$5:$E$404,E55))</f>
        <v>0</v>
      </c>
      <c r="U55" s="31">
        <f>IF(B55="","",IF(T55&gt;MonthlyBudget,"Check - over the monthly budget","OK"))</f>
        <v>0</v>
      </c>
      <c r="V55" s="31">
        <f>IF(B55="","",IF(K55="","Add - no amount",IF(Q55="Yes","Wasted",IF(O55="No","Check - unplanned","Purchased"))))</f>
        <v>0</v>
      </c>
    </row>
    <row r="56" spans="1:22">
      <c r="A56" s="39">
        <f>IF(B56="","",SpendPrefix&amp;TEXT(ROW()-4,"0000"))</f>
        <v>0</v>
      </c>
      <c r="C56" s="17">
        <f>IF(B56="","",TEXT(B56,"ddd"))</f>
        <v>0</v>
      </c>
      <c r="D56" s="18">
        <f>IF(B56="","",WEEKNUM(B56,IF(WeekStart="Sunday",1,2)))</f>
        <v>0</v>
      </c>
      <c r="E56" s="17">
        <f>IF(B56="","",TEXT(B56,"yyyy-mm"))</f>
        <v>0</v>
      </c>
      <c r="L56" s="25">
        <f>IF(OR(K56="",I56="",I56=0),"",K56/I56)</f>
        <v>0</v>
      </c>
      <c r="S56" s="25">
        <f>MonthlyBudget</f>
        <v>0</v>
      </c>
      <c r="T56" s="25">
        <f>IF(B56="","",SUMIFS($K$5:$K$404,$E$5:$E$404,E56))</f>
        <v>0</v>
      </c>
      <c r="U56" s="31">
        <f>IF(B56="","",IF(T56&gt;MonthlyBudget,"Check - over the monthly budget","OK"))</f>
        <v>0</v>
      </c>
      <c r="V56" s="31">
        <f>IF(B56="","",IF(K56="","Add - no amount",IF(Q56="Yes","Wasted",IF(O56="No","Check - unplanned","Purchased"))))</f>
        <v>0</v>
      </c>
    </row>
    <row r="57" spans="1:22">
      <c r="A57" s="39">
        <f>IF(B57="","",SpendPrefix&amp;TEXT(ROW()-4,"0000"))</f>
        <v>0</v>
      </c>
      <c r="C57" s="17">
        <f>IF(B57="","",TEXT(B57,"ddd"))</f>
        <v>0</v>
      </c>
      <c r="D57" s="18">
        <f>IF(B57="","",WEEKNUM(B57,IF(WeekStart="Sunday",1,2)))</f>
        <v>0</v>
      </c>
      <c r="E57" s="17">
        <f>IF(B57="","",TEXT(B57,"yyyy-mm"))</f>
        <v>0</v>
      </c>
      <c r="L57" s="25">
        <f>IF(OR(K57="",I57="",I57=0),"",K57/I57)</f>
        <v>0</v>
      </c>
      <c r="S57" s="25">
        <f>MonthlyBudget</f>
        <v>0</v>
      </c>
      <c r="T57" s="25">
        <f>IF(B57="","",SUMIFS($K$5:$K$404,$E$5:$E$404,E57))</f>
        <v>0</v>
      </c>
      <c r="U57" s="31">
        <f>IF(B57="","",IF(T57&gt;MonthlyBudget,"Check - over the monthly budget","OK"))</f>
        <v>0</v>
      </c>
      <c r="V57" s="31">
        <f>IF(B57="","",IF(K57="","Add - no amount",IF(Q57="Yes","Wasted",IF(O57="No","Check - unplanned","Purchased"))))</f>
        <v>0</v>
      </c>
    </row>
    <row r="58" spans="1:22">
      <c r="A58" s="39">
        <f>IF(B58="","",SpendPrefix&amp;TEXT(ROW()-4,"0000"))</f>
        <v>0</v>
      </c>
      <c r="C58" s="17">
        <f>IF(B58="","",TEXT(B58,"ddd"))</f>
        <v>0</v>
      </c>
      <c r="D58" s="18">
        <f>IF(B58="","",WEEKNUM(B58,IF(WeekStart="Sunday",1,2)))</f>
        <v>0</v>
      </c>
      <c r="E58" s="17">
        <f>IF(B58="","",TEXT(B58,"yyyy-mm"))</f>
        <v>0</v>
      </c>
      <c r="L58" s="25">
        <f>IF(OR(K58="",I58="",I58=0),"",K58/I58)</f>
        <v>0</v>
      </c>
      <c r="S58" s="25">
        <f>MonthlyBudget</f>
        <v>0</v>
      </c>
      <c r="T58" s="25">
        <f>IF(B58="","",SUMIFS($K$5:$K$404,$E$5:$E$404,E58))</f>
        <v>0</v>
      </c>
      <c r="U58" s="31">
        <f>IF(B58="","",IF(T58&gt;MonthlyBudget,"Check - over the monthly budget","OK"))</f>
        <v>0</v>
      </c>
      <c r="V58" s="31">
        <f>IF(B58="","",IF(K58="","Add - no amount",IF(Q58="Yes","Wasted",IF(O58="No","Check - unplanned","Purchased"))))</f>
        <v>0</v>
      </c>
    </row>
    <row r="59" spans="1:22">
      <c r="A59" s="39">
        <f>IF(B59="","",SpendPrefix&amp;TEXT(ROW()-4,"0000"))</f>
        <v>0</v>
      </c>
      <c r="C59" s="17">
        <f>IF(B59="","",TEXT(B59,"ddd"))</f>
        <v>0</v>
      </c>
      <c r="D59" s="18">
        <f>IF(B59="","",WEEKNUM(B59,IF(WeekStart="Sunday",1,2)))</f>
        <v>0</v>
      </c>
      <c r="E59" s="17">
        <f>IF(B59="","",TEXT(B59,"yyyy-mm"))</f>
        <v>0</v>
      </c>
      <c r="L59" s="25">
        <f>IF(OR(K59="",I59="",I59=0),"",K59/I59)</f>
        <v>0</v>
      </c>
      <c r="S59" s="25">
        <f>MonthlyBudget</f>
        <v>0</v>
      </c>
      <c r="T59" s="25">
        <f>IF(B59="","",SUMIFS($K$5:$K$404,$E$5:$E$404,E59))</f>
        <v>0</v>
      </c>
      <c r="U59" s="31">
        <f>IF(B59="","",IF(T59&gt;MonthlyBudget,"Check - over the monthly budget","OK"))</f>
        <v>0</v>
      </c>
      <c r="V59" s="31">
        <f>IF(B59="","",IF(K59="","Add - no amount",IF(Q59="Yes","Wasted",IF(O59="No","Check - unplanned","Purchased"))))</f>
        <v>0</v>
      </c>
    </row>
    <row r="60" spans="1:22">
      <c r="A60" s="39">
        <f>IF(B60="","",SpendPrefix&amp;TEXT(ROW()-4,"0000"))</f>
        <v>0</v>
      </c>
      <c r="C60" s="17">
        <f>IF(B60="","",TEXT(B60,"ddd"))</f>
        <v>0</v>
      </c>
      <c r="D60" s="18">
        <f>IF(B60="","",WEEKNUM(B60,IF(WeekStart="Sunday",1,2)))</f>
        <v>0</v>
      </c>
      <c r="E60" s="17">
        <f>IF(B60="","",TEXT(B60,"yyyy-mm"))</f>
        <v>0</v>
      </c>
      <c r="L60" s="25">
        <f>IF(OR(K60="",I60="",I60=0),"",K60/I60)</f>
        <v>0</v>
      </c>
      <c r="S60" s="25">
        <f>MonthlyBudget</f>
        <v>0</v>
      </c>
      <c r="T60" s="25">
        <f>IF(B60="","",SUMIFS($K$5:$K$404,$E$5:$E$404,E60))</f>
        <v>0</v>
      </c>
      <c r="U60" s="31">
        <f>IF(B60="","",IF(T60&gt;MonthlyBudget,"Check - over the monthly budget","OK"))</f>
        <v>0</v>
      </c>
      <c r="V60" s="31">
        <f>IF(B60="","",IF(K60="","Add - no amount",IF(Q60="Yes","Wasted",IF(O60="No","Check - unplanned","Purchased"))))</f>
        <v>0</v>
      </c>
    </row>
    <row r="61" spans="1:22">
      <c r="A61" s="39">
        <f>IF(B61="","",SpendPrefix&amp;TEXT(ROW()-4,"0000"))</f>
        <v>0</v>
      </c>
      <c r="C61" s="17">
        <f>IF(B61="","",TEXT(B61,"ddd"))</f>
        <v>0</v>
      </c>
      <c r="D61" s="18">
        <f>IF(B61="","",WEEKNUM(B61,IF(WeekStart="Sunday",1,2)))</f>
        <v>0</v>
      </c>
      <c r="E61" s="17">
        <f>IF(B61="","",TEXT(B61,"yyyy-mm"))</f>
        <v>0</v>
      </c>
      <c r="L61" s="25">
        <f>IF(OR(K61="",I61="",I61=0),"",K61/I61)</f>
        <v>0</v>
      </c>
      <c r="S61" s="25">
        <f>MonthlyBudget</f>
        <v>0</v>
      </c>
      <c r="T61" s="25">
        <f>IF(B61="","",SUMIFS($K$5:$K$404,$E$5:$E$404,E61))</f>
        <v>0</v>
      </c>
      <c r="U61" s="31">
        <f>IF(B61="","",IF(T61&gt;MonthlyBudget,"Check - over the monthly budget","OK"))</f>
        <v>0</v>
      </c>
      <c r="V61" s="31">
        <f>IF(B61="","",IF(K61="","Add - no amount",IF(Q61="Yes","Wasted",IF(O61="No","Check - unplanned","Purchased"))))</f>
        <v>0</v>
      </c>
    </row>
    <row r="62" spans="1:22">
      <c r="A62" s="39">
        <f>IF(B62="","",SpendPrefix&amp;TEXT(ROW()-4,"0000"))</f>
        <v>0</v>
      </c>
      <c r="C62" s="17">
        <f>IF(B62="","",TEXT(B62,"ddd"))</f>
        <v>0</v>
      </c>
      <c r="D62" s="18">
        <f>IF(B62="","",WEEKNUM(B62,IF(WeekStart="Sunday",1,2)))</f>
        <v>0</v>
      </c>
      <c r="E62" s="17">
        <f>IF(B62="","",TEXT(B62,"yyyy-mm"))</f>
        <v>0</v>
      </c>
      <c r="L62" s="25">
        <f>IF(OR(K62="",I62="",I62=0),"",K62/I62)</f>
        <v>0</v>
      </c>
      <c r="S62" s="25">
        <f>MonthlyBudget</f>
        <v>0</v>
      </c>
      <c r="T62" s="25">
        <f>IF(B62="","",SUMIFS($K$5:$K$404,$E$5:$E$404,E62))</f>
        <v>0</v>
      </c>
      <c r="U62" s="31">
        <f>IF(B62="","",IF(T62&gt;MonthlyBudget,"Check - over the monthly budget","OK"))</f>
        <v>0</v>
      </c>
      <c r="V62" s="31">
        <f>IF(B62="","",IF(K62="","Add - no amount",IF(Q62="Yes","Wasted",IF(O62="No","Check - unplanned","Purchased"))))</f>
        <v>0</v>
      </c>
    </row>
    <row r="63" spans="1:22">
      <c r="A63" s="39">
        <f>IF(B63="","",SpendPrefix&amp;TEXT(ROW()-4,"0000"))</f>
        <v>0</v>
      </c>
      <c r="C63" s="17">
        <f>IF(B63="","",TEXT(B63,"ddd"))</f>
        <v>0</v>
      </c>
      <c r="D63" s="18">
        <f>IF(B63="","",WEEKNUM(B63,IF(WeekStart="Sunday",1,2)))</f>
        <v>0</v>
      </c>
      <c r="E63" s="17">
        <f>IF(B63="","",TEXT(B63,"yyyy-mm"))</f>
        <v>0</v>
      </c>
      <c r="L63" s="25">
        <f>IF(OR(K63="",I63="",I63=0),"",K63/I63)</f>
        <v>0</v>
      </c>
      <c r="S63" s="25">
        <f>MonthlyBudget</f>
        <v>0</v>
      </c>
      <c r="T63" s="25">
        <f>IF(B63="","",SUMIFS($K$5:$K$404,$E$5:$E$404,E63))</f>
        <v>0</v>
      </c>
      <c r="U63" s="31">
        <f>IF(B63="","",IF(T63&gt;MonthlyBudget,"Check - over the monthly budget","OK"))</f>
        <v>0</v>
      </c>
      <c r="V63" s="31">
        <f>IF(B63="","",IF(K63="","Add - no amount",IF(Q63="Yes","Wasted",IF(O63="No","Check - unplanned","Purchased"))))</f>
        <v>0</v>
      </c>
    </row>
    <row r="64" spans="1:22">
      <c r="A64" s="39">
        <f>IF(B64="","",SpendPrefix&amp;TEXT(ROW()-4,"0000"))</f>
        <v>0</v>
      </c>
      <c r="C64" s="17">
        <f>IF(B64="","",TEXT(B64,"ddd"))</f>
        <v>0</v>
      </c>
      <c r="D64" s="18">
        <f>IF(B64="","",WEEKNUM(B64,IF(WeekStart="Sunday",1,2)))</f>
        <v>0</v>
      </c>
      <c r="E64" s="17">
        <f>IF(B64="","",TEXT(B64,"yyyy-mm"))</f>
        <v>0</v>
      </c>
      <c r="L64" s="25">
        <f>IF(OR(K64="",I64="",I64=0),"",K64/I64)</f>
        <v>0</v>
      </c>
      <c r="S64" s="25">
        <f>MonthlyBudget</f>
        <v>0</v>
      </c>
      <c r="T64" s="25">
        <f>IF(B64="","",SUMIFS($K$5:$K$404,$E$5:$E$404,E64))</f>
        <v>0</v>
      </c>
      <c r="U64" s="31">
        <f>IF(B64="","",IF(T64&gt;MonthlyBudget,"Check - over the monthly budget","OK"))</f>
        <v>0</v>
      </c>
      <c r="V64" s="31">
        <f>IF(B64="","",IF(K64="","Add - no amount",IF(Q64="Yes","Wasted",IF(O64="No","Check - unplanned","Purchased"))))</f>
        <v>0</v>
      </c>
    </row>
    <row r="65" spans="1:22">
      <c r="A65" s="39">
        <f>IF(B65="","",SpendPrefix&amp;TEXT(ROW()-4,"0000"))</f>
        <v>0</v>
      </c>
      <c r="C65" s="17">
        <f>IF(B65="","",TEXT(B65,"ddd"))</f>
        <v>0</v>
      </c>
      <c r="D65" s="18">
        <f>IF(B65="","",WEEKNUM(B65,IF(WeekStart="Sunday",1,2)))</f>
        <v>0</v>
      </c>
      <c r="E65" s="17">
        <f>IF(B65="","",TEXT(B65,"yyyy-mm"))</f>
        <v>0</v>
      </c>
      <c r="L65" s="25">
        <f>IF(OR(K65="",I65="",I65=0),"",K65/I65)</f>
        <v>0</v>
      </c>
      <c r="S65" s="25">
        <f>MonthlyBudget</f>
        <v>0</v>
      </c>
      <c r="T65" s="25">
        <f>IF(B65="","",SUMIFS($K$5:$K$404,$E$5:$E$404,E65))</f>
        <v>0</v>
      </c>
      <c r="U65" s="31">
        <f>IF(B65="","",IF(T65&gt;MonthlyBudget,"Check - over the monthly budget","OK"))</f>
        <v>0</v>
      </c>
      <c r="V65" s="31">
        <f>IF(B65="","",IF(K65="","Add - no amount",IF(Q65="Yes","Wasted",IF(O65="No","Check - unplanned","Purchased"))))</f>
        <v>0</v>
      </c>
    </row>
    <row r="66" spans="1:22">
      <c r="A66" s="39">
        <f>IF(B66="","",SpendPrefix&amp;TEXT(ROW()-4,"0000"))</f>
        <v>0</v>
      </c>
      <c r="C66" s="17">
        <f>IF(B66="","",TEXT(B66,"ddd"))</f>
        <v>0</v>
      </c>
      <c r="D66" s="18">
        <f>IF(B66="","",WEEKNUM(B66,IF(WeekStart="Sunday",1,2)))</f>
        <v>0</v>
      </c>
      <c r="E66" s="17">
        <f>IF(B66="","",TEXT(B66,"yyyy-mm"))</f>
        <v>0</v>
      </c>
      <c r="L66" s="25">
        <f>IF(OR(K66="",I66="",I66=0),"",K66/I66)</f>
        <v>0</v>
      </c>
      <c r="S66" s="25">
        <f>MonthlyBudget</f>
        <v>0</v>
      </c>
      <c r="T66" s="25">
        <f>IF(B66="","",SUMIFS($K$5:$K$404,$E$5:$E$404,E66))</f>
        <v>0</v>
      </c>
      <c r="U66" s="31">
        <f>IF(B66="","",IF(T66&gt;MonthlyBudget,"Check - over the monthly budget","OK"))</f>
        <v>0</v>
      </c>
      <c r="V66" s="31">
        <f>IF(B66="","",IF(K66="","Add - no amount",IF(Q66="Yes","Wasted",IF(O66="No","Check - unplanned","Purchased"))))</f>
        <v>0</v>
      </c>
    </row>
    <row r="67" spans="1:22">
      <c r="A67" s="39">
        <f>IF(B67="","",SpendPrefix&amp;TEXT(ROW()-4,"0000"))</f>
        <v>0</v>
      </c>
      <c r="C67" s="17">
        <f>IF(B67="","",TEXT(B67,"ddd"))</f>
        <v>0</v>
      </c>
      <c r="D67" s="18">
        <f>IF(B67="","",WEEKNUM(B67,IF(WeekStart="Sunday",1,2)))</f>
        <v>0</v>
      </c>
      <c r="E67" s="17">
        <f>IF(B67="","",TEXT(B67,"yyyy-mm"))</f>
        <v>0</v>
      </c>
      <c r="L67" s="25">
        <f>IF(OR(K67="",I67="",I67=0),"",K67/I67)</f>
        <v>0</v>
      </c>
      <c r="S67" s="25">
        <f>MonthlyBudget</f>
        <v>0</v>
      </c>
      <c r="T67" s="25">
        <f>IF(B67="","",SUMIFS($K$5:$K$404,$E$5:$E$404,E67))</f>
        <v>0</v>
      </c>
      <c r="U67" s="31">
        <f>IF(B67="","",IF(T67&gt;MonthlyBudget,"Check - over the monthly budget","OK"))</f>
        <v>0</v>
      </c>
      <c r="V67" s="31">
        <f>IF(B67="","",IF(K67="","Add - no amount",IF(Q67="Yes","Wasted",IF(O67="No","Check - unplanned","Purchased"))))</f>
        <v>0</v>
      </c>
    </row>
    <row r="68" spans="1:22">
      <c r="A68" s="39">
        <f>IF(B68="","",SpendPrefix&amp;TEXT(ROW()-4,"0000"))</f>
        <v>0</v>
      </c>
      <c r="C68" s="17">
        <f>IF(B68="","",TEXT(B68,"ddd"))</f>
        <v>0</v>
      </c>
      <c r="D68" s="18">
        <f>IF(B68="","",WEEKNUM(B68,IF(WeekStart="Sunday",1,2)))</f>
        <v>0</v>
      </c>
      <c r="E68" s="17">
        <f>IF(B68="","",TEXT(B68,"yyyy-mm"))</f>
        <v>0</v>
      </c>
      <c r="L68" s="25">
        <f>IF(OR(K68="",I68="",I68=0),"",K68/I68)</f>
        <v>0</v>
      </c>
      <c r="S68" s="25">
        <f>MonthlyBudget</f>
        <v>0</v>
      </c>
      <c r="T68" s="25">
        <f>IF(B68="","",SUMIFS($K$5:$K$404,$E$5:$E$404,E68))</f>
        <v>0</v>
      </c>
      <c r="U68" s="31">
        <f>IF(B68="","",IF(T68&gt;MonthlyBudget,"Check - over the monthly budget","OK"))</f>
        <v>0</v>
      </c>
      <c r="V68" s="31">
        <f>IF(B68="","",IF(K68="","Add - no amount",IF(Q68="Yes","Wasted",IF(O68="No","Check - unplanned","Purchased"))))</f>
        <v>0</v>
      </c>
    </row>
    <row r="69" spans="1:22">
      <c r="A69" s="39">
        <f>IF(B69="","",SpendPrefix&amp;TEXT(ROW()-4,"0000"))</f>
        <v>0</v>
      </c>
      <c r="C69" s="17">
        <f>IF(B69="","",TEXT(B69,"ddd"))</f>
        <v>0</v>
      </c>
      <c r="D69" s="18">
        <f>IF(B69="","",WEEKNUM(B69,IF(WeekStart="Sunday",1,2)))</f>
        <v>0</v>
      </c>
      <c r="E69" s="17">
        <f>IF(B69="","",TEXT(B69,"yyyy-mm"))</f>
        <v>0</v>
      </c>
      <c r="L69" s="25">
        <f>IF(OR(K69="",I69="",I69=0),"",K69/I69)</f>
        <v>0</v>
      </c>
      <c r="S69" s="25">
        <f>MonthlyBudget</f>
        <v>0</v>
      </c>
      <c r="T69" s="25">
        <f>IF(B69="","",SUMIFS($K$5:$K$404,$E$5:$E$404,E69))</f>
        <v>0</v>
      </c>
      <c r="U69" s="31">
        <f>IF(B69="","",IF(T69&gt;MonthlyBudget,"Check - over the monthly budget","OK"))</f>
        <v>0</v>
      </c>
      <c r="V69" s="31">
        <f>IF(B69="","",IF(K69="","Add - no amount",IF(Q69="Yes","Wasted",IF(O69="No","Check - unplanned","Purchased"))))</f>
        <v>0</v>
      </c>
    </row>
    <row r="70" spans="1:22">
      <c r="A70" s="39">
        <f>IF(B70="","",SpendPrefix&amp;TEXT(ROW()-4,"0000"))</f>
        <v>0</v>
      </c>
      <c r="C70" s="17">
        <f>IF(B70="","",TEXT(B70,"ddd"))</f>
        <v>0</v>
      </c>
      <c r="D70" s="18">
        <f>IF(B70="","",WEEKNUM(B70,IF(WeekStart="Sunday",1,2)))</f>
        <v>0</v>
      </c>
      <c r="E70" s="17">
        <f>IF(B70="","",TEXT(B70,"yyyy-mm"))</f>
        <v>0</v>
      </c>
      <c r="L70" s="25">
        <f>IF(OR(K70="",I70="",I70=0),"",K70/I70)</f>
        <v>0</v>
      </c>
      <c r="S70" s="25">
        <f>MonthlyBudget</f>
        <v>0</v>
      </c>
      <c r="T70" s="25">
        <f>IF(B70="","",SUMIFS($K$5:$K$404,$E$5:$E$404,E70))</f>
        <v>0</v>
      </c>
      <c r="U70" s="31">
        <f>IF(B70="","",IF(T70&gt;MonthlyBudget,"Check - over the monthly budget","OK"))</f>
        <v>0</v>
      </c>
      <c r="V70" s="31">
        <f>IF(B70="","",IF(K70="","Add - no amount",IF(Q70="Yes","Wasted",IF(O70="No","Check - unplanned","Purchased"))))</f>
        <v>0</v>
      </c>
    </row>
    <row r="71" spans="1:22">
      <c r="A71" s="39">
        <f>IF(B71="","",SpendPrefix&amp;TEXT(ROW()-4,"0000"))</f>
        <v>0</v>
      </c>
      <c r="C71" s="17">
        <f>IF(B71="","",TEXT(B71,"ddd"))</f>
        <v>0</v>
      </c>
      <c r="D71" s="18">
        <f>IF(B71="","",WEEKNUM(B71,IF(WeekStart="Sunday",1,2)))</f>
        <v>0</v>
      </c>
      <c r="E71" s="17">
        <f>IF(B71="","",TEXT(B71,"yyyy-mm"))</f>
        <v>0</v>
      </c>
      <c r="L71" s="25">
        <f>IF(OR(K71="",I71="",I71=0),"",K71/I71)</f>
        <v>0</v>
      </c>
      <c r="S71" s="25">
        <f>MonthlyBudget</f>
        <v>0</v>
      </c>
      <c r="T71" s="25">
        <f>IF(B71="","",SUMIFS($K$5:$K$404,$E$5:$E$404,E71))</f>
        <v>0</v>
      </c>
      <c r="U71" s="31">
        <f>IF(B71="","",IF(T71&gt;MonthlyBudget,"Check - over the monthly budget","OK"))</f>
        <v>0</v>
      </c>
      <c r="V71" s="31">
        <f>IF(B71="","",IF(K71="","Add - no amount",IF(Q71="Yes","Wasted",IF(O71="No","Check - unplanned","Purchased"))))</f>
        <v>0</v>
      </c>
    </row>
    <row r="72" spans="1:22">
      <c r="A72" s="39">
        <f>IF(B72="","",SpendPrefix&amp;TEXT(ROW()-4,"0000"))</f>
        <v>0</v>
      </c>
      <c r="C72" s="17">
        <f>IF(B72="","",TEXT(B72,"ddd"))</f>
        <v>0</v>
      </c>
      <c r="D72" s="18">
        <f>IF(B72="","",WEEKNUM(B72,IF(WeekStart="Sunday",1,2)))</f>
        <v>0</v>
      </c>
      <c r="E72" s="17">
        <f>IF(B72="","",TEXT(B72,"yyyy-mm"))</f>
        <v>0</v>
      </c>
      <c r="L72" s="25">
        <f>IF(OR(K72="",I72="",I72=0),"",K72/I72)</f>
        <v>0</v>
      </c>
      <c r="S72" s="25">
        <f>MonthlyBudget</f>
        <v>0</v>
      </c>
      <c r="T72" s="25">
        <f>IF(B72="","",SUMIFS($K$5:$K$404,$E$5:$E$404,E72))</f>
        <v>0</v>
      </c>
      <c r="U72" s="31">
        <f>IF(B72="","",IF(T72&gt;MonthlyBudget,"Check - over the monthly budget","OK"))</f>
        <v>0</v>
      </c>
      <c r="V72" s="31">
        <f>IF(B72="","",IF(K72="","Add - no amount",IF(Q72="Yes","Wasted",IF(O72="No","Check - unplanned","Purchased"))))</f>
        <v>0</v>
      </c>
    </row>
    <row r="73" spans="1:22">
      <c r="A73" s="39">
        <f>IF(B73="","",SpendPrefix&amp;TEXT(ROW()-4,"0000"))</f>
        <v>0</v>
      </c>
      <c r="C73" s="17">
        <f>IF(B73="","",TEXT(B73,"ddd"))</f>
        <v>0</v>
      </c>
      <c r="D73" s="18">
        <f>IF(B73="","",WEEKNUM(B73,IF(WeekStart="Sunday",1,2)))</f>
        <v>0</v>
      </c>
      <c r="E73" s="17">
        <f>IF(B73="","",TEXT(B73,"yyyy-mm"))</f>
        <v>0</v>
      </c>
      <c r="L73" s="25">
        <f>IF(OR(K73="",I73="",I73=0),"",K73/I73)</f>
        <v>0</v>
      </c>
      <c r="S73" s="25">
        <f>MonthlyBudget</f>
        <v>0</v>
      </c>
      <c r="T73" s="25">
        <f>IF(B73="","",SUMIFS($K$5:$K$404,$E$5:$E$404,E73))</f>
        <v>0</v>
      </c>
      <c r="U73" s="31">
        <f>IF(B73="","",IF(T73&gt;MonthlyBudget,"Check - over the monthly budget","OK"))</f>
        <v>0</v>
      </c>
      <c r="V73" s="31">
        <f>IF(B73="","",IF(K73="","Add - no amount",IF(Q73="Yes","Wasted",IF(O73="No","Check - unplanned","Purchased"))))</f>
        <v>0</v>
      </c>
    </row>
    <row r="74" spans="1:22">
      <c r="A74" s="39">
        <f>IF(B74="","",SpendPrefix&amp;TEXT(ROW()-4,"0000"))</f>
        <v>0</v>
      </c>
      <c r="C74" s="17">
        <f>IF(B74="","",TEXT(B74,"ddd"))</f>
        <v>0</v>
      </c>
      <c r="D74" s="18">
        <f>IF(B74="","",WEEKNUM(B74,IF(WeekStart="Sunday",1,2)))</f>
        <v>0</v>
      </c>
      <c r="E74" s="17">
        <f>IF(B74="","",TEXT(B74,"yyyy-mm"))</f>
        <v>0</v>
      </c>
      <c r="L74" s="25">
        <f>IF(OR(K74="",I74="",I74=0),"",K74/I74)</f>
        <v>0</v>
      </c>
      <c r="S74" s="25">
        <f>MonthlyBudget</f>
        <v>0</v>
      </c>
      <c r="T74" s="25">
        <f>IF(B74="","",SUMIFS($K$5:$K$404,$E$5:$E$404,E74))</f>
        <v>0</v>
      </c>
      <c r="U74" s="31">
        <f>IF(B74="","",IF(T74&gt;MonthlyBudget,"Check - over the monthly budget","OK"))</f>
        <v>0</v>
      </c>
      <c r="V74" s="31">
        <f>IF(B74="","",IF(K74="","Add - no amount",IF(Q74="Yes","Wasted",IF(O74="No","Check - unplanned","Purchased"))))</f>
        <v>0</v>
      </c>
    </row>
    <row r="75" spans="1:22">
      <c r="A75" s="39">
        <f>IF(B75="","",SpendPrefix&amp;TEXT(ROW()-4,"0000"))</f>
        <v>0</v>
      </c>
      <c r="C75" s="17">
        <f>IF(B75="","",TEXT(B75,"ddd"))</f>
        <v>0</v>
      </c>
      <c r="D75" s="18">
        <f>IF(B75="","",WEEKNUM(B75,IF(WeekStart="Sunday",1,2)))</f>
        <v>0</v>
      </c>
      <c r="E75" s="17">
        <f>IF(B75="","",TEXT(B75,"yyyy-mm"))</f>
        <v>0</v>
      </c>
      <c r="L75" s="25">
        <f>IF(OR(K75="",I75="",I75=0),"",K75/I75)</f>
        <v>0</v>
      </c>
      <c r="S75" s="25">
        <f>MonthlyBudget</f>
        <v>0</v>
      </c>
      <c r="T75" s="25">
        <f>IF(B75="","",SUMIFS($K$5:$K$404,$E$5:$E$404,E75))</f>
        <v>0</v>
      </c>
      <c r="U75" s="31">
        <f>IF(B75="","",IF(T75&gt;MonthlyBudget,"Check - over the monthly budget","OK"))</f>
        <v>0</v>
      </c>
      <c r="V75" s="31">
        <f>IF(B75="","",IF(K75="","Add - no amount",IF(Q75="Yes","Wasted",IF(O75="No","Check - unplanned","Purchased"))))</f>
        <v>0</v>
      </c>
    </row>
    <row r="76" spans="1:22">
      <c r="A76" s="39">
        <f>IF(B76="","",SpendPrefix&amp;TEXT(ROW()-4,"0000"))</f>
        <v>0</v>
      </c>
      <c r="C76" s="17">
        <f>IF(B76="","",TEXT(B76,"ddd"))</f>
        <v>0</v>
      </c>
      <c r="D76" s="18">
        <f>IF(B76="","",WEEKNUM(B76,IF(WeekStart="Sunday",1,2)))</f>
        <v>0</v>
      </c>
      <c r="E76" s="17">
        <f>IF(B76="","",TEXT(B76,"yyyy-mm"))</f>
        <v>0</v>
      </c>
      <c r="L76" s="25">
        <f>IF(OR(K76="",I76="",I76=0),"",K76/I76)</f>
        <v>0</v>
      </c>
      <c r="S76" s="25">
        <f>MonthlyBudget</f>
        <v>0</v>
      </c>
      <c r="T76" s="25">
        <f>IF(B76="","",SUMIFS($K$5:$K$404,$E$5:$E$404,E76))</f>
        <v>0</v>
      </c>
      <c r="U76" s="31">
        <f>IF(B76="","",IF(T76&gt;MonthlyBudget,"Check - over the monthly budget","OK"))</f>
        <v>0</v>
      </c>
      <c r="V76" s="31">
        <f>IF(B76="","",IF(K76="","Add - no amount",IF(Q76="Yes","Wasted",IF(O76="No","Check - unplanned","Purchased"))))</f>
        <v>0</v>
      </c>
    </row>
    <row r="77" spans="1:22">
      <c r="A77" s="39">
        <f>IF(B77="","",SpendPrefix&amp;TEXT(ROW()-4,"0000"))</f>
        <v>0</v>
      </c>
      <c r="C77" s="17">
        <f>IF(B77="","",TEXT(B77,"ddd"))</f>
        <v>0</v>
      </c>
      <c r="D77" s="18">
        <f>IF(B77="","",WEEKNUM(B77,IF(WeekStart="Sunday",1,2)))</f>
        <v>0</v>
      </c>
      <c r="E77" s="17">
        <f>IF(B77="","",TEXT(B77,"yyyy-mm"))</f>
        <v>0</v>
      </c>
      <c r="L77" s="25">
        <f>IF(OR(K77="",I77="",I77=0),"",K77/I77)</f>
        <v>0</v>
      </c>
      <c r="S77" s="25">
        <f>MonthlyBudget</f>
        <v>0</v>
      </c>
      <c r="T77" s="25">
        <f>IF(B77="","",SUMIFS($K$5:$K$404,$E$5:$E$404,E77))</f>
        <v>0</v>
      </c>
      <c r="U77" s="31">
        <f>IF(B77="","",IF(T77&gt;MonthlyBudget,"Check - over the monthly budget","OK"))</f>
        <v>0</v>
      </c>
      <c r="V77" s="31">
        <f>IF(B77="","",IF(K77="","Add - no amount",IF(Q77="Yes","Wasted",IF(O77="No","Check - unplanned","Purchased"))))</f>
        <v>0</v>
      </c>
    </row>
    <row r="78" spans="1:22">
      <c r="A78" s="39">
        <f>IF(B78="","",SpendPrefix&amp;TEXT(ROW()-4,"0000"))</f>
        <v>0</v>
      </c>
      <c r="C78" s="17">
        <f>IF(B78="","",TEXT(B78,"ddd"))</f>
        <v>0</v>
      </c>
      <c r="D78" s="18">
        <f>IF(B78="","",WEEKNUM(B78,IF(WeekStart="Sunday",1,2)))</f>
        <v>0</v>
      </c>
      <c r="E78" s="17">
        <f>IF(B78="","",TEXT(B78,"yyyy-mm"))</f>
        <v>0</v>
      </c>
      <c r="L78" s="25">
        <f>IF(OR(K78="",I78="",I78=0),"",K78/I78)</f>
        <v>0</v>
      </c>
      <c r="S78" s="25">
        <f>MonthlyBudget</f>
        <v>0</v>
      </c>
      <c r="T78" s="25">
        <f>IF(B78="","",SUMIFS($K$5:$K$404,$E$5:$E$404,E78))</f>
        <v>0</v>
      </c>
      <c r="U78" s="31">
        <f>IF(B78="","",IF(T78&gt;MonthlyBudget,"Check - over the monthly budget","OK"))</f>
        <v>0</v>
      </c>
      <c r="V78" s="31">
        <f>IF(B78="","",IF(K78="","Add - no amount",IF(Q78="Yes","Wasted",IF(O78="No","Check - unplanned","Purchased"))))</f>
        <v>0</v>
      </c>
    </row>
    <row r="79" spans="1:22">
      <c r="A79" s="39">
        <f>IF(B79="","",SpendPrefix&amp;TEXT(ROW()-4,"0000"))</f>
        <v>0</v>
      </c>
      <c r="C79" s="17">
        <f>IF(B79="","",TEXT(B79,"ddd"))</f>
        <v>0</v>
      </c>
      <c r="D79" s="18">
        <f>IF(B79="","",WEEKNUM(B79,IF(WeekStart="Sunday",1,2)))</f>
        <v>0</v>
      </c>
      <c r="E79" s="17">
        <f>IF(B79="","",TEXT(B79,"yyyy-mm"))</f>
        <v>0</v>
      </c>
      <c r="L79" s="25">
        <f>IF(OR(K79="",I79="",I79=0),"",K79/I79)</f>
        <v>0</v>
      </c>
      <c r="S79" s="25">
        <f>MonthlyBudget</f>
        <v>0</v>
      </c>
      <c r="T79" s="25">
        <f>IF(B79="","",SUMIFS($K$5:$K$404,$E$5:$E$404,E79))</f>
        <v>0</v>
      </c>
      <c r="U79" s="31">
        <f>IF(B79="","",IF(T79&gt;MonthlyBudget,"Check - over the monthly budget","OK"))</f>
        <v>0</v>
      </c>
      <c r="V79" s="31">
        <f>IF(B79="","",IF(K79="","Add - no amount",IF(Q79="Yes","Wasted",IF(O79="No","Check - unplanned","Purchased"))))</f>
        <v>0</v>
      </c>
    </row>
    <row r="80" spans="1:22">
      <c r="A80" s="39">
        <f>IF(B80="","",SpendPrefix&amp;TEXT(ROW()-4,"0000"))</f>
        <v>0</v>
      </c>
      <c r="C80" s="17">
        <f>IF(B80="","",TEXT(B80,"ddd"))</f>
        <v>0</v>
      </c>
      <c r="D80" s="18">
        <f>IF(B80="","",WEEKNUM(B80,IF(WeekStart="Sunday",1,2)))</f>
        <v>0</v>
      </c>
      <c r="E80" s="17">
        <f>IF(B80="","",TEXT(B80,"yyyy-mm"))</f>
        <v>0</v>
      </c>
      <c r="L80" s="25">
        <f>IF(OR(K80="",I80="",I80=0),"",K80/I80)</f>
        <v>0</v>
      </c>
      <c r="S80" s="25">
        <f>MonthlyBudget</f>
        <v>0</v>
      </c>
      <c r="T80" s="25">
        <f>IF(B80="","",SUMIFS($K$5:$K$404,$E$5:$E$404,E80))</f>
        <v>0</v>
      </c>
      <c r="U80" s="31">
        <f>IF(B80="","",IF(T80&gt;MonthlyBudget,"Check - over the monthly budget","OK"))</f>
        <v>0</v>
      </c>
      <c r="V80" s="31">
        <f>IF(B80="","",IF(K80="","Add - no amount",IF(Q80="Yes","Wasted",IF(O80="No","Check - unplanned","Purchased"))))</f>
        <v>0</v>
      </c>
    </row>
    <row r="81" spans="1:22">
      <c r="A81" s="39">
        <f>IF(B81="","",SpendPrefix&amp;TEXT(ROW()-4,"0000"))</f>
        <v>0</v>
      </c>
      <c r="C81" s="17">
        <f>IF(B81="","",TEXT(B81,"ddd"))</f>
        <v>0</v>
      </c>
      <c r="D81" s="18">
        <f>IF(B81="","",WEEKNUM(B81,IF(WeekStart="Sunday",1,2)))</f>
        <v>0</v>
      </c>
      <c r="E81" s="17">
        <f>IF(B81="","",TEXT(B81,"yyyy-mm"))</f>
        <v>0</v>
      </c>
      <c r="L81" s="25">
        <f>IF(OR(K81="",I81="",I81=0),"",K81/I81)</f>
        <v>0</v>
      </c>
      <c r="S81" s="25">
        <f>MonthlyBudget</f>
        <v>0</v>
      </c>
      <c r="T81" s="25">
        <f>IF(B81="","",SUMIFS($K$5:$K$404,$E$5:$E$404,E81))</f>
        <v>0</v>
      </c>
      <c r="U81" s="31">
        <f>IF(B81="","",IF(T81&gt;MonthlyBudget,"Check - over the monthly budget","OK"))</f>
        <v>0</v>
      </c>
      <c r="V81" s="31">
        <f>IF(B81="","",IF(K81="","Add - no amount",IF(Q81="Yes","Wasted",IF(O81="No","Check - unplanned","Purchased"))))</f>
        <v>0</v>
      </c>
    </row>
    <row r="82" spans="1:22">
      <c r="A82" s="39">
        <f>IF(B82="","",SpendPrefix&amp;TEXT(ROW()-4,"0000"))</f>
        <v>0</v>
      </c>
      <c r="C82" s="17">
        <f>IF(B82="","",TEXT(B82,"ddd"))</f>
        <v>0</v>
      </c>
      <c r="D82" s="18">
        <f>IF(B82="","",WEEKNUM(B82,IF(WeekStart="Sunday",1,2)))</f>
        <v>0</v>
      </c>
      <c r="E82" s="17">
        <f>IF(B82="","",TEXT(B82,"yyyy-mm"))</f>
        <v>0</v>
      </c>
      <c r="L82" s="25">
        <f>IF(OR(K82="",I82="",I82=0),"",K82/I82)</f>
        <v>0</v>
      </c>
      <c r="S82" s="25">
        <f>MonthlyBudget</f>
        <v>0</v>
      </c>
      <c r="T82" s="25">
        <f>IF(B82="","",SUMIFS($K$5:$K$404,$E$5:$E$404,E82))</f>
        <v>0</v>
      </c>
      <c r="U82" s="31">
        <f>IF(B82="","",IF(T82&gt;MonthlyBudget,"Check - over the monthly budget","OK"))</f>
        <v>0</v>
      </c>
      <c r="V82" s="31">
        <f>IF(B82="","",IF(K82="","Add - no amount",IF(Q82="Yes","Wasted",IF(O82="No","Check - unplanned","Purchased"))))</f>
        <v>0</v>
      </c>
    </row>
    <row r="83" spans="1:22">
      <c r="A83" s="39">
        <f>IF(B83="","",SpendPrefix&amp;TEXT(ROW()-4,"0000"))</f>
        <v>0</v>
      </c>
      <c r="C83" s="17">
        <f>IF(B83="","",TEXT(B83,"ddd"))</f>
        <v>0</v>
      </c>
      <c r="D83" s="18">
        <f>IF(B83="","",WEEKNUM(B83,IF(WeekStart="Sunday",1,2)))</f>
        <v>0</v>
      </c>
      <c r="E83" s="17">
        <f>IF(B83="","",TEXT(B83,"yyyy-mm"))</f>
        <v>0</v>
      </c>
      <c r="L83" s="25">
        <f>IF(OR(K83="",I83="",I83=0),"",K83/I83)</f>
        <v>0</v>
      </c>
      <c r="S83" s="25">
        <f>MonthlyBudget</f>
        <v>0</v>
      </c>
      <c r="T83" s="25">
        <f>IF(B83="","",SUMIFS($K$5:$K$404,$E$5:$E$404,E83))</f>
        <v>0</v>
      </c>
      <c r="U83" s="31">
        <f>IF(B83="","",IF(T83&gt;MonthlyBudget,"Check - over the monthly budget","OK"))</f>
        <v>0</v>
      </c>
      <c r="V83" s="31">
        <f>IF(B83="","",IF(K83="","Add - no amount",IF(Q83="Yes","Wasted",IF(O83="No","Check - unplanned","Purchased"))))</f>
        <v>0</v>
      </c>
    </row>
    <row r="84" spans="1:22">
      <c r="A84" s="39">
        <f>IF(B84="","",SpendPrefix&amp;TEXT(ROW()-4,"0000"))</f>
        <v>0</v>
      </c>
      <c r="C84" s="17">
        <f>IF(B84="","",TEXT(B84,"ddd"))</f>
        <v>0</v>
      </c>
      <c r="D84" s="18">
        <f>IF(B84="","",WEEKNUM(B84,IF(WeekStart="Sunday",1,2)))</f>
        <v>0</v>
      </c>
      <c r="E84" s="17">
        <f>IF(B84="","",TEXT(B84,"yyyy-mm"))</f>
        <v>0</v>
      </c>
      <c r="L84" s="25">
        <f>IF(OR(K84="",I84="",I84=0),"",K84/I84)</f>
        <v>0</v>
      </c>
      <c r="S84" s="25">
        <f>MonthlyBudget</f>
        <v>0</v>
      </c>
      <c r="T84" s="25">
        <f>IF(B84="","",SUMIFS($K$5:$K$404,$E$5:$E$404,E84))</f>
        <v>0</v>
      </c>
      <c r="U84" s="31">
        <f>IF(B84="","",IF(T84&gt;MonthlyBudget,"Check - over the monthly budget","OK"))</f>
        <v>0</v>
      </c>
      <c r="V84" s="31">
        <f>IF(B84="","",IF(K84="","Add - no amount",IF(Q84="Yes","Wasted",IF(O84="No","Check - unplanned","Purchased"))))</f>
        <v>0</v>
      </c>
    </row>
    <row r="85" spans="1:22">
      <c r="A85" s="39">
        <f>IF(B85="","",SpendPrefix&amp;TEXT(ROW()-4,"0000"))</f>
        <v>0</v>
      </c>
      <c r="C85" s="17">
        <f>IF(B85="","",TEXT(B85,"ddd"))</f>
        <v>0</v>
      </c>
      <c r="D85" s="18">
        <f>IF(B85="","",WEEKNUM(B85,IF(WeekStart="Sunday",1,2)))</f>
        <v>0</v>
      </c>
      <c r="E85" s="17">
        <f>IF(B85="","",TEXT(B85,"yyyy-mm"))</f>
        <v>0</v>
      </c>
      <c r="L85" s="25">
        <f>IF(OR(K85="",I85="",I85=0),"",K85/I85)</f>
        <v>0</v>
      </c>
      <c r="S85" s="25">
        <f>MonthlyBudget</f>
        <v>0</v>
      </c>
      <c r="T85" s="25">
        <f>IF(B85="","",SUMIFS($K$5:$K$404,$E$5:$E$404,E85))</f>
        <v>0</v>
      </c>
      <c r="U85" s="31">
        <f>IF(B85="","",IF(T85&gt;MonthlyBudget,"Check - over the monthly budget","OK"))</f>
        <v>0</v>
      </c>
      <c r="V85" s="31">
        <f>IF(B85="","",IF(K85="","Add - no amount",IF(Q85="Yes","Wasted",IF(O85="No","Check - unplanned","Purchased"))))</f>
        <v>0</v>
      </c>
    </row>
    <row r="86" spans="1:22">
      <c r="A86" s="39">
        <f>IF(B86="","",SpendPrefix&amp;TEXT(ROW()-4,"0000"))</f>
        <v>0</v>
      </c>
      <c r="C86" s="17">
        <f>IF(B86="","",TEXT(B86,"ddd"))</f>
        <v>0</v>
      </c>
      <c r="D86" s="18">
        <f>IF(B86="","",WEEKNUM(B86,IF(WeekStart="Sunday",1,2)))</f>
        <v>0</v>
      </c>
      <c r="E86" s="17">
        <f>IF(B86="","",TEXT(B86,"yyyy-mm"))</f>
        <v>0</v>
      </c>
      <c r="L86" s="25">
        <f>IF(OR(K86="",I86="",I86=0),"",K86/I86)</f>
        <v>0</v>
      </c>
      <c r="S86" s="25">
        <f>MonthlyBudget</f>
        <v>0</v>
      </c>
      <c r="T86" s="25">
        <f>IF(B86="","",SUMIFS($K$5:$K$404,$E$5:$E$404,E86))</f>
        <v>0</v>
      </c>
      <c r="U86" s="31">
        <f>IF(B86="","",IF(T86&gt;MonthlyBudget,"Check - over the monthly budget","OK"))</f>
        <v>0</v>
      </c>
      <c r="V86" s="31">
        <f>IF(B86="","",IF(K86="","Add - no amount",IF(Q86="Yes","Wasted",IF(O86="No","Check - unplanned","Purchased"))))</f>
        <v>0</v>
      </c>
    </row>
    <row r="87" spans="1:22">
      <c r="A87" s="39">
        <f>IF(B87="","",SpendPrefix&amp;TEXT(ROW()-4,"0000"))</f>
        <v>0</v>
      </c>
      <c r="C87" s="17">
        <f>IF(B87="","",TEXT(B87,"ddd"))</f>
        <v>0</v>
      </c>
      <c r="D87" s="18">
        <f>IF(B87="","",WEEKNUM(B87,IF(WeekStart="Sunday",1,2)))</f>
        <v>0</v>
      </c>
      <c r="E87" s="17">
        <f>IF(B87="","",TEXT(B87,"yyyy-mm"))</f>
        <v>0</v>
      </c>
      <c r="L87" s="25">
        <f>IF(OR(K87="",I87="",I87=0),"",K87/I87)</f>
        <v>0</v>
      </c>
      <c r="S87" s="25">
        <f>MonthlyBudget</f>
        <v>0</v>
      </c>
      <c r="T87" s="25">
        <f>IF(B87="","",SUMIFS($K$5:$K$404,$E$5:$E$404,E87))</f>
        <v>0</v>
      </c>
      <c r="U87" s="31">
        <f>IF(B87="","",IF(T87&gt;MonthlyBudget,"Check - over the monthly budget","OK"))</f>
        <v>0</v>
      </c>
      <c r="V87" s="31">
        <f>IF(B87="","",IF(K87="","Add - no amount",IF(Q87="Yes","Wasted",IF(O87="No","Check - unplanned","Purchased"))))</f>
        <v>0</v>
      </c>
    </row>
    <row r="88" spans="1:22">
      <c r="A88" s="39">
        <f>IF(B88="","",SpendPrefix&amp;TEXT(ROW()-4,"0000"))</f>
        <v>0</v>
      </c>
      <c r="C88" s="17">
        <f>IF(B88="","",TEXT(B88,"ddd"))</f>
        <v>0</v>
      </c>
      <c r="D88" s="18">
        <f>IF(B88="","",WEEKNUM(B88,IF(WeekStart="Sunday",1,2)))</f>
        <v>0</v>
      </c>
      <c r="E88" s="17">
        <f>IF(B88="","",TEXT(B88,"yyyy-mm"))</f>
        <v>0</v>
      </c>
      <c r="L88" s="25">
        <f>IF(OR(K88="",I88="",I88=0),"",K88/I88)</f>
        <v>0</v>
      </c>
      <c r="S88" s="25">
        <f>MonthlyBudget</f>
        <v>0</v>
      </c>
      <c r="T88" s="25">
        <f>IF(B88="","",SUMIFS($K$5:$K$404,$E$5:$E$404,E88))</f>
        <v>0</v>
      </c>
      <c r="U88" s="31">
        <f>IF(B88="","",IF(T88&gt;MonthlyBudget,"Check - over the monthly budget","OK"))</f>
        <v>0</v>
      </c>
      <c r="V88" s="31">
        <f>IF(B88="","",IF(K88="","Add - no amount",IF(Q88="Yes","Wasted",IF(O88="No","Check - unplanned","Purchased"))))</f>
        <v>0</v>
      </c>
    </row>
    <row r="89" spans="1:22">
      <c r="A89" s="39">
        <f>IF(B89="","",SpendPrefix&amp;TEXT(ROW()-4,"0000"))</f>
        <v>0</v>
      </c>
      <c r="C89" s="17">
        <f>IF(B89="","",TEXT(B89,"ddd"))</f>
        <v>0</v>
      </c>
      <c r="D89" s="18">
        <f>IF(B89="","",WEEKNUM(B89,IF(WeekStart="Sunday",1,2)))</f>
        <v>0</v>
      </c>
      <c r="E89" s="17">
        <f>IF(B89="","",TEXT(B89,"yyyy-mm"))</f>
        <v>0</v>
      </c>
      <c r="L89" s="25">
        <f>IF(OR(K89="",I89="",I89=0),"",K89/I89)</f>
        <v>0</v>
      </c>
      <c r="S89" s="25">
        <f>MonthlyBudget</f>
        <v>0</v>
      </c>
      <c r="T89" s="25">
        <f>IF(B89="","",SUMIFS($K$5:$K$404,$E$5:$E$404,E89))</f>
        <v>0</v>
      </c>
      <c r="U89" s="31">
        <f>IF(B89="","",IF(T89&gt;MonthlyBudget,"Check - over the monthly budget","OK"))</f>
        <v>0</v>
      </c>
      <c r="V89" s="31">
        <f>IF(B89="","",IF(K89="","Add - no amount",IF(Q89="Yes","Wasted",IF(O89="No","Check - unplanned","Purchased"))))</f>
        <v>0</v>
      </c>
    </row>
    <row r="90" spans="1:22">
      <c r="A90" s="39">
        <f>IF(B90="","",SpendPrefix&amp;TEXT(ROW()-4,"0000"))</f>
        <v>0</v>
      </c>
      <c r="C90" s="17">
        <f>IF(B90="","",TEXT(B90,"ddd"))</f>
        <v>0</v>
      </c>
      <c r="D90" s="18">
        <f>IF(B90="","",WEEKNUM(B90,IF(WeekStart="Sunday",1,2)))</f>
        <v>0</v>
      </c>
      <c r="E90" s="17">
        <f>IF(B90="","",TEXT(B90,"yyyy-mm"))</f>
        <v>0</v>
      </c>
      <c r="L90" s="25">
        <f>IF(OR(K90="",I90="",I90=0),"",K90/I90)</f>
        <v>0</v>
      </c>
      <c r="S90" s="25">
        <f>MonthlyBudget</f>
        <v>0</v>
      </c>
      <c r="T90" s="25">
        <f>IF(B90="","",SUMIFS($K$5:$K$404,$E$5:$E$404,E90))</f>
        <v>0</v>
      </c>
      <c r="U90" s="31">
        <f>IF(B90="","",IF(T90&gt;MonthlyBudget,"Check - over the monthly budget","OK"))</f>
        <v>0</v>
      </c>
      <c r="V90" s="31">
        <f>IF(B90="","",IF(K90="","Add - no amount",IF(Q90="Yes","Wasted",IF(O90="No","Check - unplanned","Purchased"))))</f>
        <v>0</v>
      </c>
    </row>
    <row r="91" spans="1:22">
      <c r="A91" s="39">
        <f>IF(B91="","",SpendPrefix&amp;TEXT(ROW()-4,"0000"))</f>
        <v>0</v>
      </c>
      <c r="C91" s="17">
        <f>IF(B91="","",TEXT(B91,"ddd"))</f>
        <v>0</v>
      </c>
      <c r="D91" s="18">
        <f>IF(B91="","",WEEKNUM(B91,IF(WeekStart="Sunday",1,2)))</f>
        <v>0</v>
      </c>
      <c r="E91" s="17">
        <f>IF(B91="","",TEXT(B91,"yyyy-mm"))</f>
        <v>0</v>
      </c>
      <c r="L91" s="25">
        <f>IF(OR(K91="",I91="",I91=0),"",K91/I91)</f>
        <v>0</v>
      </c>
      <c r="S91" s="25">
        <f>MonthlyBudget</f>
        <v>0</v>
      </c>
      <c r="T91" s="25">
        <f>IF(B91="","",SUMIFS($K$5:$K$404,$E$5:$E$404,E91))</f>
        <v>0</v>
      </c>
      <c r="U91" s="31">
        <f>IF(B91="","",IF(T91&gt;MonthlyBudget,"Check - over the monthly budget","OK"))</f>
        <v>0</v>
      </c>
      <c r="V91" s="31">
        <f>IF(B91="","",IF(K91="","Add - no amount",IF(Q91="Yes","Wasted",IF(O91="No","Check - unplanned","Purchased"))))</f>
        <v>0</v>
      </c>
    </row>
    <row r="92" spans="1:22">
      <c r="A92" s="39">
        <f>IF(B92="","",SpendPrefix&amp;TEXT(ROW()-4,"0000"))</f>
        <v>0</v>
      </c>
      <c r="C92" s="17">
        <f>IF(B92="","",TEXT(B92,"ddd"))</f>
        <v>0</v>
      </c>
      <c r="D92" s="18">
        <f>IF(B92="","",WEEKNUM(B92,IF(WeekStart="Sunday",1,2)))</f>
        <v>0</v>
      </c>
      <c r="E92" s="17">
        <f>IF(B92="","",TEXT(B92,"yyyy-mm"))</f>
        <v>0</v>
      </c>
      <c r="L92" s="25">
        <f>IF(OR(K92="",I92="",I92=0),"",K92/I92)</f>
        <v>0</v>
      </c>
      <c r="S92" s="25">
        <f>MonthlyBudget</f>
        <v>0</v>
      </c>
      <c r="T92" s="25">
        <f>IF(B92="","",SUMIFS($K$5:$K$404,$E$5:$E$404,E92))</f>
        <v>0</v>
      </c>
      <c r="U92" s="31">
        <f>IF(B92="","",IF(T92&gt;MonthlyBudget,"Check - over the monthly budget","OK"))</f>
        <v>0</v>
      </c>
      <c r="V92" s="31">
        <f>IF(B92="","",IF(K92="","Add - no amount",IF(Q92="Yes","Wasted",IF(O92="No","Check - unplanned","Purchased"))))</f>
        <v>0</v>
      </c>
    </row>
    <row r="93" spans="1:22">
      <c r="A93" s="39">
        <f>IF(B93="","",SpendPrefix&amp;TEXT(ROW()-4,"0000"))</f>
        <v>0</v>
      </c>
      <c r="C93" s="17">
        <f>IF(B93="","",TEXT(B93,"ddd"))</f>
        <v>0</v>
      </c>
      <c r="D93" s="18">
        <f>IF(B93="","",WEEKNUM(B93,IF(WeekStart="Sunday",1,2)))</f>
        <v>0</v>
      </c>
      <c r="E93" s="17">
        <f>IF(B93="","",TEXT(B93,"yyyy-mm"))</f>
        <v>0</v>
      </c>
      <c r="L93" s="25">
        <f>IF(OR(K93="",I93="",I93=0),"",K93/I93)</f>
        <v>0</v>
      </c>
      <c r="S93" s="25">
        <f>MonthlyBudget</f>
        <v>0</v>
      </c>
      <c r="T93" s="25">
        <f>IF(B93="","",SUMIFS($K$5:$K$404,$E$5:$E$404,E93))</f>
        <v>0</v>
      </c>
      <c r="U93" s="31">
        <f>IF(B93="","",IF(T93&gt;MonthlyBudget,"Check - over the monthly budget","OK"))</f>
        <v>0</v>
      </c>
      <c r="V93" s="31">
        <f>IF(B93="","",IF(K93="","Add - no amount",IF(Q93="Yes","Wasted",IF(O93="No","Check - unplanned","Purchased"))))</f>
        <v>0</v>
      </c>
    </row>
    <row r="94" spans="1:22">
      <c r="A94" s="39">
        <f>IF(B94="","",SpendPrefix&amp;TEXT(ROW()-4,"0000"))</f>
        <v>0</v>
      </c>
      <c r="C94" s="17">
        <f>IF(B94="","",TEXT(B94,"ddd"))</f>
        <v>0</v>
      </c>
      <c r="D94" s="18">
        <f>IF(B94="","",WEEKNUM(B94,IF(WeekStart="Sunday",1,2)))</f>
        <v>0</v>
      </c>
      <c r="E94" s="17">
        <f>IF(B94="","",TEXT(B94,"yyyy-mm"))</f>
        <v>0</v>
      </c>
      <c r="L94" s="25">
        <f>IF(OR(K94="",I94="",I94=0),"",K94/I94)</f>
        <v>0</v>
      </c>
      <c r="S94" s="25">
        <f>MonthlyBudget</f>
        <v>0</v>
      </c>
      <c r="T94" s="25">
        <f>IF(B94="","",SUMIFS($K$5:$K$404,$E$5:$E$404,E94))</f>
        <v>0</v>
      </c>
      <c r="U94" s="31">
        <f>IF(B94="","",IF(T94&gt;MonthlyBudget,"Check - over the monthly budget","OK"))</f>
        <v>0</v>
      </c>
      <c r="V94" s="31">
        <f>IF(B94="","",IF(K94="","Add - no amount",IF(Q94="Yes","Wasted",IF(O94="No","Check - unplanned","Purchased"))))</f>
        <v>0</v>
      </c>
    </row>
    <row r="95" spans="1:22">
      <c r="A95" s="39">
        <f>IF(B95="","",SpendPrefix&amp;TEXT(ROW()-4,"0000"))</f>
        <v>0</v>
      </c>
      <c r="C95" s="17">
        <f>IF(B95="","",TEXT(B95,"ddd"))</f>
        <v>0</v>
      </c>
      <c r="D95" s="18">
        <f>IF(B95="","",WEEKNUM(B95,IF(WeekStart="Sunday",1,2)))</f>
        <v>0</v>
      </c>
      <c r="E95" s="17">
        <f>IF(B95="","",TEXT(B95,"yyyy-mm"))</f>
        <v>0</v>
      </c>
      <c r="L95" s="25">
        <f>IF(OR(K95="",I95="",I95=0),"",K95/I95)</f>
        <v>0</v>
      </c>
      <c r="S95" s="25">
        <f>MonthlyBudget</f>
        <v>0</v>
      </c>
      <c r="T95" s="25">
        <f>IF(B95="","",SUMIFS($K$5:$K$404,$E$5:$E$404,E95))</f>
        <v>0</v>
      </c>
      <c r="U95" s="31">
        <f>IF(B95="","",IF(T95&gt;MonthlyBudget,"Check - over the monthly budget","OK"))</f>
        <v>0</v>
      </c>
      <c r="V95" s="31">
        <f>IF(B95="","",IF(K95="","Add - no amount",IF(Q95="Yes","Wasted",IF(O95="No","Check - unplanned","Purchased"))))</f>
        <v>0</v>
      </c>
    </row>
    <row r="96" spans="1:22">
      <c r="A96" s="39">
        <f>IF(B96="","",SpendPrefix&amp;TEXT(ROW()-4,"0000"))</f>
        <v>0</v>
      </c>
      <c r="C96" s="17">
        <f>IF(B96="","",TEXT(B96,"ddd"))</f>
        <v>0</v>
      </c>
      <c r="D96" s="18">
        <f>IF(B96="","",WEEKNUM(B96,IF(WeekStart="Sunday",1,2)))</f>
        <v>0</v>
      </c>
      <c r="E96" s="17">
        <f>IF(B96="","",TEXT(B96,"yyyy-mm"))</f>
        <v>0</v>
      </c>
      <c r="L96" s="25">
        <f>IF(OR(K96="",I96="",I96=0),"",K96/I96)</f>
        <v>0</v>
      </c>
      <c r="S96" s="25">
        <f>MonthlyBudget</f>
        <v>0</v>
      </c>
      <c r="T96" s="25">
        <f>IF(B96="","",SUMIFS($K$5:$K$404,$E$5:$E$404,E96))</f>
        <v>0</v>
      </c>
      <c r="U96" s="31">
        <f>IF(B96="","",IF(T96&gt;MonthlyBudget,"Check - over the monthly budget","OK"))</f>
        <v>0</v>
      </c>
      <c r="V96" s="31">
        <f>IF(B96="","",IF(K96="","Add - no amount",IF(Q96="Yes","Wasted",IF(O96="No","Check - unplanned","Purchased"))))</f>
        <v>0</v>
      </c>
    </row>
    <row r="97" spans="1:22">
      <c r="A97" s="39">
        <f>IF(B97="","",SpendPrefix&amp;TEXT(ROW()-4,"0000"))</f>
        <v>0</v>
      </c>
      <c r="C97" s="17">
        <f>IF(B97="","",TEXT(B97,"ddd"))</f>
        <v>0</v>
      </c>
      <c r="D97" s="18">
        <f>IF(B97="","",WEEKNUM(B97,IF(WeekStart="Sunday",1,2)))</f>
        <v>0</v>
      </c>
      <c r="E97" s="17">
        <f>IF(B97="","",TEXT(B97,"yyyy-mm"))</f>
        <v>0</v>
      </c>
      <c r="L97" s="25">
        <f>IF(OR(K97="",I97="",I97=0),"",K97/I97)</f>
        <v>0</v>
      </c>
      <c r="S97" s="25">
        <f>MonthlyBudget</f>
        <v>0</v>
      </c>
      <c r="T97" s="25">
        <f>IF(B97="","",SUMIFS($K$5:$K$404,$E$5:$E$404,E97))</f>
        <v>0</v>
      </c>
      <c r="U97" s="31">
        <f>IF(B97="","",IF(T97&gt;MonthlyBudget,"Check - over the monthly budget","OK"))</f>
        <v>0</v>
      </c>
      <c r="V97" s="31">
        <f>IF(B97="","",IF(K97="","Add - no amount",IF(Q97="Yes","Wasted",IF(O97="No","Check - unplanned","Purchased"))))</f>
        <v>0</v>
      </c>
    </row>
    <row r="98" spans="1:22">
      <c r="A98" s="39">
        <f>IF(B98="","",SpendPrefix&amp;TEXT(ROW()-4,"0000"))</f>
        <v>0</v>
      </c>
      <c r="C98" s="17">
        <f>IF(B98="","",TEXT(B98,"ddd"))</f>
        <v>0</v>
      </c>
      <c r="D98" s="18">
        <f>IF(B98="","",WEEKNUM(B98,IF(WeekStart="Sunday",1,2)))</f>
        <v>0</v>
      </c>
      <c r="E98" s="17">
        <f>IF(B98="","",TEXT(B98,"yyyy-mm"))</f>
        <v>0</v>
      </c>
      <c r="L98" s="25">
        <f>IF(OR(K98="",I98="",I98=0),"",K98/I98)</f>
        <v>0</v>
      </c>
      <c r="S98" s="25">
        <f>MonthlyBudget</f>
        <v>0</v>
      </c>
      <c r="T98" s="25">
        <f>IF(B98="","",SUMIFS($K$5:$K$404,$E$5:$E$404,E98))</f>
        <v>0</v>
      </c>
      <c r="U98" s="31">
        <f>IF(B98="","",IF(T98&gt;MonthlyBudget,"Check - over the monthly budget","OK"))</f>
        <v>0</v>
      </c>
      <c r="V98" s="31">
        <f>IF(B98="","",IF(K98="","Add - no amount",IF(Q98="Yes","Wasted",IF(O98="No","Check - unplanned","Purchased"))))</f>
        <v>0</v>
      </c>
    </row>
    <row r="99" spans="1:22">
      <c r="A99" s="39">
        <f>IF(B99="","",SpendPrefix&amp;TEXT(ROW()-4,"0000"))</f>
        <v>0</v>
      </c>
      <c r="C99" s="17">
        <f>IF(B99="","",TEXT(B99,"ddd"))</f>
        <v>0</v>
      </c>
      <c r="D99" s="18">
        <f>IF(B99="","",WEEKNUM(B99,IF(WeekStart="Sunday",1,2)))</f>
        <v>0</v>
      </c>
      <c r="E99" s="17">
        <f>IF(B99="","",TEXT(B99,"yyyy-mm"))</f>
        <v>0</v>
      </c>
      <c r="L99" s="25">
        <f>IF(OR(K99="",I99="",I99=0),"",K99/I99)</f>
        <v>0</v>
      </c>
      <c r="S99" s="25">
        <f>MonthlyBudget</f>
        <v>0</v>
      </c>
      <c r="T99" s="25">
        <f>IF(B99="","",SUMIFS($K$5:$K$404,$E$5:$E$404,E99))</f>
        <v>0</v>
      </c>
      <c r="U99" s="31">
        <f>IF(B99="","",IF(T99&gt;MonthlyBudget,"Check - over the monthly budget","OK"))</f>
        <v>0</v>
      </c>
      <c r="V99" s="31">
        <f>IF(B99="","",IF(K99="","Add - no amount",IF(Q99="Yes","Wasted",IF(O99="No","Check - unplanned","Purchased"))))</f>
        <v>0</v>
      </c>
    </row>
    <row r="100" spans="1:22">
      <c r="A100" s="39">
        <f>IF(B100="","",SpendPrefix&amp;TEXT(ROW()-4,"0000"))</f>
        <v>0</v>
      </c>
      <c r="C100" s="17">
        <f>IF(B100="","",TEXT(B100,"ddd"))</f>
        <v>0</v>
      </c>
      <c r="D100" s="18">
        <f>IF(B100="","",WEEKNUM(B100,IF(WeekStart="Sunday",1,2)))</f>
        <v>0</v>
      </c>
      <c r="E100" s="17">
        <f>IF(B100="","",TEXT(B100,"yyyy-mm"))</f>
        <v>0</v>
      </c>
      <c r="L100" s="25">
        <f>IF(OR(K100="",I100="",I100=0),"",K100/I100)</f>
        <v>0</v>
      </c>
      <c r="S100" s="25">
        <f>MonthlyBudget</f>
        <v>0</v>
      </c>
      <c r="T100" s="25">
        <f>IF(B100="","",SUMIFS($K$5:$K$404,$E$5:$E$404,E100))</f>
        <v>0</v>
      </c>
      <c r="U100" s="31">
        <f>IF(B100="","",IF(T100&gt;MonthlyBudget,"Check - over the monthly budget","OK"))</f>
        <v>0</v>
      </c>
      <c r="V100" s="31">
        <f>IF(B100="","",IF(K100="","Add - no amount",IF(Q100="Yes","Wasted",IF(O100="No","Check - unplanned","Purchased"))))</f>
        <v>0</v>
      </c>
    </row>
    <row r="101" spans="1:22">
      <c r="A101" s="39">
        <f>IF(B101="","",SpendPrefix&amp;TEXT(ROW()-4,"0000"))</f>
        <v>0</v>
      </c>
      <c r="C101" s="17">
        <f>IF(B101="","",TEXT(B101,"ddd"))</f>
        <v>0</v>
      </c>
      <c r="D101" s="18">
        <f>IF(B101="","",WEEKNUM(B101,IF(WeekStart="Sunday",1,2)))</f>
        <v>0</v>
      </c>
      <c r="E101" s="17">
        <f>IF(B101="","",TEXT(B101,"yyyy-mm"))</f>
        <v>0</v>
      </c>
      <c r="L101" s="25">
        <f>IF(OR(K101="",I101="",I101=0),"",K101/I101)</f>
        <v>0</v>
      </c>
      <c r="S101" s="25">
        <f>MonthlyBudget</f>
        <v>0</v>
      </c>
      <c r="T101" s="25">
        <f>IF(B101="","",SUMIFS($K$5:$K$404,$E$5:$E$404,E101))</f>
        <v>0</v>
      </c>
      <c r="U101" s="31">
        <f>IF(B101="","",IF(T101&gt;MonthlyBudget,"Check - over the monthly budget","OK"))</f>
        <v>0</v>
      </c>
      <c r="V101" s="31">
        <f>IF(B101="","",IF(K101="","Add - no amount",IF(Q101="Yes","Wasted",IF(O101="No","Check - unplanned","Purchased"))))</f>
        <v>0</v>
      </c>
    </row>
    <row r="102" spans="1:22">
      <c r="A102" s="39">
        <f>IF(B102="","",SpendPrefix&amp;TEXT(ROW()-4,"0000"))</f>
        <v>0</v>
      </c>
      <c r="C102" s="17">
        <f>IF(B102="","",TEXT(B102,"ddd"))</f>
        <v>0</v>
      </c>
      <c r="D102" s="18">
        <f>IF(B102="","",WEEKNUM(B102,IF(WeekStart="Sunday",1,2)))</f>
        <v>0</v>
      </c>
      <c r="E102" s="17">
        <f>IF(B102="","",TEXT(B102,"yyyy-mm"))</f>
        <v>0</v>
      </c>
      <c r="L102" s="25">
        <f>IF(OR(K102="",I102="",I102=0),"",K102/I102)</f>
        <v>0</v>
      </c>
      <c r="S102" s="25">
        <f>MonthlyBudget</f>
        <v>0</v>
      </c>
      <c r="T102" s="25">
        <f>IF(B102="","",SUMIFS($K$5:$K$404,$E$5:$E$404,E102))</f>
        <v>0</v>
      </c>
      <c r="U102" s="31">
        <f>IF(B102="","",IF(T102&gt;MonthlyBudget,"Check - over the monthly budget","OK"))</f>
        <v>0</v>
      </c>
      <c r="V102" s="31">
        <f>IF(B102="","",IF(K102="","Add - no amount",IF(Q102="Yes","Wasted",IF(O102="No","Check - unplanned","Purchased"))))</f>
        <v>0</v>
      </c>
    </row>
    <row r="103" spans="1:22">
      <c r="A103" s="39">
        <f>IF(B103="","",SpendPrefix&amp;TEXT(ROW()-4,"0000"))</f>
        <v>0</v>
      </c>
      <c r="C103" s="17">
        <f>IF(B103="","",TEXT(B103,"ddd"))</f>
        <v>0</v>
      </c>
      <c r="D103" s="18">
        <f>IF(B103="","",WEEKNUM(B103,IF(WeekStart="Sunday",1,2)))</f>
        <v>0</v>
      </c>
      <c r="E103" s="17">
        <f>IF(B103="","",TEXT(B103,"yyyy-mm"))</f>
        <v>0</v>
      </c>
      <c r="L103" s="25">
        <f>IF(OR(K103="",I103="",I103=0),"",K103/I103)</f>
        <v>0</v>
      </c>
      <c r="S103" s="25">
        <f>MonthlyBudget</f>
        <v>0</v>
      </c>
      <c r="T103" s="25">
        <f>IF(B103="","",SUMIFS($K$5:$K$404,$E$5:$E$404,E103))</f>
        <v>0</v>
      </c>
      <c r="U103" s="31">
        <f>IF(B103="","",IF(T103&gt;MonthlyBudget,"Check - over the monthly budget","OK"))</f>
        <v>0</v>
      </c>
      <c r="V103" s="31">
        <f>IF(B103="","",IF(K103="","Add - no amount",IF(Q103="Yes","Wasted",IF(O103="No","Check - unplanned","Purchased"))))</f>
        <v>0</v>
      </c>
    </row>
    <row r="104" spans="1:22">
      <c r="A104" s="39">
        <f>IF(B104="","",SpendPrefix&amp;TEXT(ROW()-4,"0000"))</f>
        <v>0</v>
      </c>
      <c r="C104" s="17">
        <f>IF(B104="","",TEXT(B104,"ddd"))</f>
        <v>0</v>
      </c>
      <c r="D104" s="18">
        <f>IF(B104="","",WEEKNUM(B104,IF(WeekStart="Sunday",1,2)))</f>
        <v>0</v>
      </c>
      <c r="E104" s="17">
        <f>IF(B104="","",TEXT(B104,"yyyy-mm"))</f>
        <v>0</v>
      </c>
      <c r="L104" s="25">
        <f>IF(OR(K104="",I104="",I104=0),"",K104/I104)</f>
        <v>0</v>
      </c>
      <c r="S104" s="25">
        <f>MonthlyBudget</f>
        <v>0</v>
      </c>
      <c r="T104" s="25">
        <f>IF(B104="","",SUMIFS($K$5:$K$404,$E$5:$E$404,E104))</f>
        <v>0</v>
      </c>
      <c r="U104" s="31">
        <f>IF(B104="","",IF(T104&gt;MonthlyBudget,"Check - over the monthly budget","OK"))</f>
        <v>0</v>
      </c>
      <c r="V104" s="31">
        <f>IF(B104="","",IF(K104="","Add - no amount",IF(Q104="Yes","Wasted",IF(O104="No","Check - unplanned","Purchased"))))</f>
        <v>0</v>
      </c>
    </row>
    <row r="105" spans="1:22">
      <c r="A105" s="39">
        <f>IF(B105="","",SpendPrefix&amp;TEXT(ROW()-4,"0000"))</f>
        <v>0</v>
      </c>
      <c r="C105" s="17">
        <f>IF(B105="","",TEXT(B105,"ddd"))</f>
        <v>0</v>
      </c>
      <c r="D105" s="18">
        <f>IF(B105="","",WEEKNUM(B105,IF(WeekStart="Sunday",1,2)))</f>
        <v>0</v>
      </c>
      <c r="E105" s="17">
        <f>IF(B105="","",TEXT(B105,"yyyy-mm"))</f>
        <v>0</v>
      </c>
      <c r="L105" s="25">
        <f>IF(OR(K105="",I105="",I105=0),"",K105/I105)</f>
        <v>0</v>
      </c>
      <c r="S105" s="25">
        <f>MonthlyBudget</f>
        <v>0</v>
      </c>
      <c r="T105" s="25">
        <f>IF(B105="","",SUMIFS($K$5:$K$404,$E$5:$E$404,E105))</f>
        <v>0</v>
      </c>
      <c r="U105" s="31">
        <f>IF(B105="","",IF(T105&gt;MonthlyBudget,"Check - over the monthly budget","OK"))</f>
        <v>0</v>
      </c>
      <c r="V105" s="31">
        <f>IF(B105="","",IF(K105="","Add - no amount",IF(Q105="Yes","Wasted",IF(O105="No","Check - unplanned","Purchased"))))</f>
        <v>0</v>
      </c>
    </row>
    <row r="106" spans="1:22">
      <c r="A106" s="39">
        <f>IF(B106="","",SpendPrefix&amp;TEXT(ROW()-4,"0000"))</f>
        <v>0</v>
      </c>
      <c r="C106" s="17">
        <f>IF(B106="","",TEXT(B106,"ddd"))</f>
        <v>0</v>
      </c>
      <c r="D106" s="18">
        <f>IF(B106="","",WEEKNUM(B106,IF(WeekStart="Sunday",1,2)))</f>
        <v>0</v>
      </c>
      <c r="E106" s="17">
        <f>IF(B106="","",TEXT(B106,"yyyy-mm"))</f>
        <v>0</v>
      </c>
      <c r="L106" s="25">
        <f>IF(OR(K106="",I106="",I106=0),"",K106/I106)</f>
        <v>0</v>
      </c>
      <c r="S106" s="25">
        <f>MonthlyBudget</f>
        <v>0</v>
      </c>
      <c r="T106" s="25">
        <f>IF(B106="","",SUMIFS($K$5:$K$404,$E$5:$E$404,E106))</f>
        <v>0</v>
      </c>
      <c r="U106" s="31">
        <f>IF(B106="","",IF(T106&gt;MonthlyBudget,"Check - over the monthly budget","OK"))</f>
        <v>0</v>
      </c>
      <c r="V106" s="31">
        <f>IF(B106="","",IF(K106="","Add - no amount",IF(Q106="Yes","Wasted",IF(O106="No","Check - unplanned","Purchased"))))</f>
        <v>0</v>
      </c>
    </row>
    <row r="107" spans="1:22">
      <c r="A107" s="39">
        <f>IF(B107="","",SpendPrefix&amp;TEXT(ROW()-4,"0000"))</f>
        <v>0</v>
      </c>
      <c r="C107" s="17">
        <f>IF(B107="","",TEXT(B107,"ddd"))</f>
        <v>0</v>
      </c>
      <c r="D107" s="18">
        <f>IF(B107="","",WEEKNUM(B107,IF(WeekStart="Sunday",1,2)))</f>
        <v>0</v>
      </c>
      <c r="E107" s="17">
        <f>IF(B107="","",TEXT(B107,"yyyy-mm"))</f>
        <v>0</v>
      </c>
      <c r="L107" s="25">
        <f>IF(OR(K107="",I107="",I107=0),"",K107/I107)</f>
        <v>0</v>
      </c>
      <c r="S107" s="25">
        <f>MonthlyBudget</f>
        <v>0</v>
      </c>
      <c r="T107" s="25">
        <f>IF(B107="","",SUMIFS($K$5:$K$404,$E$5:$E$404,E107))</f>
        <v>0</v>
      </c>
      <c r="U107" s="31">
        <f>IF(B107="","",IF(T107&gt;MonthlyBudget,"Check - over the monthly budget","OK"))</f>
        <v>0</v>
      </c>
      <c r="V107" s="31">
        <f>IF(B107="","",IF(K107="","Add - no amount",IF(Q107="Yes","Wasted",IF(O107="No","Check - unplanned","Purchased"))))</f>
        <v>0</v>
      </c>
    </row>
    <row r="108" spans="1:22">
      <c r="A108" s="39">
        <f>IF(B108="","",SpendPrefix&amp;TEXT(ROW()-4,"0000"))</f>
        <v>0</v>
      </c>
      <c r="C108" s="17">
        <f>IF(B108="","",TEXT(B108,"ddd"))</f>
        <v>0</v>
      </c>
      <c r="D108" s="18">
        <f>IF(B108="","",WEEKNUM(B108,IF(WeekStart="Sunday",1,2)))</f>
        <v>0</v>
      </c>
      <c r="E108" s="17">
        <f>IF(B108="","",TEXT(B108,"yyyy-mm"))</f>
        <v>0</v>
      </c>
      <c r="L108" s="25">
        <f>IF(OR(K108="",I108="",I108=0),"",K108/I108)</f>
        <v>0</v>
      </c>
      <c r="S108" s="25">
        <f>MonthlyBudget</f>
        <v>0</v>
      </c>
      <c r="T108" s="25">
        <f>IF(B108="","",SUMIFS($K$5:$K$404,$E$5:$E$404,E108))</f>
        <v>0</v>
      </c>
      <c r="U108" s="31">
        <f>IF(B108="","",IF(T108&gt;MonthlyBudget,"Check - over the monthly budget","OK"))</f>
        <v>0</v>
      </c>
      <c r="V108" s="31">
        <f>IF(B108="","",IF(K108="","Add - no amount",IF(Q108="Yes","Wasted",IF(O108="No","Check - unplanned","Purchased"))))</f>
        <v>0</v>
      </c>
    </row>
    <row r="109" spans="1:22">
      <c r="A109" s="39">
        <f>IF(B109="","",SpendPrefix&amp;TEXT(ROW()-4,"0000"))</f>
        <v>0</v>
      </c>
      <c r="C109" s="17">
        <f>IF(B109="","",TEXT(B109,"ddd"))</f>
        <v>0</v>
      </c>
      <c r="D109" s="18">
        <f>IF(B109="","",WEEKNUM(B109,IF(WeekStart="Sunday",1,2)))</f>
        <v>0</v>
      </c>
      <c r="E109" s="17">
        <f>IF(B109="","",TEXT(B109,"yyyy-mm"))</f>
        <v>0</v>
      </c>
      <c r="L109" s="25">
        <f>IF(OR(K109="",I109="",I109=0),"",K109/I109)</f>
        <v>0</v>
      </c>
      <c r="S109" s="25">
        <f>MonthlyBudget</f>
        <v>0</v>
      </c>
      <c r="T109" s="25">
        <f>IF(B109="","",SUMIFS($K$5:$K$404,$E$5:$E$404,E109))</f>
        <v>0</v>
      </c>
      <c r="U109" s="31">
        <f>IF(B109="","",IF(T109&gt;MonthlyBudget,"Check - over the monthly budget","OK"))</f>
        <v>0</v>
      </c>
      <c r="V109" s="31">
        <f>IF(B109="","",IF(K109="","Add - no amount",IF(Q109="Yes","Wasted",IF(O109="No","Check - unplanned","Purchased"))))</f>
        <v>0</v>
      </c>
    </row>
    <row r="110" spans="1:22">
      <c r="A110" s="39">
        <f>IF(B110="","",SpendPrefix&amp;TEXT(ROW()-4,"0000"))</f>
        <v>0</v>
      </c>
      <c r="C110" s="17">
        <f>IF(B110="","",TEXT(B110,"ddd"))</f>
        <v>0</v>
      </c>
      <c r="D110" s="18">
        <f>IF(B110="","",WEEKNUM(B110,IF(WeekStart="Sunday",1,2)))</f>
        <v>0</v>
      </c>
      <c r="E110" s="17">
        <f>IF(B110="","",TEXT(B110,"yyyy-mm"))</f>
        <v>0</v>
      </c>
      <c r="L110" s="25">
        <f>IF(OR(K110="",I110="",I110=0),"",K110/I110)</f>
        <v>0</v>
      </c>
      <c r="S110" s="25">
        <f>MonthlyBudget</f>
        <v>0</v>
      </c>
      <c r="T110" s="25">
        <f>IF(B110="","",SUMIFS($K$5:$K$404,$E$5:$E$404,E110))</f>
        <v>0</v>
      </c>
      <c r="U110" s="31">
        <f>IF(B110="","",IF(T110&gt;MonthlyBudget,"Check - over the monthly budget","OK"))</f>
        <v>0</v>
      </c>
      <c r="V110" s="31">
        <f>IF(B110="","",IF(K110="","Add - no amount",IF(Q110="Yes","Wasted",IF(O110="No","Check - unplanned","Purchased"))))</f>
        <v>0</v>
      </c>
    </row>
    <row r="111" spans="1:22">
      <c r="A111" s="39">
        <f>IF(B111="","",SpendPrefix&amp;TEXT(ROW()-4,"0000"))</f>
        <v>0</v>
      </c>
      <c r="C111" s="17">
        <f>IF(B111="","",TEXT(B111,"ddd"))</f>
        <v>0</v>
      </c>
      <c r="D111" s="18">
        <f>IF(B111="","",WEEKNUM(B111,IF(WeekStart="Sunday",1,2)))</f>
        <v>0</v>
      </c>
      <c r="E111" s="17">
        <f>IF(B111="","",TEXT(B111,"yyyy-mm"))</f>
        <v>0</v>
      </c>
      <c r="L111" s="25">
        <f>IF(OR(K111="",I111="",I111=0),"",K111/I111)</f>
        <v>0</v>
      </c>
      <c r="S111" s="25">
        <f>MonthlyBudget</f>
        <v>0</v>
      </c>
      <c r="T111" s="25">
        <f>IF(B111="","",SUMIFS($K$5:$K$404,$E$5:$E$404,E111))</f>
        <v>0</v>
      </c>
      <c r="U111" s="31">
        <f>IF(B111="","",IF(T111&gt;MonthlyBudget,"Check - over the monthly budget","OK"))</f>
        <v>0</v>
      </c>
      <c r="V111" s="31">
        <f>IF(B111="","",IF(K111="","Add - no amount",IF(Q111="Yes","Wasted",IF(O111="No","Check - unplanned","Purchased"))))</f>
        <v>0</v>
      </c>
    </row>
    <row r="112" spans="1:22">
      <c r="A112" s="39">
        <f>IF(B112="","",SpendPrefix&amp;TEXT(ROW()-4,"0000"))</f>
        <v>0</v>
      </c>
      <c r="C112" s="17">
        <f>IF(B112="","",TEXT(B112,"ddd"))</f>
        <v>0</v>
      </c>
      <c r="D112" s="18">
        <f>IF(B112="","",WEEKNUM(B112,IF(WeekStart="Sunday",1,2)))</f>
        <v>0</v>
      </c>
      <c r="E112" s="17">
        <f>IF(B112="","",TEXT(B112,"yyyy-mm"))</f>
        <v>0</v>
      </c>
      <c r="L112" s="25">
        <f>IF(OR(K112="",I112="",I112=0),"",K112/I112)</f>
        <v>0</v>
      </c>
      <c r="S112" s="25">
        <f>MonthlyBudget</f>
        <v>0</v>
      </c>
      <c r="T112" s="25">
        <f>IF(B112="","",SUMIFS($K$5:$K$404,$E$5:$E$404,E112))</f>
        <v>0</v>
      </c>
      <c r="U112" s="31">
        <f>IF(B112="","",IF(T112&gt;MonthlyBudget,"Check - over the monthly budget","OK"))</f>
        <v>0</v>
      </c>
      <c r="V112" s="31">
        <f>IF(B112="","",IF(K112="","Add - no amount",IF(Q112="Yes","Wasted",IF(O112="No","Check - unplanned","Purchased"))))</f>
        <v>0</v>
      </c>
    </row>
    <row r="113" spans="1:22">
      <c r="A113" s="39">
        <f>IF(B113="","",SpendPrefix&amp;TEXT(ROW()-4,"0000"))</f>
        <v>0</v>
      </c>
      <c r="C113" s="17">
        <f>IF(B113="","",TEXT(B113,"ddd"))</f>
        <v>0</v>
      </c>
      <c r="D113" s="18">
        <f>IF(B113="","",WEEKNUM(B113,IF(WeekStart="Sunday",1,2)))</f>
        <v>0</v>
      </c>
      <c r="E113" s="17">
        <f>IF(B113="","",TEXT(B113,"yyyy-mm"))</f>
        <v>0</v>
      </c>
      <c r="L113" s="25">
        <f>IF(OR(K113="",I113="",I113=0),"",K113/I113)</f>
        <v>0</v>
      </c>
      <c r="S113" s="25">
        <f>MonthlyBudget</f>
        <v>0</v>
      </c>
      <c r="T113" s="25">
        <f>IF(B113="","",SUMIFS($K$5:$K$404,$E$5:$E$404,E113))</f>
        <v>0</v>
      </c>
      <c r="U113" s="31">
        <f>IF(B113="","",IF(T113&gt;MonthlyBudget,"Check - over the monthly budget","OK"))</f>
        <v>0</v>
      </c>
      <c r="V113" s="31">
        <f>IF(B113="","",IF(K113="","Add - no amount",IF(Q113="Yes","Wasted",IF(O113="No","Check - unplanned","Purchased"))))</f>
        <v>0</v>
      </c>
    </row>
    <row r="114" spans="1:22">
      <c r="A114" s="39">
        <f>IF(B114="","",SpendPrefix&amp;TEXT(ROW()-4,"0000"))</f>
        <v>0</v>
      </c>
      <c r="C114" s="17">
        <f>IF(B114="","",TEXT(B114,"ddd"))</f>
        <v>0</v>
      </c>
      <c r="D114" s="18">
        <f>IF(B114="","",WEEKNUM(B114,IF(WeekStart="Sunday",1,2)))</f>
        <v>0</v>
      </c>
      <c r="E114" s="17">
        <f>IF(B114="","",TEXT(B114,"yyyy-mm"))</f>
        <v>0</v>
      </c>
      <c r="L114" s="25">
        <f>IF(OR(K114="",I114="",I114=0),"",K114/I114)</f>
        <v>0</v>
      </c>
      <c r="S114" s="25">
        <f>MonthlyBudget</f>
        <v>0</v>
      </c>
      <c r="T114" s="25">
        <f>IF(B114="","",SUMIFS($K$5:$K$404,$E$5:$E$404,E114))</f>
        <v>0</v>
      </c>
      <c r="U114" s="31">
        <f>IF(B114="","",IF(T114&gt;MonthlyBudget,"Check - over the monthly budget","OK"))</f>
        <v>0</v>
      </c>
      <c r="V114" s="31">
        <f>IF(B114="","",IF(K114="","Add - no amount",IF(Q114="Yes","Wasted",IF(O114="No","Check - unplanned","Purchased"))))</f>
        <v>0</v>
      </c>
    </row>
    <row r="115" spans="1:22">
      <c r="A115" s="39">
        <f>IF(B115="","",SpendPrefix&amp;TEXT(ROW()-4,"0000"))</f>
        <v>0</v>
      </c>
      <c r="C115" s="17">
        <f>IF(B115="","",TEXT(B115,"ddd"))</f>
        <v>0</v>
      </c>
      <c r="D115" s="18">
        <f>IF(B115="","",WEEKNUM(B115,IF(WeekStart="Sunday",1,2)))</f>
        <v>0</v>
      </c>
      <c r="E115" s="17">
        <f>IF(B115="","",TEXT(B115,"yyyy-mm"))</f>
        <v>0</v>
      </c>
      <c r="L115" s="25">
        <f>IF(OR(K115="",I115="",I115=0),"",K115/I115)</f>
        <v>0</v>
      </c>
      <c r="S115" s="25">
        <f>MonthlyBudget</f>
        <v>0</v>
      </c>
      <c r="T115" s="25">
        <f>IF(B115="","",SUMIFS($K$5:$K$404,$E$5:$E$404,E115))</f>
        <v>0</v>
      </c>
      <c r="U115" s="31">
        <f>IF(B115="","",IF(T115&gt;MonthlyBudget,"Check - over the monthly budget","OK"))</f>
        <v>0</v>
      </c>
      <c r="V115" s="31">
        <f>IF(B115="","",IF(K115="","Add - no amount",IF(Q115="Yes","Wasted",IF(O115="No","Check - unplanned","Purchased"))))</f>
        <v>0</v>
      </c>
    </row>
    <row r="116" spans="1:22">
      <c r="A116" s="39">
        <f>IF(B116="","",SpendPrefix&amp;TEXT(ROW()-4,"0000"))</f>
        <v>0</v>
      </c>
      <c r="C116" s="17">
        <f>IF(B116="","",TEXT(B116,"ddd"))</f>
        <v>0</v>
      </c>
      <c r="D116" s="18">
        <f>IF(B116="","",WEEKNUM(B116,IF(WeekStart="Sunday",1,2)))</f>
        <v>0</v>
      </c>
      <c r="E116" s="17">
        <f>IF(B116="","",TEXT(B116,"yyyy-mm"))</f>
        <v>0</v>
      </c>
      <c r="L116" s="25">
        <f>IF(OR(K116="",I116="",I116=0),"",K116/I116)</f>
        <v>0</v>
      </c>
      <c r="S116" s="25">
        <f>MonthlyBudget</f>
        <v>0</v>
      </c>
      <c r="T116" s="25">
        <f>IF(B116="","",SUMIFS($K$5:$K$404,$E$5:$E$404,E116))</f>
        <v>0</v>
      </c>
      <c r="U116" s="31">
        <f>IF(B116="","",IF(T116&gt;MonthlyBudget,"Check - over the monthly budget","OK"))</f>
        <v>0</v>
      </c>
      <c r="V116" s="31">
        <f>IF(B116="","",IF(K116="","Add - no amount",IF(Q116="Yes","Wasted",IF(O116="No","Check - unplanned","Purchased"))))</f>
        <v>0</v>
      </c>
    </row>
    <row r="117" spans="1:22">
      <c r="A117" s="39">
        <f>IF(B117="","",SpendPrefix&amp;TEXT(ROW()-4,"0000"))</f>
        <v>0</v>
      </c>
      <c r="C117" s="17">
        <f>IF(B117="","",TEXT(B117,"ddd"))</f>
        <v>0</v>
      </c>
      <c r="D117" s="18">
        <f>IF(B117="","",WEEKNUM(B117,IF(WeekStart="Sunday",1,2)))</f>
        <v>0</v>
      </c>
      <c r="E117" s="17">
        <f>IF(B117="","",TEXT(B117,"yyyy-mm"))</f>
        <v>0</v>
      </c>
      <c r="L117" s="25">
        <f>IF(OR(K117="",I117="",I117=0),"",K117/I117)</f>
        <v>0</v>
      </c>
      <c r="S117" s="25">
        <f>MonthlyBudget</f>
        <v>0</v>
      </c>
      <c r="T117" s="25">
        <f>IF(B117="","",SUMIFS($K$5:$K$404,$E$5:$E$404,E117))</f>
        <v>0</v>
      </c>
      <c r="U117" s="31">
        <f>IF(B117="","",IF(T117&gt;MonthlyBudget,"Check - over the monthly budget","OK"))</f>
        <v>0</v>
      </c>
      <c r="V117" s="31">
        <f>IF(B117="","",IF(K117="","Add - no amount",IF(Q117="Yes","Wasted",IF(O117="No","Check - unplanned","Purchased"))))</f>
        <v>0</v>
      </c>
    </row>
    <row r="118" spans="1:22">
      <c r="A118" s="39">
        <f>IF(B118="","",SpendPrefix&amp;TEXT(ROW()-4,"0000"))</f>
        <v>0</v>
      </c>
      <c r="C118" s="17">
        <f>IF(B118="","",TEXT(B118,"ddd"))</f>
        <v>0</v>
      </c>
      <c r="D118" s="18">
        <f>IF(B118="","",WEEKNUM(B118,IF(WeekStart="Sunday",1,2)))</f>
        <v>0</v>
      </c>
      <c r="E118" s="17">
        <f>IF(B118="","",TEXT(B118,"yyyy-mm"))</f>
        <v>0</v>
      </c>
      <c r="L118" s="25">
        <f>IF(OR(K118="",I118="",I118=0),"",K118/I118)</f>
        <v>0</v>
      </c>
      <c r="S118" s="25">
        <f>MonthlyBudget</f>
        <v>0</v>
      </c>
      <c r="T118" s="25">
        <f>IF(B118="","",SUMIFS($K$5:$K$404,$E$5:$E$404,E118))</f>
        <v>0</v>
      </c>
      <c r="U118" s="31">
        <f>IF(B118="","",IF(T118&gt;MonthlyBudget,"Check - over the monthly budget","OK"))</f>
        <v>0</v>
      </c>
      <c r="V118" s="31">
        <f>IF(B118="","",IF(K118="","Add - no amount",IF(Q118="Yes","Wasted",IF(O118="No","Check - unplanned","Purchased"))))</f>
        <v>0</v>
      </c>
    </row>
    <row r="119" spans="1:22">
      <c r="A119" s="39">
        <f>IF(B119="","",SpendPrefix&amp;TEXT(ROW()-4,"0000"))</f>
        <v>0</v>
      </c>
      <c r="C119" s="17">
        <f>IF(B119="","",TEXT(B119,"ddd"))</f>
        <v>0</v>
      </c>
      <c r="D119" s="18">
        <f>IF(B119="","",WEEKNUM(B119,IF(WeekStart="Sunday",1,2)))</f>
        <v>0</v>
      </c>
      <c r="E119" s="17">
        <f>IF(B119="","",TEXT(B119,"yyyy-mm"))</f>
        <v>0</v>
      </c>
      <c r="L119" s="25">
        <f>IF(OR(K119="",I119="",I119=0),"",K119/I119)</f>
        <v>0</v>
      </c>
      <c r="S119" s="25">
        <f>MonthlyBudget</f>
        <v>0</v>
      </c>
      <c r="T119" s="25">
        <f>IF(B119="","",SUMIFS($K$5:$K$404,$E$5:$E$404,E119))</f>
        <v>0</v>
      </c>
      <c r="U119" s="31">
        <f>IF(B119="","",IF(T119&gt;MonthlyBudget,"Check - over the monthly budget","OK"))</f>
        <v>0</v>
      </c>
      <c r="V119" s="31">
        <f>IF(B119="","",IF(K119="","Add - no amount",IF(Q119="Yes","Wasted",IF(O119="No","Check - unplanned","Purchased"))))</f>
        <v>0</v>
      </c>
    </row>
    <row r="120" spans="1:22">
      <c r="A120" s="39">
        <f>IF(B120="","",SpendPrefix&amp;TEXT(ROW()-4,"0000"))</f>
        <v>0</v>
      </c>
      <c r="C120" s="17">
        <f>IF(B120="","",TEXT(B120,"ddd"))</f>
        <v>0</v>
      </c>
      <c r="D120" s="18">
        <f>IF(B120="","",WEEKNUM(B120,IF(WeekStart="Sunday",1,2)))</f>
        <v>0</v>
      </c>
      <c r="E120" s="17">
        <f>IF(B120="","",TEXT(B120,"yyyy-mm"))</f>
        <v>0</v>
      </c>
      <c r="L120" s="25">
        <f>IF(OR(K120="",I120="",I120=0),"",K120/I120)</f>
        <v>0</v>
      </c>
      <c r="S120" s="25">
        <f>MonthlyBudget</f>
        <v>0</v>
      </c>
      <c r="T120" s="25">
        <f>IF(B120="","",SUMIFS($K$5:$K$404,$E$5:$E$404,E120))</f>
        <v>0</v>
      </c>
      <c r="U120" s="31">
        <f>IF(B120="","",IF(T120&gt;MonthlyBudget,"Check - over the monthly budget","OK"))</f>
        <v>0</v>
      </c>
      <c r="V120" s="31">
        <f>IF(B120="","",IF(K120="","Add - no amount",IF(Q120="Yes","Wasted",IF(O120="No","Check - unplanned","Purchased"))))</f>
        <v>0</v>
      </c>
    </row>
    <row r="121" spans="1:22">
      <c r="A121" s="39">
        <f>IF(B121="","",SpendPrefix&amp;TEXT(ROW()-4,"0000"))</f>
        <v>0</v>
      </c>
      <c r="C121" s="17">
        <f>IF(B121="","",TEXT(B121,"ddd"))</f>
        <v>0</v>
      </c>
      <c r="D121" s="18">
        <f>IF(B121="","",WEEKNUM(B121,IF(WeekStart="Sunday",1,2)))</f>
        <v>0</v>
      </c>
      <c r="E121" s="17">
        <f>IF(B121="","",TEXT(B121,"yyyy-mm"))</f>
        <v>0</v>
      </c>
      <c r="L121" s="25">
        <f>IF(OR(K121="",I121="",I121=0),"",K121/I121)</f>
        <v>0</v>
      </c>
      <c r="S121" s="25">
        <f>MonthlyBudget</f>
        <v>0</v>
      </c>
      <c r="T121" s="25">
        <f>IF(B121="","",SUMIFS($K$5:$K$404,$E$5:$E$404,E121))</f>
        <v>0</v>
      </c>
      <c r="U121" s="31">
        <f>IF(B121="","",IF(T121&gt;MonthlyBudget,"Check - over the monthly budget","OK"))</f>
        <v>0</v>
      </c>
      <c r="V121" s="31">
        <f>IF(B121="","",IF(K121="","Add - no amount",IF(Q121="Yes","Wasted",IF(O121="No","Check - unplanned","Purchased"))))</f>
        <v>0</v>
      </c>
    </row>
    <row r="122" spans="1:22">
      <c r="A122" s="39">
        <f>IF(B122="","",SpendPrefix&amp;TEXT(ROW()-4,"0000"))</f>
        <v>0</v>
      </c>
      <c r="C122" s="17">
        <f>IF(B122="","",TEXT(B122,"ddd"))</f>
        <v>0</v>
      </c>
      <c r="D122" s="18">
        <f>IF(B122="","",WEEKNUM(B122,IF(WeekStart="Sunday",1,2)))</f>
        <v>0</v>
      </c>
      <c r="E122" s="17">
        <f>IF(B122="","",TEXT(B122,"yyyy-mm"))</f>
        <v>0</v>
      </c>
      <c r="L122" s="25">
        <f>IF(OR(K122="",I122="",I122=0),"",K122/I122)</f>
        <v>0</v>
      </c>
      <c r="S122" s="25">
        <f>MonthlyBudget</f>
        <v>0</v>
      </c>
      <c r="T122" s="25">
        <f>IF(B122="","",SUMIFS($K$5:$K$404,$E$5:$E$404,E122))</f>
        <v>0</v>
      </c>
      <c r="U122" s="31">
        <f>IF(B122="","",IF(T122&gt;MonthlyBudget,"Check - over the monthly budget","OK"))</f>
        <v>0</v>
      </c>
      <c r="V122" s="31">
        <f>IF(B122="","",IF(K122="","Add - no amount",IF(Q122="Yes","Wasted",IF(O122="No","Check - unplanned","Purchased"))))</f>
        <v>0</v>
      </c>
    </row>
    <row r="123" spans="1:22">
      <c r="A123" s="39">
        <f>IF(B123="","",SpendPrefix&amp;TEXT(ROW()-4,"0000"))</f>
        <v>0</v>
      </c>
      <c r="C123" s="17">
        <f>IF(B123="","",TEXT(B123,"ddd"))</f>
        <v>0</v>
      </c>
      <c r="D123" s="18">
        <f>IF(B123="","",WEEKNUM(B123,IF(WeekStart="Sunday",1,2)))</f>
        <v>0</v>
      </c>
      <c r="E123" s="17">
        <f>IF(B123="","",TEXT(B123,"yyyy-mm"))</f>
        <v>0</v>
      </c>
      <c r="L123" s="25">
        <f>IF(OR(K123="",I123="",I123=0),"",K123/I123)</f>
        <v>0</v>
      </c>
      <c r="S123" s="25">
        <f>MonthlyBudget</f>
        <v>0</v>
      </c>
      <c r="T123" s="25">
        <f>IF(B123="","",SUMIFS($K$5:$K$404,$E$5:$E$404,E123))</f>
        <v>0</v>
      </c>
      <c r="U123" s="31">
        <f>IF(B123="","",IF(T123&gt;MonthlyBudget,"Check - over the monthly budget","OK"))</f>
        <v>0</v>
      </c>
      <c r="V123" s="31">
        <f>IF(B123="","",IF(K123="","Add - no amount",IF(Q123="Yes","Wasted",IF(O123="No","Check - unplanned","Purchased"))))</f>
        <v>0</v>
      </c>
    </row>
    <row r="124" spans="1:22">
      <c r="A124" s="39">
        <f>IF(B124="","",SpendPrefix&amp;TEXT(ROW()-4,"0000"))</f>
        <v>0</v>
      </c>
      <c r="C124" s="17">
        <f>IF(B124="","",TEXT(B124,"ddd"))</f>
        <v>0</v>
      </c>
      <c r="D124" s="18">
        <f>IF(B124="","",WEEKNUM(B124,IF(WeekStart="Sunday",1,2)))</f>
        <v>0</v>
      </c>
      <c r="E124" s="17">
        <f>IF(B124="","",TEXT(B124,"yyyy-mm"))</f>
        <v>0</v>
      </c>
      <c r="L124" s="25">
        <f>IF(OR(K124="",I124="",I124=0),"",K124/I124)</f>
        <v>0</v>
      </c>
      <c r="S124" s="25">
        <f>MonthlyBudget</f>
        <v>0</v>
      </c>
      <c r="T124" s="25">
        <f>IF(B124="","",SUMIFS($K$5:$K$404,$E$5:$E$404,E124))</f>
        <v>0</v>
      </c>
      <c r="U124" s="31">
        <f>IF(B124="","",IF(T124&gt;MonthlyBudget,"Check - over the monthly budget","OK"))</f>
        <v>0</v>
      </c>
      <c r="V124" s="31">
        <f>IF(B124="","",IF(K124="","Add - no amount",IF(Q124="Yes","Wasted",IF(O124="No","Check - unplanned","Purchased"))))</f>
        <v>0</v>
      </c>
    </row>
    <row r="125" spans="1:22">
      <c r="A125" s="39">
        <f>IF(B125="","",SpendPrefix&amp;TEXT(ROW()-4,"0000"))</f>
        <v>0</v>
      </c>
      <c r="C125" s="17">
        <f>IF(B125="","",TEXT(B125,"ddd"))</f>
        <v>0</v>
      </c>
      <c r="D125" s="18">
        <f>IF(B125="","",WEEKNUM(B125,IF(WeekStart="Sunday",1,2)))</f>
        <v>0</v>
      </c>
      <c r="E125" s="17">
        <f>IF(B125="","",TEXT(B125,"yyyy-mm"))</f>
        <v>0</v>
      </c>
      <c r="L125" s="25">
        <f>IF(OR(K125="",I125="",I125=0),"",K125/I125)</f>
        <v>0</v>
      </c>
      <c r="S125" s="25">
        <f>MonthlyBudget</f>
        <v>0</v>
      </c>
      <c r="T125" s="25">
        <f>IF(B125="","",SUMIFS($K$5:$K$404,$E$5:$E$404,E125))</f>
        <v>0</v>
      </c>
      <c r="U125" s="31">
        <f>IF(B125="","",IF(T125&gt;MonthlyBudget,"Check - over the monthly budget","OK"))</f>
        <v>0</v>
      </c>
      <c r="V125" s="31">
        <f>IF(B125="","",IF(K125="","Add - no amount",IF(Q125="Yes","Wasted",IF(O125="No","Check - unplanned","Purchased"))))</f>
        <v>0</v>
      </c>
    </row>
    <row r="126" spans="1:22">
      <c r="A126" s="39">
        <f>IF(B126="","",SpendPrefix&amp;TEXT(ROW()-4,"0000"))</f>
        <v>0</v>
      </c>
      <c r="C126" s="17">
        <f>IF(B126="","",TEXT(B126,"ddd"))</f>
        <v>0</v>
      </c>
      <c r="D126" s="18">
        <f>IF(B126="","",WEEKNUM(B126,IF(WeekStart="Sunday",1,2)))</f>
        <v>0</v>
      </c>
      <c r="E126" s="17">
        <f>IF(B126="","",TEXT(B126,"yyyy-mm"))</f>
        <v>0</v>
      </c>
      <c r="L126" s="25">
        <f>IF(OR(K126="",I126="",I126=0),"",K126/I126)</f>
        <v>0</v>
      </c>
      <c r="S126" s="25">
        <f>MonthlyBudget</f>
        <v>0</v>
      </c>
      <c r="T126" s="25">
        <f>IF(B126="","",SUMIFS($K$5:$K$404,$E$5:$E$404,E126))</f>
        <v>0</v>
      </c>
      <c r="U126" s="31">
        <f>IF(B126="","",IF(T126&gt;MonthlyBudget,"Check - over the monthly budget","OK"))</f>
        <v>0</v>
      </c>
      <c r="V126" s="31">
        <f>IF(B126="","",IF(K126="","Add - no amount",IF(Q126="Yes","Wasted",IF(O126="No","Check - unplanned","Purchased"))))</f>
        <v>0</v>
      </c>
    </row>
    <row r="127" spans="1:22">
      <c r="A127" s="39">
        <f>IF(B127="","",SpendPrefix&amp;TEXT(ROW()-4,"0000"))</f>
        <v>0</v>
      </c>
      <c r="C127" s="17">
        <f>IF(B127="","",TEXT(B127,"ddd"))</f>
        <v>0</v>
      </c>
      <c r="D127" s="18">
        <f>IF(B127="","",WEEKNUM(B127,IF(WeekStart="Sunday",1,2)))</f>
        <v>0</v>
      </c>
      <c r="E127" s="17">
        <f>IF(B127="","",TEXT(B127,"yyyy-mm"))</f>
        <v>0</v>
      </c>
      <c r="L127" s="25">
        <f>IF(OR(K127="",I127="",I127=0),"",K127/I127)</f>
        <v>0</v>
      </c>
      <c r="S127" s="25">
        <f>MonthlyBudget</f>
        <v>0</v>
      </c>
      <c r="T127" s="25">
        <f>IF(B127="","",SUMIFS($K$5:$K$404,$E$5:$E$404,E127))</f>
        <v>0</v>
      </c>
      <c r="U127" s="31">
        <f>IF(B127="","",IF(T127&gt;MonthlyBudget,"Check - over the monthly budget","OK"))</f>
        <v>0</v>
      </c>
      <c r="V127" s="31">
        <f>IF(B127="","",IF(K127="","Add - no amount",IF(Q127="Yes","Wasted",IF(O127="No","Check - unplanned","Purchased"))))</f>
        <v>0</v>
      </c>
    </row>
    <row r="128" spans="1:22">
      <c r="A128" s="39">
        <f>IF(B128="","",SpendPrefix&amp;TEXT(ROW()-4,"0000"))</f>
        <v>0</v>
      </c>
      <c r="C128" s="17">
        <f>IF(B128="","",TEXT(B128,"ddd"))</f>
        <v>0</v>
      </c>
      <c r="D128" s="18">
        <f>IF(B128="","",WEEKNUM(B128,IF(WeekStart="Sunday",1,2)))</f>
        <v>0</v>
      </c>
      <c r="E128" s="17">
        <f>IF(B128="","",TEXT(B128,"yyyy-mm"))</f>
        <v>0</v>
      </c>
      <c r="L128" s="25">
        <f>IF(OR(K128="",I128="",I128=0),"",K128/I128)</f>
        <v>0</v>
      </c>
      <c r="S128" s="25">
        <f>MonthlyBudget</f>
        <v>0</v>
      </c>
      <c r="T128" s="25">
        <f>IF(B128="","",SUMIFS($K$5:$K$404,$E$5:$E$404,E128))</f>
        <v>0</v>
      </c>
      <c r="U128" s="31">
        <f>IF(B128="","",IF(T128&gt;MonthlyBudget,"Check - over the monthly budget","OK"))</f>
        <v>0</v>
      </c>
      <c r="V128" s="31">
        <f>IF(B128="","",IF(K128="","Add - no amount",IF(Q128="Yes","Wasted",IF(O128="No","Check - unplanned","Purchased"))))</f>
        <v>0</v>
      </c>
    </row>
    <row r="129" spans="1:22">
      <c r="A129" s="39">
        <f>IF(B129="","",SpendPrefix&amp;TEXT(ROW()-4,"0000"))</f>
        <v>0</v>
      </c>
      <c r="C129" s="17">
        <f>IF(B129="","",TEXT(B129,"ddd"))</f>
        <v>0</v>
      </c>
      <c r="D129" s="18">
        <f>IF(B129="","",WEEKNUM(B129,IF(WeekStart="Sunday",1,2)))</f>
        <v>0</v>
      </c>
      <c r="E129" s="17">
        <f>IF(B129="","",TEXT(B129,"yyyy-mm"))</f>
        <v>0</v>
      </c>
      <c r="L129" s="25">
        <f>IF(OR(K129="",I129="",I129=0),"",K129/I129)</f>
        <v>0</v>
      </c>
      <c r="S129" s="25">
        <f>MonthlyBudget</f>
        <v>0</v>
      </c>
      <c r="T129" s="25">
        <f>IF(B129="","",SUMIFS($K$5:$K$404,$E$5:$E$404,E129))</f>
        <v>0</v>
      </c>
      <c r="U129" s="31">
        <f>IF(B129="","",IF(T129&gt;MonthlyBudget,"Check - over the monthly budget","OK"))</f>
        <v>0</v>
      </c>
      <c r="V129" s="31">
        <f>IF(B129="","",IF(K129="","Add - no amount",IF(Q129="Yes","Wasted",IF(O129="No","Check - unplanned","Purchased"))))</f>
        <v>0</v>
      </c>
    </row>
    <row r="130" spans="1:22">
      <c r="A130" s="39">
        <f>IF(B130="","",SpendPrefix&amp;TEXT(ROW()-4,"0000"))</f>
        <v>0</v>
      </c>
      <c r="C130" s="17">
        <f>IF(B130="","",TEXT(B130,"ddd"))</f>
        <v>0</v>
      </c>
      <c r="D130" s="18">
        <f>IF(B130="","",WEEKNUM(B130,IF(WeekStart="Sunday",1,2)))</f>
        <v>0</v>
      </c>
      <c r="E130" s="17">
        <f>IF(B130="","",TEXT(B130,"yyyy-mm"))</f>
        <v>0</v>
      </c>
      <c r="L130" s="25">
        <f>IF(OR(K130="",I130="",I130=0),"",K130/I130)</f>
        <v>0</v>
      </c>
      <c r="S130" s="25">
        <f>MonthlyBudget</f>
        <v>0</v>
      </c>
      <c r="T130" s="25">
        <f>IF(B130="","",SUMIFS($K$5:$K$404,$E$5:$E$404,E130))</f>
        <v>0</v>
      </c>
      <c r="U130" s="31">
        <f>IF(B130="","",IF(T130&gt;MonthlyBudget,"Check - over the monthly budget","OK"))</f>
        <v>0</v>
      </c>
      <c r="V130" s="31">
        <f>IF(B130="","",IF(K130="","Add - no amount",IF(Q130="Yes","Wasted",IF(O130="No","Check - unplanned","Purchased"))))</f>
        <v>0</v>
      </c>
    </row>
    <row r="131" spans="1:22">
      <c r="A131" s="39">
        <f>IF(B131="","",SpendPrefix&amp;TEXT(ROW()-4,"0000"))</f>
        <v>0</v>
      </c>
      <c r="C131" s="17">
        <f>IF(B131="","",TEXT(B131,"ddd"))</f>
        <v>0</v>
      </c>
      <c r="D131" s="18">
        <f>IF(B131="","",WEEKNUM(B131,IF(WeekStart="Sunday",1,2)))</f>
        <v>0</v>
      </c>
      <c r="E131" s="17">
        <f>IF(B131="","",TEXT(B131,"yyyy-mm"))</f>
        <v>0</v>
      </c>
      <c r="L131" s="25">
        <f>IF(OR(K131="",I131="",I131=0),"",K131/I131)</f>
        <v>0</v>
      </c>
      <c r="S131" s="25">
        <f>MonthlyBudget</f>
        <v>0</v>
      </c>
      <c r="T131" s="25">
        <f>IF(B131="","",SUMIFS($K$5:$K$404,$E$5:$E$404,E131))</f>
        <v>0</v>
      </c>
      <c r="U131" s="31">
        <f>IF(B131="","",IF(T131&gt;MonthlyBudget,"Check - over the monthly budget","OK"))</f>
        <v>0</v>
      </c>
      <c r="V131" s="31">
        <f>IF(B131="","",IF(K131="","Add - no amount",IF(Q131="Yes","Wasted",IF(O131="No","Check - unplanned","Purchased"))))</f>
        <v>0</v>
      </c>
    </row>
    <row r="132" spans="1:22">
      <c r="A132" s="39">
        <f>IF(B132="","",SpendPrefix&amp;TEXT(ROW()-4,"0000"))</f>
        <v>0</v>
      </c>
      <c r="C132" s="17">
        <f>IF(B132="","",TEXT(B132,"ddd"))</f>
        <v>0</v>
      </c>
      <c r="D132" s="18">
        <f>IF(B132="","",WEEKNUM(B132,IF(WeekStart="Sunday",1,2)))</f>
        <v>0</v>
      </c>
      <c r="E132" s="17">
        <f>IF(B132="","",TEXT(B132,"yyyy-mm"))</f>
        <v>0</v>
      </c>
      <c r="L132" s="25">
        <f>IF(OR(K132="",I132="",I132=0),"",K132/I132)</f>
        <v>0</v>
      </c>
      <c r="S132" s="25">
        <f>MonthlyBudget</f>
        <v>0</v>
      </c>
      <c r="T132" s="25">
        <f>IF(B132="","",SUMIFS($K$5:$K$404,$E$5:$E$404,E132))</f>
        <v>0</v>
      </c>
      <c r="U132" s="31">
        <f>IF(B132="","",IF(T132&gt;MonthlyBudget,"Check - over the monthly budget","OK"))</f>
        <v>0</v>
      </c>
      <c r="V132" s="31">
        <f>IF(B132="","",IF(K132="","Add - no amount",IF(Q132="Yes","Wasted",IF(O132="No","Check - unplanned","Purchased"))))</f>
        <v>0</v>
      </c>
    </row>
    <row r="133" spans="1:22">
      <c r="A133" s="39">
        <f>IF(B133="","",SpendPrefix&amp;TEXT(ROW()-4,"0000"))</f>
        <v>0</v>
      </c>
      <c r="C133" s="17">
        <f>IF(B133="","",TEXT(B133,"ddd"))</f>
        <v>0</v>
      </c>
      <c r="D133" s="18">
        <f>IF(B133="","",WEEKNUM(B133,IF(WeekStart="Sunday",1,2)))</f>
        <v>0</v>
      </c>
      <c r="E133" s="17">
        <f>IF(B133="","",TEXT(B133,"yyyy-mm"))</f>
        <v>0</v>
      </c>
      <c r="L133" s="25">
        <f>IF(OR(K133="",I133="",I133=0),"",K133/I133)</f>
        <v>0</v>
      </c>
      <c r="S133" s="25">
        <f>MonthlyBudget</f>
        <v>0</v>
      </c>
      <c r="T133" s="25">
        <f>IF(B133="","",SUMIFS($K$5:$K$404,$E$5:$E$404,E133))</f>
        <v>0</v>
      </c>
      <c r="U133" s="31">
        <f>IF(B133="","",IF(T133&gt;MonthlyBudget,"Check - over the monthly budget","OK"))</f>
        <v>0</v>
      </c>
      <c r="V133" s="31">
        <f>IF(B133="","",IF(K133="","Add - no amount",IF(Q133="Yes","Wasted",IF(O133="No","Check - unplanned","Purchased"))))</f>
        <v>0</v>
      </c>
    </row>
    <row r="134" spans="1:22">
      <c r="A134" s="39">
        <f>IF(B134="","",SpendPrefix&amp;TEXT(ROW()-4,"0000"))</f>
        <v>0</v>
      </c>
      <c r="C134" s="17">
        <f>IF(B134="","",TEXT(B134,"ddd"))</f>
        <v>0</v>
      </c>
      <c r="D134" s="18">
        <f>IF(B134="","",WEEKNUM(B134,IF(WeekStart="Sunday",1,2)))</f>
        <v>0</v>
      </c>
      <c r="E134" s="17">
        <f>IF(B134="","",TEXT(B134,"yyyy-mm"))</f>
        <v>0</v>
      </c>
      <c r="L134" s="25">
        <f>IF(OR(K134="",I134="",I134=0),"",K134/I134)</f>
        <v>0</v>
      </c>
      <c r="S134" s="25">
        <f>MonthlyBudget</f>
        <v>0</v>
      </c>
      <c r="T134" s="25">
        <f>IF(B134="","",SUMIFS($K$5:$K$404,$E$5:$E$404,E134))</f>
        <v>0</v>
      </c>
      <c r="U134" s="31">
        <f>IF(B134="","",IF(T134&gt;MonthlyBudget,"Check - over the monthly budget","OK"))</f>
        <v>0</v>
      </c>
      <c r="V134" s="31">
        <f>IF(B134="","",IF(K134="","Add - no amount",IF(Q134="Yes","Wasted",IF(O134="No","Check - unplanned","Purchased"))))</f>
        <v>0</v>
      </c>
    </row>
    <row r="135" spans="1:22">
      <c r="A135" s="39">
        <f>IF(B135="","",SpendPrefix&amp;TEXT(ROW()-4,"0000"))</f>
        <v>0</v>
      </c>
      <c r="C135" s="17">
        <f>IF(B135="","",TEXT(B135,"ddd"))</f>
        <v>0</v>
      </c>
      <c r="D135" s="18">
        <f>IF(B135="","",WEEKNUM(B135,IF(WeekStart="Sunday",1,2)))</f>
        <v>0</v>
      </c>
      <c r="E135" s="17">
        <f>IF(B135="","",TEXT(B135,"yyyy-mm"))</f>
        <v>0</v>
      </c>
      <c r="L135" s="25">
        <f>IF(OR(K135="",I135="",I135=0),"",K135/I135)</f>
        <v>0</v>
      </c>
      <c r="S135" s="25">
        <f>MonthlyBudget</f>
        <v>0</v>
      </c>
      <c r="T135" s="25">
        <f>IF(B135="","",SUMIFS($K$5:$K$404,$E$5:$E$404,E135))</f>
        <v>0</v>
      </c>
      <c r="U135" s="31">
        <f>IF(B135="","",IF(T135&gt;MonthlyBudget,"Check - over the monthly budget","OK"))</f>
        <v>0</v>
      </c>
      <c r="V135" s="31">
        <f>IF(B135="","",IF(K135="","Add - no amount",IF(Q135="Yes","Wasted",IF(O135="No","Check - unplanned","Purchased"))))</f>
        <v>0</v>
      </c>
    </row>
    <row r="136" spans="1:22">
      <c r="A136" s="39">
        <f>IF(B136="","",SpendPrefix&amp;TEXT(ROW()-4,"0000"))</f>
        <v>0</v>
      </c>
      <c r="C136" s="17">
        <f>IF(B136="","",TEXT(B136,"ddd"))</f>
        <v>0</v>
      </c>
      <c r="D136" s="18">
        <f>IF(B136="","",WEEKNUM(B136,IF(WeekStart="Sunday",1,2)))</f>
        <v>0</v>
      </c>
      <c r="E136" s="17">
        <f>IF(B136="","",TEXT(B136,"yyyy-mm"))</f>
        <v>0</v>
      </c>
      <c r="L136" s="25">
        <f>IF(OR(K136="",I136="",I136=0),"",K136/I136)</f>
        <v>0</v>
      </c>
      <c r="S136" s="25">
        <f>MonthlyBudget</f>
        <v>0</v>
      </c>
      <c r="T136" s="25">
        <f>IF(B136="","",SUMIFS($K$5:$K$404,$E$5:$E$404,E136))</f>
        <v>0</v>
      </c>
      <c r="U136" s="31">
        <f>IF(B136="","",IF(T136&gt;MonthlyBudget,"Check - over the monthly budget","OK"))</f>
        <v>0</v>
      </c>
      <c r="V136" s="31">
        <f>IF(B136="","",IF(K136="","Add - no amount",IF(Q136="Yes","Wasted",IF(O136="No","Check - unplanned","Purchased"))))</f>
        <v>0</v>
      </c>
    </row>
    <row r="137" spans="1:22">
      <c r="A137" s="39">
        <f>IF(B137="","",SpendPrefix&amp;TEXT(ROW()-4,"0000"))</f>
        <v>0</v>
      </c>
      <c r="C137" s="17">
        <f>IF(B137="","",TEXT(B137,"ddd"))</f>
        <v>0</v>
      </c>
      <c r="D137" s="18">
        <f>IF(B137="","",WEEKNUM(B137,IF(WeekStart="Sunday",1,2)))</f>
        <v>0</v>
      </c>
      <c r="E137" s="17">
        <f>IF(B137="","",TEXT(B137,"yyyy-mm"))</f>
        <v>0</v>
      </c>
      <c r="L137" s="25">
        <f>IF(OR(K137="",I137="",I137=0),"",K137/I137)</f>
        <v>0</v>
      </c>
      <c r="S137" s="25">
        <f>MonthlyBudget</f>
        <v>0</v>
      </c>
      <c r="T137" s="25">
        <f>IF(B137="","",SUMIFS($K$5:$K$404,$E$5:$E$404,E137))</f>
        <v>0</v>
      </c>
      <c r="U137" s="31">
        <f>IF(B137="","",IF(T137&gt;MonthlyBudget,"Check - over the monthly budget","OK"))</f>
        <v>0</v>
      </c>
      <c r="V137" s="31">
        <f>IF(B137="","",IF(K137="","Add - no amount",IF(Q137="Yes","Wasted",IF(O137="No","Check - unplanned","Purchased"))))</f>
        <v>0</v>
      </c>
    </row>
    <row r="138" spans="1:22">
      <c r="A138" s="39">
        <f>IF(B138="","",SpendPrefix&amp;TEXT(ROW()-4,"0000"))</f>
        <v>0</v>
      </c>
      <c r="C138" s="17">
        <f>IF(B138="","",TEXT(B138,"ddd"))</f>
        <v>0</v>
      </c>
      <c r="D138" s="18">
        <f>IF(B138="","",WEEKNUM(B138,IF(WeekStart="Sunday",1,2)))</f>
        <v>0</v>
      </c>
      <c r="E138" s="17">
        <f>IF(B138="","",TEXT(B138,"yyyy-mm"))</f>
        <v>0</v>
      </c>
      <c r="L138" s="25">
        <f>IF(OR(K138="",I138="",I138=0),"",K138/I138)</f>
        <v>0</v>
      </c>
      <c r="S138" s="25">
        <f>MonthlyBudget</f>
        <v>0</v>
      </c>
      <c r="T138" s="25">
        <f>IF(B138="","",SUMIFS($K$5:$K$404,$E$5:$E$404,E138))</f>
        <v>0</v>
      </c>
      <c r="U138" s="31">
        <f>IF(B138="","",IF(T138&gt;MonthlyBudget,"Check - over the monthly budget","OK"))</f>
        <v>0</v>
      </c>
      <c r="V138" s="31">
        <f>IF(B138="","",IF(K138="","Add - no amount",IF(Q138="Yes","Wasted",IF(O138="No","Check - unplanned","Purchased"))))</f>
        <v>0</v>
      </c>
    </row>
    <row r="139" spans="1:22">
      <c r="A139" s="39">
        <f>IF(B139="","",SpendPrefix&amp;TEXT(ROW()-4,"0000"))</f>
        <v>0</v>
      </c>
      <c r="C139" s="17">
        <f>IF(B139="","",TEXT(B139,"ddd"))</f>
        <v>0</v>
      </c>
      <c r="D139" s="18">
        <f>IF(B139="","",WEEKNUM(B139,IF(WeekStart="Sunday",1,2)))</f>
        <v>0</v>
      </c>
      <c r="E139" s="17">
        <f>IF(B139="","",TEXT(B139,"yyyy-mm"))</f>
        <v>0</v>
      </c>
      <c r="L139" s="25">
        <f>IF(OR(K139="",I139="",I139=0),"",K139/I139)</f>
        <v>0</v>
      </c>
      <c r="S139" s="25">
        <f>MonthlyBudget</f>
        <v>0</v>
      </c>
      <c r="T139" s="25">
        <f>IF(B139="","",SUMIFS($K$5:$K$404,$E$5:$E$404,E139))</f>
        <v>0</v>
      </c>
      <c r="U139" s="31">
        <f>IF(B139="","",IF(T139&gt;MonthlyBudget,"Check - over the monthly budget","OK"))</f>
        <v>0</v>
      </c>
      <c r="V139" s="31">
        <f>IF(B139="","",IF(K139="","Add - no amount",IF(Q139="Yes","Wasted",IF(O139="No","Check - unplanned","Purchased"))))</f>
        <v>0</v>
      </c>
    </row>
    <row r="140" spans="1:22">
      <c r="A140" s="39">
        <f>IF(B140="","",SpendPrefix&amp;TEXT(ROW()-4,"0000"))</f>
        <v>0</v>
      </c>
      <c r="C140" s="17">
        <f>IF(B140="","",TEXT(B140,"ddd"))</f>
        <v>0</v>
      </c>
      <c r="D140" s="18">
        <f>IF(B140="","",WEEKNUM(B140,IF(WeekStart="Sunday",1,2)))</f>
        <v>0</v>
      </c>
      <c r="E140" s="17">
        <f>IF(B140="","",TEXT(B140,"yyyy-mm"))</f>
        <v>0</v>
      </c>
      <c r="L140" s="25">
        <f>IF(OR(K140="",I140="",I140=0),"",K140/I140)</f>
        <v>0</v>
      </c>
      <c r="S140" s="25">
        <f>MonthlyBudget</f>
        <v>0</v>
      </c>
      <c r="T140" s="25">
        <f>IF(B140="","",SUMIFS($K$5:$K$404,$E$5:$E$404,E140))</f>
        <v>0</v>
      </c>
      <c r="U140" s="31">
        <f>IF(B140="","",IF(T140&gt;MonthlyBudget,"Check - over the monthly budget","OK"))</f>
        <v>0</v>
      </c>
      <c r="V140" s="31">
        <f>IF(B140="","",IF(K140="","Add - no amount",IF(Q140="Yes","Wasted",IF(O140="No","Check - unplanned","Purchased"))))</f>
        <v>0</v>
      </c>
    </row>
    <row r="141" spans="1:22">
      <c r="A141" s="39">
        <f>IF(B141="","",SpendPrefix&amp;TEXT(ROW()-4,"0000"))</f>
        <v>0</v>
      </c>
      <c r="C141" s="17">
        <f>IF(B141="","",TEXT(B141,"ddd"))</f>
        <v>0</v>
      </c>
      <c r="D141" s="18">
        <f>IF(B141="","",WEEKNUM(B141,IF(WeekStart="Sunday",1,2)))</f>
        <v>0</v>
      </c>
      <c r="E141" s="17">
        <f>IF(B141="","",TEXT(B141,"yyyy-mm"))</f>
        <v>0</v>
      </c>
      <c r="L141" s="25">
        <f>IF(OR(K141="",I141="",I141=0),"",K141/I141)</f>
        <v>0</v>
      </c>
      <c r="S141" s="25">
        <f>MonthlyBudget</f>
        <v>0</v>
      </c>
      <c r="T141" s="25">
        <f>IF(B141="","",SUMIFS($K$5:$K$404,$E$5:$E$404,E141))</f>
        <v>0</v>
      </c>
      <c r="U141" s="31">
        <f>IF(B141="","",IF(T141&gt;MonthlyBudget,"Check - over the monthly budget","OK"))</f>
        <v>0</v>
      </c>
      <c r="V141" s="31">
        <f>IF(B141="","",IF(K141="","Add - no amount",IF(Q141="Yes","Wasted",IF(O141="No","Check - unplanned","Purchased"))))</f>
        <v>0</v>
      </c>
    </row>
    <row r="142" spans="1:22">
      <c r="A142" s="39">
        <f>IF(B142="","",SpendPrefix&amp;TEXT(ROW()-4,"0000"))</f>
        <v>0</v>
      </c>
      <c r="C142" s="17">
        <f>IF(B142="","",TEXT(B142,"ddd"))</f>
        <v>0</v>
      </c>
      <c r="D142" s="18">
        <f>IF(B142="","",WEEKNUM(B142,IF(WeekStart="Sunday",1,2)))</f>
        <v>0</v>
      </c>
      <c r="E142" s="17">
        <f>IF(B142="","",TEXT(B142,"yyyy-mm"))</f>
        <v>0</v>
      </c>
      <c r="L142" s="25">
        <f>IF(OR(K142="",I142="",I142=0),"",K142/I142)</f>
        <v>0</v>
      </c>
      <c r="S142" s="25">
        <f>MonthlyBudget</f>
        <v>0</v>
      </c>
      <c r="T142" s="25">
        <f>IF(B142="","",SUMIFS($K$5:$K$404,$E$5:$E$404,E142))</f>
        <v>0</v>
      </c>
      <c r="U142" s="31">
        <f>IF(B142="","",IF(T142&gt;MonthlyBudget,"Check - over the monthly budget","OK"))</f>
        <v>0</v>
      </c>
      <c r="V142" s="31">
        <f>IF(B142="","",IF(K142="","Add - no amount",IF(Q142="Yes","Wasted",IF(O142="No","Check - unplanned","Purchased"))))</f>
        <v>0</v>
      </c>
    </row>
    <row r="143" spans="1:22">
      <c r="A143" s="39">
        <f>IF(B143="","",SpendPrefix&amp;TEXT(ROW()-4,"0000"))</f>
        <v>0</v>
      </c>
      <c r="C143" s="17">
        <f>IF(B143="","",TEXT(B143,"ddd"))</f>
        <v>0</v>
      </c>
      <c r="D143" s="18">
        <f>IF(B143="","",WEEKNUM(B143,IF(WeekStart="Sunday",1,2)))</f>
        <v>0</v>
      </c>
      <c r="E143" s="17">
        <f>IF(B143="","",TEXT(B143,"yyyy-mm"))</f>
        <v>0</v>
      </c>
      <c r="L143" s="25">
        <f>IF(OR(K143="",I143="",I143=0),"",K143/I143)</f>
        <v>0</v>
      </c>
      <c r="S143" s="25">
        <f>MonthlyBudget</f>
        <v>0</v>
      </c>
      <c r="T143" s="25">
        <f>IF(B143="","",SUMIFS($K$5:$K$404,$E$5:$E$404,E143))</f>
        <v>0</v>
      </c>
      <c r="U143" s="31">
        <f>IF(B143="","",IF(T143&gt;MonthlyBudget,"Check - over the monthly budget","OK"))</f>
        <v>0</v>
      </c>
      <c r="V143" s="31">
        <f>IF(B143="","",IF(K143="","Add - no amount",IF(Q143="Yes","Wasted",IF(O143="No","Check - unplanned","Purchased"))))</f>
        <v>0</v>
      </c>
    </row>
    <row r="144" spans="1:22">
      <c r="A144" s="39">
        <f>IF(B144="","",SpendPrefix&amp;TEXT(ROW()-4,"0000"))</f>
        <v>0</v>
      </c>
      <c r="C144" s="17">
        <f>IF(B144="","",TEXT(B144,"ddd"))</f>
        <v>0</v>
      </c>
      <c r="D144" s="18">
        <f>IF(B144="","",WEEKNUM(B144,IF(WeekStart="Sunday",1,2)))</f>
        <v>0</v>
      </c>
      <c r="E144" s="17">
        <f>IF(B144="","",TEXT(B144,"yyyy-mm"))</f>
        <v>0</v>
      </c>
      <c r="L144" s="25">
        <f>IF(OR(K144="",I144="",I144=0),"",K144/I144)</f>
        <v>0</v>
      </c>
      <c r="S144" s="25">
        <f>MonthlyBudget</f>
        <v>0</v>
      </c>
      <c r="T144" s="25">
        <f>IF(B144="","",SUMIFS($K$5:$K$404,$E$5:$E$404,E144))</f>
        <v>0</v>
      </c>
      <c r="U144" s="31">
        <f>IF(B144="","",IF(T144&gt;MonthlyBudget,"Check - over the monthly budget","OK"))</f>
        <v>0</v>
      </c>
      <c r="V144" s="31">
        <f>IF(B144="","",IF(K144="","Add - no amount",IF(Q144="Yes","Wasted",IF(O144="No","Check - unplanned","Purchased"))))</f>
        <v>0</v>
      </c>
    </row>
    <row r="145" spans="1:22">
      <c r="A145" s="39">
        <f>IF(B145="","",SpendPrefix&amp;TEXT(ROW()-4,"0000"))</f>
        <v>0</v>
      </c>
      <c r="C145" s="17">
        <f>IF(B145="","",TEXT(B145,"ddd"))</f>
        <v>0</v>
      </c>
      <c r="D145" s="18">
        <f>IF(B145="","",WEEKNUM(B145,IF(WeekStart="Sunday",1,2)))</f>
        <v>0</v>
      </c>
      <c r="E145" s="17">
        <f>IF(B145="","",TEXT(B145,"yyyy-mm"))</f>
        <v>0</v>
      </c>
      <c r="L145" s="25">
        <f>IF(OR(K145="",I145="",I145=0),"",K145/I145)</f>
        <v>0</v>
      </c>
      <c r="S145" s="25">
        <f>MonthlyBudget</f>
        <v>0</v>
      </c>
      <c r="T145" s="25">
        <f>IF(B145="","",SUMIFS($K$5:$K$404,$E$5:$E$404,E145))</f>
        <v>0</v>
      </c>
      <c r="U145" s="31">
        <f>IF(B145="","",IF(T145&gt;MonthlyBudget,"Check - over the monthly budget","OK"))</f>
        <v>0</v>
      </c>
      <c r="V145" s="31">
        <f>IF(B145="","",IF(K145="","Add - no amount",IF(Q145="Yes","Wasted",IF(O145="No","Check - unplanned","Purchased"))))</f>
        <v>0</v>
      </c>
    </row>
    <row r="146" spans="1:22">
      <c r="A146" s="39">
        <f>IF(B146="","",SpendPrefix&amp;TEXT(ROW()-4,"0000"))</f>
        <v>0</v>
      </c>
      <c r="C146" s="17">
        <f>IF(B146="","",TEXT(B146,"ddd"))</f>
        <v>0</v>
      </c>
      <c r="D146" s="18">
        <f>IF(B146="","",WEEKNUM(B146,IF(WeekStart="Sunday",1,2)))</f>
        <v>0</v>
      </c>
      <c r="E146" s="17">
        <f>IF(B146="","",TEXT(B146,"yyyy-mm"))</f>
        <v>0</v>
      </c>
      <c r="L146" s="25">
        <f>IF(OR(K146="",I146="",I146=0),"",K146/I146)</f>
        <v>0</v>
      </c>
      <c r="S146" s="25">
        <f>MonthlyBudget</f>
        <v>0</v>
      </c>
      <c r="T146" s="25">
        <f>IF(B146="","",SUMIFS($K$5:$K$404,$E$5:$E$404,E146))</f>
        <v>0</v>
      </c>
      <c r="U146" s="31">
        <f>IF(B146="","",IF(T146&gt;MonthlyBudget,"Check - over the monthly budget","OK"))</f>
        <v>0</v>
      </c>
      <c r="V146" s="31">
        <f>IF(B146="","",IF(K146="","Add - no amount",IF(Q146="Yes","Wasted",IF(O146="No","Check - unplanned","Purchased"))))</f>
        <v>0</v>
      </c>
    </row>
    <row r="147" spans="1:22">
      <c r="A147" s="39">
        <f>IF(B147="","",SpendPrefix&amp;TEXT(ROW()-4,"0000"))</f>
        <v>0</v>
      </c>
      <c r="C147" s="17">
        <f>IF(B147="","",TEXT(B147,"ddd"))</f>
        <v>0</v>
      </c>
      <c r="D147" s="18">
        <f>IF(B147="","",WEEKNUM(B147,IF(WeekStart="Sunday",1,2)))</f>
        <v>0</v>
      </c>
      <c r="E147" s="17">
        <f>IF(B147="","",TEXT(B147,"yyyy-mm"))</f>
        <v>0</v>
      </c>
      <c r="L147" s="25">
        <f>IF(OR(K147="",I147="",I147=0),"",K147/I147)</f>
        <v>0</v>
      </c>
      <c r="S147" s="25">
        <f>MonthlyBudget</f>
        <v>0</v>
      </c>
      <c r="T147" s="25">
        <f>IF(B147="","",SUMIFS($K$5:$K$404,$E$5:$E$404,E147))</f>
        <v>0</v>
      </c>
      <c r="U147" s="31">
        <f>IF(B147="","",IF(T147&gt;MonthlyBudget,"Check - over the monthly budget","OK"))</f>
        <v>0</v>
      </c>
      <c r="V147" s="31">
        <f>IF(B147="","",IF(K147="","Add - no amount",IF(Q147="Yes","Wasted",IF(O147="No","Check - unplanned","Purchased"))))</f>
        <v>0</v>
      </c>
    </row>
    <row r="148" spans="1:22">
      <c r="A148" s="39">
        <f>IF(B148="","",SpendPrefix&amp;TEXT(ROW()-4,"0000"))</f>
        <v>0</v>
      </c>
      <c r="C148" s="17">
        <f>IF(B148="","",TEXT(B148,"ddd"))</f>
        <v>0</v>
      </c>
      <c r="D148" s="18">
        <f>IF(B148="","",WEEKNUM(B148,IF(WeekStart="Sunday",1,2)))</f>
        <v>0</v>
      </c>
      <c r="E148" s="17">
        <f>IF(B148="","",TEXT(B148,"yyyy-mm"))</f>
        <v>0</v>
      </c>
      <c r="L148" s="25">
        <f>IF(OR(K148="",I148="",I148=0),"",K148/I148)</f>
        <v>0</v>
      </c>
      <c r="S148" s="25">
        <f>MonthlyBudget</f>
        <v>0</v>
      </c>
      <c r="T148" s="25">
        <f>IF(B148="","",SUMIFS($K$5:$K$404,$E$5:$E$404,E148))</f>
        <v>0</v>
      </c>
      <c r="U148" s="31">
        <f>IF(B148="","",IF(T148&gt;MonthlyBudget,"Check - over the monthly budget","OK"))</f>
        <v>0</v>
      </c>
      <c r="V148" s="31">
        <f>IF(B148="","",IF(K148="","Add - no amount",IF(Q148="Yes","Wasted",IF(O148="No","Check - unplanned","Purchased"))))</f>
        <v>0</v>
      </c>
    </row>
    <row r="149" spans="1:22">
      <c r="A149" s="39">
        <f>IF(B149="","",SpendPrefix&amp;TEXT(ROW()-4,"0000"))</f>
        <v>0</v>
      </c>
      <c r="C149" s="17">
        <f>IF(B149="","",TEXT(B149,"ddd"))</f>
        <v>0</v>
      </c>
      <c r="D149" s="18">
        <f>IF(B149="","",WEEKNUM(B149,IF(WeekStart="Sunday",1,2)))</f>
        <v>0</v>
      </c>
      <c r="E149" s="17">
        <f>IF(B149="","",TEXT(B149,"yyyy-mm"))</f>
        <v>0</v>
      </c>
      <c r="L149" s="25">
        <f>IF(OR(K149="",I149="",I149=0),"",K149/I149)</f>
        <v>0</v>
      </c>
      <c r="S149" s="25">
        <f>MonthlyBudget</f>
        <v>0</v>
      </c>
      <c r="T149" s="25">
        <f>IF(B149="","",SUMIFS($K$5:$K$404,$E$5:$E$404,E149))</f>
        <v>0</v>
      </c>
      <c r="U149" s="31">
        <f>IF(B149="","",IF(T149&gt;MonthlyBudget,"Check - over the monthly budget","OK"))</f>
        <v>0</v>
      </c>
      <c r="V149" s="31">
        <f>IF(B149="","",IF(K149="","Add - no amount",IF(Q149="Yes","Wasted",IF(O149="No","Check - unplanned","Purchased"))))</f>
        <v>0</v>
      </c>
    </row>
    <row r="150" spans="1:22">
      <c r="A150" s="39">
        <f>IF(B150="","",SpendPrefix&amp;TEXT(ROW()-4,"0000"))</f>
        <v>0</v>
      </c>
      <c r="C150" s="17">
        <f>IF(B150="","",TEXT(B150,"ddd"))</f>
        <v>0</v>
      </c>
      <c r="D150" s="18">
        <f>IF(B150="","",WEEKNUM(B150,IF(WeekStart="Sunday",1,2)))</f>
        <v>0</v>
      </c>
      <c r="E150" s="17">
        <f>IF(B150="","",TEXT(B150,"yyyy-mm"))</f>
        <v>0</v>
      </c>
      <c r="L150" s="25">
        <f>IF(OR(K150="",I150="",I150=0),"",K150/I150)</f>
        <v>0</v>
      </c>
      <c r="S150" s="25">
        <f>MonthlyBudget</f>
        <v>0</v>
      </c>
      <c r="T150" s="25">
        <f>IF(B150="","",SUMIFS($K$5:$K$404,$E$5:$E$404,E150))</f>
        <v>0</v>
      </c>
      <c r="U150" s="31">
        <f>IF(B150="","",IF(T150&gt;MonthlyBudget,"Check - over the monthly budget","OK"))</f>
        <v>0</v>
      </c>
      <c r="V150" s="31">
        <f>IF(B150="","",IF(K150="","Add - no amount",IF(Q150="Yes","Wasted",IF(O150="No","Check - unplanned","Purchased"))))</f>
        <v>0</v>
      </c>
    </row>
    <row r="151" spans="1:22">
      <c r="A151" s="39">
        <f>IF(B151="","",SpendPrefix&amp;TEXT(ROW()-4,"0000"))</f>
        <v>0</v>
      </c>
      <c r="C151" s="17">
        <f>IF(B151="","",TEXT(B151,"ddd"))</f>
        <v>0</v>
      </c>
      <c r="D151" s="18">
        <f>IF(B151="","",WEEKNUM(B151,IF(WeekStart="Sunday",1,2)))</f>
        <v>0</v>
      </c>
      <c r="E151" s="17">
        <f>IF(B151="","",TEXT(B151,"yyyy-mm"))</f>
        <v>0</v>
      </c>
      <c r="L151" s="25">
        <f>IF(OR(K151="",I151="",I151=0),"",K151/I151)</f>
        <v>0</v>
      </c>
      <c r="S151" s="25">
        <f>MonthlyBudget</f>
        <v>0</v>
      </c>
      <c r="T151" s="25">
        <f>IF(B151="","",SUMIFS($K$5:$K$404,$E$5:$E$404,E151))</f>
        <v>0</v>
      </c>
      <c r="U151" s="31">
        <f>IF(B151="","",IF(T151&gt;MonthlyBudget,"Check - over the monthly budget","OK"))</f>
        <v>0</v>
      </c>
      <c r="V151" s="31">
        <f>IF(B151="","",IF(K151="","Add - no amount",IF(Q151="Yes","Wasted",IF(O151="No","Check - unplanned","Purchased"))))</f>
        <v>0</v>
      </c>
    </row>
    <row r="152" spans="1:22">
      <c r="A152" s="39">
        <f>IF(B152="","",SpendPrefix&amp;TEXT(ROW()-4,"0000"))</f>
        <v>0</v>
      </c>
      <c r="C152" s="17">
        <f>IF(B152="","",TEXT(B152,"ddd"))</f>
        <v>0</v>
      </c>
      <c r="D152" s="18">
        <f>IF(B152="","",WEEKNUM(B152,IF(WeekStart="Sunday",1,2)))</f>
        <v>0</v>
      </c>
      <c r="E152" s="17">
        <f>IF(B152="","",TEXT(B152,"yyyy-mm"))</f>
        <v>0</v>
      </c>
      <c r="L152" s="25">
        <f>IF(OR(K152="",I152="",I152=0),"",K152/I152)</f>
        <v>0</v>
      </c>
      <c r="S152" s="25">
        <f>MonthlyBudget</f>
        <v>0</v>
      </c>
      <c r="T152" s="25">
        <f>IF(B152="","",SUMIFS($K$5:$K$404,$E$5:$E$404,E152))</f>
        <v>0</v>
      </c>
      <c r="U152" s="31">
        <f>IF(B152="","",IF(T152&gt;MonthlyBudget,"Check - over the monthly budget","OK"))</f>
        <v>0</v>
      </c>
      <c r="V152" s="31">
        <f>IF(B152="","",IF(K152="","Add - no amount",IF(Q152="Yes","Wasted",IF(O152="No","Check - unplanned","Purchased"))))</f>
        <v>0</v>
      </c>
    </row>
    <row r="153" spans="1:22">
      <c r="A153" s="39">
        <f>IF(B153="","",SpendPrefix&amp;TEXT(ROW()-4,"0000"))</f>
        <v>0</v>
      </c>
      <c r="C153" s="17">
        <f>IF(B153="","",TEXT(B153,"ddd"))</f>
        <v>0</v>
      </c>
      <c r="D153" s="18">
        <f>IF(B153="","",WEEKNUM(B153,IF(WeekStart="Sunday",1,2)))</f>
        <v>0</v>
      </c>
      <c r="E153" s="17">
        <f>IF(B153="","",TEXT(B153,"yyyy-mm"))</f>
        <v>0</v>
      </c>
      <c r="L153" s="25">
        <f>IF(OR(K153="",I153="",I153=0),"",K153/I153)</f>
        <v>0</v>
      </c>
      <c r="S153" s="25">
        <f>MonthlyBudget</f>
        <v>0</v>
      </c>
      <c r="T153" s="25">
        <f>IF(B153="","",SUMIFS($K$5:$K$404,$E$5:$E$404,E153))</f>
        <v>0</v>
      </c>
      <c r="U153" s="31">
        <f>IF(B153="","",IF(T153&gt;MonthlyBudget,"Check - over the monthly budget","OK"))</f>
        <v>0</v>
      </c>
      <c r="V153" s="31">
        <f>IF(B153="","",IF(K153="","Add - no amount",IF(Q153="Yes","Wasted",IF(O153="No","Check - unplanned","Purchased"))))</f>
        <v>0</v>
      </c>
    </row>
    <row r="154" spans="1:22">
      <c r="A154" s="39">
        <f>IF(B154="","",SpendPrefix&amp;TEXT(ROW()-4,"0000"))</f>
        <v>0</v>
      </c>
      <c r="C154" s="17">
        <f>IF(B154="","",TEXT(B154,"ddd"))</f>
        <v>0</v>
      </c>
      <c r="D154" s="18">
        <f>IF(B154="","",WEEKNUM(B154,IF(WeekStart="Sunday",1,2)))</f>
        <v>0</v>
      </c>
      <c r="E154" s="17">
        <f>IF(B154="","",TEXT(B154,"yyyy-mm"))</f>
        <v>0</v>
      </c>
      <c r="L154" s="25">
        <f>IF(OR(K154="",I154="",I154=0),"",K154/I154)</f>
        <v>0</v>
      </c>
      <c r="S154" s="25">
        <f>MonthlyBudget</f>
        <v>0</v>
      </c>
      <c r="T154" s="25">
        <f>IF(B154="","",SUMIFS($K$5:$K$404,$E$5:$E$404,E154))</f>
        <v>0</v>
      </c>
      <c r="U154" s="31">
        <f>IF(B154="","",IF(T154&gt;MonthlyBudget,"Check - over the monthly budget","OK"))</f>
        <v>0</v>
      </c>
      <c r="V154" s="31">
        <f>IF(B154="","",IF(K154="","Add - no amount",IF(Q154="Yes","Wasted",IF(O154="No","Check - unplanned","Purchased"))))</f>
        <v>0</v>
      </c>
    </row>
    <row r="155" spans="1:22">
      <c r="A155" s="39">
        <f>IF(B155="","",SpendPrefix&amp;TEXT(ROW()-4,"0000"))</f>
        <v>0</v>
      </c>
      <c r="C155" s="17">
        <f>IF(B155="","",TEXT(B155,"ddd"))</f>
        <v>0</v>
      </c>
      <c r="D155" s="18">
        <f>IF(B155="","",WEEKNUM(B155,IF(WeekStart="Sunday",1,2)))</f>
        <v>0</v>
      </c>
      <c r="E155" s="17">
        <f>IF(B155="","",TEXT(B155,"yyyy-mm"))</f>
        <v>0</v>
      </c>
      <c r="L155" s="25">
        <f>IF(OR(K155="",I155="",I155=0),"",K155/I155)</f>
        <v>0</v>
      </c>
      <c r="S155" s="25">
        <f>MonthlyBudget</f>
        <v>0</v>
      </c>
      <c r="T155" s="25">
        <f>IF(B155="","",SUMIFS($K$5:$K$404,$E$5:$E$404,E155))</f>
        <v>0</v>
      </c>
      <c r="U155" s="31">
        <f>IF(B155="","",IF(T155&gt;MonthlyBudget,"Check - over the monthly budget","OK"))</f>
        <v>0</v>
      </c>
      <c r="V155" s="31">
        <f>IF(B155="","",IF(K155="","Add - no amount",IF(Q155="Yes","Wasted",IF(O155="No","Check - unplanned","Purchased"))))</f>
        <v>0</v>
      </c>
    </row>
    <row r="156" spans="1:22">
      <c r="A156" s="39">
        <f>IF(B156="","",SpendPrefix&amp;TEXT(ROW()-4,"0000"))</f>
        <v>0</v>
      </c>
      <c r="C156" s="17">
        <f>IF(B156="","",TEXT(B156,"ddd"))</f>
        <v>0</v>
      </c>
      <c r="D156" s="18">
        <f>IF(B156="","",WEEKNUM(B156,IF(WeekStart="Sunday",1,2)))</f>
        <v>0</v>
      </c>
      <c r="E156" s="17">
        <f>IF(B156="","",TEXT(B156,"yyyy-mm"))</f>
        <v>0</v>
      </c>
      <c r="L156" s="25">
        <f>IF(OR(K156="",I156="",I156=0),"",K156/I156)</f>
        <v>0</v>
      </c>
      <c r="S156" s="25">
        <f>MonthlyBudget</f>
        <v>0</v>
      </c>
      <c r="T156" s="25">
        <f>IF(B156="","",SUMIFS($K$5:$K$404,$E$5:$E$404,E156))</f>
        <v>0</v>
      </c>
      <c r="U156" s="31">
        <f>IF(B156="","",IF(T156&gt;MonthlyBudget,"Check - over the monthly budget","OK"))</f>
        <v>0</v>
      </c>
      <c r="V156" s="31">
        <f>IF(B156="","",IF(K156="","Add - no amount",IF(Q156="Yes","Wasted",IF(O156="No","Check - unplanned","Purchased"))))</f>
        <v>0</v>
      </c>
    </row>
    <row r="157" spans="1:22">
      <c r="A157" s="39">
        <f>IF(B157="","",SpendPrefix&amp;TEXT(ROW()-4,"0000"))</f>
        <v>0</v>
      </c>
      <c r="C157" s="17">
        <f>IF(B157="","",TEXT(B157,"ddd"))</f>
        <v>0</v>
      </c>
      <c r="D157" s="18">
        <f>IF(B157="","",WEEKNUM(B157,IF(WeekStart="Sunday",1,2)))</f>
        <v>0</v>
      </c>
      <c r="E157" s="17">
        <f>IF(B157="","",TEXT(B157,"yyyy-mm"))</f>
        <v>0</v>
      </c>
      <c r="L157" s="25">
        <f>IF(OR(K157="",I157="",I157=0),"",K157/I157)</f>
        <v>0</v>
      </c>
      <c r="S157" s="25">
        <f>MonthlyBudget</f>
        <v>0</v>
      </c>
      <c r="T157" s="25">
        <f>IF(B157="","",SUMIFS($K$5:$K$404,$E$5:$E$404,E157))</f>
        <v>0</v>
      </c>
      <c r="U157" s="31">
        <f>IF(B157="","",IF(T157&gt;MonthlyBudget,"Check - over the monthly budget","OK"))</f>
        <v>0</v>
      </c>
      <c r="V157" s="31">
        <f>IF(B157="","",IF(K157="","Add - no amount",IF(Q157="Yes","Wasted",IF(O157="No","Check - unplanned","Purchased"))))</f>
        <v>0</v>
      </c>
    </row>
    <row r="158" spans="1:22">
      <c r="A158" s="39">
        <f>IF(B158="","",SpendPrefix&amp;TEXT(ROW()-4,"0000"))</f>
        <v>0</v>
      </c>
      <c r="C158" s="17">
        <f>IF(B158="","",TEXT(B158,"ddd"))</f>
        <v>0</v>
      </c>
      <c r="D158" s="18">
        <f>IF(B158="","",WEEKNUM(B158,IF(WeekStart="Sunday",1,2)))</f>
        <v>0</v>
      </c>
      <c r="E158" s="17">
        <f>IF(B158="","",TEXT(B158,"yyyy-mm"))</f>
        <v>0</v>
      </c>
      <c r="L158" s="25">
        <f>IF(OR(K158="",I158="",I158=0),"",K158/I158)</f>
        <v>0</v>
      </c>
      <c r="S158" s="25">
        <f>MonthlyBudget</f>
        <v>0</v>
      </c>
      <c r="T158" s="25">
        <f>IF(B158="","",SUMIFS($K$5:$K$404,$E$5:$E$404,E158))</f>
        <v>0</v>
      </c>
      <c r="U158" s="31">
        <f>IF(B158="","",IF(T158&gt;MonthlyBudget,"Check - over the monthly budget","OK"))</f>
        <v>0</v>
      </c>
      <c r="V158" s="31">
        <f>IF(B158="","",IF(K158="","Add - no amount",IF(Q158="Yes","Wasted",IF(O158="No","Check - unplanned","Purchased"))))</f>
        <v>0</v>
      </c>
    </row>
    <row r="159" spans="1:22">
      <c r="A159" s="39">
        <f>IF(B159="","",SpendPrefix&amp;TEXT(ROW()-4,"0000"))</f>
        <v>0</v>
      </c>
      <c r="C159" s="17">
        <f>IF(B159="","",TEXT(B159,"ddd"))</f>
        <v>0</v>
      </c>
      <c r="D159" s="18">
        <f>IF(B159="","",WEEKNUM(B159,IF(WeekStart="Sunday",1,2)))</f>
        <v>0</v>
      </c>
      <c r="E159" s="17">
        <f>IF(B159="","",TEXT(B159,"yyyy-mm"))</f>
        <v>0</v>
      </c>
      <c r="L159" s="25">
        <f>IF(OR(K159="",I159="",I159=0),"",K159/I159)</f>
        <v>0</v>
      </c>
      <c r="S159" s="25">
        <f>MonthlyBudget</f>
        <v>0</v>
      </c>
      <c r="T159" s="25">
        <f>IF(B159="","",SUMIFS($K$5:$K$404,$E$5:$E$404,E159))</f>
        <v>0</v>
      </c>
      <c r="U159" s="31">
        <f>IF(B159="","",IF(T159&gt;MonthlyBudget,"Check - over the monthly budget","OK"))</f>
        <v>0</v>
      </c>
      <c r="V159" s="31">
        <f>IF(B159="","",IF(K159="","Add - no amount",IF(Q159="Yes","Wasted",IF(O159="No","Check - unplanned","Purchased"))))</f>
        <v>0</v>
      </c>
    </row>
    <row r="160" spans="1:22">
      <c r="A160" s="39">
        <f>IF(B160="","",SpendPrefix&amp;TEXT(ROW()-4,"0000"))</f>
        <v>0</v>
      </c>
      <c r="C160" s="17">
        <f>IF(B160="","",TEXT(B160,"ddd"))</f>
        <v>0</v>
      </c>
      <c r="D160" s="18">
        <f>IF(B160="","",WEEKNUM(B160,IF(WeekStart="Sunday",1,2)))</f>
        <v>0</v>
      </c>
      <c r="E160" s="17">
        <f>IF(B160="","",TEXT(B160,"yyyy-mm"))</f>
        <v>0</v>
      </c>
      <c r="L160" s="25">
        <f>IF(OR(K160="",I160="",I160=0),"",K160/I160)</f>
        <v>0</v>
      </c>
      <c r="S160" s="25">
        <f>MonthlyBudget</f>
        <v>0</v>
      </c>
      <c r="T160" s="25">
        <f>IF(B160="","",SUMIFS($K$5:$K$404,$E$5:$E$404,E160))</f>
        <v>0</v>
      </c>
      <c r="U160" s="31">
        <f>IF(B160="","",IF(T160&gt;MonthlyBudget,"Check - over the monthly budget","OK"))</f>
        <v>0</v>
      </c>
      <c r="V160" s="31">
        <f>IF(B160="","",IF(K160="","Add - no amount",IF(Q160="Yes","Wasted",IF(O160="No","Check - unplanned","Purchased"))))</f>
        <v>0</v>
      </c>
    </row>
    <row r="161" spans="1:22">
      <c r="A161" s="39">
        <f>IF(B161="","",SpendPrefix&amp;TEXT(ROW()-4,"0000"))</f>
        <v>0</v>
      </c>
      <c r="C161" s="17">
        <f>IF(B161="","",TEXT(B161,"ddd"))</f>
        <v>0</v>
      </c>
      <c r="D161" s="18">
        <f>IF(B161="","",WEEKNUM(B161,IF(WeekStart="Sunday",1,2)))</f>
        <v>0</v>
      </c>
      <c r="E161" s="17">
        <f>IF(B161="","",TEXT(B161,"yyyy-mm"))</f>
        <v>0</v>
      </c>
      <c r="L161" s="25">
        <f>IF(OR(K161="",I161="",I161=0),"",K161/I161)</f>
        <v>0</v>
      </c>
      <c r="S161" s="25">
        <f>MonthlyBudget</f>
        <v>0</v>
      </c>
      <c r="T161" s="25">
        <f>IF(B161="","",SUMIFS($K$5:$K$404,$E$5:$E$404,E161))</f>
        <v>0</v>
      </c>
      <c r="U161" s="31">
        <f>IF(B161="","",IF(T161&gt;MonthlyBudget,"Check - over the monthly budget","OK"))</f>
        <v>0</v>
      </c>
      <c r="V161" s="31">
        <f>IF(B161="","",IF(K161="","Add - no amount",IF(Q161="Yes","Wasted",IF(O161="No","Check - unplanned","Purchased"))))</f>
        <v>0</v>
      </c>
    </row>
    <row r="162" spans="1:22">
      <c r="A162" s="39">
        <f>IF(B162="","",SpendPrefix&amp;TEXT(ROW()-4,"0000"))</f>
        <v>0</v>
      </c>
      <c r="C162" s="17">
        <f>IF(B162="","",TEXT(B162,"ddd"))</f>
        <v>0</v>
      </c>
      <c r="D162" s="18">
        <f>IF(B162="","",WEEKNUM(B162,IF(WeekStart="Sunday",1,2)))</f>
        <v>0</v>
      </c>
      <c r="E162" s="17">
        <f>IF(B162="","",TEXT(B162,"yyyy-mm"))</f>
        <v>0</v>
      </c>
      <c r="L162" s="25">
        <f>IF(OR(K162="",I162="",I162=0),"",K162/I162)</f>
        <v>0</v>
      </c>
      <c r="S162" s="25">
        <f>MonthlyBudget</f>
        <v>0</v>
      </c>
      <c r="T162" s="25">
        <f>IF(B162="","",SUMIFS($K$5:$K$404,$E$5:$E$404,E162))</f>
        <v>0</v>
      </c>
      <c r="U162" s="31">
        <f>IF(B162="","",IF(T162&gt;MonthlyBudget,"Check - over the monthly budget","OK"))</f>
        <v>0</v>
      </c>
      <c r="V162" s="31">
        <f>IF(B162="","",IF(K162="","Add - no amount",IF(Q162="Yes","Wasted",IF(O162="No","Check - unplanned","Purchased"))))</f>
        <v>0</v>
      </c>
    </row>
    <row r="163" spans="1:22">
      <c r="A163" s="39">
        <f>IF(B163="","",SpendPrefix&amp;TEXT(ROW()-4,"0000"))</f>
        <v>0</v>
      </c>
      <c r="C163" s="17">
        <f>IF(B163="","",TEXT(B163,"ddd"))</f>
        <v>0</v>
      </c>
      <c r="D163" s="18">
        <f>IF(B163="","",WEEKNUM(B163,IF(WeekStart="Sunday",1,2)))</f>
        <v>0</v>
      </c>
      <c r="E163" s="17">
        <f>IF(B163="","",TEXT(B163,"yyyy-mm"))</f>
        <v>0</v>
      </c>
      <c r="L163" s="25">
        <f>IF(OR(K163="",I163="",I163=0),"",K163/I163)</f>
        <v>0</v>
      </c>
      <c r="S163" s="25">
        <f>MonthlyBudget</f>
        <v>0</v>
      </c>
      <c r="T163" s="25">
        <f>IF(B163="","",SUMIFS($K$5:$K$404,$E$5:$E$404,E163))</f>
        <v>0</v>
      </c>
      <c r="U163" s="31">
        <f>IF(B163="","",IF(T163&gt;MonthlyBudget,"Check - over the monthly budget","OK"))</f>
        <v>0</v>
      </c>
      <c r="V163" s="31">
        <f>IF(B163="","",IF(K163="","Add - no amount",IF(Q163="Yes","Wasted",IF(O163="No","Check - unplanned","Purchased"))))</f>
        <v>0</v>
      </c>
    </row>
    <row r="164" spans="1:22">
      <c r="A164" s="39">
        <f>IF(B164="","",SpendPrefix&amp;TEXT(ROW()-4,"0000"))</f>
        <v>0</v>
      </c>
      <c r="C164" s="17">
        <f>IF(B164="","",TEXT(B164,"ddd"))</f>
        <v>0</v>
      </c>
      <c r="D164" s="18">
        <f>IF(B164="","",WEEKNUM(B164,IF(WeekStart="Sunday",1,2)))</f>
        <v>0</v>
      </c>
      <c r="E164" s="17">
        <f>IF(B164="","",TEXT(B164,"yyyy-mm"))</f>
        <v>0</v>
      </c>
      <c r="L164" s="25">
        <f>IF(OR(K164="",I164="",I164=0),"",K164/I164)</f>
        <v>0</v>
      </c>
      <c r="S164" s="25">
        <f>MonthlyBudget</f>
        <v>0</v>
      </c>
      <c r="T164" s="25">
        <f>IF(B164="","",SUMIFS($K$5:$K$404,$E$5:$E$404,E164))</f>
        <v>0</v>
      </c>
      <c r="U164" s="31">
        <f>IF(B164="","",IF(T164&gt;MonthlyBudget,"Check - over the monthly budget","OK"))</f>
        <v>0</v>
      </c>
      <c r="V164" s="31">
        <f>IF(B164="","",IF(K164="","Add - no amount",IF(Q164="Yes","Wasted",IF(O164="No","Check - unplanned","Purchased"))))</f>
        <v>0</v>
      </c>
    </row>
    <row r="165" spans="1:22">
      <c r="A165" s="39">
        <f>IF(B165="","",SpendPrefix&amp;TEXT(ROW()-4,"0000"))</f>
        <v>0</v>
      </c>
      <c r="C165" s="17">
        <f>IF(B165="","",TEXT(B165,"ddd"))</f>
        <v>0</v>
      </c>
      <c r="D165" s="18">
        <f>IF(B165="","",WEEKNUM(B165,IF(WeekStart="Sunday",1,2)))</f>
        <v>0</v>
      </c>
      <c r="E165" s="17">
        <f>IF(B165="","",TEXT(B165,"yyyy-mm"))</f>
        <v>0</v>
      </c>
      <c r="L165" s="25">
        <f>IF(OR(K165="",I165="",I165=0),"",K165/I165)</f>
        <v>0</v>
      </c>
      <c r="S165" s="25">
        <f>MonthlyBudget</f>
        <v>0</v>
      </c>
      <c r="T165" s="25">
        <f>IF(B165="","",SUMIFS($K$5:$K$404,$E$5:$E$404,E165))</f>
        <v>0</v>
      </c>
      <c r="U165" s="31">
        <f>IF(B165="","",IF(T165&gt;MonthlyBudget,"Check - over the monthly budget","OK"))</f>
        <v>0</v>
      </c>
      <c r="V165" s="31">
        <f>IF(B165="","",IF(K165="","Add - no amount",IF(Q165="Yes","Wasted",IF(O165="No","Check - unplanned","Purchased"))))</f>
        <v>0</v>
      </c>
    </row>
    <row r="166" spans="1:22">
      <c r="A166" s="39">
        <f>IF(B166="","",SpendPrefix&amp;TEXT(ROW()-4,"0000"))</f>
        <v>0</v>
      </c>
      <c r="C166" s="17">
        <f>IF(B166="","",TEXT(B166,"ddd"))</f>
        <v>0</v>
      </c>
      <c r="D166" s="18">
        <f>IF(B166="","",WEEKNUM(B166,IF(WeekStart="Sunday",1,2)))</f>
        <v>0</v>
      </c>
      <c r="E166" s="17">
        <f>IF(B166="","",TEXT(B166,"yyyy-mm"))</f>
        <v>0</v>
      </c>
      <c r="L166" s="25">
        <f>IF(OR(K166="",I166="",I166=0),"",K166/I166)</f>
        <v>0</v>
      </c>
      <c r="S166" s="25">
        <f>MonthlyBudget</f>
        <v>0</v>
      </c>
      <c r="T166" s="25">
        <f>IF(B166="","",SUMIFS($K$5:$K$404,$E$5:$E$404,E166))</f>
        <v>0</v>
      </c>
      <c r="U166" s="31">
        <f>IF(B166="","",IF(T166&gt;MonthlyBudget,"Check - over the monthly budget","OK"))</f>
        <v>0</v>
      </c>
      <c r="V166" s="31">
        <f>IF(B166="","",IF(K166="","Add - no amount",IF(Q166="Yes","Wasted",IF(O166="No","Check - unplanned","Purchased"))))</f>
        <v>0</v>
      </c>
    </row>
    <row r="167" spans="1:22">
      <c r="A167" s="39">
        <f>IF(B167="","",SpendPrefix&amp;TEXT(ROW()-4,"0000"))</f>
        <v>0</v>
      </c>
      <c r="C167" s="17">
        <f>IF(B167="","",TEXT(B167,"ddd"))</f>
        <v>0</v>
      </c>
      <c r="D167" s="18">
        <f>IF(B167="","",WEEKNUM(B167,IF(WeekStart="Sunday",1,2)))</f>
        <v>0</v>
      </c>
      <c r="E167" s="17">
        <f>IF(B167="","",TEXT(B167,"yyyy-mm"))</f>
        <v>0</v>
      </c>
      <c r="L167" s="25">
        <f>IF(OR(K167="",I167="",I167=0),"",K167/I167)</f>
        <v>0</v>
      </c>
      <c r="S167" s="25">
        <f>MonthlyBudget</f>
        <v>0</v>
      </c>
      <c r="T167" s="25">
        <f>IF(B167="","",SUMIFS($K$5:$K$404,$E$5:$E$404,E167))</f>
        <v>0</v>
      </c>
      <c r="U167" s="31">
        <f>IF(B167="","",IF(T167&gt;MonthlyBudget,"Check - over the monthly budget","OK"))</f>
        <v>0</v>
      </c>
      <c r="V167" s="31">
        <f>IF(B167="","",IF(K167="","Add - no amount",IF(Q167="Yes","Wasted",IF(O167="No","Check - unplanned","Purchased"))))</f>
        <v>0</v>
      </c>
    </row>
    <row r="168" spans="1:22">
      <c r="A168" s="39">
        <f>IF(B168="","",SpendPrefix&amp;TEXT(ROW()-4,"0000"))</f>
        <v>0</v>
      </c>
      <c r="C168" s="17">
        <f>IF(B168="","",TEXT(B168,"ddd"))</f>
        <v>0</v>
      </c>
      <c r="D168" s="18">
        <f>IF(B168="","",WEEKNUM(B168,IF(WeekStart="Sunday",1,2)))</f>
        <v>0</v>
      </c>
      <c r="E168" s="17">
        <f>IF(B168="","",TEXT(B168,"yyyy-mm"))</f>
        <v>0</v>
      </c>
      <c r="L168" s="25">
        <f>IF(OR(K168="",I168="",I168=0),"",K168/I168)</f>
        <v>0</v>
      </c>
      <c r="S168" s="25">
        <f>MonthlyBudget</f>
        <v>0</v>
      </c>
      <c r="T168" s="25">
        <f>IF(B168="","",SUMIFS($K$5:$K$404,$E$5:$E$404,E168))</f>
        <v>0</v>
      </c>
      <c r="U168" s="31">
        <f>IF(B168="","",IF(T168&gt;MonthlyBudget,"Check - over the monthly budget","OK"))</f>
        <v>0</v>
      </c>
      <c r="V168" s="31">
        <f>IF(B168="","",IF(K168="","Add - no amount",IF(Q168="Yes","Wasted",IF(O168="No","Check - unplanned","Purchased"))))</f>
        <v>0</v>
      </c>
    </row>
    <row r="169" spans="1:22">
      <c r="A169" s="39">
        <f>IF(B169="","",SpendPrefix&amp;TEXT(ROW()-4,"0000"))</f>
        <v>0</v>
      </c>
      <c r="C169" s="17">
        <f>IF(B169="","",TEXT(B169,"ddd"))</f>
        <v>0</v>
      </c>
      <c r="D169" s="18">
        <f>IF(B169="","",WEEKNUM(B169,IF(WeekStart="Sunday",1,2)))</f>
        <v>0</v>
      </c>
      <c r="E169" s="17">
        <f>IF(B169="","",TEXT(B169,"yyyy-mm"))</f>
        <v>0</v>
      </c>
      <c r="L169" s="25">
        <f>IF(OR(K169="",I169="",I169=0),"",K169/I169)</f>
        <v>0</v>
      </c>
      <c r="S169" s="25">
        <f>MonthlyBudget</f>
        <v>0</v>
      </c>
      <c r="T169" s="25">
        <f>IF(B169="","",SUMIFS($K$5:$K$404,$E$5:$E$404,E169))</f>
        <v>0</v>
      </c>
      <c r="U169" s="31">
        <f>IF(B169="","",IF(T169&gt;MonthlyBudget,"Check - over the monthly budget","OK"))</f>
        <v>0</v>
      </c>
      <c r="V169" s="31">
        <f>IF(B169="","",IF(K169="","Add - no amount",IF(Q169="Yes","Wasted",IF(O169="No","Check - unplanned","Purchased"))))</f>
        <v>0</v>
      </c>
    </row>
    <row r="170" spans="1:22">
      <c r="A170" s="39">
        <f>IF(B170="","",SpendPrefix&amp;TEXT(ROW()-4,"0000"))</f>
        <v>0</v>
      </c>
      <c r="C170" s="17">
        <f>IF(B170="","",TEXT(B170,"ddd"))</f>
        <v>0</v>
      </c>
      <c r="D170" s="18">
        <f>IF(B170="","",WEEKNUM(B170,IF(WeekStart="Sunday",1,2)))</f>
        <v>0</v>
      </c>
      <c r="E170" s="17">
        <f>IF(B170="","",TEXT(B170,"yyyy-mm"))</f>
        <v>0</v>
      </c>
      <c r="L170" s="25">
        <f>IF(OR(K170="",I170="",I170=0),"",K170/I170)</f>
        <v>0</v>
      </c>
      <c r="S170" s="25">
        <f>MonthlyBudget</f>
        <v>0</v>
      </c>
      <c r="T170" s="25">
        <f>IF(B170="","",SUMIFS($K$5:$K$404,$E$5:$E$404,E170))</f>
        <v>0</v>
      </c>
      <c r="U170" s="31">
        <f>IF(B170="","",IF(T170&gt;MonthlyBudget,"Check - over the monthly budget","OK"))</f>
        <v>0</v>
      </c>
      <c r="V170" s="31">
        <f>IF(B170="","",IF(K170="","Add - no amount",IF(Q170="Yes","Wasted",IF(O170="No","Check - unplanned","Purchased"))))</f>
        <v>0</v>
      </c>
    </row>
    <row r="171" spans="1:22">
      <c r="A171" s="39">
        <f>IF(B171="","",SpendPrefix&amp;TEXT(ROW()-4,"0000"))</f>
        <v>0</v>
      </c>
      <c r="C171" s="17">
        <f>IF(B171="","",TEXT(B171,"ddd"))</f>
        <v>0</v>
      </c>
      <c r="D171" s="18">
        <f>IF(B171="","",WEEKNUM(B171,IF(WeekStart="Sunday",1,2)))</f>
        <v>0</v>
      </c>
      <c r="E171" s="17">
        <f>IF(B171="","",TEXT(B171,"yyyy-mm"))</f>
        <v>0</v>
      </c>
      <c r="L171" s="25">
        <f>IF(OR(K171="",I171="",I171=0),"",K171/I171)</f>
        <v>0</v>
      </c>
      <c r="S171" s="25">
        <f>MonthlyBudget</f>
        <v>0</v>
      </c>
      <c r="T171" s="25">
        <f>IF(B171="","",SUMIFS($K$5:$K$404,$E$5:$E$404,E171))</f>
        <v>0</v>
      </c>
      <c r="U171" s="31">
        <f>IF(B171="","",IF(T171&gt;MonthlyBudget,"Check - over the monthly budget","OK"))</f>
        <v>0</v>
      </c>
      <c r="V171" s="31">
        <f>IF(B171="","",IF(K171="","Add - no amount",IF(Q171="Yes","Wasted",IF(O171="No","Check - unplanned","Purchased"))))</f>
        <v>0</v>
      </c>
    </row>
    <row r="172" spans="1:22">
      <c r="A172" s="39">
        <f>IF(B172="","",SpendPrefix&amp;TEXT(ROW()-4,"0000"))</f>
        <v>0</v>
      </c>
      <c r="C172" s="17">
        <f>IF(B172="","",TEXT(B172,"ddd"))</f>
        <v>0</v>
      </c>
      <c r="D172" s="18">
        <f>IF(B172="","",WEEKNUM(B172,IF(WeekStart="Sunday",1,2)))</f>
        <v>0</v>
      </c>
      <c r="E172" s="17">
        <f>IF(B172="","",TEXT(B172,"yyyy-mm"))</f>
        <v>0</v>
      </c>
      <c r="L172" s="25">
        <f>IF(OR(K172="",I172="",I172=0),"",K172/I172)</f>
        <v>0</v>
      </c>
      <c r="S172" s="25">
        <f>MonthlyBudget</f>
        <v>0</v>
      </c>
      <c r="T172" s="25">
        <f>IF(B172="","",SUMIFS($K$5:$K$404,$E$5:$E$404,E172))</f>
        <v>0</v>
      </c>
      <c r="U172" s="31">
        <f>IF(B172="","",IF(T172&gt;MonthlyBudget,"Check - over the monthly budget","OK"))</f>
        <v>0</v>
      </c>
      <c r="V172" s="31">
        <f>IF(B172="","",IF(K172="","Add - no amount",IF(Q172="Yes","Wasted",IF(O172="No","Check - unplanned","Purchased"))))</f>
        <v>0</v>
      </c>
    </row>
    <row r="173" spans="1:22">
      <c r="A173" s="39">
        <f>IF(B173="","",SpendPrefix&amp;TEXT(ROW()-4,"0000"))</f>
        <v>0</v>
      </c>
      <c r="C173" s="17">
        <f>IF(B173="","",TEXT(B173,"ddd"))</f>
        <v>0</v>
      </c>
      <c r="D173" s="18">
        <f>IF(B173="","",WEEKNUM(B173,IF(WeekStart="Sunday",1,2)))</f>
        <v>0</v>
      </c>
      <c r="E173" s="17">
        <f>IF(B173="","",TEXT(B173,"yyyy-mm"))</f>
        <v>0</v>
      </c>
      <c r="L173" s="25">
        <f>IF(OR(K173="",I173="",I173=0),"",K173/I173)</f>
        <v>0</v>
      </c>
      <c r="S173" s="25">
        <f>MonthlyBudget</f>
        <v>0</v>
      </c>
      <c r="T173" s="25">
        <f>IF(B173="","",SUMIFS($K$5:$K$404,$E$5:$E$404,E173))</f>
        <v>0</v>
      </c>
      <c r="U173" s="31">
        <f>IF(B173="","",IF(T173&gt;MonthlyBudget,"Check - over the monthly budget","OK"))</f>
        <v>0</v>
      </c>
      <c r="V173" s="31">
        <f>IF(B173="","",IF(K173="","Add - no amount",IF(Q173="Yes","Wasted",IF(O173="No","Check - unplanned","Purchased"))))</f>
        <v>0</v>
      </c>
    </row>
    <row r="174" spans="1:22">
      <c r="A174" s="39">
        <f>IF(B174="","",SpendPrefix&amp;TEXT(ROW()-4,"0000"))</f>
        <v>0</v>
      </c>
      <c r="C174" s="17">
        <f>IF(B174="","",TEXT(B174,"ddd"))</f>
        <v>0</v>
      </c>
      <c r="D174" s="18">
        <f>IF(B174="","",WEEKNUM(B174,IF(WeekStart="Sunday",1,2)))</f>
        <v>0</v>
      </c>
      <c r="E174" s="17">
        <f>IF(B174="","",TEXT(B174,"yyyy-mm"))</f>
        <v>0</v>
      </c>
      <c r="L174" s="25">
        <f>IF(OR(K174="",I174="",I174=0),"",K174/I174)</f>
        <v>0</v>
      </c>
      <c r="S174" s="25">
        <f>MonthlyBudget</f>
        <v>0</v>
      </c>
      <c r="T174" s="25">
        <f>IF(B174="","",SUMIFS($K$5:$K$404,$E$5:$E$404,E174))</f>
        <v>0</v>
      </c>
      <c r="U174" s="31">
        <f>IF(B174="","",IF(T174&gt;MonthlyBudget,"Check - over the monthly budget","OK"))</f>
        <v>0</v>
      </c>
      <c r="V174" s="31">
        <f>IF(B174="","",IF(K174="","Add - no amount",IF(Q174="Yes","Wasted",IF(O174="No","Check - unplanned","Purchased"))))</f>
        <v>0</v>
      </c>
    </row>
    <row r="175" spans="1:22">
      <c r="A175" s="39">
        <f>IF(B175="","",SpendPrefix&amp;TEXT(ROW()-4,"0000"))</f>
        <v>0</v>
      </c>
      <c r="C175" s="17">
        <f>IF(B175="","",TEXT(B175,"ddd"))</f>
        <v>0</v>
      </c>
      <c r="D175" s="18">
        <f>IF(B175="","",WEEKNUM(B175,IF(WeekStart="Sunday",1,2)))</f>
        <v>0</v>
      </c>
      <c r="E175" s="17">
        <f>IF(B175="","",TEXT(B175,"yyyy-mm"))</f>
        <v>0</v>
      </c>
      <c r="L175" s="25">
        <f>IF(OR(K175="",I175="",I175=0),"",K175/I175)</f>
        <v>0</v>
      </c>
      <c r="S175" s="25">
        <f>MonthlyBudget</f>
        <v>0</v>
      </c>
      <c r="T175" s="25">
        <f>IF(B175="","",SUMIFS($K$5:$K$404,$E$5:$E$404,E175))</f>
        <v>0</v>
      </c>
      <c r="U175" s="31">
        <f>IF(B175="","",IF(T175&gt;MonthlyBudget,"Check - over the monthly budget","OK"))</f>
        <v>0</v>
      </c>
      <c r="V175" s="31">
        <f>IF(B175="","",IF(K175="","Add - no amount",IF(Q175="Yes","Wasted",IF(O175="No","Check - unplanned","Purchased"))))</f>
        <v>0</v>
      </c>
    </row>
    <row r="176" spans="1:22">
      <c r="A176" s="39">
        <f>IF(B176="","",SpendPrefix&amp;TEXT(ROW()-4,"0000"))</f>
        <v>0</v>
      </c>
      <c r="C176" s="17">
        <f>IF(B176="","",TEXT(B176,"ddd"))</f>
        <v>0</v>
      </c>
      <c r="D176" s="18">
        <f>IF(B176="","",WEEKNUM(B176,IF(WeekStart="Sunday",1,2)))</f>
        <v>0</v>
      </c>
      <c r="E176" s="17">
        <f>IF(B176="","",TEXT(B176,"yyyy-mm"))</f>
        <v>0</v>
      </c>
      <c r="L176" s="25">
        <f>IF(OR(K176="",I176="",I176=0),"",K176/I176)</f>
        <v>0</v>
      </c>
      <c r="S176" s="25">
        <f>MonthlyBudget</f>
        <v>0</v>
      </c>
      <c r="T176" s="25">
        <f>IF(B176="","",SUMIFS($K$5:$K$404,$E$5:$E$404,E176))</f>
        <v>0</v>
      </c>
      <c r="U176" s="31">
        <f>IF(B176="","",IF(T176&gt;MonthlyBudget,"Check - over the monthly budget","OK"))</f>
        <v>0</v>
      </c>
      <c r="V176" s="31">
        <f>IF(B176="","",IF(K176="","Add - no amount",IF(Q176="Yes","Wasted",IF(O176="No","Check - unplanned","Purchased"))))</f>
        <v>0</v>
      </c>
    </row>
    <row r="177" spans="1:22">
      <c r="A177" s="39">
        <f>IF(B177="","",SpendPrefix&amp;TEXT(ROW()-4,"0000"))</f>
        <v>0</v>
      </c>
      <c r="C177" s="17">
        <f>IF(B177="","",TEXT(B177,"ddd"))</f>
        <v>0</v>
      </c>
      <c r="D177" s="18">
        <f>IF(B177="","",WEEKNUM(B177,IF(WeekStart="Sunday",1,2)))</f>
        <v>0</v>
      </c>
      <c r="E177" s="17">
        <f>IF(B177="","",TEXT(B177,"yyyy-mm"))</f>
        <v>0</v>
      </c>
      <c r="L177" s="25">
        <f>IF(OR(K177="",I177="",I177=0),"",K177/I177)</f>
        <v>0</v>
      </c>
      <c r="S177" s="25">
        <f>MonthlyBudget</f>
        <v>0</v>
      </c>
      <c r="T177" s="25">
        <f>IF(B177="","",SUMIFS($K$5:$K$404,$E$5:$E$404,E177))</f>
        <v>0</v>
      </c>
      <c r="U177" s="31">
        <f>IF(B177="","",IF(T177&gt;MonthlyBudget,"Check - over the monthly budget","OK"))</f>
        <v>0</v>
      </c>
      <c r="V177" s="31">
        <f>IF(B177="","",IF(K177="","Add - no amount",IF(Q177="Yes","Wasted",IF(O177="No","Check - unplanned","Purchased"))))</f>
        <v>0</v>
      </c>
    </row>
    <row r="178" spans="1:22">
      <c r="A178" s="39">
        <f>IF(B178="","",SpendPrefix&amp;TEXT(ROW()-4,"0000"))</f>
        <v>0</v>
      </c>
      <c r="C178" s="17">
        <f>IF(B178="","",TEXT(B178,"ddd"))</f>
        <v>0</v>
      </c>
      <c r="D178" s="18">
        <f>IF(B178="","",WEEKNUM(B178,IF(WeekStart="Sunday",1,2)))</f>
        <v>0</v>
      </c>
      <c r="E178" s="17">
        <f>IF(B178="","",TEXT(B178,"yyyy-mm"))</f>
        <v>0</v>
      </c>
      <c r="L178" s="25">
        <f>IF(OR(K178="",I178="",I178=0),"",K178/I178)</f>
        <v>0</v>
      </c>
      <c r="S178" s="25">
        <f>MonthlyBudget</f>
        <v>0</v>
      </c>
      <c r="T178" s="25">
        <f>IF(B178="","",SUMIFS($K$5:$K$404,$E$5:$E$404,E178))</f>
        <v>0</v>
      </c>
      <c r="U178" s="31">
        <f>IF(B178="","",IF(T178&gt;MonthlyBudget,"Check - over the monthly budget","OK"))</f>
        <v>0</v>
      </c>
      <c r="V178" s="31">
        <f>IF(B178="","",IF(K178="","Add - no amount",IF(Q178="Yes","Wasted",IF(O178="No","Check - unplanned","Purchased"))))</f>
        <v>0</v>
      </c>
    </row>
    <row r="179" spans="1:22">
      <c r="A179" s="39">
        <f>IF(B179="","",SpendPrefix&amp;TEXT(ROW()-4,"0000"))</f>
        <v>0</v>
      </c>
      <c r="C179" s="17">
        <f>IF(B179="","",TEXT(B179,"ddd"))</f>
        <v>0</v>
      </c>
      <c r="D179" s="18">
        <f>IF(B179="","",WEEKNUM(B179,IF(WeekStart="Sunday",1,2)))</f>
        <v>0</v>
      </c>
      <c r="E179" s="17">
        <f>IF(B179="","",TEXT(B179,"yyyy-mm"))</f>
        <v>0</v>
      </c>
      <c r="L179" s="25">
        <f>IF(OR(K179="",I179="",I179=0),"",K179/I179)</f>
        <v>0</v>
      </c>
      <c r="S179" s="25">
        <f>MonthlyBudget</f>
        <v>0</v>
      </c>
      <c r="T179" s="25">
        <f>IF(B179="","",SUMIFS($K$5:$K$404,$E$5:$E$404,E179))</f>
        <v>0</v>
      </c>
      <c r="U179" s="31">
        <f>IF(B179="","",IF(T179&gt;MonthlyBudget,"Check - over the monthly budget","OK"))</f>
        <v>0</v>
      </c>
      <c r="V179" s="31">
        <f>IF(B179="","",IF(K179="","Add - no amount",IF(Q179="Yes","Wasted",IF(O179="No","Check - unplanned","Purchased"))))</f>
        <v>0</v>
      </c>
    </row>
    <row r="180" spans="1:22">
      <c r="A180" s="39">
        <f>IF(B180="","",SpendPrefix&amp;TEXT(ROW()-4,"0000"))</f>
        <v>0</v>
      </c>
      <c r="C180" s="17">
        <f>IF(B180="","",TEXT(B180,"ddd"))</f>
        <v>0</v>
      </c>
      <c r="D180" s="18">
        <f>IF(B180="","",WEEKNUM(B180,IF(WeekStart="Sunday",1,2)))</f>
        <v>0</v>
      </c>
      <c r="E180" s="17">
        <f>IF(B180="","",TEXT(B180,"yyyy-mm"))</f>
        <v>0</v>
      </c>
      <c r="L180" s="25">
        <f>IF(OR(K180="",I180="",I180=0),"",K180/I180)</f>
        <v>0</v>
      </c>
      <c r="S180" s="25">
        <f>MonthlyBudget</f>
        <v>0</v>
      </c>
      <c r="T180" s="25">
        <f>IF(B180="","",SUMIFS($K$5:$K$404,$E$5:$E$404,E180))</f>
        <v>0</v>
      </c>
      <c r="U180" s="31">
        <f>IF(B180="","",IF(T180&gt;MonthlyBudget,"Check - over the monthly budget","OK"))</f>
        <v>0</v>
      </c>
      <c r="V180" s="31">
        <f>IF(B180="","",IF(K180="","Add - no amount",IF(Q180="Yes","Wasted",IF(O180="No","Check - unplanned","Purchased"))))</f>
        <v>0</v>
      </c>
    </row>
    <row r="181" spans="1:22">
      <c r="A181" s="39">
        <f>IF(B181="","",SpendPrefix&amp;TEXT(ROW()-4,"0000"))</f>
        <v>0</v>
      </c>
      <c r="C181" s="17">
        <f>IF(B181="","",TEXT(B181,"ddd"))</f>
        <v>0</v>
      </c>
      <c r="D181" s="18">
        <f>IF(B181="","",WEEKNUM(B181,IF(WeekStart="Sunday",1,2)))</f>
        <v>0</v>
      </c>
      <c r="E181" s="17">
        <f>IF(B181="","",TEXT(B181,"yyyy-mm"))</f>
        <v>0</v>
      </c>
      <c r="L181" s="25">
        <f>IF(OR(K181="",I181="",I181=0),"",K181/I181)</f>
        <v>0</v>
      </c>
      <c r="S181" s="25">
        <f>MonthlyBudget</f>
        <v>0</v>
      </c>
      <c r="T181" s="25">
        <f>IF(B181="","",SUMIFS($K$5:$K$404,$E$5:$E$404,E181))</f>
        <v>0</v>
      </c>
      <c r="U181" s="31">
        <f>IF(B181="","",IF(T181&gt;MonthlyBudget,"Check - over the monthly budget","OK"))</f>
        <v>0</v>
      </c>
      <c r="V181" s="31">
        <f>IF(B181="","",IF(K181="","Add - no amount",IF(Q181="Yes","Wasted",IF(O181="No","Check - unplanned","Purchased"))))</f>
        <v>0</v>
      </c>
    </row>
    <row r="182" spans="1:22">
      <c r="A182" s="39">
        <f>IF(B182="","",SpendPrefix&amp;TEXT(ROW()-4,"0000"))</f>
        <v>0</v>
      </c>
      <c r="C182" s="17">
        <f>IF(B182="","",TEXT(B182,"ddd"))</f>
        <v>0</v>
      </c>
      <c r="D182" s="18">
        <f>IF(B182="","",WEEKNUM(B182,IF(WeekStart="Sunday",1,2)))</f>
        <v>0</v>
      </c>
      <c r="E182" s="17">
        <f>IF(B182="","",TEXT(B182,"yyyy-mm"))</f>
        <v>0</v>
      </c>
      <c r="L182" s="25">
        <f>IF(OR(K182="",I182="",I182=0),"",K182/I182)</f>
        <v>0</v>
      </c>
      <c r="S182" s="25">
        <f>MonthlyBudget</f>
        <v>0</v>
      </c>
      <c r="T182" s="25">
        <f>IF(B182="","",SUMIFS($K$5:$K$404,$E$5:$E$404,E182))</f>
        <v>0</v>
      </c>
      <c r="U182" s="31">
        <f>IF(B182="","",IF(T182&gt;MonthlyBudget,"Check - over the monthly budget","OK"))</f>
        <v>0</v>
      </c>
      <c r="V182" s="31">
        <f>IF(B182="","",IF(K182="","Add - no amount",IF(Q182="Yes","Wasted",IF(O182="No","Check - unplanned","Purchased"))))</f>
        <v>0</v>
      </c>
    </row>
    <row r="183" spans="1:22">
      <c r="A183" s="39">
        <f>IF(B183="","",SpendPrefix&amp;TEXT(ROW()-4,"0000"))</f>
        <v>0</v>
      </c>
      <c r="C183" s="17">
        <f>IF(B183="","",TEXT(B183,"ddd"))</f>
        <v>0</v>
      </c>
      <c r="D183" s="18">
        <f>IF(B183="","",WEEKNUM(B183,IF(WeekStart="Sunday",1,2)))</f>
        <v>0</v>
      </c>
      <c r="E183" s="17">
        <f>IF(B183="","",TEXT(B183,"yyyy-mm"))</f>
        <v>0</v>
      </c>
      <c r="L183" s="25">
        <f>IF(OR(K183="",I183="",I183=0),"",K183/I183)</f>
        <v>0</v>
      </c>
      <c r="S183" s="25">
        <f>MonthlyBudget</f>
        <v>0</v>
      </c>
      <c r="T183" s="25">
        <f>IF(B183="","",SUMIFS($K$5:$K$404,$E$5:$E$404,E183))</f>
        <v>0</v>
      </c>
      <c r="U183" s="31">
        <f>IF(B183="","",IF(T183&gt;MonthlyBudget,"Check - over the monthly budget","OK"))</f>
        <v>0</v>
      </c>
      <c r="V183" s="31">
        <f>IF(B183="","",IF(K183="","Add - no amount",IF(Q183="Yes","Wasted",IF(O183="No","Check - unplanned","Purchased"))))</f>
        <v>0</v>
      </c>
    </row>
    <row r="184" spans="1:22">
      <c r="A184" s="39">
        <f>IF(B184="","",SpendPrefix&amp;TEXT(ROW()-4,"0000"))</f>
        <v>0</v>
      </c>
      <c r="C184" s="17">
        <f>IF(B184="","",TEXT(B184,"ddd"))</f>
        <v>0</v>
      </c>
      <c r="D184" s="18">
        <f>IF(B184="","",WEEKNUM(B184,IF(WeekStart="Sunday",1,2)))</f>
        <v>0</v>
      </c>
      <c r="E184" s="17">
        <f>IF(B184="","",TEXT(B184,"yyyy-mm"))</f>
        <v>0</v>
      </c>
      <c r="L184" s="25">
        <f>IF(OR(K184="",I184="",I184=0),"",K184/I184)</f>
        <v>0</v>
      </c>
      <c r="S184" s="25">
        <f>MonthlyBudget</f>
        <v>0</v>
      </c>
      <c r="T184" s="25">
        <f>IF(B184="","",SUMIFS($K$5:$K$404,$E$5:$E$404,E184))</f>
        <v>0</v>
      </c>
      <c r="U184" s="31">
        <f>IF(B184="","",IF(T184&gt;MonthlyBudget,"Check - over the monthly budget","OK"))</f>
        <v>0</v>
      </c>
      <c r="V184" s="31">
        <f>IF(B184="","",IF(K184="","Add - no amount",IF(Q184="Yes","Wasted",IF(O184="No","Check - unplanned","Purchased"))))</f>
        <v>0</v>
      </c>
    </row>
    <row r="185" spans="1:22">
      <c r="A185" s="39">
        <f>IF(B185="","",SpendPrefix&amp;TEXT(ROW()-4,"0000"))</f>
        <v>0</v>
      </c>
      <c r="C185" s="17">
        <f>IF(B185="","",TEXT(B185,"ddd"))</f>
        <v>0</v>
      </c>
      <c r="D185" s="18">
        <f>IF(B185="","",WEEKNUM(B185,IF(WeekStart="Sunday",1,2)))</f>
        <v>0</v>
      </c>
      <c r="E185" s="17">
        <f>IF(B185="","",TEXT(B185,"yyyy-mm"))</f>
        <v>0</v>
      </c>
      <c r="L185" s="25">
        <f>IF(OR(K185="",I185="",I185=0),"",K185/I185)</f>
        <v>0</v>
      </c>
      <c r="S185" s="25">
        <f>MonthlyBudget</f>
        <v>0</v>
      </c>
      <c r="T185" s="25">
        <f>IF(B185="","",SUMIFS($K$5:$K$404,$E$5:$E$404,E185))</f>
        <v>0</v>
      </c>
      <c r="U185" s="31">
        <f>IF(B185="","",IF(T185&gt;MonthlyBudget,"Check - over the monthly budget","OK"))</f>
        <v>0</v>
      </c>
      <c r="V185" s="31">
        <f>IF(B185="","",IF(K185="","Add - no amount",IF(Q185="Yes","Wasted",IF(O185="No","Check - unplanned","Purchased"))))</f>
        <v>0</v>
      </c>
    </row>
    <row r="186" spans="1:22">
      <c r="A186" s="39">
        <f>IF(B186="","",SpendPrefix&amp;TEXT(ROW()-4,"0000"))</f>
        <v>0</v>
      </c>
      <c r="C186" s="17">
        <f>IF(B186="","",TEXT(B186,"ddd"))</f>
        <v>0</v>
      </c>
      <c r="D186" s="18">
        <f>IF(B186="","",WEEKNUM(B186,IF(WeekStart="Sunday",1,2)))</f>
        <v>0</v>
      </c>
      <c r="E186" s="17">
        <f>IF(B186="","",TEXT(B186,"yyyy-mm"))</f>
        <v>0</v>
      </c>
      <c r="L186" s="25">
        <f>IF(OR(K186="",I186="",I186=0),"",K186/I186)</f>
        <v>0</v>
      </c>
      <c r="S186" s="25">
        <f>MonthlyBudget</f>
        <v>0</v>
      </c>
      <c r="T186" s="25">
        <f>IF(B186="","",SUMIFS($K$5:$K$404,$E$5:$E$404,E186))</f>
        <v>0</v>
      </c>
      <c r="U186" s="31">
        <f>IF(B186="","",IF(T186&gt;MonthlyBudget,"Check - over the monthly budget","OK"))</f>
        <v>0</v>
      </c>
      <c r="V186" s="31">
        <f>IF(B186="","",IF(K186="","Add - no amount",IF(Q186="Yes","Wasted",IF(O186="No","Check - unplanned","Purchased"))))</f>
        <v>0</v>
      </c>
    </row>
    <row r="187" spans="1:22">
      <c r="A187" s="39">
        <f>IF(B187="","",SpendPrefix&amp;TEXT(ROW()-4,"0000"))</f>
        <v>0</v>
      </c>
      <c r="C187" s="17">
        <f>IF(B187="","",TEXT(B187,"ddd"))</f>
        <v>0</v>
      </c>
      <c r="D187" s="18">
        <f>IF(B187="","",WEEKNUM(B187,IF(WeekStart="Sunday",1,2)))</f>
        <v>0</v>
      </c>
      <c r="E187" s="17">
        <f>IF(B187="","",TEXT(B187,"yyyy-mm"))</f>
        <v>0</v>
      </c>
      <c r="L187" s="25">
        <f>IF(OR(K187="",I187="",I187=0),"",K187/I187)</f>
        <v>0</v>
      </c>
      <c r="S187" s="25">
        <f>MonthlyBudget</f>
        <v>0</v>
      </c>
      <c r="T187" s="25">
        <f>IF(B187="","",SUMIFS($K$5:$K$404,$E$5:$E$404,E187))</f>
        <v>0</v>
      </c>
      <c r="U187" s="31">
        <f>IF(B187="","",IF(T187&gt;MonthlyBudget,"Check - over the monthly budget","OK"))</f>
        <v>0</v>
      </c>
      <c r="V187" s="31">
        <f>IF(B187="","",IF(K187="","Add - no amount",IF(Q187="Yes","Wasted",IF(O187="No","Check - unplanned","Purchased"))))</f>
        <v>0</v>
      </c>
    </row>
    <row r="188" spans="1:22">
      <c r="A188" s="39">
        <f>IF(B188="","",SpendPrefix&amp;TEXT(ROW()-4,"0000"))</f>
        <v>0</v>
      </c>
      <c r="C188" s="17">
        <f>IF(B188="","",TEXT(B188,"ddd"))</f>
        <v>0</v>
      </c>
      <c r="D188" s="18">
        <f>IF(B188="","",WEEKNUM(B188,IF(WeekStart="Sunday",1,2)))</f>
        <v>0</v>
      </c>
      <c r="E188" s="17">
        <f>IF(B188="","",TEXT(B188,"yyyy-mm"))</f>
        <v>0</v>
      </c>
      <c r="L188" s="25">
        <f>IF(OR(K188="",I188="",I188=0),"",K188/I188)</f>
        <v>0</v>
      </c>
      <c r="S188" s="25">
        <f>MonthlyBudget</f>
        <v>0</v>
      </c>
      <c r="T188" s="25">
        <f>IF(B188="","",SUMIFS($K$5:$K$404,$E$5:$E$404,E188))</f>
        <v>0</v>
      </c>
      <c r="U188" s="31">
        <f>IF(B188="","",IF(T188&gt;MonthlyBudget,"Check - over the monthly budget","OK"))</f>
        <v>0</v>
      </c>
      <c r="V188" s="31">
        <f>IF(B188="","",IF(K188="","Add - no amount",IF(Q188="Yes","Wasted",IF(O188="No","Check - unplanned","Purchased"))))</f>
        <v>0</v>
      </c>
    </row>
    <row r="189" spans="1:22">
      <c r="A189" s="39">
        <f>IF(B189="","",SpendPrefix&amp;TEXT(ROW()-4,"0000"))</f>
        <v>0</v>
      </c>
      <c r="C189" s="17">
        <f>IF(B189="","",TEXT(B189,"ddd"))</f>
        <v>0</v>
      </c>
      <c r="D189" s="18">
        <f>IF(B189="","",WEEKNUM(B189,IF(WeekStart="Sunday",1,2)))</f>
        <v>0</v>
      </c>
      <c r="E189" s="17">
        <f>IF(B189="","",TEXT(B189,"yyyy-mm"))</f>
        <v>0</v>
      </c>
      <c r="L189" s="25">
        <f>IF(OR(K189="",I189="",I189=0),"",K189/I189)</f>
        <v>0</v>
      </c>
      <c r="S189" s="25">
        <f>MonthlyBudget</f>
        <v>0</v>
      </c>
      <c r="T189" s="25">
        <f>IF(B189="","",SUMIFS($K$5:$K$404,$E$5:$E$404,E189))</f>
        <v>0</v>
      </c>
      <c r="U189" s="31">
        <f>IF(B189="","",IF(T189&gt;MonthlyBudget,"Check - over the monthly budget","OK"))</f>
        <v>0</v>
      </c>
      <c r="V189" s="31">
        <f>IF(B189="","",IF(K189="","Add - no amount",IF(Q189="Yes","Wasted",IF(O189="No","Check - unplanned","Purchased"))))</f>
        <v>0</v>
      </c>
    </row>
    <row r="190" spans="1:22">
      <c r="A190" s="39">
        <f>IF(B190="","",SpendPrefix&amp;TEXT(ROW()-4,"0000"))</f>
        <v>0</v>
      </c>
      <c r="C190" s="17">
        <f>IF(B190="","",TEXT(B190,"ddd"))</f>
        <v>0</v>
      </c>
      <c r="D190" s="18">
        <f>IF(B190="","",WEEKNUM(B190,IF(WeekStart="Sunday",1,2)))</f>
        <v>0</v>
      </c>
      <c r="E190" s="17">
        <f>IF(B190="","",TEXT(B190,"yyyy-mm"))</f>
        <v>0</v>
      </c>
      <c r="L190" s="25">
        <f>IF(OR(K190="",I190="",I190=0),"",K190/I190)</f>
        <v>0</v>
      </c>
      <c r="S190" s="25">
        <f>MonthlyBudget</f>
        <v>0</v>
      </c>
      <c r="T190" s="25">
        <f>IF(B190="","",SUMIFS($K$5:$K$404,$E$5:$E$404,E190))</f>
        <v>0</v>
      </c>
      <c r="U190" s="31">
        <f>IF(B190="","",IF(T190&gt;MonthlyBudget,"Check - over the monthly budget","OK"))</f>
        <v>0</v>
      </c>
      <c r="V190" s="31">
        <f>IF(B190="","",IF(K190="","Add - no amount",IF(Q190="Yes","Wasted",IF(O190="No","Check - unplanned","Purchased"))))</f>
        <v>0</v>
      </c>
    </row>
    <row r="191" spans="1:22">
      <c r="A191" s="39">
        <f>IF(B191="","",SpendPrefix&amp;TEXT(ROW()-4,"0000"))</f>
        <v>0</v>
      </c>
      <c r="C191" s="17">
        <f>IF(B191="","",TEXT(B191,"ddd"))</f>
        <v>0</v>
      </c>
      <c r="D191" s="18">
        <f>IF(B191="","",WEEKNUM(B191,IF(WeekStart="Sunday",1,2)))</f>
        <v>0</v>
      </c>
      <c r="E191" s="17">
        <f>IF(B191="","",TEXT(B191,"yyyy-mm"))</f>
        <v>0</v>
      </c>
      <c r="L191" s="25">
        <f>IF(OR(K191="",I191="",I191=0),"",K191/I191)</f>
        <v>0</v>
      </c>
      <c r="S191" s="25">
        <f>MonthlyBudget</f>
        <v>0</v>
      </c>
      <c r="T191" s="25">
        <f>IF(B191="","",SUMIFS($K$5:$K$404,$E$5:$E$404,E191))</f>
        <v>0</v>
      </c>
      <c r="U191" s="31">
        <f>IF(B191="","",IF(T191&gt;MonthlyBudget,"Check - over the monthly budget","OK"))</f>
        <v>0</v>
      </c>
      <c r="V191" s="31">
        <f>IF(B191="","",IF(K191="","Add - no amount",IF(Q191="Yes","Wasted",IF(O191="No","Check - unplanned","Purchased"))))</f>
        <v>0</v>
      </c>
    </row>
    <row r="192" spans="1:22">
      <c r="A192" s="39">
        <f>IF(B192="","",SpendPrefix&amp;TEXT(ROW()-4,"0000"))</f>
        <v>0</v>
      </c>
      <c r="C192" s="17">
        <f>IF(B192="","",TEXT(B192,"ddd"))</f>
        <v>0</v>
      </c>
      <c r="D192" s="18">
        <f>IF(B192="","",WEEKNUM(B192,IF(WeekStart="Sunday",1,2)))</f>
        <v>0</v>
      </c>
      <c r="E192" s="17">
        <f>IF(B192="","",TEXT(B192,"yyyy-mm"))</f>
        <v>0</v>
      </c>
      <c r="L192" s="25">
        <f>IF(OR(K192="",I192="",I192=0),"",K192/I192)</f>
        <v>0</v>
      </c>
      <c r="S192" s="25">
        <f>MonthlyBudget</f>
        <v>0</v>
      </c>
      <c r="T192" s="25">
        <f>IF(B192="","",SUMIFS($K$5:$K$404,$E$5:$E$404,E192))</f>
        <v>0</v>
      </c>
      <c r="U192" s="31">
        <f>IF(B192="","",IF(T192&gt;MonthlyBudget,"Check - over the monthly budget","OK"))</f>
        <v>0</v>
      </c>
      <c r="V192" s="31">
        <f>IF(B192="","",IF(K192="","Add - no amount",IF(Q192="Yes","Wasted",IF(O192="No","Check - unplanned","Purchased"))))</f>
        <v>0</v>
      </c>
    </row>
    <row r="193" spans="1:22">
      <c r="A193" s="39">
        <f>IF(B193="","",SpendPrefix&amp;TEXT(ROW()-4,"0000"))</f>
        <v>0</v>
      </c>
      <c r="C193" s="17">
        <f>IF(B193="","",TEXT(B193,"ddd"))</f>
        <v>0</v>
      </c>
      <c r="D193" s="18">
        <f>IF(B193="","",WEEKNUM(B193,IF(WeekStart="Sunday",1,2)))</f>
        <v>0</v>
      </c>
      <c r="E193" s="17">
        <f>IF(B193="","",TEXT(B193,"yyyy-mm"))</f>
        <v>0</v>
      </c>
      <c r="L193" s="25">
        <f>IF(OR(K193="",I193="",I193=0),"",K193/I193)</f>
        <v>0</v>
      </c>
      <c r="S193" s="25">
        <f>MonthlyBudget</f>
        <v>0</v>
      </c>
      <c r="T193" s="25">
        <f>IF(B193="","",SUMIFS($K$5:$K$404,$E$5:$E$404,E193))</f>
        <v>0</v>
      </c>
      <c r="U193" s="31">
        <f>IF(B193="","",IF(T193&gt;MonthlyBudget,"Check - over the monthly budget","OK"))</f>
        <v>0</v>
      </c>
      <c r="V193" s="31">
        <f>IF(B193="","",IF(K193="","Add - no amount",IF(Q193="Yes","Wasted",IF(O193="No","Check - unplanned","Purchased"))))</f>
        <v>0</v>
      </c>
    </row>
    <row r="194" spans="1:22">
      <c r="A194" s="39">
        <f>IF(B194="","",SpendPrefix&amp;TEXT(ROW()-4,"0000"))</f>
        <v>0</v>
      </c>
      <c r="C194" s="17">
        <f>IF(B194="","",TEXT(B194,"ddd"))</f>
        <v>0</v>
      </c>
      <c r="D194" s="18">
        <f>IF(B194="","",WEEKNUM(B194,IF(WeekStart="Sunday",1,2)))</f>
        <v>0</v>
      </c>
      <c r="E194" s="17">
        <f>IF(B194="","",TEXT(B194,"yyyy-mm"))</f>
        <v>0</v>
      </c>
      <c r="L194" s="25">
        <f>IF(OR(K194="",I194="",I194=0),"",K194/I194)</f>
        <v>0</v>
      </c>
      <c r="S194" s="25">
        <f>MonthlyBudget</f>
        <v>0</v>
      </c>
      <c r="T194" s="25">
        <f>IF(B194="","",SUMIFS($K$5:$K$404,$E$5:$E$404,E194))</f>
        <v>0</v>
      </c>
      <c r="U194" s="31">
        <f>IF(B194="","",IF(T194&gt;MonthlyBudget,"Check - over the monthly budget","OK"))</f>
        <v>0</v>
      </c>
      <c r="V194" s="31">
        <f>IF(B194="","",IF(K194="","Add - no amount",IF(Q194="Yes","Wasted",IF(O194="No","Check - unplanned","Purchased"))))</f>
        <v>0</v>
      </c>
    </row>
    <row r="195" spans="1:22">
      <c r="A195" s="39">
        <f>IF(B195="","",SpendPrefix&amp;TEXT(ROW()-4,"0000"))</f>
        <v>0</v>
      </c>
      <c r="C195" s="17">
        <f>IF(B195="","",TEXT(B195,"ddd"))</f>
        <v>0</v>
      </c>
      <c r="D195" s="18">
        <f>IF(B195="","",WEEKNUM(B195,IF(WeekStart="Sunday",1,2)))</f>
        <v>0</v>
      </c>
      <c r="E195" s="17">
        <f>IF(B195="","",TEXT(B195,"yyyy-mm"))</f>
        <v>0</v>
      </c>
      <c r="L195" s="25">
        <f>IF(OR(K195="",I195="",I195=0),"",K195/I195)</f>
        <v>0</v>
      </c>
      <c r="S195" s="25">
        <f>MonthlyBudget</f>
        <v>0</v>
      </c>
      <c r="T195" s="25">
        <f>IF(B195="","",SUMIFS($K$5:$K$404,$E$5:$E$404,E195))</f>
        <v>0</v>
      </c>
      <c r="U195" s="31">
        <f>IF(B195="","",IF(T195&gt;MonthlyBudget,"Check - over the monthly budget","OK"))</f>
        <v>0</v>
      </c>
      <c r="V195" s="31">
        <f>IF(B195="","",IF(K195="","Add - no amount",IF(Q195="Yes","Wasted",IF(O195="No","Check - unplanned","Purchased"))))</f>
        <v>0</v>
      </c>
    </row>
    <row r="196" spans="1:22">
      <c r="A196" s="39">
        <f>IF(B196="","",SpendPrefix&amp;TEXT(ROW()-4,"0000"))</f>
        <v>0</v>
      </c>
      <c r="C196" s="17">
        <f>IF(B196="","",TEXT(B196,"ddd"))</f>
        <v>0</v>
      </c>
      <c r="D196" s="18">
        <f>IF(B196="","",WEEKNUM(B196,IF(WeekStart="Sunday",1,2)))</f>
        <v>0</v>
      </c>
      <c r="E196" s="17">
        <f>IF(B196="","",TEXT(B196,"yyyy-mm"))</f>
        <v>0</v>
      </c>
      <c r="L196" s="25">
        <f>IF(OR(K196="",I196="",I196=0),"",K196/I196)</f>
        <v>0</v>
      </c>
      <c r="S196" s="25">
        <f>MonthlyBudget</f>
        <v>0</v>
      </c>
      <c r="T196" s="25">
        <f>IF(B196="","",SUMIFS($K$5:$K$404,$E$5:$E$404,E196))</f>
        <v>0</v>
      </c>
      <c r="U196" s="31">
        <f>IF(B196="","",IF(T196&gt;MonthlyBudget,"Check - over the monthly budget","OK"))</f>
        <v>0</v>
      </c>
      <c r="V196" s="31">
        <f>IF(B196="","",IF(K196="","Add - no amount",IF(Q196="Yes","Wasted",IF(O196="No","Check - unplanned","Purchased"))))</f>
        <v>0</v>
      </c>
    </row>
    <row r="197" spans="1:22">
      <c r="A197" s="39">
        <f>IF(B197="","",SpendPrefix&amp;TEXT(ROW()-4,"0000"))</f>
        <v>0</v>
      </c>
      <c r="C197" s="17">
        <f>IF(B197="","",TEXT(B197,"ddd"))</f>
        <v>0</v>
      </c>
      <c r="D197" s="18">
        <f>IF(B197="","",WEEKNUM(B197,IF(WeekStart="Sunday",1,2)))</f>
        <v>0</v>
      </c>
      <c r="E197" s="17">
        <f>IF(B197="","",TEXT(B197,"yyyy-mm"))</f>
        <v>0</v>
      </c>
      <c r="L197" s="25">
        <f>IF(OR(K197="",I197="",I197=0),"",K197/I197)</f>
        <v>0</v>
      </c>
      <c r="S197" s="25">
        <f>MonthlyBudget</f>
        <v>0</v>
      </c>
      <c r="T197" s="25">
        <f>IF(B197="","",SUMIFS($K$5:$K$404,$E$5:$E$404,E197))</f>
        <v>0</v>
      </c>
      <c r="U197" s="31">
        <f>IF(B197="","",IF(T197&gt;MonthlyBudget,"Check - over the monthly budget","OK"))</f>
        <v>0</v>
      </c>
      <c r="V197" s="31">
        <f>IF(B197="","",IF(K197="","Add - no amount",IF(Q197="Yes","Wasted",IF(O197="No","Check - unplanned","Purchased"))))</f>
        <v>0</v>
      </c>
    </row>
    <row r="198" spans="1:22">
      <c r="A198" s="39">
        <f>IF(B198="","",SpendPrefix&amp;TEXT(ROW()-4,"0000"))</f>
        <v>0</v>
      </c>
      <c r="C198" s="17">
        <f>IF(B198="","",TEXT(B198,"ddd"))</f>
        <v>0</v>
      </c>
      <c r="D198" s="18">
        <f>IF(B198="","",WEEKNUM(B198,IF(WeekStart="Sunday",1,2)))</f>
        <v>0</v>
      </c>
      <c r="E198" s="17">
        <f>IF(B198="","",TEXT(B198,"yyyy-mm"))</f>
        <v>0</v>
      </c>
      <c r="L198" s="25">
        <f>IF(OR(K198="",I198="",I198=0),"",K198/I198)</f>
        <v>0</v>
      </c>
      <c r="S198" s="25">
        <f>MonthlyBudget</f>
        <v>0</v>
      </c>
      <c r="T198" s="25">
        <f>IF(B198="","",SUMIFS($K$5:$K$404,$E$5:$E$404,E198))</f>
        <v>0</v>
      </c>
      <c r="U198" s="31">
        <f>IF(B198="","",IF(T198&gt;MonthlyBudget,"Check - over the monthly budget","OK"))</f>
        <v>0</v>
      </c>
      <c r="V198" s="31">
        <f>IF(B198="","",IF(K198="","Add - no amount",IF(Q198="Yes","Wasted",IF(O198="No","Check - unplanned","Purchased"))))</f>
        <v>0</v>
      </c>
    </row>
    <row r="199" spans="1:22">
      <c r="A199" s="39">
        <f>IF(B199="","",SpendPrefix&amp;TEXT(ROW()-4,"0000"))</f>
        <v>0</v>
      </c>
      <c r="C199" s="17">
        <f>IF(B199="","",TEXT(B199,"ddd"))</f>
        <v>0</v>
      </c>
      <c r="D199" s="18">
        <f>IF(B199="","",WEEKNUM(B199,IF(WeekStart="Sunday",1,2)))</f>
        <v>0</v>
      </c>
      <c r="E199" s="17">
        <f>IF(B199="","",TEXT(B199,"yyyy-mm"))</f>
        <v>0</v>
      </c>
      <c r="L199" s="25">
        <f>IF(OR(K199="",I199="",I199=0),"",K199/I199)</f>
        <v>0</v>
      </c>
      <c r="S199" s="25">
        <f>MonthlyBudget</f>
        <v>0</v>
      </c>
      <c r="T199" s="25">
        <f>IF(B199="","",SUMIFS($K$5:$K$404,$E$5:$E$404,E199))</f>
        <v>0</v>
      </c>
      <c r="U199" s="31">
        <f>IF(B199="","",IF(T199&gt;MonthlyBudget,"Check - over the monthly budget","OK"))</f>
        <v>0</v>
      </c>
      <c r="V199" s="31">
        <f>IF(B199="","",IF(K199="","Add - no amount",IF(Q199="Yes","Wasted",IF(O199="No","Check - unplanned","Purchased"))))</f>
        <v>0</v>
      </c>
    </row>
    <row r="200" spans="1:22">
      <c r="A200" s="39">
        <f>IF(B200="","",SpendPrefix&amp;TEXT(ROW()-4,"0000"))</f>
        <v>0</v>
      </c>
      <c r="C200" s="17">
        <f>IF(B200="","",TEXT(B200,"ddd"))</f>
        <v>0</v>
      </c>
      <c r="D200" s="18">
        <f>IF(B200="","",WEEKNUM(B200,IF(WeekStart="Sunday",1,2)))</f>
        <v>0</v>
      </c>
      <c r="E200" s="17">
        <f>IF(B200="","",TEXT(B200,"yyyy-mm"))</f>
        <v>0</v>
      </c>
      <c r="L200" s="25">
        <f>IF(OR(K200="",I200="",I200=0),"",K200/I200)</f>
        <v>0</v>
      </c>
      <c r="S200" s="25">
        <f>MonthlyBudget</f>
        <v>0</v>
      </c>
      <c r="T200" s="25">
        <f>IF(B200="","",SUMIFS($K$5:$K$404,$E$5:$E$404,E200))</f>
        <v>0</v>
      </c>
      <c r="U200" s="31">
        <f>IF(B200="","",IF(T200&gt;MonthlyBudget,"Check - over the monthly budget","OK"))</f>
        <v>0</v>
      </c>
      <c r="V200" s="31">
        <f>IF(B200="","",IF(K200="","Add - no amount",IF(Q200="Yes","Wasted",IF(O200="No","Check - unplanned","Purchased"))))</f>
        <v>0</v>
      </c>
    </row>
    <row r="201" spans="1:22">
      <c r="A201" s="39">
        <f>IF(B201="","",SpendPrefix&amp;TEXT(ROW()-4,"0000"))</f>
        <v>0</v>
      </c>
      <c r="C201" s="17">
        <f>IF(B201="","",TEXT(B201,"ddd"))</f>
        <v>0</v>
      </c>
      <c r="D201" s="18">
        <f>IF(B201="","",WEEKNUM(B201,IF(WeekStart="Sunday",1,2)))</f>
        <v>0</v>
      </c>
      <c r="E201" s="17">
        <f>IF(B201="","",TEXT(B201,"yyyy-mm"))</f>
        <v>0</v>
      </c>
      <c r="L201" s="25">
        <f>IF(OR(K201="",I201="",I201=0),"",K201/I201)</f>
        <v>0</v>
      </c>
      <c r="S201" s="25">
        <f>MonthlyBudget</f>
        <v>0</v>
      </c>
      <c r="T201" s="25">
        <f>IF(B201="","",SUMIFS($K$5:$K$404,$E$5:$E$404,E201))</f>
        <v>0</v>
      </c>
      <c r="U201" s="31">
        <f>IF(B201="","",IF(T201&gt;MonthlyBudget,"Check - over the monthly budget","OK"))</f>
        <v>0</v>
      </c>
      <c r="V201" s="31">
        <f>IF(B201="","",IF(K201="","Add - no amount",IF(Q201="Yes","Wasted",IF(O201="No","Check - unplanned","Purchased"))))</f>
        <v>0</v>
      </c>
    </row>
    <row r="202" spans="1:22">
      <c r="A202" s="39">
        <f>IF(B202="","",SpendPrefix&amp;TEXT(ROW()-4,"0000"))</f>
        <v>0</v>
      </c>
      <c r="C202" s="17">
        <f>IF(B202="","",TEXT(B202,"ddd"))</f>
        <v>0</v>
      </c>
      <c r="D202" s="18">
        <f>IF(B202="","",WEEKNUM(B202,IF(WeekStart="Sunday",1,2)))</f>
        <v>0</v>
      </c>
      <c r="E202" s="17">
        <f>IF(B202="","",TEXT(B202,"yyyy-mm"))</f>
        <v>0</v>
      </c>
      <c r="L202" s="25">
        <f>IF(OR(K202="",I202="",I202=0),"",K202/I202)</f>
        <v>0</v>
      </c>
      <c r="S202" s="25">
        <f>MonthlyBudget</f>
        <v>0</v>
      </c>
      <c r="T202" s="25">
        <f>IF(B202="","",SUMIFS($K$5:$K$404,$E$5:$E$404,E202))</f>
        <v>0</v>
      </c>
      <c r="U202" s="31">
        <f>IF(B202="","",IF(T202&gt;MonthlyBudget,"Check - over the monthly budget","OK"))</f>
        <v>0</v>
      </c>
      <c r="V202" s="31">
        <f>IF(B202="","",IF(K202="","Add - no amount",IF(Q202="Yes","Wasted",IF(O202="No","Check - unplanned","Purchased"))))</f>
        <v>0</v>
      </c>
    </row>
    <row r="203" spans="1:22">
      <c r="A203" s="39">
        <f>IF(B203="","",SpendPrefix&amp;TEXT(ROW()-4,"0000"))</f>
        <v>0</v>
      </c>
      <c r="C203" s="17">
        <f>IF(B203="","",TEXT(B203,"ddd"))</f>
        <v>0</v>
      </c>
      <c r="D203" s="18">
        <f>IF(B203="","",WEEKNUM(B203,IF(WeekStart="Sunday",1,2)))</f>
        <v>0</v>
      </c>
      <c r="E203" s="17">
        <f>IF(B203="","",TEXT(B203,"yyyy-mm"))</f>
        <v>0</v>
      </c>
      <c r="L203" s="25">
        <f>IF(OR(K203="",I203="",I203=0),"",K203/I203)</f>
        <v>0</v>
      </c>
      <c r="S203" s="25">
        <f>MonthlyBudget</f>
        <v>0</v>
      </c>
      <c r="T203" s="25">
        <f>IF(B203="","",SUMIFS($K$5:$K$404,$E$5:$E$404,E203))</f>
        <v>0</v>
      </c>
      <c r="U203" s="31">
        <f>IF(B203="","",IF(T203&gt;MonthlyBudget,"Check - over the monthly budget","OK"))</f>
        <v>0</v>
      </c>
      <c r="V203" s="31">
        <f>IF(B203="","",IF(K203="","Add - no amount",IF(Q203="Yes","Wasted",IF(O203="No","Check - unplanned","Purchased"))))</f>
        <v>0</v>
      </c>
    </row>
    <row r="204" spans="1:22">
      <c r="A204" s="39">
        <f>IF(B204="","",SpendPrefix&amp;TEXT(ROW()-4,"0000"))</f>
        <v>0</v>
      </c>
      <c r="C204" s="17">
        <f>IF(B204="","",TEXT(B204,"ddd"))</f>
        <v>0</v>
      </c>
      <c r="D204" s="18">
        <f>IF(B204="","",WEEKNUM(B204,IF(WeekStart="Sunday",1,2)))</f>
        <v>0</v>
      </c>
      <c r="E204" s="17">
        <f>IF(B204="","",TEXT(B204,"yyyy-mm"))</f>
        <v>0</v>
      </c>
      <c r="L204" s="25">
        <f>IF(OR(K204="",I204="",I204=0),"",K204/I204)</f>
        <v>0</v>
      </c>
      <c r="S204" s="25">
        <f>MonthlyBudget</f>
        <v>0</v>
      </c>
      <c r="T204" s="25">
        <f>IF(B204="","",SUMIFS($K$5:$K$404,$E$5:$E$404,E204))</f>
        <v>0</v>
      </c>
      <c r="U204" s="31">
        <f>IF(B204="","",IF(T204&gt;MonthlyBudget,"Check - over the monthly budget","OK"))</f>
        <v>0</v>
      </c>
      <c r="V204" s="31">
        <f>IF(B204="","",IF(K204="","Add - no amount",IF(Q204="Yes","Wasted",IF(O204="No","Check - unplanned","Purchased"))))</f>
        <v>0</v>
      </c>
    </row>
    <row r="205" spans="1:22">
      <c r="A205" s="39">
        <f>IF(B205="","",SpendPrefix&amp;TEXT(ROW()-4,"0000"))</f>
        <v>0</v>
      </c>
      <c r="C205" s="17">
        <f>IF(B205="","",TEXT(B205,"ddd"))</f>
        <v>0</v>
      </c>
      <c r="D205" s="18">
        <f>IF(B205="","",WEEKNUM(B205,IF(WeekStart="Sunday",1,2)))</f>
        <v>0</v>
      </c>
      <c r="E205" s="17">
        <f>IF(B205="","",TEXT(B205,"yyyy-mm"))</f>
        <v>0</v>
      </c>
      <c r="L205" s="25">
        <f>IF(OR(K205="",I205="",I205=0),"",K205/I205)</f>
        <v>0</v>
      </c>
      <c r="S205" s="25">
        <f>MonthlyBudget</f>
        <v>0</v>
      </c>
      <c r="T205" s="25">
        <f>IF(B205="","",SUMIFS($K$5:$K$404,$E$5:$E$404,E205))</f>
        <v>0</v>
      </c>
      <c r="U205" s="31">
        <f>IF(B205="","",IF(T205&gt;MonthlyBudget,"Check - over the monthly budget","OK"))</f>
        <v>0</v>
      </c>
      <c r="V205" s="31">
        <f>IF(B205="","",IF(K205="","Add - no amount",IF(Q205="Yes","Wasted",IF(O205="No","Check - unplanned","Purchased"))))</f>
        <v>0</v>
      </c>
    </row>
    <row r="206" spans="1:22">
      <c r="A206" s="39">
        <f>IF(B206="","",SpendPrefix&amp;TEXT(ROW()-4,"0000"))</f>
        <v>0</v>
      </c>
      <c r="C206" s="17">
        <f>IF(B206="","",TEXT(B206,"ddd"))</f>
        <v>0</v>
      </c>
      <c r="D206" s="18">
        <f>IF(B206="","",WEEKNUM(B206,IF(WeekStart="Sunday",1,2)))</f>
        <v>0</v>
      </c>
      <c r="E206" s="17">
        <f>IF(B206="","",TEXT(B206,"yyyy-mm"))</f>
        <v>0</v>
      </c>
      <c r="L206" s="25">
        <f>IF(OR(K206="",I206="",I206=0),"",K206/I206)</f>
        <v>0</v>
      </c>
      <c r="S206" s="25">
        <f>MonthlyBudget</f>
        <v>0</v>
      </c>
      <c r="T206" s="25">
        <f>IF(B206="","",SUMIFS($K$5:$K$404,$E$5:$E$404,E206))</f>
        <v>0</v>
      </c>
      <c r="U206" s="31">
        <f>IF(B206="","",IF(T206&gt;MonthlyBudget,"Check - over the monthly budget","OK"))</f>
        <v>0</v>
      </c>
      <c r="V206" s="31">
        <f>IF(B206="","",IF(K206="","Add - no amount",IF(Q206="Yes","Wasted",IF(O206="No","Check - unplanned","Purchased"))))</f>
        <v>0</v>
      </c>
    </row>
    <row r="207" spans="1:22">
      <c r="A207" s="39">
        <f>IF(B207="","",SpendPrefix&amp;TEXT(ROW()-4,"0000"))</f>
        <v>0</v>
      </c>
      <c r="C207" s="17">
        <f>IF(B207="","",TEXT(B207,"ddd"))</f>
        <v>0</v>
      </c>
      <c r="D207" s="18">
        <f>IF(B207="","",WEEKNUM(B207,IF(WeekStart="Sunday",1,2)))</f>
        <v>0</v>
      </c>
      <c r="E207" s="17">
        <f>IF(B207="","",TEXT(B207,"yyyy-mm"))</f>
        <v>0</v>
      </c>
      <c r="L207" s="25">
        <f>IF(OR(K207="",I207="",I207=0),"",K207/I207)</f>
        <v>0</v>
      </c>
      <c r="S207" s="25">
        <f>MonthlyBudget</f>
        <v>0</v>
      </c>
      <c r="T207" s="25">
        <f>IF(B207="","",SUMIFS($K$5:$K$404,$E$5:$E$404,E207))</f>
        <v>0</v>
      </c>
      <c r="U207" s="31">
        <f>IF(B207="","",IF(T207&gt;MonthlyBudget,"Check - over the monthly budget","OK"))</f>
        <v>0</v>
      </c>
      <c r="V207" s="31">
        <f>IF(B207="","",IF(K207="","Add - no amount",IF(Q207="Yes","Wasted",IF(O207="No","Check - unplanned","Purchased"))))</f>
        <v>0</v>
      </c>
    </row>
    <row r="208" spans="1:22">
      <c r="A208" s="39">
        <f>IF(B208="","",SpendPrefix&amp;TEXT(ROW()-4,"0000"))</f>
        <v>0</v>
      </c>
      <c r="C208" s="17">
        <f>IF(B208="","",TEXT(B208,"ddd"))</f>
        <v>0</v>
      </c>
      <c r="D208" s="18">
        <f>IF(B208="","",WEEKNUM(B208,IF(WeekStart="Sunday",1,2)))</f>
        <v>0</v>
      </c>
      <c r="E208" s="17">
        <f>IF(B208="","",TEXT(B208,"yyyy-mm"))</f>
        <v>0</v>
      </c>
      <c r="L208" s="25">
        <f>IF(OR(K208="",I208="",I208=0),"",K208/I208)</f>
        <v>0</v>
      </c>
      <c r="S208" s="25">
        <f>MonthlyBudget</f>
        <v>0</v>
      </c>
      <c r="T208" s="25">
        <f>IF(B208="","",SUMIFS($K$5:$K$404,$E$5:$E$404,E208))</f>
        <v>0</v>
      </c>
      <c r="U208" s="31">
        <f>IF(B208="","",IF(T208&gt;MonthlyBudget,"Check - over the monthly budget","OK"))</f>
        <v>0</v>
      </c>
      <c r="V208" s="31">
        <f>IF(B208="","",IF(K208="","Add - no amount",IF(Q208="Yes","Wasted",IF(O208="No","Check - unplanned","Purchased"))))</f>
        <v>0</v>
      </c>
    </row>
    <row r="209" spans="1:22">
      <c r="A209" s="39">
        <f>IF(B209="","",SpendPrefix&amp;TEXT(ROW()-4,"0000"))</f>
        <v>0</v>
      </c>
      <c r="C209" s="17">
        <f>IF(B209="","",TEXT(B209,"ddd"))</f>
        <v>0</v>
      </c>
      <c r="D209" s="18">
        <f>IF(B209="","",WEEKNUM(B209,IF(WeekStart="Sunday",1,2)))</f>
        <v>0</v>
      </c>
      <c r="E209" s="17">
        <f>IF(B209="","",TEXT(B209,"yyyy-mm"))</f>
        <v>0</v>
      </c>
      <c r="L209" s="25">
        <f>IF(OR(K209="",I209="",I209=0),"",K209/I209)</f>
        <v>0</v>
      </c>
      <c r="S209" s="25">
        <f>MonthlyBudget</f>
        <v>0</v>
      </c>
      <c r="T209" s="25">
        <f>IF(B209="","",SUMIFS($K$5:$K$404,$E$5:$E$404,E209))</f>
        <v>0</v>
      </c>
      <c r="U209" s="31">
        <f>IF(B209="","",IF(T209&gt;MonthlyBudget,"Check - over the monthly budget","OK"))</f>
        <v>0</v>
      </c>
      <c r="V209" s="31">
        <f>IF(B209="","",IF(K209="","Add - no amount",IF(Q209="Yes","Wasted",IF(O209="No","Check - unplanned","Purchased"))))</f>
        <v>0</v>
      </c>
    </row>
    <row r="210" spans="1:22">
      <c r="A210" s="39">
        <f>IF(B210="","",SpendPrefix&amp;TEXT(ROW()-4,"0000"))</f>
        <v>0</v>
      </c>
      <c r="C210" s="17">
        <f>IF(B210="","",TEXT(B210,"ddd"))</f>
        <v>0</v>
      </c>
      <c r="D210" s="18">
        <f>IF(B210="","",WEEKNUM(B210,IF(WeekStart="Sunday",1,2)))</f>
        <v>0</v>
      </c>
      <c r="E210" s="17">
        <f>IF(B210="","",TEXT(B210,"yyyy-mm"))</f>
        <v>0</v>
      </c>
      <c r="L210" s="25">
        <f>IF(OR(K210="",I210="",I210=0),"",K210/I210)</f>
        <v>0</v>
      </c>
      <c r="S210" s="25">
        <f>MonthlyBudget</f>
        <v>0</v>
      </c>
      <c r="T210" s="25">
        <f>IF(B210="","",SUMIFS($K$5:$K$404,$E$5:$E$404,E210))</f>
        <v>0</v>
      </c>
      <c r="U210" s="31">
        <f>IF(B210="","",IF(T210&gt;MonthlyBudget,"Check - over the monthly budget","OK"))</f>
        <v>0</v>
      </c>
      <c r="V210" s="31">
        <f>IF(B210="","",IF(K210="","Add - no amount",IF(Q210="Yes","Wasted",IF(O210="No","Check - unplanned","Purchased"))))</f>
        <v>0</v>
      </c>
    </row>
    <row r="211" spans="1:22">
      <c r="A211" s="39">
        <f>IF(B211="","",SpendPrefix&amp;TEXT(ROW()-4,"0000"))</f>
        <v>0</v>
      </c>
      <c r="C211" s="17">
        <f>IF(B211="","",TEXT(B211,"ddd"))</f>
        <v>0</v>
      </c>
      <c r="D211" s="18">
        <f>IF(B211="","",WEEKNUM(B211,IF(WeekStart="Sunday",1,2)))</f>
        <v>0</v>
      </c>
      <c r="E211" s="17">
        <f>IF(B211="","",TEXT(B211,"yyyy-mm"))</f>
        <v>0</v>
      </c>
      <c r="L211" s="25">
        <f>IF(OR(K211="",I211="",I211=0),"",K211/I211)</f>
        <v>0</v>
      </c>
      <c r="S211" s="25">
        <f>MonthlyBudget</f>
        <v>0</v>
      </c>
      <c r="T211" s="25">
        <f>IF(B211="","",SUMIFS($K$5:$K$404,$E$5:$E$404,E211))</f>
        <v>0</v>
      </c>
      <c r="U211" s="31">
        <f>IF(B211="","",IF(T211&gt;MonthlyBudget,"Check - over the monthly budget","OK"))</f>
        <v>0</v>
      </c>
      <c r="V211" s="31">
        <f>IF(B211="","",IF(K211="","Add - no amount",IF(Q211="Yes","Wasted",IF(O211="No","Check - unplanned","Purchased"))))</f>
        <v>0</v>
      </c>
    </row>
    <row r="212" spans="1:22">
      <c r="A212" s="39">
        <f>IF(B212="","",SpendPrefix&amp;TEXT(ROW()-4,"0000"))</f>
        <v>0</v>
      </c>
      <c r="C212" s="17">
        <f>IF(B212="","",TEXT(B212,"ddd"))</f>
        <v>0</v>
      </c>
      <c r="D212" s="18">
        <f>IF(B212="","",WEEKNUM(B212,IF(WeekStart="Sunday",1,2)))</f>
        <v>0</v>
      </c>
      <c r="E212" s="17">
        <f>IF(B212="","",TEXT(B212,"yyyy-mm"))</f>
        <v>0</v>
      </c>
      <c r="L212" s="25">
        <f>IF(OR(K212="",I212="",I212=0),"",K212/I212)</f>
        <v>0</v>
      </c>
      <c r="S212" s="25">
        <f>MonthlyBudget</f>
        <v>0</v>
      </c>
      <c r="T212" s="25">
        <f>IF(B212="","",SUMIFS($K$5:$K$404,$E$5:$E$404,E212))</f>
        <v>0</v>
      </c>
      <c r="U212" s="31">
        <f>IF(B212="","",IF(T212&gt;MonthlyBudget,"Check - over the monthly budget","OK"))</f>
        <v>0</v>
      </c>
      <c r="V212" s="31">
        <f>IF(B212="","",IF(K212="","Add - no amount",IF(Q212="Yes","Wasted",IF(O212="No","Check - unplanned","Purchased"))))</f>
        <v>0</v>
      </c>
    </row>
    <row r="213" spans="1:22">
      <c r="A213" s="39">
        <f>IF(B213="","",SpendPrefix&amp;TEXT(ROW()-4,"0000"))</f>
        <v>0</v>
      </c>
      <c r="C213" s="17">
        <f>IF(B213="","",TEXT(B213,"ddd"))</f>
        <v>0</v>
      </c>
      <c r="D213" s="18">
        <f>IF(B213="","",WEEKNUM(B213,IF(WeekStart="Sunday",1,2)))</f>
        <v>0</v>
      </c>
      <c r="E213" s="17">
        <f>IF(B213="","",TEXT(B213,"yyyy-mm"))</f>
        <v>0</v>
      </c>
      <c r="L213" s="25">
        <f>IF(OR(K213="",I213="",I213=0),"",K213/I213)</f>
        <v>0</v>
      </c>
      <c r="S213" s="25">
        <f>MonthlyBudget</f>
        <v>0</v>
      </c>
      <c r="T213" s="25">
        <f>IF(B213="","",SUMIFS($K$5:$K$404,$E$5:$E$404,E213))</f>
        <v>0</v>
      </c>
      <c r="U213" s="31">
        <f>IF(B213="","",IF(T213&gt;MonthlyBudget,"Check - over the monthly budget","OK"))</f>
        <v>0</v>
      </c>
      <c r="V213" s="31">
        <f>IF(B213="","",IF(K213="","Add - no amount",IF(Q213="Yes","Wasted",IF(O213="No","Check - unplanned","Purchased"))))</f>
        <v>0</v>
      </c>
    </row>
    <row r="214" spans="1:22">
      <c r="A214" s="39">
        <f>IF(B214="","",SpendPrefix&amp;TEXT(ROW()-4,"0000"))</f>
        <v>0</v>
      </c>
      <c r="C214" s="17">
        <f>IF(B214="","",TEXT(B214,"ddd"))</f>
        <v>0</v>
      </c>
      <c r="D214" s="18">
        <f>IF(B214="","",WEEKNUM(B214,IF(WeekStart="Sunday",1,2)))</f>
        <v>0</v>
      </c>
      <c r="E214" s="17">
        <f>IF(B214="","",TEXT(B214,"yyyy-mm"))</f>
        <v>0</v>
      </c>
      <c r="L214" s="25">
        <f>IF(OR(K214="",I214="",I214=0),"",K214/I214)</f>
        <v>0</v>
      </c>
      <c r="S214" s="25">
        <f>MonthlyBudget</f>
        <v>0</v>
      </c>
      <c r="T214" s="25">
        <f>IF(B214="","",SUMIFS($K$5:$K$404,$E$5:$E$404,E214))</f>
        <v>0</v>
      </c>
      <c r="U214" s="31">
        <f>IF(B214="","",IF(T214&gt;MonthlyBudget,"Check - over the monthly budget","OK"))</f>
        <v>0</v>
      </c>
      <c r="V214" s="31">
        <f>IF(B214="","",IF(K214="","Add - no amount",IF(Q214="Yes","Wasted",IF(O214="No","Check - unplanned","Purchased"))))</f>
        <v>0</v>
      </c>
    </row>
    <row r="215" spans="1:22">
      <c r="A215" s="39">
        <f>IF(B215="","",SpendPrefix&amp;TEXT(ROW()-4,"0000"))</f>
        <v>0</v>
      </c>
      <c r="C215" s="17">
        <f>IF(B215="","",TEXT(B215,"ddd"))</f>
        <v>0</v>
      </c>
      <c r="D215" s="18">
        <f>IF(B215="","",WEEKNUM(B215,IF(WeekStart="Sunday",1,2)))</f>
        <v>0</v>
      </c>
      <c r="E215" s="17">
        <f>IF(B215="","",TEXT(B215,"yyyy-mm"))</f>
        <v>0</v>
      </c>
      <c r="L215" s="25">
        <f>IF(OR(K215="",I215="",I215=0),"",K215/I215)</f>
        <v>0</v>
      </c>
      <c r="S215" s="25">
        <f>MonthlyBudget</f>
        <v>0</v>
      </c>
      <c r="T215" s="25">
        <f>IF(B215="","",SUMIFS($K$5:$K$404,$E$5:$E$404,E215))</f>
        <v>0</v>
      </c>
      <c r="U215" s="31">
        <f>IF(B215="","",IF(T215&gt;MonthlyBudget,"Check - over the monthly budget","OK"))</f>
        <v>0</v>
      </c>
      <c r="V215" s="31">
        <f>IF(B215="","",IF(K215="","Add - no amount",IF(Q215="Yes","Wasted",IF(O215="No","Check - unplanned","Purchased"))))</f>
        <v>0</v>
      </c>
    </row>
    <row r="216" spans="1:22">
      <c r="A216" s="39">
        <f>IF(B216="","",SpendPrefix&amp;TEXT(ROW()-4,"0000"))</f>
        <v>0</v>
      </c>
      <c r="C216" s="17">
        <f>IF(B216="","",TEXT(B216,"ddd"))</f>
        <v>0</v>
      </c>
      <c r="D216" s="18">
        <f>IF(B216="","",WEEKNUM(B216,IF(WeekStart="Sunday",1,2)))</f>
        <v>0</v>
      </c>
      <c r="E216" s="17">
        <f>IF(B216="","",TEXT(B216,"yyyy-mm"))</f>
        <v>0</v>
      </c>
      <c r="L216" s="25">
        <f>IF(OR(K216="",I216="",I216=0),"",K216/I216)</f>
        <v>0</v>
      </c>
      <c r="S216" s="25">
        <f>MonthlyBudget</f>
        <v>0</v>
      </c>
      <c r="T216" s="25">
        <f>IF(B216="","",SUMIFS($K$5:$K$404,$E$5:$E$404,E216))</f>
        <v>0</v>
      </c>
      <c r="U216" s="31">
        <f>IF(B216="","",IF(T216&gt;MonthlyBudget,"Check - over the monthly budget","OK"))</f>
        <v>0</v>
      </c>
      <c r="V216" s="31">
        <f>IF(B216="","",IF(K216="","Add - no amount",IF(Q216="Yes","Wasted",IF(O216="No","Check - unplanned","Purchased"))))</f>
        <v>0</v>
      </c>
    </row>
    <row r="217" spans="1:22">
      <c r="A217" s="39">
        <f>IF(B217="","",SpendPrefix&amp;TEXT(ROW()-4,"0000"))</f>
        <v>0</v>
      </c>
      <c r="C217" s="17">
        <f>IF(B217="","",TEXT(B217,"ddd"))</f>
        <v>0</v>
      </c>
      <c r="D217" s="18">
        <f>IF(B217="","",WEEKNUM(B217,IF(WeekStart="Sunday",1,2)))</f>
        <v>0</v>
      </c>
      <c r="E217" s="17">
        <f>IF(B217="","",TEXT(B217,"yyyy-mm"))</f>
        <v>0</v>
      </c>
      <c r="L217" s="25">
        <f>IF(OR(K217="",I217="",I217=0),"",K217/I217)</f>
        <v>0</v>
      </c>
      <c r="S217" s="25">
        <f>MonthlyBudget</f>
        <v>0</v>
      </c>
      <c r="T217" s="25">
        <f>IF(B217="","",SUMIFS($K$5:$K$404,$E$5:$E$404,E217))</f>
        <v>0</v>
      </c>
      <c r="U217" s="31">
        <f>IF(B217="","",IF(T217&gt;MonthlyBudget,"Check - over the monthly budget","OK"))</f>
        <v>0</v>
      </c>
      <c r="V217" s="31">
        <f>IF(B217="","",IF(K217="","Add - no amount",IF(Q217="Yes","Wasted",IF(O217="No","Check - unplanned","Purchased"))))</f>
        <v>0</v>
      </c>
    </row>
    <row r="218" spans="1:22">
      <c r="A218" s="39">
        <f>IF(B218="","",SpendPrefix&amp;TEXT(ROW()-4,"0000"))</f>
        <v>0</v>
      </c>
      <c r="C218" s="17">
        <f>IF(B218="","",TEXT(B218,"ddd"))</f>
        <v>0</v>
      </c>
      <c r="D218" s="18">
        <f>IF(B218="","",WEEKNUM(B218,IF(WeekStart="Sunday",1,2)))</f>
        <v>0</v>
      </c>
      <c r="E218" s="17">
        <f>IF(B218="","",TEXT(B218,"yyyy-mm"))</f>
        <v>0</v>
      </c>
      <c r="L218" s="25">
        <f>IF(OR(K218="",I218="",I218=0),"",K218/I218)</f>
        <v>0</v>
      </c>
      <c r="S218" s="25">
        <f>MonthlyBudget</f>
        <v>0</v>
      </c>
      <c r="T218" s="25">
        <f>IF(B218="","",SUMIFS($K$5:$K$404,$E$5:$E$404,E218))</f>
        <v>0</v>
      </c>
      <c r="U218" s="31">
        <f>IF(B218="","",IF(T218&gt;MonthlyBudget,"Check - over the monthly budget","OK"))</f>
        <v>0</v>
      </c>
      <c r="V218" s="31">
        <f>IF(B218="","",IF(K218="","Add - no amount",IF(Q218="Yes","Wasted",IF(O218="No","Check - unplanned","Purchased"))))</f>
        <v>0</v>
      </c>
    </row>
    <row r="219" spans="1:22">
      <c r="A219" s="39">
        <f>IF(B219="","",SpendPrefix&amp;TEXT(ROW()-4,"0000"))</f>
        <v>0</v>
      </c>
      <c r="C219" s="17">
        <f>IF(B219="","",TEXT(B219,"ddd"))</f>
        <v>0</v>
      </c>
      <c r="D219" s="18">
        <f>IF(B219="","",WEEKNUM(B219,IF(WeekStart="Sunday",1,2)))</f>
        <v>0</v>
      </c>
      <c r="E219" s="17">
        <f>IF(B219="","",TEXT(B219,"yyyy-mm"))</f>
        <v>0</v>
      </c>
      <c r="L219" s="25">
        <f>IF(OR(K219="",I219="",I219=0),"",K219/I219)</f>
        <v>0</v>
      </c>
      <c r="S219" s="25">
        <f>MonthlyBudget</f>
        <v>0</v>
      </c>
      <c r="T219" s="25">
        <f>IF(B219="","",SUMIFS($K$5:$K$404,$E$5:$E$404,E219))</f>
        <v>0</v>
      </c>
      <c r="U219" s="31">
        <f>IF(B219="","",IF(T219&gt;MonthlyBudget,"Check - over the monthly budget","OK"))</f>
        <v>0</v>
      </c>
      <c r="V219" s="31">
        <f>IF(B219="","",IF(K219="","Add - no amount",IF(Q219="Yes","Wasted",IF(O219="No","Check - unplanned","Purchased"))))</f>
        <v>0</v>
      </c>
    </row>
    <row r="220" spans="1:22">
      <c r="A220" s="39">
        <f>IF(B220="","",SpendPrefix&amp;TEXT(ROW()-4,"0000"))</f>
        <v>0</v>
      </c>
      <c r="C220" s="17">
        <f>IF(B220="","",TEXT(B220,"ddd"))</f>
        <v>0</v>
      </c>
      <c r="D220" s="18">
        <f>IF(B220="","",WEEKNUM(B220,IF(WeekStart="Sunday",1,2)))</f>
        <v>0</v>
      </c>
      <c r="E220" s="17">
        <f>IF(B220="","",TEXT(B220,"yyyy-mm"))</f>
        <v>0</v>
      </c>
      <c r="L220" s="25">
        <f>IF(OR(K220="",I220="",I220=0),"",K220/I220)</f>
        <v>0</v>
      </c>
      <c r="S220" s="25">
        <f>MonthlyBudget</f>
        <v>0</v>
      </c>
      <c r="T220" s="25">
        <f>IF(B220="","",SUMIFS($K$5:$K$404,$E$5:$E$404,E220))</f>
        <v>0</v>
      </c>
      <c r="U220" s="31">
        <f>IF(B220="","",IF(T220&gt;MonthlyBudget,"Check - over the monthly budget","OK"))</f>
        <v>0</v>
      </c>
      <c r="V220" s="31">
        <f>IF(B220="","",IF(K220="","Add - no amount",IF(Q220="Yes","Wasted",IF(O220="No","Check - unplanned","Purchased"))))</f>
        <v>0</v>
      </c>
    </row>
    <row r="221" spans="1:22">
      <c r="A221" s="39">
        <f>IF(B221="","",SpendPrefix&amp;TEXT(ROW()-4,"0000"))</f>
        <v>0</v>
      </c>
      <c r="C221" s="17">
        <f>IF(B221="","",TEXT(B221,"ddd"))</f>
        <v>0</v>
      </c>
      <c r="D221" s="18">
        <f>IF(B221="","",WEEKNUM(B221,IF(WeekStart="Sunday",1,2)))</f>
        <v>0</v>
      </c>
      <c r="E221" s="17">
        <f>IF(B221="","",TEXT(B221,"yyyy-mm"))</f>
        <v>0</v>
      </c>
      <c r="L221" s="25">
        <f>IF(OR(K221="",I221="",I221=0),"",K221/I221)</f>
        <v>0</v>
      </c>
      <c r="S221" s="25">
        <f>MonthlyBudget</f>
        <v>0</v>
      </c>
      <c r="T221" s="25">
        <f>IF(B221="","",SUMIFS($K$5:$K$404,$E$5:$E$404,E221))</f>
        <v>0</v>
      </c>
      <c r="U221" s="31">
        <f>IF(B221="","",IF(T221&gt;MonthlyBudget,"Check - over the monthly budget","OK"))</f>
        <v>0</v>
      </c>
      <c r="V221" s="31">
        <f>IF(B221="","",IF(K221="","Add - no amount",IF(Q221="Yes","Wasted",IF(O221="No","Check - unplanned","Purchased"))))</f>
        <v>0</v>
      </c>
    </row>
    <row r="222" spans="1:22">
      <c r="A222" s="39">
        <f>IF(B222="","",SpendPrefix&amp;TEXT(ROW()-4,"0000"))</f>
        <v>0</v>
      </c>
      <c r="C222" s="17">
        <f>IF(B222="","",TEXT(B222,"ddd"))</f>
        <v>0</v>
      </c>
      <c r="D222" s="18">
        <f>IF(B222="","",WEEKNUM(B222,IF(WeekStart="Sunday",1,2)))</f>
        <v>0</v>
      </c>
      <c r="E222" s="17">
        <f>IF(B222="","",TEXT(B222,"yyyy-mm"))</f>
        <v>0</v>
      </c>
      <c r="L222" s="25">
        <f>IF(OR(K222="",I222="",I222=0),"",K222/I222)</f>
        <v>0</v>
      </c>
      <c r="S222" s="25">
        <f>MonthlyBudget</f>
        <v>0</v>
      </c>
      <c r="T222" s="25">
        <f>IF(B222="","",SUMIFS($K$5:$K$404,$E$5:$E$404,E222))</f>
        <v>0</v>
      </c>
      <c r="U222" s="31">
        <f>IF(B222="","",IF(T222&gt;MonthlyBudget,"Check - over the monthly budget","OK"))</f>
        <v>0</v>
      </c>
      <c r="V222" s="31">
        <f>IF(B222="","",IF(K222="","Add - no amount",IF(Q222="Yes","Wasted",IF(O222="No","Check - unplanned","Purchased"))))</f>
        <v>0</v>
      </c>
    </row>
    <row r="223" spans="1:22">
      <c r="A223" s="39">
        <f>IF(B223="","",SpendPrefix&amp;TEXT(ROW()-4,"0000"))</f>
        <v>0</v>
      </c>
      <c r="C223" s="17">
        <f>IF(B223="","",TEXT(B223,"ddd"))</f>
        <v>0</v>
      </c>
      <c r="D223" s="18">
        <f>IF(B223="","",WEEKNUM(B223,IF(WeekStart="Sunday",1,2)))</f>
        <v>0</v>
      </c>
      <c r="E223" s="17">
        <f>IF(B223="","",TEXT(B223,"yyyy-mm"))</f>
        <v>0</v>
      </c>
      <c r="L223" s="25">
        <f>IF(OR(K223="",I223="",I223=0),"",K223/I223)</f>
        <v>0</v>
      </c>
      <c r="S223" s="25">
        <f>MonthlyBudget</f>
        <v>0</v>
      </c>
      <c r="T223" s="25">
        <f>IF(B223="","",SUMIFS($K$5:$K$404,$E$5:$E$404,E223))</f>
        <v>0</v>
      </c>
      <c r="U223" s="31">
        <f>IF(B223="","",IF(T223&gt;MonthlyBudget,"Check - over the monthly budget","OK"))</f>
        <v>0</v>
      </c>
      <c r="V223" s="31">
        <f>IF(B223="","",IF(K223="","Add - no amount",IF(Q223="Yes","Wasted",IF(O223="No","Check - unplanned","Purchased"))))</f>
        <v>0</v>
      </c>
    </row>
    <row r="224" spans="1:22">
      <c r="A224" s="39">
        <f>IF(B224="","",SpendPrefix&amp;TEXT(ROW()-4,"0000"))</f>
        <v>0</v>
      </c>
      <c r="C224" s="17">
        <f>IF(B224="","",TEXT(B224,"ddd"))</f>
        <v>0</v>
      </c>
      <c r="D224" s="18">
        <f>IF(B224="","",WEEKNUM(B224,IF(WeekStart="Sunday",1,2)))</f>
        <v>0</v>
      </c>
      <c r="E224" s="17">
        <f>IF(B224="","",TEXT(B224,"yyyy-mm"))</f>
        <v>0</v>
      </c>
      <c r="L224" s="25">
        <f>IF(OR(K224="",I224="",I224=0),"",K224/I224)</f>
        <v>0</v>
      </c>
      <c r="S224" s="25">
        <f>MonthlyBudget</f>
        <v>0</v>
      </c>
      <c r="T224" s="25">
        <f>IF(B224="","",SUMIFS($K$5:$K$404,$E$5:$E$404,E224))</f>
        <v>0</v>
      </c>
      <c r="U224" s="31">
        <f>IF(B224="","",IF(T224&gt;MonthlyBudget,"Check - over the monthly budget","OK"))</f>
        <v>0</v>
      </c>
      <c r="V224" s="31">
        <f>IF(B224="","",IF(K224="","Add - no amount",IF(Q224="Yes","Wasted",IF(O224="No","Check - unplanned","Purchased"))))</f>
        <v>0</v>
      </c>
    </row>
    <row r="225" spans="1:22">
      <c r="A225" s="39">
        <f>IF(B225="","",SpendPrefix&amp;TEXT(ROW()-4,"0000"))</f>
        <v>0</v>
      </c>
      <c r="C225" s="17">
        <f>IF(B225="","",TEXT(B225,"ddd"))</f>
        <v>0</v>
      </c>
      <c r="D225" s="18">
        <f>IF(B225="","",WEEKNUM(B225,IF(WeekStart="Sunday",1,2)))</f>
        <v>0</v>
      </c>
      <c r="E225" s="17">
        <f>IF(B225="","",TEXT(B225,"yyyy-mm"))</f>
        <v>0</v>
      </c>
      <c r="L225" s="25">
        <f>IF(OR(K225="",I225="",I225=0),"",K225/I225)</f>
        <v>0</v>
      </c>
      <c r="S225" s="25">
        <f>MonthlyBudget</f>
        <v>0</v>
      </c>
      <c r="T225" s="25">
        <f>IF(B225="","",SUMIFS($K$5:$K$404,$E$5:$E$404,E225))</f>
        <v>0</v>
      </c>
      <c r="U225" s="31">
        <f>IF(B225="","",IF(T225&gt;MonthlyBudget,"Check - over the monthly budget","OK"))</f>
        <v>0</v>
      </c>
      <c r="V225" s="31">
        <f>IF(B225="","",IF(K225="","Add - no amount",IF(Q225="Yes","Wasted",IF(O225="No","Check - unplanned","Purchased"))))</f>
        <v>0</v>
      </c>
    </row>
    <row r="226" spans="1:22">
      <c r="A226" s="39">
        <f>IF(B226="","",SpendPrefix&amp;TEXT(ROW()-4,"0000"))</f>
        <v>0</v>
      </c>
      <c r="C226" s="17">
        <f>IF(B226="","",TEXT(B226,"ddd"))</f>
        <v>0</v>
      </c>
      <c r="D226" s="18">
        <f>IF(B226="","",WEEKNUM(B226,IF(WeekStart="Sunday",1,2)))</f>
        <v>0</v>
      </c>
      <c r="E226" s="17">
        <f>IF(B226="","",TEXT(B226,"yyyy-mm"))</f>
        <v>0</v>
      </c>
      <c r="L226" s="25">
        <f>IF(OR(K226="",I226="",I226=0),"",K226/I226)</f>
        <v>0</v>
      </c>
      <c r="S226" s="25">
        <f>MonthlyBudget</f>
        <v>0</v>
      </c>
      <c r="T226" s="25">
        <f>IF(B226="","",SUMIFS($K$5:$K$404,$E$5:$E$404,E226))</f>
        <v>0</v>
      </c>
      <c r="U226" s="31">
        <f>IF(B226="","",IF(T226&gt;MonthlyBudget,"Check - over the monthly budget","OK"))</f>
        <v>0</v>
      </c>
      <c r="V226" s="31">
        <f>IF(B226="","",IF(K226="","Add - no amount",IF(Q226="Yes","Wasted",IF(O226="No","Check - unplanned","Purchased"))))</f>
        <v>0</v>
      </c>
    </row>
    <row r="227" spans="1:22">
      <c r="A227" s="39">
        <f>IF(B227="","",SpendPrefix&amp;TEXT(ROW()-4,"0000"))</f>
        <v>0</v>
      </c>
      <c r="C227" s="17">
        <f>IF(B227="","",TEXT(B227,"ddd"))</f>
        <v>0</v>
      </c>
      <c r="D227" s="18">
        <f>IF(B227="","",WEEKNUM(B227,IF(WeekStart="Sunday",1,2)))</f>
        <v>0</v>
      </c>
      <c r="E227" s="17">
        <f>IF(B227="","",TEXT(B227,"yyyy-mm"))</f>
        <v>0</v>
      </c>
      <c r="L227" s="25">
        <f>IF(OR(K227="",I227="",I227=0),"",K227/I227)</f>
        <v>0</v>
      </c>
      <c r="S227" s="25">
        <f>MonthlyBudget</f>
        <v>0</v>
      </c>
      <c r="T227" s="25">
        <f>IF(B227="","",SUMIFS($K$5:$K$404,$E$5:$E$404,E227))</f>
        <v>0</v>
      </c>
      <c r="U227" s="31">
        <f>IF(B227="","",IF(T227&gt;MonthlyBudget,"Check - over the monthly budget","OK"))</f>
        <v>0</v>
      </c>
      <c r="V227" s="31">
        <f>IF(B227="","",IF(K227="","Add - no amount",IF(Q227="Yes","Wasted",IF(O227="No","Check - unplanned","Purchased"))))</f>
        <v>0</v>
      </c>
    </row>
    <row r="228" spans="1:22">
      <c r="A228" s="39">
        <f>IF(B228="","",SpendPrefix&amp;TEXT(ROW()-4,"0000"))</f>
        <v>0</v>
      </c>
      <c r="C228" s="17">
        <f>IF(B228="","",TEXT(B228,"ddd"))</f>
        <v>0</v>
      </c>
      <c r="D228" s="18">
        <f>IF(B228="","",WEEKNUM(B228,IF(WeekStart="Sunday",1,2)))</f>
        <v>0</v>
      </c>
      <c r="E228" s="17">
        <f>IF(B228="","",TEXT(B228,"yyyy-mm"))</f>
        <v>0</v>
      </c>
      <c r="L228" s="25">
        <f>IF(OR(K228="",I228="",I228=0),"",K228/I228)</f>
        <v>0</v>
      </c>
      <c r="S228" s="25">
        <f>MonthlyBudget</f>
        <v>0</v>
      </c>
      <c r="T228" s="25">
        <f>IF(B228="","",SUMIFS($K$5:$K$404,$E$5:$E$404,E228))</f>
        <v>0</v>
      </c>
      <c r="U228" s="31">
        <f>IF(B228="","",IF(T228&gt;MonthlyBudget,"Check - over the monthly budget","OK"))</f>
        <v>0</v>
      </c>
      <c r="V228" s="31">
        <f>IF(B228="","",IF(K228="","Add - no amount",IF(Q228="Yes","Wasted",IF(O228="No","Check - unplanned","Purchased"))))</f>
        <v>0</v>
      </c>
    </row>
    <row r="229" spans="1:22">
      <c r="A229" s="39">
        <f>IF(B229="","",SpendPrefix&amp;TEXT(ROW()-4,"0000"))</f>
        <v>0</v>
      </c>
      <c r="C229" s="17">
        <f>IF(B229="","",TEXT(B229,"ddd"))</f>
        <v>0</v>
      </c>
      <c r="D229" s="18">
        <f>IF(B229="","",WEEKNUM(B229,IF(WeekStart="Sunday",1,2)))</f>
        <v>0</v>
      </c>
      <c r="E229" s="17">
        <f>IF(B229="","",TEXT(B229,"yyyy-mm"))</f>
        <v>0</v>
      </c>
      <c r="L229" s="25">
        <f>IF(OR(K229="",I229="",I229=0),"",K229/I229)</f>
        <v>0</v>
      </c>
      <c r="S229" s="25">
        <f>MonthlyBudget</f>
        <v>0</v>
      </c>
      <c r="T229" s="25">
        <f>IF(B229="","",SUMIFS($K$5:$K$404,$E$5:$E$404,E229))</f>
        <v>0</v>
      </c>
      <c r="U229" s="31">
        <f>IF(B229="","",IF(T229&gt;MonthlyBudget,"Check - over the monthly budget","OK"))</f>
        <v>0</v>
      </c>
      <c r="V229" s="31">
        <f>IF(B229="","",IF(K229="","Add - no amount",IF(Q229="Yes","Wasted",IF(O229="No","Check - unplanned","Purchased"))))</f>
        <v>0</v>
      </c>
    </row>
    <row r="230" spans="1:22">
      <c r="A230" s="39">
        <f>IF(B230="","",SpendPrefix&amp;TEXT(ROW()-4,"0000"))</f>
        <v>0</v>
      </c>
      <c r="C230" s="17">
        <f>IF(B230="","",TEXT(B230,"ddd"))</f>
        <v>0</v>
      </c>
      <c r="D230" s="18">
        <f>IF(B230="","",WEEKNUM(B230,IF(WeekStart="Sunday",1,2)))</f>
        <v>0</v>
      </c>
      <c r="E230" s="17">
        <f>IF(B230="","",TEXT(B230,"yyyy-mm"))</f>
        <v>0</v>
      </c>
      <c r="L230" s="25">
        <f>IF(OR(K230="",I230="",I230=0),"",K230/I230)</f>
        <v>0</v>
      </c>
      <c r="S230" s="25">
        <f>MonthlyBudget</f>
        <v>0</v>
      </c>
      <c r="T230" s="25">
        <f>IF(B230="","",SUMIFS($K$5:$K$404,$E$5:$E$404,E230))</f>
        <v>0</v>
      </c>
      <c r="U230" s="31">
        <f>IF(B230="","",IF(T230&gt;MonthlyBudget,"Check - over the monthly budget","OK"))</f>
        <v>0</v>
      </c>
      <c r="V230" s="31">
        <f>IF(B230="","",IF(K230="","Add - no amount",IF(Q230="Yes","Wasted",IF(O230="No","Check - unplanned","Purchased"))))</f>
        <v>0</v>
      </c>
    </row>
    <row r="231" spans="1:22">
      <c r="A231" s="39">
        <f>IF(B231="","",SpendPrefix&amp;TEXT(ROW()-4,"0000"))</f>
        <v>0</v>
      </c>
      <c r="C231" s="17">
        <f>IF(B231="","",TEXT(B231,"ddd"))</f>
        <v>0</v>
      </c>
      <c r="D231" s="18">
        <f>IF(B231="","",WEEKNUM(B231,IF(WeekStart="Sunday",1,2)))</f>
        <v>0</v>
      </c>
      <c r="E231" s="17">
        <f>IF(B231="","",TEXT(B231,"yyyy-mm"))</f>
        <v>0</v>
      </c>
      <c r="L231" s="25">
        <f>IF(OR(K231="",I231="",I231=0),"",K231/I231)</f>
        <v>0</v>
      </c>
      <c r="S231" s="25">
        <f>MonthlyBudget</f>
        <v>0</v>
      </c>
      <c r="T231" s="25">
        <f>IF(B231="","",SUMIFS($K$5:$K$404,$E$5:$E$404,E231))</f>
        <v>0</v>
      </c>
      <c r="U231" s="31">
        <f>IF(B231="","",IF(T231&gt;MonthlyBudget,"Check - over the monthly budget","OK"))</f>
        <v>0</v>
      </c>
      <c r="V231" s="31">
        <f>IF(B231="","",IF(K231="","Add - no amount",IF(Q231="Yes","Wasted",IF(O231="No","Check - unplanned","Purchased"))))</f>
        <v>0</v>
      </c>
    </row>
    <row r="232" spans="1:22">
      <c r="A232" s="39">
        <f>IF(B232="","",SpendPrefix&amp;TEXT(ROW()-4,"0000"))</f>
        <v>0</v>
      </c>
      <c r="C232" s="17">
        <f>IF(B232="","",TEXT(B232,"ddd"))</f>
        <v>0</v>
      </c>
      <c r="D232" s="18">
        <f>IF(B232="","",WEEKNUM(B232,IF(WeekStart="Sunday",1,2)))</f>
        <v>0</v>
      </c>
      <c r="E232" s="17">
        <f>IF(B232="","",TEXT(B232,"yyyy-mm"))</f>
        <v>0</v>
      </c>
      <c r="L232" s="25">
        <f>IF(OR(K232="",I232="",I232=0),"",K232/I232)</f>
        <v>0</v>
      </c>
      <c r="S232" s="25">
        <f>MonthlyBudget</f>
        <v>0</v>
      </c>
      <c r="T232" s="25">
        <f>IF(B232="","",SUMIFS($K$5:$K$404,$E$5:$E$404,E232))</f>
        <v>0</v>
      </c>
      <c r="U232" s="31">
        <f>IF(B232="","",IF(T232&gt;MonthlyBudget,"Check - over the monthly budget","OK"))</f>
        <v>0</v>
      </c>
      <c r="V232" s="31">
        <f>IF(B232="","",IF(K232="","Add - no amount",IF(Q232="Yes","Wasted",IF(O232="No","Check - unplanned","Purchased"))))</f>
        <v>0</v>
      </c>
    </row>
    <row r="233" spans="1:22">
      <c r="A233" s="39">
        <f>IF(B233="","",SpendPrefix&amp;TEXT(ROW()-4,"0000"))</f>
        <v>0</v>
      </c>
      <c r="C233" s="17">
        <f>IF(B233="","",TEXT(B233,"ddd"))</f>
        <v>0</v>
      </c>
      <c r="D233" s="18">
        <f>IF(B233="","",WEEKNUM(B233,IF(WeekStart="Sunday",1,2)))</f>
        <v>0</v>
      </c>
      <c r="E233" s="17">
        <f>IF(B233="","",TEXT(B233,"yyyy-mm"))</f>
        <v>0</v>
      </c>
      <c r="L233" s="25">
        <f>IF(OR(K233="",I233="",I233=0),"",K233/I233)</f>
        <v>0</v>
      </c>
      <c r="S233" s="25">
        <f>MonthlyBudget</f>
        <v>0</v>
      </c>
      <c r="T233" s="25">
        <f>IF(B233="","",SUMIFS($K$5:$K$404,$E$5:$E$404,E233))</f>
        <v>0</v>
      </c>
      <c r="U233" s="31">
        <f>IF(B233="","",IF(T233&gt;MonthlyBudget,"Check - over the monthly budget","OK"))</f>
        <v>0</v>
      </c>
      <c r="V233" s="31">
        <f>IF(B233="","",IF(K233="","Add - no amount",IF(Q233="Yes","Wasted",IF(O233="No","Check - unplanned","Purchased"))))</f>
        <v>0</v>
      </c>
    </row>
    <row r="234" spans="1:22">
      <c r="A234" s="39">
        <f>IF(B234="","",SpendPrefix&amp;TEXT(ROW()-4,"0000"))</f>
        <v>0</v>
      </c>
      <c r="C234" s="17">
        <f>IF(B234="","",TEXT(B234,"ddd"))</f>
        <v>0</v>
      </c>
      <c r="D234" s="18">
        <f>IF(B234="","",WEEKNUM(B234,IF(WeekStart="Sunday",1,2)))</f>
        <v>0</v>
      </c>
      <c r="E234" s="17">
        <f>IF(B234="","",TEXT(B234,"yyyy-mm"))</f>
        <v>0</v>
      </c>
      <c r="L234" s="25">
        <f>IF(OR(K234="",I234="",I234=0),"",K234/I234)</f>
        <v>0</v>
      </c>
      <c r="S234" s="25">
        <f>MonthlyBudget</f>
        <v>0</v>
      </c>
      <c r="T234" s="25">
        <f>IF(B234="","",SUMIFS($K$5:$K$404,$E$5:$E$404,E234))</f>
        <v>0</v>
      </c>
      <c r="U234" s="31">
        <f>IF(B234="","",IF(T234&gt;MonthlyBudget,"Check - over the monthly budget","OK"))</f>
        <v>0</v>
      </c>
      <c r="V234" s="31">
        <f>IF(B234="","",IF(K234="","Add - no amount",IF(Q234="Yes","Wasted",IF(O234="No","Check - unplanned","Purchased"))))</f>
        <v>0</v>
      </c>
    </row>
    <row r="235" spans="1:22">
      <c r="A235" s="39">
        <f>IF(B235="","",SpendPrefix&amp;TEXT(ROW()-4,"0000"))</f>
        <v>0</v>
      </c>
      <c r="C235" s="17">
        <f>IF(B235="","",TEXT(B235,"ddd"))</f>
        <v>0</v>
      </c>
      <c r="D235" s="18">
        <f>IF(B235="","",WEEKNUM(B235,IF(WeekStart="Sunday",1,2)))</f>
        <v>0</v>
      </c>
      <c r="E235" s="17">
        <f>IF(B235="","",TEXT(B235,"yyyy-mm"))</f>
        <v>0</v>
      </c>
      <c r="L235" s="25">
        <f>IF(OR(K235="",I235="",I235=0),"",K235/I235)</f>
        <v>0</v>
      </c>
      <c r="S235" s="25">
        <f>MonthlyBudget</f>
        <v>0</v>
      </c>
      <c r="T235" s="25">
        <f>IF(B235="","",SUMIFS($K$5:$K$404,$E$5:$E$404,E235))</f>
        <v>0</v>
      </c>
      <c r="U235" s="31">
        <f>IF(B235="","",IF(T235&gt;MonthlyBudget,"Check - over the monthly budget","OK"))</f>
        <v>0</v>
      </c>
      <c r="V235" s="31">
        <f>IF(B235="","",IF(K235="","Add - no amount",IF(Q235="Yes","Wasted",IF(O235="No","Check - unplanned","Purchased"))))</f>
        <v>0</v>
      </c>
    </row>
    <row r="236" spans="1:22">
      <c r="A236" s="39">
        <f>IF(B236="","",SpendPrefix&amp;TEXT(ROW()-4,"0000"))</f>
        <v>0</v>
      </c>
      <c r="C236" s="17">
        <f>IF(B236="","",TEXT(B236,"ddd"))</f>
        <v>0</v>
      </c>
      <c r="D236" s="18">
        <f>IF(B236="","",WEEKNUM(B236,IF(WeekStart="Sunday",1,2)))</f>
        <v>0</v>
      </c>
      <c r="E236" s="17">
        <f>IF(B236="","",TEXT(B236,"yyyy-mm"))</f>
        <v>0</v>
      </c>
      <c r="L236" s="25">
        <f>IF(OR(K236="",I236="",I236=0),"",K236/I236)</f>
        <v>0</v>
      </c>
      <c r="S236" s="25">
        <f>MonthlyBudget</f>
        <v>0</v>
      </c>
      <c r="T236" s="25">
        <f>IF(B236="","",SUMIFS($K$5:$K$404,$E$5:$E$404,E236))</f>
        <v>0</v>
      </c>
      <c r="U236" s="31">
        <f>IF(B236="","",IF(T236&gt;MonthlyBudget,"Check - over the monthly budget","OK"))</f>
        <v>0</v>
      </c>
      <c r="V236" s="31">
        <f>IF(B236="","",IF(K236="","Add - no amount",IF(Q236="Yes","Wasted",IF(O236="No","Check - unplanned","Purchased"))))</f>
        <v>0</v>
      </c>
    </row>
    <row r="237" spans="1:22">
      <c r="A237" s="39">
        <f>IF(B237="","",SpendPrefix&amp;TEXT(ROW()-4,"0000"))</f>
        <v>0</v>
      </c>
      <c r="C237" s="17">
        <f>IF(B237="","",TEXT(B237,"ddd"))</f>
        <v>0</v>
      </c>
      <c r="D237" s="18">
        <f>IF(B237="","",WEEKNUM(B237,IF(WeekStart="Sunday",1,2)))</f>
        <v>0</v>
      </c>
      <c r="E237" s="17">
        <f>IF(B237="","",TEXT(B237,"yyyy-mm"))</f>
        <v>0</v>
      </c>
      <c r="L237" s="25">
        <f>IF(OR(K237="",I237="",I237=0),"",K237/I237)</f>
        <v>0</v>
      </c>
      <c r="S237" s="25">
        <f>MonthlyBudget</f>
        <v>0</v>
      </c>
      <c r="T237" s="25">
        <f>IF(B237="","",SUMIFS($K$5:$K$404,$E$5:$E$404,E237))</f>
        <v>0</v>
      </c>
      <c r="U237" s="31">
        <f>IF(B237="","",IF(T237&gt;MonthlyBudget,"Check - over the monthly budget","OK"))</f>
        <v>0</v>
      </c>
      <c r="V237" s="31">
        <f>IF(B237="","",IF(K237="","Add - no amount",IF(Q237="Yes","Wasted",IF(O237="No","Check - unplanned","Purchased"))))</f>
        <v>0</v>
      </c>
    </row>
    <row r="238" spans="1:22">
      <c r="A238" s="39">
        <f>IF(B238="","",SpendPrefix&amp;TEXT(ROW()-4,"0000"))</f>
        <v>0</v>
      </c>
      <c r="C238" s="17">
        <f>IF(B238="","",TEXT(B238,"ddd"))</f>
        <v>0</v>
      </c>
      <c r="D238" s="18">
        <f>IF(B238="","",WEEKNUM(B238,IF(WeekStart="Sunday",1,2)))</f>
        <v>0</v>
      </c>
      <c r="E238" s="17">
        <f>IF(B238="","",TEXT(B238,"yyyy-mm"))</f>
        <v>0</v>
      </c>
      <c r="L238" s="25">
        <f>IF(OR(K238="",I238="",I238=0),"",K238/I238)</f>
        <v>0</v>
      </c>
      <c r="S238" s="25">
        <f>MonthlyBudget</f>
        <v>0</v>
      </c>
      <c r="T238" s="25">
        <f>IF(B238="","",SUMIFS($K$5:$K$404,$E$5:$E$404,E238))</f>
        <v>0</v>
      </c>
      <c r="U238" s="31">
        <f>IF(B238="","",IF(T238&gt;MonthlyBudget,"Check - over the monthly budget","OK"))</f>
        <v>0</v>
      </c>
      <c r="V238" s="31">
        <f>IF(B238="","",IF(K238="","Add - no amount",IF(Q238="Yes","Wasted",IF(O238="No","Check - unplanned","Purchased"))))</f>
        <v>0</v>
      </c>
    </row>
    <row r="239" spans="1:22">
      <c r="A239" s="39">
        <f>IF(B239="","",SpendPrefix&amp;TEXT(ROW()-4,"0000"))</f>
        <v>0</v>
      </c>
      <c r="C239" s="17">
        <f>IF(B239="","",TEXT(B239,"ddd"))</f>
        <v>0</v>
      </c>
      <c r="D239" s="18">
        <f>IF(B239="","",WEEKNUM(B239,IF(WeekStart="Sunday",1,2)))</f>
        <v>0</v>
      </c>
      <c r="E239" s="17">
        <f>IF(B239="","",TEXT(B239,"yyyy-mm"))</f>
        <v>0</v>
      </c>
      <c r="L239" s="25">
        <f>IF(OR(K239="",I239="",I239=0),"",K239/I239)</f>
        <v>0</v>
      </c>
      <c r="S239" s="25">
        <f>MonthlyBudget</f>
        <v>0</v>
      </c>
      <c r="T239" s="25">
        <f>IF(B239="","",SUMIFS($K$5:$K$404,$E$5:$E$404,E239))</f>
        <v>0</v>
      </c>
      <c r="U239" s="31">
        <f>IF(B239="","",IF(T239&gt;MonthlyBudget,"Check - over the monthly budget","OK"))</f>
        <v>0</v>
      </c>
      <c r="V239" s="31">
        <f>IF(B239="","",IF(K239="","Add - no amount",IF(Q239="Yes","Wasted",IF(O239="No","Check - unplanned","Purchased"))))</f>
        <v>0</v>
      </c>
    </row>
    <row r="240" spans="1:22">
      <c r="A240" s="39">
        <f>IF(B240="","",SpendPrefix&amp;TEXT(ROW()-4,"0000"))</f>
        <v>0</v>
      </c>
      <c r="C240" s="17">
        <f>IF(B240="","",TEXT(B240,"ddd"))</f>
        <v>0</v>
      </c>
      <c r="D240" s="18">
        <f>IF(B240="","",WEEKNUM(B240,IF(WeekStart="Sunday",1,2)))</f>
        <v>0</v>
      </c>
      <c r="E240" s="17">
        <f>IF(B240="","",TEXT(B240,"yyyy-mm"))</f>
        <v>0</v>
      </c>
      <c r="L240" s="25">
        <f>IF(OR(K240="",I240="",I240=0),"",K240/I240)</f>
        <v>0</v>
      </c>
      <c r="S240" s="25">
        <f>MonthlyBudget</f>
        <v>0</v>
      </c>
      <c r="T240" s="25">
        <f>IF(B240="","",SUMIFS($K$5:$K$404,$E$5:$E$404,E240))</f>
        <v>0</v>
      </c>
      <c r="U240" s="31">
        <f>IF(B240="","",IF(T240&gt;MonthlyBudget,"Check - over the monthly budget","OK"))</f>
        <v>0</v>
      </c>
      <c r="V240" s="31">
        <f>IF(B240="","",IF(K240="","Add - no amount",IF(Q240="Yes","Wasted",IF(O240="No","Check - unplanned","Purchased"))))</f>
        <v>0</v>
      </c>
    </row>
    <row r="241" spans="1:22">
      <c r="A241" s="39">
        <f>IF(B241="","",SpendPrefix&amp;TEXT(ROW()-4,"0000"))</f>
        <v>0</v>
      </c>
      <c r="C241" s="17">
        <f>IF(B241="","",TEXT(B241,"ddd"))</f>
        <v>0</v>
      </c>
      <c r="D241" s="18">
        <f>IF(B241="","",WEEKNUM(B241,IF(WeekStart="Sunday",1,2)))</f>
        <v>0</v>
      </c>
      <c r="E241" s="17">
        <f>IF(B241="","",TEXT(B241,"yyyy-mm"))</f>
        <v>0</v>
      </c>
      <c r="L241" s="25">
        <f>IF(OR(K241="",I241="",I241=0),"",K241/I241)</f>
        <v>0</v>
      </c>
      <c r="S241" s="25">
        <f>MonthlyBudget</f>
        <v>0</v>
      </c>
      <c r="T241" s="25">
        <f>IF(B241="","",SUMIFS($K$5:$K$404,$E$5:$E$404,E241))</f>
        <v>0</v>
      </c>
      <c r="U241" s="31">
        <f>IF(B241="","",IF(T241&gt;MonthlyBudget,"Check - over the monthly budget","OK"))</f>
        <v>0</v>
      </c>
      <c r="V241" s="31">
        <f>IF(B241="","",IF(K241="","Add - no amount",IF(Q241="Yes","Wasted",IF(O241="No","Check - unplanned","Purchased"))))</f>
        <v>0</v>
      </c>
    </row>
    <row r="242" spans="1:22">
      <c r="A242" s="39">
        <f>IF(B242="","",SpendPrefix&amp;TEXT(ROW()-4,"0000"))</f>
        <v>0</v>
      </c>
      <c r="C242" s="17">
        <f>IF(B242="","",TEXT(B242,"ddd"))</f>
        <v>0</v>
      </c>
      <c r="D242" s="18">
        <f>IF(B242="","",WEEKNUM(B242,IF(WeekStart="Sunday",1,2)))</f>
        <v>0</v>
      </c>
      <c r="E242" s="17">
        <f>IF(B242="","",TEXT(B242,"yyyy-mm"))</f>
        <v>0</v>
      </c>
      <c r="L242" s="25">
        <f>IF(OR(K242="",I242="",I242=0),"",K242/I242)</f>
        <v>0</v>
      </c>
      <c r="S242" s="25">
        <f>MonthlyBudget</f>
        <v>0</v>
      </c>
      <c r="T242" s="25">
        <f>IF(B242="","",SUMIFS($K$5:$K$404,$E$5:$E$404,E242))</f>
        <v>0</v>
      </c>
      <c r="U242" s="31">
        <f>IF(B242="","",IF(T242&gt;MonthlyBudget,"Check - over the monthly budget","OK"))</f>
        <v>0</v>
      </c>
      <c r="V242" s="31">
        <f>IF(B242="","",IF(K242="","Add - no amount",IF(Q242="Yes","Wasted",IF(O242="No","Check - unplanned","Purchased"))))</f>
        <v>0</v>
      </c>
    </row>
    <row r="243" spans="1:22">
      <c r="A243" s="39">
        <f>IF(B243="","",SpendPrefix&amp;TEXT(ROW()-4,"0000"))</f>
        <v>0</v>
      </c>
      <c r="C243" s="17">
        <f>IF(B243="","",TEXT(B243,"ddd"))</f>
        <v>0</v>
      </c>
      <c r="D243" s="18">
        <f>IF(B243="","",WEEKNUM(B243,IF(WeekStart="Sunday",1,2)))</f>
        <v>0</v>
      </c>
      <c r="E243" s="17">
        <f>IF(B243="","",TEXT(B243,"yyyy-mm"))</f>
        <v>0</v>
      </c>
      <c r="L243" s="25">
        <f>IF(OR(K243="",I243="",I243=0),"",K243/I243)</f>
        <v>0</v>
      </c>
      <c r="S243" s="25">
        <f>MonthlyBudget</f>
        <v>0</v>
      </c>
      <c r="T243" s="25">
        <f>IF(B243="","",SUMIFS($K$5:$K$404,$E$5:$E$404,E243))</f>
        <v>0</v>
      </c>
      <c r="U243" s="31">
        <f>IF(B243="","",IF(T243&gt;MonthlyBudget,"Check - over the monthly budget","OK"))</f>
        <v>0</v>
      </c>
      <c r="V243" s="31">
        <f>IF(B243="","",IF(K243="","Add - no amount",IF(Q243="Yes","Wasted",IF(O243="No","Check - unplanned","Purchased"))))</f>
        <v>0</v>
      </c>
    </row>
    <row r="244" spans="1:22">
      <c r="A244" s="39">
        <f>IF(B244="","",SpendPrefix&amp;TEXT(ROW()-4,"0000"))</f>
        <v>0</v>
      </c>
      <c r="C244" s="17">
        <f>IF(B244="","",TEXT(B244,"ddd"))</f>
        <v>0</v>
      </c>
      <c r="D244" s="18">
        <f>IF(B244="","",WEEKNUM(B244,IF(WeekStart="Sunday",1,2)))</f>
        <v>0</v>
      </c>
      <c r="E244" s="17">
        <f>IF(B244="","",TEXT(B244,"yyyy-mm"))</f>
        <v>0</v>
      </c>
      <c r="L244" s="25">
        <f>IF(OR(K244="",I244="",I244=0),"",K244/I244)</f>
        <v>0</v>
      </c>
      <c r="S244" s="25">
        <f>MonthlyBudget</f>
        <v>0</v>
      </c>
      <c r="T244" s="25">
        <f>IF(B244="","",SUMIFS($K$5:$K$404,$E$5:$E$404,E244))</f>
        <v>0</v>
      </c>
      <c r="U244" s="31">
        <f>IF(B244="","",IF(T244&gt;MonthlyBudget,"Check - over the monthly budget","OK"))</f>
        <v>0</v>
      </c>
      <c r="V244" s="31">
        <f>IF(B244="","",IF(K244="","Add - no amount",IF(Q244="Yes","Wasted",IF(O244="No","Check - unplanned","Purchased"))))</f>
        <v>0</v>
      </c>
    </row>
    <row r="245" spans="1:22">
      <c r="A245" s="39">
        <f>IF(B245="","",SpendPrefix&amp;TEXT(ROW()-4,"0000"))</f>
        <v>0</v>
      </c>
      <c r="C245" s="17">
        <f>IF(B245="","",TEXT(B245,"ddd"))</f>
        <v>0</v>
      </c>
      <c r="D245" s="18">
        <f>IF(B245="","",WEEKNUM(B245,IF(WeekStart="Sunday",1,2)))</f>
        <v>0</v>
      </c>
      <c r="E245" s="17">
        <f>IF(B245="","",TEXT(B245,"yyyy-mm"))</f>
        <v>0</v>
      </c>
      <c r="L245" s="25">
        <f>IF(OR(K245="",I245="",I245=0),"",K245/I245)</f>
        <v>0</v>
      </c>
      <c r="S245" s="25">
        <f>MonthlyBudget</f>
        <v>0</v>
      </c>
      <c r="T245" s="25">
        <f>IF(B245="","",SUMIFS($K$5:$K$404,$E$5:$E$404,E245))</f>
        <v>0</v>
      </c>
      <c r="U245" s="31">
        <f>IF(B245="","",IF(T245&gt;MonthlyBudget,"Check - over the monthly budget","OK"))</f>
        <v>0</v>
      </c>
      <c r="V245" s="31">
        <f>IF(B245="","",IF(K245="","Add - no amount",IF(Q245="Yes","Wasted",IF(O245="No","Check - unplanned","Purchased"))))</f>
        <v>0</v>
      </c>
    </row>
    <row r="246" spans="1:22">
      <c r="A246" s="39">
        <f>IF(B246="","",SpendPrefix&amp;TEXT(ROW()-4,"0000"))</f>
        <v>0</v>
      </c>
      <c r="C246" s="17">
        <f>IF(B246="","",TEXT(B246,"ddd"))</f>
        <v>0</v>
      </c>
      <c r="D246" s="18">
        <f>IF(B246="","",WEEKNUM(B246,IF(WeekStart="Sunday",1,2)))</f>
        <v>0</v>
      </c>
      <c r="E246" s="17">
        <f>IF(B246="","",TEXT(B246,"yyyy-mm"))</f>
        <v>0</v>
      </c>
      <c r="L246" s="25">
        <f>IF(OR(K246="",I246="",I246=0),"",K246/I246)</f>
        <v>0</v>
      </c>
      <c r="S246" s="25">
        <f>MonthlyBudget</f>
        <v>0</v>
      </c>
      <c r="T246" s="25">
        <f>IF(B246="","",SUMIFS($K$5:$K$404,$E$5:$E$404,E246))</f>
        <v>0</v>
      </c>
      <c r="U246" s="31">
        <f>IF(B246="","",IF(T246&gt;MonthlyBudget,"Check - over the monthly budget","OK"))</f>
        <v>0</v>
      </c>
      <c r="V246" s="31">
        <f>IF(B246="","",IF(K246="","Add - no amount",IF(Q246="Yes","Wasted",IF(O246="No","Check - unplanned","Purchased"))))</f>
        <v>0</v>
      </c>
    </row>
    <row r="247" spans="1:22">
      <c r="A247" s="39">
        <f>IF(B247="","",SpendPrefix&amp;TEXT(ROW()-4,"0000"))</f>
        <v>0</v>
      </c>
      <c r="C247" s="17">
        <f>IF(B247="","",TEXT(B247,"ddd"))</f>
        <v>0</v>
      </c>
      <c r="D247" s="18">
        <f>IF(B247="","",WEEKNUM(B247,IF(WeekStart="Sunday",1,2)))</f>
        <v>0</v>
      </c>
      <c r="E247" s="17">
        <f>IF(B247="","",TEXT(B247,"yyyy-mm"))</f>
        <v>0</v>
      </c>
      <c r="L247" s="25">
        <f>IF(OR(K247="",I247="",I247=0),"",K247/I247)</f>
        <v>0</v>
      </c>
      <c r="S247" s="25">
        <f>MonthlyBudget</f>
        <v>0</v>
      </c>
      <c r="T247" s="25">
        <f>IF(B247="","",SUMIFS($K$5:$K$404,$E$5:$E$404,E247))</f>
        <v>0</v>
      </c>
      <c r="U247" s="31">
        <f>IF(B247="","",IF(T247&gt;MonthlyBudget,"Check - over the monthly budget","OK"))</f>
        <v>0</v>
      </c>
      <c r="V247" s="31">
        <f>IF(B247="","",IF(K247="","Add - no amount",IF(Q247="Yes","Wasted",IF(O247="No","Check - unplanned","Purchased"))))</f>
        <v>0</v>
      </c>
    </row>
    <row r="248" spans="1:22">
      <c r="A248" s="39">
        <f>IF(B248="","",SpendPrefix&amp;TEXT(ROW()-4,"0000"))</f>
        <v>0</v>
      </c>
      <c r="C248" s="17">
        <f>IF(B248="","",TEXT(B248,"ddd"))</f>
        <v>0</v>
      </c>
      <c r="D248" s="18">
        <f>IF(B248="","",WEEKNUM(B248,IF(WeekStart="Sunday",1,2)))</f>
        <v>0</v>
      </c>
      <c r="E248" s="17">
        <f>IF(B248="","",TEXT(B248,"yyyy-mm"))</f>
        <v>0</v>
      </c>
      <c r="L248" s="25">
        <f>IF(OR(K248="",I248="",I248=0),"",K248/I248)</f>
        <v>0</v>
      </c>
      <c r="S248" s="25">
        <f>MonthlyBudget</f>
        <v>0</v>
      </c>
      <c r="T248" s="25">
        <f>IF(B248="","",SUMIFS($K$5:$K$404,$E$5:$E$404,E248))</f>
        <v>0</v>
      </c>
      <c r="U248" s="31">
        <f>IF(B248="","",IF(T248&gt;MonthlyBudget,"Check - over the monthly budget","OK"))</f>
        <v>0</v>
      </c>
      <c r="V248" s="31">
        <f>IF(B248="","",IF(K248="","Add - no amount",IF(Q248="Yes","Wasted",IF(O248="No","Check - unplanned","Purchased"))))</f>
        <v>0</v>
      </c>
    </row>
    <row r="249" spans="1:22">
      <c r="A249" s="39">
        <f>IF(B249="","",SpendPrefix&amp;TEXT(ROW()-4,"0000"))</f>
        <v>0</v>
      </c>
      <c r="C249" s="17">
        <f>IF(B249="","",TEXT(B249,"ddd"))</f>
        <v>0</v>
      </c>
      <c r="D249" s="18">
        <f>IF(B249="","",WEEKNUM(B249,IF(WeekStart="Sunday",1,2)))</f>
        <v>0</v>
      </c>
      <c r="E249" s="17">
        <f>IF(B249="","",TEXT(B249,"yyyy-mm"))</f>
        <v>0</v>
      </c>
      <c r="L249" s="25">
        <f>IF(OR(K249="",I249="",I249=0),"",K249/I249)</f>
        <v>0</v>
      </c>
      <c r="S249" s="25">
        <f>MonthlyBudget</f>
        <v>0</v>
      </c>
      <c r="T249" s="25">
        <f>IF(B249="","",SUMIFS($K$5:$K$404,$E$5:$E$404,E249))</f>
        <v>0</v>
      </c>
      <c r="U249" s="31">
        <f>IF(B249="","",IF(T249&gt;MonthlyBudget,"Check - over the monthly budget","OK"))</f>
        <v>0</v>
      </c>
      <c r="V249" s="31">
        <f>IF(B249="","",IF(K249="","Add - no amount",IF(Q249="Yes","Wasted",IF(O249="No","Check - unplanned","Purchased"))))</f>
        <v>0</v>
      </c>
    </row>
    <row r="250" spans="1:22">
      <c r="A250" s="39">
        <f>IF(B250="","",SpendPrefix&amp;TEXT(ROW()-4,"0000"))</f>
        <v>0</v>
      </c>
      <c r="C250" s="17">
        <f>IF(B250="","",TEXT(B250,"ddd"))</f>
        <v>0</v>
      </c>
      <c r="D250" s="18">
        <f>IF(B250="","",WEEKNUM(B250,IF(WeekStart="Sunday",1,2)))</f>
        <v>0</v>
      </c>
      <c r="E250" s="17">
        <f>IF(B250="","",TEXT(B250,"yyyy-mm"))</f>
        <v>0</v>
      </c>
      <c r="L250" s="25">
        <f>IF(OR(K250="",I250="",I250=0),"",K250/I250)</f>
        <v>0</v>
      </c>
      <c r="S250" s="25">
        <f>MonthlyBudget</f>
        <v>0</v>
      </c>
      <c r="T250" s="25">
        <f>IF(B250="","",SUMIFS($K$5:$K$404,$E$5:$E$404,E250))</f>
        <v>0</v>
      </c>
      <c r="U250" s="31">
        <f>IF(B250="","",IF(T250&gt;MonthlyBudget,"Check - over the monthly budget","OK"))</f>
        <v>0</v>
      </c>
      <c r="V250" s="31">
        <f>IF(B250="","",IF(K250="","Add - no amount",IF(Q250="Yes","Wasted",IF(O250="No","Check - unplanned","Purchased"))))</f>
        <v>0</v>
      </c>
    </row>
    <row r="251" spans="1:22">
      <c r="A251" s="39">
        <f>IF(B251="","",SpendPrefix&amp;TEXT(ROW()-4,"0000"))</f>
        <v>0</v>
      </c>
      <c r="C251" s="17">
        <f>IF(B251="","",TEXT(B251,"ddd"))</f>
        <v>0</v>
      </c>
      <c r="D251" s="18">
        <f>IF(B251="","",WEEKNUM(B251,IF(WeekStart="Sunday",1,2)))</f>
        <v>0</v>
      </c>
      <c r="E251" s="17">
        <f>IF(B251="","",TEXT(B251,"yyyy-mm"))</f>
        <v>0</v>
      </c>
      <c r="L251" s="25">
        <f>IF(OR(K251="",I251="",I251=0),"",K251/I251)</f>
        <v>0</v>
      </c>
      <c r="S251" s="25">
        <f>MonthlyBudget</f>
        <v>0</v>
      </c>
      <c r="T251" s="25">
        <f>IF(B251="","",SUMIFS($K$5:$K$404,$E$5:$E$404,E251))</f>
        <v>0</v>
      </c>
      <c r="U251" s="31">
        <f>IF(B251="","",IF(T251&gt;MonthlyBudget,"Check - over the monthly budget","OK"))</f>
        <v>0</v>
      </c>
      <c r="V251" s="31">
        <f>IF(B251="","",IF(K251="","Add - no amount",IF(Q251="Yes","Wasted",IF(O251="No","Check - unplanned","Purchased"))))</f>
        <v>0</v>
      </c>
    </row>
    <row r="252" spans="1:22">
      <c r="A252" s="39">
        <f>IF(B252="","",SpendPrefix&amp;TEXT(ROW()-4,"0000"))</f>
        <v>0</v>
      </c>
      <c r="C252" s="17">
        <f>IF(B252="","",TEXT(B252,"ddd"))</f>
        <v>0</v>
      </c>
      <c r="D252" s="18">
        <f>IF(B252="","",WEEKNUM(B252,IF(WeekStart="Sunday",1,2)))</f>
        <v>0</v>
      </c>
      <c r="E252" s="17">
        <f>IF(B252="","",TEXT(B252,"yyyy-mm"))</f>
        <v>0</v>
      </c>
      <c r="L252" s="25">
        <f>IF(OR(K252="",I252="",I252=0),"",K252/I252)</f>
        <v>0</v>
      </c>
      <c r="S252" s="25">
        <f>MonthlyBudget</f>
        <v>0</v>
      </c>
      <c r="T252" s="25">
        <f>IF(B252="","",SUMIFS($K$5:$K$404,$E$5:$E$404,E252))</f>
        <v>0</v>
      </c>
      <c r="U252" s="31">
        <f>IF(B252="","",IF(T252&gt;MonthlyBudget,"Check - over the monthly budget","OK"))</f>
        <v>0</v>
      </c>
      <c r="V252" s="31">
        <f>IF(B252="","",IF(K252="","Add - no amount",IF(Q252="Yes","Wasted",IF(O252="No","Check - unplanned","Purchased"))))</f>
        <v>0</v>
      </c>
    </row>
    <row r="253" spans="1:22">
      <c r="A253" s="39">
        <f>IF(B253="","",SpendPrefix&amp;TEXT(ROW()-4,"0000"))</f>
        <v>0</v>
      </c>
      <c r="C253" s="17">
        <f>IF(B253="","",TEXT(B253,"ddd"))</f>
        <v>0</v>
      </c>
      <c r="D253" s="18">
        <f>IF(B253="","",WEEKNUM(B253,IF(WeekStart="Sunday",1,2)))</f>
        <v>0</v>
      </c>
      <c r="E253" s="17">
        <f>IF(B253="","",TEXT(B253,"yyyy-mm"))</f>
        <v>0</v>
      </c>
      <c r="L253" s="25">
        <f>IF(OR(K253="",I253="",I253=0),"",K253/I253)</f>
        <v>0</v>
      </c>
      <c r="S253" s="25">
        <f>MonthlyBudget</f>
        <v>0</v>
      </c>
      <c r="T253" s="25">
        <f>IF(B253="","",SUMIFS($K$5:$K$404,$E$5:$E$404,E253))</f>
        <v>0</v>
      </c>
      <c r="U253" s="31">
        <f>IF(B253="","",IF(T253&gt;MonthlyBudget,"Check - over the monthly budget","OK"))</f>
        <v>0</v>
      </c>
      <c r="V253" s="31">
        <f>IF(B253="","",IF(K253="","Add - no amount",IF(Q253="Yes","Wasted",IF(O253="No","Check - unplanned","Purchased"))))</f>
        <v>0</v>
      </c>
    </row>
    <row r="254" spans="1:22">
      <c r="A254" s="39">
        <f>IF(B254="","",SpendPrefix&amp;TEXT(ROW()-4,"0000"))</f>
        <v>0</v>
      </c>
      <c r="C254" s="17">
        <f>IF(B254="","",TEXT(B254,"ddd"))</f>
        <v>0</v>
      </c>
      <c r="D254" s="18">
        <f>IF(B254="","",WEEKNUM(B254,IF(WeekStart="Sunday",1,2)))</f>
        <v>0</v>
      </c>
      <c r="E254" s="17">
        <f>IF(B254="","",TEXT(B254,"yyyy-mm"))</f>
        <v>0</v>
      </c>
      <c r="L254" s="25">
        <f>IF(OR(K254="",I254="",I254=0),"",K254/I254)</f>
        <v>0</v>
      </c>
      <c r="S254" s="25">
        <f>MonthlyBudget</f>
        <v>0</v>
      </c>
      <c r="T254" s="25">
        <f>IF(B254="","",SUMIFS($K$5:$K$404,$E$5:$E$404,E254))</f>
        <v>0</v>
      </c>
      <c r="U254" s="31">
        <f>IF(B254="","",IF(T254&gt;MonthlyBudget,"Check - over the monthly budget","OK"))</f>
        <v>0</v>
      </c>
      <c r="V254" s="31">
        <f>IF(B254="","",IF(K254="","Add - no amount",IF(Q254="Yes","Wasted",IF(O254="No","Check - unplanned","Purchased"))))</f>
        <v>0</v>
      </c>
    </row>
    <row r="255" spans="1:22">
      <c r="A255" s="39">
        <f>IF(B255="","",SpendPrefix&amp;TEXT(ROW()-4,"0000"))</f>
        <v>0</v>
      </c>
      <c r="C255" s="17">
        <f>IF(B255="","",TEXT(B255,"ddd"))</f>
        <v>0</v>
      </c>
      <c r="D255" s="18">
        <f>IF(B255="","",WEEKNUM(B255,IF(WeekStart="Sunday",1,2)))</f>
        <v>0</v>
      </c>
      <c r="E255" s="17">
        <f>IF(B255="","",TEXT(B255,"yyyy-mm"))</f>
        <v>0</v>
      </c>
      <c r="L255" s="25">
        <f>IF(OR(K255="",I255="",I255=0),"",K255/I255)</f>
        <v>0</v>
      </c>
      <c r="S255" s="25">
        <f>MonthlyBudget</f>
        <v>0</v>
      </c>
      <c r="T255" s="25">
        <f>IF(B255="","",SUMIFS($K$5:$K$404,$E$5:$E$404,E255))</f>
        <v>0</v>
      </c>
      <c r="U255" s="31">
        <f>IF(B255="","",IF(T255&gt;MonthlyBudget,"Check - over the monthly budget","OK"))</f>
        <v>0</v>
      </c>
      <c r="V255" s="31">
        <f>IF(B255="","",IF(K255="","Add - no amount",IF(Q255="Yes","Wasted",IF(O255="No","Check - unplanned","Purchased"))))</f>
        <v>0</v>
      </c>
    </row>
    <row r="256" spans="1:22">
      <c r="A256" s="39">
        <f>IF(B256="","",SpendPrefix&amp;TEXT(ROW()-4,"0000"))</f>
        <v>0</v>
      </c>
      <c r="C256" s="17">
        <f>IF(B256="","",TEXT(B256,"ddd"))</f>
        <v>0</v>
      </c>
      <c r="D256" s="18">
        <f>IF(B256="","",WEEKNUM(B256,IF(WeekStart="Sunday",1,2)))</f>
        <v>0</v>
      </c>
      <c r="E256" s="17">
        <f>IF(B256="","",TEXT(B256,"yyyy-mm"))</f>
        <v>0</v>
      </c>
      <c r="L256" s="25">
        <f>IF(OR(K256="",I256="",I256=0),"",K256/I256)</f>
        <v>0</v>
      </c>
      <c r="S256" s="25">
        <f>MonthlyBudget</f>
        <v>0</v>
      </c>
      <c r="T256" s="25">
        <f>IF(B256="","",SUMIFS($K$5:$K$404,$E$5:$E$404,E256))</f>
        <v>0</v>
      </c>
      <c r="U256" s="31">
        <f>IF(B256="","",IF(T256&gt;MonthlyBudget,"Check - over the monthly budget","OK"))</f>
        <v>0</v>
      </c>
      <c r="V256" s="31">
        <f>IF(B256="","",IF(K256="","Add - no amount",IF(Q256="Yes","Wasted",IF(O256="No","Check - unplanned","Purchased"))))</f>
        <v>0</v>
      </c>
    </row>
    <row r="257" spans="1:22">
      <c r="A257" s="39">
        <f>IF(B257="","",SpendPrefix&amp;TEXT(ROW()-4,"0000"))</f>
        <v>0</v>
      </c>
      <c r="C257" s="17">
        <f>IF(B257="","",TEXT(B257,"ddd"))</f>
        <v>0</v>
      </c>
      <c r="D257" s="18">
        <f>IF(B257="","",WEEKNUM(B257,IF(WeekStart="Sunday",1,2)))</f>
        <v>0</v>
      </c>
      <c r="E257" s="17">
        <f>IF(B257="","",TEXT(B257,"yyyy-mm"))</f>
        <v>0</v>
      </c>
      <c r="L257" s="25">
        <f>IF(OR(K257="",I257="",I257=0),"",K257/I257)</f>
        <v>0</v>
      </c>
      <c r="S257" s="25">
        <f>MonthlyBudget</f>
        <v>0</v>
      </c>
      <c r="T257" s="25">
        <f>IF(B257="","",SUMIFS($K$5:$K$404,$E$5:$E$404,E257))</f>
        <v>0</v>
      </c>
      <c r="U257" s="31">
        <f>IF(B257="","",IF(T257&gt;MonthlyBudget,"Check - over the monthly budget","OK"))</f>
        <v>0</v>
      </c>
      <c r="V257" s="31">
        <f>IF(B257="","",IF(K257="","Add - no amount",IF(Q257="Yes","Wasted",IF(O257="No","Check - unplanned","Purchased"))))</f>
        <v>0</v>
      </c>
    </row>
    <row r="258" spans="1:22">
      <c r="A258" s="39">
        <f>IF(B258="","",SpendPrefix&amp;TEXT(ROW()-4,"0000"))</f>
        <v>0</v>
      </c>
      <c r="C258" s="17">
        <f>IF(B258="","",TEXT(B258,"ddd"))</f>
        <v>0</v>
      </c>
      <c r="D258" s="18">
        <f>IF(B258="","",WEEKNUM(B258,IF(WeekStart="Sunday",1,2)))</f>
        <v>0</v>
      </c>
      <c r="E258" s="17">
        <f>IF(B258="","",TEXT(B258,"yyyy-mm"))</f>
        <v>0</v>
      </c>
      <c r="L258" s="25">
        <f>IF(OR(K258="",I258="",I258=0),"",K258/I258)</f>
        <v>0</v>
      </c>
      <c r="S258" s="25">
        <f>MonthlyBudget</f>
        <v>0</v>
      </c>
      <c r="T258" s="25">
        <f>IF(B258="","",SUMIFS($K$5:$K$404,$E$5:$E$404,E258))</f>
        <v>0</v>
      </c>
      <c r="U258" s="31">
        <f>IF(B258="","",IF(T258&gt;MonthlyBudget,"Check - over the monthly budget","OK"))</f>
        <v>0</v>
      </c>
      <c r="V258" s="31">
        <f>IF(B258="","",IF(K258="","Add - no amount",IF(Q258="Yes","Wasted",IF(O258="No","Check - unplanned","Purchased"))))</f>
        <v>0</v>
      </c>
    </row>
    <row r="259" spans="1:22">
      <c r="A259" s="39">
        <f>IF(B259="","",SpendPrefix&amp;TEXT(ROW()-4,"0000"))</f>
        <v>0</v>
      </c>
      <c r="C259" s="17">
        <f>IF(B259="","",TEXT(B259,"ddd"))</f>
        <v>0</v>
      </c>
      <c r="D259" s="18">
        <f>IF(B259="","",WEEKNUM(B259,IF(WeekStart="Sunday",1,2)))</f>
        <v>0</v>
      </c>
      <c r="E259" s="17">
        <f>IF(B259="","",TEXT(B259,"yyyy-mm"))</f>
        <v>0</v>
      </c>
      <c r="L259" s="25">
        <f>IF(OR(K259="",I259="",I259=0),"",K259/I259)</f>
        <v>0</v>
      </c>
      <c r="S259" s="25">
        <f>MonthlyBudget</f>
        <v>0</v>
      </c>
      <c r="T259" s="25">
        <f>IF(B259="","",SUMIFS($K$5:$K$404,$E$5:$E$404,E259))</f>
        <v>0</v>
      </c>
      <c r="U259" s="31">
        <f>IF(B259="","",IF(T259&gt;MonthlyBudget,"Check - over the monthly budget","OK"))</f>
        <v>0</v>
      </c>
      <c r="V259" s="31">
        <f>IF(B259="","",IF(K259="","Add - no amount",IF(Q259="Yes","Wasted",IF(O259="No","Check - unplanned","Purchased"))))</f>
        <v>0</v>
      </c>
    </row>
    <row r="260" spans="1:22">
      <c r="A260" s="39">
        <f>IF(B260="","",SpendPrefix&amp;TEXT(ROW()-4,"0000"))</f>
        <v>0</v>
      </c>
      <c r="C260" s="17">
        <f>IF(B260="","",TEXT(B260,"ddd"))</f>
        <v>0</v>
      </c>
      <c r="D260" s="18">
        <f>IF(B260="","",WEEKNUM(B260,IF(WeekStart="Sunday",1,2)))</f>
        <v>0</v>
      </c>
      <c r="E260" s="17">
        <f>IF(B260="","",TEXT(B260,"yyyy-mm"))</f>
        <v>0</v>
      </c>
      <c r="L260" s="25">
        <f>IF(OR(K260="",I260="",I260=0),"",K260/I260)</f>
        <v>0</v>
      </c>
      <c r="S260" s="25">
        <f>MonthlyBudget</f>
        <v>0</v>
      </c>
      <c r="T260" s="25">
        <f>IF(B260="","",SUMIFS($K$5:$K$404,$E$5:$E$404,E260))</f>
        <v>0</v>
      </c>
      <c r="U260" s="31">
        <f>IF(B260="","",IF(T260&gt;MonthlyBudget,"Check - over the monthly budget","OK"))</f>
        <v>0</v>
      </c>
      <c r="V260" s="31">
        <f>IF(B260="","",IF(K260="","Add - no amount",IF(Q260="Yes","Wasted",IF(O260="No","Check - unplanned","Purchased"))))</f>
        <v>0</v>
      </c>
    </row>
    <row r="261" spans="1:22">
      <c r="A261" s="39">
        <f>IF(B261="","",SpendPrefix&amp;TEXT(ROW()-4,"0000"))</f>
        <v>0</v>
      </c>
      <c r="C261" s="17">
        <f>IF(B261="","",TEXT(B261,"ddd"))</f>
        <v>0</v>
      </c>
      <c r="D261" s="18">
        <f>IF(B261="","",WEEKNUM(B261,IF(WeekStart="Sunday",1,2)))</f>
        <v>0</v>
      </c>
      <c r="E261" s="17">
        <f>IF(B261="","",TEXT(B261,"yyyy-mm"))</f>
        <v>0</v>
      </c>
      <c r="L261" s="25">
        <f>IF(OR(K261="",I261="",I261=0),"",K261/I261)</f>
        <v>0</v>
      </c>
      <c r="S261" s="25">
        <f>MonthlyBudget</f>
        <v>0</v>
      </c>
      <c r="T261" s="25">
        <f>IF(B261="","",SUMIFS($K$5:$K$404,$E$5:$E$404,E261))</f>
        <v>0</v>
      </c>
      <c r="U261" s="31">
        <f>IF(B261="","",IF(T261&gt;MonthlyBudget,"Check - over the monthly budget","OK"))</f>
        <v>0</v>
      </c>
      <c r="V261" s="31">
        <f>IF(B261="","",IF(K261="","Add - no amount",IF(Q261="Yes","Wasted",IF(O261="No","Check - unplanned","Purchased"))))</f>
        <v>0</v>
      </c>
    </row>
    <row r="262" spans="1:22">
      <c r="A262" s="39">
        <f>IF(B262="","",SpendPrefix&amp;TEXT(ROW()-4,"0000"))</f>
        <v>0</v>
      </c>
      <c r="C262" s="17">
        <f>IF(B262="","",TEXT(B262,"ddd"))</f>
        <v>0</v>
      </c>
      <c r="D262" s="18">
        <f>IF(B262="","",WEEKNUM(B262,IF(WeekStart="Sunday",1,2)))</f>
        <v>0</v>
      </c>
      <c r="E262" s="17">
        <f>IF(B262="","",TEXT(B262,"yyyy-mm"))</f>
        <v>0</v>
      </c>
      <c r="L262" s="25">
        <f>IF(OR(K262="",I262="",I262=0),"",K262/I262)</f>
        <v>0</v>
      </c>
      <c r="S262" s="25">
        <f>MonthlyBudget</f>
        <v>0</v>
      </c>
      <c r="T262" s="25">
        <f>IF(B262="","",SUMIFS($K$5:$K$404,$E$5:$E$404,E262))</f>
        <v>0</v>
      </c>
      <c r="U262" s="31">
        <f>IF(B262="","",IF(T262&gt;MonthlyBudget,"Check - over the monthly budget","OK"))</f>
        <v>0</v>
      </c>
      <c r="V262" s="31">
        <f>IF(B262="","",IF(K262="","Add - no amount",IF(Q262="Yes","Wasted",IF(O262="No","Check - unplanned","Purchased"))))</f>
        <v>0</v>
      </c>
    </row>
    <row r="263" spans="1:22">
      <c r="A263" s="39">
        <f>IF(B263="","",SpendPrefix&amp;TEXT(ROW()-4,"0000"))</f>
        <v>0</v>
      </c>
      <c r="C263" s="17">
        <f>IF(B263="","",TEXT(B263,"ddd"))</f>
        <v>0</v>
      </c>
      <c r="D263" s="18">
        <f>IF(B263="","",WEEKNUM(B263,IF(WeekStart="Sunday",1,2)))</f>
        <v>0</v>
      </c>
      <c r="E263" s="17">
        <f>IF(B263="","",TEXT(B263,"yyyy-mm"))</f>
        <v>0</v>
      </c>
      <c r="L263" s="25">
        <f>IF(OR(K263="",I263="",I263=0),"",K263/I263)</f>
        <v>0</v>
      </c>
      <c r="S263" s="25">
        <f>MonthlyBudget</f>
        <v>0</v>
      </c>
      <c r="T263" s="25">
        <f>IF(B263="","",SUMIFS($K$5:$K$404,$E$5:$E$404,E263))</f>
        <v>0</v>
      </c>
      <c r="U263" s="31">
        <f>IF(B263="","",IF(T263&gt;MonthlyBudget,"Check - over the monthly budget","OK"))</f>
        <v>0</v>
      </c>
      <c r="V263" s="31">
        <f>IF(B263="","",IF(K263="","Add - no amount",IF(Q263="Yes","Wasted",IF(O263="No","Check - unplanned","Purchased"))))</f>
        <v>0</v>
      </c>
    </row>
    <row r="264" spans="1:22">
      <c r="A264" s="39">
        <f>IF(B264="","",SpendPrefix&amp;TEXT(ROW()-4,"0000"))</f>
        <v>0</v>
      </c>
      <c r="C264" s="17">
        <f>IF(B264="","",TEXT(B264,"ddd"))</f>
        <v>0</v>
      </c>
      <c r="D264" s="18">
        <f>IF(B264="","",WEEKNUM(B264,IF(WeekStart="Sunday",1,2)))</f>
        <v>0</v>
      </c>
      <c r="E264" s="17">
        <f>IF(B264="","",TEXT(B264,"yyyy-mm"))</f>
        <v>0</v>
      </c>
      <c r="L264" s="25">
        <f>IF(OR(K264="",I264="",I264=0),"",K264/I264)</f>
        <v>0</v>
      </c>
      <c r="S264" s="25">
        <f>MonthlyBudget</f>
        <v>0</v>
      </c>
      <c r="T264" s="25">
        <f>IF(B264="","",SUMIFS($K$5:$K$404,$E$5:$E$404,E264))</f>
        <v>0</v>
      </c>
      <c r="U264" s="31">
        <f>IF(B264="","",IF(T264&gt;MonthlyBudget,"Check - over the monthly budget","OK"))</f>
        <v>0</v>
      </c>
      <c r="V264" s="31">
        <f>IF(B264="","",IF(K264="","Add - no amount",IF(Q264="Yes","Wasted",IF(O264="No","Check - unplanned","Purchased"))))</f>
        <v>0</v>
      </c>
    </row>
    <row r="265" spans="1:22">
      <c r="A265" s="39">
        <f>IF(B265="","",SpendPrefix&amp;TEXT(ROW()-4,"0000"))</f>
        <v>0</v>
      </c>
      <c r="C265" s="17">
        <f>IF(B265="","",TEXT(B265,"ddd"))</f>
        <v>0</v>
      </c>
      <c r="D265" s="18">
        <f>IF(B265="","",WEEKNUM(B265,IF(WeekStart="Sunday",1,2)))</f>
        <v>0</v>
      </c>
      <c r="E265" s="17">
        <f>IF(B265="","",TEXT(B265,"yyyy-mm"))</f>
        <v>0</v>
      </c>
      <c r="L265" s="25">
        <f>IF(OR(K265="",I265="",I265=0),"",K265/I265)</f>
        <v>0</v>
      </c>
      <c r="S265" s="25">
        <f>MonthlyBudget</f>
        <v>0</v>
      </c>
      <c r="T265" s="25">
        <f>IF(B265="","",SUMIFS($K$5:$K$404,$E$5:$E$404,E265))</f>
        <v>0</v>
      </c>
      <c r="U265" s="31">
        <f>IF(B265="","",IF(T265&gt;MonthlyBudget,"Check - over the monthly budget","OK"))</f>
        <v>0</v>
      </c>
      <c r="V265" s="31">
        <f>IF(B265="","",IF(K265="","Add - no amount",IF(Q265="Yes","Wasted",IF(O265="No","Check - unplanned","Purchased"))))</f>
        <v>0</v>
      </c>
    </row>
    <row r="266" spans="1:22">
      <c r="A266" s="39">
        <f>IF(B266="","",SpendPrefix&amp;TEXT(ROW()-4,"0000"))</f>
        <v>0</v>
      </c>
      <c r="C266" s="17">
        <f>IF(B266="","",TEXT(B266,"ddd"))</f>
        <v>0</v>
      </c>
      <c r="D266" s="18">
        <f>IF(B266="","",WEEKNUM(B266,IF(WeekStart="Sunday",1,2)))</f>
        <v>0</v>
      </c>
      <c r="E266" s="17">
        <f>IF(B266="","",TEXT(B266,"yyyy-mm"))</f>
        <v>0</v>
      </c>
      <c r="L266" s="25">
        <f>IF(OR(K266="",I266="",I266=0),"",K266/I266)</f>
        <v>0</v>
      </c>
      <c r="S266" s="25">
        <f>MonthlyBudget</f>
        <v>0</v>
      </c>
      <c r="T266" s="25">
        <f>IF(B266="","",SUMIFS($K$5:$K$404,$E$5:$E$404,E266))</f>
        <v>0</v>
      </c>
      <c r="U266" s="31">
        <f>IF(B266="","",IF(T266&gt;MonthlyBudget,"Check - over the monthly budget","OK"))</f>
        <v>0</v>
      </c>
      <c r="V266" s="31">
        <f>IF(B266="","",IF(K266="","Add - no amount",IF(Q266="Yes","Wasted",IF(O266="No","Check - unplanned","Purchased"))))</f>
        <v>0</v>
      </c>
    </row>
    <row r="267" spans="1:22">
      <c r="A267" s="39">
        <f>IF(B267="","",SpendPrefix&amp;TEXT(ROW()-4,"0000"))</f>
        <v>0</v>
      </c>
      <c r="C267" s="17">
        <f>IF(B267="","",TEXT(B267,"ddd"))</f>
        <v>0</v>
      </c>
      <c r="D267" s="18">
        <f>IF(B267="","",WEEKNUM(B267,IF(WeekStart="Sunday",1,2)))</f>
        <v>0</v>
      </c>
      <c r="E267" s="17">
        <f>IF(B267="","",TEXT(B267,"yyyy-mm"))</f>
        <v>0</v>
      </c>
      <c r="L267" s="25">
        <f>IF(OR(K267="",I267="",I267=0),"",K267/I267)</f>
        <v>0</v>
      </c>
      <c r="S267" s="25">
        <f>MonthlyBudget</f>
        <v>0</v>
      </c>
      <c r="T267" s="25">
        <f>IF(B267="","",SUMIFS($K$5:$K$404,$E$5:$E$404,E267))</f>
        <v>0</v>
      </c>
      <c r="U267" s="31">
        <f>IF(B267="","",IF(T267&gt;MonthlyBudget,"Check - over the monthly budget","OK"))</f>
        <v>0</v>
      </c>
      <c r="V267" s="31">
        <f>IF(B267="","",IF(K267="","Add - no amount",IF(Q267="Yes","Wasted",IF(O267="No","Check - unplanned","Purchased"))))</f>
        <v>0</v>
      </c>
    </row>
    <row r="268" spans="1:22">
      <c r="A268" s="39">
        <f>IF(B268="","",SpendPrefix&amp;TEXT(ROW()-4,"0000"))</f>
        <v>0</v>
      </c>
      <c r="C268" s="17">
        <f>IF(B268="","",TEXT(B268,"ddd"))</f>
        <v>0</v>
      </c>
      <c r="D268" s="18">
        <f>IF(B268="","",WEEKNUM(B268,IF(WeekStart="Sunday",1,2)))</f>
        <v>0</v>
      </c>
      <c r="E268" s="17">
        <f>IF(B268="","",TEXT(B268,"yyyy-mm"))</f>
        <v>0</v>
      </c>
      <c r="L268" s="25">
        <f>IF(OR(K268="",I268="",I268=0),"",K268/I268)</f>
        <v>0</v>
      </c>
      <c r="S268" s="25">
        <f>MonthlyBudget</f>
        <v>0</v>
      </c>
      <c r="T268" s="25">
        <f>IF(B268="","",SUMIFS($K$5:$K$404,$E$5:$E$404,E268))</f>
        <v>0</v>
      </c>
      <c r="U268" s="31">
        <f>IF(B268="","",IF(T268&gt;MonthlyBudget,"Check - over the monthly budget","OK"))</f>
        <v>0</v>
      </c>
      <c r="V268" s="31">
        <f>IF(B268="","",IF(K268="","Add - no amount",IF(Q268="Yes","Wasted",IF(O268="No","Check - unplanned","Purchased"))))</f>
        <v>0</v>
      </c>
    </row>
    <row r="269" spans="1:22">
      <c r="A269" s="39">
        <f>IF(B269="","",SpendPrefix&amp;TEXT(ROW()-4,"0000"))</f>
        <v>0</v>
      </c>
      <c r="C269" s="17">
        <f>IF(B269="","",TEXT(B269,"ddd"))</f>
        <v>0</v>
      </c>
      <c r="D269" s="18">
        <f>IF(B269="","",WEEKNUM(B269,IF(WeekStart="Sunday",1,2)))</f>
        <v>0</v>
      </c>
      <c r="E269" s="17">
        <f>IF(B269="","",TEXT(B269,"yyyy-mm"))</f>
        <v>0</v>
      </c>
      <c r="L269" s="25">
        <f>IF(OR(K269="",I269="",I269=0),"",K269/I269)</f>
        <v>0</v>
      </c>
      <c r="S269" s="25">
        <f>MonthlyBudget</f>
        <v>0</v>
      </c>
      <c r="T269" s="25">
        <f>IF(B269="","",SUMIFS($K$5:$K$404,$E$5:$E$404,E269))</f>
        <v>0</v>
      </c>
      <c r="U269" s="31">
        <f>IF(B269="","",IF(T269&gt;MonthlyBudget,"Check - over the monthly budget","OK"))</f>
        <v>0</v>
      </c>
      <c r="V269" s="31">
        <f>IF(B269="","",IF(K269="","Add - no amount",IF(Q269="Yes","Wasted",IF(O269="No","Check - unplanned","Purchased"))))</f>
        <v>0</v>
      </c>
    </row>
    <row r="270" spans="1:22">
      <c r="A270" s="39">
        <f>IF(B270="","",SpendPrefix&amp;TEXT(ROW()-4,"0000"))</f>
        <v>0</v>
      </c>
      <c r="C270" s="17">
        <f>IF(B270="","",TEXT(B270,"ddd"))</f>
        <v>0</v>
      </c>
      <c r="D270" s="18">
        <f>IF(B270="","",WEEKNUM(B270,IF(WeekStart="Sunday",1,2)))</f>
        <v>0</v>
      </c>
      <c r="E270" s="17">
        <f>IF(B270="","",TEXT(B270,"yyyy-mm"))</f>
        <v>0</v>
      </c>
      <c r="L270" s="25">
        <f>IF(OR(K270="",I270="",I270=0),"",K270/I270)</f>
        <v>0</v>
      </c>
      <c r="S270" s="25">
        <f>MonthlyBudget</f>
        <v>0</v>
      </c>
      <c r="T270" s="25">
        <f>IF(B270="","",SUMIFS($K$5:$K$404,$E$5:$E$404,E270))</f>
        <v>0</v>
      </c>
      <c r="U270" s="31">
        <f>IF(B270="","",IF(T270&gt;MonthlyBudget,"Check - over the monthly budget","OK"))</f>
        <v>0</v>
      </c>
      <c r="V270" s="31">
        <f>IF(B270="","",IF(K270="","Add - no amount",IF(Q270="Yes","Wasted",IF(O270="No","Check - unplanned","Purchased"))))</f>
        <v>0</v>
      </c>
    </row>
    <row r="271" spans="1:22">
      <c r="A271" s="39">
        <f>IF(B271="","",SpendPrefix&amp;TEXT(ROW()-4,"0000"))</f>
        <v>0</v>
      </c>
      <c r="C271" s="17">
        <f>IF(B271="","",TEXT(B271,"ddd"))</f>
        <v>0</v>
      </c>
      <c r="D271" s="18">
        <f>IF(B271="","",WEEKNUM(B271,IF(WeekStart="Sunday",1,2)))</f>
        <v>0</v>
      </c>
      <c r="E271" s="17">
        <f>IF(B271="","",TEXT(B271,"yyyy-mm"))</f>
        <v>0</v>
      </c>
      <c r="L271" s="25">
        <f>IF(OR(K271="",I271="",I271=0),"",K271/I271)</f>
        <v>0</v>
      </c>
      <c r="S271" s="25">
        <f>MonthlyBudget</f>
        <v>0</v>
      </c>
      <c r="T271" s="25">
        <f>IF(B271="","",SUMIFS($K$5:$K$404,$E$5:$E$404,E271))</f>
        <v>0</v>
      </c>
      <c r="U271" s="31">
        <f>IF(B271="","",IF(T271&gt;MonthlyBudget,"Check - over the monthly budget","OK"))</f>
        <v>0</v>
      </c>
      <c r="V271" s="31">
        <f>IF(B271="","",IF(K271="","Add - no amount",IF(Q271="Yes","Wasted",IF(O271="No","Check - unplanned","Purchased"))))</f>
        <v>0</v>
      </c>
    </row>
    <row r="272" spans="1:22">
      <c r="A272" s="39">
        <f>IF(B272="","",SpendPrefix&amp;TEXT(ROW()-4,"0000"))</f>
        <v>0</v>
      </c>
      <c r="C272" s="17">
        <f>IF(B272="","",TEXT(B272,"ddd"))</f>
        <v>0</v>
      </c>
      <c r="D272" s="18">
        <f>IF(B272="","",WEEKNUM(B272,IF(WeekStart="Sunday",1,2)))</f>
        <v>0</v>
      </c>
      <c r="E272" s="17">
        <f>IF(B272="","",TEXT(B272,"yyyy-mm"))</f>
        <v>0</v>
      </c>
      <c r="L272" s="25">
        <f>IF(OR(K272="",I272="",I272=0),"",K272/I272)</f>
        <v>0</v>
      </c>
      <c r="S272" s="25">
        <f>MonthlyBudget</f>
        <v>0</v>
      </c>
      <c r="T272" s="25">
        <f>IF(B272="","",SUMIFS($K$5:$K$404,$E$5:$E$404,E272))</f>
        <v>0</v>
      </c>
      <c r="U272" s="31">
        <f>IF(B272="","",IF(T272&gt;MonthlyBudget,"Check - over the monthly budget","OK"))</f>
        <v>0</v>
      </c>
      <c r="V272" s="31">
        <f>IF(B272="","",IF(K272="","Add - no amount",IF(Q272="Yes","Wasted",IF(O272="No","Check - unplanned","Purchased"))))</f>
        <v>0</v>
      </c>
    </row>
    <row r="273" spans="1:22">
      <c r="A273" s="39">
        <f>IF(B273="","",SpendPrefix&amp;TEXT(ROW()-4,"0000"))</f>
        <v>0</v>
      </c>
      <c r="C273" s="17">
        <f>IF(B273="","",TEXT(B273,"ddd"))</f>
        <v>0</v>
      </c>
      <c r="D273" s="18">
        <f>IF(B273="","",WEEKNUM(B273,IF(WeekStart="Sunday",1,2)))</f>
        <v>0</v>
      </c>
      <c r="E273" s="17">
        <f>IF(B273="","",TEXT(B273,"yyyy-mm"))</f>
        <v>0</v>
      </c>
      <c r="L273" s="25">
        <f>IF(OR(K273="",I273="",I273=0),"",K273/I273)</f>
        <v>0</v>
      </c>
      <c r="S273" s="25">
        <f>MonthlyBudget</f>
        <v>0</v>
      </c>
      <c r="T273" s="25">
        <f>IF(B273="","",SUMIFS($K$5:$K$404,$E$5:$E$404,E273))</f>
        <v>0</v>
      </c>
      <c r="U273" s="31">
        <f>IF(B273="","",IF(T273&gt;MonthlyBudget,"Check - over the monthly budget","OK"))</f>
        <v>0</v>
      </c>
      <c r="V273" s="31">
        <f>IF(B273="","",IF(K273="","Add - no amount",IF(Q273="Yes","Wasted",IF(O273="No","Check - unplanned","Purchased"))))</f>
        <v>0</v>
      </c>
    </row>
    <row r="274" spans="1:22">
      <c r="A274" s="39">
        <f>IF(B274="","",SpendPrefix&amp;TEXT(ROW()-4,"0000"))</f>
        <v>0</v>
      </c>
      <c r="C274" s="17">
        <f>IF(B274="","",TEXT(B274,"ddd"))</f>
        <v>0</v>
      </c>
      <c r="D274" s="18">
        <f>IF(B274="","",WEEKNUM(B274,IF(WeekStart="Sunday",1,2)))</f>
        <v>0</v>
      </c>
      <c r="E274" s="17">
        <f>IF(B274="","",TEXT(B274,"yyyy-mm"))</f>
        <v>0</v>
      </c>
      <c r="L274" s="25">
        <f>IF(OR(K274="",I274="",I274=0),"",K274/I274)</f>
        <v>0</v>
      </c>
      <c r="S274" s="25">
        <f>MonthlyBudget</f>
        <v>0</v>
      </c>
      <c r="T274" s="25">
        <f>IF(B274="","",SUMIFS($K$5:$K$404,$E$5:$E$404,E274))</f>
        <v>0</v>
      </c>
      <c r="U274" s="31">
        <f>IF(B274="","",IF(T274&gt;MonthlyBudget,"Check - over the monthly budget","OK"))</f>
        <v>0</v>
      </c>
      <c r="V274" s="31">
        <f>IF(B274="","",IF(K274="","Add - no amount",IF(Q274="Yes","Wasted",IF(O274="No","Check - unplanned","Purchased"))))</f>
        <v>0</v>
      </c>
    </row>
    <row r="275" spans="1:22">
      <c r="A275" s="39">
        <f>IF(B275="","",SpendPrefix&amp;TEXT(ROW()-4,"0000"))</f>
        <v>0</v>
      </c>
      <c r="C275" s="17">
        <f>IF(B275="","",TEXT(B275,"ddd"))</f>
        <v>0</v>
      </c>
      <c r="D275" s="18">
        <f>IF(B275="","",WEEKNUM(B275,IF(WeekStart="Sunday",1,2)))</f>
        <v>0</v>
      </c>
      <c r="E275" s="17">
        <f>IF(B275="","",TEXT(B275,"yyyy-mm"))</f>
        <v>0</v>
      </c>
      <c r="L275" s="25">
        <f>IF(OR(K275="",I275="",I275=0),"",K275/I275)</f>
        <v>0</v>
      </c>
      <c r="S275" s="25">
        <f>MonthlyBudget</f>
        <v>0</v>
      </c>
      <c r="T275" s="25">
        <f>IF(B275="","",SUMIFS($K$5:$K$404,$E$5:$E$404,E275))</f>
        <v>0</v>
      </c>
      <c r="U275" s="31">
        <f>IF(B275="","",IF(T275&gt;MonthlyBudget,"Check - over the monthly budget","OK"))</f>
        <v>0</v>
      </c>
      <c r="V275" s="31">
        <f>IF(B275="","",IF(K275="","Add - no amount",IF(Q275="Yes","Wasted",IF(O275="No","Check - unplanned","Purchased"))))</f>
        <v>0</v>
      </c>
    </row>
    <row r="276" spans="1:22">
      <c r="A276" s="39">
        <f>IF(B276="","",SpendPrefix&amp;TEXT(ROW()-4,"0000"))</f>
        <v>0</v>
      </c>
      <c r="C276" s="17">
        <f>IF(B276="","",TEXT(B276,"ddd"))</f>
        <v>0</v>
      </c>
      <c r="D276" s="18">
        <f>IF(B276="","",WEEKNUM(B276,IF(WeekStart="Sunday",1,2)))</f>
        <v>0</v>
      </c>
      <c r="E276" s="17">
        <f>IF(B276="","",TEXT(B276,"yyyy-mm"))</f>
        <v>0</v>
      </c>
      <c r="L276" s="25">
        <f>IF(OR(K276="",I276="",I276=0),"",K276/I276)</f>
        <v>0</v>
      </c>
      <c r="S276" s="25">
        <f>MonthlyBudget</f>
        <v>0</v>
      </c>
      <c r="T276" s="25">
        <f>IF(B276="","",SUMIFS($K$5:$K$404,$E$5:$E$404,E276))</f>
        <v>0</v>
      </c>
      <c r="U276" s="31">
        <f>IF(B276="","",IF(T276&gt;MonthlyBudget,"Check - over the monthly budget","OK"))</f>
        <v>0</v>
      </c>
      <c r="V276" s="31">
        <f>IF(B276="","",IF(K276="","Add - no amount",IF(Q276="Yes","Wasted",IF(O276="No","Check - unplanned","Purchased"))))</f>
        <v>0</v>
      </c>
    </row>
    <row r="277" spans="1:22">
      <c r="A277" s="39">
        <f>IF(B277="","",SpendPrefix&amp;TEXT(ROW()-4,"0000"))</f>
        <v>0</v>
      </c>
      <c r="C277" s="17">
        <f>IF(B277="","",TEXT(B277,"ddd"))</f>
        <v>0</v>
      </c>
      <c r="D277" s="18">
        <f>IF(B277="","",WEEKNUM(B277,IF(WeekStart="Sunday",1,2)))</f>
        <v>0</v>
      </c>
      <c r="E277" s="17">
        <f>IF(B277="","",TEXT(B277,"yyyy-mm"))</f>
        <v>0</v>
      </c>
      <c r="L277" s="25">
        <f>IF(OR(K277="",I277="",I277=0),"",K277/I277)</f>
        <v>0</v>
      </c>
      <c r="S277" s="25">
        <f>MonthlyBudget</f>
        <v>0</v>
      </c>
      <c r="T277" s="25">
        <f>IF(B277="","",SUMIFS($K$5:$K$404,$E$5:$E$404,E277))</f>
        <v>0</v>
      </c>
      <c r="U277" s="31">
        <f>IF(B277="","",IF(T277&gt;MonthlyBudget,"Check - over the monthly budget","OK"))</f>
        <v>0</v>
      </c>
      <c r="V277" s="31">
        <f>IF(B277="","",IF(K277="","Add - no amount",IF(Q277="Yes","Wasted",IF(O277="No","Check - unplanned","Purchased"))))</f>
        <v>0</v>
      </c>
    </row>
    <row r="278" spans="1:22">
      <c r="A278" s="39">
        <f>IF(B278="","",SpendPrefix&amp;TEXT(ROW()-4,"0000"))</f>
        <v>0</v>
      </c>
      <c r="C278" s="17">
        <f>IF(B278="","",TEXT(B278,"ddd"))</f>
        <v>0</v>
      </c>
      <c r="D278" s="18">
        <f>IF(B278="","",WEEKNUM(B278,IF(WeekStart="Sunday",1,2)))</f>
        <v>0</v>
      </c>
      <c r="E278" s="17">
        <f>IF(B278="","",TEXT(B278,"yyyy-mm"))</f>
        <v>0</v>
      </c>
      <c r="L278" s="25">
        <f>IF(OR(K278="",I278="",I278=0),"",K278/I278)</f>
        <v>0</v>
      </c>
      <c r="S278" s="25">
        <f>MonthlyBudget</f>
        <v>0</v>
      </c>
      <c r="T278" s="25">
        <f>IF(B278="","",SUMIFS($K$5:$K$404,$E$5:$E$404,E278))</f>
        <v>0</v>
      </c>
      <c r="U278" s="31">
        <f>IF(B278="","",IF(T278&gt;MonthlyBudget,"Check - over the monthly budget","OK"))</f>
        <v>0</v>
      </c>
      <c r="V278" s="31">
        <f>IF(B278="","",IF(K278="","Add - no amount",IF(Q278="Yes","Wasted",IF(O278="No","Check - unplanned","Purchased"))))</f>
        <v>0</v>
      </c>
    </row>
    <row r="279" spans="1:22">
      <c r="A279" s="39">
        <f>IF(B279="","",SpendPrefix&amp;TEXT(ROW()-4,"0000"))</f>
        <v>0</v>
      </c>
      <c r="C279" s="17">
        <f>IF(B279="","",TEXT(B279,"ddd"))</f>
        <v>0</v>
      </c>
      <c r="D279" s="18">
        <f>IF(B279="","",WEEKNUM(B279,IF(WeekStart="Sunday",1,2)))</f>
        <v>0</v>
      </c>
      <c r="E279" s="17">
        <f>IF(B279="","",TEXT(B279,"yyyy-mm"))</f>
        <v>0</v>
      </c>
      <c r="L279" s="25">
        <f>IF(OR(K279="",I279="",I279=0),"",K279/I279)</f>
        <v>0</v>
      </c>
      <c r="S279" s="25">
        <f>MonthlyBudget</f>
        <v>0</v>
      </c>
      <c r="T279" s="25">
        <f>IF(B279="","",SUMIFS($K$5:$K$404,$E$5:$E$404,E279))</f>
        <v>0</v>
      </c>
      <c r="U279" s="31">
        <f>IF(B279="","",IF(T279&gt;MonthlyBudget,"Check - over the monthly budget","OK"))</f>
        <v>0</v>
      </c>
      <c r="V279" s="31">
        <f>IF(B279="","",IF(K279="","Add - no amount",IF(Q279="Yes","Wasted",IF(O279="No","Check - unplanned","Purchased"))))</f>
        <v>0</v>
      </c>
    </row>
    <row r="280" spans="1:22">
      <c r="A280" s="39">
        <f>IF(B280="","",SpendPrefix&amp;TEXT(ROW()-4,"0000"))</f>
        <v>0</v>
      </c>
      <c r="C280" s="17">
        <f>IF(B280="","",TEXT(B280,"ddd"))</f>
        <v>0</v>
      </c>
      <c r="D280" s="18">
        <f>IF(B280="","",WEEKNUM(B280,IF(WeekStart="Sunday",1,2)))</f>
        <v>0</v>
      </c>
      <c r="E280" s="17">
        <f>IF(B280="","",TEXT(B280,"yyyy-mm"))</f>
        <v>0</v>
      </c>
      <c r="L280" s="25">
        <f>IF(OR(K280="",I280="",I280=0),"",K280/I280)</f>
        <v>0</v>
      </c>
      <c r="S280" s="25">
        <f>MonthlyBudget</f>
        <v>0</v>
      </c>
      <c r="T280" s="25">
        <f>IF(B280="","",SUMIFS($K$5:$K$404,$E$5:$E$404,E280))</f>
        <v>0</v>
      </c>
      <c r="U280" s="31">
        <f>IF(B280="","",IF(T280&gt;MonthlyBudget,"Check - over the monthly budget","OK"))</f>
        <v>0</v>
      </c>
      <c r="V280" s="31">
        <f>IF(B280="","",IF(K280="","Add - no amount",IF(Q280="Yes","Wasted",IF(O280="No","Check - unplanned","Purchased"))))</f>
        <v>0</v>
      </c>
    </row>
    <row r="281" spans="1:22">
      <c r="A281" s="39">
        <f>IF(B281="","",SpendPrefix&amp;TEXT(ROW()-4,"0000"))</f>
        <v>0</v>
      </c>
      <c r="C281" s="17">
        <f>IF(B281="","",TEXT(B281,"ddd"))</f>
        <v>0</v>
      </c>
      <c r="D281" s="18">
        <f>IF(B281="","",WEEKNUM(B281,IF(WeekStart="Sunday",1,2)))</f>
        <v>0</v>
      </c>
      <c r="E281" s="17">
        <f>IF(B281="","",TEXT(B281,"yyyy-mm"))</f>
        <v>0</v>
      </c>
      <c r="L281" s="25">
        <f>IF(OR(K281="",I281="",I281=0),"",K281/I281)</f>
        <v>0</v>
      </c>
      <c r="S281" s="25">
        <f>MonthlyBudget</f>
        <v>0</v>
      </c>
      <c r="T281" s="25">
        <f>IF(B281="","",SUMIFS($K$5:$K$404,$E$5:$E$404,E281))</f>
        <v>0</v>
      </c>
      <c r="U281" s="31">
        <f>IF(B281="","",IF(T281&gt;MonthlyBudget,"Check - over the monthly budget","OK"))</f>
        <v>0</v>
      </c>
      <c r="V281" s="31">
        <f>IF(B281="","",IF(K281="","Add - no amount",IF(Q281="Yes","Wasted",IF(O281="No","Check - unplanned","Purchased"))))</f>
        <v>0</v>
      </c>
    </row>
    <row r="282" spans="1:22">
      <c r="A282" s="39">
        <f>IF(B282="","",SpendPrefix&amp;TEXT(ROW()-4,"0000"))</f>
        <v>0</v>
      </c>
      <c r="C282" s="17">
        <f>IF(B282="","",TEXT(B282,"ddd"))</f>
        <v>0</v>
      </c>
      <c r="D282" s="18">
        <f>IF(B282="","",WEEKNUM(B282,IF(WeekStart="Sunday",1,2)))</f>
        <v>0</v>
      </c>
      <c r="E282" s="17">
        <f>IF(B282="","",TEXT(B282,"yyyy-mm"))</f>
        <v>0</v>
      </c>
      <c r="L282" s="25">
        <f>IF(OR(K282="",I282="",I282=0),"",K282/I282)</f>
        <v>0</v>
      </c>
      <c r="S282" s="25">
        <f>MonthlyBudget</f>
        <v>0</v>
      </c>
      <c r="T282" s="25">
        <f>IF(B282="","",SUMIFS($K$5:$K$404,$E$5:$E$404,E282))</f>
        <v>0</v>
      </c>
      <c r="U282" s="31">
        <f>IF(B282="","",IF(T282&gt;MonthlyBudget,"Check - over the monthly budget","OK"))</f>
        <v>0</v>
      </c>
      <c r="V282" s="31">
        <f>IF(B282="","",IF(K282="","Add - no amount",IF(Q282="Yes","Wasted",IF(O282="No","Check - unplanned","Purchased"))))</f>
        <v>0</v>
      </c>
    </row>
    <row r="283" spans="1:22">
      <c r="A283" s="39">
        <f>IF(B283="","",SpendPrefix&amp;TEXT(ROW()-4,"0000"))</f>
        <v>0</v>
      </c>
      <c r="C283" s="17">
        <f>IF(B283="","",TEXT(B283,"ddd"))</f>
        <v>0</v>
      </c>
      <c r="D283" s="18">
        <f>IF(B283="","",WEEKNUM(B283,IF(WeekStart="Sunday",1,2)))</f>
        <v>0</v>
      </c>
      <c r="E283" s="17">
        <f>IF(B283="","",TEXT(B283,"yyyy-mm"))</f>
        <v>0</v>
      </c>
      <c r="L283" s="25">
        <f>IF(OR(K283="",I283="",I283=0),"",K283/I283)</f>
        <v>0</v>
      </c>
      <c r="S283" s="25">
        <f>MonthlyBudget</f>
        <v>0</v>
      </c>
      <c r="T283" s="25">
        <f>IF(B283="","",SUMIFS($K$5:$K$404,$E$5:$E$404,E283))</f>
        <v>0</v>
      </c>
      <c r="U283" s="31">
        <f>IF(B283="","",IF(T283&gt;MonthlyBudget,"Check - over the monthly budget","OK"))</f>
        <v>0</v>
      </c>
      <c r="V283" s="31">
        <f>IF(B283="","",IF(K283="","Add - no amount",IF(Q283="Yes","Wasted",IF(O283="No","Check - unplanned","Purchased"))))</f>
        <v>0</v>
      </c>
    </row>
    <row r="284" spans="1:22">
      <c r="A284" s="39">
        <f>IF(B284="","",SpendPrefix&amp;TEXT(ROW()-4,"0000"))</f>
        <v>0</v>
      </c>
      <c r="C284" s="17">
        <f>IF(B284="","",TEXT(B284,"ddd"))</f>
        <v>0</v>
      </c>
      <c r="D284" s="18">
        <f>IF(B284="","",WEEKNUM(B284,IF(WeekStart="Sunday",1,2)))</f>
        <v>0</v>
      </c>
      <c r="E284" s="17">
        <f>IF(B284="","",TEXT(B284,"yyyy-mm"))</f>
        <v>0</v>
      </c>
      <c r="L284" s="25">
        <f>IF(OR(K284="",I284="",I284=0),"",K284/I284)</f>
        <v>0</v>
      </c>
      <c r="S284" s="25">
        <f>MonthlyBudget</f>
        <v>0</v>
      </c>
      <c r="T284" s="25">
        <f>IF(B284="","",SUMIFS($K$5:$K$404,$E$5:$E$404,E284))</f>
        <v>0</v>
      </c>
      <c r="U284" s="31">
        <f>IF(B284="","",IF(T284&gt;MonthlyBudget,"Check - over the monthly budget","OK"))</f>
        <v>0</v>
      </c>
      <c r="V284" s="31">
        <f>IF(B284="","",IF(K284="","Add - no amount",IF(Q284="Yes","Wasted",IF(O284="No","Check - unplanned","Purchased"))))</f>
        <v>0</v>
      </c>
    </row>
    <row r="285" spans="1:22">
      <c r="A285" s="39">
        <f>IF(B285="","",SpendPrefix&amp;TEXT(ROW()-4,"0000"))</f>
        <v>0</v>
      </c>
      <c r="C285" s="17">
        <f>IF(B285="","",TEXT(B285,"ddd"))</f>
        <v>0</v>
      </c>
      <c r="D285" s="18">
        <f>IF(B285="","",WEEKNUM(B285,IF(WeekStart="Sunday",1,2)))</f>
        <v>0</v>
      </c>
      <c r="E285" s="17">
        <f>IF(B285="","",TEXT(B285,"yyyy-mm"))</f>
        <v>0</v>
      </c>
      <c r="L285" s="25">
        <f>IF(OR(K285="",I285="",I285=0),"",K285/I285)</f>
        <v>0</v>
      </c>
      <c r="S285" s="25">
        <f>MonthlyBudget</f>
        <v>0</v>
      </c>
      <c r="T285" s="25">
        <f>IF(B285="","",SUMIFS($K$5:$K$404,$E$5:$E$404,E285))</f>
        <v>0</v>
      </c>
      <c r="U285" s="31">
        <f>IF(B285="","",IF(T285&gt;MonthlyBudget,"Check - over the monthly budget","OK"))</f>
        <v>0</v>
      </c>
      <c r="V285" s="31">
        <f>IF(B285="","",IF(K285="","Add - no amount",IF(Q285="Yes","Wasted",IF(O285="No","Check - unplanned","Purchased"))))</f>
        <v>0</v>
      </c>
    </row>
    <row r="286" spans="1:22">
      <c r="A286" s="39">
        <f>IF(B286="","",SpendPrefix&amp;TEXT(ROW()-4,"0000"))</f>
        <v>0</v>
      </c>
      <c r="C286" s="17">
        <f>IF(B286="","",TEXT(B286,"ddd"))</f>
        <v>0</v>
      </c>
      <c r="D286" s="18">
        <f>IF(B286="","",WEEKNUM(B286,IF(WeekStart="Sunday",1,2)))</f>
        <v>0</v>
      </c>
      <c r="E286" s="17">
        <f>IF(B286="","",TEXT(B286,"yyyy-mm"))</f>
        <v>0</v>
      </c>
      <c r="L286" s="25">
        <f>IF(OR(K286="",I286="",I286=0),"",K286/I286)</f>
        <v>0</v>
      </c>
      <c r="S286" s="25">
        <f>MonthlyBudget</f>
        <v>0</v>
      </c>
      <c r="T286" s="25">
        <f>IF(B286="","",SUMIFS($K$5:$K$404,$E$5:$E$404,E286))</f>
        <v>0</v>
      </c>
      <c r="U286" s="31">
        <f>IF(B286="","",IF(T286&gt;MonthlyBudget,"Check - over the monthly budget","OK"))</f>
        <v>0</v>
      </c>
      <c r="V286" s="31">
        <f>IF(B286="","",IF(K286="","Add - no amount",IF(Q286="Yes","Wasted",IF(O286="No","Check - unplanned","Purchased"))))</f>
        <v>0</v>
      </c>
    </row>
    <row r="287" spans="1:22">
      <c r="A287" s="39">
        <f>IF(B287="","",SpendPrefix&amp;TEXT(ROW()-4,"0000"))</f>
        <v>0</v>
      </c>
      <c r="C287" s="17">
        <f>IF(B287="","",TEXT(B287,"ddd"))</f>
        <v>0</v>
      </c>
      <c r="D287" s="18">
        <f>IF(B287="","",WEEKNUM(B287,IF(WeekStart="Sunday",1,2)))</f>
        <v>0</v>
      </c>
      <c r="E287" s="17">
        <f>IF(B287="","",TEXT(B287,"yyyy-mm"))</f>
        <v>0</v>
      </c>
      <c r="L287" s="25">
        <f>IF(OR(K287="",I287="",I287=0),"",K287/I287)</f>
        <v>0</v>
      </c>
      <c r="S287" s="25">
        <f>MonthlyBudget</f>
        <v>0</v>
      </c>
      <c r="T287" s="25">
        <f>IF(B287="","",SUMIFS($K$5:$K$404,$E$5:$E$404,E287))</f>
        <v>0</v>
      </c>
      <c r="U287" s="31">
        <f>IF(B287="","",IF(T287&gt;MonthlyBudget,"Check - over the monthly budget","OK"))</f>
        <v>0</v>
      </c>
      <c r="V287" s="31">
        <f>IF(B287="","",IF(K287="","Add - no amount",IF(Q287="Yes","Wasted",IF(O287="No","Check - unplanned","Purchased"))))</f>
        <v>0</v>
      </c>
    </row>
    <row r="288" spans="1:22">
      <c r="A288" s="39">
        <f>IF(B288="","",SpendPrefix&amp;TEXT(ROW()-4,"0000"))</f>
        <v>0</v>
      </c>
      <c r="C288" s="17">
        <f>IF(B288="","",TEXT(B288,"ddd"))</f>
        <v>0</v>
      </c>
      <c r="D288" s="18">
        <f>IF(B288="","",WEEKNUM(B288,IF(WeekStart="Sunday",1,2)))</f>
        <v>0</v>
      </c>
      <c r="E288" s="17">
        <f>IF(B288="","",TEXT(B288,"yyyy-mm"))</f>
        <v>0</v>
      </c>
      <c r="L288" s="25">
        <f>IF(OR(K288="",I288="",I288=0),"",K288/I288)</f>
        <v>0</v>
      </c>
      <c r="S288" s="25">
        <f>MonthlyBudget</f>
        <v>0</v>
      </c>
      <c r="T288" s="25">
        <f>IF(B288="","",SUMIFS($K$5:$K$404,$E$5:$E$404,E288))</f>
        <v>0</v>
      </c>
      <c r="U288" s="31">
        <f>IF(B288="","",IF(T288&gt;MonthlyBudget,"Check - over the monthly budget","OK"))</f>
        <v>0</v>
      </c>
      <c r="V288" s="31">
        <f>IF(B288="","",IF(K288="","Add - no amount",IF(Q288="Yes","Wasted",IF(O288="No","Check - unplanned","Purchased"))))</f>
        <v>0</v>
      </c>
    </row>
    <row r="289" spans="1:22">
      <c r="A289" s="39">
        <f>IF(B289="","",SpendPrefix&amp;TEXT(ROW()-4,"0000"))</f>
        <v>0</v>
      </c>
      <c r="C289" s="17">
        <f>IF(B289="","",TEXT(B289,"ddd"))</f>
        <v>0</v>
      </c>
      <c r="D289" s="18">
        <f>IF(B289="","",WEEKNUM(B289,IF(WeekStart="Sunday",1,2)))</f>
        <v>0</v>
      </c>
      <c r="E289" s="17">
        <f>IF(B289="","",TEXT(B289,"yyyy-mm"))</f>
        <v>0</v>
      </c>
      <c r="L289" s="25">
        <f>IF(OR(K289="",I289="",I289=0),"",K289/I289)</f>
        <v>0</v>
      </c>
      <c r="S289" s="25">
        <f>MonthlyBudget</f>
        <v>0</v>
      </c>
      <c r="T289" s="25">
        <f>IF(B289="","",SUMIFS($K$5:$K$404,$E$5:$E$404,E289))</f>
        <v>0</v>
      </c>
      <c r="U289" s="31">
        <f>IF(B289="","",IF(T289&gt;MonthlyBudget,"Check - over the monthly budget","OK"))</f>
        <v>0</v>
      </c>
      <c r="V289" s="31">
        <f>IF(B289="","",IF(K289="","Add - no amount",IF(Q289="Yes","Wasted",IF(O289="No","Check - unplanned","Purchased"))))</f>
        <v>0</v>
      </c>
    </row>
    <row r="290" spans="1:22">
      <c r="A290" s="39">
        <f>IF(B290="","",SpendPrefix&amp;TEXT(ROW()-4,"0000"))</f>
        <v>0</v>
      </c>
      <c r="C290" s="17">
        <f>IF(B290="","",TEXT(B290,"ddd"))</f>
        <v>0</v>
      </c>
      <c r="D290" s="18">
        <f>IF(B290="","",WEEKNUM(B290,IF(WeekStart="Sunday",1,2)))</f>
        <v>0</v>
      </c>
      <c r="E290" s="17">
        <f>IF(B290="","",TEXT(B290,"yyyy-mm"))</f>
        <v>0</v>
      </c>
      <c r="L290" s="25">
        <f>IF(OR(K290="",I290="",I290=0),"",K290/I290)</f>
        <v>0</v>
      </c>
      <c r="S290" s="25">
        <f>MonthlyBudget</f>
        <v>0</v>
      </c>
      <c r="T290" s="25">
        <f>IF(B290="","",SUMIFS($K$5:$K$404,$E$5:$E$404,E290))</f>
        <v>0</v>
      </c>
      <c r="U290" s="31">
        <f>IF(B290="","",IF(T290&gt;MonthlyBudget,"Check - over the monthly budget","OK"))</f>
        <v>0</v>
      </c>
      <c r="V290" s="31">
        <f>IF(B290="","",IF(K290="","Add - no amount",IF(Q290="Yes","Wasted",IF(O290="No","Check - unplanned","Purchased"))))</f>
        <v>0</v>
      </c>
    </row>
    <row r="291" spans="1:22">
      <c r="A291" s="39">
        <f>IF(B291="","",SpendPrefix&amp;TEXT(ROW()-4,"0000"))</f>
        <v>0</v>
      </c>
      <c r="C291" s="17">
        <f>IF(B291="","",TEXT(B291,"ddd"))</f>
        <v>0</v>
      </c>
      <c r="D291" s="18">
        <f>IF(B291="","",WEEKNUM(B291,IF(WeekStart="Sunday",1,2)))</f>
        <v>0</v>
      </c>
      <c r="E291" s="17">
        <f>IF(B291="","",TEXT(B291,"yyyy-mm"))</f>
        <v>0</v>
      </c>
      <c r="L291" s="25">
        <f>IF(OR(K291="",I291="",I291=0),"",K291/I291)</f>
        <v>0</v>
      </c>
      <c r="S291" s="25">
        <f>MonthlyBudget</f>
        <v>0</v>
      </c>
      <c r="T291" s="25">
        <f>IF(B291="","",SUMIFS($K$5:$K$404,$E$5:$E$404,E291))</f>
        <v>0</v>
      </c>
      <c r="U291" s="31">
        <f>IF(B291="","",IF(T291&gt;MonthlyBudget,"Check - over the monthly budget","OK"))</f>
        <v>0</v>
      </c>
      <c r="V291" s="31">
        <f>IF(B291="","",IF(K291="","Add - no amount",IF(Q291="Yes","Wasted",IF(O291="No","Check - unplanned","Purchased"))))</f>
        <v>0</v>
      </c>
    </row>
    <row r="292" spans="1:22">
      <c r="A292" s="39">
        <f>IF(B292="","",SpendPrefix&amp;TEXT(ROW()-4,"0000"))</f>
        <v>0</v>
      </c>
      <c r="C292" s="17">
        <f>IF(B292="","",TEXT(B292,"ddd"))</f>
        <v>0</v>
      </c>
      <c r="D292" s="18">
        <f>IF(B292="","",WEEKNUM(B292,IF(WeekStart="Sunday",1,2)))</f>
        <v>0</v>
      </c>
      <c r="E292" s="17">
        <f>IF(B292="","",TEXT(B292,"yyyy-mm"))</f>
        <v>0</v>
      </c>
      <c r="L292" s="25">
        <f>IF(OR(K292="",I292="",I292=0),"",K292/I292)</f>
        <v>0</v>
      </c>
      <c r="S292" s="25">
        <f>MonthlyBudget</f>
        <v>0</v>
      </c>
      <c r="T292" s="25">
        <f>IF(B292="","",SUMIFS($K$5:$K$404,$E$5:$E$404,E292))</f>
        <v>0</v>
      </c>
      <c r="U292" s="31">
        <f>IF(B292="","",IF(T292&gt;MonthlyBudget,"Check - over the monthly budget","OK"))</f>
        <v>0</v>
      </c>
      <c r="V292" s="31">
        <f>IF(B292="","",IF(K292="","Add - no amount",IF(Q292="Yes","Wasted",IF(O292="No","Check - unplanned","Purchased"))))</f>
        <v>0</v>
      </c>
    </row>
    <row r="293" spans="1:22">
      <c r="A293" s="39">
        <f>IF(B293="","",SpendPrefix&amp;TEXT(ROW()-4,"0000"))</f>
        <v>0</v>
      </c>
      <c r="C293" s="17">
        <f>IF(B293="","",TEXT(B293,"ddd"))</f>
        <v>0</v>
      </c>
      <c r="D293" s="18">
        <f>IF(B293="","",WEEKNUM(B293,IF(WeekStart="Sunday",1,2)))</f>
        <v>0</v>
      </c>
      <c r="E293" s="17">
        <f>IF(B293="","",TEXT(B293,"yyyy-mm"))</f>
        <v>0</v>
      </c>
      <c r="L293" s="25">
        <f>IF(OR(K293="",I293="",I293=0),"",K293/I293)</f>
        <v>0</v>
      </c>
      <c r="S293" s="25">
        <f>MonthlyBudget</f>
        <v>0</v>
      </c>
      <c r="T293" s="25">
        <f>IF(B293="","",SUMIFS($K$5:$K$404,$E$5:$E$404,E293))</f>
        <v>0</v>
      </c>
      <c r="U293" s="31">
        <f>IF(B293="","",IF(T293&gt;MonthlyBudget,"Check - over the monthly budget","OK"))</f>
        <v>0</v>
      </c>
      <c r="V293" s="31">
        <f>IF(B293="","",IF(K293="","Add - no amount",IF(Q293="Yes","Wasted",IF(O293="No","Check - unplanned","Purchased"))))</f>
        <v>0</v>
      </c>
    </row>
    <row r="294" spans="1:22">
      <c r="A294" s="39">
        <f>IF(B294="","",SpendPrefix&amp;TEXT(ROW()-4,"0000"))</f>
        <v>0</v>
      </c>
      <c r="C294" s="17">
        <f>IF(B294="","",TEXT(B294,"ddd"))</f>
        <v>0</v>
      </c>
      <c r="D294" s="18">
        <f>IF(B294="","",WEEKNUM(B294,IF(WeekStart="Sunday",1,2)))</f>
        <v>0</v>
      </c>
      <c r="E294" s="17">
        <f>IF(B294="","",TEXT(B294,"yyyy-mm"))</f>
        <v>0</v>
      </c>
      <c r="L294" s="25">
        <f>IF(OR(K294="",I294="",I294=0),"",K294/I294)</f>
        <v>0</v>
      </c>
      <c r="S294" s="25">
        <f>MonthlyBudget</f>
        <v>0</v>
      </c>
      <c r="T294" s="25">
        <f>IF(B294="","",SUMIFS($K$5:$K$404,$E$5:$E$404,E294))</f>
        <v>0</v>
      </c>
      <c r="U294" s="31">
        <f>IF(B294="","",IF(T294&gt;MonthlyBudget,"Check - over the monthly budget","OK"))</f>
        <v>0</v>
      </c>
      <c r="V294" s="31">
        <f>IF(B294="","",IF(K294="","Add - no amount",IF(Q294="Yes","Wasted",IF(O294="No","Check - unplanned","Purchased"))))</f>
        <v>0</v>
      </c>
    </row>
    <row r="295" spans="1:22">
      <c r="A295" s="39">
        <f>IF(B295="","",SpendPrefix&amp;TEXT(ROW()-4,"0000"))</f>
        <v>0</v>
      </c>
      <c r="C295" s="17">
        <f>IF(B295="","",TEXT(B295,"ddd"))</f>
        <v>0</v>
      </c>
      <c r="D295" s="18">
        <f>IF(B295="","",WEEKNUM(B295,IF(WeekStart="Sunday",1,2)))</f>
        <v>0</v>
      </c>
      <c r="E295" s="17">
        <f>IF(B295="","",TEXT(B295,"yyyy-mm"))</f>
        <v>0</v>
      </c>
      <c r="L295" s="25">
        <f>IF(OR(K295="",I295="",I295=0),"",K295/I295)</f>
        <v>0</v>
      </c>
      <c r="S295" s="25">
        <f>MonthlyBudget</f>
        <v>0</v>
      </c>
      <c r="T295" s="25">
        <f>IF(B295="","",SUMIFS($K$5:$K$404,$E$5:$E$404,E295))</f>
        <v>0</v>
      </c>
      <c r="U295" s="31">
        <f>IF(B295="","",IF(T295&gt;MonthlyBudget,"Check - over the monthly budget","OK"))</f>
        <v>0</v>
      </c>
      <c r="V295" s="31">
        <f>IF(B295="","",IF(K295="","Add - no amount",IF(Q295="Yes","Wasted",IF(O295="No","Check - unplanned","Purchased"))))</f>
        <v>0</v>
      </c>
    </row>
    <row r="296" spans="1:22">
      <c r="A296" s="39">
        <f>IF(B296="","",SpendPrefix&amp;TEXT(ROW()-4,"0000"))</f>
        <v>0</v>
      </c>
      <c r="C296" s="17">
        <f>IF(B296="","",TEXT(B296,"ddd"))</f>
        <v>0</v>
      </c>
      <c r="D296" s="18">
        <f>IF(B296="","",WEEKNUM(B296,IF(WeekStart="Sunday",1,2)))</f>
        <v>0</v>
      </c>
      <c r="E296" s="17">
        <f>IF(B296="","",TEXT(B296,"yyyy-mm"))</f>
        <v>0</v>
      </c>
      <c r="L296" s="25">
        <f>IF(OR(K296="",I296="",I296=0),"",K296/I296)</f>
        <v>0</v>
      </c>
      <c r="S296" s="25">
        <f>MonthlyBudget</f>
        <v>0</v>
      </c>
      <c r="T296" s="25">
        <f>IF(B296="","",SUMIFS($K$5:$K$404,$E$5:$E$404,E296))</f>
        <v>0</v>
      </c>
      <c r="U296" s="31">
        <f>IF(B296="","",IF(T296&gt;MonthlyBudget,"Check - over the monthly budget","OK"))</f>
        <v>0</v>
      </c>
      <c r="V296" s="31">
        <f>IF(B296="","",IF(K296="","Add - no amount",IF(Q296="Yes","Wasted",IF(O296="No","Check - unplanned","Purchased"))))</f>
        <v>0</v>
      </c>
    </row>
    <row r="297" spans="1:22">
      <c r="A297" s="39">
        <f>IF(B297="","",SpendPrefix&amp;TEXT(ROW()-4,"0000"))</f>
        <v>0</v>
      </c>
      <c r="C297" s="17">
        <f>IF(B297="","",TEXT(B297,"ddd"))</f>
        <v>0</v>
      </c>
      <c r="D297" s="18">
        <f>IF(B297="","",WEEKNUM(B297,IF(WeekStart="Sunday",1,2)))</f>
        <v>0</v>
      </c>
      <c r="E297" s="17">
        <f>IF(B297="","",TEXT(B297,"yyyy-mm"))</f>
        <v>0</v>
      </c>
      <c r="L297" s="25">
        <f>IF(OR(K297="",I297="",I297=0),"",K297/I297)</f>
        <v>0</v>
      </c>
      <c r="S297" s="25">
        <f>MonthlyBudget</f>
        <v>0</v>
      </c>
      <c r="T297" s="25">
        <f>IF(B297="","",SUMIFS($K$5:$K$404,$E$5:$E$404,E297))</f>
        <v>0</v>
      </c>
      <c r="U297" s="31">
        <f>IF(B297="","",IF(T297&gt;MonthlyBudget,"Check - over the monthly budget","OK"))</f>
        <v>0</v>
      </c>
      <c r="V297" s="31">
        <f>IF(B297="","",IF(K297="","Add - no amount",IF(Q297="Yes","Wasted",IF(O297="No","Check - unplanned","Purchased"))))</f>
        <v>0</v>
      </c>
    </row>
    <row r="298" spans="1:22">
      <c r="A298" s="39">
        <f>IF(B298="","",SpendPrefix&amp;TEXT(ROW()-4,"0000"))</f>
        <v>0</v>
      </c>
      <c r="C298" s="17">
        <f>IF(B298="","",TEXT(B298,"ddd"))</f>
        <v>0</v>
      </c>
      <c r="D298" s="18">
        <f>IF(B298="","",WEEKNUM(B298,IF(WeekStart="Sunday",1,2)))</f>
        <v>0</v>
      </c>
      <c r="E298" s="17">
        <f>IF(B298="","",TEXT(B298,"yyyy-mm"))</f>
        <v>0</v>
      </c>
      <c r="L298" s="25">
        <f>IF(OR(K298="",I298="",I298=0),"",K298/I298)</f>
        <v>0</v>
      </c>
      <c r="S298" s="25">
        <f>MonthlyBudget</f>
        <v>0</v>
      </c>
      <c r="T298" s="25">
        <f>IF(B298="","",SUMIFS($K$5:$K$404,$E$5:$E$404,E298))</f>
        <v>0</v>
      </c>
      <c r="U298" s="31">
        <f>IF(B298="","",IF(T298&gt;MonthlyBudget,"Check - over the monthly budget","OK"))</f>
        <v>0</v>
      </c>
      <c r="V298" s="31">
        <f>IF(B298="","",IF(K298="","Add - no amount",IF(Q298="Yes","Wasted",IF(O298="No","Check - unplanned","Purchased"))))</f>
        <v>0</v>
      </c>
    </row>
    <row r="299" spans="1:22">
      <c r="A299" s="39">
        <f>IF(B299="","",SpendPrefix&amp;TEXT(ROW()-4,"0000"))</f>
        <v>0</v>
      </c>
      <c r="C299" s="17">
        <f>IF(B299="","",TEXT(B299,"ddd"))</f>
        <v>0</v>
      </c>
      <c r="D299" s="18">
        <f>IF(B299="","",WEEKNUM(B299,IF(WeekStart="Sunday",1,2)))</f>
        <v>0</v>
      </c>
      <c r="E299" s="17">
        <f>IF(B299="","",TEXT(B299,"yyyy-mm"))</f>
        <v>0</v>
      </c>
      <c r="L299" s="25">
        <f>IF(OR(K299="",I299="",I299=0),"",K299/I299)</f>
        <v>0</v>
      </c>
      <c r="S299" s="25">
        <f>MonthlyBudget</f>
        <v>0</v>
      </c>
      <c r="T299" s="25">
        <f>IF(B299="","",SUMIFS($K$5:$K$404,$E$5:$E$404,E299))</f>
        <v>0</v>
      </c>
      <c r="U299" s="31">
        <f>IF(B299="","",IF(T299&gt;MonthlyBudget,"Check - over the monthly budget","OK"))</f>
        <v>0</v>
      </c>
      <c r="V299" s="31">
        <f>IF(B299="","",IF(K299="","Add - no amount",IF(Q299="Yes","Wasted",IF(O299="No","Check - unplanned","Purchased"))))</f>
        <v>0</v>
      </c>
    </row>
    <row r="300" spans="1:22">
      <c r="A300" s="39">
        <f>IF(B300="","",SpendPrefix&amp;TEXT(ROW()-4,"0000"))</f>
        <v>0</v>
      </c>
      <c r="C300" s="17">
        <f>IF(B300="","",TEXT(B300,"ddd"))</f>
        <v>0</v>
      </c>
      <c r="D300" s="18">
        <f>IF(B300="","",WEEKNUM(B300,IF(WeekStart="Sunday",1,2)))</f>
        <v>0</v>
      </c>
      <c r="E300" s="17">
        <f>IF(B300="","",TEXT(B300,"yyyy-mm"))</f>
        <v>0</v>
      </c>
      <c r="L300" s="25">
        <f>IF(OR(K300="",I300="",I300=0),"",K300/I300)</f>
        <v>0</v>
      </c>
      <c r="S300" s="25">
        <f>MonthlyBudget</f>
        <v>0</v>
      </c>
      <c r="T300" s="25">
        <f>IF(B300="","",SUMIFS($K$5:$K$404,$E$5:$E$404,E300))</f>
        <v>0</v>
      </c>
      <c r="U300" s="31">
        <f>IF(B300="","",IF(T300&gt;MonthlyBudget,"Check - over the monthly budget","OK"))</f>
        <v>0</v>
      </c>
      <c r="V300" s="31">
        <f>IF(B300="","",IF(K300="","Add - no amount",IF(Q300="Yes","Wasted",IF(O300="No","Check - unplanned","Purchased"))))</f>
        <v>0</v>
      </c>
    </row>
    <row r="301" spans="1:22">
      <c r="A301" s="39">
        <f>IF(B301="","",SpendPrefix&amp;TEXT(ROW()-4,"0000"))</f>
        <v>0</v>
      </c>
      <c r="C301" s="17">
        <f>IF(B301="","",TEXT(B301,"ddd"))</f>
        <v>0</v>
      </c>
      <c r="D301" s="18">
        <f>IF(B301="","",WEEKNUM(B301,IF(WeekStart="Sunday",1,2)))</f>
        <v>0</v>
      </c>
      <c r="E301" s="17">
        <f>IF(B301="","",TEXT(B301,"yyyy-mm"))</f>
        <v>0</v>
      </c>
      <c r="L301" s="25">
        <f>IF(OR(K301="",I301="",I301=0),"",K301/I301)</f>
        <v>0</v>
      </c>
      <c r="S301" s="25">
        <f>MonthlyBudget</f>
        <v>0</v>
      </c>
      <c r="T301" s="25">
        <f>IF(B301="","",SUMIFS($K$5:$K$404,$E$5:$E$404,E301))</f>
        <v>0</v>
      </c>
      <c r="U301" s="31">
        <f>IF(B301="","",IF(T301&gt;MonthlyBudget,"Check - over the monthly budget","OK"))</f>
        <v>0</v>
      </c>
      <c r="V301" s="31">
        <f>IF(B301="","",IF(K301="","Add - no amount",IF(Q301="Yes","Wasted",IF(O301="No","Check - unplanned","Purchased"))))</f>
        <v>0</v>
      </c>
    </row>
    <row r="302" spans="1:22">
      <c r="A302" s="39">
        <f>IF(B302="","",SpendPrefix&amp;TEXT(ROW()-4,"0000"))</f>
        <v>0</v>
      </c>
      <c r="C302" s="17">
        <f>IF(B302="","",TEXT(B302,"ddd"))</f>
        <v>0</v>
      </c>
      <c r="D302" s="18">
        <f>IF(B302="","",WEEKNUM(B302,IF(WeekStart="Sunday",1,2)))</f>
        <v>0</v>
      </c>
      <c r="E302" s="17">
        <f>IF(B302="","",TEXT(B302,"yyyy-mm"))</f>
        <v>0</v>
      </c>
      <c r="L302" s="25">
        <f>IF(OR(K302="",I302="",I302=0),"",K302/I302)</f>
        <v>0</v>
      </c>
      <c r="S302" s="25">
        <f>MonthlyBudget</f>
        <v>0</v>
      </c>
      <c r="T302" s="25">
        <f>IF(B302="","",SUMIFS($K$5:$K$404,$E$5:$E$404,E302))</f>
        <v>0</v>
      </c>
      <c r="U302" s="31">
        <f>IF(B302="","",IF(T302&gt;MonthlyBudget,"Check - over the monthly budget","OK"))</f>
        <v>0</v>
      </c>
      <c r="V302" s="31">
        <f>IF(B302="","",IF(K302="","Add - no amount",IF(Q302="Yes","Wasted",IF(O302="No","Check - unplanned","Purchased"))))</f>
        <v>0</v>
      </c>
    </row>
    <row r="303" spans="1:22">
      <c r="A303" s="39">
        <f>IF(B303="","",SpendPrefix&amp;TEXT(ROW()-4,"0000"))</f>
        <v>0</v>
      </c>
      <c r="C303" s="17">
        <f>IF(B303="","",TEXT(B303,"ddd"))</f>
        <v>0</v>
      </c>
      <c r="D303" s="18">
        <f>IF(B303="","",WEEKNUM(B303,IF(WeekStart="Sunday",1,2)))</f>
        <v>0</v>
      </c>
      <c r="E303" s="17">
        <f>IF(B303="","",TEXT(B303,"yyyy-mm"))</f>
        <v>0</v>
      </c>
      <c r="L303" s="25">
        <f>IF(OR(K303="",I303="",I303=0),"",K303/I303)</f>
        <v>0</v>
      </c>
      <c r="S303" s="25">
        <f>MonthlyBudget</f>
        <v>0</v>
      </c>
      <c r="T303" s="25">
        <f>IF(B303="","",SUMIFS($K$5:$K$404,$E$5:$E$404,E303))</f>
        <v>0</v>
      </c>
      <c r="U303" s="31">
        <f>IF(B303="","",IF(T303&gt;MonthlyBudget,"Check - over the monthly budget","OK"))</f>
        <v>0</v>
      </c>
      <c r="V303" s="31">
        <f>IF(B303="","",IF(K303="","Add - no amount",IF(Q303="Yes","Wasted",IF(O303="No","Check - unplanned","Purchased"))))</f>
        <v>0</v>
      </c>
    </row>
    <row r="304" spans="1:22">
      <c r="A304" s="39">
        <f>IF(B304="","",SpendPrefix&amp;TEXT(ROW()-4,"0000"))</f>
        <v>0</v>
      </c>
      <c r="C304" s="17">
        <f>IF(B304="","",TEXT(B304,"ddd"))</f>
        <v>0</v>
      </c>
      <c r="D304" s="18">
        <f>IF(B304="","",WEEKNUM(B304,IF(WeekStart="Sunday",1,2)))</f>
        <v>0</v>
      </c>
      <c r="E304" s="17">
        <f>IF(B304="","",TEXT(B304,"yyyy-mm"))</f>
        <v>0</v>
      </c>
      <c r="L304" s="25">
        <f>IF(OR(K304="",I304="",I304=0),"",K304/I304)</f>
        <v>0</v>
      </c>
      <c r="S304" s="25">
        <f>MonthlyBudget</f>
        <v>0</v>
      </c>
      <c r="T304" s="25">
        <f>IF(B304="","",SUMIFS($K$5:$K$404,$E$5:$E$404,E304))</f>
        <v>0</v>
      </c>
      <c r="U304" s="31">
        <f>IF(B304="","",IF(T304&gt;MonthlyBudget,"Check - over the monthly budget","OK"))</f>
        <v>0</v>
      </c>
      <c r="V304" s="31">
        <f>IF(B304="","",IF(K304="","Add - no amount",IF(Q304="Yes","Wasted",IF(O304="No","Check - unplanned","Purchased"))))</f>
        <v>0</v>
      </c>
    </row>
    <row r="305" spans="1:22">
      <c r="A305" s="39">
        <f>IF(B305="","",SpendPrefix&amp;TEXT(ROW()-4,"0000"))</f>
        <v>0</v>
      </c>
      <c r="C305" s="17">
        <f>IF(B305="","",TEXT(B305,"ddd"))</f>
        <v>0</v>
      </c>
      <c r="D305" s="18">
        <f>IF(B305="","",WEEKNUM(B305,IF(WeekStart="Sunday",1,2)))</f>
        <v>0</v>
      </c>
      <c r="E305" s="17">
        <f>IF(B305="","",TEXT(B305,"yyyy-mm"))</f>
        <v>0</v>
      </c>
      <c r="L305" s="25">
        <f>IF(OR(K305="",I305="",I305=0),"",K305/I305)</f>
        <v>0</v>
      </c>
      <c r="S305" s="25">
        <f>MonthlyBudget</f>
        <v>0</v>
      </c>
      <c r="T305" s="25">
        <f>IF(B305="","",SUMIFS($K$5:$K$404,$E$5:$E$404,E305))</f>
        <v>0</v>
      </c>
      <c r="U305" s="31">
        <f>IF(B305="","",IF(T305&gt;MonthlyBudget,"Check - over the monthly budget","OK"))</f>
        <v>0</v>
      </c>
      <c r="V305" s="31">
        <f>IF(B305="","",IF(K305="","Add - no amount",IF(Q305="Yes","Wasted",IF(O305="No","Check - unplanned","Purchased"))))</f>
        <v>0</v>
      </c>
    </row>
    <row r="306" spans="1:22">
      <c r="A306" s="39">
        <f>IF(B306="","",SpendPrefix&amp;TEXT(ROW()-4,"0000"))</f>
        <v>0</v>
      </c>
      <c r="C306" s="17">
        <f>IF(B306="","",TEXT(B306,"ddd"))</f>
        <v>0</v>
      </c>
      <c r="D306" s="18">
        <f>IF(B306="","",WEEKNUM(B306,IF(WeekStart="Sunday",1,2)))</f>
        <v>0</v>
      </c>
      <c r="E306" s="17">
        <f>IF(B306="","",TEXT(B306,"yyyy-mm"))</f>
        <v>0</v>
      </c>
      <c r="L306" s="25">
        <f>IF(OR(K306="",I306="",I306=0),"",K306/I306)</f>
        <v>0</v>
      </c>
      <c r="S306" s="25">
        <f>MonthlyBudget</f>
        <v>0</v>
      </c>
      <c r="T306" s="25">
        <f>IF(B306="","",SUMIFS($K$5:$K$404,$E$5:$E$404,E306))</f>
        <v>0</v>
      </c>
      <c r="U306" s="31">
        <f>IF(B306="","",IF(T306&gt;MonthlyBudget,"Check - over the monthly budget","OK"))</f>
        <v>0</v>
      </c>
      <c r="V306" s="31">
        <f>IF(B306="","",IF(K306="","Add - no amount",IF(Q306="Yes","Wasted",IF(O306="No","Check - unplanned","Purchased"))))</f>
        <v>0</v>
      </c>
    </row>
    <row r="307" spans="1:22">
      <c r="A307" s="39">
        <f>IF(B307="","",SpendPrefix&amp;TEXT(ROW()-4,"0000"))</f>
        <v>0</v>
      </c>
      <c r="C307" s="17">
        <f>IF(B307="","",TEXT(B307,"ddd"))</f>
        <v>0</v>
      </c>
      <c r="D307" s="18">
        <f>IF(B307="","",WEEKNUM(B307,IF(WeekStart="Sunday",1,2)))</f>
        <v>0</v>
      </c>
      <c r="E307" s="17">
        <f>IF(B307="","",TEXT(B307,"yyyy-mm"))</f>
        <v>0</v>
      </c>
      <c r="L307" s="25">
        <f>IF(OR(K307="",I307="",I307=0),"",K307/I307)</f>
        <v>0</v>
      </c>
      <c r="S307" s="25">
        <f>MonthlyBudget</f>
        <v>0</v>
      </c>
      <c r="T307" s="25">
        <f>IF(B307="","",SUMIFS($K$5:$K$404,$E$5:$E$404,E307))</f>
        <v>0</v>
      </c>
      <c r="U307" s="31">
        <f>IF(B307="","",IF(T307&gt;MonthlyBudget,"Check - over the monthly budget","OK"))</f>
        <v>0</v>
      </c>
      <c r="V307" s="31">
        <f>IF(B307="","",IF(K307="","Add - no amount",IF(Q307="Yes","Wasted",IF(O307="No","Check - unplanned","Purchased"))))</f>
        <v>0</v>
      </c>
    </row>
    <row r="308" spans="1:22">
      <c r="A308" s="39">
        <f>IF(B308="","",SpendPrefix&amp;TEXT(ROW()-4,"0000"))</f>
        <v>0</v>
      </c>
      <c r="C308" s="17">
        <f>IF(B308="","",TEXT(B308,"ddd"))</f>
        <v>0</v>
      </c>
      <c r="D308" s="18">
        <f>IF(B308="","",WEEKNUM(B308,IF(WeekStart="Sunday",1,2)))</f>
        <v>0</v>
      </c>
      <c r="E308" s="17">
        <f>IF(B308="","",TEXT(B308,"yyyy-mm"))</f>
        <v>0</v>
      </c>
      <c r="L308" s="25">
        <f>IF(OR(K308="",I308="",I308=0),"",K308/I308)</f>
        <v>0</v>
      </c>
      <c r="S308" s="25">
        <f>MonthlyBudget</f>
        <v>0</v>
      </c>
      <c r="T308" s="25">
        <f>IF(B308="","",SUMIFS($K$5:$K$404,$E$5:$E$404,E308))</f>
        <v>0</v>
      </c>
      <c r="U308" s="31">
        <f>IF(B308="","",IF(T308&gt;MonthlyBudget,"Check - over the monthly budget","OK"))</f>
        <v>0</v>
      </c>
      <c r="V308" s="31">
        <f>IF(B308="","",IF(K308="","Add - no amount",IF(Q308="Yes","Wasted",IF(O308="No","Check - unplanned","Purchased"))))</f>
        <v>0</v>
      </c>
    </row>
    <row r="309" spans="1:22">
      <c r="A309" s="39">
        <f>IF(B309="","",SpendPrefix&amp;TEXT(ROW()-4,"0000"))</f>
        <v>0</v>
      </c>
      <c r="C309" s="17">
        <f>IF(B309="","",TEXT(B309,"ddd"))</f>
        <v>0</v>
      </c>
      <c r="D309" s="18">
        <f>IF(B309="","",WEEKNUM(B309,IF(WeekStart="Sunday",1,2)))</f>
        <v>0</v>
      </c>
      <c r="E309" s="17">
        <f>IF(B309="","",TEXT(B309,"yyyy-mm"))</f>
        <v>0</v>
      </c>
      <c r="L309" s="25">
        <f>IF(OR(K309="",I309="",I309=0),"",K309/I309)</f>
        <v>0</v>
      </c>
      <c r="S309" s="25">
        <f>MonthlyBudget</f>
        <v>0</v>
      </c>
      <c r="T309" s="25">
        <f>IF(B309="","",SUMIFS($K$5:$K$404,$E$5:$E$404,E309))</f>
        <v>0</v>
      </c>
      <c r="U309" s="31">
        <f>IF(B309="","",IF(T309&gt;MonthlyBudget,"Check - over the monthly budget","OK"))</f>
        <v>0</v>
      </c>
      <c r="V309" s="31">
        <f>IF(B309="","",IF(K309="","Add - no amount",IF(Q309="Yes","Wasted",IF(O309="No","Check - unplanned","Purchased"))))</f>
        <v>0</v>
      </c>
    </row>
    <row r="310" spans="1:22">
      <c r="A310" s="39">
        <f>IF(B310="","",SpendPrefix&amp;TEXT(ROW()-4,"0000"))</f>
        <v>0</v>
      </c>
      <c r="C310" s="17">
        <f>IF(B310="","",TEXT(B310,"ddd"))</f>
        <v>0</v>
      </c>
      <c r="D310" s="18">
        <f>IF(B310="","",WEEKNUM(B310,IF(WeekStart="Sunday",1,2)))</f>
        <v>0</v>
      </c>
      <c r="E310" s="17">
        <f>IF(B310="","",TEXT(B310,"yyyy-mm"))</f>
        <v>0</v>
      </c>
      <c r="L310" s="25">
        <f>IF(OR(K310="",I310="",I310=0),"",K310/I310)</f>
        <v>0</v>
      </c>
      <c r="S310" s="25">
        <f>MonthlyBudget</f>
        <v>0</v>
      </c>
      <c r="T310" s="25">
        <f>IF(B310="","",SUMIFS($K$5:$K$404,$E$5:$E$404,E310))</f>
        <v>0</v>
      </c>
      <c r="U310" s="31">
        <f>IF(B310="","",IF(T310&gt;MonthlyBudget,"Check - over the monthly budget","OK"))</f>
        <v>0</v>
      </c>
      <c r="V310" s="31">
        <f>IF(B310="","",IF(K310="","Add - no amount",IF(Q310="Yes","Wasted",IF(O310="No","Check - unplanned","Purchased"))))</f>
        <v>0</v>
      </c>
    </row>
    <row r="311" spans="1:22">
      <c r="A311" s="39">
        <f>IF(B311="","",SpendPrefix&amp;TEXT(ROW()-4,"0000"))</f>
        <v>0</v>
      </c>
      <c r="C311" s="17">
        <f>IF(B311="","",TEXT(B311,"ddd"))</f>
        <v>0</v>
      </c>
      <c r="D311" s="18">
        <f>IF(B311="","",WEEKNUM(B311,IF(WeekStart="Sunday",1,2)))</f>
        <v>0</v>
      </c>
      <c r="E311" s="17">
        <f>IF(B311="","",TEXT(B311,"yyyy-mm"))</f>
        <v>0</v>
      </c>
      <c r="L311" s="25">
        <f>IF(OR(K311="",I311="",I311=0),"",K311/I311)</f>
        <v>0</v>
      </c>
      <c r="S311" s="25">
        <f>MonthlyBudget</f>
        <v>0</v>
      </c>
      <c r="T311" s="25">
        <f>IF(B311="","",SUMIFS($K$5:$K$404,$E$5:$E$404,E311))</f>
        <v>0</v>
      </c>
      <c r="U311" s="31">
        <f>IF(B311="","",IF(T311&gt;MonthlyBudget,"Check - over the monthly budget","OK"))</f>
        <v>0</v>
      </c>
      <c r="V311" s="31">
        <f>IF(B311="","",IF(K311="","Add - no amount",IF(Q311="Yes","Wasted",IF(O311="No","Check - unplanned","Purchased"))))</f>
        <v>0</v>
      </c>
    </row>
    <row r="312" spans="1:22">
      <c r="A312" s="39">
        <f>IF(B312="","",SpendPrefix&amp;TEXT(ROW()-4,"0000"))</f>
        <v>0</v>
      </c>
      <c r="C312" s="17">
        <f>IF(B312="","",TEXT(B312,"ddd"))</f>
        <v>0</v>
      </c>
      <c r="D312" s="18">
        <f>IF(B312="","",WEEKNUM(B312,IF(WeekStart="Sunday",1,2)))</f>
        <v>0</v>
      </c>
      <c r="E312" s="17">
        <f>IF(B312="","",TEXT(B312,"yyyy-mm"))</f>
        <v>0</v>
      </c>
      <c r="L312" s="25">
        <f>IF(OR(K312="",I312="",I312=0),"",K312/I312)</f>
        <v>0</v>
      </c>
      <c r="S312" s="25">
        <f>MonthlyBudget</f>
        <v>0</v>
      </c>
      <c r="T312" s="25">
        <f>IF(B312="","",SUMIFS($K$5:$K$404,$E$5:$E$404,E312))</f>
        <v>0</v>
      </c>
      <c r="U312" s="31">
        <f>IF(B312="","",IF(T312&gt;MonthlyBudget,"Check - over the monthly budget","OK"))</f>
        <v>0</v>
      </c>
      <c r="V312" s="31">
        <f>IF(B312="","",IF(K312="","Add - no amount",IF(Q312="Yes","Wasted",IF(O312="No","Check - unplanned","Purchased"))))</f>
        <v>0</v>
      </c>
    </row>
    <row r="313" spans="1:22">
      <c r="A313" s="39">
        <f>IF(B313="","",SpendPrefix&amp;TEXT(ROW()-4,"0000"))</f>
        <v>0</v>
      </c>
      <c r="C313" s="17">
        <f>IF(B313="","",TEXT(B313,"ddd"))</f>
        <v>0</v>
      </c>
      <c r="D313" s="18">
        <f>IF(B313="","",WEEKNUM(B313,IF(WeekStart="Sunday",1,2)))</f>
        <v>0</v>
      </c>
      <c r="E313" s="17">
        <f>IF(B313="","",TEXT(B313,"yyyy-mm"))</f>
        <v>0</v>
      </c>
      <c r="L313" s="25">
        <f>IF(OR(K313="",I313="",I313=0),"",K313/I313)</f>
        <v>0</v>
      </c>
      <c r="S313" s="25">
        <f>MonthlyBudget</f>
        <v>0</v>
      </c>
      <c r="T313" s="25">
        <f>IF(B313="","",SUMIFS($K$5:$K$404,$E$5:$E$404,E313))</f>
        <v>0</v>
      </c>
      <c r="U313" s="31">
        <f>IF(B313="","",IF(T313&gt;MonthlyBudget,"Check - over the monthly budget","OK"))</f>
        <v>0</v>
      </c>
      <c r="V313" s="31">
        <f>IF(B313="","",IF(K313="","Add - no amount",IF(Q313="Yes","Wasted",IF(O313="No","Check - unplanned","Purchased"))))</f>
        <v>0</v>
      </c>
    </row>
    <row r="314" spans="1:22">
      <c r="A314" s="39">
        <f>IF(B314="","",SpendPrefix&amp;TEXT(ROW()-4,"0000"))</f>
        <v>0</v>
      </c>
      <c r="C314" s="17">
        <f>IF(B314="","",TEXT(B314,"ddd"))</f>
        <v>0</v>
      </c>
      <c r="D314" s="18">
        <f>IF(B314="","",WEEKNUM(B314,IF(WeekStart="Sunday",1,2)))</f>
        <v>0</v>
      </c>
      <c r="E314" s="17">
        <f>IF(B314="","",TEXT(B314,"yyyy-mm"))</f>
        <v>0</v>
      </c>
      <c r="L314" s="25">
        <f>IF(OR(K314="",I314="",I314=0),"",K314/I314)</f>
        <v>0</v>
      </c>
      <c r="S314" s="25">
        <f>MonthlyBudget</f>
        <v>0</v>
      </c>
      <c r="T314" s="25">
        <f>IF(B314="","",SUMIFS($K$5:$K$404,$E$5:$E$404,E314))</f>
        <v>0</v>
      </c>
      <c r="U314" s="31">
        <f>IF(B314="","",IF(T314&gt;MonthlyBudget,"Check - over the monthly budget","OK"))</f>
        <v>0</v>
      </c>
      <c r="V314" s="31">
        <f>IF(B314="","",IF(K314="","Add - no amount",IF(Q314="Yes","Wasted",IF(O314="No","Check - unplanned","Purchased"))))</f>
        <v>0</v>
      </c>
    </row>
    <row r="315" spans="1:22">
      <c r="A315" s="39">
        <f>IF(B315="","",SpendPrefix&amp;TEXT(ROW()-4,"0000"))</f>
        <v>0</v>
      </c>
      <c r="C315" s="17">
        <f>IF(B315="","",TEXT(B315,"ddd"))</f>
        <v>0</v>
      </c>
      <c r="D315" s="18">
        <f>IF(B315="","",WEEKNUM(B315,IF(WeekStart="Sunday",1,2)))</f>
        <v>0</v>
      </c>
      <c r="E315" s="17">
        <f>IF(B315="","",TEXT(B315,"yyyy-mm"))</f>
        <v>0</v>
      </c>
      <c r="L315" s="25">
        <f>IF(OR(K315="",I315="",I315=0),"",K315/I315)</f>
        <v>0</v>
      </c>
      <c r="S315" s="25">
        <f>MonthlyBudget</f>
        <v>0</v>
      </c>
      <c r="T315" s="25">
        <f>IF(B315="","",SUMIFS($K$5:$K$404,$E$5:$E$404,E315))</f>
        <v>0</v>
      </c>
      <c r="U315" s="31">
        <f>IF(B315="","",IF(T315&gt;MonthlyBudget,"Check - over the monthly budget","OK"))</f>
        <v>0</v>
      </c>
      <c r="V315" s="31">
        <f>IF(B315="","",IF(K315="","Add - no amount",IF(Q315="Yes","Wasted",IF(O315="No","Check - unplanned","Purchased"))))</f>
        <v>0</v>
      </c>
    </row>
    <row r="316" spans="1:22">
      <c r="A316" s="39">
        <f>IF(B316="","",SpendPrefix&amp;TEXT(ROW()-4,"0000"))</f>
        <v>0</v>
      </c>
      <c r="C316" s="17">
        <f>IF(B316="","",TEXT(B316,"ddd"))</f>
        <v>0</v>
      </c>
      <c r="D316" s="18">
        <f>IF(B316="","",WEEKNUM(B316,IF(WeekStart="Sunday",1,2)))</f>
        <v>0</v>
      </c>
      <c r="E316" s="17">
        <f>IF(B316="","",TEXT(B316,"yyyy-mm"))</f>
        <v>0</v>
      </c>
      <c r="L316" s="25">
        <f>IF(OR(K316="",I316="",I316=0),"",K316/I316)</f>
        <v>0</v>
      </c>
      <c r="S316" s="25">
        <f>MonthlyBudget</f>
        <v>0</v>
      </c>
      <c r="T316" s="25">
        <f>IF(B316="","",SUMIFS($K$5:$K$404,$E$5:$E$404,E316))</f>
        <v>0</v>
      </c>
      <c r="U316" s="31">
        <f>IF(B316="","",IF(T316&gt;MonthlyBudget,"Check - over the monthly budget","OK"))</f>
        <v>0</v>
      </c>
      <c r="V316" s="31">
        <f>IF(B316="","",IF(K316="","Add - no amount",IF(Q316="Yes","Wasted",IF(O316="No","Check - unplanned","Purchased"))))</f>
        <v>0</v>
      </c>
    </row>
    <row r="317" spans="1:22">
      <c r="A317" s="39">
        <f>IF(B317="","",SpendPrefix&amp;TEXT(ROW()-4,"0000"))</f>
        <v>0</v>
      </c>
      <c r="C317" s="17">
        <f>IF(B317="","",TEXT(B317,"ddd"))</f>
        <v>0</v>
      </c>
      <c r="D317" s="18">
        <f>IF(B317="","",WEEKNUM(B317,IF(WeekStart="Sunday",1,2)))</f>
        <v>0</v>
      </c>
      <c r="E317" s="17">
        <f>IF(B317="","",TEXT(B317,"yyyy-mm"))</f>
        <v>0</v>
      </c>
      <c r="L317" s="25">
        <f>IF(OR(K317="",I317="",I317=0),"",K317/I317)</f>
        <v>0</v>
      </c>
      <c r="S317" s="25">
        <f>MonthlyBudget</f>
        <v>0</v>
      </c>
      <c r="T317" s="25">
        <f>IF(B317="","",SUMIFS($K$5:$K$404,$E$5:$E$404,E317))</f>
        <v>0</v>
      </c>
      <c r="U317" s="31">
        <f>IF(B317="","",IF(T317&gt;MonthlyBudget,"Check - over the monthly budget","OK"))</f>
        <v>0</v>
      </c>
      <c r="V317" s="31">
        <f>IF(B317="","",IF(K317="","Add - no amount",IF(Q317="Yes","Wasted",IF(O317="No","Check - unplanned","Purchased"))))</f>
        <v>0</v>
      </c>
    </row>
    <row r="318" spans="1:22">
      <c r="A318" s="39">
        <f>IF(B318="","",SpendPrefix&amp;TEXT(ROW()-4,"0000"))</f>
        <v>0</v>
      </c>
      <c r="C318" s="17">
        <f>IF(B318="","",TEXT(B318,"ddd"))</f>
        <v>0</v>
      </c>
      <c r="D318" s="18">
        <f>IF(B318="","",WEEKNUM(B318,IF(WeekStart="Sunday",1,2)))</f>
        <v>0</v>
      </c>
      <c r="E318" s="17">
        <f>IF(B318="","",TEXT(B318,"yyyy-mm"))</f>
        <v>0</v>
      </c>
      <c r="L318" s="25">
        <f>IF(OR(K318="",I318="",I318=0),"",K318/I318)</f>
        <v>0</v>
      </c>
      <c r="S318" s="25">
        <f>MonthlyBudget</f>
        <v>0</v>
      </c>
      <c r="T318" s="25">
        <f>IF(B318="","",SUMIFS($K$5:$K$404,$E$5:$E$404,E318))</f>
        <v>0</v>
      </c>
      <c r="U318" s="31">
        <f>IF(B318="","",IF(T318&gt;MonthlyBudget,"Check - over the monthly budget","OK"))</f>
        <v>0</v>
      </c>
      <c r="V318" s="31">
        <f>IF(B318="","",IF(K318="","Add - no amount",IF(Q318="Yes","Wasted",IF(O318="No","Check - unplanned","Purchased"))))</f>
        <v>0</v>
      </c>
    </row>
    <row r="319" spans="1:22">
      <c r="A319" s="39">
        <f>IF(B319="","",SpendPrefix&amp;TEXT(ROW()-4,"0000"))</f>
        <v>0</v>
      </c>
      <c r="C319" s="17">
        <f>IF(B319="","",TEXT(B319,"ddd"))</f>
        <v>0</v>
      </c>
      <c r="D319" s="18">
        <f>IF(B319="","",WEEKNUM(B319,IF(WeekStart="Sunday",1,2)))</f>
        <v>0</v>
      </c>
      <c r="E319" s="17">
        <f>IF(B319="","",TEXT(B319,"yyyy-mm"))</f>
        <v>0</v>
      </c>
      <c r="L319" s="25">
        <f>IF(OR(K319="",I319="",I319=0),"",K319/I319)</f>
        <v>0</v>
      </c>
      <c r="S319" s="25">
        <f>MonthlyBudget</f>
        <v>0</v>
      </c>
      <c r="T319" s="25">
        <f>IF(B319="","",SUMIFS($K$5:$K$404,$E$5:$E$404,E319))</f>
        <v>0</v>
      </c>
      <c r="U319" s="31">
        <f>IF(B319="","",IF(T319&gt;MonthlyBudget,"Check - over the monthly budget","OK"))</f>
        <v>0</v>
      </c>
      <c r="V319" s="31">
        <f>IF(B319="","",IF(K319="","Add - no amount",IF(Q319="Yes","Wasted",IF(O319="No","Check - unplanned","Purchased"))))</f>
        <v>0</v>
      </c>
    </row>
    <row r="320" spans="1:22">
      <c r="A320" s="39">
        <f>IF(B320="","",SpendPrefix&amp;TEXT(ROW()-4,"0000"))</f>
        <v>0</v>
      </c>
      <c r="C320" s="17">
        <f>IF(B320="","",TEXT(B320,"ddd"))</f>
        <v>0</v>
      </c>
      <c r="D320" s="18">
        <f>IF(B320="","",WEEKNUM(B320,IF(WeekStart="Sunday",1,2)))</f>
        <v>0</v>
      </c>
      <c r="E320" s="17">
        <f>IF(B320="","",TEXT(B320,"yyyy-mm"))</f>
        <v>0</v>
      </c>
      <c r="L320" s="25">
        <f>IF(OR(K320="",I320="",I320=0),"",K320/I320)</f>
        <v>0</v>
      </c>
      <c r="S320" s="25">
        <f>MonthlyBudget</f>
        <v>0</v>
      </c>
      <c r="T320" s="25">
        <f>IF(B320="","",SUMIFS($K$5:$K$404,$E$5:$E$404,E320))</f>
        <v>0</v>
      </c>
      <c r="U320" s="31">
        <f>IF(B320="","",IF(T320&gt;MonthlyBudget,"Check - over the monthly budget","OK"))</f>
        <v>0</v>
      </c>
      <c r="V320" s="31">
        <f>IF(B320="","",IF(K320="","Add - no amount",IF(Q320="Yes","Wasted",IF(O320="No","Check - unplanned","Purchased"))))</f>
        <v>0</v>
      </c>
    </row>
    <row r="321" spans="1:22">
      <c r="A321" s="39">
        <f>IF(B321="","",SpendPrefix&amp;TEXT(ROW()-4,"0000"))</f>
        <v>0</v>
      </c>
      <c r="C321" s="17">
        <f>IF(B321="","",TEXT(B321,"ddd"))</f>
        <v>0</v>
      </c>
      <c r="D321" s="18">
        <f>IF(B321="","",WEEKNUM(B321,IF(WeekStart="Sunday",1,2)))</f>
        <v>0</v>
      </c>
      <c r="E321" s="17">
        <f>IF(B321="","",TEXT(B321,"yyyy-mm"))</f>
        <v>0</v>
      </c>
      <c r="L321" s="25">
        <f>IF(OR(K321="",I321="",I321=0),"",K321/I321)</f>
        <v>0</v>
      </c>
      <c r="S321" s="25">
        <f>MonthlyBudget</f>
        <v>0</v>
      </c>
      <c r="T321" s="25">
        <f>IF(B321="","",SUMIFS($K$5:$K$404,$E$5:$E$404,E321))</f>
        <v>0</v>
      </c>
      <c r="U321" s="31">
        <f>IF(B321="","",IF(T321&gt;MonthlyBudget,"Check - over the monthly budget","OK"))</f>
        <v>0</v>
      </c>
      <c r="V321" s="31">
        <f>IF(B321="","",IF(K321="","Add - no amount",IF(Q321="Yes","Wasted",IF(O321="No","Check - unplanned","Purchased"))))</f>
        <v>0</v>
      </c>
    </row>
    <row r="322" spans="1:22">
      <c r="A322" s="39">
        <f>IF(B322="","",SpendPrefix&amp;TEXT(ROW()-4,"0000"))</f>
        <v>0</v>
      </c>
      <c r="C322" s="17">
        <f>IF(B322="","",TEXT(B322,"ddd"))</f>
        <v>0</v>
      </c>
      <c r="D322" s="18">
        <f>IF(B322="","",WEEKNUM(B322,IF(WeekStart="Sunday",1,2)))</f>
        <v>0</v>
      </c>
      <c r="E322" s="17">
        <f>IF(B322="","",TEXT(B322,"yyyy-mm"))</f>
        <v>0</v>
      </c>
      <c r="L322" s="25">
        <f>IF(OR(K322="",I322="",I322=0),"",K322/I322)</f>
        <v>0</v>
      </c>
      <c r="S322" s="25">
        <f>MonthlyBudget</f>
        <v>0</v>
      </c>
      <c r="T322" s="25">
        <f>IF(B322="","",SUMIFS($K$5:$K$404,$E$5:$E$404,E322))</f>
        <v>0</v>
      </c>
      <c r="U322" s="31">
        <f>IF(B322="","",IF(T322&gt;MonthlyBudget,"Check - over the monthly budget","OK"))</f>
        <v>0</v>
      </c>
      <c r="V322" s="31">
        <f>IF(B322="","",IF(K322="","Add - no amount",IF(Q322="Yes","Wasted",IF(O322="No","Check - unplanned","Purchased"))))</f>
        <v>0</v>
      </c>
    </row>
    <row r="323" spans="1:22">
      <c r="A323" s="39">
        <f>IF(B323="","",SpendPrefix&amp;TEXT(ROW()-4,"0000"))</f>
        <v>0</v>
      </c>
      <c r="C323" s="17">
        <f>IF(B323="","",TEXT(B323,"ddd"))</f>
        <v>0</v>
      </c>
      <c r="D323" s="18">
        <f>IF(B323="","",WEEKNUM(B323,IF(WeekStart="Sunday",1,2)))</f>
        <v>0</v>
      </c>
      <c r="E323" s="17">
        <f>IF(B323="","",TEXT(B323,"yyyy-mm"))</f>
        <v>0</v>
      </c>
      <c r="L323" s="25">
        <f>IF(OR(K323="",I323="",I323=0),"",K323/I323)</f>
        <v>0</v>
      </c>
      <c r="S323" s="25">
        <f>MonthlyBudget</f>
        <v>0</v>
      </c>
      <c r="T323" s="25">
        <f>IF(B323="","",SUMIFS($K$5:$K$404,$E$5:$E$404,E323))</f>
        <v>0</v>
      </c>
      <c r="U323" s="31">
        <f>IF(B323="","",IF(T323&gt;MonthlyBudget,"Check - over the monthly budget","OK"))</f>
        <v>0</v>
      </c>
      <c r="V323" s="31">
        <f>IF(B323="","",IF(K323="","Add - no amount",IF(Q323="Yes","Wasted",IF(O323="No","Check - unplanned","Purchased"))))</f>
        <v>0</v>
      </c>
    </row>
    <row r="324" spans="1:22">
      <c r="A324" s="39">
        <f>IF(B324="","",SpendPrefix&amp;TEXT(ROW()-4,"0000"))</f>
        <v>0</v>
      </c>
      <c r="C324" s="17">
        <f>IF(B324="","",TEXT(B324,"ddd"))</f>
        <v>0</v>
      </c>
      <c r="D324" s="18">
        <f>IF(B324="","",WEEKNUM(B324,IF(WeekStart="Sunday",1,2)))</f>
        <v>0</v>
      </c>
      <c r="E324" s="17">
        <f>IF(B324="","",TEXT(B324,"yyyy-mm"))</f>
        <v>0</v>
      </c>
      <c r="L324" s="25">
        <f>IF(OR(K324="",I324="",I324=0),"",K324/I324)</f>
        <v>0</v>
      </c>
      <c r="S324" s="25">
        <f>MonthlyBudget</f>
        <v>0</v>
      </c>
      <c r="T324" s="25">
        <f>IF(B324="","",SUMIFS($K$5:$K$404,$E$5:$E$404,E324))</f>
        <v>0</v>
      </c>
      <c r="U324" s="31">
        <f>IF(B324="","",IF(T324&gt;MonthlyBudget,"Check - over the monthly budget","OK"))</f>
        <v>0</v>
      </c>
      <c r="V324" s="31">
        <f>IF(B324="","",IF(K324="","Add - no amount",IF(Q324="Yes","Wasted",IF(O324="No","Check - unplanned","Purchased"))))</f>
        <v>0</v>
      </c>
    </row>
    <row r="325" spans="1:22">
      <c r="A325" s="39">
        <f>IF(B325="","",SpendPrefix&amp;TEXT(ROW()-4,"0000"))</f>
        <v>0</v>
      </c>
      <c r="C325" s="17">
        <f>IF(B325="","",TEXT(B325,"ddd"))</f>
        <v>0</v>
      </c>
      <c r="D325" s="18">
        <f>IF(B325="","",WEEKNUM(B325,IF(WeekStart="Sunday",1,2)))</f>
        <v>0</v>
      </c>
      <c r="E325" s="17">
        <f>IF(B325="","",TEXT(B325,"yyyy-mm"))</f>
        <v>0</v>
      </c>
      <c r="L325" s="25">
        <f>IF(OR(K325="",I325="",I325=0),"",K325/I325)</f>
        <v>0</v>
      </c>
      <c r="S325" s="25">
        <f>MonthlyBudget</f>
        <v>0</v>
      </c>
      <c r="T325" s="25">
        <f>IF(B325="","",SUMIFS($K$5:$K$404,$E$5:$E$404,E325))</f>
        <v>0</v>
      </c>
      <c r="U325" s="31">
        <f>IF(B325="","",IF(T325&gt;MonthlyBudget,"Check - over the monthly budget","OK"))</f>
        <v>0</v>
      </c>
      <c r="V325" s="31">
        <f>IF(B325="","",IF(K325="","Add - no amount",IF(Q325="Yes","Wasted",IF(O325="No","Check - unplanned","Purchased"))))</f>
        <v>0</v>
      </c>
    </row>
    <row r="326" spans="1:22">
      <c r="A326" s="39">
        <f>IF(B326="","",SpendPrefix&amp;TEXT(ROW()-4,"0000"))</f>
        <v>0</v>
      </c>
      <c r="C326" s="17">
        <f>IF(B326="","",TEXT(B326,"ddd"))</f>
        <v>0</v>
      </c>
      <c r="D326" s="18">
        <f>IF(B326="","",WEEKNUM(B326,IF(WeekStart="Sunday",1,2)))</f>
        <v>0</v>
      </c>
      <c r="E326" s="17">
        <f>IF(B326="","",TEXT(B326,"yyyy-mm"))</f>
        <v>0</v>
      </c>
      <c r="L326" s="25">
        <f>IF(OR(K326="",I326="",I326=0),"",K326/I326)</f>
        <v>0</v>
      </c>
      <c r="S326" s="25">
        <f>MonthlyBudget</f>
        <v>0</v>
      </c>
      <c r="T326" s="25">
        <f>IF(B326="","",SUMIFS($K$5:$K$404,$E$5:$E$404,E326))</f>
        <v>0</v>
      </c>
      <c r="U326" s="31">
        <f>IF(B326="","",IF(T326&gt;MonthlyBudget,"Check - over the monthly budget","OK"))</f>
        <v>0</v>
      </c>
      <c r="V326" s="31">
        <f>IF(B326="","",IF(K326="","Add - no amount",IF(Q326="Yes","Wasted",IF(O326="No","Check - unplanned","Purchased"))))</f>
        <v>0</v>
      </c>
    </row>
    <row r="327" spans="1:22">
      <c r="A327" s="39">
        <f>IF(B327="","",SpendPrefix&amp;TEXT(ROW()-4,"0000"))</f>
        <v>0</v>
      </c>
      <c r="C327" s="17">
        <f>IF(B327="","",TEXT(B327,"ddd"))</f>
        <v>0</v>
      </c>
      <c r="D327" s="18">
        <f>IF(B327="","",WEEKNUM(B327,IF(WeekStart="Sunday",1,2)))</f>
        <v>0</v>
      </c>
      <c r="E327" s="17">
        <f>IF(B327="","",TEXT(B327,"yyyy-mm"))</f>
        <v>0</v>
      </c>
      <c r="L327" s="25">
        <f>IF(OR(K327="",I327="",I327=0),"",K327/I327)</f>
        <v>0</v>
      </c>
      <c r="S327" s="25">
        <f>MonthlyBudget</f>
        <v>0</v>
      </c>
      <c r="T327" s="25">
        <f>IF(B327="","",SUMIFS($K$5:$K$404,$E$5:$E$404,E327))</f>
        <v>0</v>
      </c>
      <c r="U327" s="31">
        <f>IF(B327="","",IF(T327&gt;MonthlyBudget,"Check - over the monthly budget","OK"))</f>
        <v>0</v>
      </c>
      <c r="V327" s="31">
        <f>IF(B327="","",IF(K327="","Add - no amount",IF(Q327="Yes","Wasted",IF(O327="No","Check - unplanned","Purchased"))))</f>
        <v>0</v>
      </c>
    </row>
    <row r="328" spans="1:22">
      <c r="A328" s="39">
        <f>IF(B328="","",SpendPrefix&amp;TEXT(ROW()-4,"0000"))</f>
        <v>0</v>
      </c>
      <c r="C328" s="17">
        <f>IF(B328="","",TEXT(B328,"ddd"))</f>
        <v>0</v>
      </c>
      <c r="D328" s="18">
        <f>IF(B328="","",WEEKNUM(B328,IF(WeekStart="Sunday",1,2)))</f>
        <v>0</v>
      </c>
      <c r="E328" s="17">
        <f>IF(B328="","",TEXT(B328,"yyyy-mm"))</f>
        <v>0</v>
      </c>
      <c r="L328" s="25">
        <f>IF(OR(K328="",I328="",I328=0),"",K328/I328)</f>
        <v>0</v>
      </c>
      <c r="S328" s="25">
        <f>MonthlyBudget</f>
        <v>0</v>
      </c>
      <c r="T328" s="25">
        <f>IF(B328="","",SUMIFS($K$5:$K$404,$E$5:$E$404,E328))</f>
        <v>0</v>
      </c>
      <c r="U328" s="31">
        <f>IF(B328="","",IF(T328&gt;MonthlyBudget,"Check - over the monthly budget","OK"))</f>
        <v>0</v>
      </c>
      <c r="V328" s="31">
        <f>IF(B328="","",IF(K328="","Add - no amount",IF(Q328="Yes","Wasted",IF(O328="No","Check - unplanned","Purchased"))))</f>
        <v>0</v>
      </c>
    </row>
    <row r="329" spans="1:22">
      <c r="A329" s="39">
        <f>IF(B329="","",SpendPrefix&amp;TEXT(ROW()-4,"0000"))</f>
        <v>0</v>
      </c>
      <c r="C329" s="17">
        <f>IF(B329="","",TEXT(B329,"ddd"))</f>
        <v>0</v>
      </c>
      <c r="D329" s="18">
        <f>IF(B329="","",WEEKNUM(B329,IF(WeekStart="Sunday",1,2)))</f>
        <v>0</v>
      </c>
      <c r="E329" s="17">
        <f>IF(B329="","",TEXT(B329,"yyyy-mm"))</f>
        <v>0</v>
      </c>
      <c r="L329" s="25">
        <f>IF(OR(K329="",I329="",I329=0),"",K329/I329)</f>
        <v>0</v>
      </c>
      <c r="S329" s="25">
        <f>MonthlyBudget</f>
        <v>0</v>
      </c>
      <c r="T329" s="25">
        <f>IF(B329="","",SUMIFS($K$5:$K$404,$E$5:$E$404,E329))</f>
        <v>0</v>
      </c>
      <c r="U329" s="31">
        <f>IF(B329="","",IF(T329&gt;MonthlyBudget,"Check - over the monthly budget","OK"))</f>
        <v>0</v>
      </c>
      <c r="V329" s="31">
        <f>IF(B329="","",IF(K329="","Add - no amount",IF(Q329="Yes","Wasted",IF(O329="No","Check - unplanned","Purchased"))))</f>
        <v>0</v>
      </c>
    </row>
    <row r="330" spans="1:22">
      <c r="A330" s="39">
        <f>IF(B330="","",SpendPrefix&amp;TEXT(ROW()-4,"0000"))</f>
        <v>0</v>
      </c>
      <c r="C330" s="17">
        <f>IF(B330="","",TEXT(B330,"ddd"))</f>
        <v>0</v>
      </c>
      <c r="D330" s="18">
        <f>IF(B330="","",WEEKNUM(B330,IF(WeekStart="Sunday",1,2)))</f>
        <v>0</v>
      </c>
      <c r="E330" s="17">
        <f>IF(B330="","",TEXT(B330,"yyyy-mm"))</f>
        <v>0</v>
      </c>
      <c r="L330" s="25">
        <f>IF(OR(K330="",I330="",I330=0),"",K330/I330)</f>
        <v>0</v>
      </c>
      <c r="S330" s="25">
        <f>MonthlyBudget</f>
        <v>0</v>
      </c>
      <c r="T330" s="25">
        <f>IF(B330="","",SUMIFS($K$5:$K$404,$E$5:$E$404,E330))</f>
        <v>0</v>
      </c>
      <c r="U330" s="31">
        <f>IF(B330="","",IF(T330&gt;MonthlyBudget,"Check - over the monthly budget","OK"))</f>
        <v>0</v>
      </c>
      <c r="V330" s="31">
        <f>IF(B330="","",IF(K330="","Add - no amount",IF(Q330="Yes","Wasted",IF(O330="No","Check - unplanned","Purchased"))))</f>
        <v>0</v>
      </c>
    </row>
    <row r="331" spans="1:22">
      <c r="A331" s="39">
        <f>IF(B331="","",SpendPrefix&amp;TEXT(ROW()-4,"0000"))</f>
        <v>0</v>
      </c>
      <c r="C331" s="17">
        <f>IF(B331="","",TEXT(B331,"ddd"))</f>
        <v>0</v>
      </c>
      <c r="D331" s="18">
        <f>IF(B331="","",WEEKNUM(B331,IF(WeekStart="Sunday",1,2)))</f>
        <v>0</v>
      </c>
      <c r="E331" s="17">
        <f>IF(B331="","",TEXT(B331,"yyyy-mm"))</f>
        <v>0</v>
      </c>
      <c r="L331" s="25">
        <f>IF(OR(K331="",I331="",I331=0),"",K331/I331)</f>
        <v>0</v>
      </c>
      <c r="S331" s="25">
        <f>MonthlyBudget</f>
        <v>0</v>
      </c>
      <c r="T331" s="25">
        <f>IF(B331="","",SUMIFS($K$5:$K$404,$E$5:$E$404,E331))</f>
        <v>0</v>
      </c>
      <c r="U331" s="31">
        <f>IF(B331="","",IF(T331&gt;MonthlyBudget,"Check - over the monthly budget","OK"))</f>
        <v>0</v>
      </c>
      <c r="V331" s="31">
        <f>IF(B331="","",IF(K331="","Add - no amount",IF(Q331="Yes","Wasted",IF(O331="No","Check - unplanned","Purchased"))))</f>
        <v>0</v>
      </c>
    </row>
    <row r="332" spans="1:22">
      <c r="A332" s="39">
        <f>IF(B332="","",SpendPrefix&amp;TEXT(ROW()-4,"0000"))</f>
        <v>0</v>
      </c>
      <c r="C332" s="17">
        <f>IF(B332="","",TEXT(B332,"ddd"))</f>
        <v>0</v>
      </c>
      <c r="D332" s="18">
        <f>IF(B332="","",WEEKNUM(B332,IF(WeekStart="Sunday",1,2)))</f>
        <v>0</v>
      </c>
      <c r="E332" s="17">
        <f>IF(B332="","",TEXT(B332,"yyyy-mm"))</f>
        <v>0</v>
      </c>
      <c r="L332" s="25">
        <f>IF(OR(K332="",I332="",I332=0),"",K332/I332)</f>
        <v>0</v>
      </c>
      <c r="S332" s="25">
        <f>MonthlyBudget</f>
        <v>0</v>
      </c>
      <c r="T332" s="25">
        <f>IF(B332="","",SUMIFS($K$5:$K$404,$E$5:$E$404,E332))</f>
        <v>0</v>
      </c>
      <c r="U332" s="31">
        <f>IF(B332="","",IF(T332&gt;MonthlyBudget,"Check - over the monthly budget","OK"))</f>
        <v>0</v>
      </c>
      <c r="V332" s="31">
        <f>IF(B332="","",IF(K332="","Add - no amount",IF(Q332="Yes","Wasted",IF(O332="No","Check - unplanned","Purchased"))))</f>
        <v>0</v>
      </c>
    </row>
    <row r="333" spans="1:22">
      <c r="A333" s="39">
        <f>IF(B333="","",SpendPrefix&amp;TEXT(ROW()-4,"0000"))</f>
        <v>0</v>
      </c>
      <c r="C333" s="17">
        <f>IF(B333="","",TEXT(B333,"ddd"))</f>
        <v>0</v>
      </c>
      <c r="D333" s="18">
        <f>IF(B333="","",WEEKNUM(B333,IF(WeekStart="Sunday",1,2)))</f>
        <v>0</v>
      </c>
      <c r="E333" s="17">
        <f>IF(B333="","",TEXT(B333,"yyyy-mm"))</f>
        <v>0</v>
      </c>
      <c r="L333" s="25">
        <f>IF(OR(K333="",I333="",I333=0),"",K333/I333)</f>
        <v>0</v>
      </c>
      <c r="S333" s="25">
        <f>MonthlyBudget</f>
        <v>0</v>
      </c>
      <c r="T333" s="25">
        <f>IF(B333="","",SUMIFS($K$5:$K$404,$E$5:$E$404,E333))</f>
        <v>0</v>
      </c>
      <c r="U333" s="31">
        <f>IF(B333="","",IF(T333&gt;MonthlyBudget,"Check - over the monthly budget","OK"))</f>
        <v>0</v>
      </c>
      <c r="V333" s="31">
        <f>IF(B333="","",IF(K333="","Add - no amount",IF(Q333="Yes","Wasted",IF(O333="No","Check - unplanned","Purchased"))))</f>
        <v>0</v>
      </c>
    </row>
    <row r="334" spans="1:22">
      <c r="A334" s="39">
        <f>IF(B334="","",SpendPrefix&amp;TEXT(ROW()-4,"0000"))</f>
        <v>0</v>
      </c>
      <c r="C334" s="17">
        <f>IF(B334="","",TEXT(B334,"ddd"))</f>
        <v>0</v>
      </c>
      <c r="D334" s="18">
        <f>IF(B334="","",WEEKNUM(B334,IF(WeekStart="Sunday",1,2)))</f>
        <v>0</v>
      </c>
      <c r="E334" s="17">
        <f>IF(B334="","",TEXT(B334,"yyyy-mm"))</f>
        <v>0</v>
      </c>
      <c r="L334" s="25">
        <f>IF(OR(K334="",I334="",I334=0),"",K334/I334)</f>
        <v>0</v>
      </c>
      <c r="S334" s="25">
        <f>MonthlyBudget</f>
        <v>0</v>
      </c>
      <c r="T334" s="25">
        <f>IF(B334="","",SUMIFS($K$5:$K$404,$E$5:$E$404,E334))</f>
        <v>0</v>
      </c>
      <c r="U334" s="31">
        <f>IF(B334="","",IF(T334&gt;MonthlyBudget,"Check - over the monthly budget","OK"))</f>
        <v>0</v>
      </c>
      <c r="V334" s="31">
        <f>IF(B334="","",IF(K334="","Add - no amount",IF(Q334="Yes","Wasted",IF(O334="No","Check - unplanned","Purchased"))))</f>
        <v>0</v>
      </c>
    </row>
    <row r="335" spans="1:22">
      <c r="A335" s="39">
        <f>IF(B335="","",SpendPrefix&amp;TEXT(ROW()-4,"0000"))</f>
        <v>0</v>
      </c>
      <c r="C335" s="17">
        <f>IF(B335="","",TEXT(B335,"ddd"))</f>
        <v>0</v>
      </c>
      <c r="D335" s="18">
        <f>IF(B335="","",WEEKNUM(B335,IF(WeekStart="Sunday",1,2)))</f>
        <v>0</v>
      </c>
      <c r="E335" s="17">
        <f>IF(B335="","",TEXT(B335,"yyyy-mm"))</f>
        <v>0</v>
      </c>
      <c r="L335" s="25">
        <f>IF(OR(K335="",I335="",I335=0),"",K335/I335)</f>
        <v>0</v>
      </c>
      <c r="S335" s="25">
        <f>MonthlyBudget</f>
        <v>0</v>
      </c>
      <c r="T335" s="25">
        <f>IF(B335="","",SUMIFS($K$5:$K$404,$E$5:$E$404,E335))</f>
        <v>0</v>
      </c>
      <c r="U335" s="31">
        <f>IF(B335="","",IF(T335&gt;MonthlyBudget,"Check - over the monthly budget","OK"))</f>
        <v>0</v>
      </c>
      <c r="V335" s="31">
        <f>IF(B335="","",IF(K335="","Add - no amount",IF(Q335="Yes","Wasted",IF(O335="No","Check - unplanned","Purchased"))))</f>
        <v>0</v>
      </c>
    </row>
    <row r="336" spans="1:22">
      <c r="A336" s="39">
        <f>IF(B336="","",SpendPrefix&amp;TEXT(ROW()-4,"0000"))</f>
        <v>0</v>
      </c>
      <c r="C336" s="17">
        <f>IF(B336="","",TEXT(B336,"ddd"))</f>
        <v>0</v>
      </c>
      <c r="D336" s="18">
        <f>IF(B336="","",WEEKNUM(B336,IF(WeekStart="Sunday",1,2)))</f>
        <v>0</v>
      </c>
      <c r="E336" s="17">
        <f>IF(B336="","",TEXT(B336,"yyyy-mm"))</f>
        <v>0</v>
      </c>
      <c r="L336" s="25">
        <f>IF(OR(K336="",I336="",I336=0),"",K336/I336)</f>
        <v>0</v>
      </c>
      <c r="S336" s="25">
        <f>MonthlyBudget</f>
        <v>0</v>
      </c>
      <c r="T336" s="25">
        <f>IF(B336="","",SUMIFS($K$5:$K$404,$E$5:$E$404,E336))</f>
        <v>0</v>
      </c>
      <c r="U336" s="31">
        <f>IF(B336="","",IF(T336&gt;MonthlyBudget,"Check - over the monthly budget","OK"))</f>
        <v>0</v>
      </c>
      <c r="V336" s="31">
        <f>IF(B336="","",IF(K336="","Add - no amount",IF(Q336="Yes","Wasted",IF(O336="No","Check - unplanned","Purchased"))))</f>
        <v>0</v>
      </c>
    </row>
    <row r="337" spans="1:22">
      <c r="A337" s="39">
        <f>IF(B337="","",SpendPrefix&amp;TEXT(ROW()-4,"0000"))</f>
        <v>0</v>
      </c>
      <c r="C337" s="17">
        <f>IF(B337="","",TEXT(B337,"ddd"))</f>
        <v>0</v>
      </c>
      <c r="D337" s="18">
        <f>IF(B337="","",WEEKNUM(B337,IF(WeekStart="Sunday",1,2)))</f>
        <v>0</v>
      </c>
      <c r="E337" s="17">
        <f>IF(B337="","",TEXT(B337,"yyyy-mm"))</f>
        <v>0</v>
      </c>
      <c r="L337" s="25">
        <f>IF(OR(K337="",I337="",I337=0),"",K337/I337)</f>
        <v>0</v>
      </c>
      <c r="S337" s="25">
        <f>MonthlyBudget</f>
        <v>0</v>
      </c>
      <c r="T337" s="25">
        <f>IF(B337="","",SUMIFS($K$5:$K$404,$E$5:$E$404,E337))</f>
        <v>0</v>
      </c>
      <c r="U337" s="31">
        <f>IF(B337="","",IF(T337&gt;MonthlyBudget,"Check - over the monthly budget","OK"))</f>
        <v>0</v>
      </c>
      <c r="V337" s="31">
        <f>IF(B337="","",IF(K337="","Add - no amount",IF(Q337="Yes","Wasted",IF(O337="No","Check - unplanned","Purchased"))))</f>
        <v>0</v>
      </c>
    </row>
    <row r="338" spans="1:22">
      <c r="A338" s="39">
        <f>IF(B338="","",SpendPrefix&amp;TEXT(ROW()-4,"0000"))</f>
        <v>0</v>
      </c>
      <c r="C338" s="17">
        <f>IF(B338="","",TEXT(B338,"ddd"))</f>
        <v>0</v>
      </c>
      <c r="D338" s="18">
        <f>IF(B338="","",WEEKNUM(B338,IF(WeekStart="Sunday",1,2)))</f>
        <v>0</v>
      </c>
      <c r="E338" s="17">
        <f>IF(B338="","",TEXT(B338,"yyyy-mm"))</f>
        <v>0</v>
      </c>
      <c r="L338" s="25">
        <f>IF(OR(K338="",I338="",I338=0),"",K338/I338)</f>
        <v>0</v>
      </c>
      <c r="S338" s="25">
        <f>MonthlyBudget</f>
        <v>0</v>
      </c>
      <c r="T338" s="25">
        <f>IF(B338="","",SUMIFS($K$5:$K$404,$E$5:$E$404,E338))</f>
        <v>0</v>
      </c>
      <c r="U338" s="31">
        <f>IF(B338="","",IF(T338&gt;MonthlyBudget,"Check - over the monthly budget","OK"))</f>
        <v>0</v>
      </c>
      <c r="V338" s="31">
        <f>IF(B338="","",IF(K338="","Add - no amount",IF(Q338="Yes","Wasted",IF(O338="No","Check - unplanned","Purchased"))))</f>
        <v>0</v>
      </c>
    </row>
    <row r="339" spans="1:22">
      <c r="A339" s="39">
        <f>IF(B339="","",SpendPrefix&amp;TEXT(ROW()-4,"0000"))</f>
        <v>0</v>
      </c>
      <c r="C339" s="17">
        <f>IF(B339="","",TEXT(B339,"ddd"))</f>
        <v>0</v>
      </c>
      <c r="D339" s="18">
        <f>IF(B339="","",WEEKNUM(B339,IF(WeekStart="Sunday",1,2)))</f>
        <v>0</v>
      </c>
      <c r="E339" s="17">
        <f>IF(B339="","",TEXT(B339,"yyyy-mm"))</f>
        <v>0</v>
      </c>
      <c r="L339" s="25">
        <f>IF(OR(K339="",I339="",I339=0),"",K339/I339)</f>
        <v>0</v>
      </c>
      <c r="S339" s="25">
        <f>MonthlyBudget</f>
        <v>0</v>
      </c>
      <c r="T339" s="25">
        <f>IF(B339="","",SUMIFS($K$5:$K$404,$E$5:$E$404,E339))</f>
        <v>0</v>
      </c>
      <c r="U339" s="31">
        <f>IF(B339="","",IF(T339&gt;MonthlyBudget,"Check - over the monthly budget","OK"))</f>
        <v>0</v>
      </c>
      <c r="V339" s="31">
        <f>IF(B339="","",IF(K339="","Add - no amount",IF(Q339="Yes","Wasted",IF(O339="No","Check - unplanned","Purchased"))))</f>
        <v>0</v>
      </c>
    </row>
    <row r="340" spans="1:22">
      <c r="A340" s="39">
        <f>IF(B340="","",SpendPrefix&amp;TEXT(ROW()-4,"0000"))</f>
        <v>0</v>
      </c>
      <c r="C340" s="17">
        <f>IF(B340="","",TEXT(B340,"ddd"))</f>
        <v>0</v>
      </c>
      <c r="D340" s="18">
        <f>IF(B340="","",WEEKNUM(B340,IF(WeekStart="Sunday",1,2)))</f>
        <v>0</v>
      </c>
      <c r="E340" s="17">
        <f>IF(B340="","",TEXT(B340,"yyyy-mm"))</f>
        <v>0</v>
      </c>
      <c r="L340" s="25">
        <f>IF(OR(K340="",I340="",I340=0),"",K340/I340)</f>
        <v>0</v>
      </c>
      <c r="S340" s="25">
        <f>MonthlyBudget</f>
        <v>0</v>
      </c>
      <c r="T340" s="25">
        <f>IF(B340="","",SUMIFS($K$5:$K$404,$E$5:$E$404,E340))</f>
        <v>0</v>
      </c>
      <c r="U340" s="31">
        <f>IF(B340="","",IF(T340&gt;MonthlyBudget,"Check - over the monthly budget","OK"))</f>
        <v>0</v>
      </c>
      <c r="V340" s="31">
        <f>IF(B340="","",IF(K340="","Add - no amount",IF(Q340="Yes","Wasted",IF(O340="No","Check - unplanned","Purchased"))))</f>
        <v>0</v>
      </c>
    </row>
    <row r="341" spans="1:22">
      <c r="A341" s="39">
        <f>IF(B341="","",SpendPrefix&amp;TEXT(ROW()-4,"0000"))</f>
        <v>0</v>
      </c>
      <c r="C341" s="17">
        <f>IF(B341="","",TEXT(B341,"ddd"))</f>
        <v>0</v>
      </c>
      <c r="D341" s="18">
        <f>IF(B341="","",WEEKNUM(B341,IF(WeekStart="Sunday",1,2)))</f>
        <v>0</v>
      </c>
      <c r="E341" s="17">
        <f>IF(B341="","",TEXT(B341,"yyyy-mm"))</f>
        <v>0</v>
      </c>
      <c r="L341" s="25">
        <f>IF(OR(K341="",I341="",I341=0),"",K341/I341)</f>
        <v>0</v>
      </c>
      <c r="S341" s="25">
        <f>MonthlyBudget</f>
        <v>0</v>
      </c>
      <c r="T341" s="25">
        <f>IF(B341="","",SUMIFS($K$5:$K$404,$E$5:$E$404,E341))</f>
        <v>0</v>
      </c>
      <c r="U341" s="31">
        <f>IF(B341="","",IF(T341&gt;MonthlyBudget,"Check - over the monthly budget","OK"))</f>
        <v>0</v>
      </c>
      <c r="V341" s="31">
        <f>IF(B341="","",IF(K341="","Add - no amount",IF(Q341="Yes","Wasted",IF(O341="No","Check - unplanned","Purchased"))))</f>
        <v>0</v>
      </c>
    </row>
    <row r="342" spans="1:22">
      <c r="A342" s="39">
        <f>IF(B342="","",SpendPrefix&amp;TEXT(ROW()-4,"0000"))</f>
        <v>0</v>
      </c>
      <c r="C342" s="17">
        <f>IF(B342="","",TEXT(B342,"ddd"))</f>
        <v>0</v>
      </c>
      <c r="D342" s="18">
        <f>IF(B342="","",WEEKNUM(B342,IF(WeekStart="Sunday",1,2)))</f>
        <v>0</v>
      </c>
      <c r="E342" s="17">
        <f>IF(B342="","",TEXT(B342,"yyyy-mm"))</f>
        <v>0</v>
      </c>
      <c r="L342" s="25">
        <f>IF(OR(K342="",I342="",I342=0),"",K342/I342)</f>
        <v>0</v>
      </c>
      <c r="S342" s="25">
        <f>MonthlyBudget</f>
        <v>0</v>
      </c>
      <c r="T342" s="25">
        <f>IF(B342="","",SUMIFS($K$5:$K$404,$E$5:$E$404,E342))</f>
        <v>0</v>
      </c>
      <c r="U342" s="31">
        <f>IF(B342="","",IF(T342&gt;MonthlyBudget,"Check - over the monthly budget","OK"))</f>
        <v>0</v>
      </c>
      <c r="V342" s="31">
        <f>IF(B342="","",IF(K342="","Add - no amount",IF(Q342="Yes","Wasted",IF(O342="No","Check - unplanned","Purchased"))))</f>
        <v>0</v>
      </c>
    </row>
    <row r="343" spans="1:22">
      <c r="A343" s="39">
        <f>IF(B343="","",SpendPrefix&amp;TEXT(ROW()-4,"0000"))</f>
        <v>0</v>
      </c>
      <c r="C343" s="17">
        <f>IF(B343="","",TEXT(B343,"ddd"))</f>
        <v>0</v>
      </c>
      <c r="D343" s="18">
        <f>IF(B343="","",WEEKNUM(B343,IF(WeekStart="Sunday",1,2)))</f>
        <v>0</v>
      </c>
      <c r="E343" s="17">
        <f>IF(B343="","",TEXT(B343,"yyyy-mm"))</f>
        <v>0</v>
      </c>
      <c r="L343" s="25">
        <f>IF(OR(K343="",I343="",I343=0),"",K343/I343)</f>
        <v>0</v>
      </c>
      <c r="S343" s="25">
        <f>MonthlyBudget</f>
        <v>0</v>
      </c>
      <c r="T343" s="25">
        <f>IF(B343="","",SUMIFS($K$5:$K$404,$E$5:$E$404,E343))</f>
        <v>0</v>
      </c>
      <c r="U343" s="31">
        <f>IF(B343="","",IF(T343&gt;MonthlyBudget,"Check - over the monthly budget","OK"))</f>
        <v>0</v>
      </c>
      <c r="V343" s="31">
        <f>IF(B343="","",IF(K343="","Add - no amount",IF(Q343="Yes","Wasted",IF(O343="No","Check - unplanned","Purchased"))))</f>
        <v>0</v>
      </c>
    </row>
    <row r="344" spans="1:22">
      <c r="A344" s="39">
        <f>IF(B344="","",SpendPrefix&amp;TEXT(ROW()-4,"0000"))</f>
        <v>0</v>
      </c>
      <c r="C344" s="17">
        <f>IF(B344="","",TEXT(B344,"ddd"))</f>
        <v>0</v>
      </c>
      <c r="D344" s="18">
        <f>IF(B344="","",WEEKNUM(B344,IF(WeekStart="Sunday",1,2)))</f>
        <v>0</v>
      </c>
      <c r="E344" s="17">
        <f>IF(B344="","",TEXT(B344,"yyyy-mm"))</f>
        <v>0</v>
      </c>
      <c r="L344" s="25">
        <f>IF(OR(K344="",I344="",I344=0),"",K344/I344)</f>
        <v>0</v>
      </c>
      <c r="S344" s="25">
        <f>MonthlyBudget</f>
        <v>0</v>
      </c>
      <c r="T344" s="25">
        <f>IF(B344="","",SUMIFS($K$5:$K$404,$E$5:$E$404,E344))</f>
        <v>0</v>
      </c>
      <c r="U344" s="31">
        <f>IF(B344="","",IF(T344&gt;MonthlyBudget,"Check - over the monthly budget","OK"))</f>
        <v>0</v>
      </c>
      <c r="V344" s="31">
        <f>IF(B344="","",IF(K344="","Add - no amount",IF(Q344="Yes","Wasted",IF(O344="No","Check - unplanned","Purchased"))))</f>
        <v>0</v>
      </c>
    </row>
    <row r="345" spans="1:22">
      <c r="A345" s="39">
        <f>IF(B345="","",SpendPrefix&amp;TEXT(ROW()-4,"0000"))</f>
        <v>0</v>
      </c>
      <c r="C345" s="17">
        <f>IF(B345="","",TEXT(B345,"ddd"))</f>
        <v>0</v>
      </c>
      <c r="D345" s="18">
        <f>IF(B345="","",WEEKNUM(B345,IF(WeekStart="Sunday",1,2)))</f>
        <v>0</v>
      </c>
      <c r="E345" s="17">
        <f>IF(B345="","",TEXT(B345,"yyyy-mm"))</f>
        <v>0</v>
      </c>
      <c r="L345" s="25">
        <f>IF(OR(K345="",I345="",I345=0),"",K345/I345)</f>
        <v>0</v>
      </c>
      <c r="S345" s="25">
        <f>MonthlyBudget</f>
        <v>0</v>
      </c>
      <c r="T345" s="25">
        <f>IF(B345="","",SUMIFS($K$5:$K$404,$E$5:$E$404,E345))</f>
        <v>0</v>
      </c>
      <c r="U345" s="31">
        <f>IF(B345="","",IF(T345&gt;MonthlyBudget,"Check - over the monthly budget","OK"))</f>
        <v>0</v>
      </c>
      <c r="V345" s="31">
        <f>IF(B345="","",IF(K345="","Add - no amount",IF(Q345="Yes","Wasted",IF(O345="No","Check - unplanned","Purchased"))))</f>
        <v>0</v>
      </c>
    </row>
    <row r="346" spans="1:22">
      <c r="A346" s="39">
        <f>IF(B346="","",SpendPrefix&amp;TEXT(ROW()-4,"0000"))</f>
        <v>0</v>
      </c>
      <c r="C346" s="17">
        <f>IF(B346="","",TEXT(B346,"ddd"))</f>
        <v>0</v>
      </c>
      <c r="D346" s="18">
        <f>IF(B346="","",WEEKNUM(B346,IF(WeekStart="Sunday",1,2)))</f>
        <v>0</v>
      </c>
      <c r="E346" s="17">
        <f>IF(B346="","",TEXT(B346,"yyyy-mm"))</f>
        <v>0</v>
      </c>
      <c r="L346" s="25">
        <f>IF(OR(K346="",I346="",I346=0),"",K346/I346)</f>
        <v>0</v>
      </c>
      <c r="S346" s="25">
        <f>MonthlyBudget</f>
        <v>0</v>
      </c>
      <c r="T346" s="25">
        <f>IF(B346="","",SUMIFS($K$5:$K$404,$E$5:$E$404,E346))</f>
        <v>0</v>
      </c>
      <c r="U346" s="31">
        <f>IF(B346="","",IF(T346&gt;MonthlyBudget,"Check - over the monthly budget","OK"))</f>
        <v>0</v>
      </c>
      <c r="V346" s="31">
        <f>IF(B346="","",IF(K346="","Add - no amount",IF(Q346="Yes","Wasted",IF(O346="No","Check - unplanned","Purchased"))))</f>
        <v>0</v>
      </c>
    </row>
    <row r="347" spans="1:22">
      <c r="A347" s="39">
        <f>IF(B347="","",SpendPrefix&amp;TEXT(ROW()-4,"0000"))</f>
        <v>0</v>
      </c>
      <c r="C347" s="17">
        <f>IF(B347="","",TEXT(B347,"ddd"))</f>
        <v>0</v>
      </c>
      <c r="D347" s="18">
        <f>IF(B347="","",WEEKNUM(B347,IF(WeekStart="Sunday",1,2)))</f>
        <v>0</v>
      </c>
      <c r="E347" s="17">
        <f>IF(B347="","",TEXT(B347,"yyyy-mm"))</f>
        <v>0</v>
      </c>
      <c r="L347" s="25">
        <f>IF(OR(K347="",I347="",I347=0),"",K347/I347)</f>
        <v>0</v>
      </c>
      <c r="S347" s="25">
        <f>MonthlyBudget</f>
        <v>0</v>
      </c>
      <c r="T347" s="25">
        <f>IF(B347="","",SUMIFS($K$5:$K$404,$E$5:$E$404,E347))</f>
        <v>0</v>
      </c>
      <c r="U347" s="31">
        <f>IF(B347="","",IF(T347&gt;MonthlyBudget,"Check - over the monthly budget","OK"))</f>
        <v>0</v>
      </c>
      <c r="V347" s="31">
        <f>IF(B347="","",IF(K347="","Add - no amount",IF(Q347="Yes","Wasted",IF(O347="No","Check - unplanned","Purchased"))))</f>
        <v>0</v>
      </c>
    </row>
    <row r="348" spans="1:22">
      <c r="A348" s="39">
        <f>IF(B348="","",SpendPrefix&amp;TEXT(ROW()-4,"0000"))</f>
        <v>0</v>
      </c>
      <c r="C348" s="17">
        <f>IF(B348="","",TEXT(B348,"ddd"))</f>
        <v>0</v>
      </c>
      <c r="D348" s="18">
        <f>IF(B348="","",WEEKNUM(B348,IF(WeekStart="Sunday",1,2)))</f>
        <v>0</v>
      </c>
      <c r="E348" s="17">
        <f>IF(B348="","",TEXT(B348,"yyyy-mm"))</f>
        <v>0</v>
      </c>
      <c r="L348" s="25">
        <f>IF(OR(K348="",I348="",I348=0),"",K348/I348)</f>
        <v>0</v>
      </c>
      <c r="S348" s="25">
        <f>MonthlyBudget</f>
        <v>0</v>
      </c>
      <c r="T348" s="25">
        <f>IF(B348="","",SUMIFS($K$5:$K$404,$E$5:$E$404,E348))</f>
        <v>0</v>
      </c>
      <c r="U348" s="31">
        <f>IF(B348="","",IF(T348&gt;MonthlyBudget,"Check - over the monthly budget","OK"))</f>
        <v>0</v>
      </c>
      <c r="V348" s="31">
        <f>IF(B348="","",IF(K348="","Add - no amount",IF(Q348="Yes","Wasted",IF(O348="No","Check - unplanned","Purchased"))))</f>
        <v>0</v>
      </c>
    </row>
    <row r="349" spans="1:22">
      <c r="A349" s="39">
        <f>IF(B349="","",SpendPrefix&amp;TEXT(ROW()-4,"0000"))</f>
        <v>0</v>
      </c>
      <c r="C349" s="17">
        <f>IF(B349="","",TEXT(B349,"ddd"))</f>
        <v>0</v>
      </c>
      <c r="D349" s="18">
        <f>IF(B349="","",WEEKNUM(B349,IF(WeekStart="Sunday",1,2)))</f>
        <v>0</v>
      </c>
      <c r="E349" s="17">
        <f>IF(B349="","",TEXT(B349,"yyyy-mm"))</f>
        <v>0</v>
      </c>
      <c r="L349" s="25">
        <f>IF(OR(K349="",I349="",I349=0),"",K349/I349)</f>
        <v>0</v>
      </c>
      <c r="S349" s="25">
        <f>MonthlyBudget</f>
        <v>0</v>
      </c>
      <c r="T349" s="25">
        <f>IF(B349="","",SUMIFS($K$5:$K$404,$E$5:$E$404,E349))</f>
        <v>0</v>
      </c>
      <c r="U349" s="31">
        <f>IF(B349="","",IF(T349&gt;MonthlyBudget,"Check - over the monthly budget","OK"))</f>
        <v>0</v>
      </c>
      <c r="V349" s="31">
        <f>IF(B349="","",IF(K349="","Add - no amount",IF(Q349="Yes","Wasted",IF(O349="No","Check - unplanned","Purchased"))))</f>
        <v>0</v>
      </c>
    </row>
    <row r="350" spans="1:22">
      <c r="A350" s="39">
        <f>IF(B350="","",SpendPrefix&amp;TEXT(ROW()-4,"0000"))</f>
        <v>0</v>
      </c>
      <c r="C350" s="17">
        <f>IF(B350="","",TEXT(B350,"ddd"))</f>
        <v>0</v>
      </c>
      <c r="D350" s="18">
        <f>IF(B350="","",WEEKNUM(B350,IF(WeekStart="Sunday",1,2)))</f>
        <v>0</v>
      </c>
      <c r="E350" s="17">
        <f>IF(B350="","",TEXT(B350,"yyyy-mm"))</f>
        <v>0</v>
      </c>
      <c r="L350" s="25">
        <f>IF(OR(K350="",I350="",I350=0),"",K350/I350)</f>
        <v>0</v>
      </c>
      <c r="S350" s="25">
        <f>MonthlyBudget</f>
        <v>0</v>
      </c>
      <c r="T350" s="25">
        <f>IF(B350="","",SUMIFS($K$5:$K$404,$E$5:$E$404,E350))</f>
        <v>0</v>
      </c>
      <c r="U350" s="31">
        <f>IF(B350="","",IF(T350&gt;MonthlyBudget,"Check - over the monthly budget","OK"))</f>
        <v>0</v>
      </c>
      <c r="V350" s="31">
        <f>IF(B350="","",IF(K350="","Add - no amount",IF(Q350="Yes","Wasted",IF(O350="No","Check - unplanned","Purchased"))))</f>
        <v>0</v>
      </c>
    </row>
    <row r="351" spans="1:22">
      <c r="A351" s="39">
        <f>IF(B351="","",SpendPrefix&amp;TEXT(ROW()-4,"0000"))</f>
        <v>0</v>
      </c>
      <c r="C351" s="17">
        <f>IF(B351="","",TEXT(B351,"ddd"))</f>
        <v>0</v>
      </c>
      <c r="D351" s="18">
        <f>IF(B351="","",WEEKNUM(B351,IF(WeekStart="Sunday",1,2)))</f>
        <v>0</v>
      </c>
      <c r="E351" s="17">
        <f>IF(B351="","",TEXT(B351,"yyyy-mm"))</f>
        <v>0</v>
      </c>
      <c r="L351" s="25">
        <f>IF(OR(K351="",I351="",I351=0),"",K351/I351)</f>
        <v>0</v>
      </c>
      <c r="S351" s="25">
        <f>MonthlyBudget</f>
        <v>0</v>
      </c>
      <c r="T351" s="25">
        <f>IF(B351="","",SUMIFS($K$5:$K$404,$E$5:$E$404,E351))</f>
        <v>0</v>
      </c>
      <c r="U351" s="31">
        <f>IF(B351="","",IF(T351&gt;MonthlyBudget,"Check - over the monthly budget","OK"))</f>
        <v>0</v>
      </c>
      <c r="V351" s="31">
        <f>IF(B351="","",IF(K351="","Add - no amount",IF(Q351="Yes","Wasted",IF(O351="No","Check - unplanned","Purchased"))))</f>
        <v>0</v>
      </c>
    </row>
    <row r="352" spans="1:22">
      <c r="A352" s="39">
        <f>IF(B352="","",SpendPrefix&amp;TEXT(ROW()-4,"0000"))</f>
        <v>0</v>
      </c>
      <c r="C352" s="17">
        <f>IF(B352="","",TEXT(B352,"ddd"))</f>
        <v>0</v>
      </c>
      <c r="D352" s="18">
        <f>IF(B352="","",WEEKNUM(B352,IF(WeekStart="Sunday",1,2)))</f>
        <v>0</v>
      </c>
      <c r="E352" s="17">
        <f>IF(B352="","",TEXT(B352,"yyyy-mm"))</f>
        <v>0</v>
      </c>
      <c r="L352" s="25">
        <f>IF(OR(K352="",I352="",I352=0),"",K352/I352)</f>
        <v>0</v>
      </c>
      <c r="S352" s="25">
        <f>MonthlyBudget</f>
        <v>0</v>
      </c>
      <c r="T352" s="25">
        <f>IF(B352="","",SUMIFS($K$5:$K$404,$E$5:$E$404,E352))</f>
        <v>0</v>
      </c>
      <c r="U352" s="31">
        <f>IF(B352="","",IF(T352&gt;MonthlyBudget,"Check - over the monthly budget","OK"))</f>
        <v>0</v>
      </c>
      <c r="V352" s="31">
        <f>IF(B352="","",IF(K352="","Add - no amount",IF(Q352="Yes","Wasted",IF(O352="No","Check - unplanned","Purchased"))))</f>
        <v>0</v>
      </c>
    </row>
    <row r="353" spans="1:22">
      <c r="A353" s="39">
        <f>IF(B353="","",SpendPrefix&amp;TEXT(ROW()-4,"0000"))</f>
        <v>0</v>
      </c>
      <c r="C353" s="17">
        <f>IF(B353="","",TEXT(B353,"ddd"))</f>
        <v>0</v>
      </c>
      <c r="D353" s="18">
        <f>IF(B353="","",WEEKNUM(B353,IF(WeekStart="Sunday",1,2)))</f>
        <v>0</v>
      </c>
      <c r="E353" s="17">
        <f>IF(B353="","",TEXT(B353,"yyyy-mm"))</f>
        <v>0</v>
      </c>
      <c r="L353" s="25">
        <f>IF(OR(K353="",I353="",I353=0),"",K353/I353)</f>
        <v>0</v>
      </c>
      <c r="S353" s="25">
        <f>MonthlyBudget</f>
        <v>0</v>
      </c>
      <c r="T353" s="25">
        <f>IF(B353="","",SUMIFS($K$5:$K$404,$E$5:$E$404,E353))</f>
        <v>0</v>
      </c>
      <c r="U353" s="31">
        <f>IF(B353="","",IF(T353&gt;MonthlyBudget,"Check - over the monthly budget","OK"))</f>
        <v>0</v>
      </c>
      <c r="V353" s="31">
        <f>IF(B353="","",IF(K353="","Add - no amount",IF(Q353="Yes","Wasted",IF(O353="No","Check - unplanned","Purchased"))))</f>
        <v>0</v>
      </c>
    </row>
    <row r="354" spans="1:22">
      <c r="A354" s="39">
        <f>IF(B354="","",SpendPrefix&amp;TEXT(ROW()-4,"0000"))</f>
        <v>0</v>
      </c>
      <c r="C354" s="17">
        <f>IF(B354="","",TEXT(B354,"ddd"))</f>
        <v>0</v>
      </c>
      <c r="D354" s="18">
        <f>IF(B354="","",WEEKNUM(B354,IF(WeekStart="Sunday",1,2)))</f>
        <v>0</v>
      </c>
      <c r="E354" s="17">
        <f>IF(B354="","",TEXT(B354,"yyyy-mm"))</f>
        <v>0</v>
      </c>
      <c r="L354" s="25">
        <f>IF(OR(K354="",I354="",I354=0),"",K354/I354)</f>
        <v>0</v>
      </c>
      <c r="S354" s="25">
        <f>MonthlyBudget</f>
        <v>0</v>
      </c>
      <c r="T354" s="25">
        <f>IF(B354="","",SUMIFS($K$5:$K$404,$E$5:$E$404,E354))</f>
        <v>0</v>
      </c>
      <c r="U354" s="31">
        <f>IF(B354="","",IF(T354&gt;MonthlyBudget,"Check - over the monthly budget","OK"))</f>
        <v>0</v>
      </c>
      <c r="V354" s="31">
        <f>IF(B354="","",IF(K354="","Add - no amount",IF(Q354="Yes","Wasted",IF(O354="No","Check - unplanned","Purchased"))))</f>
        <v>0</v>
      </c>
    </row>
    <row r="355" spans="1:22">
      <c r="A355" s="39">
        <f>IF(B355="","",SpendPrefix&amp;TEXT(ROW()-4,"0000"))</f>
        <v>0</v>
      </c>
      <c r="C355" s="17">
        <f>IF(B355="","",TEXT(B355,"ddd"))</f>
        <v>0</v>
      </c>
      <c r="D355" s="18">
        <f>IF(B355="","",WEEKNUM(B355,IF(WeekStart="Sunday",1,2)))</f>
        <v>0</v>
      </c>
      <c r="E355" s="17">
        <f>IF(B355="","",TEXT(B355,"yyyy-mm"))</f>
        <v>0</v>
      </c>
      <c r="L355" s="25">
        <f>IF(OR(K355="",I355="",I355=0),"",K355/I355)</f>
        <v>0</v>
      </c>
      <c r="S355" s="25">
        <f>MonthlyBudget</f>
        <v>0</v>
      </c>
      <c r="T355" s="25">
        <f>IF(B355="","",SUMIFS($K$5:$K$404,$E$5:$E$404,E355))</f>
        <v>0</v>
      </c>
      <c r="U355" s="31">
        <f>IF(B355="","",IF(T355&gt;MonthlyBudget,"Check - over the monthly budget","OK"))</f>
        <v>0</v>
      </c>
      <c r="V355" s="31">
        <f>IF(B355="","",IF(K355="","Add - no amount",IF(Q355="Yes","Wasted",IF(O355="No","Check - unplanned","Purchased"))))</f>
        <v>0</v>
      </c>
    </row>
    <row r="356" spans="1:22">
      <c r="A356" s="39">
        <f>IF(B356="","",SpendPrefix&amp;TEXT(ROW()-4,"0000"))</f>
        <v>0</v>
      </c>
      <c r="C356" s="17">
        <f>IF(B356="","",TEXT(B356,"ddd"))</f>
        <v>0</v>
      </c>
      <c r="D356" s="18">
        <f>IF(B356="","",WEEKNUM(B356,IF(WeekStart="Sunday",1,2)))</f>
        <v>0</v>
      </c>
      <c r="E356" s="17">
        <f>IF(B356="","",TEXT(B356,"yyyy-mm"))</f>
        <v>0</v>
      </c>
      <c r="L356" s="25">
        <f>IF(OR(K356="",I356="",I356=0),"",K356/I356)</f>
        <v>0</v>
      </c>
      <c r="S356" s="25">
        <f>MonthlyBudget</f>
        <v>0</v>
      </c>
      <c r="T356" s="25">
        <f>IF(B356="","",SUMIFS($K$5:$K$404,$E$5:$E$404,E356))</f>
        <v>0</v>
      </c>
      <c r="U356" s="31">
        <f>IF(B356="","",IF(T356&gt;MonthlyBudget,"Check - over the monthly budget","OK"))</f>
        <v>0</v>
      </c>
      <c r="V356" s="31">
        <f>IF(B356="","",IF(K356="","Add - no amount",IF(Q356="Yes","Wasted",IF(O356="No","Check - unplanned","Purchased"))))</f>
        <v>0</v>
      </c>
    </row>
    <row r="357" spans="1:22">
      <c r="A357" s="39">
        <f>IF(B357="","",SpendPrefix&amp;TEXT(ROW()-4,"0000"))</f>
        <v>0</v>
      </c>
      <c r="C357" s="17">
        <f>IF(B357="","",TEXT(B357,"ddd"))</f>
        <v>0</v>
      </c>
      <c r="D357" s="18">
        <f>IF(B357="","",WEEKNUM(B357,IF(WeekStart="Sunday",1,2)))</f>
        <v>0</v>
      </c>
      <c r="E357" s="17">
        <f>IF(B357="","",TEXT(B357,"yyyy-mm"))</f>
        <v>0</v>
      </c>
      <c r="L357" s="25">
        <f>IF(OR(K357="",I357="",I357=0),"",K357/I357)</f>
        <v>0</v>
      </c>
      <c r="S357" s="25">
        <f>MonthlyBudget</f>
        <v>0</v>
      </c>
      <c r="T357" s="25">
        <f>IF(B357="","",SUMIFS($K$5:$K$404,$E$5:$E$404,E357))</f>
        <v>0</v>
      </c>
      <c r="U357" s="31">
        <f>IF(B357="","",IF(T357&gt;MonthlyBudget,"Check - over the monthly budget","OK"))</f>
        <v>0</v>
      </c>
      <c r="V357" s="31">
        <f>IF(B357="","",IF(K357="","Add - no amount",IF(Q357="Yes","Wasted",IF(O357="No","Check - unplanned","Purchased"))))</f>
        <v>0</v>
      </c>
    </row>
    <row r="358" spans="1:22">
      <c r="A358" s="39">
        <f>IF(B358="","",SpendPrefix&amp;TEXT(ROW()-4,"0000"))</f>
        <v>0</v>
      </c>
      <c r="C358" s="17">
        <f>IF(B358="","",TEXT(B358,"ddd"))</f>
        <v>0</v>
      </c>
      <c r="D358" s="18">
        <f>IF(B358="","",WEEKNUM(B358,IF(WeekStart="Sunday",1,2)))</f>
        <v>0</v>
      </c>
      <c r="E358" s="17">
        <f>IF(B358="","",TEXT(B358,"yyyy-mm"))</f>
        <v>0</v>
      </c>
      <c r="L358" s="25">
        <f>IF(OR(K358="",I358="",I358=0),"",K358/I358)</f>
        <v>0</v>
      </c>
      <c r="S358" s="25">
        <f>MonthlyBudget</f>
        <v>0</v>
      </c>
      <c r="T358" s="25">
        <f>IF(B358="","",SUMIFS($K$5:$K$404,$E$5:$E$404,E358))</f>
        <v>0</v>
      </c>
      <c r="U358" s="31">
        <f>IF(B358="","",IF(T358&gt;MonthlyBudget,"Check - over the monthly budget","OK"))</f>
        <v>0</v>
      </c>
      <c r="V358" s="31">
        <f>IF(B358="","",IF(K358="","Add - no amount",IF(Q358="Yes","Wasted",IF(O358="No","Check - unplanned","Purchased"))))</f>
        <v>0</v>
      </c>
    </row>
    <row r="359" spans="1:22">
      <c r="A359" s="39">
        <f>IF(B359="","",SpendPrefix&amp;TEXT(ROW()-4,"0000"))</f>
        <v>0</v>
      </c>
      <c r="C359" s="17">
        <f>IF(B359="","",TEXT(B359,"ddd"))</f>
        <v>0</v>
      </c>
      <c r="D359" s="18">
        <f>IF(B359="","",WEEKNUM(B359,IF(WeekStart="Sunday",1,2)))</f>
        <v>0</v>
      </c>
      <c r="E359" s="17">
        <f>IF(B359="","",TEXT(B359,"yyyy-mm"))</f>
        <v>0</v>
      </c>
      <c r="L359" s="25">
        <f>IF(OR(K359="",I359="",I359=0),"",K359/I359)</f>
        <v>0</v>
      </c>
      <c r="S359" s="25">
        <f>MonthlyBudget</f>
        <v>0</v>
      </c>
      <c r="T359" s="25">
        <f>IF(B359="","",SUMIFS($K$5:$K$404,$E$5:$E$404,E359))</f>
        <v>0</v>
      </c>
      <c r="U359" s="31">
        <f>IF(B359="","",IF(T359&gt;MonthlyBudget,"Check - over the monthly budget","OK"))</f>
        <v>0</v>
      </c>
      <c r="V359" s="31">
        <f>IF(B359="","",IF(K359="","Add - no amount",IF(Q359="Yes","Wasted",IF(O359="No","Check - unplanned","Purchased"))))</f>
        <v>0</v>
      </c>
    </row>
    <row r="360" spans="1:22">
      <c r="A360" s="39">
        <f>IF(B360="","",SpendPrefix&amp;TEXT(ROW()-4,"0000"))</f>
        <v>0</v>
      </c>
      <c r="C360" s="17">
        <f>IF(B360="","",TEXT(B360,"ddd"))</f>
        <v>0</v>
      </c>
      <c r="D360" s="18">
        <f>IF(B360="","",WEEKNUM(B360,IF(WeekStart="Sunday",1,2)))</f>
        <v>0</v>
      </c>
      <c r="E360" s="17">
        <f>IF(B360="","",TEXT(B360,"yyyy-mm"))</f>
        <v>0</v>
      </c>
      <c r="L360" s="25">
        <f>IF(OR(K360="",I360="",I360=0),"",K360/I360)</f>
        <v>0</v>
      </c>
      <c r="S360" s="25">
        <f>MonthlyBudget</f>
        <v>0</v>
      </c>
      <c r="T360" s="25">
        <f>IF(B360="","",SUMIFS($K$5:$K$404,$E$5:$E$404,E360))</f>
        <v>0</v>
      </c>
      <c r="U360" s="31">
        <f>IF(B360="","",IF(T360&gt;MonthlyBudget,"Check - over the monthly budget","OK"))</f>
        <v>0</v>
      </c>
      <c r="V360" s="31">
        <f>IF(B360="","",IF(K360="","Add - no amount",IF(Q360="Yes","Wasted",IF(O360="No","Check - unplanned","Purchased"))))</f>
        <v>0</v>
      </c>
    </row>
    <row r="361" spans="1:22">
      <c r="A361" s="39">
        <f>IF(B361="","",SpendPrefix&amp;TEXT(ROW()-4,"0000"))</f>
        <v>0</v>
      </c>
      <c r="C361" s="17">
        <f>IF(B361="","",TEXT(B361,"ddd"))</f>
        <v>0</v>
      </c>
      <c r="D361" s="18">
        <f>IF(B361="","",WEEKNUM(B361,IF(WeekStart="Sunday",1,2)))</f>
        <v>0</v>
      </c>
      <c r="E361" s="17">
        <f>IF(B361="","",TEXT(B361,"yyyy-mm"))</f>
        <v>0</v>
      </c>
      <c r="L361" s="25">
        <f>IF(OR(K361="",I361="",I361=0),"",K361/I361)</f>
        <v>0</v>
      </c>
      <c r="S361" s="25">
        <f>MonthlyBudget</f>
        <v>0</v>
      </c>
      <c r="T361" s="25">
        <f>IF(B361="","",SUMIFS($K$5:$K$404,$E$5:$E$404,E361))</f>
        <v>0</v>
      </c>
      <c r="U361" s="31">
        <f>IF(B361="","",IF(T361&gt;MonthlyBudget,"Check - over the monthly budget","OK"))</f>
        <v>0</v>
      </c>
      <c r="V361" s="31">
        <f>IF(B361="","",IF(K361="","Add - no amount",IF(Q361="Yes","Wasted",IF(O361="No","Check - unplanned","Purchased"))))</f>
        <v>0</v>
      </c>
    </row>
    <row r="362" spans="1:22">
      <c r="A362" s="39">
        <f>IF(B362="","",SpendPrefix&amp;TEXT(ROW()-4,"0000"))</f>
        <v>0</v>
      </c>
      <c r="C362" s="17">
        <f>IF(B362="","",TEXT(B362,"ddd"))</f>
        <v>0</v>
      </c>
      <c r="D362" s="18">
        <f>IF(B362="","",WEEKNUM(B362,IF(WeekStart="Sunday",1,2)))</f>
        <v>0</v>
      </c>
      <c r="E362" s="17">
        <f>IF(B362="","",TEXT(B362,"yyyy-mm"))</f>
        <v>0</v>
      </c>
      <c r="L362" s="25">
        <f>IF(OR(K362="",I362="",I362=0),"",K362/I362)</f>
        <v>0</v>
      </c>
      <c r="S362" s="25">
        <f>MonthlyBudget</f>
        <v>0</v>
      </c>
      <c r="T362" s="25">
        <f>IF(B362="","",SUMIFS($K$5:$K$404,$E$5:$E$404,E362))</f>
        <v>0</v>
      </c>
      <c r="U362" s="31">
        <f>IF(B362="","",IF(T362&gt;MonthlyBudget,"Check - over the monthly budget","OK"))</f>
        <v>0</v>
      </c>
      <c r="V362" s="31">
        <f>IF(B362="","",IF(K362="","Add - no amount",IF(Q362="Yes","Wasted",IF(O362="No","Check - unplanned","Purchased"))))</f>
        <v>0</v>
      </c>
    </row>
    <row r="363" spans="1:22">
      <c r="A363" s="39">
        <f>IF(B363="","",SpendPrefix&amp;TEXT(ROW()-4,"0000"))</f>
        <v>0</v>
      </c>
      <c r="C363" s="17">
        <f>IF(B363="","",TEXT(B363,"ddd"))</f>
        <v>0</v>
      </c>
      <c r="D363" s="18">
        <f>IF(B363="","",WEEKNUM(B363,IF(WeekStart="Sunday",1,2)))</f>
        <v>0</v>
      </c>
      <c r="E363" s="17">
        <f>IF(B363="","",TEXT(B363,"yyyy-mm"))</f>
        <v>0</v>
      </c>
      <c r="L363" s="25">
        <f>IF(OR(K363="",I363="",I363=0),"",K363/I363)</f>
        <v>0</v>
      </c>
      <c r="S363" s="25">
        <f>MonthlyBudget</f>
        <v>0</v>
      </c>
      <c r="T363" s="25">
        <f>IF(B363="","",SUMIFS($K$5:$K$404,$E$5:$E$404,E363))</f>
        <v>0</v>
      </c>
      <c r="U363" s="31">
        <f>IF(B363="","",IF(T363&gt;MonthlyBudget,"Check - over the monthly budget","OK"))</f>
        <v>0</v>
      </c>
      <c r="V363" s="31">
        <f>IF(B363="","",IF(K363="","Add - no amount",IF(Q363="Yes","Wasted",IF(O363="No","Check - unplanned","Purchased"))))</f>
        <v>0</v>
      </c>
    </row>
    <row r="364" spans="1:22">
      <c r="A364" s="39">
        <f>IF(B364="","",SpendPrefix&amp;TEXT(ROW()-4,"0000"))</f>
        <v>0</v>
      </c>
      <c r="C364" s="17">
        <f>IF(B364="","",TEXT(B364,"ddd"))</f>
        <v>0</v>
      </c>
      <c r="D364" s="18">
        <f>IF(B364="","",WEEKNUM(B364,IF(WeekStart="Sunday",1,2)))</f>
        <v>0</v>
      </c>
      <c r="E364" s="17">
        <f>IF(B364="","",TEXT(B364,"yyyy-mm"))</f>
        <v>0</v>
      </c>
      <c r="L364" s="25">
        <f>IF(OR(K364="",I364="",I364=0),"",K364/I364)</f>
        <v>0</v>
      </c>
      <c r="S364" s="25">
        <f>MonthlyBudget</f>
        <v>0</v>
      </c>
      <c r="T364" s="25">
        <f>IF(B364="","",SUMIFS($K$5:$K$404,$E$5:$E$404,E364))</f>
        <v>0</v>
      </c>
      <c r="U364" s="31">
        <f>IF(B364="","",IF(T364&gt;MonthlyBudget,"Check - over the monthly budget","OK"))</f>
        <v>0</v>
      </c>
      <c r="V364" s="31">
        <f>IF(B364="","",IF(K364="","Add - no amount",IF(Q364="Yes","Wasted",IF(O364="No","Check - unplanned","Purchased"))))</f>
        <v>0</v>
      </c>
    </row>
    <row r="365" spans="1:22">
      <c r="A365" s="39">
        <f>IF(B365="","",SpendPrefix&amp;TEXT(ROW()-4,"0000"))</f>
        <v>0</v>
      </c>
      <c r="C365" s="17">
        <f>IF(B365="","",TEXT(B365,"ddd"))</f>
        <v>0</v>
      </c>
      <c r="D365" s="18">
        <f>IF(B365="","",WEEKNUM(B365,IF(WeekStart="Sunday",1,2)))</f>
        <v>0</v>
      </c>
      <c r="E365" s="17">
        <f>IF(B365="","",TEXT(B365,"yyyy-mm"))</f>
        <v>0</v>
      </c>
      <c r="L365" s="25">
        <f>IF(OR(K365="",I365="",I365=0),"",K365/I365)</f>
        <v>0</v>
      </c>
      <c r="S365" s="25">
        <f>MonthlyBudget</f>
        <v>0</v>
      </c>
      <c r="T365" s="25">
        <f>IF(B365="","",SUMIFS($K$5:$K$404,$E$5:$E$404,E365))</f>
        <v>0</v>
      </c>
      <c r="U365" s="31">
        <f>IF(B365="","",IF(T365&gt;MonthlyBudget,"Check - over the monthly budget","OK"))</f>
        <v>0</v>
      </c>
      <c r="V365" s="31">
        <f>IF(B365="","",IF(K365="","Add - no amount",IF(Q365="Yes","Wasted",IF(O365="No","Check - unplanned","Purchased"))))</f>
        <v>0</v>
      </c>
    </row>
    <row r="366" spans="1:22">
      <c r="A366" s="39">
        <f>IF(B366="","",SpendPrefix&amp;TEXT(ROW()-4,"0000"))</f>
        <v>0</v>
      </c>
      <c r="C366" s="17">
        <f>IF(B366="","",TEXT(B366,"ddd"))</f>
        <v>0</v>
      </c>
      <c r="D366" s="18">
        <f>IF(B366="","",WEEKNUM(B366,IF(WeekStart="Sunday",1,2)))</f>
        <v>0</v>
      </c>
      <c r="E366" s="17">
        <f>IF(B366="","",TEXT(B366,"yyyy-mm"))</f>
        <v>0</v>
      </c>
      <c r="L366" s="25">
        <f>IF(OR(K366="",I366="",I366=0),"",K366/I366)</f>
        <v>0</v>
      </c>
      <c r="S366" s="25">
        <f>MonthlyBudget</f>
        <v>0</v>
      </c>
      <c r="T366" s="25">
        <f>IF(B366="","",SUMIFS($K$5:$K$404,$E$5:$E$404,E366))</f>
        <v>0</v>
      </c>
      <c r="U366" s="31">
        <f>IF(B366="","",IF(T366&gt;MonthlyBudget,"Check - over the monthly budget","OK"))</f>
        <v>0</v>
      </c>
      <c r="V366" s="31">
        <f>IF(B366="","",IF(K366="","Add - no amount",IF(Q366="Yes","Wasted",IF(O366="No","Check - unplanned","Purchased"))))</f>
        <v>0</v>
      </c>
    </row>
    <row r="367" spans="1:22">
      <c r="A367" s="39">
        <f>IF(B367="","",SpendPrefix&amp;TEXT(ROW()-4,"0000"))</f>
        <v>0</v>
      </c>
      <c r="C367" s="17">
        <f>IF(B367="","",TEXT(B367,"ddd"))</f>
        <v>0</v>
      </c>
      <c r="D367" s="18">
        <f>IF(B367="","",WEEKNUM(B367,IF(WeekStart="Sunday",1,2)))</f>
        <v>0</v>
      </c>
      <c r="E367" s="17">
        <f>IF(B367="","",TEXT(B367,"yyyy-mm"))</f>
        <v>0</v>
      </c>
      <c r="L367" s="25">
        <f>IF(OR(K367="",I367="",I367=0),"",K367/I367)</f>
        <v>0</v>
      </c>
      <c r="S367" s="25">
        <f>MonthlyBudget</f>
        <v>0</v>
      </c>
      <c r="T367" s="25">
        <f>IF(B367="","",SUMIFS($K$5:$K$404,$E$5:$E$404,E367))</f>
        <v>0</v>
      </c>
      <c r="U367" s="31">
        <f>IF(B367="","",IF(T367&gt;MonthlyBudget,"Check - over the monthly budget","OK"))</f>
        <v>0</v>
      </c>
      <c r="V367" s="31">
        <f>IF(B367="","",IF(K367="","Add - no amount",IF(Q367="Yes","Wasted",IF(O367="No","Check - unplanned","Purchased"))))</f>
        <v>0</v>
      </c>
    </row>
    <row r="368" spans="1:22">
      <c r="A368" s="39">
        <f>IF(B368="","",SpendPrefix&amp;TEXT(ROW()-4,"0000"))</f>
        <v>0</v>
      </c>
      <c r="C368" s="17">
        <f>IF(B368="","",TEXT(B368,"ddd"))</f>
        <v>0</v>
      </c>
      <c r="D368" s="18">
        <f>IF(B368="","",WEEKNUM(B368,IF(WeekStart="Sunday",1,2)))</f>
        <v>0</v>
      </c>
      <c r="E368" s="17">
        <f>IF(B368="","",TEXT(B368,"yyyy-mm"))</f>
        <v>0</v>
      </c>
      <c r="L368" s="25">
        <f>IF(OR(K368="",I368="",I368=0),"",K368/I368)</f>
        <v>0</v>
      </c>
      <c r="S368" s="25">
        <f>MonthlyBudget</f>
        <v>0</v>
      </c>
      <c r="T368" s="25">
        <f>IF(B368="","",SUMIFS($K$5:$K$404,$E$5:$E$404,E368))</f>
        <v>0</v>
      </c>
      <c r="U368" s="31">
        <f>IF(B368="","",IF(T368&gt;MonthlyBudget,"Check - over the monthly budget","OK"))</f>
        <v>0</v>
      </c>
      <c r="V368" s="31">
        <f>IF(B368="","",IF(K368="","Add - no amount",IF(Q368="Yes","Wasted",IF(O368="No","Check - unplanned","Purchased"))))</f>
        <v>0</v>
      </c>
    </row>
    <row r="369" spans="1:22">
      <c r="A369" s="39">
        <f>IF(B369="","",SpendPrefix&amp;TEXT(ROW()-4,"0000"))</f>
        <v>0</v>
      </c>
      <c r="C369" s="17">
        <f>IF(B369="","",TEXT(B369,"ddd"))</f>
        <v>0</v>
      </c>
      <c r="D369" s="18">
        <f>IF(B369="","",WEEKNUM(B369,IF(WeekStart="Sunday",1,2)))</f>
        <v>0</v>
      </c>
      <c r="E369" s="17">
        <f>IF(B369="","",TEXT(B369,"yyyy-mm"))</f>
        <v>0</v>
      </c>
      <c r="L369" s="25">
        <f>IF(OR(K369="",I369="",I369=0),"",K369/I369)</f>
        <v>0</v>
      </c>
      <c r="S369" s="25">
        <f>MonthlyBudget</f>
        <v>0</v>
      </c>
      <c r="T369" s="25">
        <f>IF(B369="","",SUMIFS($K$5:$K$404,$E$5:$E$404,E369))</f>
        <v>0</v>
      </c>
      <c r="U369" s="31">
        <f>IF(B369="","",IF(T369&gt;MonthlyBudget,"Check - over the monthly budget","OK"))</f>
        <v>0</v>
      </c>
      <c r="V369" s="31">
        <f>IF(B369="","",IF(K369="","Add - no amount",IF(Q369="Yes","Wasted",IF(O369="No","Check - unplanned","Purchased"))))</f>
        <v>0</v>
      </c>
    </row>
    <row r="370" spans="1:22">
      <c r="A370" s="39">
        <f>IF(B370="","",SpendPrefix&amp;TEXT(ROW()-4,"0000"))</f>
        <v>0</v>
      </c>
      <c r="C370" s="17">
        <f>IF(B370="","",TEXT(B370,"ddd"))</f>
        <v>0</v>
      </c>
      <c r="D370" s="18">
        <f>IF(B370="","",WEEKNUM(B370,IF(WeekStart="Sunday",1,2)))</f>
        <v>0</v>
      </c>
      <c r="E370" s="17">
        <f>IF(B370="","",TEXT(B370,"yyyy-mm"))</f>
        <v>0</v>
      </c>
      <c r="L370" s="25">
        <f>IF(OR(K370="",I370="",I370=0),"",K370/I370)</f>
        <v>0</v>
      </c>
      <c r="S370" s="25">
        <f>MonthlyBudget</f>
        <v>0</v>
      </c>
      <c r="T370" s="25">
        <f>IF(B370="","",SUMIFS($K$5:$K$404,$E$5:$E$404,E370))</f>
        <v>0</v>
      </c>
      <c r="U370" s="31">
        <f>IF(B370="","",IF(T370&gt;MonthlyBudget,"Check - over the monthly budget","OK"))</f>
        <v>0</v>
      </c>
      <c r="V370" s="31">
        <f>IF(B370="","",IF(K370="","Add - no amount",IF(Q370="Yes","Wasted",IF(O370="No","Check - unplanned","Purchased"))))</f>
        <v>0</v>
      </c>
    </row>
    <row r="371" spans="1:22">
      <c r="A371" s="39">
        <f>IF(B371="","",SpendPrefix&amp;TEXT(ROW()-4,"0000"))</f>
        <v>0</v>
      </c>
      <c r="C371" s="17">
        <f>IF(B371="","",TEXT(B371,"ddd"))</f>
        <v>0</v>
      </c>
      <c r="D371" s="18">
        <f>IF(B371="","",WEEKNUM(B371,IF(WeekStart="Sunday",1,2)))</f>
        <v>0</v>
      </c>
      <c r="E371" s="17">
        <f>IF(B371="","",TEXT(B371,"yyyy-mm"))</f>
        <v>0</v>
      </c>
      <c r="L371" s="25">
        <f>IF(OR(K371="",I371="",I371=0),"",K371/I371)</f>
        <v>0</v>
      </c>
      <c r="S371" s="25">
        <f>MonthlyBudget</f>
        <v>0</v>
      </c>
      <c r="T371" s="25">
        <f>IF(B371="","",SUMIFS($K$5:$K$404,$E$5:$E$404,E371))</f>
        <v>0</v>
      </c>
      <c r="U371" s="31">
        <f>IF(B371="","",IF(T371&gt;MonthlyBudget,"Check - over the monthly budget","OK"))</f>
        <v>0</v>
      </c>
      <c r="V371" s="31">
        <f>IF(B371="","",IF(K371="","Add - no amount",IF(Q371="Yes","Wasted",IF(O371="No","Check - unplanned","Purchased"))))</f>
        <v>0</v>
      </c>
    </row>
    <row r="372" spans="1:22">
      <c r="A372" s="39">
        <f>IF(B372="","",SpendPrefix&amp;TEXT(ROW()-4,"0000"))</f>
        <v>0</v>
      </c>
      <c r="C372" s="17">
        <f>IF(B372="","",TEXT(B372,"ddd"))</f>
        <v>0</v>
      </c>
      <c r="D372" s="18">
        <f>IF(B372="","",WEEKNUM(B372,IF(WeekStart="Sunday",1,2)))</f>
        <v>0</v>
      </c>
      <c r="E372" s="17">
        <f>IF(B372="","",TEXT(B372,"yyyy-mm"))</f>
        <v>0</v>
      </c>
      <c r="L372" s="25">
        <f>IF(OR(K372="",I372="",I372=0),"",K372/I372)</f>
        <v>0</v>
      </c>
      <c r="S372" s="25">
        <f>MonthlyBudget</f>
        <v>0</v>
      </c>
      <c r="T372" s="25">
        <f>IF(B372="","",SUMIFS($K$5:$K$404,$E$5:$E$404,E372))</f>
        <v>0</v>
      </c>
      <c r="U372" s="31">
        <f>IF(B372="","",IF(T372&gt;MonthlyBudget,"Check - over the monthly budget","OK"))</f>
        <v>0</v>
      </c>
      <c r="V372" s="31">
        <f>IF(B372="","",IF(K372="","Add - no amount",IF(Q372="Yes","Wasted",IF(O372="No","Check - unplanned","Purchased"))))</f>
        <v>0</v>
      </c>
    </row>
    <row r="373" spans="1:22">
      <c r="A373" s="39">
        <f>IF(B373="","",SpendPrefix&amp;TEXT(ROW()-4,"0000"))</f>
        <v>0</v>
      </c>
      <c r="C373" s="17">
        <f>IF(B373="","",TEXT(B373,"ddd"))</f>
        <v>0</v>
      </c>
      <c r="D373" s="18">
        <f>IF(B373="","",WEEKNUM(B373,IF(WeekStart="Sunday",1,2)))</f>
        <v>0</v>
      </c>
      <c r="E373" s="17">
        <f>IF(B373="","",TEXT(B373,"yyyy-mm"))</f>
        <v>0</v>
      </c>
      <c r="L373" s="25">
        <f>IF(OR(K373="",I373="",I373=0),"",K373/I373)</f>
        <v>0</v>
      </c>
      <c r="S373" s="25">
        <f>MonthlyBudget</f>
        <v>0</v>
      </c>
      <c r="T373" s="25">
        <f>IF(B373="","",SUMIFS($K$5:$K$404,$E$5:$E$404,E373))</f>
        <v>0</v>
      </c>
      <c r="U373" s="31">
        <f>IF(B373="","",IF(T373&gt;MonthlyBudget,"Check - over the monthly budget","OK"))</f>
        <v>0</v>
      </c>
      <c r="V373" s="31">
        <f>IF(B373="","",IF(K373="","Add - no amount",IF(Q373="Yes","Wasted",IF(O373="No","Check - unplanned","Purchased"))))</f>
        <v>0</v>
      </c>
    </row>
    <row r="374" spans="1:22">
      <c r="A374" s="39">
        <f>IF(B374="","",SpendPrefix&amp;TEXT(ROW()-4,"0000"))</f>
        <v>0</v>
      </c>
      <c r="C374" s="17">
        <f>IF(B374="","",TEXT(B374,"ddd"))</f>
        <v>0</v>
      </c>
      <c r="D374" s="18">
        <f>IF(B374="","",WEEKNUM(B374,IF(WeekStart="Sunday",1,2)))</f>
        <v>0</v>
      </c>
      <c r="E374" s="17">
        <f>IF(B374="","",TEXT(B374,"yyyy-mm"))</f>
        <v>0</v>
      </c>
      <c r="L374" s="25">
        <f>IF(OR(K374="",I374="",I374=0),"",K374/I374)</f>
        <v>0</v>
      </c>
      <c r="S374" s="25">
        <f>MonthlyBudget</f>
        <v>0</v>
      </c>
      <c r="T374" s="25">
        <f>IF(B374="","",SUMIFS($K$5:$K$404,$E$5:$E$404,E374))</f>
        <v>0</v>
      </c>
      <c r="U374" s="31">
        <f>IF(B374="","",IF(T374&gt;MonthlyBudget,"Check - over the monthly budget","OK"))</f>
        <v>0</v>
      </c>
      <c r="V374" s="31">
        <f>IF(B374="","",IF(K374="","Add - no amount",IF(Q374="Yes","Wasted",IF(O374="No","Check - unplanned","Purchased"))))</f>
        <v>0</v>
      </c>
    </row>
    <row r="375" spans="1:22">
      <c r="A375" s="39">
        <f>IF(B375="","",SpendPrefix&amp;TEXT(ROW()-4,"0000"))</f>
        <v>0</v>
      </c>
      <c r="C375" s="17">
        <f>IF(B375="","",TEXT(B375,"ddd"))</f>
        <v>0</v>
      </c>
      <c r="D375" s="18">
        <f>IF(B375="","",WEEKNUM(B375,IF(WeekStart="Sunday",1,2)))</f>
        <v>0</v>
      </c>
      <c r="E375" s="17">
        <f>IF(B375="","",TEXT(B375,"yyyy-mm"))</f>
        <v>0</v>
      </c>
      <c r="L375" s="25">
        <f>IF(OR(K375="",I375="",I375=0),"",K375/I375)</f>
        <v>0</v>
      </c>
      <c r="S375" s="25">
        <f>MonthlyBudget</f>
        <v>0</v>
      </c>
      <c r="T375" s="25">
        <f>IF(B375="","",SUMIFS($K$5:$K$404,$E$5:$E$404,E375))</f>
        <v>0</v>
      </c>
      <c r="U375" s="31">
        <f>IF(B375="","",IF(T375&gt;MonthlyBudget,"Check - over the monthly budget","OK"))</f>
        <v>0</v>
      </c>
      <c r="V375" s="31">
        <f>IF(B375="","",IF(K375="","Add - no amount",IF(Q375="Yes","Wasted",IF(O375="No","Check - unplanned","Purchased"))))</f>
        <v>0</v>
      </c>
    </row>
    <row r="376" spans="1:22">
      <c r="A376" s="39">
        <f>IF(B376="","",SpendPrefix&amp;TEXT(ROW()-4,"0000"))</f>
        <v>0</v>
      </c>
      <c r="C376" s="17">
        <f>IF(B376="","",TEXT(B376,"ddd"))</f>
        <v>0</v>
      </c>
      <c r="D376" s="18">
        <f>IF(B376="","",WEEKNUM(B376,IF(WeekStart="Sunday",1,2)))</f>
        <v>0</v>
      </c>
      <c r="E376" s="17">
        <f>IF(B376="","",TEXT(B376,"yyyy-mm"))</f>
        <v>0</v>
      </c>
      <c r="L376" s="25">
        <f>IF(OR(K376="",I376="",I376=0),"",K376/I376)</f>
        <v>0</v>
      </c>
      <c r="S376" s="25">
        <f>MonthlyBudget</f>
        <v>0</v>
      </c>
      <c r="T376" s="25">
        <f>IF(B376="","",SUMIFS($K$5:$K$404,$E$5:$E$404,E376))</f>
        <v>0</v>
      </c>
      <c r="U376" s="31">
        <f>IF(B376="","",IF(T376&gt;MonthlyBudget,"Check - over the monthly budget","OK"))</f>
        <v>0</v>
      </c>
      <c r="V376" s="31">
        <f>IF(B376="","",IF(K376="","Add - no amount",IF(Q376="Yes","Wasted",IF(O376="No","Check - unplanned","Purchased"))))</f>
        <v>0</v>
      </c>
    </row>
    <row r="377" spans="1:22">
      <c r="A377" s="39">
        <f>IF(B377="","",SpendPrefix&amp;TEXT(ROW()-4,"0000"))</f>
        <v>0</v>
      </c>
      <c r="C377" s="17">
        <f>IF(B377="","",TEXT(B377,"ddd"))</f>
        <v>0</v>
      </c>
      <c r="D377" s="18">
        <f>IF(B377="","",WEEKNUM(B377,IF(WeekStart="Sunday",1,2)))</f>
        <v>0</v>
      </c>
      <c r="E377" s="17">
        <f>IF(B377="","",TEXT(B377,"yyyy-mm"))</f>
        <v>0</v>
      </c>
      <c r="L377" s="25">
        <f>IF(OR(K377="",I377="",I377=0),"",K377/I377)</f>
        <v>0</v>
      </c>
      <c r="S377" s="25">
        <f>MonthlyBudget</f>
        <v>0</v>
      </c>
      <c r="T377" s="25">
        <f>IF(B377="","",SUMIFS($K$5:$K$404,$E$5:$E$404,E377))</f>
        <v>0</v>
      </c>
      <c r="U377" s="31">
        <f>IF(B377="","",IF(T377&gt;MonthlyBudget,"Check - over the monthly budget","OK"))</f>
        <v>0</v>
      </c>
      <c r="V377" s="31">
        <f>IF(B377="","",IF(K377="","Add - no amount",IF(Q377="Yes","Wasted",IF(O377="No","Check - unplanned","Purchased"))))</f>
        <v>0</v>
      </c>
    </row>
    <row r="378" spans="1:22">
      <c r="A378" s="39">
        <f>IF(B378="","",SpendPrefix&amp;TEXT(ROW()-4,"0000"))</f>
        <v>0</v>
      </c>
      <c r="C378" s="17">
        <f>IF(B378="","",TEXT(B378,"ddd"))</f>
        <v>0</v>
      </c>
      <c r="D378" s="18">
        <f>IF(B378="","",WEEKNUM(B378,IF(WeekStart="Sunday",1,2)))</f>
        <v>0</v>
      </c>
      <c r="E378" s="17">
        <f>IF(B378="","",TEXT(B378,"yyyy-mm"))</f>
        <v>0</v>
      </c>
      <c r="L378" s="25">
        <f>IF(OR(K378="",I378="",I378=0),"",K378/I378)</f>
        <v>0</v>
      </c>
      <c r="S378" s="25">
        <f>MonthlyBudget</f>
        <v>0</v>
      </c>
      <c r="T378" s="25">
        <f>IF(B378="","",SUMIFS($K$5:$K$404,$E$5:$E$404,E378))</f>
        <v>0</v>
      </c>
      <c r="U378" s="31">
        <f>IF(B378="","",IF(T378&gt;MonthlyBudget,"Check - over the monthly budget","OK"))</f>
        <v>0</v>
      </c>
      <c r="V378" s="31">
        <f>IF(B378="","",IF(K378="","Add - no amount",IF(Q378="Yes","Wasted",IF(O378="No","Check - unplanned","Purchased"))))</f>
        <v>0</v>
      </c>
    </row>
    <row r="379" spans="1:22">
      <c r="A379" s="39">
        <f>IF(B379="","",SpendPrefix&amp;TEXT(ROW()-4,"0000"))</f>
        <v>0</v>
      </c>
      <c r="C379" s="17">
        <f>IF(B379="","",TEXT(B379,"ddd"))</f>
        <v>0</v>
      </c>
      <c r="D379" s="18">
        <f>IF(B379="","",WEEKNUM(B379,IF(WeekStart="Sunday",1,2)))</f>
        <v>0</v>
      </c>
      <c r="E379" s="17">
        <f>IF(B379="","",TEXT(B379,"yyyy-mm"))</f>
        <v>0</v>
      </c>
      <c r="L379" s="25">
        <f>IF(OR(K379="",I379="",I379=0),"",K379/I379)</f>
        <v>0</v>
      </c>
      <c r="S379" s="25">
        <f>MonthlyBudget</f>
        <v>0</v>
      </c>
      <c r="T379" s="25">
        <f>IF(B379="","",SUMIFS($K$5:$K$404,$E$5:$E$404,E379))</f>
        <v>0</v>
      </c>
      <c r="U379" s="31">
        <f>IF(B379="","",IF(T379&gt;MonthlyBudget,"Check - over the monthly budget","OK"))</f>
        <v>0</v>
      </c>
      <c r="V379" s="31">
        <f>IF(B379="","",IF(K379="","Add - no amount",IF(Q379="Yes","Wasted",IF(O379="No","Check - unplanned","Purchased"))))</f>
        <v>0</v>
      </c>
    </row>
    <row r="380" spans="1:22">
      <c r="A380" s="39">
        <f>IF(B380="","",SpendPrefix&amp;TEXT(ROW()-4,"0000"))</f>
        <v>0</v>
      </c>
      <c r="C380" s="17">
        <f>IF(B380="","",TEXT(B380,"ddd"))</f>
        <v>0</v>
      </c>
      <c r="D380" s="18">
        <f>IF(B380="","",WEEKNUM(B380,IF(WeekStart="Sunday",1,2)))</f>
        <v>0</v>
      </c>
      <c r="E380" s="17">
        <f>IF(B380="","",TEXT(B380,"yyyy-mm"))</f>
        <v>0</v>
      </c>
      <c r="L380" s="25">
        <f>IF(OR(K380="",I380="",I380=0),"",K380/I380)</f>
        <v>0</v>
      </c>
      <c r="S380" s="25">
        <f>MonthlyBudget</f>
        <v>0</v>
      </c>
      <c r="T380" s="25">
        <f>IF(B380="","",SUMIFS($K$5:$K$404,$E$5:$E$404,E380))</f>
        <v>0</v>
      </c>
      <c r="U380" s="31">
        <f>IF(B380="","",IF(T380&gt;MonthlyBudget,"Check - over the monthly budget","OK"))</f>
        <v>0</v>
      </c>
      <c r="V380" s="31">
        <f>IF(B380="","",IF(K380="","Add - no amount",IF(Q380="Yes","Wasted",IF(O380="No","Check - unplanned","Purchased"))))</f>
        <v>0</v>
      </c>
    </row>
    <row r="381" spans="1:22">
      <c r="A381" s="39">
        <f>IF(B381="","",SpendPrefix&amp;TEXT(ROW()-4,"0000"))</f>
        <v>0</v>
      </c>
      <c r="C381" s="17">
        <f>IF(B381="","",TEXT(B381,"ddd"))</f>
        <v>0</v>
      </c>
      <c r="D381" s="18">
        <f>IF(B381="","",WEEKNUM(B381,IF(WeekStart="Sunday",1,2)))</f>
        <v>0</v>
      </c>
      <c r="E381" s="17">
        <f>IF(B381="","",TEXT(B381,"yyyy-mm"))</f>
        <v>0</v>
      </c>
      <c r="L381" s="25">
        <f>IF(OR(K381="",I381="",I381=0),"",K381/I381)</f>
        <v>0</v>
      </c>
      <c r="S381" s="25">
        <f>MonthlyBudget</f>
        <v>0</v>
      </c>
      <c r="T381" s="25">
        <f>IF(B381="","",SUMIFS($K$5:$K$404,$E$5:$E$404,E381))</f>
        <v>0</v>
      </c>
      <c r="U381" s="31">
        <f>IF(B381="","",IF(T381&gt;MonthlyBudget,"Check - over the monthly budget","OK"))</f>
        <v>0</v>
      </c>
      <c r="V381" s="31">
        <f>IF(B381="","",IF(K381="","Add - no amount",IF(Q381="Yes","Wasted",IF(O381="No","Check - unplanned","Purchased"))))</f>
        <v>0</v>
      </c>
    </row>
    <row r="382" spans="1:22">
      <c r="A382" s="39">
        <f>IF(B382="","",SpendPrefix&amp;TEXT(ROW()-4,"0000"))</f>
        <v>0</v>
      </c>
      <c r="C382" s="17">
        <f>IF(B382="","",TEXT(B382,"ddd"))</f>
        <v>0</v>
      </c>
      <c r="D382" s="18">
        <f>IF(B382="","",WEEKNUM(B382,IF(WeekStart="Sunday",1,2)))</f>
        <v>0</v>
      </c>
      <c r="E382" s="17">
        <f>IF(B382="","",TEXT(B382,"yyyy-mm"))</f>
        <v>0</v>
      </c>
      <c r="L382" s="25">
        <f>IF(OR(K382="",I382="",I382=0),"",K382/I382)</f>
        <v>0</v>
      </c>
      <c r="S382" s="25">
        <f>MonthlyBudget</f>
        <v>0</v>
      </c>
      <c r="T382" s="25">
        <f>IF(B382="","",SUMIFS($K$5:$K$404,$E$5:$E$404,E382))</f>
        <v>0</v>
      </c>
      <c r="U382" s="31">
        <f>IF(B382="","",IF(T382&gt;MonthlyBudget,"Check - over the monthly budget","OK"))</f>
        <v>0</v>
      </c>
      <c r="V382" s="31">
        <f>IF(B382="","",IF(K382="","Add - no amount",IF(Q382="Yes","Wasted",IF(O382="No","Check - unplanned","Purchased"))))</f>
        <v>0</v>
      </c>
    </row>
    <row r="383" spans="1:22">
      <c r="A383" s="39">
        <f>IF(B383="","",SpendPrefix&amp;TEXT(ROW()-4,"0000"))</f>
        <v>0</v>
      </c>
      <c r="C383" s="17">
        <f>IF(B383="","",TEXT(B383,"ddd"))</f>
        <v>0</v>
      </c>
      <c r="D383" s="18">
        <f>IF(B383="","",WEEKNUM(B383,IF(WeekStart="Sunday",1,2)))</f>
        <v>0</v>
      </c>
      <c r="E383" s="17">
        <f>IF(B383="","",TEXT(B383,"yyyy-mm"))</f>
        <v>0</v>
      </c>
      <c r="L383" s="25">
        <f>IF(OR(K383="",I383="",I383=0),"",K383/I383)</f>
        <v>0</v>
      </c>
      <c r="S383" s="25">
        <f>MonthlyBudget</f>
        <v>0</v>
      </c>
      <c r="T383" s="25">
        <f>IF(B383="","",SUMIFS($K$5:$K$404,$E$5:$E$404,E383))</f>
        <v>0</v>
      </c>
      <c r="U383" s="31">
        <f>IF(B383="","",IF(T383&gt;MonthlyBudget,"Check - over the monthly budget","OK"))</f>
        <v>0</v>
      </c>
      <c r="V383" s="31">
        <f>IF(B383="","",IF(K383="","Add - no amount",IF(Q383="Yes","Wasted",IF(O383="No","Check - unplanned","Purchased"))))</f>
        <v>0</v>
      </c>
    </row>
    <row r="384" spans="1:22">
      <c r="A384" s="39">
        <f>IF(B384="","",SpendPrefix&amp;TEXT(ROW()-4,"0000"))</f>
        <v>0</v>
      </c>
      <c r="C384" s="17">
        <f>IF(B384="","",TEXT(B384,"ddd"))</f>
        <v>0</v>
      </c>
      <c r="D384" s="18">
        <f>IF(B384="","",WEEKNUM(B384,IF(WeekStart="Sunday",1,2)))</f>
        <v>0</v>
      </c>
      <c r="E384" s="17">
        <f>IF(B384="","",TEXT(B384,"yyyy-mm"))</f>
        <v>0</v>
      </c>
      <c r="L384" s="25">
        <f>IF(OR(K384="",I384="",I384=0),"",K384/I384)</f>
        <v>0</v>
      </c>
      <c r="S384" s="25">
        <f>MonthlyBudget</f>
        <v>0</v>
      </c>
      <c r="T384" s="25">
        <f>IF(B384="","",SUMIFS($K$5:$K$404,$E$5:$E$404,E384))</f>
        <v>0</v>
      </c>
      <c r="U384" s="31">
        <f>IF(B384="","",IF(T384&gt;MonthlyBudget,"Check - over the monthly budget","OK"))</f>
        <v>0</v>
      </c>
      <c r="V384" s="31">
        <f>IF(B384="","",IF(K384="","Add - no amount",IF(Q384="Yes","Wasted",IF(O384="No","Check - unplanned","Purchased"))))</f>
        <v>0</v>
      </c>
    </row>
    <row r="385" spans="1:22">
      <c r="A385" s="39">
        <f>IF(B385="","",SpendPrefix&amp;TEXT(ROW()-4,"0000"))</f>
        <v>0</v>
      </c>
      <c r="C385" s="17">
        <f>IF(B385="","",TEXT(B385,"ddd"))</f>
        <v>0</v>
      </c>
      <c r="D385" s="18">
        <f>IF(B385="","",WEEKNUM(B385,IF(WeekStart="Sunday",1,2)))</f>
        <v>0</v>
      </c>
      <c r="E385" s="17">
        <f>IF(B385="","",TEXT(B385,"yyyy-mm"))</f>
        <v>0</v>
      </c>
      <c r="L385" s="25">
        <f>IF(OR(K385="",I385="",I385=0),"",K385/I385)</f>
        <v>0</v>
      </c>
      <c r="S385" s="25">
        <f>MonthlyBudget</f>
        <v>0</v>
      </c>
      <c r="T385" s="25">
        <f>IF(B385="","",SUMIFS($K$5:$K$404,$E$5:$E$404,E385))</f>
        <v>0</v>
      </c>
      <c r="U385" s="31">
        <f>IF(B385="","",IF(T385&gt;MonthlyBudget,"Check - over the monthly budget","OK"))</f>
        <v>0</v>
      </c>
      <c r="V385" s="31">
        <f>IF(B385="","",IF(K385="","Add - no amount",IF(Q385="Yes","Wasted",IF(O385="No","Check - unplanned","Purchased"))))</f>
        <v>0</v>
      </c>
    </row>
    <row r="386" spans="1:22">
      <c r="A386" s="39">
        <f>IF(B386="","",SpendPrefix&amp;TEXT(ROW()-4,"0000"))</f>
        <v>0</v>
      </c>
      <c r="C386" s="17">
        <f>IF(B386="","",TEXT(B386,"ddd"))</f>
        <v>0</v>
      </c>
      <c r="D386" s="18">
        <f>IF(B386="","",WEEKNUM(B386,IF(WeekStart="Sunday",1,2)))</f>
        <v>0</v>
      </c>
      <c r="E386" s="17">
        <f>IF(B386="","",TEXT(B386,"yyyy-mm"))</f>
        <v>0</v>
      </c>
      <c r="L386" s="25">
        <f>IF(OR(K386="",I386="",I386=0),"",K386/I386)</f>
        <v>0</v>
      </c>
      <c r="S386" s="25">
        <f>MonthlyBudget</f>
        <v>0</v>
      </c>
      <c r="T386" s="25">
        <f>IF(B386="","",SUMIFS($K$5:$K$404,$E$5:$E$404,E386))</f>
        <v>0</v>
      </c>
      <c r="U386" s="31">
        <f>IF(B386="","",IF(T386&gt;MonthlyBudget,"Check - over the monthly budget","OK"))</f>
        <v>0</v>
      </c>
      <c r="V386" s="31">
        <f>IF(B386="","",IF(K386="","Add - no amount",IF(Q386="Yes","Wasted",IF(O386="No","Check - unplanned","Purchased"))))</f>
        <v>0</v>
      </c>
    </row>
    <row r="387" spans="1:22">
      <c r="A387" s="39">
        <f>IF(B387="","",SpendPrefix&amp;TEXT(ROW()-4,"0000"))</f>
        <v>0</v>
      </c>
      <c r="C387" s="17">
        <f>IF(B387="","",TEXT(B387,"ddd"))</f>
        <v>0</v>
      </c>
      <c r="D387" s="18">
        <f>IF(B387="","",WEEKNUM(B387,IF(WeekStart="Sunday",1,2)))</f>
        <v>0</v>
      </c>
      <c r="E387" s="17">
        <f>IF(B387="","",TEXT(B387,"yyyy-mm"))</f>
        <v>0</v>
      </c>
      <c r="L387" s="25">
        <f>IF(OR(K387="",I387="",I387=0),"",K387/I387)</f>
        <v>0</v>
      </c>
      <c r="S387" s="25">
        <f>MonthlyBudget</f>
        <v>0</v>
      </c>
      <c r="T387" s="25">
        <f>IF(B387="","",SUMIFS($K$5:$K$404,$E$5:$E$404,E387))</f>
        <v>0</v>
      </c>
      <c r="U387" s="31">
        <f>IF(B387="","",IF(T387&gt;MonthlyBudget,"Check - over the monthly budget","OK"))</f>
        <v>0</v>
      </c>
      <c r="V387" s="31">
        <f>IF(B387="","",IF(K387="","Add - no amount",IF(Q387="Yes","Wasted",IF(O387="No","Check - unplanned","Purchased"))))</f>
        <v>0</v>
      </c>
    </row>
    <row r="388" spans="1:22">
      <c r="A388" s="39">
        <f>IF(B388="","",SpendPrefix&amp;TEXT(ROW()-4,"0000"))</f>
        <v>0</v>
      </c>
      <c r="C388" s="17">
        <f>IF(B388="","",TEXT(B388,"ddd"))</f>
        <v>0</v>
      </c>
      <c r="D388" s="18">
        <f>IF(B388="","",WEEKNUM(B388,IF(WeekStart="Sunday",1,2)))</f>
        <v>0</v>
      </c>
      <c r="E388" s="17">
        <f>IF(B388="","",TEXT(B388,"yyyy-mm"))</f>
        <v>0</v>
      </c>
      <c r="L388" s="25">
        <f>IF(OR(K388="",I388="",I388=0),"",K388/I388)</f>
        <v>0</v>
      </c>
      <c r="S388" s="25">
        <f>MonthlyBudget</f>
        <v>0</v>
      </c>
      <c r="T388" s="25">
        <f>IF(B388="","",SUMIFS($K$5:$K$404,$E$5:$E$404,E388))</f>
        <v>0</v>
      </c>
      <c r="U388" s="31">
        <f>IF(B388="","",IF(T388&gt;MonthlyBudget,"Check - over the monthly budget","OK"))</f>
        <v>0</v>
      </c>
      <c r="V388" s="31">
        <f>IF(B388="","",IF(K388="","Add - no amount",IF(Q388="Yes","Wasted",IF(O388="No","Check - unplanned","Purchased"))))</f>
        <v>0</v>
      </c>
    </row>
    <row r="389" spans="1:22">
      <c r="A389" s="39">
        <f>IF(B389="","",SpendPrefix&amp;TEXT(ROW()-4,"0000"))</f>
        <v>0</v>
      </c>
      <c r="C389" s="17">
        <f>IF(B389="","",TEXT(B389,"ddd"))</f>
        <v>0</v>
      </c>
      <c r="D389" s="18">
        <f>IF(B389="","",WEEKNUM(B389,IF(WeekStart="Sunday",1,2)))</f>
        <v>0</v>
      </c>
      <c r="E389" s="17">
        <f>IF(B389="","",TEXT(B389,"yyyy-mm"))</f>
        <v>0</v>
      </c>
      <c r="L389" s="25">
        <f>IF(OR(K389="",I389="",I389=0),"",K389/I389)</f>
        <v>0</v>
      </c>
      <c r="S389" s="25">
        <f>MonthlyBudget</f>
        <v>0</v>
      </c>
      <c r="T389" s="25">
        <f>IF(B389="","",SUMIFS($K$5:$K$404,$E$5:$E$404,E389))</f>
        <v>0</v>
      </c>
      <c r="U389" s="31">
        <f>IF(B389="","",IF(T389&gt;MonthlyBudget,"Check - over the monthly budget","OK"))</f>
        <v>0</v>
      </c>
      <c r="V389" s="31">
        <f>IF(B389="","",IF(K389="","Add - no amount",IF(Q389="Yes","Wasted",IF(O389="No","Check - unplanned","Purchased"))))</f>
        <v>0</v>
      </c>
    </row>
    <row r="390" spans="1:22">
      <c r="A390" s="39">
        <f>IF(B390="","",SpendPrefix&amp;TEXT(ROW()-4,"0000"))</f>
        <v>0</v>
      </c>
      <c r="C390" s="17">
        <f>IF(B390="","",TEXT(B390,"ddd"))</f>
        <v>0</v>
      </c>
      <c r="D390" s="18">
        <f>IF(B390="","",WEEKNUM(B390,IF(WeekStart="Sunday",1,2)))</f>
        <v>0</v>
      </c>
      <c r="E390" s="17">
        <f>IF(B390="","",TEXT(B390,"yyyy-mm"))</f>
        <v>0</v>
      </c>
      <c r="L390" s="25">
        <f>IF(OR(K390="",I390="",I390=0),"",K390/I390)</f>
        <v>0</v>
      </c>
      <c r="S390" s="25">
        <f>MonthlyBudget</f>
        <v>0</v>
      </c>
      <c r="T390" s="25">
        <f>IF(B390="","",SUMIFS($K$5:$K$404,$E$5:$E$404,E390))</f>
        <v>0</v>
      </c>
      <c r="U390" s="31">
        <f>IF(B390="","",IF(T390&gt;MonthlyBudget,"Check - over the monthly budget","OK"))</f>
        <v>0</v>
      </c>
      <c r="V390" s="31">
        <f>IF(B390="","",IF(K390="","Add - no amount",IF(Q390="Yes","Wasted",IF(O390="No","Check - unplanned","Purchased"))))</f>
        <v>0</v>
      </c>
    </row>
    <row r="391" spans="1:22">
      <c r="A391" s="39">
        <f>IF(B391="","",SpendPrefix&amp;TEXT(ROW()-4,"0000"))</f>
        <v>0</v>
      </c>
      <c r="C391" s="17">
        <f>IF(B391="","",TEXT(B391,"ddd"))</f>
        <v>0</v>
      </c>
      <c r="D391" s="18">
        <f>IF(B391="","",WEEKNUM(B391,IF(WeekStart="Sunday",1,2)))</f>
        <v>0</v>
      </c>
      <c r="E391" s="17">
        <f>IF(B391="","",TEXT(B391,"yyyy-mm"))</f>
        <v>0</v>
      </c>
      <c r="L391" s="25">
        <f>IF(OR(K391="",I391="",I391=0),"",K391/I391)</f>
        <v>0</v>
      </c>
      <c r="S391" s="25">
        <f>MonthlyBudget</f>
        <v>0</v>
      </c>
      <c r="T391" s="25">
        <f>IF(B391="","",SUMIFS($K$5:$K$404,$E$5:$E$404,E391))</f>
        <v>0</v>
      </c>
      <c r="U391" s="31">
        <f>IF(B391="","",IF(T391&gt;MonthlyBudget,"Check - over the monthly budget","OK"))</f>
        <v>0</v>
      </c>
      <c r="V391" s="31">
        <f>IF(B391="","",IF(K391="","Add - no amount",IF(Q391="Yes","Wasted",IF(O391="No","Check - unplanned","Purchased"))))</f>
        <v>0</v>
      </c>
    </row>
    <row r="392" spans="1:22">
      <c r="A392" s="39">
        <f>IF(B392="","",SpendPrefix&amp;TEXT(ROW()-4,"0000"))</f>
        <v>0</v>
      </c>
      <c r="C392" s="17">
        <f>IF(B392="","",TEXT(B392,"ddd"))</f>
        <v>0</v>
      </c>
      <c r="D392" s="18">
        <f>IF(B392="","",WEEKNUM(B392,IF(WeekStart="Sunday",1,2)))</f>
        <v>0</v>
      </c>
      <c r="E392" s="17">
        <f>IF(B392="","",TEXT(B392,"yyyy-mm"))</f>
        <v>0</v>
      </c>
      <c r="L392" s="25">
        <f>IF(OR(K392="",I392="",I392=0),"",K392/I392)</f>
        <v>0</v>
      </c>
      <c r="S392" s="25">
        <f>MonthlyBudget</f>
        <v>0</v>
      </c>
      <c r="T392" s="25">
        <f>IF(B392="","",SUMIFS($K$5:$K$404,$E$5:$E$404,E392))</f>
        <v>0</v>
      </c>
      <c r="U392" s="31">
        <f>IF(B392="","",IF(T392&gt;MonthlyBudget,"Check - over the monthly budget","OK"))</f>
        <v>0</v>
      </c>
      <c r="V392" s="31">
        <f>IF(B392="","",IF(K392="","Add - no amount",IF(Q392="Yes","Wasted",IF(O392="No","Check - unplanned","Purchased"))))</f>
        <v>0</v>
      </c>
    </row>
    <row r="393" spans="1:22">
      <c r="A393" s="39">
        <f>IF(B393="","",SpendPrefix&amp;TEXT(ROW()-4,"0000"))</f>
        <v>0</v>
      </c>
      <c r="C393" s="17">
        <f>IF(B393="","",TEXT(B393,"ddd"))</f>
        <v>0</v>
      </c>
      <c r="D393" s="18">
        <f>IF(B393="","",WEEKNUM(B393,IF(WeekStart="Sunday",1,2)))</f>
        <v>0</v>
      </c>
      <c r="E393" s="17">
        <f>IF(B393="","",TEXT(B393,"yyyy-mm"))</f>
        <v>0</v>
      </c>
      <c r="L393" s="25">
        <f>IF(OR(K393="",I393="",I393=0),"",K393/I393)</f>
        <v>0</v>
      </c>
      <c r="S393" s="25">
        <f>MonthlyBudget</f>
        <v>0</v>
      </c>
      <c r="T393" s="25">
        <f>IF(B393="","",SUMIFS($K$5:$K$404,$E$5:$E$404,E393))</f>
        <v>0</v>
      </c>
      <c r="U393" s="31">
        <f>IF(B393="","",IF(T393&gt;MonthlyBudget,"Check - over the monthly budget","OK"))</f>
        <v>0</v>
      </c>
      <c r="V393" s="31">
        <f>IF(B393="","",IF(K393="","Add - no amount",IF(Q393="Yes","Wasted",IF(O393="No","Check - unplanned","Purchased"))))</f>
        <v>0</v>
      </c>
    </row>
    <row r="394" spans="1:22">
      <c r="A394" s="39">
        <f>IF(B394="","",SpendPrefix&amp;TEXT(ROW()-4,"0000"))</f>
        <v>0</v>
      </c>
      <c r="C394" s="17">
        <f>IF(B394="","",TEXT(B394,"ddd"))</f>
        <v>0</v>
      </c>
      <c r="D394" s="18">
        <f>IF(B394="","",WEEKNUM(B394,IF(WeekStart="Sunday",1,2)))</f>
        <v>0</v>
      </c>
      <c r="E394" s="17">
        <f>IF(B394="","",TEXT(B394,"yyyy-mm"))</f>
        <v>0</v>
      </c>
      <c r="L394" s="25">
        <f>IF(OR(K394="",I394="",I394=0),"",K394/I394)</f>
        <v>0</v>
      </c>
      <c r="S394" s="25">
        <f>MonthlyBudget</f>
        <v>0</v>
      </c>
      <c r="T394" s="25">
        <f>IF(B394="","",SUMIFS($K$5:$K$404,$E$5:$E$404,E394))</f>
        <v>0</v>
      </c>
      <c r="U394" s="31">
        <f>IF(B394="","",IF(T394&gt;MonthlyBudget,"Check - over the monthly budget","OK"))</f>
        <v>0</v>
      </c>
      <c r="V394" s="31">
        <f>IF(B394="","",IF(K394="","Add - no amount",IF(Q394="Yes","Wasted",IF(O394="No","Check - unplanned","Purchased"))))</f>
        <v>0</v>
      </c>
    </row>
    <row r="395" spans="1:22">
      <c r="A395" s="39">
        <f>IF(B395="","",SpendPrefix&amp;TEXT(ROW()-4,"0000"))</f>
        <v>0</v>
      </c>
      <c r="C395" s="17">
        <f>IF(B395="","",TEXT(B395,"ddd"))</f>
        <v>0</v>
      </c>
      <c r="D395" s="18">
        <f>IF(B395="","",WEEKNUM(B395,IF(WeekStart="Sunday",1,2)))</f>
        <v>0</v>
      </c>
      <c r="E395" s="17">
        <f>IF(B395="","",TEXT(B395,"yyyy-mm"))</f>
        <v>0</v>
      </c>
      <c r="L395" s="25">
        <f>IF(OR(K395="",I395="",I395=0),"",K395/I395)</f>
        <v>0</v>
      </c>
      <c r="S395" s="25">
        <f>MonthlyBudget</f>
        <v>0</v>
      </c>
      <c r="T395" s="25">
        <f>IF(B395="","",SUMIFS($K$5:$K$404,$E$5:$E$404,E395))</f>
        <v>0</v>
      </c>
      <c r="U395" s="31">
        <f>IF(B395="","",IF(T395&gt;MonthlyBudget,"Check - over the monthly budget","OK"))</f>
        <v>0</v>
      </c>
      <c r="V395" s="31">
        <f>IF(B395="","",IF(K395="","Add - no amount",IF(Q395="Yes","Wasted",IF(O395="No","Check - unplanned","Purchased"))))</f>
        <v>0</v>
      </c>
    </row>
    <row r="396" spans="1:22">
      <c r="A396" s="39">
        <f>IF(B396="","",SpendPrefix&amp;TEXT(ROW()-4,"0000"))</f>
        <v>0</v>
      </c>
      <c r="C396" s="17">
        <f>IF(B396="","",TEXT(B396,"ddd"))</f>
        <v>0</v>
      </c>
      <c r="D396" s="18">
        <f>IF(B396="","",WEEKNUM(B396,IF(WeekStart="Sunday",1,2)))</f>
        <v>0</v>
      </c>
      <c r="E396" s="17">
        <f>IF(B396="","",TEXT(B396,"yyyy-mm"))</f>
        <v>0</v>
      </c>
      <c r="L396" s="25">
        <f>IF(OR(K396="",I396="",I396=0),"",K396/I396)</f>
        <v>0</v>
      </c>
      <c r="S396" s="25">
        <f>MonthlyBudget</f>
        <v>0</v>
      </c>
      <c r="T396" s="25">
        <f>IF(B396="","",SUMIFS($K$5:$K$404,$E$5:$E$404,E396))</f>
        <v>0</v>
      </c>
      <c r="U396" s="31">
        <f>IF(B396="","",IF(T396&gt;MonthlyBudget,"Check - over the monthly budget","OK"))</f>
        <v>0</v>
      </c>
      <c r="V396" s="31">
        <f>IF(B396="","",IF(K396="","Add - no amount",IF(Q396="Yes","Wasted",IF(O396="No","Check - unplanned","Purchased"))))</f>
        <v>0</v>
      </c>
    </row>
    <row r="397" spans="1:22">
      <c r="A397" s="39">
        <f>IF(B397="","",SpendPrefix&amp;TEXT(ROW()-4,"0000"))</f>
        <v>0</v>
      </c>
      <c r="C397" s="17">
        <f>IF(B397="","",TEXT(B397,"ddd"))</f>
        <v>0</v>
      </c>
      <c r="D397" s="18">
        <f>IF(B397="","",WEEKNUM(B397,IF(WeekStart="Sunday",1,2)))</f>
        <v>0</v>
      </c>
      <c r="E397" s="17">
        <f>IF(B397="","",TEXT(B397,"yyyy-mm"))</f>
        <v>0</v>
      </c>
      <c r="L397" s="25">
        <f>IF(OR(K397="",I397="",I397=0),"",K397/I397)</f>
        <v>0</v>
      </c>
      <c r="S397" s="25">
        <f>MonthlyBudget</f>
        <v>0</v>
      </c>
      <c r="T397" s="25">
        <f>IF(B397="","",SUMIFS($K$5:$K$404,$E$5:$E$404,E397))</f>
        <v>0</v>
      </c>
      <c r="U397" s="31">
        <f>IF(B397="","",IF(T397&gt;MonthlyBudget,"Check - over the monthly budget","OK"))</f>
        <v>0</v>
      </c>
      <c r="V397" s="31">
        <f>IF(B397="","",IF(K397="","Add - no amount",IF(Q397="Yes","Wasted",IF(O397="No","Check - unplanned","Purchased"))))</f>
        <v>0</v>
      </c>
    </row>
    <row r="398" spans="1:22">
      <c r="A398" s="39">
        <f>IF(B398="","",SpendPrefix&amp;TEXT(ROW()-4,"0000"))</f>
        <v>0</v>
      </c>
      <c r="C398" s="17">
        <f>IF(B398="","",TEXT(B398,"ddd"))</f>
        <v>0</v>
      </c>
      <c r="D398" s="18">
        <f>IF(B398="","",WEEKNUM(B398,IF(WeekStart="Sunday",1,2)))</f>
        <v>0</v>
      </c>
      <c r="E398" s="17">
        <f>IF(B398="","",TEXT(B398,"yyyy-mm"))</f>
        <v>0</v>
      </c>
      <c r="L398" s="25">
        <f>IF(OR(K398="",I398="",I398=0),"",K398/I398)</f>
        <v>0</v>
      </c>
      <c r="S398" s="25">
        <f>MonthlyBudget</f>
        <v>0</v>
      </c>
      <c r="T398" s="25">
        <f>IF(B398="","",SUMIFS($K$5:$K$404,$E$5:$E$404,E398))</f>
        <v>0</v>
      </c>
      <c r="U398" s="31">
        <f>IF(B398="","",IF(T398&gt;MonthlyBudget,"Check - over the monthly budget","OK"))</f>
        <v>0</v>
      </c>
      <c r="V398" s="31">
        <f>IF(B398="","",IF(K398="","Add - no amount",IF(Q398="Yes","Wasted",IF(O398="No","Check - unplanned","Purchased"))))</f>
        <v>0</v>
      </c>
    </row>
    <row r="399" spans="1:22">
      <c r="A399" s="39">
        <f>IF(B399="","",SpendPrefix&amp;TEXT(ROW()-4,"0000"))</f>
        <v>0</v>
      </c>
      <c r="C399" s="17">
        <f>IF(B399="","",TEXT(B399,"ddd"))</f>
        <v>0</v>
      </c>
      <c r="D399" s="18">
        <f>IF(B399="","",WEEKNUM(B399,IF(WeekStart="Sunday",1,2)))</f>
        <v>0</v>
      </c>
      <c r="E399" s="17">
        <f>IF(B399="","",TEXT(B399,"yyyy-mm"))</f>
        <v>0</v>
      </c>
      <c r="L399" s="25">
        <f>IF(OR(K399="",I399="",I399=0),"",K399/I399)</f>
        <v>0</v>
      </c>
      <c r="S399" s="25">
        <f>MonthlyBudget</f>
        <v>0</v>
      </c>
      <c r="T399" s="25">
        <f>IF(B399="","",SUMIFS($K$5:$K$404,$E$5:$E$404,E399))</f>
        <v>0</v>
      </c>
      <c r="U399" s="31">
        <f>IF(B399="","",IF(T399&gt;MonthlyBudget,"Check - over the monthly budget","OK"))</f>
        <v>0</v>
      </c>
      <c r="V399" s="31">
        <f>IF(B399="","",IF(K399="","Add - no amount",IF(Q399="Yes","Wasted",IF(O399="No","Check - unplanned","Purchased"))))</f>
        <v>0</v>
      </c>
    </row>
    <row r="400" spans="1:22">
      <c r="A400" s="39">
        <f>IF(B400="","",SpendPrefix&amp;TEXT(ROW()-4,"0000"))</f>
        <v>0</v>
      </c>
      <c r="C400" s="17">
        <f>IF(B400="","",TEXT(B400,"ddd"))</f>
        <v>0</v>
      </c>
      <c r="D400" s="18">
        <f>IF(B400="","",WEEKNUM(B400,IF(WeekStart="Sunday",1,2)))</f>
        <v>0</v>
      </c>
      <c r="E400" s="17">
        <f>IF(B400="","",TEXT(B400,"yyyy-mm"))</f>
        <v>0</v>
      </c>
      <c r="L400" s="25">
        <f>IF(OR(K400="",I400="",I400=0),"",K400/I400)</f>
        <v>0</v>
      </c>
      <c r="S400" s="25">
        <f>MonthlyBudget</f>
        <v>0</v>
      </c>
      <c r="T400" s="25">
        <f>IF(B400="","",SUMIFS($K$5:$K$404,$E$5:$E$404,E400))</f>
        <v>0</v>
      </c>
      <c r="U400" s="31">
        <f>IF(B400="","",IF(T400&gt;MonthlyBudget,"Check - over the monthly budget","OK"))</f>
        <v>0</v>
      </c>
      <c r="V400" s="31">
        <f>IF(B400="","",IF(K400="","Add - no amount",IF(Q400="Yes","Wasted",IF(O400="No","Check - unplanned","Purchased"))))</f>
        <v>0</v>
      </c>
    </row>
    <row r="401" spans="1:23">
      <c r="A401" s="39">
        <f>IF(B401="","",SpendPrefix&amp;TEXT(ROW()-4,"0000"))</f>
        <v>0</v>
      </c>
      <c r="C401" s="17">
        <f>IF(B401="","",TEXT(B401,"ddd"))</f>
        <v>0</v>
      </c>
      <c r="D401" s="18">
        <f>IF(B401="","",WEEKNUM(B401,IF(WeekStart="Sunday",1,2)))</f>
        <v>0</v>
      </c>
      <c r="E401" s="17">
        <f>IF(B401="","",TEXT(B401,"yyyy-mm"))</f>
        <v>0</v>
      </c>
      <c r="L401" s="25">
        <f>IF(OR(K401="",I401="",I401=0),"",K401/I401)</f>
        <v>0</v>
      </c>
      <c r="S401" s="25">
        <f>MonthlyBudget</f>
        <v>0</v>
      </c>
      <c r="T401" s="25">
        <f>IF(B401="","",SUMIFS($K$5:$K$404,$E$5:$E$404,E401))</f>
        <v>0</v>
      </c>
      <c r="U401" s="31">
        <f>IF(B401="","",IF(T401&gt;MonthlyBudget,"Check - over the monthly budget","OK"))</f>
        <v>0</v>
      </c>
      <c r="V401" s="31">
        <f>IF(B401="","",IF(K401="","Add - no amount",IF(Q401="Yes","Wasted",IF(O401="No","Check - unplanned","Purchased"))))</f>
        <v>0</v>
      </c>
    </row>
    <row r="402" spans="1:23">
      <c r="A402" s="39">
        <f>IF(B402="","",SpendPrefix&amp;TEXT(ROW()-4,"0000"))</f>
        <v>0</v>
      </c>
      <c r="C402" s="17">
        <f>IF(B402="","",TEXT(B402,"ddd"))</f>
        <v>0</v>
      </c>
      <c r="D402" s="18">
        <f>IF(B402="","",WEEKNUM(B402,IF(WeekStart="Sunday",1,2)))</f>
        <v>0</v>
      </c>
      <c r="E402" s="17">
        <f>IF(B402="","",TEXT(B402,"yyyy-mm"))</f>
        <v>0</v>
      </c>
      <c r="L402" s="25">
        <f>IF(OR(K402="",I402="",I402=0),"",K402/I402)</f>
        <v>0</v>
      </c>
      <c r="S402" s="25">
        <f>MonthlyBudget</f>
        <v>0</v>
      </c>
      <c r="T402" s="25">
        <f>IF(B402="","",SUMIFS($K$5:$K$404,$E$5:$E$404,E402))</f>
        <v>0</v>
      </c>
      <c r="U402" s="31">
        <f>IF(B402="","",IF(T402&gt;MonthlyBudget,"Check - over the monthly budget","OK"))</f>
        <v>0</v>
      </c>
      <c r="V402" s="31">
        <f>IF(B402="","",IF(K402="","Add - no amount",IF(Q402="Yes","Wasted",IF(O402="No","Check - unplanned","Purchased"))))</f>
        <v>0</v>
      </c>
    </row>
    <row r="403" spans="1:23">
      <c r="A403" s="39">
        <f>IF(B403="","",SpendPrefix&amp;TEXT(ROW()-4,"0000"))</f>
        <v>0</v>
      </c>
      <c r="C403" s="17">
        <f>IF(B403="","",TEXT(B403,"ddd"))</f>
        <v>0</v>
      </c>
      <c r="D403" s="18">
        <f>IF(B403="","",WEEKNUM(B403,IF(WeekStart="Sunday",1,2)))</f>
        <v>0</v>
      </c>
      <c r="E403" s="17">
        <f>IF(B403="","",TEXT(B403,"yyyy-mm"))</f>
        <v>0</v>
      </c>
      <c r="L403" s="25">
        <f>IF(OR(K403="",I403="",I403=0),"",K403/I403)</f>
        <v>0</v>
      </c>
      <c r="S403" s="25">
        <f>MonthlyBudget</f>
        <v>0</v>
      </c>
      <c r="T403" s="25">
        <f>IF(B403="","",SUMIFS($K$5:$K$404,$E$5:$E$404,E403))</f>
        <v>0</v>
      </c>
      <c r="U403" s="31">
        <f>IF(B403="","",IF(T403&gt;MonthlyBudget,"Check - over the monthly budget","OK"))</f>
        <v>0</v>
      </c>
      <c r="V403" s="31">
        <f>IF(B403="","",IF(K403="","Add - no amount",IF(Q403="Yes","Wasted",IF(O403="No","Check - unplanned","Purchased"))))</f>
        <v>0</v>
      </c>
    </row>
    <row r="404" spans="1:23">
      <c r="A404" s="39">
        <f>IF(B404="","",SpendPrefix&amp;TEXT(ROW()-4,"0000"))</f>
        <v>0</v>
      </c>
      <c r="C404" s="17">
        <f>IF(B404="","",TEXT(B404,"ddd"))</f>
        <v>0</v>
      </c>
      <c r="D404" s="18">
        <f>IF(B404="","",WEEKNUM(B404,IF(WeekStart="Sunday",1,2)))</f>
        <v>0</v>
      </c>
      <c r="E404" s="17">
        <f>IF(B404="","",TEXT(B404,"yyyy-mm"))</f>
        <v>0</v>
      </c>
      <c r="L404" s="25">
        <f>IF(OR(K404="",I404="",I404=0),"",K404/I404)</f>
        <v>0</v>
      </c>
      <c r="S404" s="25">
        <f>MonthlyBudget</f>
        <v>0</v>
      </c>
      <c r="T404" s="25">
        <f>IF(B404="","",SUMIFS($K$5:$K$404,$E$5:$E$404,E404))</f>
        <v>0</v>
      </c>
      <c r="U404" s="31">
        <f>IF(B404="","",IF(T404&gt;MonthlyBudget,"Check - over the monthly budget","OK"))</f>
        <v>0</v>
      </c>
      <c r="V404" s="31">
        <f>IF(B404="","",IF(K404="","Add - no amount",IF(Q404="Yes","Wasted",IF(O404="No","Check - unplanned","Purchased"))))</f>
        <v>0</v>
      </c>
    </row>
    <row r="406" spans="1:23" ht="20" customHeight="1">
      <c r="A406" s="7" t="s">
        <v>1527</v>
      </c>
      <c r="B406" s="7"/>
      <c r="C406" s="7"/>
      <c r="D406" s="7"/>
      <c r="E406" s="7"/>
      <c r="F406" s="7"/>
      <c r="G406" s="7"/>
      <c r="H406" s="7"/>
      <c r="I406" s="7"/>
      <c r="J406" s="7"/>
      <c r="K406" s="7"/>
      <c r="L406" s="7"/>
      <c r="M406" s="7"/>
      <c r="N406" s="7"/>
      <c r="O406" s="7"/>
      <c r="P406" s="7"/>
      <c r="Q406" s="7"/>
      <c r="R406" s="7"/>
      <c r="S406" s="7"/>
      <c r="T406" s="7"/>
      <c r="U406" s="7"/>
      <c r="V406" s="7"/>
      <c r="W406" s="7"/>
    </row>
    <row r="407" spans="1:23" ht="26" customHeight="1">
      <c r="A407" s="8" t="s">
        <v>1528</v>
      </c>
      <c r="B407" s="9" t="s">
        <v>1278</v>
      </c>
      <c r="C407" s="9" t="s">
        <v>1186</v>
      </c>
      <c r="D407" s="9" t="s">
        <v>196</v>
      </c>
      <c r="E407" s="9" t="s">
        <v>1529</v>
      </c>
      <c r="F407" s="9" t="s">
        <v>143</v>
      </c>
      <c r="G407" s="9" t="s">
        <v>1297</v>
      </c>
      <c r="H407" s="9" t="s">
        <v>1290</v>
      </c>
    </row>
    <row r="408" spans="1:23">
      <c r="A408" s="18">
        <f>COUNTIF('Grocery Spending'!$B$5:$B$404,"&gt;0")</f>
        <v>0</v>
      </c>
      <c r="B408" s="25">
        <f>SUM('Grocery Spending'!$K$5:$K$404)</f>
        <v>0</v>
      </c>
      <c r="C408" s="25">
        <f>SUMIFS('Grocery Spending'!$K$5:$K$404,'Grocery Spending'!$E$5:$E$404,TEXT(TODAY(),"yyyy-mm"))</f>
        <v>0</v>
      </c>
      <c r="D408" s="25">
        <f>MonthlyBudget</f>
        <v>0</v>
      </c>
      <c r="E408" s="25">
        <f>MonthlyBudget-SUMIFS('Grocery Spending'!$K$5:$K$404,'Grocery Spending'!$E$5:$E$404,TEXT(TODAY(),"yyyy-mm"))</f>
        <v>0</v>
      </c>
      <c r="F408" s="25">
        <f>SUMIFS('Grocery Spending'!$K$5:$K$404,'Grocery Spending'!$G$5:$G$404,"Eating out")+SUMIFS('Grocery Spending'!$K$5:$K$404,'Grocery Spending'!$G$5:$G$404,"Takeaway")</f>
        <v>0</v>
      </c>
      <c r="G408" s="18">
        <f>COUNTIF('Grocery Spending'!$O$5:$O$404,"No")</f>
        <v>0</v>
      </c>
      <c r="H408" s="25">
        <f>IFERROR(AVERAGEIFS('Grocery Spending'!$K$5:$K$404,'Grocery Spending'!$G$5:$G$404,"Weekly shop"),"")</f>
        <v>0</v>
      </c>
    </row>
  </sheetData>
  <sheetProtection password="EC7C" sheet="1" objects="1" scenarios="1" formatCells="0" formatColumns="0" formatRows="0" insertRows="0" insertHyperlinks="0" deleteRows="0" autoFilter="0"/>
  <autoFilter ref="A4:W404"/>
  <mergeCells count="14">
    <mergeCell ref="A1:T1"/>
    <mergeCell ref="U1:W1"/>
    <mergeCell ref="A2:W2"/>
    <mergeCell ref="A3:B3"/>
    <mergeCell ref="C3:D3"/>
    <mergeCell ref="E3:F3"/>
    <mergeCell ref="G3:H3"/>
    <mergeCell ref="I3:J3"/>
    <mergeCell ref="K3:L3"/>
    <mergeCell ref="M3:N3"/>
    <mergeCell ref="O3:P3"/>
    <mergeCell ref="Q3:R3"/>
    <mergeCell ref="S3:W3"/>
    <mergeCell ref="A406:W406"/>
  </mergeCells>
  <conditionalFormatting sqref="E408">
    <cfRule type="cellIs" dxfId="2" priority="43" operator="lessThan">
      <formula>0</formula>
    </cfRule>
    <cfRule type="cellIs" dxfId="1" priority="44" operator="greaterThanOrEqual">
      <formula>0</formula>
    </cfRule>
  </conditionalFormatting>
  <conditionalFormatting sqref="U5:U404">
    <cfRule type="beginsWith" dxfId="1" priority="1" operator="beginsWith" text="OK">
      <formula>LEFT(U5,2)="OK"</formula>
    </cfRule>
    <cfRule type="containsText" dxfId="2" priority="2" operator="containsText" text="Overdue">
      <formula>NOT(ISERROR(SEARCH("Overdue",U5)))</formula>
    </cfRule>
    <cfRule type="containsText" dxfId="2" priority="3" operator="containsText" text="Late">
      <formula>NOT(ISERROR(SEARCH("Late",U5)))</formula>
    </cfRule>
    <cfRule type="containsText" dxfId="2" priority="4" operator="containsText" text="Missing">
      <formula>NOT(ISERROR(SEARCH("Missing",U5)))</formula>
    </cfRule>
    <cfRule type="containsText" dxfId="2" priority="5" operator="containsText" text="Conflict">
      <formula>NOT(ISERROR(SEARCH("Conflict",U5)))</formula>
    </cfRule>
    <cfRule type="containsText" dxfId="2" priority="6" operator="containsText" text="Expired">
      <formula>NOT(ISERROR(SEARCH("Expired",U5)))</formula>
    </cfRule>
    <cfRule type="containsText" dxfId="2" priority="7" operator="containsText" text="Duplicate">
      <formula>NOT(ISERROR(SEARCH("Duplicate",U5)))</formula>
    </cfRule>
    <cfRule type="containsText" dxfId="0" priority="8" operator="containsText" text="Action">
      <formula>NOT(ISERROR(SEARCH("Action",U5)))</formula>
    </cfRule>
    <cfRule type="containsText" dxfId="0" priority="9" operator="containsText" text="Due">
      <formula>NOT(ISERROR(SEARCH("Due",U5)))</formula>
    </cfRule>
    <cfRule type="containsText" dxfId="0" priority="10" operator="containsText" text="Check">
      <formula>NOT(ISERROR(SEARCH("Check",U5)))</formula>
    </cfRule>
    <cfRule type="containsText" dxfId="0" priority="11" operator="containsText" text="Add">
      <formula>NOT(ISERROR(SEARCH("Add",U5)))</formula>
    </cfRule>
    <cfRule type="containsText" dxfId="4" priority="12" operator="containsText" text="Today">
      <formula>NOT(ISERROR(SEARCH("Today",U5)))</formula>
    </cfRule>
    <cfRule type="containsText" dxfId="4" priority="13" operator="containsText" text="Upcoming">
      <formula>NOT(ISERROR(SEARCH("Upcoming",U5)))</formula>
    </cfRule>
  </conditionalFormatting>
  <conditionalFormatting sqref="V5:V404">
    <cfRule type="containsText" dxfId="1" priority="14" operator="containsText" text="Prepared">
      <formula>NOT(ISERROR(SEARCH("Prepared",V5)))</formula>
    </cfRule>
    <cfRule type="containsText" dxfId="1" priority="15" operator="containsText" text="Cooked">
      <formula>NOT(ISERROR(SEARCH("Cooked",V5)))</formula>
    </cfRule>
    <cfRule type="containsText" dxfId="1" priority="16" operator="containsText" text="Eaten">
      <formula>NOT(ISERROR(SEARCH("Eaten",V5)))</formula>
    </cfRule>
    <cfRule type="containsText" dxfId="1" priority="17" operator="containsText" text="Bought">
      <formula>NOT(ISERROR(SEARCH("Bought",V5)))</formula>
    </cfRule>
    <cfRule type="containsText" dxfId="1" priority="18" operator="containsText" text="Purchased">
      <formula>NOT(ISERROR(SEARCH("Purchased",V5)))</formula>
    </cfRule>
    <cfRule type="containsText" dxfId="1" priority="19" operator="containsText" text="Done">
      <formula>NOT(ISERROR(SEARCH("Done",V5)))</formula>
    </cfRule>
    <cfRule type="containsText" dxfId="1" priority="20" operator="containsText" text="Complete">
      <formula>NOT(ISERROR(SEARCH("Complete",V5)))</formula>
    </cfRule>
    <cfRule type="containsText" dxfId="1" priority="21" operator="containsText" text="In stock">
      <formula>NOT(ISERROR(SEARCH("In stock",V5)))</formula>
    </cfRule>
    <cfRule type="containsText" dxfId="1" priority="22" operator="containsText" text="Yes">
      <formula>NOT(ISERROR(SEARCH("Yes",V5)))</formula>
    </cfRule>
    <cfRule type="containsText" dxfId="4" priority="23" operator="containsText" text="Planned">
      <formula>NOT(ISERROR(SEARCH("Planned",V5)))</formula>
    </cfRule>
    <cfRule type="containsText" dxfId="4" priority="24" operator="containsText" text="Scheduled">
      <formula>NOT(ISERROR(SEARCH("Scheduled",V5)))</formula>
    </cfRule>
    <cfRule type="containsText" dxfId="4" priority="25" operator="containsText" text="Shopping">
      <formula>NOT(ISERROR(SEARCH("Shopping",V5)))</formula>
    </cfRule>
    <cfRule type="containsText" dxfId="4" priority="26" operator="containsText" text="On the list">
      <formula>NOT(ISERROR(SEARCH("On the list",V5)))</formula>
    </cfRule>
    <cfRule type="containsText" dxfId="4" priority="27" operator="containsText" text="Prepping">
      <formula>NOT(ISERROR(SEARCH("Prepping",V5)))</formula>
    </cfRule>
    <cfRule type="containsText" dxfId="4" priority="28" operator="containsText" text="Frozen">
      <formula>NOT(ISERROR(SEARCH("Frozen",V5)))</formula>
    </cfRule>
    <cfRule type="containsText" dxfId="0" priority="29" operator="containsText" text="To do">
      <formula>NOT(ISERROR(SEARCH("To do",V5)))</formula>
    </cfRule>
    <cfRule type="containsText" dxfId="0" priority="30" operator="containsText" text="Not started">
      <formula>NOT(ISERROR(SEARCH("Not started",V5)))</formula>
    </cfRule>
    <cfRule type="containsText" dxfId="0" priority="31" operator="containsText" text="Low stock">
      <formula>NOT(ISERROR(SEARCH("Low stock",V5)))</formula>
    </cfRule>
    <cfRule type="containsText" dxfId="0" priority="32" operator="containsText" text="Use soon">
      <formula>NOT(ISERROR(SEARCH("Use soon",V5)))</formula>
    </cfRule>
    <cfRule type="containsText" dxfId="0" priority="33" operator="containsText" text="Defrosting">
      <formula>NOT(ISERROR(SEARCH("Defrosting",V5)))</formula>
    </cfRule>
    <cfRule type="containsText" dxfId="0" priority="34" operator="containsText" text="Substituted">
      <formula>NOT(ISERROR(SEARCH("Substituted",V5)))</formula>
    </cfRule>
    <cfRule type="containsText" dxfId="2" priority="35" operator="containsText" text="Out of stock">
      <formula>NOT(ISERROR(SEARCH("Out of stock",V5)))</formula>
    </cfRule>
    <cfRule type="containsText" dxfId="2" priority="36" operator="containsText" text="Expired">
      <formula>NOT(ISERROR(SEARCH("Expired",V5)))</formula>
    </cfRule>
    <cfRule type="containsText" dxfId="2" priority="37" operator="containsText" text="Skipped">
      <formula>NOT(ISERROR(SEARCH("Skipped",V5)))</formula>
    </cfRule>
    <cfRule type="containsText" dxfId="2" priority="38" operator="containsText" text="Binned">
      <formula>NOT(ISERROR(SEARCH("Binned",V5)))</formula>
    </cfRule>
    <cfRule type="containsText" dxfId="2" priority="39" operator="containsText" text="Wasted">
      <formula>NOT(ISERROR(SEARCH("Wasted",V5)))</formula>
    </cfRule>
    <cfRule type="containsText" dxfId="2" priority="40" operator="containsText" text="Cancelled">
      <formula>NOT(ISERROR(SEARCH("Cancelled",V5)))</formula>
    </cfRule>
    <cfRule type="containsText" dxfId="3" priority="41" operator="containsText" text="Archived">
      <formula>NOT(ISERROR(SEARCH("Archived",V5)))</formula>
    </cfRule>
    <cfRule type="containsText" dxfId="3" priority="42" operator="containsText" text="Not needed">
      <formula>NOT(ISERROR(SEARCH("Not needed",V5)))</formula>
    </cfRule>
  </conditionalFormatting>
  <dataValidations count="12">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sqref="F5:F404">
      <formula1>StoreNames</formula1>
    </dataValidation>
    <dataValidation type="list" allowBlank="1" showInputMessage="1" showErrorMessage="1" promptTitle="Type of spend" prompt="Weekly shop, top-up, takeaway, eating out, treat. The budget splits on this." sqref="G5:G404">
      <formula1>SpendTypeList</formula1>
    </dataValidation>
    <dataValidation type="list" allowBlank="1" showInputMessage="1" showErrorMessage="1" promptTitle="Item or description" prompt="Pick an ingredient to track its price over time, or just type 'weekly shop'." sqref="H5:H404">
      <formula1>IngredientNames</formula1>
    </dataValidation>
    <dataValidation type="decimal" allowBlank="1" showInputMessage="1" showErrorMessage="1" errorTitle="Check the value" error="Enter a number between 0 and 100000." sqref="I5:I404">
      <formula1>0</formula1>
      <formula2>100000</formula2>
    </dataValidation>
    <dataValidation type="list" allowBlank="1" showInputMessage="1" showErrorMessage="1" sqref="J5:J404">
      <formula1>UnitList</formula1>
    </dataValidation>
    <dataValidation type="decimal" allowBlank="1" showInputMessage="1" showErrorMessage="1" errorTitle="Check the value" error="Enter a number between 0 and 1000000." promptTitle="Amount" prompt="What left your account." sqref="K5:K404">
      <formula1>0</formula1>
      <formula2>1000000</formula2>
    </dataValidation>
    <dataValidation type="list" allowBlank="1" showInputMessage="1" showErrorMessage="1" sqref="M5:M404">
      <formula1>MemberNames</formula1>
    </dataValidation>
    <dataValidation type="list" allowBlank="1" showInputMessage="1" showErrorMessage="1" sqref="N5:N404">
      <formula1>PaymentList</formula1>
    </dataValidation>
    <dataValidation type="list" allowBlank="1" showInputMessage="1" showErrorMessage="1" promptTitle="Planned?" prompt="No means it was an impulse buy - the dashboard counts them." sqref="O5:O404">
      <formula1>YesNoList</formula1>
    </dataValidation>
    <dataValidation type="list" allowBlank="1" showInputMessage="1" showErrorMessage="1" sqref="P5:P404">
      <formula1>BudgetLineList</formula1>
    </dataValidation>
    <dataValidation type="list" allowBlank="1" showInputMessage="1" showErrorMessage="1" promptTitle="Thrown away?" prompt="Set to Yes if this one ended up in the bin - it feeds the waste report." sqref="Q5:Q4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&amp;L&amp;"Calibri,Bold"&amp;12&amp;C&amp;"Calibri,Bold"&amp;11Grocery Spending&amp;R&amp;"Calibri,Italic"&amp;9Automated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FBE9DC"/>
    <pageSetUpPr fitToPage="1"/>
  </sheetPr>
  <dimension ref="A1:Q310"/>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8.7109375" style="39" customWidth="1"/>
    <col min="2" max="2" width="24.7109375" style="32" customWidth="1"/>
    <col min="3" max="3" width="18.7109375" style="32" customWidth="1"/>
    <col min="4" max="4" width="16.7109375" style="32" customWidth="1"/>
    <col min="5" max="5" width="10.7109375" style="38" customWidth="1"/>
    <col min="6" max="6" width="8.7109375" style="17" customWidth="1"/>
    <col min="7" max="7" width="11.7109375" style="36" customWidth="1"/>
    <col min="8" max="8" width="10.7109375" style="40" customWidth="1"/>
    <col min="9" max="9" width="11.7109375" style="25" hidden="1" customWidth="1"/>
    <col min="10" max="10" width="11.7109375" style="25" customWidth="1"/>
    <col min="11" max="11" width="11.7109375" style="25" hidden="1" customWidth="1"/>
    <col min="12" max="12" width="11.7109375" style="25" customWidth="1"/>
    <col min="13" max="13" width="11.7109375" style="46" customWidth="1"/>
    <col min="14" max="14" width="11.7109375" style="15" customWidth="1"/>
    <col min="15" max="15" width="9.7109375" style="18" customWidth="1"/>
    <col min="16" max="16" width="24.7109375" style="31" customWidth="1"/>
    <col min="17" max="17" width="24.7109375" style="43" customWidth="1"/>
    <col min="1" max="1" width="14.7109375" customWidth="1"/>
    <col min="2" max="2" width="18.7109375" customWidth="1"/>
    <col min="3" max="3" width="16.7109375" customWidth="1"/>
    <col min="4" max="4" width="16.7109375" customWidth="1"/>
    <col min="5" max="5" width="34.7109375" customWidth="1"/>
  </cols>
  <sheetData>
    <row r="1" spans="1:17" ht="34" customHeight="1">
      <c r="A1" s="2" t="s">
        <v>1530</v>
      </c>
      <c r="B1" s="2"/>
      <c r="C1" s="2"/>
      <c r="D1" s="2"/>
      <c r="E1" s="2"/>
      <c r="F1" s="2"/>
      <c r="G1" s="2"/>
      <c r="H1" s="2"/>
      <c r="I1" s="2"/>
      <c r="J1" s="2"/>
      <c r="K1" s="2"/>
      <c r="L1" s="2"/>
      <c r="M1" s="2"/>
      <c r="N1" s="2"/>
      <c r="O1" s="3" t="s">
        <v>1</v>
      </c>
      <c r="P1" s="3"/>
      <c r="Q1" s="3"/>
    </row>
    <row r="2" spans="1:17" ht="18" customHeight="1">
      <c r="A2" s="4" t="s">
        <v>1531</v>
      </c>
      <c r="B2" s="4"/>
      <c r="C2" s="4"/>
      <c r="D2" s="4"/>
      <c r="E2" s="4"/>
      <c r="F2" s="4"/>
      <c r="G2" s="4"/>
      <c r="H2" s="4"/>
      <c r="I2" s="4"/>
      <c r="J2" s="4"/>
      <c r="K2" s="4"/>
      <c r="L2" s="4"/>
      <c r="M2" s="4"/>
      <c r="N2" s="4"/>
      <c r="O2" s="4"/>
      <c r="P2" s="4"/>
      <c r="Q2" s="4"/>
    </row>
    <row r="3" spans="1:17" ht="16" customHeight="1">
      <c r="A3" s="5" t="s">
        <v>3</v>
      </c>
      <c r="B3" s="5"/>
      <c r="C3" s="5" t="s">
        <v>4</v>
      </c>
      <c r="D3" s="5"/>
      <c r="E3" s="5" t="s">
        <v>5</v>
      </c>
      <c r="F3" s="5"/>
      <c r="G3" s="5" t="s">
        <v>6</v>
      </c>
      <c r="H3" s="5"/>
      <c r="I3" s="5" t="s">
        <v>7</v>
      </c>
      <c r="J3" s="5"/>
      <c r="K3" s="5" t="s">
        <v>8</v>
      </c>
      <c r="L3" s="5"/>
      <c r="M3" s="5" t="s">
        <v>704</v>
      </c>
      <c r="N3" s="5"/>
      <c r="O3" s="5" t="s">
        <v>705</v>
      </c>
      <c r="P3" s="5"/>
      <c r="Q3" s="28" t="s">
        <v>157</v>
      </c>
    </row>
    <row r="4" spans="1:17" ht="30" customHeight="1">
      <c r="A4" s="8" t="s">
        <v>708</v>
      </c>
      <c r="B4" s="8" t="s">
        <v>870</v>
      </c>
      <c r="C4" s="9" t="s">
        <v>1059</v>
      </c>
      <c r="D4" s="9" t="s">
        <v>1532</v>
      </c>
      <c r="E4" s="9" t="s">
        <v>983</v>
      </c>
      <c r="F4" s="9" t="s">
        <v>664</v>
      </c>
      <c r="G4" s="9" t="s">
        <v>984</v>
      </c>
      <c r="H4" s="9" t="s">
        <v>1533</v>
      </c>
      <c r="I4" s="9" t="s">
        <v>877</v>
      </c>
      <c r="J4" s="9" t="s">
        <v>985</v>
      </c>
      <c r="K4" s="9" t="s">
        <v>1534</v>
      </c>
      <c r="L4" s="9" t="s">
        <v>1535</v>
      </c>
      <c r="M4" s="9" t="s">
        <v>1536</v>
      </c>
      <c r="N4" s="9" t="s">
        <v>1537</v>
      </c>
      <c r="O4" s="9" t="s">
        <v>1538</v>
      </c>
      <c r="P4" s="9" t="s">
        <v>729</v>
      </c>
      <c r="Q4" s="9" t="s">
        <v>730</v>
      </c>
    </row>
    <row r="5" spans="1:17">
      <c r="A5" s="39">
        <f>IF(B5="","","SP-"&amp;TEXT(ROW()-4,"0000"))</f>
        <v>0</v>
      </c>
      <c r="B5" s="32" t="s">
        <v>926</v>
      </c>
      <c r="C5" s="32" t="s">
        <v>214</v>
      </c>
      <c r="D5" s="32" t="s">
        <v>1539</v>
      </c>
      <c r="E5" s="38">
        <v>600</v>
      </c>
      <c r="F5" s="17">
        <f>IF(B5="","",IFERROR(INDEX(Ingredients!$G$5:$G$304,MATCH(B5,Ingredients!$B$5:$B$304,0)),"Add to Ingredients"))</f>
        <v>0</v>
      </c>
      <c r="G5" s="36">
        <v>6.5</v>
      </c>
      <c r="H5" s="40" t="s">
        <v>312</v>
      </c>
      <c r="I5" s="25">
        <f>IF(OR(G5="",E5="",E5=0),"",G5/E5)</f>
        <v>0</v>
      </c>
      <c r="J5" s="25">
        <f>IF(I5="","",I5*100)</f>
        <v>0</v>
      </c>
      <c r="K5" s="25">
        <f>IF(B5="","",IFERROR(INDEX(Ingredients!$J$5:$J$304,MATCH(B5,Ingredients!$B$5:$B$304,0)),"Add to Ingredients"))</f>
        <v>0</v>
      </c>
      <c r="L5" s="25">
        <f>IF(OR(I5="",K5="",NOT(ISNUMBER(K5))),"",(I5-K5)*100)</f>
        <v>0</v>
      </c>
      <c r="M5" s="46">
        <f>IF(OR(B5="",J5=""),"",IF(I5&lt;=SUMPRODUCT(MIN((('Store Prices'!$B$5:$B$304=B5)*(IFERROR('Store Prices'!$I$5:$I$304*1,0)&gt;0))*IFERROR('Store Prices'!$I$5:$I$304*1,0)+(1-(('Store Prices'!$B$5:$B$304=B5)*(IFERROR('Store Prices'!$I$5:$I$304*1,0)&gt;0)))*999999))+0.0000001,"Yes","No"))</f>
        <v>0</v>
      </c>
      <c r="N5" s="15">
        <v>46267</v>
      </c>
      <c r="O5" s="18">
        <f>IF(N5="","",TODAY()-N5)</f>
        <v>0</v>
      </c>
      <c r="P5" s="31">
        <f>IF(B5="","",IF(G5="","Add - no price",IF(E5="","Add - no pack size",IF(AND(O5&lt;&gt;"",O5&gt;180),"Check - over six months old","OK"))))</f>
        <v>0</v>
      </c>
      <c r="Q5" s="43" t="s">
        <v>157</v>
      </c>
    </row>
    <row r="6" spans="1:17">
      <c r="A6" s="39">
        <f>IF(B6="","","SP-"&amp;TEXT(ROW()-4,"0000"))</f>
        <v>0</v>
      </c>
      <c r="B6" s="32" t="s">
        <v>926</v>
      </c>
      <c r="C6" s="32" t="s">
        <v>1010</v>
      </c>
      <c r="D6" s="32" t="s">
        <v>1012</v>
      </c>
      <c r="E6" s="38">
        <v>600</v>
      </c>
      <c r="F6" s="17">
        <f>IF(B6="","",IFERROR(INDEX(Ingredients!$G$5:$G$304,MATCH(B6,Ingredients!$B$5:$B$304,0)),"Add to Ingredients"))</f>
        <v>0</v>
      </c>
      <c r="G6" s="36">
        <v>5.33</v>
      </c>
      <c r="H6" s="40" t="s">
        <v>312</v>
      </c>
      <c r="I6" s="25">
        <f>IF(OR(G6="",E6="",E6=0),"",G6/E6)</f>
        <v>0</v>
      </c>
      <c r="J6" s="25">
        <f>IF(I6="","",I6*100)</f>
        <v>0</v>
      </c>
      <c r="K6" s="25">
        <f>IF(B6="","",IFERROR(INDEX(Ingredients!$J$5:$J$304,MATCH(B6,Ingredients!$B$5:$B$304,0)),"Add to Ingredients"))</f>
        <v>0</v>
      </c>
      <c r="L6" s="25">
        <f>IF(OR(I6="",K6="",NOT(ISNUMBER(K6))),"",(I6-K6)*100)</f>
        <v>0</v>
      </c>
      <c r="M6" s="46">
        <f>IF(OR(B6="",J6=""),"",IF(I6&lt;=SUMPRODUCT(MIN((('Store Prices'!$B$5:$B$304=B6)*(IFERROR('Store Prices'!$I$5:$I$304*1,0)&gt;0))*IFERROR('Store Prices'!$I$5:$I$304*1,0)+(1-(('Store Prices'!$B$5:$B$304=B6)*(IFERROR('Store Prices'!$I$5:$I$304*1,0)&gt;0)))*999999))+0.0000001,"Yes","No"))</f>
        <v>0</v>
      </c>
      <c r="N6" s="15">
        <v>46258</v>
      </c>
      <c r="O6" s="18">
        <f>IF(N6="","",TODAY()-N6)</f>
        <v>0</v>
      </c>
      <c r="P6" s="31">
        <f>IF(B6="","",IF(G6="","Add - no price",IF(E6="","Add - no pack size",IF(AND(O6&lt;&gt;"",O6&gt;180),"Check - over six months old","OK"))))</f>
        <v>0</v>
      </c>
      <c r="Q6" s="43" t="s">
        <v>157</v>
      </c>
    </row>
    <row r="7" spans="1:17">
      <c r="A7" s="39">
        <f>IF(B7="","","SP-"&amp;TEXT(ROW()-4,"0000"))</f>
        <v>0</v>
      </c>
      <c r="B7" s="32" t="s">
        <v>926</v>
      </c>
      <c r="C7" s="32" t="s">
        <v>1013</v>
      </c>
      <c r="D7" s="32" t="s">
        <v>1539</v>
      </c>
      <c r="E7" s="38">
        <v>600</v>
      </c>
      <c r="F7" s="17">
        <f>IF(B7="","",IFERROR(INDEX(Ingredients!$G$5:$G$304,MATCH(B7,Ingredients!$B$5:$B$304,0)),"Add to Ingredients"))</f>
        <v>0</v>
      </c>
      <c r="G7" s="36">
        <v>8.32</v>
      </c>
      <c r="H7" s="40" t="s">
        <v>312</v>
      </c>
      <c r="I7" s="25">
        <f>IF(OR(G7="",E7="",E7=0),"",G7/E7)</f>
        <v>0</v>
      </c>
      <c r="J7" s="25">
        <f>IF(I7="","",I7*100)</f>
        <v>0</v>
      </c>
      <c r="K7" s="25">
        <f>IF(B7="","",IFERROR(INDEX(Ingredients!$J$5:$J$304,MATCH(B7,Ingredients!$B$5:$B$304,0)),"Add to Ingredients"))</f>
        <v>0</v>
      </c>
      <c r="L7" s="25">
        <f>IF(OR(I7="",K7="",NOT(ISNUMBER(K7))),"",(I7-K7)*100)</f>
        <v>0</v>
      </c>
      <c r="M7" s="46">
        <f>IF(OR(B7="",J7=""),"",IF(I7&lt;=SUMPRODUCT(MIN((('Store Prices'!$B$5:$B$304=B7)*(IFERROR('Store Prices'!$I$5:$I$304*1,0)&gt;0))*IFERROR('Store Prices'!$I$5:$I$304*1,0)+(1-(('Store Prices'!$B$5:$B$304=B7)*(IFERROR('Store Prices'!$I$5:$I$304*1,0)&gt;0)))*999999))+0.0000001,"Yes","No"))</f>
        <v>0</v>
      </c>
      <c r="N7" s="15">
        <v>46287</v>
      </c>
      <c r="O7" s="18">
        <f>IF(N7="","",TODAY()-N7)</f>
        <v>0</v>
      </c>
      <c r="P7" s="31">
        <f>IF(B7="","",IF(G7="","Add - no price",IF(E7="","Add - no pack size",IF(AND(O7&lt;&gt;"",O7&gt;180),"Check - over six months old","OK"))))</f>
        <v>0</v>
      </c>
      <c r="Q7" s="43" t="s">
        <v>157</v>
      </c>
    </row>
    <row r="8" spans="1:17">
      <c r="A8" s="39">
        <f>IF(B8="","","SP-"&amp;TEXT(ROW()-4,"0000"))</f>
        <v>0</v>
      </c>
      <c r="B8" s="32" t="s">
        <v>899</v>
      </c>
      <c r="C8" s="32" t="s">
        <v>214</v>
      </c>
      <c r="D8" s="32" t="s">
        <v>1539</v>
      </c>
      <c r="E8" s="38">
        <v>500</v>
      </c>
      <c r="F8" s="17">
        <f>IF(B8="","",IFERROR(INDEX(Ingredients!$G$5:$G$304,MATCH(B8,Ingredients!$B$5:$B$304,0)),"Add to Ingredients"))</f>
        <v>0</v>
      </c>
      <c r="G8" s="36">
        <v>4.75</v>
      </c>
      <c r="H8" s="40" t="s">
        <v>312</v>
      </c>
      <c r="I8" s="25">
        <f>IF(OR(G8="",E8="",E8=0),"",G8/E8)</f>
        <v>0</v>
      </c>
      <c r="J8" s="25">
        <f>IF(I8="","",I8*100)</f>
        <v>0</v>
      </c>
      <c r="K8" s="25">
        <f>IF(B8="","",IFERROR(INDEX(Ingredients!$J$5:$J$304,MATCH(B8,Ingredients!$B$5:$B$304,0)),"Add to Ingredients"))</f>
        <v>0</v>
      </c>
      <c r="L8" s="25">
        <f>IF(OR(I8="",K8="",NOT(ISNUMBER(K8))),"",(I8-K8)*100)</f>
        <v>0</v>
      </c>
      <c r="M8" s="46">
        <f>IF(OR(B8="",J8=""),"",IF(I8&lt;=SUMPRODUCT(MIN((('Store Prices'!$B$5:$B$304=B8)*(IFERROR('Store Prices'!$I$5:$I$304*1,0)&gt;0))*IFERROR('Store Prices'!$I$5:$I$304*1,0)+(1-(('Store Prices'!$B$5:$B$304=B8)*(IFERROR('Store Prices'!$I$5:$I$304*1,0)&gt;0)))*999999))+0.0000001,"Yes","No"))</f>
        <v>0</v>
      </c>
      <c r="N8" s="15">
        <v>46260</v>
      </c>
      <c r="O8" s="18">
        <f>IF(N8="","",TODAY()-N8)</f>
        <v>0</v>
      </c>
      <c r="P8" s="31">
        <f>IF(B8="","",IF(G8="","Add - no price",IF(E8="","Add - no pack size",IF(AND(O8&lt;&gt;"",O8&gt;180),"Check - over six months old","OK"))))</f>
        <v>0</v>
      </c>
      <c r="Q8" s="43" t="s">
        <v>157</v>
      </c>
    </row>
    <row r="9" spans="1:17">
      <c r="A9" s="39">
        <f>IF(B9="","","SP-"&amp;TEXT(ROW()-4,"0000"))</f>
        <v>0</v>
      </c>
      <c r="B9" s="32" t="s">
        <v>899</v>
      </c>
      <c r="C9" s="32" t="s">
        <v>1010</v>
      </c>
      <c r="D9" s="32" t="s">
        <v>1012</v>
      </c>
      <c r="E9" s="38">
        <v>500</v>
      </c>
      <c r="F9" s="17">
        <f>IF(B9="","",IFERROR(INDEX(Ingredients!$G$5:$G$304,MATCH(B9,Ingredients!$B$5:$B$304,0)),"Add to Ingredients"))</f>
        <v>0</v>
      </c>
      <c r="G9" s="36">
        <v>3.89</v>
      </c>
      <c r="H9" s="40" t="s">
        <v>312</v>
      </c>
      <c r="I9" s="25">
        <f>IF(OR(G9="",E9="",E9=0),"",G9/E9)</f>
        <v>0</v>
      </c>
      <c r="J9" s="25">
        <f>IF(I9="","",I9*100)</f>
        <v>0</v>
      </c>
      <c r="K9" s="25">
        <f>IF(B9="","",IFERROR(INDEX(Ingredients!$J$5:$J$304,MATCH(B9,Ingredients!$B$5:$B$304,0)),"Add to Ingredients"))</f>
        <v>0</v>
      </c>
      <c r="L9" s="25">
        <f>IF(OR(I9="",K9="",NOT(ISNUMBER(K9))),"",(I9-K9)*100)</f>
        <v>0</v>
      </c>
      <c r="M9" s="46">
        <f>IF(OR(B9="",J9=""),"",IF(I9&lt;=SUMPRODUCT(MIN((('Store Prices'!$B$5:$B$304=B9)*(IFERROR('Store Prices'!$I$5:$I$304*1,0)&gt;0))*IFERROR('Store Prices'!$I$5:$I$304*1,0)+(1-(('Store Prices'!$B$5:$B$304=B9)*(IFERROR('Store Prices'!$I$5:$I$304*1,0)&gt;0)))*999999))+0.0000001,"Yes","No"))</f>
        <v>0</v>
      </c>
      <c r="N9" s="15">
        <v>46254</v>
      </c>
      <c r="O9" s="18">
        <f>IF(N9="","",TODAY()-N9)</f>
        <v>0</v>
      </c>
      <c r="P9" s="31">
        <f>IF(B9="","",IF(G9="","Add - no price",IF(E9="","Add - no pack size",IF(AND(O9&lt;&gt;"",O9&gt;180),"Check - over six months old","OK"))))</f>
        <v>0</v>
      </c>
      <c r="Q9" s="43" t="s">
        <v>157</v>
      </c>
    </row>
    <row r="10" spans="1:17">
      <c r="A10" s="39">
        <f>IF(B10="","","SP-"&amp;TEXT(ROW()-4,"0000"))</f>
        <v>0</v>
      </c>
      <c r="B10" s="32" t="s">
        <v>899</v>
      </c>
      <c r="C10" s="32" t="s">
        <v>1013</v>
      </c>
      <c r="D10" s="32" t="s">
        <v>1539</v>
      </c>
      <c r="E10" s="38">
        <v>500</v>
      </c>
      <c r="F10" s="17">
        <f>IF(B10="","",IFERROR(INDEX(Ingredients!$G$5:$G$304,MATCH(B10,Ingredients!$B$5:$B$304,0)),"Add to Ingredients"))</f>
        <v>0</v>
      </c>
      <c r="G10" s="36">
        <v>6.08</v>
      </c>
      <c r="H10" s="40" t="s">
        <v>312</v>
      </c>
      <c r="I10" s="25">
        <f>IF(OR(G10="",E10="",E10=0),"",G10/E10)</f>
        <v>0</v>
      </c>
      <c r="J10" s="25">
        <f>IF(I10="","",I10*100)</f>
        <v>0</v>
      </c>
      <c r="K10" s="25">
        <f>IF(B10="","",IFERROR(INDEX(Ingredients!$J$5:$J$304,MATCH(B10,Ingredients!$B$5:$B$304,0)),"Add to Ingredients"))</f>
        <v>0</v>
      </c>
      <c r="L10" s="25">
        <f>IF(OR(I10="",K10="",NOT(ISNUMBER(K10))),"",(I10-K10)*100)</f>
        <v>0</v>
      </c>
      <c r="M10" s="46">
        <f>IF(OR(B10="",J10=""),"",IF(I10&lt;=SUMPRODUCT(MIN((('Store Prices'!$B$5:$B$304=B10)*(IFERROR('Store Prices'!$I$5:$I$304*1,0)&gt;0))*IFERROR('Store Prices'!$I$5:$I$304*1,0)+(1-(('Store Prices'!$B$5:$B$304=B10)*(IFERROR('Store Prices'!$I$5:$I$304*1,0)&gt;0)))*999999))+0.0000001,"Yes","No"))</f>
        <v>0</v>
      </c>
      <c r="N10" s="15">
        <v>46269</v>
      </c>
      <c r="O10" s="18">
        <f>IF(N10="","",TODAY()-N10)</f>
        <v>0</v>
      </c>
      <c r="P10" s="31">
        <f>IF(B10="","",IF(G10="","Add - no price",IF(E10="","Add - no pack size",IF(AND(O10&lt;&gt;"",O10&gt;180),"Check - over six months old","OK"))))</f>
        <v>0</v>
      </c>
      <c r="Q10" s="43" t="s">
        <v>157</v>
      </c>
    </row>
    <row r="11" spans="1:17">
      <c r="A11" s="39">
        <f>IF(B11="","","SP-"&amp;TEXT(ROW()-4,"0000"))</f>
        <v>0</v>
      </c>
      <c r="B11" s="32" t="s">
        <v>906</v>
      </c>
      <c r="C11" s="32" t="s">
        <v>214</v>
      </c>
      <c r="D11" s="32" t="s">
        <v>1539</v>
      </c>
      <c r="E11" s="38">
        <v>1000</v>
      </c>
      <c r="F11" s="17">
        <f>IF(B11="","",IFERROR(INDEX(Ingredients!$G$5:$G$304,MATCH(B11,Ingredients!$B$5:$B$304,0)),"Add to Ingredients"))</f>
        <v>0</v>
      </c>
      <c r="G11" s="36">
        <v>1.15</v>
      </c>
      <c r="H11" s="40" t="s">
        <v>312</v>
      </c>
      <c r="I11" s="25">
        <f>IF(OR(G11="",E11="",E11=0),"",G11/E11)</f>
        <v>0</v>
      </c>
      <c r="J11" s="25">
        <f>IF(I11="","",I11*100)</f>
        <v>0</v>
      </c>
      <c r="K11" s="25">
        <f>IF(B11="","",IFERROR(INDEX(Ingredients!$J$5:$J$304,MATCH(B11,Ingredients!$B$5:$B$304,0)),"Add to Ingredients"))</f>
        <v>0</v>
      </c>
      <c r="L11" s="25">
        <f>IF(OR(I11="",K11="",NOT(ISNUMBER(K11))),"",(I11-K11)*100)</f>
        <v>0</v>
      </c>
      <c r="M11" s="46">
        <f>IF(OR(B11="",J11=""),"",IF(I11&lt;=SUMPRODUCT(MIN((('Store Prices'!$B$5:$B$304=B11)*(IFERROR('Store Prices'!$I$5:$I$304*1,0)&gt;0))*IFERROR('Store Prices'!$I$5:$I$304*1,0)+(1-(('Store Prices'!$B$5:$B$304=B11)*(IFERROR('Store Prices'!$I$5:$I$304*1,0)&gt;0)))*999999))+0.0000001,"Yes","No"))</f>
        <v>0</v>
      </c>
      <c r="N11" s="15">
        <v>46299</v>
      </c>
      <c r="O11" s="18">
        <f>IF(N11="","",TODAY()-N11)</f>
        <v>0</v>
      </c>
      <c r="P11" s="31">
        <f>IF(B11="","",IF(G11="","Add - no price",IF(E11="","Add - no pack size",IF(AND(O11&lt;&gt;"",O11&gt;180),"Check - over six months old","OK"))))</f>
        <v>0</v>
      </c>
      <c r="Q11" s="43" t="s">
        <v>157</v>
      </c>
    </row>
    <row r="12" spans="1:17">
      <c r="A12" s="39">
        <f>IF(B12="","","SP-"&amp;TEXT(ROW()-4,"0000"))</f>
        <v>0</v>
      </c>
      <c r="B12" s="32" t="s">
        <v>906</v>
      </c>
      <c r="C12" s="32" t="s">
        <v>1010</v>
      </c>
      <c r="D12" s="32" t="s">
        <v>1012</v>
      </c>
      <c r="E12" s="38">
        <v>1000</v>
      </c>
      <c r="F12" s="17">
        <f>IF(B12="","",IFERROR(INDEX(Ingredients!$G$5:$G$304,MATCH(B12,Ingredients!$B$5:$B$304,0)),"Add to Ingredients"))</f>
        <v>0</v>
      </c>
      <c r="G12" s="36">
        <v>0.94</v>
      </c>
      <c r="H12" s="40" t="s">
        <v>312</v>
      </c>
      <c r="I12" s="25">
        <f>IF(OR(G12="",E12="",E12=0),"",G12/E12)</f>
        <v>0</v>
      </c>
      <c r="J12" s="25">
        <f>IF(I12="","",I12*100)</f>
        <v>0</v>
      </c>
      <c r="K12" s="25">
        <f>IF(B12="","",IFERROR(INDEX(Ingredients!$J$5:$J$304,MATCH(B12,Ingredients!$B$5:$B$304,0)),"Add to Ingredients"))</f>
        <v>0</v>
      </c>
      <c r="L12" s="25">
        <f>IF(OR(I12="",K12="",NOT(ISNUMBER(K12))),"",(I12-K12)*100)</f>
        <v>0</v>
      </c>
      <c r="M12" s="46">
        <f>IF(OR(B12="",J12=""),"",IF(I12&lt;=SUMPRODUCT(MIN((('Store Prices'!$B$5:$B$304=B12)*(IFERROR('Store Prices'!$I$5:$I$304*1,0)&gt;0))*IFERROR('Store Prices'!$I$5:$I$304*1,0)+(1-(('Store Prices'!$B$5:$B$304=B12)*(IFERROR('Store Prices'!$I$5:$I$304*1,0)&gt;0)))*999999))+0.0000001,"Yes","No"))</f>
        <v>0</v>
      </c>
      <c r="N12" s="15">
        <v>46273</v>
      </c>
      <c r="O12" s="18">
        <f>IF(N12="","",TODAY()-N12)</f>
        <v>0</v>
      </c>
      <c r="P12" s="31">
        <f>IF(B12="","",IF(G12="","Add - no price",IF(E12="","Add - no pack size",IF(AND(O12&lt;&gt;"",O12&gt;180),"Check - over six months old","OK"))))</f>
        <v>0</v>
      </c>
      <c r="Q12" s="43" t="s">
        <v>157</v>
      </c>
    </row>
    <row r="13" spans="1:17">
      <c r="A13" s="39">
        <f>IF(B13="","","SP-"&amp;TEXT(ROW()-4,"0000"))</f>
        <v>0</v>
      </c>
      <c r="B13" s="32" t="s">
        <v>906</v>
      </c>
      <c r="C13" s="32" t="s">
        <v>1013</v>
      </c>
      <c r="D13" s="32" t="s">
        <v>1539</v>
      </c>
      <c r="E13" s="38">
        <v>1000</v>
      </c>
      <c r="F13" s="17">
        <f>IF(B13="","",IFERROR(INDEX(Ingredients!$G$5:$G$304,MATCH(B13,Ingredients!$B$5:$B$304,0)),"Add to Ingredients"))</f>
        <v>0</v>
      </c>
      <c r="G13" s="36">
        <v>1.47</v>
      </c>
      <c r="H13" s="40" t="s">
        <v>312</v>
      </c>
      <c r="I13" s="25">
        <f>IF(OR(G13="",E13="",E13=0),"",G13/E13)</f>
        <v>0</v>
      </c>
      <c r="J13" s="25">
        <f>IF(I13="","",I13*100)</f>
        <v>0</v>
      </c>
      <c r="K13" s="25">
        <f>IF(B13="","",IFERROR(INDEX(Ingredients!$J$5:$J$304,MATCH(B13,Ingredients!$B$5:$B$304,0)),"Add to Ingredients"))</f>
        <v>0</v>
      </c>
      <c r="L13" s="25">
        <f>IF(OR(I13="",K13="",NOT(ISNUMBER(K13))),"",(I13-K13)*100)</f>
        <v>0</v>
      </c>
      <c r="M13" s="46">
        <f>IF(OR(B13="",J13=""),"",IF(I13&lt;=SUMPRODUCT(MIN((('Store Prices'!$B$5:$B$304=B13)*(IFERROR('Store Prices'!$I$5:$I$304*1,0)&gt;0))*IFERROR('Store Prices'!$I$5:$I$304*1,0)+(1-(('Store Prices'!$B$5:$B$304=B13)*(IFERROR('Store Prices'!$I$5:$I$304*1,0)&gt;0)))*999999))+0.0000001,"Yes","No"))</f>
        <v>0</v>
      </c>
      <c r="N13" s="15">
        <v>46271</v>
      </c>
      <c r="O13" s="18">
        <f>IF(N13="","",TODAY()-N13)</f>
        <v>0</v>
      </c>
      <c r="P13" s="31">
        <f>IF(B13="","",IF(G13="","Add - no price",IF(E13="","Add - no pack size",IF(AND(O13&lt;&gt;"",O13&gt;180),"Check - over six months old","OK"))))</f>
        <v>0</v>
      </c>
      <c r="Q13" s="43" t="s">
        <v>157</v>
      </c>
    </row>
    <row r="14" spans="1:17">
      <c r="A14" s="39">
        <f>IF(B14="","","SP-"&amp;TEXT(ROW()-4,"0000"))</f>
        <v>0</v>
      </c>
      <c r="B14" s="32" t="s">
        <v>923</v>
      </c>
      <c r="C14" s="32" t="s">
        <v>214</v>
      </c>
      <c r="D14" s="32" t="s">
        <v>1539</v>
      </c>
      <c r="E14" s="38">
        <v>2000</v>
      </c>
      <c r="F14" s="17">
        <f>IF(B14="","",IFERROR(INDEX(Ingredients!$G$5:$G$304,MATCH(B14,Ingredients!$B$5:$B$304,0)),"Add to Ingredients"))</f>
        <v>0</v>
      </c>
      <c r="G14" s="36">
        <v>2.6</v>
      </c>
      <c r="H14" s="40" t="s">
        <v>312</v>
      </c>
      <c r="I14" s="25">
        <f>IF(OR(G14="",E14="",E14=0),"",G14/E14)</f>
        <v>0</v>
      </c>
      <c r="J14" s="25">
        <f>IF(I14="","",I14*100)</f>
        <v>0</v>
      </c>
      <c r="K14" s="25">
        <f>IF(B14="","",IFERROR(INDEX(Ingredients!$J$5:$J$304,MATCH(B14,Ingredients!$B$5:$B$304,0)),"Add to Ingredients"))</f>
        <v>0</v>
      </c>
      <c r="L14" s="25">
        <f>IF(OR(I14="",K14="",NOT(ISNUMBER(K14))),"",(I14-K14)*100)</f>
        <v>0</v>
      </c>
      <c r="M14" s="46">
        <f>IF(OR(B14="",J14=""),"",IF(I14&lt;=SUMPRODUCT(MIN((('Store Prices'!$B$5:$B$304=B14)*(IFERROR('Store Prices'!$I$5:$I$304*1,0)&gt;0))*IFERROR('Store Prices'!$I$5:$I$304*1,0)+(1-(('Store Prices'!$B$5:$B$304=B14)*(IFERROR('Store Prices'!$I$5:$I$304*1,0)&gt;0)))*999999))+0.0000001,"Yes","No"))</f>
        <v>0</v>
      </c>
      <c r="N14" s="15">
        <v>46262</v>
      </c>
      <c r="O14" s="18">
        <f>IF(N14="","",TODAY()-N14)</f>
        <v>0</v>
      </c>
      <c r="P14" s="31">
        <f>IF(B14="","",IF(G14="","Add - no price",IF(E14="","Add - no pack size",IF(AND(O14&lt;&gt;"",O14&gt;180),"Check - over six months old","OK"))))</f>
        <v>0</v>
      </c>
      <c r="Q14" s="43" t="s">
        <v>157</v>
      </c>
    </row>
    <row r="15" spans="1:17">
      <c r="A15" s="39">
        <f>IF(B15="","","SP-"&amp;TEXT(ROW()-4,"0000"))</f>
        <v>0</v>
      </c>
      <c r="B15" s="32" t="s">
        <v>923</v>
      </c>
      <c r="C15" s="32" t="s">
        <v>1010</v>
      </c>
      <c r="D15" s="32" t="s">
        <v>1012</v>
      </c>
      <c r="E15" s="38">
        <v>2000</v>
      </c>
      <c r="F15" s="17">
        <f>IF(B15="","",IFERROR(INDEX(Ingredients!$G$5:$G$304,MATCH(B15,Ingredients!$B$5:$B$304,0)),"Add to Ingredients"))</f>
        <v>0</v>
      </c>
      <c r="G15" s="36">
        <v>2.13</v>
      </c>
      <c r="H15" s="40" t="s">
        <v>312</v>
      </c>
      <c r="I15" s="25">
        <f>IF(OR(G15="",E15="",E15=0),"",G15/E15)</f>
        <v>0</v>
      </c>
      <c r="J15" s="25">
        <f>IF(I15="","",I15*100)</f>
        <v>0</v>
      </c>
      <c r="K15" s="25">
        <f>IF(B15="","",IFERROR(INDEX(Ingredients!$J$5:$J$304,MATCH(B15,Ingredients!$B$5:$B$304,0)),"Add to Ingredients"))</f>
        <v>0</v>
      </c>
      <c r="L15" s="25">
        <f>IF(OR(I15="",K15="",NOT(ISNUMBER(K15))),"",(I15-K15)*100)</f>
        <v>0</v>
      </c>
      <c r="M15" s="46">
        <f>IF(OR(B15="",J15=""),"",IF(I15&lt;=SUMPRODUCT(MIN((('Store Prices'!$B$5:$B$304=B15)*(IFERROR('Store Prices'!$I$5:$I$304*1,0)&gt;0))*IFERROR('Store Prices'!$I$5:$I$304*1,0)+(1-(('Store Prices'!$B$5:$B$304=B15)*(IFERROR('Store Prices'!$I$5:$I$304*1,0)&gt;0)))*999999))+0.0000001,"Yes","No"))</f>
        <v>0</v>
      </c>
      <c r="N15" s="15">
        <v>46254</v>
      </c>
      <c r="O15" s="18">
        <f>IF(N15="","",TODAY()-N15)</f>
        <v>0</v>
      </c>
      <c r="P15" s="31">
        <f>IF(B15="","",IF(G15="","Add - no price",IF(E15="","Add - no pack size",IF(AND(O15&lt;&gt;"",O15&gt;180),"Check - over six months old","OK"))))</f>
        <v>0</v>
      </c>
      <c r="Q15" s="43" t="s">
        <v>157</v>
      </c>
    </row>
    <row r="16" spans="1:17">
      <c r="A16" s="39">
        <f>IF(B16="","","SP-"&amp;TEXT(ROW()-4,"0000"))</f>
        <v>0</v>
      </c>
      <c r="B16" s="32" t="s">
        <v>923</v>
      </c>
      <c r="C16" s="32" t="s">
        <v>1013</v>
      </c>
      <c r="D16" s="32" t="s">
        <v>1539</v>
      </c>
      <c r="E16" s="38">
        <v>2000</v>
      </c>
      <c r="F16" s="17">
        <f>IF(B16="","",IFERROR(INDEX(Ingredients!$G$5:$G$304,MATCH(B16,Ingredients!$B$5:$B$304,0)),"Add to Ingredients"))</f>
        <v>0</v>
      </c>
      <c r="G16" s="36">
        <v>3.33</v>
      </c>
      <c r="H16" s="40" t="s">
        <v>312</v>
      </c>
      <c r="I16" s="25">
        <f>IF(OR(G16="",E16="",E16=0),"",G16/E16)</f>
        <v>0</v>
      </c>
      <c r="J16" s="25">
        <f>IF(I16="","",I16*100)</f>
        <v>0</v>
      </c>
      <c r="K16" s="25">
        <f>IF(B16="","",IFERROR(INDEX(Ingredients!$J$5:$J$304,MATCH(B16,Ingredients!$B$5:$B$304,0)),"Add to Ingredients"))</f>
        <v>0</v>
      </c>
      <c r="L16" s="25">
        <f>IF(OR(I16="",K16="",NOT(ISNUMBER(K16))),"",(I16-K16)*100)</f>
        <v>0</v>
      </c>
      <c r="M16" s="46">
        <f>IF(OR(B16="",J16=""),"",IF(I16&lt;=SUMPRODUCT(MIN((('Store Prices'!$B$5:$B$304=B16)*(IFERROR('Store Prices'!$I$5:$I$304*1,0)&gt;0))*IFERROR('Store Prices'!$I$5:$I$304*1,0)+(1-(('Store Prices'!$B$5:$B$304=B16)*(IFERROR('Store Prices'!$I$5:$I$304*1,0)&gt;0)))*999999))+0.0000001,"Yes","No"))</f>
        <v>0</v>
      </c>
      <c r="N16" s="15">
        <v>46278</v>
      </c>
      <c r="O16" s="18">
        <f>IF(N16="","",TODAY()-N16)</f>
        <v>0</v>
      </c>
      <c r="P16" s="31">
        <f>IF(B16="","",IF(G16="","Add - no price",IF(E16="","Add - no pack size",IF(AND(O16&lt;&gt;"",O16&gt;180),"Check - over six months old","OK"))))</f>
        <v>0</v>
      </c>
      <c r="Q16" s="43" t="s">
        <v>157</v>
      </c>
    </row>
    <row r="17" spans="1:17">
      <c r="A17" s="39">
        <f>IF(B17="","","SP-"&amp;TEXT(ROW()-4,"0000"))</f>
        <v>0</v>
      </c>
      <c r="B17" s="32" t="s">
        <v>404</v>
      </c>
      <c r="C17" s="32" t="s">
        <v>214</v>
      </c>
      <c r="D17" s="32" t="s">
        <v>1539</v>
      </c>
      <c r="E17" s="38">
        <v>2272</v>
      </c>
      <c r="F17" s="17">
        <f>IF(B17="","",IFERROR(INDEX(Ingredients!$G$5:$G$304,MATCH(B17,Ingredients!$B$5:$B$304,0)),"Add to Ingredients"))</f>
        <v>0</v>
      </c>
      <c r="G17" s="36">
        <v>1.65</v>
      </c>
      <c r="H17" s="40" t="s">
        <v>312</v>
      </c>
      <c r="I17" s="25">
        <f>IF(OR(G17="",E17="",E17=0),"",G17/E17)</f>
        <v>0</v>
      </c>
      <c r="J17" s="25">
        <f>IF(I17="","",I17*100)</f>
        <v>0</v>
      </c>
      <c r="K17" s="25">
        <f>IF(B17="","",IFERROR(INDEX(Ingredients!$J$5:$J$304,MATCH(B17,Ingredients!$B$5:$B$304,0)),"Add to Ingredients"))</f>
        <v>0</v>
      </c>
      <c r="L17" s="25">
        <f>IF(OR(I17="",K17="",NOT(ISNUMBER(K17))),"",(I17-K17)*100)</f>
        <v>0</v>
      </c>
      <c r="M17" s="46">
        <f>IF(OR(B17="",J17=""),"",IF(I17&lt;=SUMPRODUCT(MIN((('Store Prices'!$B$5:$B$304=B17)*(IFERROR('Store Prices'!$I$5:$I$304*1,0)&gt;0))*IFERROR('Store Prices'!$I$5:$I$304*1,0)+(1-(('Store Prices'!$B$5:$B$304=B17)*(IFERROR('Store Prices'!$I$5:$I$304*1,0)&gt;0)))*999999))+0.0000001,"Yes","No"))</f>
        <v>0</v>
      </c>
      <c r="N17" s="15">
        <v>46280</v>
      </c>
      <c r="O17" s="18">
        <f>IF(N17="","",TODAY()-N17)</f>
        <v>0</v>
      </c>
      <c r="P17" s="31">
        <f>IF(B17="","",IF(G17="","Add - no price",IF(E17="","Add - no pack size",IF(AND(O17&lt;&gt;"",O17&gt;180),"Check - over six months old","OK"))))</f>
        <v>0</v>
      </c>
      <c r="Q17" s="43" t="s">
        <v>157</v>
      </c>
    </row>
    <row r="18" spans="1:17">
      <c r="A18" s="39">
        <f>IF(B18="","","SP-"&amp;TEXT(ROW()-4,"0000"))</f>
        <v>0</v>
      </c>
      <c r="B18" s="32" t="s">
        <v>404</v>
      </c>
      <c r="C18" s="32" t="s">
        <v>1010</v>
      </c>
      <c r="D18" s="32" t="s">
        <v>1012</v>
      </c>
      <c r="E18" s="38">
        <v>2272</v>
      </c>
      <c r="F18" s="17">
        <f>IF(B18="","",IFERROR(INDEX(Ingredients!$G$5:$G$304,MATCH(B18,Ingredients!$B$5:$B$304,0)),"Add to Ingredients"))</f>
        <v>0</v>
      </c>
      <c r="G18" s="36">
        <v>1.35</v>
      </c>
      <c r="H18" s="40" t="s">
        <v>312</v>
      </c>
      <c r="I18" s="25">
        <f>IF(OR(G18="",E18="",E18=0),"",G18/E18)</f>
        <v>0</v>
      </c>
      <c r="J18" s="25">
        <f>IF(I18="","",I18*100)</f>
        <v>0</v>
      </c>
      <c r="K18" s="25">
        <f>IF(B18="","",IFERROR(INDEX(Ingredients!$J$5:$J$304,MATCH(B18,Ingredients!$B$5:$B$304,0)),"Add to Ingredients"))</f>
        <v>0</v>
      </c>
      <c r="L18" s="25">
        <f>IF(OR(I18="",K18="",NOT(ISNUMBER(K18))),"",(I18-K18)*100)</f>
        <v>0</v>
      </c>
      <c r="M18" s="46">
        <f>IF(OR(B18="",J18=""),"",IF(I18&lt;=SUMPRODUCT(MIN((('Store Prices'!$B$5:$B$304=B18)*(IFERROR('Store Prices'!$I$5:$I$304*1,0)&gt;0))*IFERROR('Store Prices'!$I$5:$I$304*1,0)+(1-(('Store Prices'!$B$5:$B$304=B18)*(IFERROR('Store Prices'!$I$5:$I$304*1,0)&gt;0)))*999999))+0.0000001,"Yes","No"))</f>
        <v>0</v>
      </c>
      <c r="N18" s="15">
        <v>46271</v>
      </c>
      <c r="O18" s="18">
        <f>IF(N18="","",TODAY()-N18)</f>
        <v>0</v>
      </c>
      <c r="P18" s="31">
        <f>IF(B18="","",IF(G18="","Add - no price",IF(E18="","Add - no pack size",IF(AND(O18&lt;&gt;"",O18&gt;180),"Check - over six months old","OK"))))</f>
        <v>0</v>
      </c>
      <c r="Q18" s="43" t="s">
        <v>157</v>
      </c>
    </row>
    <row r="19" spans="1:17">
      <c r="A19" s="39">
        <f>IF(B19="","","SP-"&amp;TEXT(ROW()-4,"0000"))</f>
        <v>0</v>
      </c>
      <c r="B19" s="32" t="s">
        <v>404</v>
      </c>
      <c r="C19" s="32" t="s">
        <v>1013</v>
      </c>
      <c r="D19" s="32" t="s">
        <v>1539</v>
      </c>
      <c r="E19" s="38">
        <v>2272</v>
      </c>
      <c r="F19" s="17">
        <f>IF(B19="","",IFERROR(INDEX(Ingredients!$G$5:$G$304,MATCH(B19,Ingredients!$B$5:$B$304,0)),"Add to Ingredients"))</f>
        <v>0</v>
      </c>
      <c r="G19" s="36">
        <v>2.11</v>
      </c>
      <c r="H19" s="40" t="s">
        <v>312</v>
      </c>
      <c r="I19" s="25">
        <f>IF(OR(G19="",E19="",E19=0),"",G19/E19)</f>
        <v>0</v>
      </c>
      <c r="J19" s="25">
        <f>IF(I19="","",I19*100)</f>
        <v>0</v>
      </c>
      <c r="K19" s="25">
        <f>IF(B19="","",IFERROR(INDEX(Ingredients!$J$5:$J$304,MATCH(B19,Ingredients!$B$5:$B$304,0)),"Add to Ingredients"))</f>
        <v>0</v>
      </c>
      <c r="L19" s="25">
        <f>IF(OR(I19="",K19="",NOT(ISNUMBER(K19))),"",(I19-K19)*100)</f>
        <v>0</v>
      </c>
      <c r="M19" s="46">
        <f>IF(OR(B19="",J19=""),"",IF(I19&lt;=SUMPRODUCT(MIN((('Store Prices'!$B$5:$B$304=B19)*(IFERROR('Store Prices'!$I$5:$I$304*1,0)&gt;0))*IFERROR('Store Prices'!$I$5:$I$304*1,0)+(1-(('Store Prices'!$B$5:$B$304=B19)*(IFERROR('Store Prices'!$I$5:$I$304*1,0)&gt;0)))*999999))+0.0000001,"Yes","No"))</f>
        <v>0</v>
      </c>
      <c r="N19" s="15">
        <v>46262</v>
      </c>
      <c r="O19" s="18">
        <f>IF(N19="","",TODAY()-N19)</f>
        <v>0</v>
      </c>
      <c r="P19" s="31">
        <f>IF(B19="","",IF(G19="","Add - no price",IF(E19="","Add - no pack size",IF(AND(O19&lt;&gt;"",O19&gt;180),"Check - over six months old","OK"))))</f>
        <v>0</v>
      </c>
      <c r="Q19" s="43" t="s">
        <v>157</v>
      </c>
    </row>
    <row r="20" spans="1:17">
      <c r="A20" s="39">
        <f>IF(B20="","","SP-"&amp;TEXT(ROW()-4,"0000"))</f>
        <v>0</v>
      </c>
      <c r="B20" s="32" t="s">
        <v>928</v>
      </c>
      <c r="C20" s="32" t="s">
        <v>214</v>
      </c>
      <c r="D20" s="32" t="s">
        <v>1539</v>
      </c>
      <c r="E20" s="38">
        <v>400</v>
      </c>
      <c r="F20" s="17">
        <f>IF(B20="","",IFERROR(INDEX(Ingredients!$G$5:$G$304,MATCH(B20,Ingredients!$B$5:$B$304,0)),"Add to Ingredients"))</f>
        <v>0</v>
      </c>
      <c r="G20" s="36">
        <v>3.4</v>
      </c>
      <c r="H20" s="40" t="s">
        <v>312</v>
      </c>
      <c r="I20" s="25">
        <f>IF(OR(G20="",E20="",E20=0),"",G20/E20)</f>
        <v>0</v>
      </c>
      <c r="J20" s="25">
        <f>IF(I20="","",I20*100)</f>
        <v>0</v>
      </c>
      <c r="K20" s="25">
        <f>IF(B20="","",IFERROR(INDEX(Ingredients!$J$5:$J$304,MATCH(B20,Ingredients!$B$5:$B$304,0)),"Add to Ingredients"))</f>
        <v>0</v>
      </c>
      <c r="L20" s="25">
        <f>IF(OR(I20="",K20="",NOT(ISNUMBER(K20))),"",(I20-K20)*100)</f>
        <v>0</v>
      </c>
      <c r="M20" s="46">
        <f>IF(OR(B20="",J20=""),"",IF(I20&lt;=SUMPRODUCT(MIN((('Store Prices'!$B$5:$B$304=B20)*(IFERROR('Store Prices'!$I$5:$I$304*1,0)&gt;0))*IFERROR('Store Prices'!$I$5:$I$304*1,0)+(1-(('Store Prices'!$B$5:$B$304=B20)*(IFERROR('Store Prices'!$I$5:$I$304*1,0)&gt;0)))*999999))+0.0000001,"Yes","No"))</f>
        <v>0</v>
      </c>
      <c r="N20" s="15">
        <v>46272</v>
      </c>
      <c r="O20" s="18">
        <f>IF(N20="","",TODAY()-N20)</f>
        <v>0</v>
      </c>
      <c r="P20" s="31">
        <f>IF(B20="","",IF(G20="","Add - no price",IF(E20="","Add - no pack size",IF(AND(O20&lt;&gt;"",O20&gt;180),"Check - over six months old","OK"))))</f>
        <v>0</v>
      </c>
      <c r="Q20" s="43" t="s">
        <v>157</v>
      </c>
    </row>
    <row r="21" spans="1:17">
      <c r="A21" s="39">
        <f>IF(B21="","","SP-"&amp;TEXT(ROW()-4,"0000"))</f>
        <v>0</v>
      </c>
      <c r="B21" s="32" t="s">
        <v>928</v>
      </c>
      <c r="C21" s="32" t="s">
        <v>1010</v>
      </c>
      <c r="D21" s="32" t="s">
        <v>1012</v>
      </c>
      <c r="E21" s="38">
        <v>400</v>
      </c>
      <c r="F21" s="17">
        <f>IF(B21="","",IFERROR(INDEX(Ingredients!$G$5:$G$304,MATCH(B21,Ingredients!$B$5:$B$304,0)),"Add to Ingredients"))</f>
        <v>0</v>
      </c>
      <c r="G21" s="36">
        <v>2.79</v>
      </c>
      <c r="H21" s="40" t="s">
        <v>312</v>
      </c>
      <c r="I21" s="25">
        <f>IF(OR(G21="",E21="",E21=0),"",G21/E21)</f>
        <v>0</v>
      </c>
      <c r="J21" s="25">
        <f>IF(I21="","",I21*100)</f>
        <v>0</v>
      </c>
      <c r="K21" s="25">
        <f>IF(B21="","",IFERROR(INDEX(Ingredients!$J$5:$J$304,MATCH(B21,Ingredients!$B$5:$B$304,0)),"Add to Ingredients"))</f>
        <v>0</v>
      </c>
      <c r="L21" s="25">
        <f>IF(OR(I21="",K21="",NOT(ISNUMBER(K21))),"",(I21-K21)*100)</f>
        <v>0</v>
      </c>
      <c r="M21" s="46">
        <f>IF(OR(B21="",J21=""),"",IF(I21&lt;=SUMPRODUCT(MIN((('Store Prices'!$B$5:$B$304=B21)*(IFERROR('Store Prices'!$I$5:$I$304*1,0)&gt;0))*IFERROR('Store Prices'!$I$5:$I$304*1,0)+(1-(('Store Prices'!$B$5:$B$304=B21)*(IFERROR('Store Prices'!$I$5:$I$304*1,0)&gt;0)))*999999))+0.0000001,"Yes","No"))</f>
        <v>0</v>
      </c>
      <c r="N21" s="15">
        <v>46274</v>
      </c>
      <c r="O21" s="18">
        <f>IF(N21="","",TODAY()-N21)</f>
        <v>0</v>
      </c>
      <c r="P21" s="31">
        <f>IF(B21="","",IF(G21="","Add - no price",IF(E21="","Add - no pack size",IF(AND(O21&lt;&gt;"",O21&gt;180),"Check - over six months old","OK"))))</f>
        <v>0</v>
      </c>
      <c r="Q21" s="43" t="s">
        <v>157</v>
      </c>
    </row>
    <row r="22" spans="1:17">
      <c r="A22" s="39">
        <f>IF(B22="","","SP-"&amp;TEXT(ROW()-4,"0000"))</f>
        <v>0</v>
      </c>
      <c r="B22" s="32" t="s">
        <v>928</v>
      </c>
      <c r="C22" s="32" t="s">
        <v>1013</v>
      </c>
      <c r="D22" s="32" t="s">
        <v>1539</v>
      </c>
      <c r="E22" s="38">
        <v>400</v>
      </c>
      <c r="F22" s="17">
        <f>IF(B22="","",IFERROR(INDEX(Ingredients!$G$5:$G$304,MATCH(B22,Ingredients!$B$5:$B$304,0)),"Add to Ingredients"))</f>
        <v>0</v>
      </c>
      <c r="G22" s="36">
        <v>4.35</v>
      </c>
      <c r="H22" s="40" t="s">
        <v>312</v>
      </c>
      <c r="I22" s="25">
        <f>IF(OR(G22="",E22="",E22=0),"",G22/E22)</f>
        <v>0</v>
      </c>
      <c r="J22" s="25">
        <f>IF(I22="","",I22*100)</f>
        <v>0</v>
      </c>
      <c r="K22" s="25">
        <f>IF(B22="","",IFERROR(INDEX(Ingredients!$J$5:$J$304,MATCH(B22,Ingredients!$B$5:$B$304,0)),"Add to Ingredients"))</f>
        <v>0</v>
      </c>
      <c r="L22" s="25">
        <f>IF(OR(I22="",K22="",NOT(ISNUMBER(K22))),"",(I22-K22)*100)</f>
        <v>0</v>
      </c>
      <c r="M22" s="46">
        <f>IF(OR(B22="",J22=""),"",IF(I22&lt;=SUMPRODUCT(MIN((('Store Prices'!$B$5:$B$304=B22)*(IFERROR('Store Prices'!$I$5:$I$304*1,0)&gt;0))*IFERROR('Store Prices'!$I$5:$I$304*1,0)+(1-(('Store Prices'!$B$5:$B$304=B22)*(IFERROR('Store Prices'!$I$5:$I$304*1,0)&gt;0)))*999999))+0.0000001,"Yes","No"))</f>
        <v>0</v>
      </c>
      <c r="N22" s="15">
        <v>46282</v>
      </c>
      <c r="O22" s="18">
        <f>IF(N22="","",TODAY()-N22)</f>
        <v>0</v>
      </c>
      <c r="P22" s="31">
        <f>IF(B22="","",IF(G22="","Add - no price",IF(E22="","Add - no pack size",IF(AND(O22&lt;&gt;"",O22&gt;180),"Check - over six months old","OK"))))</f>
        <v>0</v>
      </c>
      <c r="Q22" s="43" t="s">
        <v>157</v>
      </c>
    </row>
    <row r="23" spans="1:17">
      <c r="A23" s="39">
        <f>IF(B23="","","SP-"&amp;TEXT(ROW()-4,"0000"))</f>
        <v>0</v>
      </c>
      <c r="B23" s="32" t="s">
        <v>896</v>
      </c>
      <c r="C23" s="32" t="s">
        <v>214</v>
      </c>
      <c r="D23" s="32" t="s">
        <v>1539</v>
      </c>
      <c r="E23" s="38">
        <v>500</v>
      </c>
      <c r="F23" s="17">
        <f>IF(B23="","",IFERROR(INDEX(Ingredients!$G$5:$G$304,MATCH(B23,Ingredients!$B$5:$B$304,0)),"Add to Ingredients"))</f>
        <v>0</v>
      </c>
      <c r="G23" s="36">
        <v>4.5</v>
      </c>
      <c r="H23" s="40" t="s">
        <v>312</v>
      </c>
      <c r="I23" s="25">
        <f>IF(OR(G23="",E23="",E23=0),"",G23/E23)</f>
        <v>0</v>
      </c>
      <c r="J23" s="25">
        <f>IF(I23="","",I23*100)</f>
        <v>0</v>
      </c>
      <c r="K23" s="25">
        <f>IF(B23="","",IFERROR(INDEX(Ingredients!$J$5:$J$304,MATCH(B23,Ingredients!$B$5:$B$304,0)),"Add to Ingredients"))</f>
        <v>0</v>
      </c>
      <c r="L23" s="25">
        <f>IF(OR(I23="",K23="",NOT(ISNUMBER(K23))),"",(I23-K23)*100)</f>
        <v>0</v>
      </c>
      <c r="M23" s="46">
        <f>IF(OR(B23="",J23=""),"",IF(I23&lt;=SUMPRODUCT(MIN((('Store Prices'!$B$5:$B$304=B23)*(IFERROR('Store Prices'!$I$5:$I$304*1,0)&gt;0))*IFERROR('Store Prices'!$I$5:$I$304*1,0)+(1-(('Store Prices'!$B$5:$B$304=B23)*(IFERROR('Store Prices'!$I$5:$I$304*1,0)&gt;0)))*999999))+0.0000001,"Yes","No"))</f>
        <v>0</v>
      </c>
      <c r="N23" s="15">
        <v>46283</v>
      </c>
      <c r="O23" s="18">
        <f>IF(N23="","",TODAY()-N23)</f>
        <v>0</v>
      </c>
      <c r="P23" s="31">
        <f>IF(B23="","",IF(G23="","Add - no price",IF(E23="","Add - no pack size",IF(AND(O23&lt;&gt;"",O23&gt;180),"Check - over six months old","OK"))))</f>
        <v>0</v>
      </c>
      <c r="Q23" s="43" t="s">
        <v>157</v>
      </c>
    </row>
    <row r="24" spans="1:17">
      <c r="A24" s="39">
        <f>IF(B24="","","SP-"&amp;TEXT(ROW()-4,"0000"))</f>
        <v>0</v>
      </c>
      <c r="B24" s="32" t="s">
        <v>896</v>
      </c>
      <c r="C24" s="32" t="s">
        <v>1010</v>
      </c>
      <c r="D24" s="32" t="s">
        <v>1012</v>
      </c>
      <c r="E24" s="38">
        <v>500</v>
      </c>
      <c r="F24" s="17">
        <f>IF(B24="","",IFERROR(INDEX(Ingredients!$G$5:$G$304,MATCH(B24,Ingredients!$B$5:$B$304,0)),"Add to Ingredients"))</f>
        <v>0</v>
      </c>
      <c r="G24" s="36">
        <v>3.69</v>
      </c>
      <c r="H24" s="40" t="s">
        <v>312</v>
      </c>
      <c r="I24" s="25">
        <f>IF(OR(G24="",E24="",E24=0),"",G24/E24)</f>
        <v>0</v>
      </c>
      <c r="J24" s="25">
        <f>IF(I24="","",I24*100)</f>
        <v>0</v>
      </c>
      <c r="K24" s="25">
        <f>IF(B24="","",IFERROR(INDEX(Ingredients!$J$5:$J$304,MATCH(B24,Ingredients!$B$5:$B$304,0)),"Add to Ingredients"))</f>
        <v>0</v>
      </c>
      <c r="L24" s="25">
        <f>IF(OR(I24="",K24="",NOT(ISNUMBER(K24))),"",(I24-K24)*100)</f>
        <v>0</v>
      </c>
      <c r="M24" s="46">
        <f>IF(OR(B24="",J24=""),"",IF(I24&lt;=SUMPRODUCT(MIN((('Store Prices'!$B$5:$B$304=B24)*(IFERROR('Store Prices'!$I$5:$I$304*1,0)&gt;0))*IFERROR('Store Prices'!$I$5:$I$304*1,0)+(1-(('Store Prices'!$B$5:$B$304=B24)*(IFERROR('Store Prices'!$I$5:$I$304*1,0)&gt;0)))*999999))+0.0000001,"Yes","No"))</f>
        <v>0</v>
      </c>
      <c r="N24" s="15">
        <v>46293</v>
      </c>
      <c r="O24" s="18">
        <f>IF(N24="","",TODAY()-N24)</f>
        <v>0</v>
      </c>
      <c r="P24" s="31">
        <f>IF(B24="","",IF(G24="","Add - no price",IF(E24="","Add - no pack size",IF(AND(O24&lt;&gt;"",O24&gt;180),"Check - over six months old","OK"))))</f>
        <v>0</v>
      </c>
      <c r="Q24" s="43" t="s">
        <v>157</v>
      </c>
    </row>
    <row r="25" spans="1:17">
      <c r="A25" s="39">
        <f>IF(B25="","","SP-"&amp;TEXT(ROW()-4,"0000"))</f>
        <v>0</v>
      </c>
      <c r="B25" s="32" t="s">
        <v>896</v>
      </c>
      <c r="C25" s="32" t="s">
        <v>1013</v>
      </c>
      <c r="D25" s="32" t="s">
        <v>1539</v>
      </c>
      <c r="E25" s="38">
        <v>500</v>
      </c>
      <c r="F25" s="17">
        <f>IF(B25="","",IFERROR(INDEX(Ingredients!$G$5:$G$304,MATCH(B25,Ingredients!$B$5:$B$304,0)),"Add to Ingredients"))</f>
        <v>0</v>
      </c>
      <c r="G25" s="36">
        <v>5.76</v>
      </c>
      <c r="H25" s="40" t="s">
        <v>312</v>
      </c>
      <c r="I25" s="25">
        <f>IF(OR(G25="",E25="",E25=0),"",G25/E25)</f>
        <v>0</v>
      </c>
      <c r="J25" s="25">
        <f>IF(I25="","",I25*100)</f>
        <v>0</v>
      </c>
      <c r="K25" s="25">
        <f>IF(B25="","",IFERROR(INDEX(Ingredients!$J$5:$J$304,MATCH(B25,Ingredients!$B$5:$B$304,0)),"Add to Ingredients"))</f>
        <v>0</v>
      </c>
      <c r="L25" s="25">
        <f>IF(OR(I25="",K25="",NOT(ISNUMBER(K25))),"",(I25-K25)*100)</f>
        <v>0</v>
      </c>
      <c r="M25" s="46">
        <f>IF(OR(B25="",J25=""),"",IF(I25&lt;=SUMPRODUCT(MIN((('Store Prices'!$B$5:$B$304=B25)*(IFERROR('Store Prices'!$I$5:$I$304*1,0)&gt;0))*IFERROR('Store Prices'!$I$5:$I$304*1,0)+(1-(('Store Prices'!$B$5:$B$304=B25)*(IFERROR('Store Prices'!$I$5:$I$304*1,0)&gt;0)))*999999))+0.0000001,"Yes","No"))</f>
        <v>0</v>
      </c>
      <c r="N25" s="15">
        <v>46298</v>
      </c>
      <c r="O25" s="18">
        <f>IF(N25="","",TODAY()-N25)</f>
        <v>0</v>
      </c>
      <c r="P25" s="31">
        <f>IF(B25="","",IF(G25="","Add - no price",IF(E25="","Add - no pack size",IF(AND(O25&lt;&gt;"",O25&gt;180),"Check - over six months old","OK"))))</f>
        <v>0</v>
      </c>
      <c r="Q25" s="43" t="s">
        <v>157</v>
      </c>
    </row>
    <row r="26" spans="1:17">
      <c r="A26" s="39">
        <f>IF(B26="","","SP-"&amp;TEXT(ROW()-4,"0000"))</f>
        <v>0</v>
      </c>
      <c r="B26" s="32" t="s">
        <v>401</v>
      </c>
      <c r="C26" s="32" t="s">
        <v>214</v>
      </c>
      <c r="D26" s="32" t="s">
        <v>1539</v>
      </c>
      <c r="E26" s="38">
        <v>12</v>
      </c>
      <c r="F26" s="17">
        <f>IF(B26="","",IFERROR(INDEX(Ingredients!$G$5:$G$304,MATCH(B26,Ingredients!$B$5:$B$304,0)),"Add to Ingredients"))</f>
        <v>0</v>
      </c>
      <c r="G26" s="36">
        <v>3.6</v>
      </c>
      <c r="H26" s="40" t="s">
        <v>312</v>
      </c>
      <c r="I26" s="25">
        <f>IF(OR(G26="",E26="",E26=0),"",G26/E26)</f>
        <v>0</v>
      </c>
      <c r="J26" s="25">
        <f>IF(I26="","",I26*100)</f>
        <v>0</v>
      </c>
      <c r="K26" s="25">
        <f>IF(B26="","",IFERROR(INDEX(Ingredients!$J$5:$J$304,MATCH(B26,Ingredients!$B$5:$B$304,0)),"Add to Ingredients"))</f>
        <v>0</v>
      </c>
      <c r="L26" s="25">
        <f>IF(OR(I26="",K26="",NOT(ISNUMBER(K26))),"",(I26-K26)*100)</f>
        <v>0</v>
      </c>
      <c r="M26" s="46">
        <f>IF(OR(B26="",J26=""),"",IF(I26&lt;=SUMPRODUCT(MIN((('Store Prices'!$B$5:$B$304=B26)*(IFERROR('Store Prices'!$I$5:$I$304*1,0)&gt;0))*IFERROR('Store Prices'!$I$5:$I$304*1,0)+(1-(('Store Prices'!$B$5:$B$304=B26)*(IFERROR('Store Prices'!$I$5:$I$304*1,0)&gt;0)))*999999))+0.0000001,"Yes","No"))</f>
        <v>0</v>
      </c>
      <c r="N26" s="15">
        <v>46275</v>
      </c>
      <c r="O26" s="18">
        <f>IF(N26="","",TODAY()-N26)</f>
        <v>0</v>
      </c>
      <c r="P26" s="31">
        <f>IF(B26="","",IF(G26="","Add - no price",IF(E26="","Add - no pack size",IF(AND(O26&lt;&gt;"",O26&gt;180),"Check - over six months old","OK"))))</f>
        <v>0</v>
      </c>
      <c r="Q26" s="43" t="s">
        <v>157</v>
      </c>
    </row>
    <row r="27" spans="1:17">
      <c r="A27" s="39">
        <f>IF(B27="","","SP-"&amp;TEXT(ROW()-4,"0000"))</f>
        <v>0</v>
      </c>
      <c r="B27" s="32" t="s">
        <v>401</v>
      </c>
      <c r="C27" s="32" t="s">
        <v>1010</v>
      </c>
      <c r="D27" s="32" t="s">
        <v>1012</v>
      </c>
      <c r="E27" s="38">
        <v>12</v>
      </c>
      <c r="F27" s="17">
        <f>IF(B27="","",IFERROR(INDEX(Ingredients!$G$5:$G$304,MATCH(B27,Ingredients!$B$5:$B$304,0)),"Add to Ingredients"))</f>
        <v>0</v>
      </c>
      <c r="G27" s="36">
        <v>2.95</v>
      </c>
      <c r="H27" s="40" t="s">
        <v>312</v>
      </c>
      <c r="I27" s="25">
        <f>IF(OR(G27="",E27="",E27=0),"",G27/E27)</f>
        <v>0</v>
      </c>
      <c r="J27" s="25">
        <f>IF(I27="","",I27*100)</f>
        <v>0</v>
      </c>
      <c r="K27" s="25">
        <f>IF(B27="","",IFERROR(INDEX(Ingredients!$J$5:$J$304,MATCH(B27,Ingredients!$B$5:$B$304,0)),"Add to Ingredients"))</f>
        <v>0</v>
      </c>
      <c r="L27" s="25">
        <f>IF(OR(I27="",K27="",NOT(ISNUMBER(K27))),"",(I27-K27)*100)</f>
        <v>0</v>
      </c>
      <c r="M27" s="46">
        <f>IF(OR(B27="",J27=""),"",IF(I27&lt;=SUMPRODUCT(MIN((('Store Prices'!$B$5:$B$304=B27)*(IFERROR('Store Prices'!$I$5:$I$304*1,0)&gt;0))*IFERROR('Store Prices'!$I$5:$I$304*1,0)+(1-(('Store Prices'!$B$5:$B$304=B27)*(IFERROR('Store Prices'!$I$5:$I$304*1,0)&gt;0)))*999999))+0.0000001,"Yes","No"))</f>
        <v>0</v>
      </c>
      <c r="N27" s="15">
        <v>46277</v>
      </c>
      <c r="O27" s="18">
        <f>IF(N27="","",TODAY()-N27)</f>
        <v>0</v>
      </c>
      <c r="P27" s="31">
        <f>IF(B27="","",IF(G27="","Add - no price",IF(E27="","Add - no pack size",IF(AND(O27&lt;&gt;"",O27&gt;180),"Check - over six months old","OK"))))</f>
        <v>0</v>
      </c>
      <c r="Q27" s="43" t="s">
        <v>157</v>
      </c>
    </row>
    <row r="28" spans="1:17">
      <c r="A28" s="39">
        <f>IF(B28="","","SP-"&amp;TEXT(ROW()-4,"0000"))</f>
        <v>0</v>
      </c>
      <c r="B28" s="32" t="s">
        <v>401</v>
      </c>
      <c r="C28" s="32" t="s">
        <v>1013</v>
      </c>
      <c r="D28" s="32" t="s">
        <v>1539</v>
      </c>
      <c r="E28" s="38">
        <v>12</v>
      </c>
      <c r="F28" s="17">
        <f>IF(B28="","",IFERROR(INDEX(Ingredients!$G$5:$G$304,MATCH(B28,Ingredients!$B$5:$B$304,0)),"Add to Ingredients"))</f>
        <v>0</v>
      </c>
      <c r="G28" s="36">
        <v>4.61</v>
      </c>
      <c r="H28" s="40" t="s">
        <v>312</v>
      </c>
      <c r="I28" s="25">
        <f>IF(OR(G28="",E28="",E28=0),"",G28/E28)</f>
        <v>0</v>
      </c>
      <c r="J28" s="25">
        <f>IF(I28="","",I28*100)</f>
        <v>0</v>
      </c>
      <c r="K28" s="25">
        <f>IF(B28="","",IFERROR(INDEX(Ingredients!$J$5:$J$304,MATCH(B28,Ingredients!$B$5:$B$304,0)),"Add to Ingredients"))</f>
        <v>0</v>
      </c>
      <c r="L28" s="25">
        <f>IF(OR(I28="",K28="",NOT(ISNUMBER(K28))),"",(I28-K28)*100)</f>
        <v>0</v>
      </c>
      <c r="M28" s="46">
        <f>IF(OR(B28="",J28=""),"",IF(I28&lt;=SUMPRODUCT(MIN((('Store Prices'!$B$5:$B$304=B28)*(IFERROR('Store Prices'!$I$5:$I$304*1,0)&gt;0))*IFERROR('Store Prices'!$I$5:$I$304*1,0)+(1-(('Store Prices'!$B$5:$B$304=B28)*(IFERROR('Store Prices'!$I$5:$I$304*1,0)&gt;0)))*999999))+0.0000001,"Yes","No"))</f>
        <v>0</v>
      </c>
      <c r="N28" s="15">
        <v>46295</v>
      </c>
      <c r="O28" s="18">
        <f>IF(N28="","",TODAY()-N28)</f>
        <v>0</v>
      </c>
      <c r="P28" s="31">
        <f>IF(B28="","",IF(G28="","Add - no price",IF(E28="","Add - no pack size",IF(AND(O28&lt;&gt;"",O28&gt;180),"Check - over six months old","OK"))))</f>
        <v>0</v>
      </c>
      <c r="Q28" s="43" t="s">
        <v>157</v>
      </c>
    </row>
    <row r="29" spans="1:17">
      <c r="A29" s="39">
        <f>IF(B29="","","SP-"&amp;TEXT(ROW()-4,"0000"))</f>
        <v>0</v>
      </c>
      <c r="B29" s="32" t="s">
        <v>905</v>
      </c>
      <c r="C29" s="32" t="s">
        <v>214</v>
      </c>
      <c r="D29" s="32" t="s">
        <v>1539</v>
      </c>
      <c r="E29" s="38">
        <v>400</v>
      </c>
      <c r="F29" s="17">
        <f>IF(B29="","",IFERROR(INDEX(Ingredients!$G$5:$G$304,MATCH(B29,Ingredients!$B$5:$B$304,0)),"Add to Ingredients"))</f>
        <v>0</v>
      </c>
      <c r="G29" s="36">
        <v>0.55</v>
      </c>
      <c r="H29" s="40" t="s">
        <v>312</v>
      </c>
      <c r="I29" s="25">
        <f>IF(OR(G29="",E29="",E29=0),"",G29/E29)</f>
        <v>0</v>
      </c>
      <c r="J29" s="25">
        <f>IF(I29="","",I29*100)</f>
        <v>0</v>
      </c>
      <c r="K29" s="25">
        <f>IF(B29="","",IFERROR(INDEX(Ingredients!$J$5:$J$304,MATCH(B29,Ingredients!$B$5:$B$304,0)),"Add to Ingredients"))</f>
        <v>0</v>
      </c>
      <c r="L29" s="25">
        <f>IF(OR(I29="",K29="",NOT(ISNUMBER(K29))),"",(I29-K29)*100)</f>
        <v>0</v>
      </c>
      <c r="M29" s="46">
        <f>IF(OR(B29="",J29=""),"",IF(I29&lt;=SUMPRODUCT(MIN((('Store Prices'!$B$5:$B$304=B29)*(IFERROR('Store Prices'!$I$5:$I$304*1,0)&gt;0))*IFERROR('Store Prices'!$I$5:$I$304*1,0)+(1-(('Store Prices'!$B$5:$B$304=B29)*(IFERROR('Store Prices'!$I$5:$I$304*1,0)&gt;0)))*999999))+0.0000001,"Yes","No"))</f>
        <v>0</v>
      </c>
      <c r="N29" s="15">
        <v>46257</v>
      </c>
      <c r="O29" s="18">
        <f>IF(N29="","",TODAY()-N29)</f>
        <v>0</v>
      </c>
      <c r="P29" s="31">
        <f>IF(B29="","",IF(G29="","Add - no price",IF(E29="","Add - no pack size",IF(AND(O29&lt;&gt;"",O29&gt;180),"Check - over six months old","OK"))))</f>
        <v>0</v>
      </c>
      <c r="Q29" s="43" t="s">
        <v>157</v>
      </c>
    </row>
    <row r="30" spans="1:17">
      <c r="A30" s="39">
        <f>IF(B30="","","SP-"&amp;TEXT(ROW()-4,"0000"))</f>
        <v>0</v>
      </c>
      <c r="B30" s="32" t="s">
        <v>905</v>
      </c>
      <c r="C30" s="32" t="s">
        <v>1010</v>
      </c>
      <c r="D30" s="32" t="s">
        <v>1012</v>
      </c>
      <c r="E30" s="38">
        <v>400</v>
      </c>
      <c r="F30" s="17">
        <f>IF(B30="","",IFERROR(INDEX(Ingredients!$G$5:$G$304,MATCH(B30,Ingredients!$B$5:$B$304,0)),"Add to Ingredients"))</f>
        <v>0</v>
      </c>
      <c r="G30" s="36">
        <v>0.45</v>
      </c>
      <c r="H30" s="40" t="s">
        <v>312</v>
      </c>
      <c r="I30" s="25">
        <f>IF(OR(G30="",E30="",E30=0),"",G30/E30)</f>
        <v>0</v>
      </c>
      <c r="J30" s="25">
        <f>IF(I30="","",I30*100)</f>
        <v>0</v>
      </c>
      <c r="K30" s="25">
        <f>IF(B30="","",IFERROR(INDEX(Ingredients!$J$5:$J$304,MATCH(B30,Ingredients!$B$5:$B$304,0)),"Add to Ingredients"))</f>
        <v>0</v>
      </c>
      <c r="L30" s="25">
        <f>IF(OR(I30="",K30="",NOT(ISNUMBER(K30))),"",(I30-K30)*100)</f>
        <v>0</v>
      </c>
      <c r="M30" s="46">
        <f>IF(OR(B30="",J30=""),"",IF(I30&lt;=SUMPRODUCT(MIN((('Store Prices'!$B$5:$B$304=B30)*(IFERROR('Store Prices'!$I$5:$I$304*1,0)&gt;0))*IFERROR('Store Prices'!$I$5:$I$304*1,0)+(1-(('Store Prices'!$B$5:$B$304=B30)*(IFERROR('Store Prices'!$I$5:$I$304*1,0)&gt;0)))*999999))+0.0000001,"Yes","No"))</f>
        <v>0</v>
      </c>
      <c r="N30" s="15">
        <v>46252</v>
      </c>
      <c r="O30" s="18">
        <f>IF(N30="","",TODAY()-N30)</f>
        <v>0</v>
      </c>
      <c r="P30" s="31">
        <f>IF(B30="","",IF(G30="","Add - no price",IF(E30="","Add - no pack size",IF(AND(O30&lt;&gt;"",O30&gt;180),"Check - over six months old","OK"))))</f>
        <v>0</v>
      </c>
      <c r="Q30" s="43" t="s">
        <v>157</v>
      </c>
    </row>
    <row r="31" spans="1:17">
      <c r="A31" s="39">
        <f>IF(B31="","","SP-"&amp;TEXT(ROW()-4,"0000"))</f>
        <v>0</v>
      </c>
      <c r="B31" s="32" t="s">
        <v>905</v>
      </c>
      <c r="C31" s="32" t="s">
        <v>1013</v>
      </c>
      <c r="D31" s="32" t="s">
        <v>1539</v>
      </c>
      <c r="E31" s="38">
        <v>400</v>
      </c>
      <c r="F31" s="17">
        <f>IF(B31="","",IFERROR(INDEX(Ingredients!$G$5:$G$304,MATCH(B31,Ingredients!$B$5:$B$304,0)),"Add to Ingredients"))</f>
        <v>0</v>
      </c>
      <c r="G31" s="36">
        <v>0.7</v>
      </c>
      <c r="H31" s="40" t="s">
        <v>312</v>
      </c>
      <c r="I31" s="25">
        <f>IF(OR(G31="",E31="",E31=0),"",G31/E31)</f>
        <v>0</v>
      </c>
      <c r="J31" s="25">
        <f>IF(I31="","",I31*100)</f>
        <v>0</v>
      </c>
      <c r="K31" s="25">
        <f>IF(B31="","",IFERROR(INDEX(Ingredients!$J$5:$J$304,MATCH(B31,Ingredients!$B$5:$B$304,0)),"Add to Ingredients"))</f>
        <v>0</v>
      </c>
      <c r="L31" s="25">
        <f>IF(OR(I31="",K31="",NOT(ISNUMBER(K31))),"",(I31-K31)*100)</f>
        <v>0</v>
      </c>
      <c r="M31" s="46">
        <f>IF(OR(B31="",J31=""),"",IF(I31&lt;=SUMPRODUCT(MIN((('Store Prices'!$B$5:$B$304=B31)*(IFERROR('Store Prices'!$I$5:$I$304*1,0)&gt;0))*IFERROR('Store Prices'!$I$5:$I$304*1,0)+(1-(('Store Prices'!$B$5:$B$304=B31)*(IFERROR('Store Prices'!$I$5:$I$304*1,0)&gt;0)))*999999))+0.0000001,"Yes","No"))</f>
        <v>0</v>
      </c>
      <c r="N31" s="15">
        <v>46269</v>
      </c>
      <c r="O31" s="18">
        <f>IF(N31="","",TODAY()-N31)</f>
        <v>0</v>
      </c>
      <c r="P31" s="31">
        <f>IF(B31="","",IF(G31="","Add - no price",IF(E31="","Add - no pack size",IF(AND(O31&lt;&gt;"",O31&gt;180),"Check - over six months old","OK"))))</f>
        <v>0</v>
      </c>
      <c r="Q31" s="43" t="s">
        <v>157</v>
      </c>
    </row>
    <row r="32" spans="1:17">
      <c r="A32" s="39">
        <f>IF(B32="","","SP-"&amp;TEXT(ROW()-4,"0000"))</f>
        <v>0</v>
      </c>
      <c r="B32" s="32" t="s">
        <v>943</v>
      </c>
      <c r="C32" s="32" t="s">
        <v>214</v>
      </c>
      <c r="D32" s="32" t="s">
        <v>1539</v>
      </c>
      <c r="E32" s="38">
        <v>1000</v>
      </c>
      <c r="F32" s="17">
        <f>IF(B32="","",IFERROR(INDEX(Ingredients!$G$5:$G$304,MATCH(B32,Ingredients!$B$5:$B$304,0)),"Add to Ingredients"))</f>
        <v>0</v>
      </c>
      <c r="G32" s="36">
        <v>1.3</v>
      </c>
      <c r="H32" s="40" t="s">
        <v>312</v>
      </c>
      <c r="I32" s="25">
        <f>IF(OR(G32="",E32="",E32=0),"",G32/E32)</f>
        <v>0</v>
      </c>
      <c r="J32" s="25">
        <f>IF(I32="","",I32*100)</f>
        <v>0</v>
      </c>
      <c r="K32" s="25">
        <f>IF(B32="","",IFERROR(INDEX(Ingredients!$J$5:$J$304,MATCH(B32,Ingredients!$B$5:$B$304,0)),"Add to Ingredients"))</f>
        <v>0</v>
      </c>
      <c r="L32" s="25">
        <f>IF(OR(I32="",K32="",NOT(ISNUMBER(K32))),"",(I32-K32)*100)</f>
        <v>0</v>
      </c>
      <c r="M32" s="46">
        <f>IF(OR(B32="",J32=""),"",IF(I32&lt;=SUMPRODUCT(MIN((('Store Prices'!$B$5:$B$304=B32)*(IFERROR('Store Prices'!$I$5:$I$304*1,0)&gt;0))*IFERROR('Store Prices'!$I$5:$I$304*1,0)+(1-(('Store Prices'!$B$5:$B$304=B32)*(IFERROR('Store Prices'!$I$5:$I$304*1,0)&gt;0)))*999999))+0.0000001,"Yes","No"))</f>
        <v>0</v>
      </c>
      <c r="N32" s="15">
        <v>46267</v>
      </c>
      <c r="O32" s="18">
        <f>IF(N32="","",TODAY()-N32)</f>
        <v>0</v>
      </c>
      <c r="P32" s="31">
        <f>IF(B32="","",IF(G32="","Add - no price",IF(E32="","Add - no pack size",IF(AND(O32&lt;&gt;"",O32&gt;180),"Check - over six months old","OK"))))</f>
        <v>0</v>
      </c>
      <c r="Q32" s="43" t="s">
        <v>157</v>
      </c>
    </row>
    <row r="33" spans="1:17">
      <c r="A33" s="39">
        <f>IF(B33="","","SP-"&amp;TEXT(ROW()-4,"0000"))</f>
        <v>0</v>
      </c>
      <c r="B33" s="32" t="s">
        <v>943</v>
      </c>
      <c r="C33" s="32" t="s">
        <v>1010</v>
      </c>
      <c r="D33" s="32" t="s">
        <v>1012</v>
      </c>
      <c r="E33" s="38">
        <v>1000</v>
      </c>
      <c r="F33" s="17">
        <f>IF(B33="","",IFERROR(INDEX(Ingredients!$G$5:$G$304,MATCH(B33,Ingredients!$B$5:$B$304,0)),"Add to Ingredients"))</f>
        <v>0</v>
      </c>
      <c r="G33" s="36">
        <v>1.07</v>
      </c>
      <c r="H33" s="40" t="s">
        <v>312</v>
      </c>
      <c r="I33" s="25">
        <f>IF(OR(G33="",E33="",E33=0),"",G33/E33)</f>
        <v>0</v>
      </c>
      <c r="J33" s="25">
        <f>IF(I33="","",I33*100)</f>
        <v>0</v>
      </c>
      <c r="K33" s="25">
        <f>IF(B33="","",IFERROR(INDEX(Ingredients!$J$5:$J$304,MATCH(B33,Ingredients!$B$5:$B$304,0)),"Add to Ingredients"))</f>
        <v>0</v>
      </c>
      <c r="L33" s="25">
        <f>IF(OR(I33="",K33="",NOT(ISNUMBER(K33))),"",(I33-K33)*100)</f>
        <v>0</v>
      </c>
      <c r="M33" s="46">
        <f>IF(OR(B33="",J33=""),"",IF(I33&lt;=SUMPRODUCT(MIN((('Store Prices'!$B$5:$B$304=B33)*(IFERROR('Store Prices'!$I$5:$I$304*1,0)&gt;0))*IFERROR('Store Prices'!$I$5:$I$304*1,0)+(1-(('Store Prices'!$B$5:$B$304=B33)*(IFERROR('Store Prices'!$I$5:$I$304*1,0)&gt;0)))*999999))+0.0000001,"Yes","No"))</f>
        <v>0</v>
      </c>
      <c r="N33" s="15">
        <v>46270</v>
      </c>
      <c r="O33" s="18">
        <f>IF(N33="","",TODAY()-N33)</f>
        <v>0</v>
      </c>
      <c r="P33" s="31">
        <f>IF(B33="","",IF(G33="","Add - no price",IF(E33="","Add - no pack size",IF(AND(O33&lt;&gt;"",O33&gt;180),"Check - over six months old","OK"))))</f>
        <v>0</v>
      </c>
      <c r="Q33" s="43" t="s">
        <v>157</v>
      </c>
    </row>
    <row r="34" spans="1:17">
      <c r="A34" s="39">
        <f>IF(B34="","","SP-"&amp;TEXT(ROW()-4,"0000"))</f>
        <v>0</v>
      </c>
      <c r="B34" s="32" t="s">
        <v>943</v>
      </c>
      <c r="C34" s="32" t="s">
        <v>1013</v>
      </c>
      <c r="D34" s="32" t="s">
        <v>1539</v>
      </c>
      <c r="E34" s="38">
        <v>1000</v>
      </c>
      <c r="F34" s="17">
        <f>IF(B34="","",IFERROR(INDEX(Ingredients!$G$5:$G$304,MATCH(B34,Ingredients!$B$5:$B$304,0)),"Add to Ingredients"))</f>
        <v>0</v>
      </c>
      <c r="G34" s="36">
        <v>1.66</v>
      </c>
      <c r="H34" s="40" t="s">
        <v>312</v>
      </c>
      <c r="I34" s="25">
        <f>IF(OR(G34="",E34="",E34=0),"",G34/E34)</f>
        <v>0</v>
      </c>
      <c r="J34" s="25">
        <f>IF(I34="","",I34*100)</f>
        <v>0</v>
      </c>
      <c r="K34" s="25">
        <f>IF(B34="","",IFERROR(INDEX(Ingredients!$J$5:$J$304,MATCH(B34,Ingredients!$B$5:$B$304,0)),"Add to Ingredients"))</f>
        <v>0</v>
      </c>
      <c r="L34" s="25">
        <f>IF(OR(I34="",K34="",NOT(ISNUMBER(K34))),"",(I34-K34)*100)</f>
        <v>0</v>
      </c>
      <c r="M34" s="46">
        <f>IF(OR(B34="",J34=""),"",IF(I34&lt;=SUMPRODUCT(MIN((('Store Prices'!$B$5:$B$304=B34)*(IFERROR('Store Prices'!$I$5:$I$304*1,0)&gt;0))*IFERROR('Store Prices'!$I$5:$I$304*1,0)+(1-(('Store Prices'!$B$5:$B$304=B34)*(IFERROR('Store Prices'!$I$5:$I$304*1,0)&gt;0)))*999999))+0.0000001,"Yes","No"))</f>
        <v>0</v>
      </c>
      <c r="N34" s="15">
        <v>46264</v>
      </c>
      <c r="O34" s="18">
        <f>IF(N34="","",TODAY()-N34)</f>
        <v>0</v>
      </c>
      <c r="P34" s="31">
        <f>IF(B34="","",IF(G34="","Add - no price",IF(E34="","Add - no pack size",IF(AND(O34&lt;&gt;"",O34&gt;180),"Check - over six months old","OK"))))</f>
        <v>0</v>
      </c>
      <c r="Q34" s="43" t="s">
        <v>157</v>
      </c>
    </row>
    <row r="35" spans="1:17">
      <c r="A35" s="39">
        <f>IF(B35="","","SP-"&amp;TEXT(ROW()-4,"0000"))</f>
        <v>0</v>
      </c>
      <c r="B35" s="32" t="s">
        <v>937</v>
      </c>
      <c r="C35" s="32" t="s">
        <v>214</v>
      </c>
      <c r="D35" s="32" t="s">
        <v>1539</v>
      </c>
      <c r="E35" s="38">
        <v>250</v>
      </c>
      <c r="F35" s="17">
        <f>IF(B35="","",IFERROR(INDEX(Ingredients!$G$5:$G$304,MATCH(B35,Ingredients!$B$5:$B$304,0)),"Add to Ingredients"))</f>
        <v>0</v>
      </c>
      <c r="G35" s="36">
        <v>2.25</v>
      </c>
      <c r="H35" s="40" t="s">
        <v>312</v>
      </c>
      <c r="I35" s="25">
        <f>IF(OR(G35="",E35="",E35=0),"",G35/E35)</f>
        <v>0</v>
      </c>
      <c r="J35" s="25">
        <f>IF(I35="","",I35*100)</f>
        <v>0</v>
      </c>
      <c r="K35" s="25">
        <f>IF(B35="","",IFERROR(INDEX(Ingredients!$J$5:$J$304,MATCH(B35,Ingredients!$B$5:$B$304,0)),"Add to Ingredients"))</f>
        <v>0</v>
      </c>
      <c r="L35" s="25">
        <f>IF(OR(I35="",K35="",NOT(ISNUMBER(K35))),"",(I35-K35)*100)</f>
        <v>0</v>
      </c>
      <c r="M35" s="46">
        <f>IF(OR(B35="",J35=""),"",IF(I35&lt;=SUMPRODUCT(MIN((('Store Prices'!$B$5:$B$304=B35)*(IFERROR('Store Prices'!$I$5:$I$304*1,0)&gt;0))*IFERROR('Store Prices'!$I$5:$I$304*1,0)+(1-(('Store Prices'!$B$5:$B$304=B35)*(IFERROR('Store Prices'!$I$5:$I$304*1,0)&gt;0)))*999999))+0.0000001,"Yes","No"))</f>
        <v>0</v>
      </c>
      <c r="N35" s="15">
        <v>46248</v>
      </c>
      <c r="O35" s="18">
        <f>IF(N35="","",TODAY()-N35)</f>
        <v>0</v>
      </c>
      <c r="P35" s="31">
        <f>IF(B35="","",IF(G35="","Add - no price",IF(E35="","Add - no pack size",IF(AND(O35&lt;&gt;"",O35&gt;180),"Check - over six months old","OK"))))</f>
        <v>0</v>
      </c>
      <c r="Q35" s="43" t="s">
        <v>157</v>
      </c>
    </row>
    <row r="36" spans="1:17">
      <c r="A36" s="39">
        <f>IF(B36="","","SP-"&amp;TEXT(ROW()-4,"0000"))</f>
        <v>0</v>
      </c>
      <c r="B36" s="32" t="s">
        <v>937</v>
      </c>
      <c r="C36" s="32" t="s">
        <v>1010</v>
      </c>
      <c r="D36" s="32" t="s">
        <v>1012</v>
      </c>
      <c r="E36" s="38">
        <v>250</v>
      </c>
      <c r="F36" s="17">
        <f>IF(B36="","",IFERROR(INDEX(Ingredients!$G$5:$G$304,MATCH(B36,Ingredients!$B$5:$B$304,0)),"Add to Ingredients"))</f>
        <v>0</v>
      </c>
      <c r="G36" s="36">
        <v>1.84</v>
      </c>
      <c r="H36" s="40" t="s">
        <v>312</v>
      </c>
      <c r="I36" s="25">
        <f>IF(OR(G36="",E36="",E36=0),"",G36/E36)</f>
        <v>0</v>
      </c>
      <c r="J36" s="25">
        <f>IF(I36="","",I36*100)</f>
        <v>0</v>
      </c>
      <c r="K36" s="25">
        <f>IF(B36="","",IFERROR(INDEX(Ingredients!$J$5:$J$304,MATCH(B36,Ingredients!$B$5:$B$304,0)),"Add to Ingredients"))</f>
        <v>0</v>
      </c>
      <c r="L36" s="25">
        <f>IF(OR(I36="",K36="",NOT(ISNUMBER(K36))),"",(I36-K36)*100)</f>
        <v>0</v>
      </c>
      <c r="M36" s="46">
        <f>IF(OR(B36="",J36=""),"",IF(I36&lt;=SUMPRODUCT(MIN((('Store Prices'!$B$5:$B$304=B36)*(IFERROR('Store Prices'!$I$5:$I$304*1,0)&gt;0))*IFERROR('Store Prices'!$I$5:$I$304*1,0)+(1-(('Store Prices'!$B$5:$B$304=B36)*(IFERROR('Store Prices'!$I$5:$I$304*1,0)&gt;0)))*999999))+0.0000001,"Yes","No"))</f>
        <v>0</v>
      </c>
      <c r="N36" s="15">
        <v>46288</v>
      </c>
      <c r="O36" s="18">
        <f>IF(N36="","",TODAY()-N36)</f>
        <v>0</v>
      </c>
      <c r="P36" s="31">
        <f>IF(B36="","",IF(G36="","Add - no price",IF(E36="","Add - no pack size",IF(AND(O36&lt;&gt;"",O36&gt;180),"Check - over six months old","OK"))))</f>
        <v>0</v>
      </c>
      <c r="Q36" s="43" t="s">
        <v>157</v>
      </c>
    </row>
    <row r="37" spans="1:17">
      <c r="A37" s="39">
        <f>IF(B37="","","SP-"&amp;TEXT(ROW()-4,"0000"))</f>
        <v>0</v>
      </c>
      <c r="B37" s="32" t="s">
        <v>937</v>
      </c>
      <c r="C37" s="32" t="s">
        <v>1013</v>
      </c>
      <c r="D37" s="32" t="s">
        <v>1539</v>
      </c>
      <c r="E37" s="38">
        <v>250</v>
      </c>
      <c r="F37" s="17">
        <f>IF(B37="","",IFERROR(INDEX(Ingredients!$G$5:$G$304,MATCH(B37,Ingredients!$B$5:$B$304,0)),"Add to Ingredients"))</f>
        <v>0</v>
      </c>
      <c r="G37" s="36">
        <v>2.88</v>
      </c>
      <c r="H37" s="40" t="s">
        <v>312</v>
      </c>
      <c r="I37" s="25">
        <f>IF(OR(G37="",E37="",E37=0),"",G37/E37)</f>
        <v>0</v>
      </c>
      <c r="J37" s="25">
        <f>IF(I37="","",I37*100)</f>
        <v>0</v>
      </c>
      <c r="K37" s="25">
        <f>IF(B37="","",IFERROR(INDEX(Ingredients!$J$5:$J$304,MATCH(B37,Ingredients!$B$5:$B$304,0)),"Add to Ingredients"))</f>
        <v>0</v>
      </c>
      <c r="L37" s="25">
        <f>IF(OR(I37="",K37="",NOT(ISNUMBER(K37))),"",(I37-K37)*100)</f>
        <v>0</v>
      </c>
      <c r="M37" s="46">
        <f>IF(OR(B37="",J37=""),"",IF(I37&lt;=SUMPRODUCT(MIN((('Store Prices'!$B$5:$B$304=B37)*(IFERROR('Store Prices'!$I$5:$I$304*1,0)&gt;0))*IFERROR('Store Prices'!$I$5:$I$304*1,0)+(1-(('Store Prices'!$B$5:$B$304=B37)*(IFERROR('Store Prices'!$I$5:$I$304*1,0)&gt;0)))*999999))+0.0000001,"Yes","No"))</f>
        <v>0</v>
      </c>
      <c r="N37" s="15">
        <v>46247</v>
      </c>
      <c r="O37" s="18">
        <f>IF(N37="","",TODAY()-N37)</f>
        <v>0</v>
      </c>
      <c r="P37" s="31">
        <f>IF(B37="","",IF(G37="","Add - no price",IF(E37="","Add - no pack size",IF(AND(O37&lt;&gt;"",O37&gt;180),"Check - over six months old","OK"))))</f>
        <v>0</v>
      </c>
      <c r="Q37" s="43" t="s">
        <v>157</v>
      </c>
    </row>
    <row r="38" spans="1:17">
      <c r="A38" s="39">
        <f>IF(B38="","","SP-"&amp;TEXT(ROW()-4,"0000"))</f>
        <v>0</v>
      </c>
      <c r="B38" s="32" t="s">
        <v>948</v>
      </c>
      <c r="C38" s="32" t="s">
        <v>214</v>
      </c>
      <c r="D38" s="32" t="s">
        <v>1539</v>
      </c>
      <c r="E38" s="38">
        <v>800</v>
      </c>
      <c r="F38" s="17">
        <f>IF(B38="","",IFERROR(INDEX(Ingredients!$G$5:$G$304,MATCH(B38,Ingredients!$B$5:$B$304,0)),"Add to Ingredients"))</f>
        <v>0</v>
      </c>
      <c r="G38" s="36">
        <v>1.35</v>
      </c>
      <c r="H38" s="40" t="s">
        <v>312</v>
      </c>
      <c r="I38" s="25">
        <f>IF(OR(G38="",E38="",E38=0),"",G38/E38)</f>
        <v>0</v>
      </c>
      <c r="J38" s="25">
        <f>IF(I38="","",I38*100)</f>
        <v>0</v>
      </c>
      <c r="K38" s="25">
        <f>IF(B38="","",IFERROR(INDEX(Ingredients!$J$5:$J$304,MATCH(B38,Ingredients!$B$5:$B$304,0)),"Add to Ingredients"))</f>
        <v>0</v>
      </c>
      <c r="L38" s="25">
        <f>IF(OR(I38="",K38="",NOT(ISNUMBER(K38))),"",(I38-K38)*100)</f>
        <v>0</v>
      </c>
      <c r="M38" s="46">
        <f>IF(OR(B38="",J38=""),"",IF(I38&lt;=SUMPRODUCT(MIN((('Store Prices'!$B$5:$B$304=B38)*(IFERROR('Store Prices'!$I$5:$I$304*1,0)&gt;0))*IFERROR('Store Prices'!$I$5:$I$304*1,0)+(1-(('Store Prices'!$B$5:$B$304=B38)*(IFERROR('Store Prices'!$I$5:$I$304*1,0)&gt;0)))*999999))+0.0000001,"Yes","No"))</f>
        <v>0</v>
      </c>
      <c r="N38" s="15">
        <v>46256</v>
      </c>
      <c r="O38" s="18">
        <f>IF(N38="","",TODAY()-N38)</f>
        <v>0</v>
      </c>
      <c r="P38" s="31">
        <f>IF(B38="","",IF(G38="","Add - no price",IF(E38="","Add - no pack size",IF(AND(O38&lt;&gt;"",O38&gt;180),"Check - over six months old","OK"))))</f>
        <v>0</v>
      </c>
      <c r="Q38" s="43" t="s">
        <v>157</v>
      </c>
    </row>
    <row r="39" spans="1:17">
      <c r="A39" s="39">
        <f>IF(B39="","","SP-"&amp;TEXT(ROW()-4,"0000"))</f>
        <v>0</v>
      </c>
      <c r="B39" s="32" t="s">
        <v>948</v>
      </c>
      <c r="C39" s="32" t="s">
        <v>1010</v>
      </c>
      <c r="D39" s="32" t="s">
        <v>1012</v>
      </c>
      <c r="E39" s="38">
        <v>800</v>
      </c>
      <c r="F39" s="17">
        <f>IF(B39="","",IFERROR(INDEX(Ingredients!$G$5:$G$304,MATCH(B39,Ingredients!$B$5:$B$304,0)),"Add to Ingredients"))</f>
        <v>0</v>
      </c>
      <c r="G39" s="36">
        <v>1.11</v>
      </c>
      <c r="H39" s="40" t="s">
        <v>312</v>
      </c>
      <c r="I39" s="25">
        <f>IF(OR(G39="",E39="",E39=0),"",G39/E39)</f>
        <v>0</v>
      </c>
      <c r="J39" s="25">
        <f>IF(I39="","",I39*100)</f>
        <v>0</v>
      </c>
      <c r="K39" s="25">
        <f>IF(B39="","",IFERROR(INDEX(Ingredients!$J$5:$J$304,MATCH(B39,Ingredients!$B$5:$B$304,0)),"Add to Ingredients"))</f>
        <v>0</v>
      </c>
      <c r="L39" s="25">
        <f>IF(OR(I39="",K39="",NOT(ISNUMBER(K39))),"",(I39-K39)*100)</f>
        <v>0</v>
      </c>
      <c r="M39" s="46">
        <f>IF(OR(B39="",J39=""),"",IF(I39&lt;=SUMPRODUCT(MIN((('Store Prices'!$B$5:$B$304=B39)*(IFERROR('Store Prices'!$I$5:$I$304*1,0)&gt;0))*IFERROR('Store Prices'!$I$5:$I$304*1,0)+(1-(('Store Prices'!$B$5:$B$304=B39)*(IFERROR('Store Prices'!$I$5:$I$304*1,0)&gt;0)))*999999))+0.0000001,"Yes","No"))</f>
        <v>0</v>
      </c>
      <c r="N39" s="15">
        <v>46270</v>
      </c>
      <c r="O39" s="18">
        <f>IF(N39="","",TODAY()-N39)</f>
        <v>0</v>
      </c>
      <c r="P39" s="31">
        <f>IF(B39="","",IF(G39="","Add - no price",IF(E39="","Add - no pack size",IF(AND(O39&lt;&gt;"",O39&gt;180),"Check - over six months old","OK"))))</f>
        <v>0</v>
      </c>
      <c r="Q39" s="43" t="s">
        <v>157</v>
      </c>
    </row>
    <row r="40" spans="1:17">
      <c r="A40" s="39">
        <f>IF(B40="","","SP-"&amp;TEXT(ROW()-4,"0000"))</f>
        <v>0</v>
      </c>
      <c r="B40" s="32" t="s">
        <v>948</v>
      </c>
      <c r="C40" s="32" t="s">
        <v>1013</v>
      </c>
      <c r="D40" s="32" t="s">
        <v>1539</v>
      </c>
      <c r="E40" s="38">
        <v>800</v>
      </c>
      <c r="F40" s="17">
        <f>IF(B40="","",IFERROR(INDEX(Ingredients!$G$5:$G$304,MATCH(B40,Ingredients!$B$5:$B$304,0)),"Add to Ingredients"))</f>
        <v>0</v>
      </c>
      <c r="G40" s="36">
        <v>1.73</v>
      </c>
      <c r="H40" s="40" t="s">
        <v>312</v>
      </c>
      <c r="I40" s="25">
        <f>IF(OR(G40="",E40="",E40=0),"",G40/E40)</f>
        <v>0</v>
      </c>
      <c r="J40" s="25">
        <f>IF(I40="","",I40*100)</f>
        <v>0</v>
      </c>
      <c r="K40" s="25">
        <f>IF(B40="","",IFERROR(INDEX(Ingredients!$J$5:$J$304,MATCH(B40,Ingredients!$B$5:$B$304,0)),"Add to Ingredients"))</f>
        <v>0</v>
      </c>
      <c r="L40" s="25">
        <f>IF(OR(I40="",K40="",NOT(ISNUMBER(K40))),"",(I40-K40)*100)</f>
        <v>0</v>
      </c>
      <c r="M40" s="46">
        <f>IF(OR(B40="",J40=""),"",IF(I40&lt;=SUMPRODUCT(MIN((('Store Prices'!$B$5:$B$304=B40)*(IFERROR('Store Prices'!$I$5:$I$304*1,0)&gt;0))*IFERROR('Store Prices'!$I$5:$I$304*1,0)+(1-(('Store Prices'!$B$5:$B$304=B40)*(IFERROR('Store Prices'!$I$5:$I$304*1,0)&gt;0)))*999999))+0.0000001,"Yes","No"))</f>
        <v>0</v>
      </c>
      <c r="N40" s="15">
        <v>46248</v>
      </c>
      <c r="O40" s="18">
        <f>IF(N40="","",TODAY()-N40)</f>
        <v>0</v>
      </c>
      <c r="P40" s="31">
        <f>IF(B40="","",IF(G40="","Add - no price",IF(E40="","Add - no pack size",IF(AND(O40&lt;&gt;"",O40&gt;180),"Check - over six months old","OK"))))</f>
        <v>0</v>
      </c>
      <c r="Q40" s="43" t="s">
        <v>157</v>
      </c>
    </row>
    <row r="41" spans="1:17">
      <c r="A41" s="39">
        <f>IF(B41="","","SP-"&amp;TEXT(ROW()-4,"0000"))</f>
        <v>0</v>
      </c>
      <c r="F41" s="17">
        <f>IF(B41="","",IFERROR(INDEX(Ingredients!$G$5:$G$304,MATCH(B41,Ingredients!$B$5:$B$304,0)),"Add to Ingredients"))</f>
        <v>0</v>
      </c>
      <c r="I41" s="25">
        <f>IF(OR(G41="",E41="",E41=0),"",G41/E41)</f>
        <v>0</v>
      </c>
      <c r="J41" s="25">
        <f>IF(I41="","",I41*100)</f>
        <v>0</v>
      </c>
      <c r="K41" s="25">
        <f>IF(B41="","",IFERROR(INDEX(Ingredients!$J$5:$J$304,MATCH(B41,Ingredients!$B$5:$B$304,0)),"Add to Ingredients"))</f>
        <v>0</v>
      </c>
      <c r="L41" s="25">
        <f>IF(OR(I41="",K41="",NOT(ISNUMBER(K41))),"",(I41-K41)*100)</f>
        <v>0</v>
      </c>
      <c r="M41" s="46">
        <f>IF(OR(B41="",J41=""),"",IF(I41&lt;=SUMPRODUCT(MIN((('Store Prices'!$B$5:$B$304=B41)*(IFERROR('Store Prices'!$I$5:$I$304*1,0)&gt;0))*IFERROR('Store Prices'!$I$5:$I$304*1,0)+(1-(('Store Prices'!$B$5:$B$304=B41)*(IFERROR('Store Prices'!$I$5:$I$304*1,0)&gt;0)))*999999))+0.0000001,"Yes","No"))</f>
        <v>0</v>
      </c>
      <c r="O41" s="18">
        <f>IF(N41="","",TODAY()-N41)</f>
        <v>0</v>
      </c>
      <c r="P41" s="31">
        <f>IF(B41="","",IF(G41="","Add - no price",IF(E41="","Add - no pack size",IF(AND(O41&lt;&gt;"",O41&gt;180),"Check - over six months old","OK"))))</f>
        <v>0</v>
      </c>
    </row>
    <row r="42" spans="1:17">
      <c r="A42" s="39">
        <f>IF(B42="","","SP-"&amp;TEXT(ROW()-4,"0000"))</f>
        <v>0</v>
      </c>
      <c r="F42" s="17">
        <f>IF(B42="","",IFERROR(INDEX(Ingredients!$G$5:$G$304,MATCH(B42,Ingredients!$B$5:$B$304,0)),"Add to Ingredients"))</f>
        <v>0</v>
      </c>
      <c r="I42" s="25">
        <f>IF(OR(G42="",E42="",E42=0),"",G42/E42)</f>
        <v>0</v>
      </c>
      <c r="J42" s="25">
        <f>IF(I42="","",I42*100)</f>
        <v>0</v>
      </c>
      <c r="K42" s="25">
        <f>IF(B42="","",IFERROR(INDEX(Ingredients!$J$5:$J$304,MATCH(B42,Ingredients!$B$5:$B$304,0)),"Add to Ingredients"))</f>
        <v>0</v>
      </c>
      <c r="L42" s="25">
        <f>IF(OR(I42="",K42="",NOT(ISNUMBER(K42))),"",(I42-K42)*100)</f>
        <v>0</v>
      </c>
      <c r="M42" s="46">
        <f>IF(OR(B42="",J42=""),"",IF(I42&lt;=SUMPRODUCT(MIN((('Store Prices'!$B$5:$B$304=B42)*(IFERROR('Store Prices'!$I$5:$I$304*1,0)&gt;0))*IFERROR('Store Prices'!$I$5:$I$304*1,0)+(1-(('Store Prices'!$B$5:$B$304=B42)*(IFERROR('Store Prices'!$I$5:$I$304*1,0)&gt;0)))*999999))+0.0000001,"Yes","No"))</f>
        <v>0</v>
      </c>
      <c r="O42" s="18">
        <f>IF(N42="","",TODAY()-N42)</f>
        <v>0</v>
      </c>
      <c r="P42" s="31">
        <f>IF(B42="","",IF(G42="","Add - no price",IF(E42="","Add - no pack size",IF(AND(O42&lt;&gt;"",O42&gt;180),"Check - over six months old","OK"))))</f>
        <v>0</v>
      </c>
    </row>
    <row r="43" spans="1:17">
      <c r="A43" s="39">
        <f>IF(B43="","","SP-"&amp;TEXT(ROW()-4,"0000"))</f>
        <v>0</v>
      </c>
      <c r="F43" s="17">
        <f>IF(B43="","",IFERROR(INDEX(Ingredients!$G$5:$G$304,MATCH(B43,Ingredients!$B$5:$B$304,0)),"Add to Ingredients"))</f>
        <v>0</v>
      </c>
      <c r="I43" s="25">
        <f>IF(OR(G43="",E43="",E43=0),"",G43/E43)</f>
        <v>0</v>
      </c>
      <c r="J43" s="25">
        <f>IF(I43="","",I43*100)</f>
        <v>0</v>
      </c>
      <c r="K43" s="25">
        <f>IF(B43="","",IFERROR(INDEX(Ingredients!$J$5:$J$304,MATCH(B43,Ingredients!$B$5:$B$304,0)),"Add to Ingredients"))</f>
        <v>0</v>
      </c>
      <c r="L43" s="25">
        <f>IF(OR(I43="",K43="",NOT(ISNUMBER(K43))),"",(I43-K43)*100)</f>
        <v>0</v>
      </c>
      <c r="M43" s="46">
        <f>IF(OR(B43="",J43=""),"",IF(I43&lt;=SUMPRODUCT(MIN((('Store Prices'!$B$5:$B$304=B43)*(IFERROR('Store Prices'!$I$5:$I$304*1,0)&gt;0))*IFERROR('Store Prices'!$I$5:$I$304*1,0)+(1-(('Store Prices'!$B$5:$B$304=B43)*(IFERROR('Store Prices'!$I$5:$I$304*1,0)&gt;0)))*999999))+0.0000001,"Yes","No"))</f>
        <v>0</v>
      </c>
      <c r="O43" s="18">
        <f>IF(N43="","",TODAY()-N43)</f>
        <v>0</v>
      </c>
      <c r="P43" s="31">
        <f>IF(B43="","",IF(G43="","Add - no price",IF(E43="","Add - no pack size",IF(AND(O43&lt;&gt;"",O43&gt;180),"Check - over six months old","OK"))))</f>
        <v>0</v>
      </c>
    </row>
    <row r="44" spans="1:17">
      <c r="A44" s="39">
        <f>IF(B44="","","SP-"&amp;TEXT(ROW()-4,"0000"))</f>
        <v>0</v>
      </c>
      <c r="F44" s="17">
        <f>IF(B44="","",IFERROR(INDEX(Ingredients!$G$5:$G$304,MATCH(B44,Ingredients!$B$5:$B$304,0)),"Add to Ingredients"))</f>
        <v>0</v>
      </c>
      <c r="I44" s="25">
        <f>IF(OR(G44="",E44="",E44=0),"",G44/E44)</f>
        <v>0</v>
      </c>
      <c r="J44" s="25">
        <f>IF(I44="","",I44*100)</f>
        <v>0</v>
      </c>
      <c r="K44" s="25">
        <f>IF(B44="","",IFERROR(INDEX(Ingredients!$J$5:$J$304,MATCH(B44,Ingredients!$B$5:$B$304,0)),"Add to Ingredients"))</f>
        <v>0</v>
      </c>
      <c r="L44" s="25">
        <f>IF(OR(I44="",K44="",NOT(ISNUMBER(K44))),"",(I44-K44)*100)</f>
        <v>0</v>
      </c>
      <c r="M44" s="46">
        <f>IF(OR(B44="",J44=""),"",IF(I44&lt;=SUMPRODUCT(MIN((('Store Prices'!$B$5:$B$304=B44)*(IFERROR('Store Prices'!$I$5:$I$304*1,0)&gt;0))*IFERROR('Store Prices'!$I$5:$I$304*1,0)+(1-(('Store Prices'!$B$5:$B$304=B44)*(IFERROR('Store Prices'!$I$5:$I$304*1,0)&gt;0)))*999999))+0.0000001,"Yes","No"))</f>
        <v>0</v>
      </c>
      <c r="O44" s="18">
        <f>IF(N44="","",TODAY()-N44)</f>
        <v>0</v>
      </c>
      <c r="P44" s="31">
        <f>IF(B44="","",IF(G44="","Add - no price",IF(E44="","Add - no pack size",IF(AND(O44&lt;&gt;"",O44&gt;180),"Check - over six months old","OK"))))</f>
        <v>0</v>
      </c>
    </row>
    <row r="45" spans="1:17">
      <c r="A45" s="39">
        <f>IF(B45="","","SP-"&amp;TEXT(ROW()-4,"0000"))</f>
        <v>0</v>
      </c>
      <c r="F45" s="17">
        <f>IF(B45="","",IFERROR(INDEX(Ingredients!$G$5:$G$304,MATCH(B45,Ingredients!$B$5:$B$304,0)),"Add to Ingredients"))</f>
        <v>0</v>
      </c>
      <c r="I45" s="25">
        <f>IF(OR(G45="",E45="",E45=0),"",G45/E45)</f>
        <v>0</v>
      </c>
      <c r="J45" s="25">
        <f>IF(I45="","",I45*100)</f>
        <v>0</v>
      </c>
      <c r="K45" s="25">
        <f>IF(B45="","",IFERROR(INDEX(Ingredients!$J$5:$J$304,MATCH(B45,Ingredients!$B$5:$B$304,0)),"Add to Ingredients"))</f>
        <v>0</v>
      </c>
      <c r="L45" s="25">
        <f>IF(OR(I45="",K45="",NOT(ISNUMBER(K45))),"",(I45-K45)*100)</f>
        <v>0</v>
      </c>
      <c r="M45" s="46">
        <f>IF(OR(B45="",J45=""),"",IF(I45&lt;=SUMPRODUCT(MIN((('Store Prices'!$B$5:$B$304=B45)*(IFERROR('Store Prices'!$I$5:$I$304*1,0)&gt;0))*IFERROR('Store Prices'!$I$5:$I$304*1,0)+(1-(('Store Prices'!$B$5:$B$304=B45)*(IFERROR('Store Prices'!$I$5:$I$304*1,0)&gt;0)))*999999))+0.0000001,"Yes","No"))</f>
        <v>0</v>
      </c>
      <c r="O45" s="18">
        <f>IF(N45="","",TODAY()-N45)</f>
        <v>0</v>
      </c>
      <c r="P45" s="31">
        <f>IF(B45="","",IF(G45="","Add - no price",IF(E45="","Add - no pack size",IF(AND(O45&lt;&gt;"",O45&gt;180),"Check - over six months old","OK"))))</f>
        <v>0</v>
      </c>
    </row>
    <row r="46" spans="1:17">
      <c r="A46" s="39">
        <f>IF(B46="","","SP-"&amp;TEXT(ROW()-4,"0000"))</f>
        <v>0</v>
      </c>
      <c r="F46" s="17">
        <f>IF(B46="","",IFERROR(INDEX(Ingredients!$G$5:$G$304,MATCH(B46,Ingredients!$B$5:$B$304,0)),"Add to Ingredients"))</f>
        <v>0</v>
      </c>
      <c r="I46" s="25">
        <f>IF(OR(G46="",E46="",E46=0),"",G46/E46)</f>
        <v>0</v>
      </c>
      <c r="J46" s="25">
        <f>IF(I46="","",I46*100)</f>
        <v>0</v>
      </c>
      <c r="K46" s="25">
        <f>IF(B46="","",IFERROR(INDEX(Ingredients!$J$5:$J$304,MATCH(B46,Ingredients!$B$5:$B$304,0)),"Add to Ingredients"))</f>
        <v>0</v>
      </c>
      <c r="L46" s="25">
        <f>IF(OR(I46="",K46="",NOT(ISNUMBER(K46))),"",(I46-K46)*100)</f>
        <v>0</v>
      </c>
      <c r="M46" s="46">
        <f>IF(OR(B46="",J46=""),"",IF(I46&lt;=SUMPRODUCT(MIN((('Store Prices'!$B$5:$B$304=B46)*(IFERROR('Store Prices'!$I$5:$I$304*1,0)&gt;0))*IFERROR('Store Prices'!$I$5:$I$304*1,0)+(1-(('Store Prices'!$B$5:$B$304=B46)*(IFERROR('Store Prices'!$I$5:$I$304*1,0)&gt;0)))*999999))+0.0000001,"Yes","No"))</f>
        <v>0</v>
      </c>
      <c r="O46" s="18">
        <f>IF(N46="","",TODAY()-N46)</f>
        <v>0</v>
      </c>
      <c r="P46" s="31">
        <f>IF(B46="","",IF(G46="","Add - no price",IF(E46="","Add - no pack size",IF(AND(O46&lt;&gt;"",O46&gt;180),"Check - over six months old","OK"))))</f>
        <v>0</v>
      </c>
    </row>
    <row r="47" spans="1:17">
      <c r="A47" s="39">
        <f>IF(B47="","","SP-"&amp;TEXT(ROW()-4,"0000"))</f>
        <v>0</v>
      </c>
      <c r="F47" s="17">
        <f>IF(B47="","",IFERROR(INDEX(Ingredients!$G$5:$G$304,MATCH(B47,Ingredients!$B$5:$B$304,0)),"Add to Ingredients"))</f>
        <v>0</v>
      </c>
      <c r="I47" s="25">
        <f>IF(OR(G47="",E47="",E47=0),"",G47/E47)</f>
        <v>0</v>
      </c>
      <c r="J47" s="25">
        <f>IF(I47="","",I47*100)</f>
        <v>0</v>
      </c>
      <c r="K47" s="25">
        <f>IF(B47="","",IFERROR(INDEX(Ingredients!$J$5:$J$304,MATCH(B47,Ingredients!$B$5:$B$304,0)),"Add to Ingredients"))</f>
        <v>0</v>
      </c>
      <c r="L47" s="25">
        <f>IF(OR(I47="",K47="",NOT(ISNUMBER(K47))),"",(I47-K47)*100)</f>
        <v>0</v>
      </c>
      <c r="M47" s="46">
        <f>IF(OR(B47="",J47=""),"",IF(I47&lt;=SUMPRODUCT(MIN((('Store Prices'!$B$5:$B$304=B47)*(IFERROR('Store Prices'!$I$5:$I$304*1,0)&gt;0))*IFERROR('Store Prices'!$I$5:$I$304*1,0)+(1-(('Store Prices'!$B$5:$B$304=B47)*(IFERROR('Store Prices'!$I$5:$I$304*1,0)&gt;0)))*999999))+0.0000001,"Yes","No"))</f>
        <v>0</v>
      </c>
      <c r="O47" s="18">
        <f>IF(N47="","",TODAY()-N47)</f>
        <v>0</v>
      </c>
      <c r="P47" s="31">
        <f>IF(B47="","",IF(G47="","Add - no price",IF(E47="","Add - no pack size",IF(AND(O47&lt;&gt;"",O47&gt;180),"Check - over six months old","OK"))))</f>
        <v>0</v>
      </c>
    </row>
    <row r="48" spans="1:17">
      <c r="A48" s="39">
        <f>IF(B48="","","SP-"&amp;TEXT(ROW()-4,"0000"))</f>
        <v>0</v>
      </c>
      <c r="F48" s="17">
        <f>IF(B48="","",IFERROR(INDEX(Ingredients!$G$5:$G$304,MATCH(B48,Ingredients!$B$5:$B$304,0)),"Add to Ingredients"))</f>
        <v>0</v>
      </c>
      <c r="I48" s="25">
        <f>IF(OR(G48="",E48="",E48=0),"",G48/E48)</f>
        <v>0</v>
      </c>
      <c r="J48" s="25">
        <f>IF(I48="","",I48*100)</f>
        <v>0</v>
      </c>
      <c r="K48" s="25">
        <f>IF(B48="","",IFERROR(INDEX(Ingredients!$J$5:$J$304,MATCH(B48,Ingredients!$B$5:$B$304,0)),"Add to Ingredients"))</f>
        <v>0</v>
      </c>
      <c r="L48" s="25">
        <f>IF(OR(I48="",K48="",NOT(ISNUMBER(K48))),"",(I48-K48)*100)</f>
        <v>0</v>
      </c>
      <c r="M48" s="46">
        <f>IF(OR(B48="",J48=""),"",IF(I48&lt;=SUMPRODUCT(MIN((('Store Prices'!$B$5:$B$304=B48)*(IFERROR('Store Prices'!$I$5:$I$304*1,0)&gt;0))*IFERROR('Store Prices'!$I$5:$I$304*1,0)+(1-(('Store Prices'!$B$5:$B$304=B48)*(IFERROR('Store Prices'!$I$5:$I$304*1,0)&gt;0)))*999999))+0.0000001,"Yes","No"))</f>
        <v>0</v>
      </c>
      <c r="O48" s="18">
        <f>IF(N48="","",TODAY()-N48)</f>
        <v>0</v>
      </c>
      <c r="P48" s="31">
        <f>IF(B48="","",IF(G48="","Add - no price",IF(E48="","Add - no pack size",IF(AND(O48&lt;&gt;"",O48&gt;180),"Check - over six months old","OK"))))</f>
        <v>0</v>
      </c>
    </row>
    <row r="49" spans="1:16">
      <c r="A49" s="39">
        <f>IF(B49="","","SP-"&amp;TEXT(ROW()-4,"0000"))</f>
        <v>0</v>
      </c>
      <c r="F49" s="17">
        <f>IF(B49="","",IFERROR(INDEX(Ingredients!$G$5:$G$304,MATCH(B49,Ingredients!$B$5:$B$304,0)),"Add to Ingredients"))</f>
        <v>0</v>
      </c>
      <c r="I49" s="25">
        <f>IF(OR(G49="",E49="",E49=0),"",G49/E49)</f>
        <v>0</v>
      </c>
      <c r="J49" s="25">
        <f>IF(I49="","",I49*100)</f>
        <v>0</v>
      </c>
      <c r="K49" s="25">
        <f>IF(B49="","",IFERROR(INDEX(Ingredients!$J$5:$J$304,MATCH(B49,Ingredients!$B$5:$B$304,0)),"Add to Ingredients"))</f>
        <v>0</v>
      </c>
      <c r="L49" s="25">
        <f>IF(OR(I49="",K49="",NOT(ISNUMBER(K49))),"",(I49-K49)*100)</f>
        <v>0</v>
      </c>
      <c r="M49" s="46">
        <f>IF(OR(B49="",J49=""),"",IF(I49&lt;=SUMPRODUCT(MIN((('Store Prices'!$B$5:$B$304=B49)*(IFERROR('Store Prices'!$I$5:$I$304*1,0)&gt;0))*IFERROR('Store Prices'!$I$5:$I$304*1,0)+(1-(('Store Prices'!$B$5:$B$304=B49)*(IFERROR('Store Prices'!$I$5:$I$304*1,0)&gt;0)))*999999))+0.0000001,"Yes","No"))</f>
        <v>0</v>
      </c>
      <c r="O49" s="18">
        <f>IF(N49="","",TODAY()-N49)</f>
        <v>0</v>
      </c>
      <c r="P49" s="31">
        <f>IF(B49="","",IF(G49="","Add - no price",IF(E49="","Add - no pack size",IF(AND(O49&lt;&gt;"",O49&gt;180),"Check - over six months old","OK"))))</f>
        <v>0</v>
      </c>
    </row>
    <row r="50" spans="1:16">
      <c r="A50" s="39">
        <f>IF(B50="","","SP-"&amp;TEXT(ROW()-4,"0000"))</f>
        <v>0</v>
      </c>
      <c r="F50" s="17">
        <f>IF(B50="","",IFERROR(INDEX(Ingredients!$G$5:$G$304,MATCH(B50,Ingredients!$B$5:$B$304,0)),"Add to Ingredients"))</f>
        <v>0</v>
      </c>
      <c r="I50" s="25">
        <f>IF(OR(G50="",E50="",E50=0),"",G50/E50)</f>
        <v>0</v>
      </c>
      <c r="J50" s="25">
        <f>IF(I50="","",I50*100)</f>
        <v>0</v>
      </c>
      <c r="K50" s="25">
        <f>IF(B50="","",IFERROR(INDEX(Ingredients!$J$5:$J$304,MATCH(B50,Ingredients!$B$5:$B$304,0)),"Add to Ingredients"))</f>
        <v>0</v>
      </c>
      <c r="L50" s="25">
        <f>IF(OR(I50="",K50="",NOT(ISNUMBER(K50))),"",(I50-K50)*100)</f>
        <v>0</v>
      </c>
      <c r="M50" s="46">
        <f>IF(OR(B50="",J50=""),"",IF(I50&lt;=SUMPRODUCT(MIN((('Store Prices'!$B$5:$B$304=B50)*(IFERROR('Store Prices'!$I$5:$I$304*1,0)&gt;0))*IFERROR('Store Prices'!$I$5:$I$304*1,0)+(1-(('Store Prices'!$B$5:$B$304=B50)*(IFERROR('Store Prices'!$I$5:$I$304*1,0)&gt;0)))*999999))+0.0000001,"Yes","No"))</f>
        <v>0</v>
      </c>
      <c r="O50" s="18">
        <f>IF(N50="","",TODAY()-N50)</f>
        <v>0</v>
      </c>
      <c r="P50" s="31">
        <f>IF(B50="","",IF(G50="","Add - no price",IF(E50="","Add - no pack size",IF(AND(O50&lt;&gt;"",O50&gt;180),"Check - over six months old","OK"))))</f>
        <v>0</v>
      </c>
    </row>
    <row r="51" spans="1:16">
      <c r="A51" s="39">
        <f>IF(B51="","","SP-"&amp;TEXT(ROW()-4,"0000"))</f>
        <v>0</v>
      </c>
      <c r="F51" s="17">
        <f>IF(B51="","",IFERROR(INDEX(Ingredients!$G$5:$G$304,MATCH(B51,Ingredients!$B$5:$B$304,0)),"Add to Ingredients"))</f>
        <v>0</v>
      </c>
      <c r="I51" s="25">
        <f>IF(OR(G51="",E51="",E51=0),"",G51/E51)</f>
        <v>0</v>
      </c>
      <c r="J51" s="25">
        <f>IF(I51="","",I51*100)</f>
        <v>0</v>
      </c>
      <c r="K51" s="25">
        <f>IF(B51="","",IFERROR(INDEX(Ingredients!$J$5:$J$304,MATCH(B51,Ingredients!$B$5:$B$304,0)),"Add to Ingredients"))</f>
        <v>0</v>
      </c>
      <c r="L51" s="25">
        <f>IF(OR(I51="",K51="",NOT(ISNUMBER(K51))),"",(I51-K51)*100)</f>
        <v>0</v>
      </c>
      <c r="M51" s="46">
        <f>IF(OR(B51="",J51=""),"",IF(I51&lt;=SUMPRODUCT(MIN((('Store Prices'!$B$5:$B$304=B51)*(IFERROR('Store Prices'!$I$5:$I$304*1,0)&gt;0))*IFERROR('Store Prices'!$I$5:$I$304*1,0)+(1-(('Store Prices'!$B$5:$B$304=B51)*(IFERROR('Store Prices'!$I$5:$I$304*1,0)&gt;0)))*999999))+0.0000001,"Yes","No"))</f>
        <v>0</v>
      </c>
      <c r="O51" s="18">
        <f>IF(N51="","",TODAY()-N51)</f>
        <v>0</v>
      </c>
      <c r="P51" s="31">
        <f>IF(B51="","",IF(G51="","Add - no price",IF(E51="","Add - no pack size",IF(AND(O51&lt;&gt;"",O51&gt;180),"Check - over six months old","OK"))))</f>
        <v>0</v>
      </c>
    </row>
    <row r="52" spans="1:16">
      <c r="A52" s="39">
        <f>IF(B52="","","SP-"&amp;TEXT(ROW()-4,"0000"))</f>
        <v>0</v>
      </c>
      <c r="F52" s="17">
        <f>IF(B52="","",IFERROR(INDEX(Ingredients!$G$5:$G$304,MATCH(B52,Ingredients!$B$5:$B$304,0)),"Add to Ingredients"))</f>
        <v>0</v>
      </c>
      <c r="I52" s="25">
        <f>IF(OR(G52="",E52="",E52=0),"",G52/E52)</f>
        <v>0</v>
      </c>
      <c r="J52" s="25">
        <f>IF(I52="","",I52*100)</f>
        <v>0</v>
      </c>
      <c r="K52" s="25">
        <f>IF(B52="","",IFERROR(INDEX(Ingredients!$J$5:$J$304,MATCH(B52,Ingredients!$B$5:$B$304,0)),"Add to Ingredients"))</f>
        <v>0</v>
      </c>
      <c r="L52" s="25">
        <f>IF(OR(I52="",K52="",NOT(ISNUMBER(K52))),"",(I52-K52)*100)</f>
        <v>0</v>
      </c>
      <c r="M52" s="46">
        <f>IF(OR(B52="",J52=""),"",IF(I52&lt;=SUMPRODUCT(MIN((('Store Prices'!$B$5:$B$304=B52)*(IFERROR('Store Prices'!$I$5:$I$304*1,0)&gt;0))*IFERROR('Store Prices'!$I$5:$I$304*1,0)+(1-(('Store Prices'!$B$5:$B$304=B52)*(IFERROR('Store Prices'!$I$5:$I$304*1,0)&gt;0)))*999999))+0.0000001,"Yes","No"))</f>
        <v>0</v>
      </c>
      <c r="O52" s="18">
        <f>IF(N52="","",TODAY()-N52)</f>
        <v>0</v>
      </c>
      <c r="P52" s="31">
        <f>IF(B52="","",IF(G52="","Add - no price",IF(E52="","Add - no pack size",IF(AND(O52&lt;&gt;"",O52&gt;180),"Check - over six months old","OK"))))</f>
        <v>0</v>
      </c>
    </row>
    <row r="53" spans="1:16">
      <c r="A53" s="39">
        <f>IF(B53="","","SP-"&amp;TEXT(ROW()-4,"0000"))</f>
        <v>0</v>
      </c>
      <c r="F53" s="17">
        <f>IF(B53="","",IFERROR(INDEX(Ingredients!$G$5:$G$304,MATCH(B53,Ingredients!$B$5:$B$304,0)),"Add to Ingredients"))</f>
        <v>0</v>
      </c>
      <c r="I53" s="25">
        <f>IF(OR(G53="",E53="",E53=0),"",G53/E53)</f>
        <v>0</v>
      </c>
      <c r="J53" s="25">
        <f>IF(I53="","",I53*100)</f>
        <v>0</v>
      </c>
      <c r="K53" s="25">
        <f>IF(B53="","",IFERROR(INDEX(Ingredients!$J$5:$J$304,MATCH(B53,Ingredients!$B$5:$B$304,0)),"Add to Ingredients"))</f>
        <v>0</v>
      </c>
      <c r="L53" s="25">
        <f>IF(OR(I53="",K53="",NOT(ISNUMBER(K53))),"",(I53-K53)*100)</f>
        <v>0</v>
      </c>
      <c r="M53" s="46">
        <f>IF(OR(B53="",J53=""),"",IF(I53&lt;=SUMPRODUCT(MIN((('Store Prices'!$B$5:$B$304=B53)*(IFERROR('Store Prices'!$I$5:$I$304*1,0)&gt;0))*IFERROR('Store Prices'!$I$5:$I$304*1,0)+(1-(('Store Prices'!$B$5:$B$304=B53)*(IFERROR('Store Prices'!$I$5:$I$304*1,0)&gt;0)))*999999))+0.0000001,"Yes","No"))</f>
        <v>0</v>
      </c>
      <c r="O53" s="18">
        <f>IF(N53="","",TODAY()-N53)</f>
        <v>0</v>
      </c>
      <c r="P53" s="31">
        <f>IF(B53="","",IF(G53="","Add - no price",IF(E53="","Add - no pack size",IF(AND(O53&lt;&gt;"",O53&gt;180),"Check - over six months old","OK"))))</f>
        <v>0</v>
      </c>
    </row>
    <row r="54" spans="1:16">
      <c r="A54" s="39">
        <f>IF(B54="","","SP-"&amp;TEXT(ROW()-4,"0000"))</f>
        <v>0</v>
      </c>
      <c r="F54" s="17">
        <f>IF(B54="","",IFERROR(INDEX(Ingredients!$G$5:$G$304,MATCH(B54,Ingredients!$B$5:$B$304,0)),"Add to Ingredients"))</f>
        <v>0</v>
      </c>
      <c r="I54" s="25">
        <f>IF(OR(G54="",E54="",E54=0),"",G54/E54)</f>
        <v>0</v>
      </c>
      <c r="J54" s="25">
        <f>IF(I54="","",I54*100)</f>
        <v>0</v>
      </c>
      <c r="K54" s="25">
        <f>IF(B54="","",IFERROR(INDEX(Ingredients!$J$5:$J$304,MATCH(B54,Ingredients!$B$5:$B$304,0)),"Add to Ingredients"))</f>
        <v>0</v>
      </c>
      <c r="L54" s="25">
        <f>IF(OR(I54="",K54="",NOT(ISNUMBER(K54))),"",(I54-K54)*100)</f>
        <v>0</v>
      </c>
      <c r="M54" s="46">
        <f>IF(OR(B54="",J54=""),"",IF(I54&lt;=SUMPRODUCT(MIN((('Store Prices'!$B$5:$B$304=B54)*(IFERROR('Store Prices'!$I$5:$I$304*1,0)&gt;0))*IFERROR('Store Prices'!$I$5:$I$304*1,0)+(1-(('Store Prices'!$B$5:$B$304=B54)*(IFERROR('Store Prices'!$I$5:$I$304*1,0)&gt;0)))*999999))+0.0000001,"Yes","No"))</f>
        <v>0</v>
      </c>
      <c r="O54" s="18">
        <f>IF(N54="","",TODAY()-N54)</f>
        <v>0</v>
      </c>
      <c r="P54" s="31">
        <f>IF(B54="","",IF(G54="","Add - no price",IF(E54="","Add - no pack size",IF(AND(O54&lt;&gt;"",O54&gt;180),"Check - over six months old","OK"))))</f>
        <v>0</v>
      </c>
    </row>
    <row r="55" spans="1:16">
      <c r="A55" s="39">
        <f>IF(B55="","","SP-"&amp;TEXT(ROW()-4,"0000"))</f>
        <v>0</v>
      </c>
      <c r="F55" s="17">
        <f>IF(B55="","",IFERROR(INDEX(Ingredients!$G$5:$G$304,MATCH(B55,Ingredients!$B$5:$B$304,0)),"Add to Ingredients"))</f>
        <v>0</v>
      </c>
      <c r="I55" s="25">
        <f>IF(OR(G55="",E55="",E55=0),"",G55/E55)</f>
        <v>0</v>
      </c>
      <c r="J55" s="25">
        <f>IF(I55="","",I55*100)</f>
        <v>0</v>
      </c>
      <c r="K55" s="25">
        <f>IF(B55="","",IFERROR(INDEX(Ingredients!$J$5:$J$304,MATCH(B55,Ingredients!$B$5:$B$304,0)),"Add to Ingredients"))</f>
        <v>0</v>
      </c>
      <c r="L55" s="25">
        <f>IF(OR(I55="",K55="",NOT(ISNUMBER(K55))),"",(I55-K55)*100)</f>
        <v>0</v>
      </c>
      <c r="M55" s="46">
        <f>IF(OR(B55="",J55=""),"",IF(I55&lt;=SUMPRODUCT(MIN((('Store Prices'!$B$5:$B$304=B55)*(IFERROR('Store Prices'!$I$5:$I$304*1,0)&gt;0))*IFERROR('Store Prices'!$I$5:$I$304*1,0)+(1-(('Store Prices'!$B$5:$B$304=B55)*(IFERROR('Store Prices'!$I$5:$I$304*1,0)&gt;0)))*999999))+0.0000001,"Yes","No"))</f>
        <v>0</v>
      </c>
      <c r="O55" s="18">
        <f>IF(N55="","",TODAY()-N55)</f>
        <v>0</v>
      </c>
      <c r="P55" s="31">
        <f>IF(B55="","",IF(G55="","Add - no price",IF(E55="","Add - no pack size",IF(AND(O55&lt;&gt;"",O55&gt;180),"Check - over six months old","OK"))))</f>
        <v>0</v>
      </c>
    </row>
    <row r="56" spans="1:16">
      <c r="A56" s="39">
        <f>IF(B56="","","SP-"&amp;TEXT(ROW()-4,"0000"))</f>
        <v>0</v>
      </c>
      <c r="F56" s="17">
        <f>IF(B56="","",IFERROR(INDEX(Ingredients!$G$5:$G$304,MATCH(B56,Ingredients!$B$5:$B$304,0)),"Add to Ingredients"))</f>
        <v>0</v>
      </c>
      <c r="I56" s="25">
        <f>IF(OR(G56="",E56="",E56=0),"",G56/E56)</f>
        <v>0</v>
      </c>
      <c r="J56" s="25">
        <f>IF(I56="","",I56*100)</f>
        <v>0</v>
      </c>
      <c r="K56" s="25">
        <f>IF(B56="","",IFERROR(INDEX(Ingredients!$J$5:$J$304,MATCH(B56,Ingredients!$B$5:$B$304,0)),"Add to Ingredients"))</f>
        <v>0</v>
      </c>
      <c r="L56" s="25">
        <f>IF(OR(I56="",K56="",NOT(ISNUMBER(K56))),"",(I56-K56)*100)</f>
        <v>0</v>
      </c>
      <c r="M56" s="46">
        <f>IF(OR(B56="",J56=""),"",IF(I56&lt;=SUMPRODUCT(MIN((('Store Prices'!$B$5:$B$304=B56)*(IFERROR('Store Prices'!$I$5:$I$304*1,0)&gt;0))*IFERROR('Store Prices'!$I$5:$I$304*1,0)+(1-(('Store Prices'!$B$5:$B$304=B56)*(IFERROR('Store Prices'!$I$5:$I$304*1,0)&gt;0)))*999999))+0.0000001,"Yes","No"))</f>
        <v>0</v>
      </c>
      <c r="O56" s="18">
        <f>IF(N56="","",TODAY()-N56)</f>
        <v>0</v>
      </c>
      <c r="P56" s="31">
        <f>IF(B56="","",IF(G56="","Add - no price",IF(E56="","Add - no pack size",IF(AND(O56&lt;&gt;"",O56&gt;180),"Check - over six months old","OK"))))</f>
        <v>0</v>
      </c>
    </row>
    <row r="57" spans="1:16">
      <c r="A57" s="39">
        <f>IF(B57="","","SP-"&amp;TEXT(ROW()-4,"0000"))</f>
        <v>0</v>
      </c>
      <c r="F57" s="17">
        <f>IF(B57="","",IFERROR(INDEX(Ingredients!$G$5:$G$304,MATCH(B57,Ingredients!$B$5:$B$304,0)),"Add to Ingredients"))</f>
        <v>0</v>
      </c>
      <c r="I57" s="25">
        <f>IF(OR(G57="",E57="",E57=0),"",G57/E57)</f>
        <v>0</v>
      </c>
      <c r="J57" s="25">
        <f>IF(I57="","",I57*100)</f>
        <v>0</v>
      </c>
      <c r="K57" s="25">
        <f>IF(B57="","",IFERROR(INDEX(Ingredients!$J$5:$J$304,MATCH(B57,Ingredients!$B$5:$B$304,0)),"Add to Ingredients"))</f>
        <v>0</v>
      </c>
      <c r="L57" s="25">
        <f>IF(OR(I57="",K57="",NOT(ISNUMBER(K57))),"",(I57-K57)*100)</f>
        <v>0</v>
      </c>
      <c r="M57" s="46">
        <f>IF(OR(B57="",J57=""),"",IF(I57&lt;=SUMPRODUCT(MIN((('Store Prices'!$B$5:$B$304=B57)*(IFERROR('Store Prices'!$I$5:$I$304*1,0)&gt;0))*IFERROR('Store Prices'!$I$5:$I$304*1,0)+(1-(('Store Prices'!$B$5:$B$304=B57)*(IFERROR('Store Prices'!$I$5:$I$304*1,0)&gt;0)))*999999))+0.0000001,"Yes","No"))</f>
        <v>0</v>
      </c>
      <c r="O57" s="18">
        <f>IF(N57="","",TODAY()-N57)</f>
        <v>0</v>
      </c>
      <c r="P57" s="31">
        <f>IF(B57="","",IF(G57="","Add - no price",IF(E57="","Add - no pack size",IF(AND(O57&lt;&gt;"",O57&gt;180),"Check - over six months old","OK"))))</f>
        <v>0</v>
      </c>
    </row>
    <row r="58" spans="1:16">
      <c r="A58" s="39">
        <f>IF(B58="","","SP-"&amp;TEXT(ROW()-4,"0000"))</f>
        <v>0</v>
      </c>
      <c r="F58" s="17">
        <f>IF(B58="","",IFERROR(INDEX(Ingredients!$G$5:$G$304,MATCH(B58,Ingredients!$B$5:$B$304,0)),"Add to Ingredients"))</f>
        <v>0</v>
      </c>
      <c r="I58" s="25">
        <f>IF(OR(G58="",E58="",E58=0),"",G58/E58)</f>
        <v>0</v>
      </c>
      <c r="J58" s="25">
        <f>IF(I58="","",I58*100)</f>
        <v>0</v>
      </c>
      <c r="K58" s="25">
        <f>IF(B58="","",IFERROR(INDEX(Ingredients!$J$5:$J$304,MATCH(B58,Ingredients!$B$5:$B$304,0)),"Add to Ingredients"))</f>
        <v>0</v>
      </c>
      <c r="L58" s="25">
        <f>IF(OR(I58="",K58="",NOT(ISNUMBER(K58))),"",(I58-K58)*100)</f>
        <v>0</v>
      </c>
      <c r="M58" s="46">
        <f>IF(OR(B58="",J58=""),"",IF(I58&lt;=SUMPRODUCT(MIN((('Store Prices'!$B$5:$B$304=B58)*(IFERROR('Store Prices'!$I$5:$I$304*1,0)&gt;0))*IFERROR('Store Prices'!$I$5:$I$304*1,0)+(1-(('Store Prices'!$B$5:$B$304=B58)*(IFERROR('Store Prices'!$I$5:$I$304*1,0)&gt;0)))*999999))+0.0000001,"Yes","No"))</f>
        <v>0</v>
      </c>
      <c r="O58" s="18">
        <f>IF(N58="","",TODAY()-N58)</f>
        <v>0</v>
      </c>
      <c r="P58" s="31">
        <f>IF(B58="","",IF(G58="","Add - no price",IF(E58="","Add - no pack size",IF(AND(O58&lt;&gt;"",O58&gt;180),"Check - over six months old","OK"))))</f>
        <v>0</v>
      </c>
    </row>
    <row r="59" spans="1:16">
      <c r="A59" s="39">
        <f>IF(B59="","","SP-"&amp;TEXT(ROW()-4,"0000"))</f>
        <v>0</v>
      </c>
      <c r="F59" s="17">
        <f>IF(B59="","",IFERROR(INDEX(Ingredients!$G$5:$G$304,MATCH(B59,Ingredients!$B$5:$B$304,0)),"Add to Ingredients"))</f>
        <v>0</v>
      </c>
      <c r="I59" s="25">
        <f>IF(OR(G59="",E59="",E59=0),"",G59/E59)</f>
        <v>0</v>
      </c>
      <c r="J59" s="25">
        <f>IF(I59="","",I59*100)</f>
        <v>0</v>
      </c>
      <c r="K59" s="25">
        <f>IF(B59="","",IFERROR(INDEX(Ingredients!$J$5:$J$304,MATCH(B59,Ingredients!$B$5:$B$304,0)),"Add to Ingredients"))</f>
        <v>0</v>
      </c>
      <c r="L59" s="25">
        <f>IF(OR(I59="",K59="",NOT(ISNUMBER(K59))),"",(I59-K59)*100)</f>
        <v>0</v>
      </c>
      <c r="M59" s="46">
        <f>IF(OR(B59="",J59=""),"",IF(I59&lt;=SUMPRODUCT(MIN((('Store Prices'!$B$5:$B$304=B59)*(IFERROR('Store Prices'!$I$5:$I$304*1,0)&gt;0))*IFERROR('Store Prices'!$I$5:$I$304*1,0)+(1-(('Store Prices'!$B$5:$B$304=B59)*(IFERROR('Store Prices'!$I$5:$I$304*1,0)&gt;0)))*999999))+0.0000001,"Yes","No"))</f>
        <v>0</v>
      </c>
      <c r="O59" s="18">
        <f>IF(N59="","",TODAY()-N59)</f>
        <v>0</v>
      </c>
      <c r="P59" s="31">
        <f>IF(B59="","",IF(G59="","Add - no price",IF(E59="","Add - no pack size",IF(AND(O59&lt;&gt;"",O59&gt;180),"Check - over six months old","OK"))))</f>
        <v>0</v>
      </c>
    </row>
    <row r="60" spans="1:16">
      <c r="A60" s="39">
        <f>IF(B60="","","SP-"&amp;TEXT(ROW()-4,"0000"))</f>
        <v>0</v>
      </c>
      <c r="F60" s="17">
        <f>IF(B60="","",IFERROR(INDEX(Ingredients!$G$5:$G$304,MATCH(B60,Ingredients!$B$5:$B$304,0)),"Add to Ingredients"))</f>
        <v>0</v>
      </c>
      <c r="I60" s="25">
        <f>IF(OR(G60="",E60="",E60=0),"",G60/E60)</f>
        <v>0</v>
      </c>
      <c r="J60" s="25">
        <f>IF(I60="","",I60*100)</f>
        <v>0</v>
      </c>
      <c r="K60" s="25">
        <f>IF(B60="","",IFERROR(INDEX(Ingredients!$J$5:$J$304,MATCH(B60,Ingredients!$B$5:$B$304,0)),"Add to Ingredients"))</f>
        <v>0</v>
      </c>
      <c r="L60" s="25">
        <f>IF(OR(I60="",K60="",NOT(ISNUMBER(K60))),"",(I60-K60)*100)</f>
        <v>0</v>
      </c>
      <c r="M60" s="46">
        <f>IF(OR(B60="",J60=""),"",IF(I60&lt;=SUMPRODUCT(MIN((('Store Prices'!$B$5:$B$304=B60)*(IFERROR('Store Prices'!$I$5:$I$304*1,0)&gt;0))*IFERROR('Store Prices'!$I$5:$I$304*1,0)+(1-(('Store Prices'!$B$5:$B$304=B60)*(IFERROR('Store Prices'!$I$5:$I$304*1,0)&gt;0)))*999999))+0.0000001,"Yes","No"))</f>
        <v>0</v>
      </c>
      <c r="O60" s="18">
        <f>IF(N60="","",TODAY()-N60)</f>
        <v>0</v>
      </c>
      <c r="P60" s="31">
        <f>IF(B60="","",IF(G60="","Add - no price",IF(E60="","Add - no pack size",IF(AND(O60&lt;&gt;"",O60&gt;180),"Check - over six months old","OK"))))</f>
        <v>0</v>
      </c>
    </row>
    <row r="61" spans="1:16">
      <c r="A61" s="39">
        <f>IF(B61="","","SP-"&amp;TEXT(ROW()-4,"0000"))</f>
        <v>0</v>
      </c>
      <c r="F61" s="17">
        <f>IF(B61="","",IFERROR(INDEX(Ingredients!$G$5:$G$304,MATCH(B61,Ingredients!$B$5:$B$304,0)),"Add to Ingredients"))</f>
        <v>0</v>
      </c>
      <c r="I61" s="25">
        <f>IF(OR(G61="",E61="",E61=0),"",G61/E61)</f>
        <v>0</v>
      </c>
      <c r="J61" s="25">
        <f>IF(I61="","",I61*100)</f>
        <v>0</v>
      </c>
      <c r="K61" s="25">
        <f>IF(B61="","",IFERROR(INDEX(Ingredients!$J$5:$J$304,MATCH(B61,Ingredients!$B$5:$B$304,0)),"Add to Ingredients"))</f>
        <v>0</v>
      </c>
      <c r="L61" s="25">
        <f>IF(OR(I61="",K61="",NOT(ISNUMBER(K61))),"",(I61-K61)*100)</f>
        <v>0</v>
      </c>
      <c r="M61" s="46">
        <f>IF(OR(B61="",J61=""),"",IF(I61&lt;=SUMPRODUCT(MIN((('Store Prices'!$B$5:$B$304=B61)*(IFERROR('Store Prices'!$I$5:$I$304*1,0)&gt;0))*IFERROR('Store Prices'!$I$5:$I$304*1,0)+(1-(('Store Prices'!$B$5:$B$304=B61)*(IFERROR('Store Prices'!$I$5:$I$304*1,0)&gt;0)))*999999))+0.0000001,"Yes","No"))</f>
        <v>0</v>
      </c>
      <c r="O61" s="18">
        <f>IF(N61="","",TODAY()-N61)</f>
        <v>0</v>
      </c>
      <c r="P61" s="31">
        <f>IF(B61="","",IF(G61="","Add - no price",IF(E61="","Add - no pack size",IF(AND(O61&lt;&gt;"",O61&gt;180),"Check - over six months old","OK"))))</f>
        <v>0</v>
      </c>
    </row>
    <row r="62" spans="1:16">
      <c r="A62" s="39">
        <f>IF(B62="","","SP-"&amp;TEXT(ROW()-4,"0000"))</f>
        <v>0</v>
      </c>
      <c r="F62" s="17">
        <f>IF(B62="","",IFERROR(INDEX(Ingredients!$G$5:$G$304,MATCH(B62,Ingredients!$B$5:$B$304,0)),"Add to Ingredients"))</f>
        <v>0</v>
      </c>
      <c r="I62" s="25">
        <f>IF(OR(G62="",E62="",E62=0),"",G62/E62)</f>
        <v>0</v>
      </c>
      <c r="J62" s="25">
        <f>IF(I62="","",I62*100)</f>
        <v>0</v>
      </c>
      <c r="K62" s="25">
        <f>IF(B62="","",IFERROR(INDEX(Ingredients!$J$5:$J$304,MATCH(B62,Ingredients!$B$5:$B$304,0)),"Add to Ingredients"))</f>
        <v>0</v>
      </c>
      <c r="L62" s="25">
        <f>IF(OR(I62="",K62="",NOT(ISNUMBER(K62))),"",(I62-K62)*100)</f>
        <v>0</v>
      </c>
      <c r="M62" s="46">
        <f>IF(OR(B62="",J62=""),"",IF(I62&lt;=SUMPRODUCT(MIN((('Store Prices'!$B$5:$B$304=B62)*(IFERROR('Store Prices'!$I$5:$I$304*1,0)&gt;0))*IFERROR('Store Prices'!$I$5:$I$304*1,0)+(1-(('Store Prices'!$B$5:$B$304=B62)*(IFERROR('Store Prices'!$I$5:$I$304*1,0)&gt;0)))*999999))+0.0000001,"Yes","No"))</f>
        <v>0</v>
      </c>
      <c r="O62" s="18">
        <f>IF(N62="","",TODAY()-N62)</f>
        <v>0</v>
      </c>
      <c r="P62" s="31">
        <f>IF(B62="","",IF(G62="","Add - no price",IF(E62="","Add - no pack size",IF(AND(O62&lt;&gt;"",O62&gt;180),"Check - over six months old","OK"))))</f>
        <v>0</v>
      </c>
    </row>
    <row r="63" spans="1:16">
      <c r="A63" s="39">
        <f>IF(B63="","","SP-"&amp;TEXT(ROW()-4,"0000"))</f>
        <v>0</v>
      </c>
      <c r="F63" s="17">
        <f>IF(B63="","",IFERROR(INDEX(Ingredients!$G$5:$G$304,MATCH(B63,Ingredients!$B$5:$B$304,0)),"Add to Ingredients"))</f>
        <v>0</v>
      </c>
      <c r="I63" s="25">
        <f>IF(OR(G63="",E63="",E63=0),"",G63/E63)</f>
        <v>0</v>
      </c>
      <c r="J63" s="25">
        <f>IF(I63="","",I63*100)</f>
        <v>0</v>
      </c>
      <c r="K63" s="25">
        <f>IF(B63="","",IFERROR(INDEX(Ingredients!$J$5:$J$304,MATCH(B63,Ingredients!$B$5:$B$304,0)),"Add to Ingredients"))</f>
        <v>0</v>
      </c>
      <c r="L63" s="25">
        <f>IF(OR(I63="",K63="",NOT(ISNUMBER(K63))),"",(I63-K63)*100)</f>
        <v>0</v>
      </c>
      <c r="M63" s="46">
        <f>IF(OR(B63="",J63=""),"",IF(I63&lt;=SUMPRODUCT(MIN((('Store Prices'!$B$5:$B$304=B63)*(IFERROR('Store Prices'!$I$5:$I$304*1,0)&gt;0))*IFERROR('Store Prices'!$I$5:$I$304*1,0)+(1-(('Store Prices'!$B$5:$B$304=B63)*(IFERROR('Store Prices'!$I$5:$I$304*1,0)&gt;0)))*999999))+0.0000001,"Yes","No"))</f>
        <v>0</v>
      </c>
      <c r="O63" s="18">
        <f>IF(N63="","",TODAY()-N63)</f>
        <v>0</v>
      </c>
      <c r="P63" s="31">
        <f>IF(B63="","",IF(G63="","Add - no price",IF(E63="","Add - no pack size",IF(AND(O63&lt;&gt;"",O63&gt;180),"Check - over six months old","OK"))))</f>
        <v>0</v>
      </c>
    </row>
    <row r="64" spans="1:16">
      <c r="A64" s="39">
        <f>IF(B64="","","SP-"&amp;TEXT(ROW()-4,"0000"))</f>
        <v>0</v>
      </c>
      <c r="F64" s="17">
        <f>IF(B64="","",IFERROR(INDEX(Ingredients!$G$5:$G$304,MATCH(B64,Ingredients!$B$5:$B$304,0)),"Add to Ingredients"))</f>
        <v>0</v>
      </c>
      <c r="I64" s="25">
        <f>IF(OR(G64="",E64="",E64=0),"",G64/E64)</f>
        <v>0</v>
      </c>
      <c r="J64" s="25">
        <f>IF(I64="","",I64*100)</f>
        <v>0</v>
      </c>
      <c r="K64" s="25">
        <f>IF(B64="","",IFERROR(INDEX(Ingredients!$J$5:$J$304,MATCH(B64,Ingredients!$B$5:$B$304,0)),"Add to Ingredients"))</f>
        <v>0</v>
      </c>
      <c r="L64" s="25">
        <f>IF(OR(I64="",K64="",NOT(ISNUMBER(K64))),"",(I64-K64)*100)</f>
        <v>0</v>
      </c>
      <c r="M64" s="46">
        <f>IF(OR(B64="",J64=""),"",IF(I64&lt;=SUMPRODUCT(MIN((('Store Prices'!$B$5:$B$304=B64)*(IFERROR('Store Prices'!$I$5:$I$304*1,0)&gt;0))*IFERROR('Store Prices'!$I$5:$I$304*1,0)+(1-(('Store Prices'!$B$5:$B$304=B64)*(IFERROR('Store Prices'!$I$5:$I$304*1,0)&gt;0)))*999999))+0.0000001,"Yes","No"))</f>
        <v>0</v>
      </c>
      <c r="O64" s="18">
        <f>IF(N64="","",TODAY()-N64)</f>
        <v>0</v>
      </c>
      <c r="P64" s="31">
        <f>IF(B64="","",IF(G64="","Add - no price",IF(E64="","Add - no pack size",IF(AND(O64&lt;&gt;"",O64&gt;180),"Check - over six months old","OK"))))</f>
        <v>0</v>
      </c>
    </row>
    <row r="65" spans="1:16">
      <c r="A65" s="39">
        <f>IF(B65="","","SP-"&amp;TEXT(ROW()-4,"0000"))</f>
        <v>0</v>
      </c>
      <c r="F65" s="17">
        <f>IF(B65="","",IFERROR(INDEX(Ingredients!$G$5:$G$304,MATCH(B65,Ingredients!$B$5:$B$304,0)),"Add to Ingredients"))</f>
        <v>0</v>
      </c>
      <c r="I65" s="25">
        <f>IF(OR(G65="",E65="",E65=0),"",G65/E65)</f>
        <v>0</v>
      </c>
      <c r="J65" s="25">
        <f>IF(I65="","",I65*100)</f>
        <v>0</v>
      </c>
      <c r="K65" s="25">
        <f>IF(B65="","",IFERROR(INDEX(Ingredients!$J$5:$J$304,MATCH(B65,Ingredients!$B$5:$B$304,0)),"Add to Ingredients"))</f>
        <v>0</v>
      </c>
      <c r="L65" s="25">
        <f>IF(OR(I65="",K65="",NOT(ISNUMBER(K65))),"",(I65-K65)*100)</f>
        <v>0</v>
      </c>
      <c r="M65" s="46">
        <f>IF(OR(B65="",J65=""),"",IF(I65&lt;=SUMPRODUCT(MIN((('Store Prices'!$B$5:$B$304=B65)*(IFERROR('Store Prices'!$I$5:$I$304*1,0)&gt;0))*IFERROR('Store Prices'!$I$5:$I$304*1,0)+(1-(('Store Prices'!$B$5:$B$304=B65)*(IFERROR('Store Prices'!$I$5:$I$304*1,0)&gt;0)))*999999))+0.0000001,"Yes","No"))</f>
        <v>0</v>
      </c>
      <c r="O65" s="18">
        <f>IF(N65="","",TODAY()-N65)</f>
        <v>0</v>
      </c>
      <c r="P65" s="31">
        <f>IF(B65="","",IF(G65="","Add - no price",IF(E65="","Add - no pack size",IF(AND(O65&lt;&gt;"",O65&gt;180),"Check - over six months old","OK"))))</f>
        <v>0</v>
      </c>
    </row>
    <row r="66" spans="1:16">
      <c r="A66" s="39">
        <f>IF(B66="","","SP-"&amp;TEXT(ROW()-4,"0000"))</f>
        <v>0</v>
      </c>
      <c r="F66" s="17">
        <f>IF(B66="","",IFERROR(INDEX(Ingredients!$G$5:$G$304,MATCH(B66,Ingredients!$B$5:$B$304,0)),"Add to Ingredients"))</f>
        <v>0</v>
      </c>
      <c r="I66" s="25">
        <f>IF(OR(G66="",E66="",E66=0),"",G66/E66)</f>
        <v>0</v>
      </c>
      <c r="J66" s="25">
        <f>IF(I66="","",I66*100)</f>
        <v>0</v>
      </c>
      <c r="K66" s="25">
        <f>IF(B66="","",IFERROR(INDEX(Ingredients!$J$5:$J$304,MATCH(B66,Ingredients!$B$5:$B$304,0)),"Add to Ingredients"))</f>
        <v>0</v>
      </c>
      <c r="L66" s="25">
        <f>IF(OR(I66="",K66="",NOT(ISNUMBER(K66))),"",(I66-K66)*100)</f>
        <v>0</v>
      </c>
      <c r="M66" s="46">
        <f>IF(OR(B66="",J66=""),"",IF(I66&lt;=SUMPRODUCT(MIN((('Store Prices'!$B$5:$B$304=B66)*(IFERROR('Store Prices'!$I$5:$I$304*1,0)&gt;0))*IFERROR('Store Prices'!$I$5:$I$304*1,0)+(1-(('Store Prices'!$B$5:$B$304=B66)*(IFERROR('Store Prices'!$I$5:$I$304*1,0)&gt;0)))*999999))+0.0000001,"Yes","No"))</f>
        <v>0</v>
      </c>
      <c r="O66" s="18">
        <f>IF(N66="","",TODAY()-N66)</f>
        <v>0</v>
      </c>
      <c r="P66" s="31">
        <f>IF(B66="","",IF(G66="","Add - no price",IF(E66="","Add - no pack size",IF(AND(O66&lt;&gt;"",O66&gt;180),"Check - over six months old","OK"))))</f>
        <v>0</v>
      </c>
    </row>
    <row r="67" spans="1:16">
      <c r="A67" s="39">
        <f>IF(B67="","","SP-"&amp;TEXT(ROW()-4,"0000"))</f>
        <v>0</v>
      </c>
      <c r="F67" s="17">
        <f>IF(B67="","",IFERROR(INDEX(Ingredients!$G$5:$G$304,MATCH(B67,Ingredients!$B$5:$B$304,0)),"Add to Ingredients"))</f>
        <v>0</v>
      </c>
      <c r="I67" s="25">
        <f>IF(OR(G67="",E67="",E67=0),"",G67/E67)</f>
        <v>0</v>
      </c>
      <c r="J67" s="25">
        <f>IF(I67="","",I67*100)</f>
        <v>0</v>
      </c>
      <c r="K67" s="25">
        <f>IF(B67="","",IFERROR(INDEX(Ingredients!$J$5:$J$304,MATCH(B67,Ingredients!$B$5:$B$304,0)),"Add to Ingredients"))</f>
        <v>0</v>
      </c>
      <c r="L67" s="25">
        <f>IF(OR(I67="",K67="",NOT(ISNUMBER(K67))),"",(I67-K67)*100)</f>
        <v>0</v>
      </c>
      <c r="M67" s="46">
        <f>IF(OR(B67="",J67=""),"",IF(I67&lt;=SUMPRODUCT(MIN((('Store Prices'!$B$5:$B$304=B67)*(IFERROR('Store Prices'!$I$5:$I$304*1,0)&gt;0))*IFERROR('Store Prices'!$I$5:$I$304*1,0)+(1-(('Store Prices'!$B$5:$B$304=B67)*(IFERROR('Store Prices'!$I$5:$I$304*1,0)&gt;0)))*999999))+0.0000001,"Yes","No"))</f>
        <v>0</v>
      </c>
      <c r="O67" s="18">
        <f>IF(N67="","",TODAY()-N67)</f>
        <v>0</v>
      </c>
      <c r="P67" s="31">
        <f>IF(B67="","",IF(G67="","Add - no price",IF(E67="","Add - no pack size",IF(AND(O67&lt;&gt;"",O67&gt;180),"Check - over six months old","OK"))))</f>
        <v>0</v>
      </c>
    </row>
    <row r="68" spans="1:16">
      <c r="A68" s="39">
        <f>IF(B68="","","SP-"&amp;TEXT(ROW()-4,"0000"))</f>
        <v>0</v>
      </c>
      <c r="F68" s="17">
        <f>IF(B68="","",IFERROR(INDEX(Ingredients!$G$5:$G$304,MATCH(B68,Ingredients!$B$5:$B$304,0)),"Add to Ingredients"))</f>
        <v>0</v>
      </c>
      <c r="I68" s="25">
        <f>IF(OR(G68="",E68="",E68=0),"",G68/E68)</f>
        <v>0</v>
      </c>
      <c r="J68" s="25">
        <f>IF(I68="","",I68*100)</f>
        <v>0</v>
      </c>
      <c r="K68" s="25">
        <f>IF(B68="","",IFERROR(INDEX(Ingredients!$J$5:$J$304,MATCH(B68,Ingredients!$B$5:$B$304,0)),"Add to Ingredients"))</f>
        <v>0</v>
      </c>
      <c r="L68" s="25">
        <f>IF(OR(I68="",K68="",NOT(ISNUMBER(K68))),"",(I68-K68)*100)</f>
        <v>0</v>
      </c>
      <c r="M68" s="46">
        <f>IF(OR(B68="",J68=""),"",IF(I68&lt;=SUMPRODUCT(MIN((('Store Prices'!$B$5:$B$304=B68)*(IFERROR('Store Prices'!$I$5:$I$304*1,0)&gt;0))*IFERROR('Store Prices'!$I$5:$I$304*1,0)+(1-(('Store Prices'!$B$5:$B$304=B68)*(IFERROR('Store Prices'!$I$5:$I$304*1,0)&gt;0)))*999999))+0.0000001,"Yes","No"))</f>
        <v>0</v>
      </c>
      <c r="O68" s="18">
        <f>IF(N68="","",TODAY()-N68)</f>
        <v>0</v>
      </c>
      <c r="P68" s="31">
        <f>IF(B68="","",IF(G68="","Add - no price",IF(E68="","Add - no pack size",IF(AND(O68&lt;&gt;"",O68&gt;180),"Check - over six months old","OK"))))</f>
        <v>0</v>
      </c>
    </row>
    <row r="69" spans="1:16">
      <c r="A69" s="39">
        <f>IF(B69="","","SP-"&amp;TEXT(ROW()-4,"0000"))</f>
        <v>0</v>
      </c>
      <c r="F69" s="17">
        <f>IF(B69="","",IFERROR(INDEX(Ingredients!$G$5:$G$304,MATCH(B69,Ingredients!$B$5:$B$304,0)),"Add to Ingredients"))</f>
        <v>0</v>
      </c>
      <c r="I69" s="25">
        <f>IF(OR(G69="",E69="",E69=0),"",G69/E69)</f>
        <v>0</v>
      </c>
      <c r="J69" s="25">
        <f>IF(I69="","",I69*100)</f>
        <v>0</v>
      </c>
      <c r="K69" s="25">
        <f>IF(B69="","",IFERROR(INDEX(Ingredients!$J$5:$J$304,MATCH(B69,Ingredients!$B$5:$B$304,0)),"Add to Ingredients"))</f>
        <v>0</v>
      </c>
      <c r="L69" s="25">
        <f>IF(OR(I69="",K69="",NOT(ISNUMBER(K69))),"",(I69-K69)*100)</f>
        <v>0</v>
      </c>
      <c r="M69" s="46">
        <f>IF(OR(B69="",J69=""),"",IF(I69&lt;=SUMPRODUCT(MIN((('Store Prices'!$B$5:$B$304=B69)*(IFERROR('Store Prices'!$I$5:$I$304*1,0)&gt;0))*IFERROR('Store Prices'!$I$5:$I$304*1,0)+(1-(('Store Prices'!$B$5:$B$304=B69)*(IFERROR('Store Prices'!$I$5:$I$304*1,0)&gt;0)))*999999))+0.0000001,"Yes","No"))</f>
        <v>0</v>
      </c>
      <c r="O69" s="18">
        <f>IF(N69="","",TODAY()-N69)</f>
        <v>0</v>
      </c>
      <c r="P69" s="31">
        <f>IF(B69="","",IF(G69="","Add - no price",IF(E69="","Add - no pack size",IF(AND(O69&lt;&gt;"",O69&gt;180),"Check - over six months old","OK"))))</f>
        <v>0</v>
      </c>
    </row>
    <row r="70" spans="1:16">
      <c r="A70" s="39">
        <f>IF(B70="","","SP-"&amp;TEXT(ROW()-4,"0000"))</f>
        <v>0</v>
      </c>
      <c r="F70" s="17">
        <f>IF(B70="","",IFERROR(INDEX(Ingredients!$G$5:$G$304,MATCH(B70,Ingredients!$B$5:$B$304,0)),"Add to Ingredients"))</f>
        <v>0</v>
      </c>
      <c r="I70" s="25">
        <f>IF(OR(G70="",E70="",E70=0),"",G70/E70)</f>
        <v>0</v>
      </c>
      <c r="J70" s="25">
        <f>IF(I70="","",I70*100)</f>
        <v>0</v>
      </c>
      <c r="K70" s="25">
        <f>IF(B70="","",IFERROR(INDEX(Ingredients!$J$5:$J$304,MATCH(B70,Ingredients!$B$5:$B$304,0)),"Add to Ingredients"))</f>
        <v>0</v>
      </c>
      <c r="L70" s="25">
        <f>IF(OR(I70="",K70="",NOT(ISNUMBER(K70))),"",(I70-K70)*100)</f>
        <v>0</v>
      </c>
      <c r="M70" s="46">
        <f>IF(OR(B70="",J70=""),"",IF(I70&lt;=SUMPRODUCT(MIN((('Store Prices'!$B$5:$B$304=B70)*(IFERROR('Store Prices'!$I$5:$I$304*1,0)&gt;0))*IFERROR('Store Prices'!$I$5:$I$304*1,0)+(1-(('Store Prices'!$B$5:$B$304=B70)*(IFERROR('Store Prices'!$I$5:$I$304*1,0)&gt;0)))*999999))+0.0000001,"Yes","No"))</f>
        <v>0</v>
      </c>
      <c r="O70" s="18">
        <f>IF(N70="","",TODAY()-N70)</f>
        <v>0</v>
      </c>
      <c r="P70" s="31">
        <f>IF(B70="","",IF(G70="","Add - no price",IF(E70="","Add - no pack size",IF(AND(O70&lt;&gt;"",O70&gt;180),"Check - over six months old","OK"))))</f>
        <v>0</v>
      </c>
    </row>
    <row r="71" spans="1:16">
      <c r="A71" s="39">
        <f>IF(B71="","","SP-"&amp;TEXT(ROW()-4,"0000"))</f>
        <v>0</v>
      </c>
      <c r="F71" s="17">
        <f>IF(B71="","",IFERROR(INDEX(Ingredients!$G$5:$G$304,MATCH(B71,Ingredients!$B$5:$B$304,0)),"Add to Ingredients"))</f>
        <v>0</v>
      </c>
      <c r="I71" s="25">
        <f>IF(OR(G71="",E71="",E71=0),"",G71/E71)</f>
        <v>0</v>
      </c>
      <c r="J71" s="25">
        <f>IF(I71="","",I71*100)</f>
        <v>0</v>
      </c>
      <c r="K71" s="25">
        <f>IF(B71="","",IFERROR(INDEX(Ingredients!$J$5:$J$304,MATCH(B71,Ingredients!$B$5:$B$304,0)),"Add to Ingredients"))</f>
        <v>0</v>
      </c>
      <c r="L71" s="25">
        <f>IF(OR(I71="",K71="",NOT(ISNUMBER(K71))),"",(I71-K71)*100)</f>
        <v>0</v>
      </c>
      <c r="M71" s="46">
        <f>IF(OR(B71="",J71=""),"",IF(I71&lt;=SUMPRODUCT(MIN((('Store Prices'!$B$5:$B$304=B71)*(IFERROR('Store Prices'!$I$5:$I$304*1,0)&gt;0))*IFERROR('Store Prices'!$I$5:$I$304*1,0)+(1-(('Store Prices'!$B$5:$B$304=B71)*(IFERROR('Store Prices'!$I$5:$I$304*1,0)&gt;0)))*999999))+0.0000001,"Yes","No"))</f>
        <v>0</v>
      </c>
      <c r="O71" s="18">
        <f>IF(N71="","",TODAY()-N71)</f>
        <v>0</v>
      </c>
      <c r="P71" s="31">
        <f>IF(B71="","",IF(G71="","Add - no price",IF(E71="","Add - no pack size",IF(AND(O71&lt;&gt;"",O71&gt;180),"Check - over six months old","OK"))))</f>
        <v>0</v>
      </c>
    </row>
    <row r="72" spans="1:16">
      <c r="A72" s="39">
        <f>IF(B72="","","SP-"&amp;TEXT(ROW()-4,"0000"))</f>
        <v>0</v>
      </c>
      <c r="F72" s="17">
        <f>IF(B72="","",IFERROR(INDEX(Ingredients!$G$5:$G$304,MATCH(B72,Ingredients!$B$5:$B$304,0)),"Add to Ingredients"))</f>
        <v>0</v>
      </c>
      <c r="I72" s="25">
        <f>IF(OR(G72="",E72="",E72=0),"",G72/E72)</f>
        <v>0</v>
      </c>
      <c r="J72" s="25">
        <f>IF(I72="","",I72*100)</f>
        <v>0</v>
      </c>
      <c r="K72" s="25">
        <f>IF(B72="","",IFERROR(INDEX(Ingredients!$J$5:$J$304,MATCH(B72,Ingredients!$B$5:$B$304,0)),"Add to Ingredients"))</f>
        <v>0</v>
      </c>
      <c r="L72" s="25">
        <f>IF(OR(I72="",K72="",NOT(ISNUMBER(K72))),"",(I72-K72)*100)</f>
        <v>0</v>
      </c>
      <c r="M72" s="46">
        <f>IF(OR(B72="",J72=""),"",IF(I72&lt;=SUMPRODUCT(MIN((('Store Prices'!$B$5:$B$304=B72)*(IFERROR('Store Prices'!$I$5:$I$304*1,0)&gt;0))*IFERROR('Store Prices'!$I$5:$I$304*1,0)+(1-(('Store Prices'!$B$5:$B$304=B72)*(IFERROR('Store Prices'!$I$5:$I$304*1,0)&gt;0)))*999999))+0.0000001,"Yes","No"))</f>
        <v>0</v>
      </c>
      <c r="O72" s="18">
        <f>IF(N72="","",TODAY()-N72)</f>
        <v>0</v>
      </c>
      <c r="P72" s="31">
        <f>IF(B72="","",IF(G72="","Add - no price",IF(E72="","Add - no pack size",IF(AND(O72&lt;&gt;"",O72&gt;180),"Check - over six months old","OK"))))</f>
        <v>0</v>
      </c>
    </row>
    <row r="73" spans="1:16">
      <c r="A73" s="39">
        <f>IF(B73="","","SP-"&amp;TEXT(ROW()-4,"0000"))</f>
        <v>0</v>
      </c>
      <c r="F73" s="17">
        <f>IF(B73="","",IFERROR(INDEX(Ingredients!$G$5:$G$304,MATCH(B73,Ingredients!$B$5:$B$304,0)),"Add to Ingredients"))</f>
        <v>0</v>
      </c>
      <c r="I73" s="25">
        <f>IF(OR(G73="",E73="",E73=0),"",G73/E73)</f>
        <v>0</v>
      </c>
      <c r="J73" s="25">
        <f>IF(I73="","",I73*100)</f>
        <v>0</v>
      </c>
      <c r="K73" s="25">
        <f>IF(B73="","",IFERROR(INDEX(Ingredients!$J$5:$J$304,MATCH(B73,Ingredients!$B$5:$B$304,0)),"Add to Ingredients"))</f>
        <v>0</v>
      </c>
      <c r="L73" s="25">
        <f>IF(OR(I73="",K73="",NOT(ISNUMBER(K73))),"",(I73-K73)*100)</f>
        <v>0</v>
      </c>
      <c r="M73" s="46">
        <f>IF(OR(B73="",J73=""),"",IF(I73&lt;=SUMPRODUCT(MIN((('Store Prices'!$B$5:$B$304=B73)*(IFERROR('Store Prices'!$I$5:$I$304*1,0)&gt;0))*IFERROR('Store Prices'!$I$5:$I$304*1,0)+(1-(('Store Prices'!$B$5:$B$304=B73)*(IFERROR('Store Prices'!$I$5:$I$304*1,0)&gt;0)))*999999))+0.0000001,"Yes","No"))</f>
        <v>0</v>
      </c>
      <c r="O73" s="18">
        <f>IF(N73="","",TODAY()-N73)</f>
        <v>0</v>
      </c>
      <c r="P73" s="31">
        <f>IF(B73="","",IF(G73="","Add - no price",IF(E73="","Add - no pack size",IF(AND(O73&lt;&gt;"",O73&gt;180),"Check - over six months old","OK"))))</f>
        <v>0</v>
      </c>
    </row>
    <row r="74" spans="1:16">
      <c r="A74" s="39">
        <f>IF(B74="","","SP-"&amp;TEXT(ROW()-4,"0000"))</f>
        <v>0</v>
      </c>
      <c r="F74" s="17">
        <f>IF(B74="","",IFERROR(INDEX(Ingredients!$G$5:$G$304,MATCH(B74,Ingredients!$B$5:$B$304,0)),"Add to Ingredients"))</f>
        <v>0</v>
      </c>
      <c r="I74" s="25">
        <f>IF(OR(G74="",E74="",E74=0),"",G74/E74)</f>
        <v>0</v>
      </c>
      <c r="J74" s="25">
        <f>IF(I74="","",I74*100)</f>
        <v>0</v>
      </c>
      <c r="K74" s="25">
        <f>IF(B74="","",IFERROR(INDEX(Ingredients!$J$5:$J$304,MATCH(B74,Ingredients!$B$5:$B$304,0)),"Add to Ingredients"))</f>
        <v>0</v>
      </c>
      <c r="L74" s="25">
        <f>IF(OR(I74="",K74="",NOT(ISNUMBER(K74))),"",(I74-K74)*100)</f>
        <v>0</v>
      </c>
      <c r="M74" s="46">
        <f>IF(OR(B74="",J74=""),"",IF(I74&lt;=SUMPRODUCT(MIN((('Store Prices'!$B$5:$B$304=B74)*(IFERROR('Store Prices'!$I$5:$I$304*1,0)&gt;0))*IFERROR('Store Prices'!$I$5:$I$304*1,0)+(1-(('Store Prices'!$B$5:$B$304=B74)*(IFERROR('Store Prices'!$I$5:$I$304*1,0)&gt;0)))*999999))+0.0000001,"Yes","No"))</f>
        <v>0</v>
      </c>
      <c r="O74" s="18">
        <f>IF(N74="","",TODAY()-N74)</f>
        <v>0</v>
      </c>
      <c r="P74" s="31">
        <f>IF(B74="","",IF(G74="","Add - no price",IF(E74="","Add - no pack size",IF(AND(O74&lt;&gt;"",O74&gt;180),"Check - over six months old","OK"))))</f>
        <v>0</v>
      </c>
    </row>
    <row r="75" spans="1:16">
      <c r="A75" s="39">
        <f>IF(B75="","","SP-"&amp;TEXT(ROW()-4,"0000"))</f>
        <v>0</v>
      </c>
      <c r="F75" s="17">
        <f>IF(B75="","",IFERROR(INDEX(Ingredients!$G$5:$G$304,MATCH(B75,Ingredients!$B$5:$B$304,0)),"Add to Ingredients"))</f>
        <v>0</v>
      </c>
      <c r="I75" s="25">
        <f>IF(OR(G75="",E75="",E75=0),"",G75/E75)</f>
        <v>0</v>
      </c>
      <c r="J75" s="25">
        <f>IF(I75="","",I75*100)</f>
        <v>0</v>
      </c>
      <c r="K75" s="25">
        <f>IF(B75="","",IFERROR(INDEX(Ingredients!$J$5:$J$304,MATCH(B75,Ingredients!$B$5:$B$304,0)),"Add to Ingredients"))</f>
        <v>0</v>
      </c>
      <c r="L75" s="25">
        <f>IF(OR(I75="",K75="",NOT(ISNUMBER(K75))),"",(I75-K75)*100)</f>
        <v>0</v>
      </c>
      <c r="M75" s="46">
        <f>IF(OR(B75="",J75=""),"",IF(I75&lt;=SUMPRODUCT(MIN((('Store Prices'!$B$5:$B$304=B75)*(IFERROR('Store Prices'!$I$5:$I$304*1,0)&gt;0))*IFERROR('Store Prices'!$I$5:$I$304*1,0)+(1-(('Store Prices'!$B$5:$B$304=B75)*(IFERROR('Store Prices'!$I$5:$I$304*1,0)&gt;0)))*999999))+0.0000001,"Yes","No"))</f>
        <v>0</v>
      </c>
      <c r="O75" s="18">
        <f>IF(N75="","",TODAY()-N75)</f>
        <v>0</v>
      </c>
      <c r="P75" s="31">
        <f>IF(B75="","",IF(G75="","Add - no price",IF(E75="","Add - no pack size",IF(AND(O75&lt;&gt;"",O75&gt;180),"Check - over six months old","OK"))))</f>
        <v>0</v>
      </c>
    </row>
    <row r="76" spans="1:16">
      <c r="A76" s="39">
        <f>IF(B76="","","SP-"&amp;TEXT(ROW()-4,"0000"))</f>
        <v>0</v>
      </c>
      <c r="F76" s="17">
        <f>IF(B76="","",IFERROR(INDEX(Ingredients!$G$5:$G$304,MATCH(B76,Ingredients!$B$5:$B$304,0)),"Add to Ingredients"))</f>
        <v>0</v>
      </c>
      <c r="I76" s="25">
        <f>IF(OR(G76="",E76="",E76=0),"",G76/E76)</f>
        <v>0</v>
      </c>
      <c r="J76" s="25">
        <f>IF(I76="","",I76*100)</f>
        <v>0</v>
      </c>
      <c r="K76" s="25">
        <f>IF(B76="","",IFERROR(INDEX(Ingredients!$J$5:$J$304,MATCH(B76,Ingredients!$B$5:$B$304,0)),"Add to Ingredients"))</f>
        <v>0</v>
      </c>
      <c r="L76" s="25">
        <f>IF(OR(I76="",K76="",NOT(ISNUMBER(K76))),"",(I76-K76)*100)</f>
        <v>0</v>
      </c>
      <c r="M76" s="46">
        <f>IF(OR(B76="",J76=""),"",IF(I76&lt;=SUMPRODUCT(MIN((('Store Prices'!$B$5:$B$304=B76)*(IFERROR('Store Prices'!$I$5:$I$304*1,0)&gt;0))*IFERROR('Store Prices'!$I$5:$I$304*1,0)+(1-(('Store Prices'!$B$5:$B$304=B76)*(IFERROR('Store Prices'!$I$5:$I$304*1,0)&gt;0)))*999999))+0.0000001,"Yes","No"))</f>
        <v>0</v>
      </c>
      <c r="O76" s="18">
        <f>IF(N76="","",TODAY()-N76)</f>
        <v>0</v>
      </c>
      <c r="P76" s="31">
        <f>IF(B76="","",IF(G76="","Add - no price",IF(E76="","Add - no pack size",IF(AND(O76&lt;&gt;"",O76&gt;180),"Check - over six months old","OK"))))</f>
        <v>0</v>
      </c>
    </row>
    <row r="77" spans="1:16">
      <c r="A77" s="39">
        <f>IF(B77="","","SP-"&amp;TEXT(ROW()-4,"0000"))</f>
        <v>0</v>
      </c>
      <c r="F77" s="17">
        <f>IF(B77="","",IFERROR(INDEX(Ingredients!$G$5:$G$304,MATCH(B77,Ingredients!$B$5:$B$304,0)),"Add to Ingredients"))</f>
        <v>0</v>
      </c>
      <c r="I77" s="25">
        <f>IF(OR(G77="",E77="",E77=0),"",G77/E77)</f>
        <v>0</v>
      </c>
      <c r="J77" s="25">
        <f>IF(I77="","",I77*100)</f>
        <v>0</v>
      </c>
      <c r="K77" s="25">
        <f>IF(B77="","",IFERROR(INDEX(Ingredients!$J$5:$J$304,MATCH(B77,Ingredients!$B$5:$B$304,0)),"Add to Ingredients"))</f>
        <v>0</v>
      </c>
      <c r="L77" s="25">
        <f>IF(OR(I77="",K77="",NOT(ISNUMBER(K77))),"",(I77-K77)*100)</f>
        <v>0</v>
      </c>
      <c r="M77" s="46">
        <f>IF(OR(B77="",J77=""),"",IF(I77&lt;=SUMPRODUCT(MIN((('Store Prices'!$B$5:$B$304=B77)*(IFERROR('Store Prices'!$I$5:$I$304*1,0)&gt;0))*IFERROR('Store Prices'!$I$5:$I$304*1,0)+(1-(('Store Prices'!$B$5:$B$304=B77)*(IFERROR('Store Prices'!$I$5:$I$304*1,0)&gt;0)))*999999))+0.0000001,"Yes","No"))</f>
        <v>0</v>
      </c>
      <c r="O77" s="18">
        <f>IF(N77="","",TODAY()-N77)</f>
        <v>0</v>
      </c>
      <c r="P77" s="31">
        <f>IF(B77="","",IF(G77="","Add - no price",IF(E77="","Add - no pack size",IF(AND(O77&lt;&gt;"",O77&gt;180),"Check - over six months old","OK"))))</f>
        <v>0</v>
      </c>
    </row>
    <row r="78" spans="1:16">
      <c r="A78" s="39">
        <f>IF(B78="","","SP-"&amp;TEXT(ROW()-4,"0000"))</f>
        <v>0</v>
      </c>
      <c r="F78" s="17">
        <f>IF(B78="","",IFERROR(INDEX(Ingredients!$G$5:$G$304,MATCH(B78,Ingredients!$B$5:$B$304,0)),"Add to Ingredients"))</f>
        <v>0</v>
      </c>
      <c r="I78" s="25">
        <f>IF(OR(G78="",E78="",E78=0),"",G78/E78)</f>
        <v>0</v>
      </c>
      <c r="J78" s="25">
        <f>IF(I78="","",I78*100)</f>
        <v>0</v>
      </c>
      <c r="K78" s="25">
        <f>IF(B78="","",IFERROR(INDEX(Ingredients!$J$5:$J$304,MATCH(B78,Ingredients!$B$5:$B$304,0)),"Add to Ingredients"))</f>
        <v>0</v>
      </c>
      <c r="L78" s="25">
        <f>IF(OR(I78="",K78="",NOT(ISNUMBER(K78))),"",(I78-K78)*100)</f>
        <v>0</v>
      </c>
      <c r="M78" s="46">
        <f>IF(OR(B78="",J78=""),"",IF(I78&lt;=SUMPRODUCT(MIN((('Store Prices'!$B$5:$B$304=B78)*(IFERROR('Store Prices'!$I$5:$I$304*1,0)&gt;0))*IFERROR('Store Prices'!$I$5:$I$304*1,0)+(1-(('Store Prices'!$B$5:$B$304=B78)*(IFERROR('Store Prices'!$I$5:$I$304*1,0)&gt;0)))*999999))+0.0000001,"Yes","No"))</f>
        <v>0</v>
      </c>
      <c r="O78" s="18">
        <f>IF(N78="","",TODAY()-N78)</f>
        <v>0</v>
      </c>
      <c r="P78" s="31">
        <f>IF(B78="","",IF(G78="","Add - no price",IF(E78="","Add - no pack size",IF(AND(O78&lt;&gt;"",O78&gt;180),"Check - over six months old","OK"))))</f>
        <v>0</v>
      </c>
    </row>
    <row r="79" spans="1:16">
      <c r="A79" s="39">
        <f>IF(B79="","","SP-"&amp;TEXT(ROW()-4,"0000"))</f>
        <v>0</v>
      </c>
      <c r="F79" s="17">
        <f>IF(B79="","",IFERROR(INDEX(Ingredients!$G$5:$G$304,MATCH(B79,Ingredients!$B$5:$B$304,0)),"Add to Ingredients"))</f>
        <v>0</v>
      </c>
      <c r="I79" s="25">
        <f>IF(OR(G79="",E79="",E79=0),"",G79/E79)</f>
        <v>0</v>
      </c>
      <c r="J79" s="25">
        <f>IF(I79="","",I79*100)</f>
        <v>0</v>
      </c>
      <c r="K79" s="25">
        <f>IF(B79="","",IFERROR(INDEX(Ingredients!$J$5:$J$304,MATCH(B79,Ingredients!$B$5:$B$304,0)),"Add to Ingredients"))</f>
        <v>0</v>
      </c>
      <c r="L79" s="25">
        <f>IF(OR(I79="",K79="",NOT(ISNUMBER(K79))),"",(I79-K79)*100)</f>
        <v>0</v>
      </c>
      <c r="M79" s="46">
        <f>IF(OR(B79="",J79=""),"",IF(I79&lt;=SUMPRODUCT(MIN((('Store Prices'!$B$5:$B$304=B79)*(IFERROR('Store Prices'!$I$5:$I$304*1,0)&gt;0))*IFERROR('Store Prices'!$I$5:$I$304*1,0)+(1-(('Store Prices'!$B$5:$B$304=B79)*(IFERROR('Store Prices'!$I$5:$I$304*1,0)&gt;0)))*999999))+0.0000001,"Yes","No"))</f>
        <v>0</v>
      </c>
      <c r="O79" s="18">
        <f>IF(N79="","",TODAY()-N79)</f>
        <v>0</v>
      </c>
      <c r="P79" s="31">
        <f>IF(B79="","",IF(G79="","Add - no price",IF(E79="","Add - no pack size",IF(AND(O79&lt;&gt;"",O79&gt;180),"Check - over six months old","OK"))))</f>
        <v>0</v>
      </c>
    </row>
    <row r="80" spans="1:16">
      <c r="A80" s="39">
        <f>IF(B80="","","SP-"&amp;TEXT(ROW()-4,"0000"))</f>
        <v>0</v>
      </c>
      <c r="F80" s="17">
        <f>IF(B80="","",IFERROR(INDEX(Ingredients!$G$5:$G$304,MATCH(B80,Ingredients!$B$5:$B$304,0)),"Add to Ingredients"))</f>
        <v>0</v>
      </c>
      <c r="I80" s="25">
        <f>IF(OR(G80="",E80="",E80=0),"",G80/E80)</f>
        <v>0</v>
      </c>
      <c r="J80" s="25">
        <f>IF(I80="","",I80*100)</f>
        <v>0</v>
      </c>
      <c r="K80" s="25">
        <f>IF(B80="","",IFERROR(INDEX(Ingredients!$J$5:$J$304,MATCH(B80,Ingredients!$B$5:$B$304,0)),"Add to Ingredients"))</f>
        <v>0</v>
      </c>
      <c r="L80" s="25">
        <f>IF(OR(I80="",K80="",NOT(ISNUMBER(K80))),"",(I80-K80)*100)</f>
        <v>0</v>
      </c>
      <c r="M80" s="46">
        <f>IF(OR(B80="",J80=""),"",IF(I80&lt;=SUMPRODUCT(MIN((('Store Prices'!$B$5:$B$304=B80)*(IFERROR('Store Prices'!$I$5:$I$304*1,0)&gt;0))*IFERROR('Store Prices'!$I$5:$I$304*1,0)+(1-(('Store Prices'!$B$5:$B$304=B80)*(IFERROR('Store Prices'!$I$5:$I$304*1,0)&gt;0)))*999999))+0.0000001,"Yes","No"))</f>
        <v>0</v>
      </c>
      <c r="O80" s="18">
        <f>IF(N80="","",TODAY()-N80)</f>
        <v>0</v>
      </c>
      <c r="P80" s="31">
        <f>IF(B80="","",IF(G80="","Add - no price",IF(E80="","Add - no pack size",IF(AND(O80&lt;&gt;"",O80&gt;180),"Check - over six months old","OK"))))</f>
        <v>0</v>
      </c>
    </row>
    <row r="81" spans="1:16">
      <c r="A81" s="39">
        <f>IF(B81="","","SP-"&amp;TEXT(ROW()-4,"0000"))</f>
        <v>0</v>
      </c>
      <c r="F81" s="17">
        <f>IF(B81="","",IFERROR(INDEX(Ingredients!$G$5:$G$304,MATCH(B81,Ingredients!$B$5:$B$304,0)),"Add to Ingredients"))</f>
        <v>0</v>
      </c>
      <c r="I81" s="25">
        <f>IF(OR(G81="",E81="",E81=0),"",G81/E81)</f>
        <v>0</v>
      </c>
      <c r="J81" s="25">
        <f>IF(I81="","",I81*100)</f>
        <v>0</v>
      </c>
      <c r="K81" s="25">
        <f>IF(B81="","",IFERROR(INDEX(Ingredients!$J$5:$J$304,MATCH(B81,Ingredients!$B$5:$B$304,0)),"Add to Ingredients"))</f>
        <v>0</v>
      </c>
      <c r="L81" s="25">
        <f>IF(OR(I81="",K81="",NOT(ISNUMBER(K81))),"",(I81-K81)*100)</f>
        <v>0</v>
      </c>
      <c r="M81" s="46">
        <f>IF(OR(B81="",J81=""),"",IF(I81&lt;=SUMPRODUCT(MIN((('Store Prices'!$B$5:$B$304=B81)*(IFERROR('Store Prices'!$I$5:$I$304*1,0)&gt;0))*IFERROR('Store Prices'!$I$5:$I$304*1,0)+(1-(('Store Prices'!$B$5:$B$304=B81)*(IFERROR('Store Prices'!$I$5:$I$304*1,0)&gt;0)))*999999))+0.0000001,"Yes","No"))</f>
        <v>0</v>
      </c>
      <c r="O81" s="18">
        <f>IF(N81="","",TODAY()-N81)</f>
        <v>0</v>
      </c>
      <c r="P81" s="31">
        <f>IF(B81="","",IF(G81="","Add - no price",IF(E81="","Add - no pack size",IF(AND(O81&lt;&gt;"",O81&gt;180),"Check - over six months old","OK"))))</f>
        <v>0</v>
      </c>
    </row>
    <row r="82" spans="1:16">
      <c r="A82" s="39">
        <f>IF(B82="","","SP-"&amp;TEXT(ROW()-4,"0000"))</f>
        <v>0</v>
      </c>
      <c r="F82" s="17">
        <f>IF(B82="","",IFERROR(INDEX(Ingredients!$G$5:$G$304,MATCH(B82,Ingredients!$B$5:$B$304,0)),"Add to Ingredients"))</f>
        <v>0</v>
      </c>
      <c r="I82" s="25">
        <f>IF(OR(G82="",E82="",E82=0),"",G82/E82)</f>
        <v>0</v>
      </c>
      <c r="J82" s="25">
        <f>IF(I82="","",I82*100)</f>
        <v>0</v>
      </c>
      <c r="K82" s="25">
        <f>IF(B82="","",IFERROR(INDEX(Ingredients!$J$5:$J$304,MATCH(B82,Ingredients!$B$5:$B$304,0)),"Add to Ingredients"))</f>
        <v>0</v>
      </c>
      <c r="L82" s="25">
        <f>IF(OR(I82="",K82="",NOT(ISNUMBER(K82))),"",(I82-K82)*100)</f>
        <v>0</v>
      </c>
      <c r="M82" s="46">
        <f>IF(OR(B82="",J82=""),"",IF(I82&lt;=SUMPRODUCT(MIN((('Store Prices'!$B$5:$B$304=B82)*(IFERROR('Store Prices'!$I$5:$I$304*1,0)&gt;0))*IFERROR('Store Prices'!$I$5:$I$304*1,0)+(1-(('Store Prices'!$B$5:$B$304=B82)*(IFERROR('Store Prices'!$I$5:$I$304*1,0)&gt;0)))*999999))+0.0000001,"Yes","No"))</f>
        <v>0</v>
      </c>
      <c r="O82" s="18">
        <f>IF(N82="","",TODAY()-N82)</f>
        <v>0</v>
      </c>
      <c r="P82" s="31">
        <f>IF(B82="","",IF(G82="","Add - no price",IF(E82="","Add - no pack size",IF(AND(O82&lt;&gt;"",O82&gt;180),"Check - over six months old","OK"))))</f>
        <v>0</v>
      </c>
    </row>
    <row r="83" spans="1:16">
      <c r="A83" s="39">
        <f>IF(B83="","","SP-"&amp;TEXT(ROW()-4,"0000"))</f>
        <v>0</v>
      </c>
      <c r="F83" s="17">
        <f>IF(B83="","",IFERROR(INDEX(Ingredients!$G$5:$G$304,MATCH(B83,Ingredients!$B$5:$B$304,0)),"Add to Ingredients"))</f>
        <v>0</v>
      </c>
      <c r="I83" s="25">
        <f>IF(OR(G83="",E83="",E83=0),"",G83/E83)</f>
        <v>0</v>
      </c>
      <c r="J83" s="25">
        <f>IF(I83="","",I83*100)</f>
        <v>0</v>
      </c>
      <c r="K83" s="25">
        <f>IF(B83="","",IFERROR(INDEX(Ingredients!$J$5:$J$304,MATCH(B83,Ingredients!$B$5:$B$304,0)),"Add to Ingredients"))</f>
        <v>0</v>
      </c>
      <c r="L83" s="25">
        <f>IF(OR(I83="",K83="",NOT(ISNUMBER(K83))),"",(I83-K83)*100)</f>
        <v>0</v>
      </c>
      <c r="M83" s="46">
        <f>IF(OR(B83="",J83=""),"",IF(I83&lt;=SUMPRODUCT(MIN((('Store Prices'!$B$5:$B$304=B83)*(IFERROR('Store Prices'!$I$5:$I$304*1,0)&gt;0))*IFERROR('Store Prices'!$I$5:$I$304*1,0)+(1-(('Store Prices'!$B$5:$B$304=B83)*(IFERROR('Store Prices'!$I$5:$I$304*1,0)&gt;0)))*999999))+0.0000001,"Yes","No"))</f>
        <v>0</v>
      </c>
      <c r="O83" s="18">
        <f>IF(N83="","",TODAY()-N83)</f>
        <v>0</v>
      </c>
      <c r="P83" s="31">
        <f>IF(B83="","",IF(G83="","Add - no price",IF(E83="","Add - no pack size",IF(AND(O83&lt;&gt;"",O83&gt;180),"Check - over six months old","OK"))))</f>
        <v>0</v>
      </c>
    </row>
    <row r="84" spans="1:16">
      <c r="A84" s="39">
        <f>IF(B84="","","SP-"&amp;TEXT(ROW()-4,"0000"))</f>
        <v>0</v>
      </c>
      <c r="F84" s="17">
        <f>IF(B84="","",IFERROR(INDEX(Ingredients!$G$5:$G$304,MATCH(B84,Ingredients!$B$5:$B$304,0)),"Add to Ingredients"))</f>
        <v>0</v>
      </c>
      <c r="I84" s="25">
        <f>IF(OR(G84="",E84="",E84=0),"",G84/E84)</f>
        <v>0</v>
      </c>
      <c r="J84" s="25">
        <f>IF(I84="","",I84*100)</f>
        <v>0</v>
      </c>
      <c r="K84" s="25">
        <f>IF(B84="","",IFERROR(INDEX(Ingredients!$J$5:$J$304,MATCH(B84,Ingredients!$B$5:$B$304,0)),"Add to Ingredients"))</f>
        <v>0</v>
      </c>
      <c r="L84" s="25">
        <f>IF(OR(I84="",K84="",NOT(ISNUMBER(K84))),"",(I84-K84)*100)</f>
        <v>0</v>
      </c>
      <c r="M84" s="46">
        <f>IF(OR(B84="",J84=""),"",IF(I84&lt;=SUMPRODUCT(MIN((('Store Prices'!$B$5:$B$304=B84)*(IFERROR('Store Prices'!$I$5:$I$304*1,0)&gt;0))*IFERROR('Store Prices'!$I$5:$I$304*1,0)+(1-(('Store Prices'!$B$5:$B$304=B84)*(IFERROR('Store Prices'!$I$5:$I$304*1,0)&gt;0)))*999999))+0.0000001,"Yes","No"))</f>
        <v>0</v>
      </c>
      <c r="O84" s="18">
        <f>IF(N84="","",TODAY()-N84)</f>
        <v>0</v>
      </c>
      <c r="P84" s="31">
        <f>IF(B84="","",IF(G84="","Add - no price",IF(E84="","Add - no pack size",IF(AND(O84&lt;&gt;"",O84&gt;180),"Check - over six months old","OK"))))</f>
        <v>0</v>
      </c>
    </row>
    <row r="85" spans="1:16">
      <c r="A85" s="39">
        <f>IF(B85="","","SP-"&amp;TEXT(ROW()-4,"0000"))</f>
        <v>0</v>
      </c>
      <c r="F85" s="17">
        <f>IF(B85="","",IFERROR(INDEX(Ingredients!$G$5:$G$304,MATCH(B85,Ingredients!$B$5:$B$304,0)),"Add to Ingredients"))</f>
        <v>0</v>
      </c>
      <c r="I85" s="25">
        <f>IF(OR(G85="",E85="",E85=0),"",G85/E85)</f>
        <v>0</v>
      </c>
      <c r="J85" s="25">
        <f>IF(I85="","",I85*100)</f>
        <v>0</v>
      </c>
      <c r="K85" s="25">
        <f>IF(B85="","",IFERROR(INDEX(Ingredients!$J$5:$J$304,MATCH(B85,Ingredients!$B$5:$B$304,0)),"Add to Ingredients"))</f>
        <v>0</v>
      </c>
      <c r="L85" s="25">
        <f>IF(OR(I85="",K85="",NOT(ISNUMBER(K85))),"",(I85-K85)*100)</f>
        <v>0</v>
      </c>
      <c r="M85" s="46">
        <f>IF(OR(B85="",J85=""),"",IF(I85&lt;=SUMPRODUCT(MIN((('Store Prices'!$B$5:$B$304=B85)*(IFERROR('Store Prices'!$I$5:$I$304*1,0)&gt;0))*IFERROR('Store Prices'!$I$5:$I$304*1,0)+(1-(('Store Prices'!$B$5:$B$304=B85)*(IFERROR('Store Prices'!$I$5:$I$304*1,0)&gt;0)))*999999))+0.0000001,"Yes","No"))</f>
        <v>0</v>
      </c>
      <c r="O85" s="18">
        <f>IF(N85="","",TODAY()-N85)</f>
        <v>0</v>
      </c>
      <c r="P85" s="31">
        <f>IF(B85="","",IF(G85="","Add - no price",IF(E85="","Add - no pack size",IF(AND(O85&lt;&gt;"",O85&gt;180),"Check - over six months old","OK"))))</f>
        <v>0</v>
      </c>
    </row>
    <row r="86" spans="1:16">
      <c r="A86" s="39">
        <f>IF(B86="","","SP-"&amp;TEXT(ROW()-4,"0000"))</f>
        <v>0</v>
      </c>
      <c r="F86" s="17">
        <f>IF(B86="","",IFERROR(INDEX(Ingredients!$G$5:$G$304,MATCH(B86,Ingredients!$B$5:$B$304,0)),"Add to Ingredients"))</f>
        <v>0</v>
      </c>
      <c r="I86" s="25">
        <f>IF(OR(G86="",E86="",E86=0),"",G86/E86)</f>
        <v>0</v>
      </c>
      <c r="J86" s="25">
        <f>IF(I86="","",I86*100)</f>
        <v>0</v>
      </c>
      <c r="K86" s="25">
        <f>IF(B86="","",IFERROR(INDEX(Ingredients!$J$5:$J$304,MATCH(B86,Ingredients!$B$5:$B$304,0)),"Add to Ingredients"))</f>
        <v>0</v>
      </c>
      <c r="L86" s="25">
        <f>IF(OR(I86="",K86="",NOT(ISNUMBER(K86))),"",(I86-K86)*100)</f>
        <v>0</v>
      </c>
      <c r="M86" s="46">
        <f>IF(OR(B86="",J86=""),"",IF(I86&lt;=SUMPRODUCT(MIN((('Store Prices'!$B$5:$B$304=B86)*(IFERROR('Store Prices'!$I$5:$I$304*1,0)&gt;0))*IFERROR('Store Prices'!$I$5:$I$304*1,0)+(1-(('Store Prices'!$B$5:$B$304=B86)*(IFERROR('Store Prices'!$I$5:$I$304*1,0)&gt;0)))*999999))+0.0000001,"Yes","No"))</f>
        <v>0</v>
      </c>
      <c r="O86" s="18">
        <f>IF(N86="","",TODAY()-N86)</f>
        <v>0</v>
      </c>
      <c r="P86" s="31">
        <f>IF(B86="","",IF(G86="","Add - no price",IF(E86="","Add - no pack size",IF(AND(O86&lt;&gt;"",O86&gt;180),"Check - over six months old","OK"))))</f>
        <v>0</v>
      </c>
    </row>
    <row r="87" spans="1:16">
      <c r="A87" s="39">
        <f>IF(B87="","","SP-"&amp;TEXT(ROW()-4,"0000"))</f>
        <v>0</v>
      </c>
      <c r="F87" s="17">
        <f>IF(B87="","",IFERROR(INDEX(Ingredients!$G$5:$G$304,MATCH(B87,Ingredients!$B$5:$B$304,0)),"Add to Ingredients"))</f>
        <v>0</v>
      </c>
      <c r="I87" s="25">
        <f>IF(OR(G87="",E87="",E87=0),"",G87/E87)</f>
        <v>0</v>
      </c>
      <c r="J87" s="25">
        <f>IF(I87="","",I87*100)</f>
        <v>0</v>
      </c>
      <c r="K87" s="25">
        <f>IF(B87="","",IFERROR(INDEX(Ingredients!$J$5:$J$304,MATCH(B87,Ingredients!$B$5:$B$304,0)),"Add to Ingredients"))</f>
        <v>0</v>
      </c>
      <c r="L87" s="25">
        <f>IF(OR(I87="",K87="",NOT(ISNUMBER(K87))),"",(I87-K87)*100)</f>
        <v>0</v>
      </c>
      <c r="M87" s="46">
        <f>IF(OR(B87="",J87=""),"",IF(I87&lt;=SUMPRODUCT(MIN((('Store Prices'!$B$5:$B$304=B87)*(IFERROR('Store Prices'!$I$5:$I$304*1,0)&gt;0))*IFERROR('Store Prices'!$I$5:$I$304*1,0)+(1-(('Store Prices'!$B$5:$B$304=B87)*(IFERROR('Store Prices'!$I$5:$I$304*1,0)&gt;0)))*999999))+0.0000001,"Yes","No"))</f>
        <v>0</v>
      </c>
      <c r="O87" s="18">
        <f>IF(N87="","",TODAY()-N87)</f>
        <v>0</v>
      </c>
      <c r="P87" s="31">
        <f>IF(B87="","",IF(G87="","Add - no price",IF(E87="","Add - no pack size",IF(AND(O87&lt;&gt;"",O87&gt;180),"Check - over six months old","OK"))))</f>
        <v>0</v>
      </c>
    </row>
    <row r="88" spans="1:16">
      <c r="A88" s="39">
        <f>IF(B88="","","SP-"&amp;TEXT(ROW()-4,"0000"))</f>
        <v>0</v>
      </c>
      <c r="F88" s="17">
        <f>IF(B88="","",IFERROR(INDEX(Ingredients!$G$5:$G$304,MATCH(B88,Ingredients!$B$5:$B$304,0)),"Add to Ingredients"))</f>
        <v>0</v>
      </c>
      <c r="I88" s="25">
        <f>IF(OR(G88="",E88="",E88=0),"",G88/E88)</f>
        <v>0</v>
      </c>
      <c r="J88" s="25">
        <f>IF(I88="","",I88*100)</f>
        <v>0</v>
      </c>
      <c r="K88" s="25">
        <f>IF(B88="","",IFERROR(INDEX(Ingredients!$J$5:$J$304,MATCH(B88,Ingredients!$B$5:$B$304,0)),"Add to Ingredients"))</f>
        <v>0</v>
      </c>
      <c r="L88" s="25">
        <f>IF(OR(I88="",K88="",NOT(ISNUMBER(K88))),"",(I88-K88)*100)</f>
        <v>0</v>
      </c>
      <c r="M88" s="46">
        <f>IF(OR(B88="",J88=""),"",IF(I88&lt;=SUMPRODUCT(MIN((('Store Prices'!$B$5:$B$304=B88)*(IFERROR('Store Prices'!$I$5:$I$304*1,0)&gt;0))*IFERROR('Store Prices'!$I$5:$I$304*1,0)+(1-(('Store Prices'!$B$5:$B$304=B88)*(IFERROR('Store Prices'!$I$5:$I$304*1,0)&gt;0)))*999999))+0.0000001,"Yes","No"))</f>
        <v>0</v>
      </c>
      <c r="O88" s="18">
        <f>IF(N88="","",TODAY()-N88)</f>
        <v>0</v>
      </c>
      <c r="P88" s="31">
        <f>IF(B88="","",IF(G88="","Add - no price",IF(E88="","Add - no pack size",IF(AND(O88&lt;&gt;"",O88&gt;180),"Check - over six months old","OK"))))</f>
        <v>0</v>
      </c>
    </row>
    <row r="89" spans="1:16">
      <c r="A89" s="39">
        <f>IF(B89="","","SP-"&amp;TEXT(ROW()-4,"0000"))</f>
        <v>0</v>
      </c>
      <c r="F89" s="17">
        <f>IF(B89="","",IFERROR(INDEX(Ingredients!$G$5:$G$304,MATCH(B89,Ingredients!$B$5:$B$304,0)),"Add to Ingredients"))</f>
        <v>0</v>
      </c>
      <c r="I89" s="25">
        <f>IF(OR(G89="",E89="",E89=0),"",G89/E89)</f>
        <v>0</v>
      </c>
      <c r="J89" s="25">
        <f>IF(I89="","",I89*100)</f>
        <v>0</v>
      </c>
      <c r="K89" s="25">
        <f>IF(B89="","",IFERROR(INDEX(Ingredients!$J$5:$J$304,MATCH(B89,Ingredients!$B$5:$B$304,0)),"Add to Ingredients"))</f>
        <v>0</v>
      </c>
      <c r="L89" s="25">
        <f>IF(OR(I89="",K89="",NOT(ISNUMBER(K89))),"",(I89-K89)*100)</f>
        <v>0</v>
      </c>
      <c r="M89" s="46">
        <f>IF(OR(B89="",J89=""),"",IF(I89&lt;=SUMPRODUCT(MIN((('Store Prices'!$B$5:$B$304=B89)*(IFERROR('Store Prices'!$I$5:$I$304*1,0)&gt;0))*IFERROR('Store Prices'!$I$5:$I$304*1,0)+(1-(('Store Prices'!$B$5:$B$304=B89)*(IFERROR('Store Prices'!$I$5:$I$304*1,0)&gt;0)))*999999))+0.0000001,"Yes","No"))</f>
        <v>0</v>
      </c>
      <c r="O89" s="18">
        <f>IF(N89="","",TODAY()-N89)</f>
        <v>0</v>
      </c>
      <c r="P89" s="31">
        <f>IF(B89="","",IF(G89="","Add - no price",IF(E89="","Add - no pack size",IF(AND(O89&lt;&gt;"",O89&gt;180),"Check - over six months old","OK"))))</f>
        <v>0</v>
      </c>
    </row>
    <row r="90" spans="1:16">
      <c r="A90" s="39">
        <f>IF(B90="","","SP-"&amp;TEXT(ROW()-4,"0000"))</f>
        <v>0</v>
      </c>
      <c r="F90" s="17">
        <f>IF(B90="","",IFERROR(INDEX(Ingredients!$G$5:$G$304,MATCH(B90,Ingredients!$B$5:$B$304,0)),"Add to Ingredients"))</f>
        <v>0</v>
      </c>
      <c r="I90" s="25">
        <f>IF(OR(G90="",E90="",E90=0),"",G90/E90)</f>
        <v>0</v>
      </c>
      <c r="J90" s="25">
        <f>IF(I90="","",I90*100)</f>
        <v>0</v>
      </c>
      <c r="K90" s="25">
        <f>IF(B90="","",IFERROR(INDEX(Ingredients!$J$5:$J$304,MATCH(B90,Ingredients!$B$5:$B$304,0)),"Add to Ingredients"))</f>
        <v>0</v>
      </c>
      <c r="L90" s="25">
        <f>IF(OR(I90="",K90="",NOT(ISNUMBER(K90))),"",(I90-K90)*100)</f>
        <v>0</v>
      </c>
      <c r="M90" s="46">
        <f>IF(OR(B90="",J90=""),"",IF(I90&lt;=SUMPRODUCT(MIN((('Store Prices'!$B$5:$B$304=B90)*(IFERROR('Store Prices'!$I$5:$I$304*1,0)&gt;0))*IFERROR('Store Prices'!$I$5:$I$304*1,0)+(1-(('Store Prices'!$B$5:$B$304=B90)*(IFERROR('Store Prices'!$I$5:$I$304*1,0)&gt;0)))*999999))+0.0000001,"Yes","No"))</f>
        <v>0</v>
      </c>
      <c r="O90" s="18">
        <f>IF(N90="","",TODAY()-N90)</f>
        <v>0</v>
      </c>
      <c r="P90" s="31">
        <f>IF(B90="","",IF(G90="","Add - no price",IF(E90="","Add - no pack size",IF(AND(O90&lt;&gt;"",O90&gt;180),"Check - over six months old","OK"))))</f>
        <v>0</v>
      </c>
    </row>
    <row r="91" spans="1:16">
      <c r="A91" s="39">
        <f>IF(B91="","","SP-"&amp;TEXT(ROW()-4,"0000"))</f>
        <v>0</v>
      </c>
      <c r="F91" s="17">
        <f>IF(B91="","",IFERROR(INDEX(Ingredients!$G$5:$G$304,MATCH(B91,Ingredients!$B$5:$B$304,0)),"Add to Ingredients"))</f>
        <v>0</v>
      </c>
      <c r="I91" s="25">
        <f>IF(OR(G91="",E91="",E91=0),"",G91/E91)</f>
        <v>0</v>
      </c>
      <c r="J91" s="25">
        <f>IF(I91="","",I91*100)</f>
        <v>0</v>
      </c>
      <c r="K91" s="25">
        <f>IF(B91="","",IFERROR(INDEX(Ingredients!$J$5:$J$304,MATCH(B91,Ingredients!$B$5:$B$304,0)),"Add to Ingredients"))</f>
        <v>0</v>
      </c>
      <c r="L91" s="25">
        <f>IF(OR(I91="",K91="",NOT(ISNUMBER(K91))),"",(I91-K91)*100)</f>
        <v>0</v>
      </c>
      <c r="M91" s="46">
        <f>IF(OR(B91="",J91=""),"",IF(I91&lt;=SUMPRODUCT(MIN((('Store Prices'!$B$5:$B$304=B91)*(IFERROR('Store Prices'!$I$5:$I$304*1,0)&gt;0))*IFERROR('Store Prices'!$I$5:$I$304*1,0)+(1-(('Store Prices'!$B$5:$B$304=B91)*(IFERROR('Store Prices'!$I$5:$I$304*1,0)&gt;0)))*999999))+0.0000001,"Yes","No"))</f>
        <v>0</v>
      </c>
      <c r="O91" s="18">
        <f>IF(N91="","",TODAY()-N91)</f>
        <v>0</v>
      </c>
      <c r="P91" s="31">
        <f>IF(B91="","",IF(G91="","Add - no price",IF(E91="","Add - no pack size",IF(AND(O91&lt;&gt;"",O91&gt;180),"Check - over six months old","OK"))))</f>
        <v>0</v>
      </c>
    </row>
    <row r="92" spans="1:16">
      <c r="A92" s="39">
        <f>IF(B92="","","SP-"&amp;TEXT(ROW()-4,"0000"))</f>
        <v>0</v>
      </c>
      <c r="F92" s="17">
        <f>IF(B92="","",IFERROR(INDEX(Ingredients!$G$5:$G$304,MATCH(B92,Ingredients!$B$5:$B$304,0)),"Add to Ingredients"))</f>
        <v>0</v>
      </c>
      <c r="I92" s="25">
        <f>IF(OR(G92="",E92="",E92=0),"",G92/E92)</f>
        <v>0</v>
      </c>
      <c r="J92" s="25">
        <f>IF(I92="","",I92*100)</f>
        <v>0</v>
      </c>
      <c r="K92" s="25">
        <f>IF(B92="","",IFERROR(INDEX(Ingredients!$J$5:$J$304,MATCH(B92,Ingredients!$B$5:$B$304,0)),"Add to Ingredients"))</f>
        <v>0</v>
      </c>
      <c r="L92" s="25">
        <f>IF(OR(I92="",K92="",NOT(ISNUMBER(K92))),"",(I92-K92)*100)</f>
        <v>0</v>
      </c>
      <c r="M92" s="46">
        <f>IF(OR(B92="",J92=""),"",IF(I92&lt;=SUMPRODUCT(MIN((('Store Prices'!$B$5:$B$304=B92)*(IFERROR('Store Prices'!$I$5:$I$304*1,0)&gt;0))*IFERROR('Store Prices'!$I$5:$I$304*1,0)+(1-(('Store Prices'!$B$5:$B$304=B92)*(IFERROR('Store Prices'!$I$5:$I$304*1,0)&gt;0)))*999999))+0.0000001,"Yes","No"))</f>
        <v>0</v>
      </c>
      <c r="O92" s="18">
        <f>IF(N92="","",TODAY()-N92)</f>
        <v>0</v>
      </c>
      <c r="P92" s="31">
        <f>IF(B92="","",IF(G92="","Add - no price",IF(E92="","Add - no pack size",IF(AND(O92&lt;&gt;"",O92&gt;180),"Check - over six months old","OK"))))</f>
        <v>0</v>
      </c>
    </row>
    <row r="93" spans="1:16">
      <c r="A93" s="39">
        <f>IF(B93="","","SP-"&amp;TEXT(ROW()-4,"0000"))</f>
        <v>0</v>
      </c>
      <c r="F93" s="17">
        <f>IF(B93="","",IFERROR(INDEX(Ingredients!$G$5:$G$304,MATCH(B93,Ingredients!$B$5:$B$304,0)),"Add to Ingredients"))</f>
        <v>0</v>
      </c>
      <c r="I93" s="25">
        <f>IF(OR(G93="",E93="",E93=0),"",G93/E93)</f>
        <v>0</v>
      </c>
      <c r="J93" s="25">
        <f>IF(I93="","",I93*100)</f>
        <v>0</v>
      </c>
      <c r="K93" s="25">
        <f>IF(B93="","",IFERROR(INDEX(Ingredients!$J$5:$J$304,MATCH(B93,Ingredients!$B$5:$B$304,0)),"Add to Ingredients"))</f>
        <v>0</v>
      </c>
      <c r="L93" s="25">
        <f>IF(OR(I93="",K93="",NOT(ISNUMBER(K93))),"",(I93-K93)*100)</f>
        <v>0</v>
      </c>
      <c r="M93" s="46">
        <f>IF(OR(B93="",J93=""),"",IF(I93&lt;=SUMPRODUCT(MIN((('Store Prices'!$B$5:$B$304=B93)*(IFERROR('Store Prices'!$I$5:$I$304*1,0)&gt;0))*IFERROR('Store Prices'!$I$5:$I$304*1,0)+(1-(('Store Prices'!$B$5:$B$304=B93)*(IFERROR('Store Prices'!$I$5:$I$304*1,0)&gt;0)))*999999))+0.0000001,"Yes","No"))</f>
        <v>0</v>
      </c>
      <c r="O93" s="18">
        <f>IF(N93="","",TODAY()-N93)</f>
        <v>0</v>
      </c>
      <c r="P93" s="31">
        <f>IF(B93="","",IF(G93="","Add - no price",IF(E93="","Add - no pack size",IF(AND(O93&lt;&gt;"",O93&gt;180),"Check - over six months old","OK"))))</f>
        <v>0</v>
      </c>
    </row>
    <row r="94" spans="1:16">
      <c r="A94" s="39">
        <f>IF(B94="","","SP-"&amp;TEXT(ROW()-4,"0000"))</f>
        <v>0</v>
      </c>
      <c r="F94" s="17">
        <f>IF(B94="","",IFERROR(INDEX(Ingredients!$G$5:$G$304,MATCH(B94,Ingredients!$B$5:$B$304,0)),"Add to Ingredients"))</f>
        <v>0</v>
      </c>
      <c r="I94" s="25">
        <f>IF(OR(G94="",E94="",E94=0),"",G94/E94)</f>
        <v>0</v>
      </c>
      <c r="J94" s="25">
        <f>IF(I94="","",I94*100)</f>
        <v>0</v>
      </c>
      <c r="K94" s="25">
        <f>IF(B94="","",IFERROR(INDEX(Ingredients!$J$5:$J$304,MATCH(B94,Ingredients!$B$5:$B$304,0)),"Add to Ingredients"))</f>
        <v>0</v>
      </c>
      <c r="L94" s="25">
        <f>IF(OR(I94="",K94="",NOT(ISNUMBER(K94))),"",(I94-K94)*100)</f>
        <v>0</v>
      </c>
      <c r="M94" s="46">
        <f>IF(OR(B94="",J94=""),"",IF(I94&lt;=SUMPRODUCT(MIN((('Store Prices'!$B$5:$B$304=B94)*(IFERROR('Store Prices'!$I$5:$I$304*1,0)&gt;0))*IFERROR('Store Prices'!$I$5:$I$304*1,0)+(1-(('Store Prices'!$B$5:$B$304=B94)*(IFERROR('Store Prices'!$I$5:$I$304*1,0)&gt;0)))*999999))+0.0000001,"Yes","No"))</f>
        <v>0</v>
      </c>
      <c r="O94" s="18">
        <f>IF(N94="","",TODAY()-N94)</f>
        <v>0</v>
      </c>
      <c r="P94" s="31">
        <f>IF(B94="","",IF(G94="","Add - no price",IF(E94="","Add - no pack size",IF(AND(O94&lt;&gt;"",O94&gt;180),"Check - over six months old","OK"))))</f>
        <v>0</v>
      </c>
    </row>
    <row r="95" spans="1:16">
      <c r="A95" s="39">
        <f>IF(B95="","","SP-"&amp;TEXT(ROW()-4,"0000"))</f>
        <v>0</v>
      </c>
      <c r="F95" s="17">
        <f>IF(B95="","",IFERROR(INDEX(Ingredients!$G$5:$G$304,MATCH(B95,Ingredients!$B$5:$B$304,0)),"Add to Ingredients"))</f>
        <v>0</v>
      </c>
      <c r="I95" s="25">
        <f>IF(OR(G95="",E95="",E95=0),"",G95/E95)</f>
        <v>0</v>
      </c>
      <c r="J95" s="25">
        <f>IF(I95="","",I95*100)</f>
        <v>0</v>
      </c>
      <c r="K95" s="25">
        <f>IF(B95="","",IFERROR(INDEX(Ingredients!$J$5:$J$304,MATCH(B95,Ingredients!$B$5:$B$304,0)),"Add to Ingredients"))</f>
        <v>0</v>
      </c>
      <c r="L95" s="25">
        <f>IF(OR(I95="",K95="",NOT(ISNUMBER(K95))),"",(I95-K95)*100)</f>
        <v>0</v>
      </c>
      <c r="M95" s="46">
        <f>IF(OR(B95="",J95=""),"",IF(I95&lt;=SUMPRODUCT(MIN((('Store Prices'!$B$5:$B$304=B95)*(IFERROR('Store Prices'!$I$5:$I$304*1,0)&gt;0))*IFERROR('Store Prices'!$I$5:$I$304*1,0)+(1-(('Store Prices'!$B$5:$B$304=B95)*(IFERROR('Store Prices'!$I$5:$I$304*1,0)&gt;0)))*999999))+0.0000001,"Yes","No"))</f>
        <v>0</v>
      </c>
      <c r="O95" s="18">
        <f>IF(N95="","",TODAY()-N95)</f>
        <v>0</v>
      </c>
      <c r="P95" s="31">
        <f>IF(B95="","",IF(G95="","Add - no price",IF(E95="","Add - no pack size",IF(AND(O95&lt;&gt;"",O95&gt;180),"Check - over six months old","OK"))))</f>
        <v>0</v>
      </c>
    </row>
    <row r="96" spans="1:16">
      <c r="A96" s="39">
        <f>IF(B96="","","SP-"&amp;TEXT(ROW()-4,"0000"))</f>
        <v>0</v>
      </c>
      <c r="F96" s="17">
        <f>IF(B96="","",IFERROR(INDEX(Ingredients!$G$5:$G$304,MATCH(B96,Ingredients!$B$5:$B$304,0)),"Add to Ingredients"))</f>
        <v>0</v>
      </c>
      <c r="I96" s="25">
        <f>IF(OR(G96="",E96="",E96=0),"",G96/E96)</f>
        <v>0</v>
      </c>
      <c r="J96" s="25">
        <f>IF(I96="","",I96*100)</f>
        <v>0</v>
      </c>
      <c r="K96" s="25">
        <f>IF(B96="","",IFERROR(INDEX(Ingredients!$J$5:$J$304,MATCH(B96,Ingredients!$B$5:$B$304,0)),"Add to Ingredients"))</f>
        <v>0</v>
      </c>
      <c r="L96" s="25">
        <f>IF(OR(I96="",K96="",NOT(ISNUMBER(K96))),"",(I96-K96)*100)</f>
        <v>0</v>
      </c>
      <c r="M96" s="46">
        <f>IF(OR(B96="",J96=""),"",IF(I96&lt;=SUMPRODUCT(MIN((('Store Prices'!$B$5:$B$304=B96)*(IFERROR('Store Prices'!$I$5:$I$304*1,0)&gt;0))*IFERROR('Store Prices'!$I$5:$I$304*1,0)+(1-(('Store Prices'!$B$5:$B$304=B96)*(IFERROR('Store Prices'!$I$5:$I$304*1,0)&gt;0)))*999999))+0.0000001,"Yes","No"))</f>
        <v>0</v>
      </c>
      <c r="O96" s="18">
        <f>IF(N96="","",TODAY()-N96)</f>
        <v>0</v>
      </c>
      <c r="P96" s="31">
        <f>IF(B96="","",IF(G96="","Add - no price",IF(E96="","Add - no pack size",IF(AND(O96&lt;&gt;"",O96&gt;180),"Check - over six months old","OK"))))</f>
        <v>0</v>
      </c>
    </row>
    <row r="97" spans="1:16">
      <c r="A97" s="39">
        <f>IF(B97="","","SP-"&amp;TEXT(ROW()-4,"0000"))</f>
        <v>0</v>
      </c>
      <c r="F97" s="17">
        <f>IF(B97="","",IFERROR(INDEX(Ingredients!$G$5:$G$304,MATCH(B97,Ingredients!$B$5:$B$304,0)),"Add to Ingredients"))</f>
        <v>0</v>
      </c>
      <c r="I97" s="25">
        <f>IF(OR(G97="",E97="",E97=0),"",G97/E97)</f>
        <v>0</v>
      </c>
      <c r="J97" s="25">
        <f>IF(I97="","",I97*100)</f>
        <v>0</v>
      </c>
      <c r="K97" s="25">
        <f>IF(B97="","",IFERROR(INDEX(Ingredients!$J$5:$J$304,MATCH(B97,Ingredients!$B$5:$B$304,0)),"Add to Ingredients"))</f>
        <v>0</v>
      </c>
      <c r="L97" s="25">
        <f>IF(OR(I97="",K97="",NOT(ISNUMBER(K97))),"",(I97-K97)*100)</f>
        <v>0</v>
      </c>
      <c r="M97" s="46">
        <f>IF(OR(B97="",J97=""),"",IF(I97&lt;=SUMPRODUCT(MIN((('Store Prices'!$B$5:$B$304=B97)*(IFERROR('Store Prices'!$I$5:$I$304*1,0)&gt;0))*IFERROR('Store Prices'!$I$5:$I$304*1,0)+(1-(('Store Prices'!$B$5:$B$304=B97)*(IFERROR('Store Prices'!$I$5:$I$304*1,0)&gt;0)))*999999))+0.0000001,"Yes","No"))</f>
        <v>0</v>
      </c>
      <c r="O97" s="18">
        <f>IF(N97="","",TODAY()-N97)</f>
        <v>0</v>
      </c>
      <c r="P97" s="31">
        <f>IF(B97="","",IF(G97="","Add - no price",IF(E97="","Add - no pack size",IF(AND(O97&lt;&gt;"",O97&gt;180),"Check - over six months old","OK"))))</f>
        <v>0</v>
      </c>
    </row>
    <row r="98" spans="1:16">
      <c r="A98" s="39">
        <f>IF(B98="","","SP-"&amp;TEXT(ROW()-4,"0000"))</f>
        <v>0</v>
      </c>
      <c r="F98" s="17">
        <f>IF(B98="","",IFERROR(INDEX(Ingredients!$G$5:$G$304,MATCH(B98,Ingredients!$B$5:$B$304,0)),"Add to Ingredients"))</f>
        <v>0</v>
      </c>
      <c r="I98" s="25">
        <f>IF(OR(G98="",E98="",E98=0),"",G98/E98)</f>
        <v>0</v>
      </c>
      <c r="J98" s="25">
        <f>IF(I98="","",I98*100)</f>
        <v>0</v>
      </c>
      <c r="K98" s="25">
        <f>IF(B98="","",IFERROR(INDEX(Ingredients!$J$5:$J$304,MATCH(B98,Ingredients!$B$5:$B$304,0)),"Add to Ingredients"))</f>
        <v>0</v>
      </c>
      <c r="L98" s="25">
        <f>IF(OR(I98="",K98="",NOT(ISNUMBER(K98))),"",(I98-K98)*100)</f>
        <v>0</v>
      </c>
      <c r="M98" s="46">
        <f>IF(OR(B98="",J98=""),"",IF(I98&lt;=SUMPRODUCT(MIN((('Store Prices'!$B$5:$B$304=B98)*(IFERROR('Store Prices'!$I$5:$I$304*1,0)&gt;0))*IFERROR('Store Prices'!$I$5:$I$304*1,0)+(1-(('Store Prices'!$B$5:$B$304=B98)*(IFERROR('Store Prices'!$I$5:$I$304*1,0)&gt;0)))*999999))+0.0000001,"Yes","No"))</f>
        <v>0</v>
      </c>
      <c r="O98" s="18">
        <f>IF(N98="","",TODAY()-N98)</f>
        <v>0</v>
      </c>
      <c r="P98" s="31">
        <f>IF(B98="","",IF(G98="","Add - no price",IF(E98="","Add - no pack size",IF(AND(O98&lt;&gt;"",O98&gt;180),"Check - over six months old","OK"))))</f>
        <v>0</v>
      </c>
    </row>
    <row r="99" spans="1:16">
      <c r="A99" s="39">
        <f>IF(B99="","","SP-"&amp;TEXT(ROW()-4,"0000"))</f>
        <v>0</v>
      </c>
      <c r="F99" s="17">
        <f>IF(B99="","",IFERROR(INDEX(Ingredients!$G$5:$G$304,MATCH(B99,Ingredients!$B$5:$B$304,0)),"Add to Ingredients"))</f>
        <v>0</v>
      </c>
      <c r="I99" s="25">
        <f>IF(OR(G99="",E99="",E99=0),"",G99/E99)</f>
        <v>0</v>
      </c>
      <c r="J99" s="25">
        <f>IF(I99="","",I99*100)</f>
        <v>0</v>
      </c>
      <c r="K99" s="25">
        <f>IF(B99="","",IFERROR(INDEX(Ingredients!$J$5:$J$304,MATCH(B99,Ingredients!$B$5:$B$304,0)),"Add to Ingredients"))</f>
        <v>0</v>
      </c>
      <c r="L99" s="25">
        <f>IF(OR(I99="",K99="",NOT(ISNUMBER(K99))),"",(I99-K99)*100)</f>
        <v>0</v>
      </c>
      <c r="M99" s="46">
        <f>IF(OR(B99="",J99=""),"",IF(I99&lt;=SUMPRODUCT(MIN((('Store Prices'!$B$5:$B$304=B99)*(IFERROR('Store Prices'!$I$5:$I$304*1,0)&gt;0))*IFERROR('Store Prices'!$I$5:$I$304*1,0)+(1-(('Store Prices'!$B$5:$B$304=B99)*(IFERROR('Store Prices'!$I$5:$I$304*1,0)&gt;0)))*999999))+0.0000001,"Yes","No"))</f>
        <v>0</v>
      </c>
      <c r="O99" s="18">
        <f>IF(N99="","",TODAY()-N99)</f>
        <v>0</v>
      </c>
      <c r="P99" s="31">
        <f>IF(B99="","",IF(G99="","Add - no price",IF(E99="","Add - no pack size",IF(AND(O99&lt;&gt;"",O99&gt;180),"Check - over six months old","OK"))))</f>
        <v>0</v>
      </c>
    </row>
    <row r="100" spans="1:16">
      <c r="A100" s="39">
        <f>IF(B100="","","SP-"&amp;TEXT(ROW()-4,"0000"))</f>
        <v>0</v>
      </c>
      <c r="F100" s="17">
        <f>IF(B100="","",IFERROR(INDEX(Ingredients!$G$5:$G$304,MATCH(B100,Ingredients!$B$5:$B$304,0)),"Add to Ingredients"))</f>
        <v>0</v>
      </c>
      <c r="I100" s="25">
        <f>IF(OR(G100="",E100="",E100=0),"",G100/E100)</f>
        <v>0</v>
      </c>
      <c r="J100" s="25">
        <f>IF(I100="","",I100*100)</f>
        <v>0</v>
      </c>
      <c r="K100" s="25">
        <f>IF(B100="","",IFERROR(INDEX(Ingredients!$J$5:$J$304,MATCH(B100,Ingredients!$B$5:$B$304,0)),"Add to Ingredients"))</f>
        <v>0</v>
      </c>
      <c r="L100" s="25">
        <f>IF(OR(I100="",K100="",NOT(ISNUMBER(K100))),"",(I100-K100)*100)</f>
        <v>0</v>
      </c>
      <c r="M100" s="46">
        <f>IF(OR(B100="",J100=""),"",IF(I100&lt;=SUMPRODUCT(MIN((('Store Prices'!$B$5:$B$304=B100)*(IFERROR('Store Prices'!$I$5:$I$304*1,0)&gt;0))*IFERROR('Store Prices'!$I$5:$I$304*1,0)+(1-(('Store Prices'!$B$5:$B$304=B100)*(IFERROR('Store Prices'!$I$5:$I$304*1,0)&gt;0)))*999999))+0.0000001,"Yes","No"))</f>
        <v>0</v>
      </c>
      <c r="O100" s="18">
        <f>IF(N100="","",TODAY()-N100)</f>
        <v>0</v>
      </c>
      <c r="P100" s="31">
        <f>IF(B100="","",IF(G100="","Add - no price",IF(E100="","Add - no pack size",IF(AND(O100&lt;&gt;"",O100&gt;180),"Check - over six months old","OK"))))</f>
        <v>0</v>
      </c>
    </row>
    <row r="101" spans="1:16">
      <c r="A101" s="39">
        <f>IF(B101="","","SP-"&amp;TEXT(ROW()-4,"0000"))</f>
        <v>0</v>
      </c>
      <c r="F101" s="17">
        <f>IF(B101="","",IFERROR(INDEX(Ingredients!$G$5:$G$304,MATCH(B101,Ingredients!$B$5:$B$304,0)),"Add to Ingredients"))</f>
        <v>0</v>
      </c>
      <c r="I101" s="25">
        <f>IF(OR(G101="",E101="",E101=0),"",G101/E101)</f>
        <v>0</v>
      </c>
      <c r="J101" s="25">
        <f>IF(I101="","",I101*100)</f>
        <v>0</v>
      </c>
      <c r="K101" s="25">
        <f>IF(B101="","",IFERROR(INDEX(Ingredients!$J$5:$J$304,MATCH(B101,Ingredients!$B$5:$B$304,0)),"Add to Ingredients"))</f>
        <v>0</v>
      </c>
      <c r="L101" s="25">
        <f>IF(OR(I101="",K101="",NOT(ISNUMBER(K101))),"",(I101-K101)*100)</f>
        <v>0</v>
      </c>
      <c r="M101" s="46">
        <f>IF(OR(B101="",J101=""),"",IF(I101&lt;=SUMPRODUCT(MIN((('Store Prices'!$B$5:$B$304=B101)*(IFERROR('Store Prices'!$I$5:$I$304*1,0)&gt;0))*IFERROR('Store Prices'!$I$5:$I$304*1,0)+(1-(('Store Prices'!$B$5:$B$304=B101)*(IFERROR('Store Prices'!$I$5:$I$304*1,0)&gt;0)))*999999))+0.0000001,"Yes","No"))</f>
        <v>0</v>
      </c>
      <c r="O101" s="18">
        <f>IF(N101="","",TODAY()-N101)</f>
        <v>0</v>
      </c>
      <c r="P101" s="31">
        <f>IF(B101="","",IF(G101="","Add - no price",IF(E101="","Add - no pack size",IF(AND(O101&lt;&gt;"",O101&gt;180),"Check - over six months old","OK"))))</f>
        <v>0</v>
      </c>
    </row>
    <row r="102" spans="1:16">
      <c r="A102" s="39">
        <f>IF(B102="","","SP-"&amp;TEXT(ROW()-4,"0000"))</f>
        <v>0</v>
      </c>
      <c r="F102" s="17">
        <f>IF(B102="","",IFERROR(INDEX(Ingredients!$G$5:$G$304,MATCH(B102,Ingredients!$B$5:$B$304,0)),"Add to Ingredients"))</f>
        <v>0</v>
      </c>
      <c r="I102" s="25">
        <f>IF(OR(G102="",E102="",E102=0),"",G102/E102)</f>
        <v>0</v>
      </c>
      <c r="J102" s="25">
        <f>IF(I102="","",I102*100)</f>
        <v>0</v>
      </c>
      <c r="K102" s="25">
        <f>IF(B102="","",IFERROR(INDEX(Ingredients!$J$5:$J$304,MATCH(B102,Ingredients!$B$5:$B$304,0)),"Add to Ingredients"))</f>
        <v>0</v>
      </c>
      <c r="L102" s="25">
        <f>IF(OR(I102="",K102="",NOT(ISNUMBER(K102))),"",(I102-K102)*100)</f>
        <v>0</v>
      </c>
      <c r="M102" s="46">
        <f>IF(OR(B102="",J102=""),"",IF(I102&lt;=SUMPRODUCT(MIN((('Store Prices'!$B$5:$B$304=B102)*(IFERROR('Store Prices'!$I$5:$I$304*1,0)&gt;0))*IFERROR('Store Prices'!$I$5:$I$304*1,0)+(1-(('Store Prices'!$B$5:$B$304=B102)*(IFERROR('Store Prices'!$I$5:$I$304*1,0)&gt;0)))*999999))+0.0000001,"Yes","No"))</f>
        <v>0</v>
      </c>
      <c r="O102" s="18">
        <f>IF(N102="","",TODAY()-N102)</f>
        <v>0</v>
      </c>
      <c r="P102" s="31">
        <f>IF(B102="","",IF(G102="","Add - no price",IF(E102="","Add - no pack size",IF(AND(O102&lt;&gt;"",O102&gt;180),"Check - over six months old","OK"))))</f>
        <v>0</v>
      </c>
    </row>
    <row r="103" spans="1:16">
      <c r="A103" s="39">
        <f>IF(B103="","","SP-"&amp;TEXT(ROW()-4,"0000"))</f>
        <v>0</v>
      </c>
      <c r="F103" s="17">
        <f>IF(B103="","",IFERROR(INDEX(Ingredients!$G$5:$G$304,MATCH(B103,Ingredients!$B$5:$B$304,0)),"Add to Ingredients"))</f>
        <v>0</v>
      </c>
      <c r="I103" s="25">
        <f>IF(OR(G103="",E103="",E103=0),"",G103/E103)</f>
        <v>0</v>
      </c>
      <c r="J103" s="25">
        <f>IF(I103="","",I103*100)</f>
        <v>0</v>
      </c>
      <c r="K103" s="25">
        <f>IF(B103="","",IFERROR(INDEX(Ingredients!$J$5:$J$304,MATCH(B103,Ingredients!$B$5:$B$304,0)),"Add to Ingredients"))</f>
        <v>0</v>
      </c>
      <c r="L103" s="25">
        <f>IF(OR(I103="",K103="",NOT(ISNUMBER(K103))),"",(I103-K103)*100)</f>
        <v>0</v>
      </c>
      <c r="M103" s="46">
        <f>IF(OR(B103="",J103=""),"",IF(I103&lt;=SUMPRODUCT(MIN((('Store Prices'!$B$5:$B$304=B103)*(IFERROR('Store Prices'!$I$5:$I$304*1,0)&gt;0))*IFERROR('Store Prices'!$I$5:$I$304*1,0)+(1-(('Store Prices'!$B$5:$B$304=B103)*(IFERROR('Store Prices'!$I$5:$I$304*1,0)&gt;0)))*999999))+0.0000001,"Yes","No"))</f>
        <v>0</v>
      </c>
      <c r="O103" s="18">
        <f>IF(N103="","",TODAY()-N103)</f>
        <v>0</v>
      </c>
      <c r="P103" s="31">
        <f>IF(B103="","",IF(G103="","Add - no price",IF(E103="","Add - no pack size",IF(AND(O103&lt;&gt;"",O103&gt;180),"Check - over six months old","OK"))))</f>
        <v>0</v>
      </c>
    </row>
    <row r="104" spans="1:16">
      <c r="A104" s="39">
        <f>IF(B104="","","SP-"&amp;TEXT(ROW()-4,"0000"))</f>
        <v>0</v>
      </c>
      <c r="F104" s="17">
        <f>IF(B104="","",IFERROR(INDEX(Ingredients!$G$5:$G$304,MATCH(B104,Ingredients!$B$5:$B$304,0)),"Add to Ingredients"))</f>
        <v>0</v>
      </c>
      <c r="I104" s="25">
        <f>IF(OR(G104="",E104="",E104=0),"",G104/E104)</f>
        <v>0</v>
      </c>
      <c r="J104" s="25">
        <f>IF(I104="","",I104*100)</f>
        <v>0</v>
      </c>
      <c r="K104" s="25">
        <f>IF(B104="","",IFERROR(INDEX(Ingredients!$J$5:$J$304,MATCH(B104,Ingredients!$B$5:$B$304,0)),"Add to Ingredients"))</f>
        <v>0</v>
      </c>
      <c r="L104" s="25">
        <f>IF(OR(I104="",K104="",NOT(ISNUMBER(K104))),"",(I104-K104)*100)</f>
        <v>0</v>
      </c>
      <c r="M104" s="46">
        <f>IF(OR(B104="",J104=""),"",IF(I104&lt;=SUMPRODUCT(MIN((('Store Prices'!$B$5:$B$304=B104)*(IFERROR('Store Prices'!$I$5:$I$304*1,0)&gt;0))*IFERROR('Store Prices'!$I$5:$I$304*1,0)+(1-(('Store Prices'!$B$5:$B$304=B104)*(IFERROR('Store Prices'!$I$5:$I$304*1,0)&gt;0)))*999999))+0.0000001,"Yes","No"))</f>
        <v>0</v>
      </c>
      <c r="O104" s="18">
        <f>IF(N104="","",TODAY()-N104)</f>
        <v>0</v>
      </c>
      <c r="P104" s="31">
        <f>IF(B104="","",IF(G104="","Add - no price",IF(E104="","Add - no pack size",IF(AND(O104&lt;&gt;"",O104&gt;180),"Check - over six months old","OK"))))</f>
        <v>0</v>
      </c>
    </row>
    <row r="105" spans="1:16">
      <c r="A105" s="39">
        <f>IF(B105="","","SP-"&amp;TEXT(ROW()-4,"0000"))</f>
        <v>0</v>
      </c>
      <c r="F105" s="17">
        <f>IF(B105="","",IFERROR(INDEX(Ingredients!$G$5:$G$304,MATCH(B105,Ingredients!$B$5:$B$304,0)),"Add to Ingredients"))</f>
        <v>0</v>
      </c>
      <c r="I105" s="25">
        <f>IF(OR(G105="",E105="",E105=0),"",G105/E105)</f>
        <v>0</v>
      </c>
      <c r="J105" s="25">
        <f>IF(I105="","",I105*100)</f>
        <v>0</v>
      </c>
      <c r="K105" s="25">
        <f>IF(B105="","",IFERROR(INDEX(Ingredients!$J$5:$J$304,MATCH(B105,Ingredients!$B$5:$B$304,0)),"Add to Ingredients"))</f>
        <v>0</v>
      </c>
      <c r="L105" s="25">
        <f>IF(OR(I105="",K105="",NOT(ISNUMBER(K105))),"",(I105-K105)*100)</f>
        <v>0</v>
      </c>
      <c r="M105" s="46">
        <f>IF(OR(B105="",J105=""),"",IF(I105&lt;=SUMPRODUCT(MIN((('Store Prices'!$B$5:$B$304=B105)*(IFERROR('Store Prices'!$I$5:$I$304*1,0)&gt;0))*IFERROR('Store Prices'!$I$5:$I$304*1,0)+(1-(('Store Prices'!$B$5:$B$304=B105)*(IFERROR('Store Prices'!$I$5:$I$304*1,0)&gt;0)))*999999))+0.0000001,"Yes","No"))</f>
        <v>0</v>
      </c>
      <c r="O105" s="18">
        <f>IF(N105="","",TODAY()-N105)</f>
        <v>0</v>
      </c>
      <c r="P105" s="31">
        <f>IF(B105="","",IF(G105="","Add - no price",IF(E105="","Add - no pack size",IF(AND(O105&lt;&gt;"",O105&gt;180),"Check - over six months old","OK"))))</f>
        <v>0</v>
      </c>
    </row>
    <row r="106" spans="1:16">
      <c r="A106" s="39">
        <f>IF(B106="","","SP-"&amp;TEXT(ROW()-4,"0000"))</f>
        <v>0</v>
      </c>
      <c r="F106" s="17">
        <f>IF(B106="","",IFERROR(INDEX(Ingredients!$G$5:$G$304,MATCH(B106,Ingredients!$B$5:$B$304,0)),"Add to Ingredients"))</f>
        <v>0</v>
      </c>
      <c r="I106" s="25">
        <f>IF(OR(G106="",E106="",E106=0),"",G106/E106)</f>
        <v>0</v>
      </c>
      <c r="J106" s="25">
        <f>IF(I106="","",I106*100)</f>
        <v>0</v>
      </c>
      <c r="K106" s="25">
        <f>IF(B106="","",IFERROR(INDEX(Ingredients!$J$5:$J$304,MATCH(B106,Ingredients!$B$5:$B$304,0)),"Add to Ingredients"))</f>
        <v>0</v>
      </c>
      <c r="L106" s="25">
        <f>IF(OR(I106="",K106="",NOT(ISNUMBER(K106))),"",(I106-K106)*100)</f>
        <v>0</v>
      </c>
      <c r="M106" s="46">
        <f>IF(OR(B106="",J106=""),"",IF(I106&lt;=SUMPRODUCT(MIN((('Store Prices'!$B$5:$B$304=B106)*(IFERROR('Store Prices'!$I$5:$I$304*1,0)&gt;0))*IFERROR('Store Prices'!$I$5:$I$304*1,0)+(1-(('Store Prices'!$B$5:$B$304=B106)*(IFERROR('Store Prices'!$I$5:$I$304*1,0)&gt;0)))*999999))+0.0000001,"Yes","No"))</f>
        <v>0</v>
      </c>
      <c r="O106" s="18">
        <f>IF(N106="","",TODAY()-N106)</f>
        <v>0</v>
      </c>
      <c r="P106" s="31">
        <f>IF(B106="","",IF(G106="","Add - no price",IF(E106="","Add - no pack size",IF(AND(O106&lt;&gt;"",O106&gt;180),"Check - over six months old","OK"))))</f>
        <v>0</v>
      </c>
    </row>
    <row r="107" spans="1:16">
      <c r="A107" s="39">
        <f>IF(B107="","","SP-"&amp;TEXT(ROW()-4,"0000"))</f>
        <v>0</v>
      </c>
      <c r="F107" s="17">
        <f>IF(B107="","",IFERROR(INDEX(Ingredients!$G$5:$G$304,MATCH(B107,Ingredients!$B$5:$B$304,0)),"Add to Ingredients"))</f>
        <v>0</v>
      </c>
      <c r="I107" s="25">
        <f>IF(OR(G107="",E107="",E107=0),"",G107/E107)</f>
        <v>0</v>
      </c>
      <c r="J107" s="25">
        <f>IF(I107="","",I107*100)</f>
        <v>0</v>
      </c>
      <c r="K107" s="25">
        <f>IF(B107="","",IFERROR(INDEX(Ingredients!$J$5:$J$304,MATCH(B107,Ingredients!$B$5:$B$304,0)),"Add to Ingredients"))</f>
        <v>0</v>
      </c>
      <c r="L107" s="25">
        <f>IF(OR(I107="",K107="",NOT(ISNUMBER(K107))),"",(I107-K107)*100)</f>
        <v>0</v>
      </c>
      <c r="M107" s="46">
        <f>IF(OR(B107="",J107=""),"",IF(I107&lt;=SUMPRODUCT(MIN((('Store Prices'!$B$5:$B$304=B107)*(IFERROR('Store Prices'!$I$5:$I$304*1,0)&gt;0))*IFERROR('Store Prices'!$I$5:$I$304*1,0)+(1-(('Store Prices'!$B$5:$B$304=B107)*(IFERROR('Store Prices'!$I$5:$I$304*1,0)&gt;0)))*999999))+0.0000001,"Yes","No"))</f>
        <v>0</v>
      </c>
      <c r="O107" s="18">
        <f>IF(N107="","",TODAY()-N107)</f>
        <v>0</v>
      </c>
      <c r="P107" s="31">
        <f>IF(B107="","",IF(G107="","Add - no price",IF(E107="","Add - no pack size",IF(AND(O107&lt;&gt;"",O107&gt;180),"Check - over six months old","OK"))))</f>
        <v>0</v>
      </c>
    </row>
    <row r="108" spans="1:16">
      <c r="A108" s="39">
        <f>IF(B108="","","SP-"&amp;TEXT(ROW()-4,"0000"))</f>
        <v>0</v>
      </c>
      <c r="F108" s="17">
        <f>IF(B108="","",IFERROR(INDEX(Ingredients!$G$5:$G$304,MATCH(B108,Ingredients!$B$5:$B$304,0)),"Add to Ingredients"))</f>
        <v>0</v>
      </c>
      <c r="I108" s="25">
        <f>IF(OR(G108="",E108="",E108=0),"",G108/E108)</f>
        <v>0</v>
      </c>
      <c r="J108" s="25">
        <f>IF(I108="","",I108*100)</f>
        <v>0</v>
      </c>
      <c r="K108" s="25">
        <f>IF(B108="","",IFERROR(INDEX(Ingredients!$J$5:$J$304,MATCH(B108,Ingredients!$B$5:$B$304,0)),"Add to Ingredients"))</f>
        <v>0</v>
      </c>
      <c r="L108" s="25">
        <f>IF(OR(I108="",K108="",NOT(ISNUMBER(K108))),"",(I108-K108)*100)</f>
        <v>0</v>
      </c>
      <c r="M108" s="46">
        <f>IF(OR(B108="",J108=""),"",IF(I108&lt;=SUMPRODUCT(MIN((('Store Prices'!$B$5:$B$304=B108)*(IFERROR('Store Prices'!$I$5:$I$304*1,0)&gt;0))*IFERROR('Store Prices'!$I$5:$I$304*1,0)+(1-(('Store Prices'!$B$5:$B$304=B108)*(IFERROR('Store Prices'!$I$5:$I$304*1,0)&gt;0)))*999999))+0.0000001,"Yes","No"))</f>
        <v>0</v>
      </c>
      <c r="O108" s="18">
        <f>IF(N108="","",TODAY()-N108)</f>
        <v>0</v>
      </c>
      <c r="P108" s="31">
        <f>IF(B108="","",IF(G108="","Add - no price",IF(E108="","Add - no pack size",IF(AND(O108&lt;&gt;"",O108&gt;180),"Check - over six months old","OK"))))</f>
        <v>0</v>
      </c>
    </row>
    <row r="109" spans="1:16">
      <c r="A109" s="39">
        <f>IF(B109="","","SP-"&amp;TEXT(ROW()-4,"0000"))</f>
        <v>0</v>
      </c>
      <c r="F109" s="17">
        <f>IF(B109="","",IFERROR(INDEX(Ingredients!$G$5:$G$304,MATCH(B109,Ingredients!$B$5:$B$304,0)),"Add to Ingredients"))</f>
        <v>0</v>
      </c>
      <c r="I109" s="25">
        <f>IF(OR(G109="",E109="",E109=0),"",G109/E109)</f>
        <v>0</v>
      </c>
      <c r="J109" s="25">
        <f>IF(I109="","",I109*100)</f>
        <v>0</v>
      </c>
      <c r="K109" s="25">
        <f>IF(B109="","",IFERROR(INDEX(Ingredients!$J$5:$J$304,MATCH(B109,Ingredients!$B$5:$B$304,0)),"Add to Ingredients"))</f>
        <v>0</v>
      </c>
      <c r="L109" s="25">
        <f>IF(OR(I109="",K109="",NOT(ISNUMBER(K109))),"",(I109-K109)*100)</f>
        <v>0</v>
      </c>
      <c r="M109" s="46">
        <f>IF(OR(B109="",J109=""),"",IF(I109&lt;=SUMPRODUCT(MIN((('Store Prices'!$B$5:$B$304=B109)*(IFERROR('Store Prices'!$I$5:$I$304*1,0)&gt;0))*IFERROR('Store Prices'!$I$5:$I$304*1,0)+(1-(('Store Prices'!$B$5:$B$304=B109)*(IFERROR('Store Prices'!$I$5:$I$304*1,0)&gt;0)))*999999))+0.0000001,"Yes","No"))</f>
        <v>0</v>
      </c>
      <c r="O109" s="18">
        <f>IF(N109="","",TODAY()-N109)</f>
        <v>0</v>
      </c>
      <c r="P109" s="31">
        <f>IF(B109="","",IF(G109="","Add - no price",IF(E109="","Add - no pack size",IF(AND(O109&lt;&gt;"",O109&gt;180),"Check - over six months old","OK"))))</f>
        <v>0</v>
      </c>
    </row>
    <row r="110" spans="1:16">
      <c r="A110" s="39">
        <f>IF(B110="","","SP-"&amp;TEXT(ROW()-4,"0000"))</f>
        <v>0</v>
      </c>
      <c r="F110" s="17">
        <f>IF(B110="","",IFERROR(INDEX(Ingredients!$G$5:$G$304,MATCH(B110,Ingredients!$B$5:$B$304,0)),"Add to Ingredients"))</f>
        <v>0</v>
      </c>
      <c r="I110" s="25">
        <f>IF(OR(G110="",E110="",E110=0),"",G110/E110)</f>
        <v>0</v>
      </c>
      <c r="J110" s="25">
        <f>IF(I110="","",I110*100)</f>
        <v>0</v>
      </c>
      <c r="K110" s="25">
        <f>IF(B110="","",IFERROR(INDEX(Ingredients!$J$5:$J$304,MATCH(B110,Ingredients!$B$5:$B$304,0)),"Add to Ingredients"))</f>
        <v>0</v>
      </c>
      <c r="L110" s="25">
        <f>IF(OR(I110="",K110="",NOT(ISNUMBER(K110))),"",(I110-K110)*100)</f>
        <v>0</v>
      </c>
      <c r="M110" s="46">
        <f>IF(OR(B110="",J110=""),"",IF(I110&lt;=SUMPRODUCT(MIN((('Store Prices'!$B$5:$B$304=B110)*(IFERROR('Store Prices'!$I$5:$I$304*1,0)&gt;0))*IFERROR('Store Prices'!$I$5:$I$304*1,0)+(1-(('Store Prices'!$B$5:$B$304=B110)*(IFERROR('Store Prices'!$I$5:$I$304*1,0)&gt;0)))*999999))+0.0000001,"Yes","No"))</f>
        <v>0</v>
      </c>
      <c r="O110" s="18">
        <f>IF(N110="","",TODAY()-N110)</f>
        <v>0</v>
      </c>
      <c r="P110" s="31">
        <f>IF(B110="","",IF(G110="","Add - no price",IF(E110="","Add - no pack size",IF(AND(O110&lt;&gt;"",O110&gt;180),"Check - over six months old","OK"))))</f>
        <v>0</v>
      </c>
    </row>
    <row r="111" spans="1:16">
      <c r="A111" s="39">
        <f>IF(B111="","","SP-"&amp;TEXT(ROW()-4,"0000"))</f>
        <v>0</v>
      </c>
      <c r="F111" s="17">
        <f>IF(B111="","",IFERROR(INDEX(Ingredients!$G$5:$G$304,MATCH(B111,Ingredients!$B$5:$B$304,0)),"Add to Ingredients"))</f>
        <v>0</v>
      </c>
      <c r="I111" s="25">
        <f>IF(OR(G111="",E111="",E111=0),"",G111/E111)</f>
        <v>0</v>
      </c>
      <c r="J111" s="25">
        <f>IF(I111="","",I111*100)</f>
        <v>0</v>
      </c>
      <c r="K111" s="25">
        <f>IF(B111="","",IFERROR(INDEX(Ingredients!$J$5:$J$304,MATCH(B111,Ingredients!$B$5:$B$304,0)),"Add to Ingredients"))</f>
        <v>0</v>
      </c>
      <c r="L111" s="25">
        <f>IF(OR(I111="",K111="",NOT(ISNUMBER(K111))),"",(I111-K111)*100)</f>
        <v>0</v>
      </c>
      <c r="M111" s="46">
        <f>IF(OR(B111="",J111=""),"",IF(I111&lt;=SUMPRODUCT(MIN((('Store Prices'!$B$5:$B$304=B111)*(IFERROR('Store Prices'!$I$5:$I$304*1,0)&gt;0))*IFERROR('Store Prices'!$I$5:$I$304*1,0)+(1-(('Store Prices'!$B$5:$B$304=B111)*(IFERROR('Store Prices'!$I$5:$I$304*1,0)&gt;0)))*999999))+0.0000001,"Yes","No"))</f>
        <v>0</v>
      </c>
      <c r="O111" s="18">
        <f>IF(N111="","",TODAY()-N111)</f>
        <v>0</v>
      </c>
      <c r="P111" s="31">
        <f>IF(B111="","",IF(G111="","Add - no price",IF(E111="","Add - no pack size",IF(AND(O111&lt;&gt;"",O111&gt;180),"Check - over six months old","OK"))))</f>
        <v>0</v>
      </c>
    </row>
    <row r="112" spans="1:16">
      <c r="A112" s="39">
        <f>IF(B112="","","SP-"&amp;TEXT(ROW()-4,"0000"))</f>
        <v>0</v>
      </c>
      <c r="F112" s="17">
        <f>IF(B112="","",IFERROR(INDEX(Ingredients!$G$5:$G$304,MATCH(B112,Ingredients!$B$5:$B$304,0)),"Add to Ingredients"))</f>
        <v>0</v>
      </c>
      <c r="I112" s="25">
        <f>IF(OR(G112="",E112="",E112=0),"",G112/E112)</f>
        <v>0</v>
      </c>
      <c r="J112" s="25">
        <f>IF(I112="","",I112*100)</f>
        <v>0</v>
      </c>
      <c r="K112" s="25">
        <f>IF(B112="","",IFERROR(INDEX(Ingredients!$J$5:$J$304,MATCH(B112,Ingredients!$B$5:$B$304,0)),"Add to Ingredients"))</f>
        <v>0</v>
      </c>
      <c r="L112" s="25">
        <f>IF(OR(I112="",K112="",NOT(ISNUMBER(K112))),"",(I112-K112)*100)</f>
        <v>0</v>
      </c>
      <c r="M112" s="46">
        <f>IF(OR(B112="",J112=""),"",IF(I112&lt;=SUMPRODUCT(MIN((('Store Prices'!$B$5:$B$304=B112)*(IFERROR('Store Prices'!$I$5:$I$304*1,0)&gt;0))*IFERROR('Store Prices'!$I$5:$I$304*1,0)+(1-(('Store Prices'!$B$5:$B$304=B112)*(IFERROR('Store Prices'!$I$5:$I$304*1,0)&gt;0)))*999999))+0.0000001,"Yes","No"))</f>
        <v>0</v>
      </c>
      <c r="O112" s="18">
        <f>IF(N112="","",TODAY()-N112)</f>
        <v>0</v>
      </c>
      <c r="P112" s="31">
        <f>IF(B112="","",IF(G112="","Add - no price",IF(E112="","Add - no pack size",IF(AND(O112&lt;&gt;"",O112&gt;180),"Check - over six months old","OK"))))</f>
        <v>0</v>
      </c>
    </row>
    <row r="113" spans="1:16">
      <c r="A113" s="39">
        <f>IF(B113="","","SP-"&amp;TEXT(ROW()-4,"0000"))</f>
        <v>0</v>
      </c>
      <c r="F113" s="17">
        <f>IF(B113="","",IFERROR(INDEX(Ingredients!$G$5:$G$304,MATCH(B113,Ingredients!$B$5:$B$304,0)),"Add to Ingredients"))</f>
        <v>0</v>
      </c>
      <c r="I113" s="25">
        <f>IF(OR(G113="",E113="",E113=0),"",G113/E113)</f>
        <v>0</v>
      </c>
      <c r="J113" s="25">
        <f>IF(I113="","",I113*100)</f>
        <v>0</v>
      </c>
      <c r="K113" s="25">
        <f>IF(B113="","",IFERROR(INDEX(Ingredients!$J$5:$J$304,MATCH(B113,Ingredients!$B$5:$B$304,0)),"Add to Ingredients"))</f>
        <v>0</v>
      </c>
      <c r="L113" s="25">
        <f>IF(OR(I113="",K113="",NOT(ISNUMBER(K113))),"",(I113-K113)*100)</f>
        <v>0</v>
      </c>
      <c r="M113" s="46">
        <f>IF(OR(B113="",J113=""),"",IF(I113&lt;=SUMPRODUCT(MIN((('Store Prices'!$B$5:$B$304=B113)*(IFERROR('Store Prices'!$I$5:$I$304*1,0)&gt;0))*IFERROR('Store Prices'!$I$5:$I$304*1,0)+(1-(('Store Prices'!$B$5:$B$304=B113)*(IFERROR('Store Prices'!$I$5:$I$304*1,0)&gt;0)))*999999))+0.0000001,"Yes","No"))</f>
        <v>0</v>
      </c>
      <c r="O113" s="18">
        <f>IF(N113="","",TODAY()-N113)</f>
        <v>0</v>
      </c>
      <c r="P113" s="31">
        <f>IF(B113="","",IF(G113="","Add - no price",IF(E113="","Add - no pack size",IF(AND(O113&lt;&gt;"",O113&gt;180),"Check - over six months old","OK"))))</f>
        <v>0</v>
      </c>
    </row>
    <row r="114" spans="1:16">
      <c r="A114" s="39">
        <f>IF(B114="","","SP-"&amp;TEXT(ROW()-4,"0000"))</f>
        <v>0</v>
      </c>
      <c r="F114" s="17">
        <f>IF(B114="","",IFERROR(INDEX(Ingredients!$G$5:$G$304,MATCH(B114,Ingredients!$B$5:$B$304,0)),"Add to Ingredients"))</f>
        <v>0</v>
      </c>
      <c r="I114" s="25">
        <f>IF(OR(G114="",E114="",E114=0),"",G114/E114)</f>
        <v>0</v>
      </c>
      <c r="J114" s="25">
        <f>IF(I114="","",I114*100)</f>
        <v>0</v>
      </c>
      <c r="K114" s="25">
        <f>IF(B114="","",IFERROR(INDEX(Ingredients!$J$5:$J$304,MATCH(B114,Ingredients!$B$5:$B$304,0)),"Add to Ingredients"))</f>
        <v>0</v>
      </c>
      <c r="L114" s="25">
        <f>IF(OR(I114="",K114="",NOT(ISNUMBER(K114))),"",(I114-K114)*100)</f>
        <v>0</v>
      </c>
      <c r="M114" s="46">
        <f>IF(OR(B114="",J114=""),"",IF(I114&lt;=SUMPRODUCT(MIN((('Store Prices'!$B$5:$B$304=B114)*(IFERROR('Store Prices'!$I$5:$I$304*1,0)&gt;0))*IFERROR('Store Prices'!$I$5:$I$304*1,0)+(1-(('Store Prices'!$B$5:$B$304=B114)*(IFERROR('Store Prices'!$I$5:$I$304*1,0)&gt;0)))*999999))+0.0000001,"Yes","No"))</f>
        <v>0</v>
      </c>
      <c r="O114" s="18">
        <f>IF(N114="","",TODAY()-N114)</f>
        <v>0</v>
      </c>
      <c r="P114" s="31">
        <f>IF(B114="","",IF(G114="","Add - no price",IF(E114="","Add - no pack size",IF(AND(O114&lt;&gt;"",O114&gt;180),"Check - over six months old","OK"))))</f>
        <v>0</v>
      </c>
    </row>
    <row r="115" spans="1:16">
      <c r="A115" s="39">
        <f>IF(B115="","","SP-"&amp;TEXT(ROW()-4,"0000"))</f>
        <v>0</v>
      </c>
      <c r="F115" s="17">
        <f>IF(B115="","",IFERROR(INDEX(Ingredients!$G$5:$G$304,MATCH(B115,Ingredients!$B$5:$B$304,0)),"Add to Ingredients"))</f>
        <v>0</v>
      </c>
      <c r="I115" s="25">
        <f>IF(OR(G115="",E115="",E115=0),"",G115/E115)</f>
        <v>0</v>
      </c>
      <c r="J115" s="25">
        <f>IF(I115="","",I115*100)</f>
        <v>0</v>
      </c>
      <c r="K115" s="25">
        <f>IF(B115="","",IFERROR(INDEX(Ingredients!$J$5:$J$304,MATCH(B115,Ingredients!$B$5:$B$304,0)),"Add to Ingredients"))</f>
        <v>0</v>
      </c>
      <c r="L115" s="25">
        <f>IF(OR(I115="",K115="",NOT(ISNUMBER(K115))),"",(I115-K115)*100)</f>
        <v>0</v>
      </c>
      <c r="M115" s="46">
        <f>IF(OR(B115="",J115=""),"",IF(I115&lt;=SUMPRODUCT(MIN((('Store Prices'!$B$5:$B$304=B115)*(IFERROR('Store Prices'!$I$5:$I$304*1,0)&gt;0))*IFERROR('Store Prices'!$I$5:$I$304*1,0)+(1-(('Store Prices'!$B$5:$B$304=B115)*(IFERROR('Store Prices'!$I$5:$I$304*1,0)&gt;0)))*999999))+0.0000001,"Yes","No"))</f>
        <v>0</v>
      </c>
      <c r="O115" s="18">
        <f>IF(N115="","",TODAY()-N115)</f>
        <v>0</v>
      </c>
      <c r="P115" s="31">
        <f>IF(B115="","",IF(G115="","Add - no price",IF(E115="","Add - no pack size",IF(AND(O115&lt;&gt;"",O115&gt;180),"Check - over six months old","OK"))))</f>
        <v>0</v>
      </c>
    </row>
    <row r="116" spans="1:16">
      <c r="A116" s="39">
        <f>IF(B116="","","SP-"&amp;TEXT(ROW()-4,"0000"))</f>
        <v>0</v>
      </c>
      <c r="F116" s="17">
        <f>IF(B116="","",IFERROR(INDEX(Ingredients!$G$5:$G$304,MATCH(B116,Ingredients!$B$5:$B$304,0)),"Add to Ingredients"))</f>
        <v>0</v>
      </c>
      <c r="I116" s="25">
        <f>IF(OR(G116="",E116="",E116=0),"",G116/E116)</f>
        <v>0</v>
      </c>
      <c r="J116" s="25">
        <f>IF(I116="","",I116*100)</f>
        <v>0</v>
      </c>
      <c r="K116" s="25">
        <f>IF(B116="","",IFERROR(INDEX(Ingredients!$J$5:$J$304,MATCH(B116,Ingredients!$B$5:$B$304,0)),"Add to Ingredients"))</f>
        <v>0</v>
      </c>
      <c r="L116" s="25">
        <f>IF(OR(I116="",K116="",NOT(ISNUMBER(K116))),"",(I116-K116)*100)</f>
        <v>0</v>
      </c>
      <c r="M116" s="46">
        <f>IF(OR(B116="",J116=""),"",IF(I116&lt;=SUMPRODUCT(MIN((('Store Prices'!$B$5:$B$304=B116)*(IFERROR('Store Prices'!$I$5:$I$304*1,0)&gt;0))*IFERROR('Store Prices'!$I$5:$I$304*1,0)+(1-(('Store Prices'!$B$5:$B$304=B116)*(IFERROR('Store Prices'!$I$5:$I$304*1,0)&gt;0)))*999999))+0.0000001,"Yes","No"))</f>
        <v>0</v>
      </c>
      <c r="O116" s="18">
        <f>IF(N116="","",TODAY()-N116)</f>
        <v>0</v>
      </c>
      <c r="P116" s="31">
        <f>IF(B116="","",IF(G116="","Add - no price",IF(E116="","Add - no pack size",IF(AND(O116&lt;&gt;"",O116&gt;180),"Check - over six months old","OK"))))</f>
        <v>0</v>
      </c>
    </row>
    <row r="117" spans="1:16">
      <c r="A117" s="39">
        <f>IF(B117="","","SP-"&amp;TEXT(ROW()-4,"0000"))</f>
        <v>0</v>
      </c>
      <c r="F117" s="17">
        <f>IF(B117="","",IFERROR(INDEX(Ingredients!$G$5:$G$304,MATCH(B117,Ingredients!$B$5:$B$304,0)),"Add to Ingredients"))</f>
        <v>0</v>
      </c>
      <c r="I117" s="25">
        <f>IF(OR(G117="",E117="",E117=0),"",G117/E117)</f>
        <v>0</v>
      </c>
      <c r="J117" s="25">
        <f>IF(I117="","",I117*100)</f>
        <v>0</v>
      </c>
      <c r="K117" s="25">
        <f>IF(B117="","",IFERROR(INDEX(Ingredients!$J$5:$J$304,MATCH(B117,Ingredients!$B$5:$B$304,0)),"Add to Ingredients"))</f>
        <v>0</v>
      </c>
      <c r="L117" s="25">
        <f>IF(OR(I117="",K117="",NOT(ISNUMBER(K117))),"",(I117-K117)*100)</f>
        <v>0</v>
      </c>
      <c r="M117" s="46">
        <f>IF(OR(B117="",J117=""),"",IF(I117&lt;=SUMPRODUCT(MIN((('Store Prices'!$B$5:$B$304=B117)*(IFERROR('Store Prices'!$I$5:$I$304*1,0)&gt;0))*IFERROR('Store Prices'!$I$5:$I$304*1,0)+(1-(('Store Prices'!$B$5:$B$304=B117)*(IFERROR('Store Prices'!$I$5:$I$304*1,0)&gt;0)))*999999))+0.0000001,"Yes","No"))</f>
        <v>0</v>
      </c>
      <c r="O117" s="18">
        <f>IF(N117="","",TODAY()-N117)</f>
        <v>0</v>
      </c>
      <c r="P117" s="31">
        <f>IF(B117="","",IF(G117="","Add - no price",IF(E117="","Add - no pack size",IF(AND(O117&lt;&gt;"",O117&gt;180),"Check - over six months old","OK"))))</f>
        <v>0</v>
      </c>
    </row>
    <row r="118" spans="1:16">
      <c r="A118" s="39">
        <f>IF(B118="","","SP-"&amp;TEXT(ROW()-4,"0000"))</f>
        <v>0</v>
      </c>
      <c r="F118" s="17">
        <f>IF(B118="","",IFERROR(INDEX(Ingredients!$G$5:$G$304,MATCH(B118,Ingredients!$B$5:$B$304,0)),"Add to Ingredients"))</f>
        <v>0</v>
      </c>
      <c r="I118" s="25">
        <f>IF(OR(G118="",E118="",E118=0),"",G118/E118)</f>
        <v>0</v>
      </c>
      <c r="J118" s="25">
        <f>IF(I118="","",I118*100)</f>
        <v>0</v>
      </c>
      <c r="K118" s="25">
        <f>IF(B118="","",IFERROR(INDEX(Ingredients!$J$5:$J$304,MATCH(B118,Ingredients!$B$5:$B$304,0)),"Add to Ingredients"))</f>
        <v>0</v>
      </c>
      <c r="L118" s="25">
        <f>IF(OR(I118="",K118="",NOT(ISNUMBER(K118))),"",(I118-K118)*100)</f>
        <v>0</v>
      </c>
      <c r="M118" s="46">
        <f>IF(OR(B118="",J118=""),"",IF(I118&lt;=SUMPRODUCT(MIN((('Store Prices'!$B$5:$B$304=B118)*(IFERROR('Store Prices'!$I$5:$I$304*1,0)&gt;0))*IFERROR('Store Prices'!$I$5:$I$304*1,0)+(1-(('Store Prices'!$B$5:$B$304=B118)*(IFERROR('Store Prices'!$I$5:$I$304*1,0)&gt;0)))*999999))+0.0000001,"Yes","No"))</f>
        <v>0</v>
      </c>
      <c r="O118" s="18">
        <f>IF(N118="","",TODAY()-N118)</f>
        <v>0</v>
      </c>
      <c r="P118" s="31">
        <f>IF(B118="","",IF(G118="","Add - no price",IF(E118="","Add - no pack size",IF(AND(O118&lt;&gt;"",O118&gt;180),"Check - over six months old","OK"))))</f>
        <v>0</v>
      </c>
    </row>
    <row r="119" spans="1:16">
      <c r="A119" s="39">
        <f>IF(B119="","","SP-"&amp;TEXT(ROW()-4,"0000"))</f>
        <v>0</v>
      </c>
      <c r="F119" s="17">
        <f>IF(B119="","",IFERROR(INDEX(Ingredients!$G$5:$G$304,MATCH(B119,Ingredients!$B$5:$B$304,0)),"Add to Ingredients"))</f>
        <v>0</v>
      </c>
      <c r="I119" s="25">
        <f>IF(OR(G119="",E119="",E119=0),"",G119/E119)</f>
        <v>0</v>
      </c>
      <c r="J119" s="25">
        <f>IF(I119="","",I119*100)</f>
        <v>0</v>
      </c>
      <c r="K119" s="25">
        <f>IF(B119="","",IFERROR(INDEX(Ingredients!$J$5:$J$304,MATCH(B119,Ingredients!$B$5:$B$304,0)),"Add to Ingredients"))</f>
        <v>0</v>
      </c>
      <c r="L119" s="25">
        <f>IF(OR(I119="",K119="",NOT(ISNUMBER(K119))),"",(I119-K119)*100)</f>
        <v>0</v>
      </c>
      <c r="M119" s="46">
        <f>IF(OR(B119="",J119=""),"",IF(I119&lt;=SUMPRODUCT(MIN((('Store Prices'!$B$5:$B$304=B119)*(IFERROR('Store Prices'!$I$5:$I$304*1,0)&gt;0))*IFERROR('Store Prices'!$I$5:$I$304*1,0)+(1-(('Store Prices'!$B$5:$B$304=B119)*(IFERROR('Store Prices'!$I$5:$I$304*1,0)&gt;0)))*999999))+0.0000001,"Yes","No"))</f>
        <v>0</v>
      </c>
      <c r="O119" s="18">
        <f>IF(N119="","",TODAY()-N119)</f>
        <v>0</v>
      </c>
      <c r="P119" s="31">
        <f>IF(B119="","",IF(G119="","Add - no price",IF(E119="","Add - no pack size",IF(AND(O119&lt;&gt;"",O119&gt;180),"Check - over six months old","OK"))))</f>
        <v>0</v>
      </c>
    </row>
    <row r="120" spans="1:16">
      <c r="A120" s="39">
        <f>IF(B120="","","SP-"&amp;TEXT(ROW()-4,"0000"))</f>
        <v>0</v>
      </c>
      <c r="F120" s="17">
        <f>IF(B120="","",IFERROR(INDEX(Ingredients!$G$5:$G$304,MATCH(B120,Ingredients!$B$5:$B$304,0)),"Add to Ingredients"))</f>
        <v>0</v>
      </c>
      <c r="I120" s="25">
        <f>IF(OR(G120="",E120="",E120=0),"",G120/E120)</f>
        <v>0</v>
      </c>
      <c r="J120" s="25">
        <f>IF(I120="","",I120*100)</f>
        <v>0</v>
      </c>
      <c r="K120" s="25">
        <f>IF(B120="","",IFERROR(INDEX(Ingredients!$J$5:$J$304,MATCH(B120,Ingredients!$B$5:$B$304,0)),"Add to Ingredients"))</f>
        <v>0</v>
      </c>
      <c r="L120" s="25">
        <f>IF(OR(I120="",K120="",NOT(ISNUMBER(K120))),"",(I120-K120)*100)</f>
        <v>0</v>
      </c>
      <c r="M120" s="46">
        <f>IF(OR(B120="",J120=""),"",IF(I120&lt;=SUMPRODUCT(MIN((('Store Prices'!$B$5:$B$304=B120)*(IFERROR('Store Prices'!$I$5:$I$304*1,0)&gt;0))*IFERROR('Store Prices'!$I$5:$I$304*1,0)+(1-(('Store Prices'!$B$5:$B$304=B120)*(IFERROR('Store Prices'!$I$5:$I$304*1,0)&gt;0)))*999999))+0.0000001,"Yes","No"))</f>
        <v>0</v>
      </c>
      <c r="O120" s="18">
        <f>IF(N120="","",TODAY()-N120)</f>
        <v>0</v>
      </c>
      <c r="P120" s="31">
        <f>IF(B120="","",IF(G120="","Add - no price",IF(E120="","Add - no pack size",IF(AND(O120&lt;&gt;"",O120&gt;180),"Check - over six months old","OK"))))</f>
        <v>0</v>
      </c>
    </row>
    <row r="121" spans="1:16">
      <c r="A121" s="39">
        <f>IF(B121="","","SP-"&amp;TEXT(ROW()-4,"0000"))</f>
        <v>0</v>
      </c>
      <c r="F121" s="17">
        <f>IF(B121="","",IFERROR(INDEX(Ingredients!$G$5:$G$304,MATCH(B121,Ingredients!$B$5:$B$304,0)),"Add to Ingredients"))</f>
        <v>0</v>
      </c>
      <c r="I121" s="25">
        <f>IF(OR(G121="",E121="",E121=0),"",G121/E121)</f>
        <v>0</v>
      </c>
      <c r="J121" s="25">
        <f>IF(I121="","",I121*100)</f>
        <v>0</v>
      </c>
      <c r="K121" s="25">
        <f>IF(B121="","",IFERROR(INDEX(Ingredients!$J$5:$J$304,MATCH(B121,Ingredients!$B$5:$B$304,0)),"Add to Ingredients"))</f>
        <v>0</v>
      </c>
      <c r="L121" s="25">
        <f>IF(OR(I121="",K121="",NOT(ISNUMBER(K121))),"",(I121-K121)*100)</f>
        <v>0</v>
      </c>
      <c r="M121" s="46">
        <f>IF(OR(B121="",J121=""),"",IF(I121&lt;=SUMPRODUCT(MIN((('Store Prices'!$B$5:$B$304=B121)*(IFERROR('Store Prices'!$I$5:$I$304*1,0)&gt;0))*IFERROR('Store Prices'!$I$5:$I$304*1,0)+(1-(('Store Prices'!$B$5:$B$304=B121)*(IFERROR('Store Prices'!$I$5:$I$304*1,0)&gt;0)))*999999))+0.0000001,"Yes","No"))</f>
        <v>0</v>
      </c>
      <c r="O121" s="18">
        <f>IF(N121="","",TODAY()-N121)</f>
        <v>0</v>
      </c>
      <c r="P121" s="31">
        <f>IF(B121="","",IF(G121="","Add - no price",IF(E121="","Add - no pack size",IF(AND(O121&lt;&gt;"",O121&gt;180),"Check - over six months old","OK"))))</f>
        <v>0</v>
      </c>
    </row>
    <row r="122" spans="1:16">
      <c r="A122" s="39">
        <f>IF(B122="","","SP-"&amp;TEXT(ROW()-4,"0000"))</f>
        <v>0</v>
      </c>
      <c r="F122" s="17">
        <f>IF(B122="","",IFERROR(INDEX(Ingredients!$G$5:$G$304,MATCH(B122,Ingredients!$B$5:$B$304,0)),"Add to Ingredients"))</f>
        <v>0</v>
      </c>
      <c r="I122" s="25">
        <f>IF(OR(G122="",E122="",E122=0),"",G122/E122)</f>
        <v>0</v>
      </c>
      <c r="J122" s="25">
        <f>IF(I122="","",I122*100)</f>
        <v>0</v>
      </c>
      <c r="K122" s="25">
        <f>IF(B122="","",IFERROR(INDEX(Ingredients!$J$5:$J$304,MATCH(B122,Ingredients!$B$5:$B$304,0)),"Add to Ingredients"))</f>
        <v>0</v>
      </c>
      <c r="L122" s="25">
        <f>IF(OR(I122="",K122="",NOT(ISNUMBER(K122))),"",(I122-K122)*100)</f>
        <v>0</v>
      </c>
      <c r="M122" s="46">
        <f>IF(OR(B122="",J122=""),"",IF(I122&lt;=SUMPRODUCT(MIN((('Store Prices'!$B$5:$B$304=B122)*(IFERROR('Store Prices'!$I$5:$I$304*1,0)&gt;0))*IFERROR('Store Prices'!$I$5:$I$304*1,0)+(1-(('Store Prices'!$B$5:$B$304=B122)*(IFERROR('Store Prices'!$I$5:$I$304*1,0)&gt;0)))*999999))+0.0000001,"Yes","No"))</f>
        <v>0</v>
      </c>
      <c r="O122" s="18">
        <f>IF(N122="","",TODAY()-N122)</f>
        <v>0</v>
      </c>
      <c r="P122" s="31">
        <f>IF(B122="","",IF(G122="","Add - no price",IF(E122="","Add - no pack size",IF(AND(O122&lt;&gt;"",O122&gt;180),"Check - over six months old","OK"))))</f>
        <v>0</v>
      </c>
    </row>
    <row r="123" spans="1:16">
      <c r="A123" s="39">
        <f>IF(B123="","","SP-"&amp;TEXT(ROW()-4,"0000"))</f>
        <v>0</v>
      </c>
      <c r="F123" s="17">
        <f>IF(B123="","",IFERROR(INDEX(Ingredients!$G$5:$G$304,MATCH(B123,Ingredients!$B$5:$B$304,0)),"Add to Ingredients"))</f>
        <v>0</v>
      </c>
      <c r="I123" s="25">
        <f>IF(OR(G123="",E123="",E123=0),"",G123/E123)</f>
        <v>0</v>
      </c>
      <c r="J123" s="25">
        <f>IF(I123="","",I123*100)</f>
        <v>0</v>
      </c>
      <c r="K123" s="25">
        <f>IF(B123="","",IFERROR(INDEX(Ingredients!$J$5:$J$304,MATCH(B123,Ingredients!$B$5:$B$304,0)),"Add to Ingredients"))</f>
        <v>0</v>
      </c>
      <c r="L123" s="25">
        <f>IF(OR(I123="",K123="",NOT(ISNUMBER(K123))),"",(I123-K123)*100)</f>
        <v>0</v>
      </c>
      <c r="M123" s="46">
        <f>IF(OR(B123="",J123=""),"",IF(I123&lt;=SUMPRODUCT(MIN((('Store Prices'!$B$5:$B$304=B123)*(IFERROR('Store Prices'!$I$5:$I$304*1,0)&gt;0))*IFERROR('Store Prices'!$I$5:$I$304*1,0)+(1-(('Store Prices'!$B$5:$B$304=B123)*(IFERROR('Store Prices'!$I$5:$I$304*1,0)&gt;0)))*999999))+0.0000001,"Yes","No"))</f>
        <v>0</v>
      </c>
      <c r="O123" s="18">
        <f>IF(N123="","",TODAY()-N123)</f>
        <v>0</v>
      </c>
      <c r="P123" s="31">
        <f>IF(B123="","",IF(G123="","Add - no price",IF(E123="","Add - no pack size",IF(AND(O123&lt;&gt;"",O123&gt;180),"Check - over six months old","OK"))))</f>
        <v>0</v>
      </c>
    </row>
    <row r="124" spans="1:16">
      <c r="A124" s="39">
        <f>IF(B124="","","SP-"&amp;TEXT(ROW()-4,"0000"))</f>
        <v>0</v>
      </c>
      <c r="F124" s="17">
        <f>IF(B124="","",IFERROR(INDEX(Ingredients!$G$5:$G$304,MATCH(B124,Ingredients!$B$5:$B$304,0)),"Add to Ingredients"))</f>
        <v>0</v>
      </c>
      <c r="I124" s="25">
        <f>IF(OR(G124="",E124="",E124=0),"",G124/E124)</f>
        <v>0</v>
      </c>
      <c r="J124" s="25">
        <f>IF(I124="","",I124*100)</f>
        <v>0</v>
      </c>
      <c r="K124" s="25">
        <f>IF(B124="","",IFERROR(INDEX(Ingredients!$J$5:$J$304,MATCH(B124,Ingredients!$B$5:$B$304,0)),"Add to Ingredients"))</f>
        <v>0</v>
      </c>
      <c r="L124" s="25">
        <f>IF(OR(I124="",K124="",NOT(ISNUMBER(K124))),"",(I124-K124)*100)</f>
        <v>0</v>
      </c>
      <c r="M124" s="46">
        <f>IF(OR(B124="",J124=""),"",IF(I124&lt;=SUMPRODUCT(MIN((('Store Prices'!$B$5:$B$304=B124)*(IFERROR('Store Prices'!$I$5:$I$304*1,0)&gt;0))*IFERROR('Store Prices'!$I$5:$I$304*1,0)+(1-(('Store Prices'!$B$5:$B$304=B124)*(IFERROR('Store Prices'!$I$5:$I$304*1,0)&gt;0)))*999999))+0.0000001,"Yes","No"))</f>
        <v>0</v>
      </c>
      <c r="O124" s="18">
        <f>IF(N124="","",TODAY()-N124)</f>
        <v>0</v>
      </c>
      <c r="P124" s="31">
        <f>IF(B124="","",IF(G124="","Add - no price",IF(E124="","Add - no pack size",IF(AND(O124&lt;&gt;"",O124&gt;180),"Check - over six months old","OK"))))</f>
        <v>0</v>
      </c>
    </row>
    <row r="125" spans="1:16">
      <c r="A125" s="39">
        <f>IF(B125="","","SP-"&amp;TEXT(ROW()-4,"0000"))</f>
        <v>0</v>
      </c>
      <c r="F125" s="17">
        <f>IF(B125="","",IFERROR(INDEX(Ingredients!$G$5:$G$304,MATCH(B125,Ingredients!$B$5:$B$304,0)),"Add to Ingredients"))</f>
        <v>0</v>
      </c>
      <c r="I125" s="25">
        <f>IF(OR(G125="",E125="",E125=0),"",G125/E125)</f>
        <v>0</v>
      </c>
      <c r="J125" s="25">
        <f>IF(I125="","",I125*100)</f>
        <v>0</v>
      </c>
      <c r="K125" s="25">
        <f>IF(B125="","",IFERROR(INDEX(Ingredients!$J$5:$J$304,MATCH(B125,Ingredients!$B$5:$B$304,0)),"Add to Ingredients"))</f>
        <v>0</v>
      </c>
      <c r="L125" s="25">
        <f>IF(OR(I125="",K125="",NOT(ISNUMBER(K125))),"",(I125-K125)*100)</f>
        <v>0</v>
      </c>
      <c r="M125" s="46">
        <f>IF(OR(B125="",J125=""),"",IF(I125&lt;=SUMPRODUCT(MIN((('Store Prices'!$B$5:$B$304=B125)*(IFERROR('Store Prices'!$I$5:$I$304*1,0)&gt;0))*IFERROR('Store Prices'!$I$5:$I$304*1,0)+(1-(('Store Prices'!$B$5:$B$304=B125)*(IFERROR('Store Prices'!$I$5:$I$304*1,0)&gt;0)))*999999))+0.0000001,"Yes","No"))</f>
        <v>0</v>
      </c>
      <c r="O125" s="18">
        <f>IF(N125="","",TODAY()-N125)</f>
        <v>0</v>
      </c>
      <c r="P125" s="31">
        <f>IF(B125="","",IF(G125="","Add - no price",IF(E125="","Add - no pack size",IF(AND(O125&lt;&gt;"",O125&gt;180),"Check - over six months old","OK"))))</f>
        <v>0</v>
      </c>
    </row>
    <row r="126" spans="1:16">
      <c r="A126" s="39">
        <f>IF(B126="","","SP-"&amp;TEXT(ROW()-4,"0000"))</f>
        <v>0</v>
      </c>
      <c r="F126" s="17">
        <f>IF(B126="","",IFERROR(INDEX(Ingredients!$G$5:$G$304,MATCH(B126,Ingredients!$B$5:$B$304,0)),"Add to Ingredients"))</f>
        <v>0</v>
      </c>
      <c r="I126" s="25">
        <f>IF(OR(G126="",E126="",E126=0),"",G126/E126)</f>
        <v>0</v>
      </c>
      <c r="J126" s="25">
        <f>IF(I126="","",I126*100)</f>
        <v>0</v>
      </c>
      <c r="K126" s="25">
        <f>IF(B126="","",IFERROR(INDEX(Ingredients!$J$5:$J$304,MATCH(B126,Ingredients!$B$5:$B$304,0)),"Add to Ingredients"))</f>
        <v>0</v>
      </c>
      <c r="L126" s="25">
        <f>IF(OR(I126="",K126="",NOT(ISNUMBER(K126))),"",(I126-K126)*100)</f>
        <v>0</v>
      </c>
      <c r="M126" s="46">
        <f>IF(OR(B126="",J126=""),"",IF(I126&lt;=SUMPRODUCT(MIN((('Store Prices'!$B$5:$B$304=B126)*(IFERROR('Store Prices'!$I$5:$I$304*1,0)&gt;0))*IFERROR('Store Prices'!$I$5:$I$304*1,0)+(1-(('Store Prices'!$B$5:$B$304=B126)*(IFERROR('Store Prices'!$I$5:$I$304*1,0)&gt;0)))*999999))+0.0000001,"Yes","No"))</f>
        <v>0</v>
      </c>
      <c r="O126" s="18">
        <f>IF(N126="","",TODAY()-N126)</f>
        <v>0</v>
      </c>
      <c r="P126" s="31">
        <f>IF(B126="","",IF(G126="","Add - no price",IF(E126="","Add - no pack size",IF(AND(O126&lt;&gt;"",O126&gt;180),"Check - over six months old","OK"))))</f>
        <v>0</v>
      </c>
    </row>
    <row r="127" spans="1:16">
      <c r="A127" s="39">
        <f>IF(B127="","","SP-"&amp;TEXT(ROW()-4,"0000"))</f>
        <v>0</v>
      </c>
      <c r="F127" s="17">
        <f>IF(B127="","",IFERROR(INDEX(Ingredients!$G$5:$G$304,MATCH(B127,Ingredients!$B$5:$B$304,0)),"Add to Ingredients"))</f>
        <v>0</v>
      </c>
      <c r="I127" s="25">
        <f>IF(OR(G127="",E127="",E127=0),"",G127/E127)</f>
        <v>0</v>
      </c>
      <c r="J127" s="25">
        <f>IF(I127="","",I127*100)</f>
        <v>0</v>
      </c>
      <c r="K127" s="25">
        <f>IF(B127="","",IFERROR(INDEX(Ingredients!$J$5:$J$304,MATCH(B127,Ingredients!$B$5:$B$304,0)),"Add to Ingredients"))</f>
        <v>0</v>
      </c>
      <c r="L127" s="25">
        <f>IF(OR(I127="",K127="",NOT(ISNUMBER(K127))),"",(I127-K127)*100)</f>
        <v>0</v>
      </c>
      <c r="M127" s="46">
        <f>IF(OR(B127="",J127=""),"",IF(I127&lt;=SUMPRODUCT(MIN((('Store Prices'!$B$5:$B$304=B127)*(IFERROR('Store Prices'!$I$5:$I$304*1,0)&gt;0))*IFERROR('Store Prices'!$I$5:$I$304*1,0)+(1-(('Store Prices'!$B$5:$B$304=B127)*(IFERROR('Store Prices'!$I$5:$I$304*1,0)&gt;0)))*999999))+0.0000001,"Yes","No"))</f>
        <v>0</v>
      </c>
      <c r="O127" s="18">
        <f>IF(N127="","",TODAY()-N127)</f>
        <v>0</v>
      </c>
      <c r="P127" s="31">
        <f>IF(B127="","",IF(G127="","Add - no price",IF(E127="","Add - no pack size",IF(AND(O127&lt;&gt;"",O127&gt;180),"Check - over six months old","OK"))))</f>
        <v>0</v>
      </c>
    </row>
    <row r="128" spans="1:16">
      <c r="A128" s="39">
        <f>IF(B128="","","SP-"&amp;TEXT(ROW()-4,"0000"))</f>
        <v>0</v>
      </c>
      <c r="F128" s="17">
        <f>IF(B128="","",IFERROR(INDEX(Ingredients!$G$5:$G$304,MATCH(B128,Ingredients!$B$5:$B$304,0)),"Add to Ingredients"))</f>
        <v>0</v>
      </c>
      <c r="I128" s="25">
        <f>IF(OR(G128="",E128="",E128=0),"",G128/E128)</f>
        <v>0</v>
      </c>
      <c r="J128" s="25">
        <f>IF(I128="","",I128*100)</f>
        <v>0</v>
      </c>
      <c r="K128" s="25">
        <f>IF(B128="","",IFERROR(INDEX(Ingredients!$J$5:$J$304,MATCH(B128,Ingredients!$B$5:$B$304,0)),"Add to Ingredients"))</f>
        <v>0</v>
      </c>
      <c r="L128" s="25">
        <f>IF(OR(I128="",K128="",NOT(ISNUMBER(K128))),"",(I128-K128)*100)</f>
        <v>0</v>
      </c>
      <c r="M128" s="46">
        <f>IF(OR(B128="",J128=""),"",IF(I128&lt;=SUMPRODUCT(MIN((('Store Prices'!$B$5:$B$304=B128)*(IFERROR('Store Prices'!$I$5:$I$304*1,0)&gt;0))*IFERROR('Store Prices'!$I$5:$I$304*1,0)+(1-(('Store Prices'!$B$5:$B$304=B128)*(IFERROR('Store Prices'!$I$5:$I$304*1,0)&gt;0)))*999999))+0.0000001,"Yes","No"))</f>
        <v>0</v>
      </c>
      <c r="O128" s="18">
        <f>IF(N128="","",TODAY()-N128)</f>
        <v>0</v>
      </c>
      <c r="P128" s="31">
        <f>IF(B128="","",IF(G128="","Add - no price",IF(E128="","Add - no pack size",IF(AND(O128&lt;&gt;"",O128&gt;180),"Check - over six months old","OK"))))</f>
        <v>0</v>
      </c>
    </row>
    <row r="129" spans="1:16">
      <c r="A129" s="39">
        <f>IF(B129="","","SP-"&amp;TEXT(ROW()-4,"0000"))</f>
        <v>0</v>
      </c>
      <c r="F129" s="17">
        <f>IF(B129="","",IFERROR(INDEX(Ingredients!$G$5:$G$304,MATCH(B129,Ingredients!$B$5:$B$304,0)),"Add to Ingredients"))</f>
        <v>0</v>
      </c>
      <c r="I129" s="25">
        <f>IF(OR(G129="",E129="",E129=0),"",G129/E129)</f>
        <v>0</v>
      </c>
      <c r="J129" s="25">
        <f>IF(I129="","",I129*100)</f>
        <v>0</v>
      </c>
      <c r="K129" s="25">
        <f>IF(B129="","",IFERROR(INDEX(Ingredients!$J$5:$J$304,MATCH(B129,Ingredients!$B$5:$B$304,0)),"Add to Ingredients"))</f>
        <v>0</v>
      </c>
      <c r="L129" s="25">
        <f>IF(OR(I129="",K129="",NOT(ISNUMBER(K129))),"",(I129-K129)*100)</f>
        <v>0</v>
      </c>
      <c r="M129" s="46">
        <f>IF(OR(B129="",J129=""),"",IF(I129&lt;=SUMPRODUCT(MIN((('Store Prices'!$B$5:$B$304=B129)*(IFERROR('Store Prices'!$I$5:$I$304*1,0)&gt;0))*IFERROR('Store Prices'!$I$5:$I$304*1,0)+(1-(('Store Prices'!$B$5:$B$304=B129)*(IFERROR('Store Prices'!$I$5:$I$304*1,0)&gt;0)))*999999))+0.0000001,"Yes","No"))</f>
        <v>0</v>
      </c>
      <c r="O129" s="18">
        <f>IF(N129="","",TODAY()-N129)</f>
        <v>0</v>
      </c>
      <c r="P129" s="31">
        <f>IF(B129="","",IF(G129="","Add - no price",IF(E129="","Add - no pack size",IF(AND(O129&lt;&gt;"",O129&gt;180),"Check - over six months old","OK"))))</f>
        <v>0</v>
      </c>
    </row>
    <row r="130" spans="1:16">
      <c r="A130" s="39">
        <f>IF(B130="","","SP-"&amp;TEXT(ROW()-4,"0000"))</f>
        <v>0</v>
      </c>
      <c r="F130" s="17">
        <f>IF(B130="","",IFERROR(INDEX(Ingredients!$G$5:$G$304,MATCH(B130,Ingredients!$B$5:$B$304,0)),"Add to Ingredients"))</f>
        <v>0</v>
      </c>
      <c r="I130" s="25">
        <f>IF(OR(G130="",E130="",E130=0),"",G130/E130)</f>
        <v>0</v>
      </c>
      <c r="J130" s="25">
        <f>IF(I130="","",I130*100)</f>
        <v>0</v>
      </c>
      <c r="K130" s="25">
        <f>IF(B130="","",IFERROR(INDEX(Ingredients!$J$5:$J$304,MATCH(B130,Ingredients!$B$5:$B$304,0)),"Add to Ingredients"))</f>
        <v>0</v>
      </c>
      <c r="L130" s="25">
        <f>IF(OR(I130="",K130="",NOT(ISNUMBER(K130))),"",(I130-K130)*100)</f>
        <v>0</v>
      </c>
      <c r="M130" s="46">
        <f>IF(OR(B130="",J130=""),"",IF(I130&lt;=SUMPRODUCT(MIN((('Store Prices'!$B$5:$B$304=B130)*(IFERROR('Store Prices'!$I$5:$I$304*1,0)&gt;0))*IFERROR('Store Prices'!$I$5:$I$304*1,0)+(1-(('Store Prices'!$B$5:$B$304=B130)*(IFERROR('Store Prices'!$I$5:$I$304*1,0)&gt;0)))*999999))+0.0000001,"Yes","No"))</f>
        <v>0</v>
      </c>
      <c r="O130" s="18">
        <f>IF(N130="","",TODAY()-N130)</f>
        <v>0</v>
      </c>
      <c r="P130" s="31">
        <f>IF(B130="","",IF(G130="","Add - no price",IF(E130="","Add - no pack size",IF(AND(O130&lt;&gt;"",O130&gt;180),"Check - over six months old","OK"))))</f>
        <v>0</v>
      </c>
    </row>
    <row r="131" spans="1:16">
      <c r="A131" s="39">
        <f>IF(B131="","","SP-"&amp;TEXT(ROW()-4,"0000"))</f>
        <v>0</v>
      </c>
      <c r="F131" s="17">
        <f>IF(B131="","",IFERROR(INDEX(Ingredients!$G$5:$G$304,MATCH(B131,Ingredients!$B$5:$B$304,0)),"Add to Ingredients"))</f>
        <v>0</v>
      </c>
      <c r="I131" s="25">
        <f>IF(OR(G131="",E131="",E131=0),"",G131/E131)</f>
        <v>0</v>
      </c>
      <c r="J131" s="25">
        <f>IF(I131="","",I131*100)</f>
        <v>0</v>
      </c>
      <c r="K131" s="25">
        <f>IF(B131="","",IFERROR(INDEX(Ingredients!$J$5:$J$304,MATCH(B131,Ingredients!$B$5:$B$304,0)),"Add to Ingredients"))</f>
        <v>0</v>
      </c>
      <c r="L131" s="25">
        <f>IF(OR(I131="",K131="",NOT(ISNUMBER(K131))),"",(I131-K131)*100)</f>
        <v>0</v>
      </c>
      <c r="M131" s="46">
        <f>IF(OR(B131="",J131=""),"",IF(I131&lt;=SUMPRODUCT(MIN((('Store Prices'!$B$5:$B$304=B131)*(IFERROR('Store Prices'!$I$5:$I$304*1,0)&gt;0))*IFERROR('Store Prices'!$I$5:$I$304*1,0)+(1-(('Store Prices'!$B$5:$B$304=B131)*(IFERROR('Store Prices'!$I$5:$I$304*1,0)&gt;0)))*999999))+0.0000001,"Yes","No"))</f>
        <v>0</v>
      </c>
      <c r="O131" s="18">
        <f>IF(N131="","",TODAY()-N131)</f>
        <v>0</v>
      </c>
      <c r="P131" s="31">
        <f>IF(B131="","",IF(G131="","Add - no price",IF(E131="","Add - no pack size",IF(AND(O131&lt;&gt;"",O131&gt;180),"Check - over six months old","OK"))))</f>
        <v>0</v>
      </c>
    </row>
    <row r="132" spans="1:16">
      <c r="A132" s="39">
        <f>IF(B132="","","SP-"&amp;TEXT(ROW()-4,"0000"))</f>
        <v>0</v>
      </c>
      <c r="F132" s="17">
        <f>IF(B132="","",IFERROR(INDEX(Ingredients!$G$5:$G$304,MATCH(B132,Ingredients!$B$5:$B$304,0)),"Add to Ingredients"))</f>
        <v>0</v>
      </c>
      <c r="I132" s="25">
        <f>IF(OR(G132="",E132="",E132=0),"",G132/E132)</f>
        <v>0</v>
      </c>
      <c r="J132" s="25">
        <f>IF(I132="","",I132*100)</f>
        <v>0</v>
      </c>
      <c r="K132" s="25">
        <f>IF(B132="","",IFERROR(INDEX(Ingredients!$J$5:$J$304,MATCH(B132,Ingredients!$B$5:$B$304,0)),"Add to Ingredients"))</f>
        <v>0</v>
      </c>
      <c r="L132" s="25">
        <f>IF(OR(I132="",K132="",NOT(ISNUMBER(K132))),"",(I132-K132)*100)</f>
        <v>0</v>
      </c>
      <c r="M132" s="46">
        <f>IF(OR(B132="",J132=""),"",IF(I132&lt;=SUMPRODUCT(MIN((('Store Prices'!$B$5:$B$304=B132)*(IFERROR('Store Prices'!$I$5:$I$304*1,0)&gt;0))*IFERROR('Store Prices'!$I$5:$I$304*1,0)+(1-(('Store Prices'!$B$5:$B$304=B132)*(IFERROR('Store Prices'!$I$5:$I$304*1,0)&gt;0)))*999999))+0.0000001,"Yes","No"))</f>
        <v>0</v>
      </c>
      <c r="O132" s="18">
        <f>IF(N132="","",TODAY()-N132)</f>
        <v>0</v>
      </c>
      <c r="P132" s="31">
        <f>IF(B132="","",IF(G132="","Add - no price",IF(E132="","Add - no pack size",IF(AND(O132&lt;&gt;"",O132&gt;180),"Check - over six months old","OK"))))</f>
        <v>0</v>
      </c>
    </row>
    <row r="133" spans="1:16">
      <c r="A133" s="39">
        <f>IF(B133="","","SP-"&amp;TEXT(ROW()-4,"0000"))</f>
        <v>0</v>
      </c>
      <c r="F133" s="17">
        <f>IF(B133="","",IFERROR(INDEX(Ingredients!$G$5:$G$304,MATCH(B133,Ingredients!$B$5:$B$304,0)),"Add to Ingredients"))</f>
        <v>0</v>
      </c>
      <c r="I133" s="25">
        <f>IF(OR(G133="",E133="",E133=0),"",G133/E133)</f>
        <v>0</v>
      </c>
      <c r="J133" s="25">
        <f>IF(I133="","",I133*100)</f>
        <v>0</v>
      </c>
      <c r="K133" s="25">
        <f>IF(B133="","",IFERROR(INDEX(Ingredients!$J$5:$J$304,MATCH(B133,Ingredients!$B$5:$B$304,0)),"Add to Ingredients"))</f>
        <v>0</v>
      </c>
      <c r="L133" s="25">
        <f>IF(OR(I133="",K133="",NOT(ISNUMBER(K133))),"",(I133-K133)*100)</f>
        <v>0</v>
      </c>
      <c r="M133" s="46">
        <f>IF(OR(B133="",J133=""),"",IF(I133&lt;=SUMPRODUCT(MIN((('Store Prices'!$B$5:$B$304=B133)*(IFERROR('Store Prices'!$I$5:$I$304*1,0)&gt;0))*IFERROR('Store Prices'!$I$5:$I$304*1,0)+(1-(('Store Prices'!$B$5:$B$304=B133)*(IFERROR('Store Prices'!$I$5:$I$304*1,0)&gt;0)))*999999))+0.0000001,"Yes","No"))</f>
        <v>0</v>
      </c>
      <c r="O133" s="18">
        <f>IF(N133="","",TODAY()-N133)</f>
        <v>0</v>
      </c>
      <c r="P133" s="31">
        <f>IF(B133="","",IF(G133="","Add - no price",IF(E133="","Add - no pack size",IF(AND(O133&lt;&gt;"",O133&gt;180),"Check - over six months old","OK"))))</f>
        <v>0</v>
      </c>
    </row>
    <row r="134" spans="1:16">
      <c r="A134" s="39">
        <f>IF(B134="","","SP-"&amp;TEXT(ROW()-4,"0000"))</f>
        <v>0</v>
      </c>
      <c r="F134" s="17">
        <f>IF(B134="","",IFERROR(INDEX(Ingredients!$G$5:$G$304,MATCH(B134,Ingredients!$B$5:$B$304,0)),"Add to Ingredients"))</f>
        <v>0</v>
      </c>
      <c r="I134" s="25">
        <f>IF(OR(G134="",E134="",E134=0),"",G134/E134)</f>
        <v>0</v>
      </c>
      <c r="J134" s="25">
        <f>IF(I134="","",I134*100)</f>
        <v>0</v>
      </c>
      <c r="K134" s="25">
        <f>IF(B134="","",IFERROR(INDEX(Ingredients!$J$5:$J$304,MATCH(B134,Ingredients!$B$5:$B$304,0)),"Add to Ingredients"))</f>
        <v>0</v>
      </c>
      <c r="L134" s="25">
        <f>IF(OR(I134="",K134="",NOT(ISNUMBER(K134))),"",(I134-K134)*100)</f>
        <v>0</v>
      </c>
      <c r="M134" s="46">
        <f>IF(OR(B134="",J134=""),"",IF(I134&lt;=SUMPRODUCT(MIN((('Store Prices'!$B$5:$B$304=B134)*(IFERROR('Store Prices'!$I$5:$I$304*1,0)&gt;0))*IFERROR('Store Prices'!$I$5:$I$304*1,0)+(1-(('Store Prices'!$B$5:$B$304=B134)*(IFERROR('Store Prices'!$I$5:$I$304*1,0)&gt;0)))*999999))+0.0000001,"Yes","No"))</f>
        <v>0</v>
      </c>
      <c r="O134" s="18">
        <f>IF(N134="","",TODAY()-N134)</f>
        <v>0</v>
      </c>
      <c r="P134" s="31">
        <f>IF(B134="","",IF(G134="","Add - no price",IF(E134="","Add - no pack size",IF(AND(O134&lt;&gt;"",O134&gt;180),"Check - over six months old","OK"))))</f>
        <v>0</v>
      </c>
    </row>
    <row r="135" spans="1:16">
      <c r="A135" s="39">
        <f>IF(B135="","","SP-"&amp;TEXT(ROW()-4,"0000"))</f>
        <v>0</v>
      </c>
      <c r="F135" s="17">
        <f>IF(B135="","",IFERROR(INDEX(Ingredients!$G$5:$G$304,MATCH(B135,Ingredients!$B$5:$B$304,0)),"Add to Ingredients"))</f>
        <v>0</v>
      </c>
      <c r="I135" s="25">
        <f>IF(OR(G135="",E135="",E135=0),"",G135/E135)</f>
        <v>0</v>
      </c>
      <c r="J135" s="25">
        <f>IF(I135="","",I135*100)</f>
        <v>0</v>
      </c>
      <c r="K135" s="25">
        <f>IF(B135="","",IFERROR(INDEX(Ingredients!$J$5:$J$304,MATCH(B135,Ingredients!$B$5:$B$304,0)),"Add to Ingredients"))</f>
        <v>0</v>
      </c>
      <c r="L135" s="25">
        <f>IF(OR(I135="",K135="",NOT(ISNUMBER(K135))),"",(I135-K135)*100)</f>
        <v>0</v>
      </c>
      <c r="M135" s="46">
        <f>IF(OR(B135="",J135=""),"",IF(I135&lt;=SUMPRODUCT(MIN((('Store Prices'!$B$5:$B$304=B135)*(IFERROR('Store Prices'!$I$5:$I$304*1,0)&gt;0))*IFERROR('Store Prices'!$I$5:$I$304*1,0)+(1-(('Store Prices'!$B$5:$B$304=B135)*(IFERROR('Store Prices'!$I$5:$I$304*1,0)&gt;0)))*999999))+0.0000001,"Yes","No"))</f>
        <v>0</v>
      </c>
      <c r="O135" s="18">
        <f>IF(N135="","",TODAY()-N135)</f>
        <v>0</v>
      </c>
      <c r="P135" s="31">
        <f>IF(B135="","",IF(G135="","Add - no price",IF(E135="","Add - no pack size",IF(AND(O135&lt;&gt;"",O135&gt;180),"Check - over six months old","OK"))))</f>
        <v>0</v>
      </c>
    </row>
    <row r="136" spans="1:16">
      <c r="A136" s="39">
        <f>IF(B136="","","SP-"&amp;TEXT(ROW()-4,"0000"))</f>
        <v>0</v>
      </c>
      <c r="F136" s="17">
        <f>IF(B136="","",IFERROR(INDEX(Ingredients!$G$5:$G$304,MATCH(B136,Ingredients!$B$5:$B$304,0)),"Add to Ingredients"))</f>
        <v>0</v>
      </c>
      <c r="I136" s="25">
        <f>IF(OR(G136="",E136="",E136=0),"",G136/E136)</f>
        <v>0</v>
      </c>
      <c r="J136" s="25">
        <f>IF(I136="","",I136*100)</f>
        <v>0</v>
      </c>
      <c r="K136" s="25">
        <f>IF(B136="","",IFERROR(INDEX(Ingredients!$J$5:$J$304,MATCH(B136,Ingredients!$B$5:$B$304,0)),"Add to Ingredients"))</f>
        <v>0</v>
      </c>
      <c r="L136" s="25">
        <f>IF(OR(I136="",K136="",NOT(ISNUMBER(K136))),"",(I136-K136)*100)</f>
        <v>0</v>
      </c>
      <c r="M136" s="46">
        <f>IF(OR(B136="",J136=""),"",IF(I136&lt;=SUMPRODUCT(MIN((('Store Prices'!$B$5:$B$304=B136)*(IFERROR('Store Prices'!$I$5:$I$304*1,0)&gt;0))*IFERROR('Store Prices'!$I$5:$I$304*1,0)+(1-(('Store Prices'!$B$5:$B$304=B136)*(IFERROR('Store Prices'!$I$5:$I$304*1,0)&gt;0)))*999999))+0.0000001,"Yes","No"))</f>
        <v>0</v>
      </c>
      <c r="O136" s="18">
        <f>IF(N136="","",TODAY()-N136)</f>
        <v>0</v>
      </c>
      <c r="P136" s="31">
        <f>IF(B136="","",IF(G136="","Add - no price",IF(E136="","Add - no pack size",IF(AND(O136&lt;&gt;"",O136&gt;180),"Check - over six months old","OK"))))</f>
        <v>0</v>
      </c>
    </row>
    <row r="137" spans="1:16">
      <c r="A137" s="39">
        <f>IF(B137="","","SP-"&amp;TEXT(ROW()-4,"0000"))</f>
        <v>0</v>
      </c>
      <c r="F137" s="17">
        <f>IF(B137="","",IFERROR(INDEX(Ingredients!$G$5:$G$304,MATCH(B137,Ingredients!$B$5:$B$304,0)),"Add to Ingredients"))</f>
        <v>0</v>
      </c>
      <c r="I137" s="25">
        <f>IF(OR(G137="",E137="",E137=0),"",G137/E137)</f>
        <v>0</v>
      </c>
      <c r="J137" s="25">
        <f>IF(I137="","",I137*100)</f>
        <v>0</v>
      </c>
      <c r="K137" s="25">
        <f>IF(B137="","",IFERROR(INDEX(Ingredients!$J$5:$J$304,MATCH(B137,Ingredients!$B$5:$B$304,0)),"Add to Ingredients"))</f>
        <v>0</v>
      </c>
      <c r="L137" s="25">
        <f>IF(OR(I137="",K137="",NOT(ISNUMBER(K137))),"",(I137-K137)*100)</f>
        <v>0</v>
      </c>
      <c r="M137" s="46">
        <f>IF(OR(B137="",J137=""),"",IF(I137&lt;=SUMPRODUCT(MIN((('Store Prices'!$B$5:$B$304=B137)*(IFERROR('Store Prices'!$I$5:$I$304*1,0)&gt;0))*IFERROR('Store Prices'!$I$5:$I$304*1,0)+(1-(('Store Prices'!$B$5:$B$304=B137)*(IFERROR('Store Prices'!$I$5:$I$304*1,0)&gt;0)))*999999))+0.0000001,"Yes","No"))</f>
        <v>0</v>
      </c>
      <c r="O137" s="18">
        <f>IF(N137="","",TODAY()-N137)</f>
        <v>0</v>
      </c>
      <c r="P137" s="31">
        <f>IF(B137="","",IF(G137="","Add - no price",IF(E137="","Add - no pack size",IF(AND(O137&lt;&gt;"",O137&gt;180),"Check - over six months old","OK"))))</f>
        <v>0</v>
      </c>
    </row>
    <row r="138" spans="1:16">
      <c r="A138" s="39">
        <f>IF(B138="","","SP-"&amp;TEXT(ROW()-4,"0000"))</f>
        <v>0</v>
      </c>
      <c r="F138" s="17">
        <f>IF(B138="","",IFERROR(INDEX(Ingredients!$G$5:$G$304,MATCH(B138,Ingredients!$B$5:$B$304,0)),"Add to Ingredients"))</f>
        <v>0</v>
      </c>
      <c r="I138" s="25">
        <f>IF(OR(G138="",E138="",E138=0),"",G138/E138)</f>
        <v>0</v>
      </c>
      <c r="J138" s="25">
        <f>IF(I138="","",I138*100)</f>
        <v>0</v>
      </c>
      <c r="K138" s="25">
        <f>IF(B138="","",IFERROR(INDEX(Ingredients!$J$5:$J$304,MATCH(B138,Ingredients!$B$5:$B$304,0)),"Add to Ingredients"))</f>
        <v>0</v>
      </c>
      <c r="L138" s="25">
        <f>IF(OR(I138="",K138="",NOT(ISNUMBER(K138))),"",(I138-K138)*100)</f>
        <v>0</v>
      </c>
      <c r="M138" s="46">
        <f>IF(OR(B138="",J138=""),"",IF(I138&lt;=SUMPRODUCT(MIN((('Store Prices'!$B$5:$B$304=B138)*(IFERROR('Store Prices'!$I$5:$I$304*1,0)&gt;0))*IFERROR('Store Prices'!$I$5:$I$304*1,0)+(1-(('Store Prices'!$B$5:$B$304=B138)*(IFERROR('Store Prices'!$I$5:$I$304*1,0)&gt;0)))*999999))+0.0000001,"Yes","No"))</f>
        <v>0</v>
      </c>
      <c r="O138" s="18">
        <f>IF(N138="","",TODAY()-N138)</f>
        <v>0</v>
      </c>
      <c r="P138" s="31">
        <f>IF(B138="","",IF(G138="","Add - no price",IF(E138="","Add - no pack size",IF(AND(O138&lt;&gt;"",O138&gt;180),"Check - over six months old","OK"))))</f>
        <v>0</v>
      </c>
    </row>
    <row r="139" spans="1:16">
      <c r="A139" s="39">
        <f>IF(B139="","","SP-"&amp;TEXT(ROW()-4,"0000"))</f>
        <v>0</v>
      </c>
      <c r="F139" s="17">
        <f>IF(B139="","",IFERROR(INDEX(Ingredients!$G$5:$G$304,MATCH(B139,Ingredients!$B$5:$B$304,0)),"Add to Ingredients"))</f>
        <v>0</v>
      </c>
      <c r="I139" s="25">
        <f>IF(OR(G139="",E139="",E139=0),"",G139/E139)</f>
        <v>0</v>
      </c>
      <c r="J139" s="25">
        <f>IF(I139="","",I139*100)</f>
        <v>0</v>
      </c>
      <c r="K139" s="25">
        <f>IF(B139="","",IFERROR(INDEX(Ingredients!$J$5:$J$304,MATCH(B139,Ingredients!$B$5:$B$304,0)),"Add to Ingredients"))</f>
        <v>0</v>
      </c>
      <c r="L139" s="25">
        <f>IF(OR(I139="",K139="",NOT(ISNUMBER(K139))),"",(I139-K139)*100)</f>
        <v>0</v>
      </c>
      <c r="M139" s="46">
        <f>IF(OR(B139="",J139=""),"",IF(I139&lt;=SUMPRODUCT(MIN((('Store Prices'!$B$5:$B$304=B139)*(IFERROR('Store Prices'!$I$5:$I$304*1,0)&gt;0))*IFERROR('Store Prices'!$I$5:$I$304*1,0)+(1-(('Store Prices'!$B$5:$B$304=B139)*(IFERROR('Store Prices'!$I$5:$I$304*1,0)&gt;0)))*999999))+0.0000001,"Yes","No"))</f>
        <v>0</v>
      </c>
      <c r="O139" s="18">
        <f>IF(N139="","",TODAY()-N139)</f>
        <v>0</v>
      </c>
      <c r="P139" s="31">
        <f>IF(B139="","",IF(G139="","Add - no price",IF(E139="","Add - no pack size",IF(AND(O139&lt;&gt;"",O139&gt;180),"Check - over six months old","OK"))))</f>
        <v>0</v>
      </c>
    </row>
    <row r="140" spans="1:16">
      <c r="A140" s="39">
        <f>IF(B140="","","SP-"&amp;TEXT(ROW()-4,"0000"))</f>
        <v>0</v>
      </c>
      <c r="F140" s="17">
        <f>IF(B140="","",IFERROR(INDEX(Ingredients!$G$5:$G$304,MATCH(B140,Ingredients!$B$5:$B$304,0)),"Add to Ingredients"))</f>
        <v>0</v>
      </c>
      <c r="I140" s="25">
        <f>IF(OR(G140="",E140="",E140=0),"",G140/E140)</f>
        <v>0</v>
      </c>
      <c r="J140" s="25">
        <f>IF(I140="","",I140*100)</f>
        <v>0</v>
      </c>
      <c r="K140" s="25">
        <f>IF(B140="","",IFERROR(INDEX(Ingredients!$J$5:$J$304,MATCH(B140,Ingredients!$B$5:$B$304,0)),"Add to Ingredients"))</f>
        <v>0</v>
      </c>
      <c r="L140" s="25">
        <f>IF(OR(I140="",K140="",NOT(ISNUMBER(K140))),"",(I140-K140)*100)</f>
        <v>0</v>
      </c>
      <c r="M140" s="46">
        <f>IF(OR(B140="",J140=""),"",IF(I140&lt;=SUMPRODUCT(MIN((('Store Prices'!$B$5:$B$304=B140)*(IFERROR('Store Prices'!$I$5:$I$304*1,0)&gt;0))*IFERROR('Store Prices'!$I$5:$I$304*1,0)+(1-(('Store Prices'!$B$5:$B$304=B140)*(IFERROR('Store Prices'!$I$5:$I$304*1,0)&gt;0)))*999999))+0.0000001,"Yes","No"))</f>
        <v>0</v>
      </c>
      <c r="O140" s="18">
        <f>IF(N140="","",TODAY()-N140)</f>
        <v>0</v>
      </c>
      <c r="P140" s="31">
        <f>IF(B140="","",IF(G140="","Add - no price",IF(E140="","Add - no pack size",IF(AND(O140&lt;&gt;"",O140&gt;180),"Check - over six months old","OK"))))</f>
        <v>0</v>
      </c>
    </row>
    <row r="141" spans="1:16">
      <c r="A141" s="39">
        <f>IF(B141="","","SP-"&amp;TEXT(ROW()-4,"0000"))</f>
        <v>0</v>
      </c>
      <c r="F141" s="17">
        <f>IF(B141="","",IFERROR(INDEX(Ingredients!$G$5:$G$304,MATCH(B141,Ingredients!$B$5:$B$304,0)),"Add to Ingredients"))</f>
        <v>0</v>
      </c>
      <c r="I141" s="25">
        <f>IF(OR(G141="",E141="",E141=0),"",G141/E141)</f>
        <v>0</v>
      </c>
      <c r="J141" s="25">
        <f>IF(I141="","",I141*100)</f>
        <v>0</v>
      </c>
      <c r="K141" s="25">
        <f>IF(B141="","",IFERROR(INDEX(Ingredients!$J$5:$J$304,MATCH(B141,Ingredients!$B$5:$B$304,0)),"Add to Ingredients"))</f>
        <v>0</v>
      </c>
      <c r="L141" s="25">
        <f>IF(OR(I141="",K141="",NOT(ISNUMBER(K141))),"",(I141-K141)*100)</f>
        <v>0</v>
      </c>
      <c r="M141" s="46">
        <f>IF(OR(B141="",J141=""),"",IF(I141&lt;=SUMPRODUCT(MIN((('Store Prices'!$B$5:$B$304=B141)*(IFERROR('Store Prices'!$I$5:$I$304*1,0)&gt;0))*IFERROR('Store Prices'!$I$5:$I$304*1,0)+(1-(('Store Prices'!$B$5:$B$304=B141)*(IFERROR('Store Prices'!$I$5:$I$304*1,0)&gt;0)))*999999))+0.0000001,"Yes","No"))</f>
        <v>0</v>
      </c>
      <c r="O141" s="18">
        <f>IF(N141="","",TODAY()-N141)</f>
        <v>0</v>
      </c>
      <c r="P141" s="31">
        <f>IF(B141="","",IF(G141="","Add - no price",IF(E141="","Add - no pack size",IF(AND(O141&lt;&gt;"",O141&gt;180),"Check - over six months old","OK"))))</f>
        <v>0</v>
      </c>
    </row>
    <row r="142" spans="1:16">
      <c r="A142" s="39">
        <f>IF(B142="","","SP-"&amp;TEXT(ROW()-4,"0000"))</f>
        <v>0</v>
      </c>
      <c r="F142" s="17">
        <f>IF(B142="","",IFERROR(INDEX(Ingredients!$G$5:$G$304,MATCH(B142,Ingredients!$B$5:$B$304,0)),"Add to Ingredients"))</f>
        <v>0</v>
      </c>
      <c r="I142" s="25">
        <f>IF(OR(G142="",E142="",E142=0),"",G142/E142)</f>
        <v>0</v>
      </c>
      <c r="J142" s="25">
        <f>IF(I142="","",I142*100)</f>
        <v>0</v>
      </c>
      <c r="K142" s="25">
        <f>IF(B142="","",IFERROR(INDEX(Ingredients!$J$5:$J$304,MATCH(B142,Ingredients!$B$5:$B$304,0)),"Add to Ingredients"))</f>
        <v>0</v>
      </c>
      <c r="L142" s="25">
        <f>IF(OR(I142="",K142="",NOT(ISNUMBER(K142))),"",(I142-K142)*100)</f>
        <v>0</v>
      </c>
      <c r="M142" s="46">
        <f>IF(OR(B142="",J142=""),"",IF(I142&lt;=SUMPRODUCT(MIN((('Store Prices'!$B$5:$B$304=B142)*(IFERROR('Store Prices'!$I$5:$I$304*1,0)&gt;0))*IFERROR('Store Prices'!$I$5:$I$304*1,0)+(1-(('Store Prices'!$B$5:$B$304=B142)*(IFERROR('Store Prices'!$I$5:$I$304*1,0)&gt;0)))*999999))+0.0000001,"Yes","No"))</f>
        <v>0</v>
      </c>
      <c r="O142" s="18">
        <f>IF(N142="","",TODAY()-N142)</f>
        <v>0</v>
      </c>
      <c r="P142" s="31">
        <f>IF(B142="","",IF(G142="","Add - no price",IF(E142="","Add - no pack size",IF(AND(O142&lt;&gt;"",O142&gt;180),"Check - over six months old","OK"))))</f>
        <v>0</v>
      </c>
    </row>
    <row r="143" spans="1:16">
      <c r="A143" s="39">
        <f>IF(B143="","","SP-"&amp;TEXT(ROW()-4,"0000"))</f>
        <v>0</v>
      </c>
      <c r="F143" s="17">
        <f>IF(B143="","",IFERROR(INDEX(Ingredients!$G$5:$G$304,MATCH(B143,Ingredients!$B$5:$B$304,0)),"Add to Ingredients"))</f>
        <v>0</v>
      </c>
      <c r="I143" s="25">
        <f>IF(OR(G143="",E143="",E143=0),"",G143/E143)</f>
        <v>0</v>
      </c>
      <c r="J143" s="25">
        <f>IF(I143="","",I143*100)</f>
        <v>0</v>
      </c>
      <c r="K143" s="25">
        <f>IF(B143="","",IFERROR(INDEX(Ingredients!$J$5:$J$304,MATCH(B143,Ingredients!$B$5:$B$304,0)),"Add to Ingredients"))</f>
        <v>0</v>
      </c>
      <c r="L143" s="25">
        <f>IF(OR(I143="",K143="",NOT(ISNUMBER(K143))),"",(I143-K143)*100)</f>
        <v>0</v>
      </c>
      <c r="M143" s="46">
        <f>IF(OR(B143="",J143=""),"",IF(I143&lt;=SUMPRODUCT(MIN((('Store Prices'!$B$5:$B$304=B143)*(IFERROR('Store Prices'!$I$5:$I$304*1,0)&gt;0))*IFERROR('Store Prices'!$I$5:$I$304*1,0)+(1-(('Store Prices'!$B$5:$B$304=B143)*(IFERROR('Store Prices'!$I$5:$I$304*1,0)&gt;0)))*999999))+0.0000001,"Yes","No"))</f>
        <v>0</v>
      </c>
      <c r="O143" s="18">
        <f>IF(N143="","",TODAY()-N143)</f>
        <v>0</v>
      </c>
      <c r="P143" s="31">
        <f>IF(B143="","",IF(G143="","Add - no price",IF(E143="","Add - no pack size",IF(AND(O143&lt;&gt;"",O143&gt;180),"Check - over six months old","OK"))))</f>
        <v>0</v>
      </c>
    </row>
    <row r="144" spans="1:16">
      <c r="A144" s="39">
        <f>IF(B144="","","SP-"&amp;TEXT(ROW()-4,"0000"))</f>
        <v>0</v>
      </c>
      <c r="F144" s="17">
        <f>IF(B144="","",IFERROR(INDEX(Ingredients!$G$5:$G$304,MATCH(B144,Ingredients!$B$5:$B$304,0)),"Add to Ingredients"))</f>
        <v>0</v>
      </c>
      <c r="I144" s="25">
        <f>IF(OR(G144="",E144="",E144=0),"",G144/E144)</f>
        <v>0</v>
      </c>
      <c r="J144" s="25">
        <f>IF(I144="","",I144*100)</f>
        <v>0</v>
      </c>
      <c r="K144" s="25">
        <f>IF(B144="","",IFERROR(INDEX(Ingredients!$J$5:$J$304,MATCH(B144,Ingredients!$B$5:$B$304,0)),"Add to Ingredients"))</f>
        <v>0</v>
      </c>
      <c r="L144" s="25">
        <f>IF(OR(I144="",K144="",NOT(ISNUMBER(K144))),"",(I144-K144)*100)</f>
        <v>0</v>
      </c>
      <c r="M144" s="46">
        <f>IF(OR(B144="",J144=""),"",IF(I144&lt;=SUMPRODUCT(MIN((('Store Prices'!$B$5:$B$304=B144)*(IFERROR('Store Prices'!$I$5:$I$304*1,0)&gt;0))*IFERROR('Store Prices'!$I$5:$I$304*1,0)+(1-(('Store Prices'!$B$5:$B$304=B144)*(IFERROR('Store Prices'!$I$5:$I$304*1,0)&gt;0)))*999999))+0.0000001,"Yes","No"))</f>
        <v>0</v>
      </c>
      <c r="O144" s="18">
        <f>IF(N144="","",TODAY()-N144)</f>
        <v>0</v>
      </c>
      <c r="P144" s="31">
        <f>IF(B144="","",IF(G144="","Add - no price",IF(E144="","Add - no pack size",IF(AND(O144&lt;&gt;"",O144&gt;180),"Check - over six months old","OK"))))</f>
        <v>0</v>
      </c>
    </row>
    <row r="145" spans="1:16">
      <c r="A145" s="39">
        <f>IF(B145="","","SP-"&amp;TEXT(ROW()-4,"0000"))</f>
        <v>0</v>
      </c>
      <c r="F145" s="17">
        <f>IF(B145="","",IFERROR(INDEX(Ingredients!$G$5:$G$304,MATCH(B145,Ingredients!$B$5:$B$304,0)),"Add to Ingredients"))</f>
        <v>0</v>
      </c>
      <c r="I145" s="25">
        <f>IF(OR(G145="",E145="",E145=0),"",G145/E145)</f>
        <v>0</v>
      </c>
      <c r="J145" s="25">
        <f>IF(I145="","",I145*100)</f>
        <v>0</v>
      </c>
      <c r="K145" s="25">
        <f>IF(B145="","",IFERROR(INDEX(Ingredients!$J$5:$J$304,MATCH(B145,Ingredients!$B$5:$B$304,0)),"Add to Ingredients"))</f>
        <v>0</v>
      </c>
      <c r="L145" s="25">
        <f>IF(OR(I145="",K145="",NOT(ISNUMBER(K145))),"",(I145-K145)*100)</f>
        <v>0</v>
      </c>
      <c r="M145" s="46">
        <f>IF(OR(B145="",J145=""),"",IF(I145&lt;=SUMPRODUCT(MIN((('Store Prices'!$B$5:$B$304=B145)*(IFERROR('Store Prices'!$I$5:$I$304*1,0)&gt;0))*IFERROR('Store Prices'!$I$5:$I$304*1,0)+(1-(('Store Prices'!$B$5:$B$304=B145)*(IFERROR('Store Prices'!$I$5:$I$304*1,0)&gt;0)))*999999))+0.0000001,"Yes","No"))</f>
        <v>0</v>
      </c>
      <c r="O145" s="18">
        <f>IF(N145="","",TODAY()-N145)</f>
        <v>0</v>
      </c>
      <c r="P145" s="31">
        <f>IF(B145="","",IF(G145="","Add - no price",IF(E145="","Add - no pack size",IF(AND(O145&lt;&gt;"",O145&gt;180),"Check - over six months old","OK"))))</f>
        <v>0</v>
      </c>
    </row>
    <row r="146" spans="1:16">
      <c r="A146" s="39">
        <f>IF(B146="","","SP-"&amp;TEXT(ROW()-4,"0000"))</f>
        <v>0</v>
      </c>
      <c r="F146" s="17">
        <f>IF(B146="","",IFERROR(INDEX(Ingredients!$G$5:$G$304,MATCH(B146,Ingredients!$B$5:$B$304,0)),"Add to Ingredients"))</f>
        <v>0</v>
      </c>
      <c r="I146" s="25">
        <f>IF(OR(G146="",E146="",E146=0),"",G146/E146)</f>
        <v>0</v>
      </c>
      <c r="J146" s="25">
        <f>IF(I146="","",I146*100)</f>
        <v>0</v>
      </c>
      <c r="K146" s="25">
        <f>IF(B146="","",IFERROR(INDEX(Ingredients!$J$5:$J$304,MATCH(B146,Ingredients!$B$5:$B$304,0)),"Add to Ingredients"))</f>
        <v>0</v>
      </c>
      <c r="L146" s="25">
        <f>IF(OR(I146="",K146="",NOT(ISNUMBER(K146))),"",(I146-K146)*100)</f>
        <v>0</v>
      </c>
      <c r="M146" s="46">
        <f>IF(OR(B146="",J146=""),"",IF(I146&lt;=SUMPRODUCT(MIN((('Store Prices'!$B$5:$B$304=B146)*(IFERROR('Store Prices'!$I$5:$I$304*1,0)&gt;0))*IFERROR('Store Prices'!$I$5:$I$304*1,0)+(1-(('Store Prices'!$B$5:$B$304=B146)*(IFERROR('Store Prices'!$I$5:$I$304*1,0)&gt;0)))*999999))+0.0000001,"Yes","No"))</f>
        <v>0</v>
      </c>
      <c r="O146" s="18">
        <f>IF(N146="","",TODAY()-N146)</f>
        <v>0</v>
      </c>
      <c r="P146" s="31">
        <f>IF(B146="","",IF(G146="","Add - no price",IF(E146="","Add - no pack size",IF(AND(O146&lt;&gt;"",O146&gt;180),"Check - over six months old","OK"))))</f>
        <v>0</v>
      </c>
    </row>
    <row r="147" spans="1:16">
      <c r="A147" s="39">
        <f>IF(B147="","","SP-"&amp;TEXT(ROW()-4,"0000"))</f>
        <v>0</v>
      </c>
      <c r="F147" s="17">
        <f>IF(B147="","",IFERROR(INDEX(Ingredients!$G$5:$G$304,MATCH(B147,Ingredients!$B$5:$B$304,0)),"Add to Ingredients"))</f>
        <v>0</v>
      </c>
      <c r="I147" s="25">
        <f>IF(OR(G147="",E147="",E147=0),"",G147/E147)</f>
        <v>0</v>
      </c>
      <c r="J147" s="25">
        <f>IF(I147="","",I147*100)</f>
        <v>0</v>
      </c>
      <c r="K147" s="25">
        <f>IF(B147="","",IFERROR(INDEX(Ingredients!$J$5:$J$304,MATCH(B147,Ingredients!$B$5:$B$304,0)),"Add to Ingredients"))</f>
        <v>0</v>
      </c>
      <c r="L147" s="25">
        <f>IF(OR(I147="",K147="",NOT(ISNUMBER(K147))),"",(I147-K147)*100)</f>
        <v>0</v>
      </c>
      <c r="M147" s="46">
        <f>IF(OR(B147="",J147=""),"",IF(I147&lt;=SUMPRODUCT(MIN((('Store Prices'!$B$5:$B$304=B147)*(IFERROR('Store Prices'!$I$5:$I$304*1,0)&gt;0))*IFERROR('Store Prices'!$I$5:$I$304*1,0)+(1-(('Store Prices'!$B$5:$B$304=B147)*(IFERROR('Store Prices'!$I$5:$I$304*1,0)&gt;0)))*999999))+0.0000001,"Yes","No"))</f>
        <v>0</v>
      </c>
      <c r="O147" s="18">
        <f>IF(N147="","",TODAY()-N147)</f>
        <v>0</v>
      </c>
      <c r="P147" s="31">
        <f>IF(B147="","",IF(G147="","Add - no price",IF(E147="","Add - no pack size",IF(AND(O147&lt;&gt;"",O147&gt;180),"Check - over six months old","OK"))))</f>
        <v>0</v>
      </c>
    </row>
    <row r="148" spans="1:16">
      <c r="A148" s="39">
        <f>IF(B148="","","SP-"&amp;TEXT(ROW()-4,"0000"))</f>
        <v>0</v>
      </c>
      <c r="F148" s="17">
        <f>IF(B148="","",IFERROR(INDEX(Ingredients!$G$5:$G$304,MATCH(B148,Ingredients!$B$5:$B$304,0)),"Add to Ingredients"))</f>
        <v>0</v>
      </c>
      <c r="I148" s="25">
        <f>IF(OR(G148="",E148="",E148=0),"",G148/E148)</f>
        <v>0</v>
      </c>
      <c r="J148" s="25">
        <f>IF(I148="","",I148*100)</f>
        <v>0</v>
      </c>
      <c r="K148" s="25">
        <f>IF(B148="","",IFERROR(INDEX(Ingredients!$J$5:$J$304,MATCH(B148,Ingredients!$B$5:$B$304,0)),"Add to Ingredients"))</f>
        <v>0</v>
      </c>
      <c r="L148" s="25">
        <f>IF(OR(I148="",K148="",NOT(ISNUMBER(K148))),"",(I148-K148)*100)</f>
        <v>0</v>
      </c>
      <c r="M148" s="46">
        <f>IF(OR(B148="",J148=""),"",IF(I148&lt;=SUMPRODUCT(MIN((('Store Prices'!$B$5:$B$304=B148)*(IFERROR('Store Prices'!$I$5:$I$304*1,0)&gt;0))*IFERROR('Store Prices'!$I$5:$I$304*1,0)+(1-(('Store Prices'!$B$5:$B$304=B148)*(IFERROR('Store Prices'!$I$5:$I$304*1,0)&gt;0)))*999999))+0.0000001,"Yes","No"))</f>
        <v>0</v>
      </c>
      <c r="O148" s="18">
        <f>IF(N148="","",TODAY()-N148)</f>
        <v>0</v>
      </c>
      <c r="P148" s="31">
        <f>IF(B148="","",IF(G148="","Add - no price",IF(E148="","Add - no pack size",IF(AND(O148&lt;&gt;"",O148&gt;180),"Check - over six months old","OK"))))</f>
        <v>0</v>
      </c>
    </row>
    <row r="149" spans="1:16">
      <c r="A149" s="39">
        <f>IF(B149="","","SP-"&amp;TEXT(ROW()-4,"0000"))</f>
        <v>0</v>
      </c>
      <c r="F149" s="17">
        <f>IF(B149="","",IFERROR(INDEX(Ingredients!$G$5:$G$304,MATCH(B149,Ingredients!$B$5:$B$304,0)),"Add to Ingredients"))</f>
        <v>0</v>
      </c>
      <c r="I149" s="25">
        <f>IF(OR(G149="",E149="",E149=0),"",G149/E149)</f>
        <v>0</v>
      </c>
      <c r="J149" s="25">
        <f>IF(I149="","",I149*100)</f>
        <v>0</v>
      </c>
      <c r="K149" s="25">
        <f>IF(B149="","",IFERROR(INDEX(Ingredients!$J$5:$J$304,MATCH(B149,Ingredients!$B$5:$B$304,0)),"Add to Ingredients"))</f>
        <v>0</v>
      </c>
      <c r="L149" s="25">
        <f>IF(OR(I149="",K149="",NOT(ISNUMBER(K149))),"",(I149-K149)*100)</f>
        <v>0</v>
      </c>
      <c r="M149" s="46">
        <f>IF(OR(B149="",J149=""),"",IF(I149&lt;=SUMPRODUCT(MIN((('Store Prices'!$B$5:$B$304=B149)*(IFERROR('Store Prices'!$I$5:$I$304*1,0)&gt;0))*IFERROR('Store Prices'!$I$5:$I$304*1,0)+(1-(('Store Prices'!$B$5:$B$304=B149)*(IFERROR('Store Prices'!$I$5:$I$304*1,0)&gt;0)))*999999))+0.0000001,"Yes","No"))</f>
        <v>0</v>
      </c>
      <c r="O149" s="18">
        <f>IF(N149="","",TODAY()-N149)</f>
        <v>0</v>
      </c>
      <c r="P149" s="31">
        <f>IF(B149="","",IF(G149="","Add - no price",IF(E149="","Add - no pack size",IF(AND(O149&lt;&gt;"",O149&gt;180),"Check - over six months old","OK"))))</f>
        <v>0</v>
      </c>
    </row>
    <row r="150" spans="1:16">
      <c r="A150" s="39">
        <f>IF(B150="","","SP-"&amp;TEXT(ROW()-4,"0000"))</f>
        <v>0</v>
      </c>
      <c r="F150" s="17">
        <f>IF(B150="","",IFERROR(INDEX(Ingredients!$G$5:$G$304,MATCH(B150,Ingredients!$B$5:$B$304,0)),"Add to Ingredients"))</f>
        <v>0</v>
      </c>
      <c r="I150" s="25">
        <f>IF(OR(G150="",E150="",E150=0),"",G150/E150)</f>
        <v>0</v>
      </c>
      <c r="J150" s="25">
        <f>IF(I150="","",I150*100)</f>
        <v>0</v>
      </c>
      <c r="K150" s="25">
        <f>IF(B150="","",IFERROR(INDEX(Ingredients!$J$5:$J$304,MATCH(B150,Ingredients!$B$5:$B$304,0)),"Add to Ingredients"))</f>
        <v>0</v>
      </c>
      <c r="L150" s="25">
        <f>IF(OR(I150="",K150="",NOT(ISNUMBER(K150))),"",(I150-K150)*100)</f>
        <v>0</v>
      </c>
      <c r="M150" s="46">
        <f>IF(OR(B150="",J150=""),"",IF(I150&lt;=SUMPRODUCT(MIN((('Store Prices'!$B$5:$B$304=B150)*(IFERROR('Store Prices'!$I$5:$I$304*1,0)&gt;0))*IFERROR('Store Prices'!$I$5:$I$304*1,0)+(1-(('Store Prices'!$B$5:$B$304=B150)*(IFERROR('Store Prices'!$I$5:$I$304*1,0)&gt;0)))*999999))+0.0000001,"Yes","No"))</f>
        <v>0</v>
      </c>
      <c r="O150" s="18">
        <f>IF(N150="","",TODAY()-N150)</f>
        <v>0</v>
      </c>
      <c r="P150" s="31">
        <f>IF(B150="","",IF(G150="","Add - no price",IF(E150="","Add - no pack size",IF(AND(O150&lt;&gt;"",O150&gt;180),"Check - over six months old","OK"))))</f>
        <v>0</v>
      </c>
    </row>
    <row r="151" spans="1:16">
      <c r="A151" s="39">
        <f>IF(B151="","","SP-"&amp;TEXT(ROW()-4,"0000"))</f>
        <v>0</v>
      </c>
      <c r="F151" s="17">
        <f>IF(B151="","",IFERROR(INDEX(Ingredients!$G$5:$G$304,MATCH(B151,Ingredients!$B$5:$B$304,0)),"Add to Ingredients"))</f>
        <v>0</v>
      </c>
      <c r="I151" s="25">
        <f>IF(OR(G151="",E151="",E151=0),"",G151/E151)</f>
        <v>0</v>
      </c>
      <c r="J151" s="25">
        <f>IF(I151="","",I151*100)</f>
        <v>0</v>
      </c>
      <c r="K151" s="25">
        <f>IF(B151="","",IFERROR(INDEX(Ingredients!$J$5:$J$304,MATCH(B151,Ingredients!$B$5:$B$304,0)),"Add to Ingredients"))</f>
        <v>0</v>
      </c>
      <c r="L151" s="25">
        <f>IF(OR(I151="",K151="",NOT(ISNUMBER(K151))),"",(I151-K151)*100)</f>
        <v>0</v>
      </c>
      <c r="M151" s="46">
        <f>IF(OR(B151="",J151=""),"",IF(I151&lt;=SUMPRODUCT(MIN((('Store Prices'!$B$5:$B$304=B151)*(IFERROR('Store Prices'!$I$5:$I$304*1,0)&gt;0))*IFERROR('Store Prices'!$I$5:$I$304*1,0)+(1-(('Store Prices'!$B$5:$B$304=B151)*(IFERROR('Store Prices'!$I$5:$I$304*1,0)&gt;0)))*999999))+0.0000001,"Yes","No"))</f>
        <v>0</v>
      </c>
      <c r="O151" s="18">
        <f>IF(N151="","",TODAY()-N151)</f>
        <v>0</v>
      </c>
      <c r="P151" s="31">
        <f>IF(B151="","",IF(G151="","Add - no price",IF(E151="","Add - no pack size",IF(AND(O151&lt;&gt;"",O151&gt;180),"Check - over six months old","OK"))))</f>
        <v>0</v>
      </c>
    </row>
    <row r="152" spans="1:16">
      <c r="A152" s="39">
        <f>IF(B152="","","SP-"&amp;TEXT(ROW()-4,"0000"))</f>
        <v>0</v>
      </c>
      <c r="F152" s="17">
        <f>IF(B152="","",IFERROR(INDEX(Ingredients!$G$5:$G$304,MATCH(B152,Ingredients!$B$5:$B$304,0)),"Add to Ingredients"))</f>
        <v>0</v>
      </c>
      <c r="I152" s="25">
        <f>IF(OR(G152="",E152="",E152=0),"",G152/E152)</f>
        <v>0</v>
      </c>
      <c r="J152" s="25">
        <f>IF(I152="","",I152*100)</f>
        <v>0</v>
      </c>
      <c r="K152" s="25">
        <f>IF(B152="","",IFERROR(INDEX(Ingredients!$J$5:$J$304,MATCH(B152,Ingredients!$B$5:$B$304,0)),"Add to Ingredients"))</f>
        <v>0</v>
      </c>
      <c r="L152" s="25">
        <f>IF(OR(I152="",K152="",NOT(ISNUMBER(K152))),"",(I152-K152)*100)</f>
        <v>0</v>
      </c>
      <c r="M152" s="46">
        <f>IF(OR(B152="",J152=""),"",IF(I152&lt;=SUMPRODUCT(MIN((('Store Prices'!$B$5:$B$304=B152)*(IFERROR('Store Prices'!$I$5:$I$304*1,0)&gt;0))*IFERROR('Store Prices'!$I$5:$I$304*1,0)+(1-(('Store Prices'!$B$5:$B$304=B152)*(IFERROR('Store Prices'!$I$5:$I$304*1,0)&gt;0)))*999999))+0.0000001,"Yes","No"))</f>
        <v>0</v>
      </c>
      <c r="O152" s="18">
        <f>IF(N152="","",TODAY()-N152)</f>
        <v>0</v>
      </c>
      <c r="P152" s="31">
        <f>IF(B152="","",IF(G152="","Add - no price",IF(E152="","Add - no pack size",IF(AND(O152&lt;&gt;"",O152&gt;180),"Check - over six months old","OK"))))</f>
        <v>0</v>
      </c>
    </row>
    <row r="153" spans="1:16">
      <c r="A153" s="39">
        <f>IF(B153="","","SP-"&amp;TEXT(ROW()-4,"0000"))</f>
        <v>0</v>
      </c>
      <c r="F153" s="17">
        <f>IF(B153="","",IFERROR(INDEX(Ingredients!$G$5:$G$304,MATCH(B153,Ingredients!$B$5:$B$304,0)),"Add to Ingredients"))</f>
        <v>0</v>
      </c>
      <c r="I153" s="25">
        <f>IF(OR(G153="",E153="",E153=0),"",G153/E153)</f>
        <v>0</v>
      </c>
      <c r="J153" s="25">
        <f>IF(I153="","",I153*100)</f>
        <v>0</v>
      </c>
      <c r="K153" s="25">
        <f>IF(B153="","",IFERROR(INDEX(Ingredients!$J$5:$J$304,MATCH(B153,Ingredients!$B$5:$B$304,0)),"Add to Ingredients"))</f>
        <v>0</v>
      </c>
      <c r="L153" s="25">
        <f>IF(OR(I153="",K153="",NOT(ISNUMBER(K153))),"",(I153-K153)*100)</f>
        <v>0</v>
      </c>
      <c r="M153" s="46">
        <f>IF(OR(B153="",J153=""),"",IF(I153&lt;=SUMPRODUCT(MIN((('Store Prices'!$B$5:$B$304=B153)*(IFERROR('Store Prices'!$I$5:$I$304*1,0)&gt;0))*IFERROR('Store Prices'!$I$5:$I$304*1,0)+(1-(('Store Prices'!$B$5:$B$304=B153)*(IFERROR('Store Prices'!$I$5:$I$304*1,0)&gt;0)))*999999))+0.0000001,"Yes","No"))</f>
        <v>0</v>
      </c>
      <c r="O153" s="18">
        <f>IF(N153="","",TODAY()-N153)</f>
        <v>0</v>
      </c>
      <c r="P153" s="31">
        <f>IF(B153="","",IF(G153="","Add - no price",IF(E153="","Add - no pack size",IF(AND(O153&lt;&gt;"",O153&gt;180),"Check - over six months old","OK"))))</f>
        <v>0</v>
      </c>
    </row>
    <row r="154" spans="1:16">
      <c r="A154" s="39">
        <f>IF(B154="","","SP-"&amp;TEXT(ROW()-4,"0000"))</f>
        <v>0</v>
      </c>
      <c r="F154" s="17">
        <f>IF(B154="","",IFERROR(INDEX(Ingredients!$G$5:$G$304,MATCH(B154,Ingredients!$B$5:$B$304,0)),"Add to Ingredients"))</f>
        <v>0</v>
      </c>
      <c r="I154" s="25">
        <f>IF(OR(G154="",E154="",E154=0),"",G154/E154)</f>
        <v>0</v>
      </c>
      <c r="J154" s="25">
        <f>IF(I154="","",I154*100)</f>
        <v>0</v>
      </c>
      <c r="K154" s="25">
        <f>IF(B154="","",IFERROR(INDEX(Ingredients!$J$5:$J$304,MATCH(B154,Ingredients!$B$5:$B$304,0)),"Add to Ingredients"))</f>
        <v>0</v>
      </c>
      <c r="L154" s="25">
        <f>IF(OR(I154="",K154="",NOT(ISNUMBER(K154))),"",(I154-K154)*100)</f>
        <v>0</v>
      </c>
      <c r="M154" s="46">
        <f>IF(OR(B154="",J154=""),"",IF(I154&lt;=SUMPRODUCT(MIN((('Store Prices'!$B$5:$B$304=B154)*(IFERROR('Store Prices'!$I$5:$I$304*1,0)&gt;0))*IFERROR('Store Prices'!$I$5:$I$304*1,0)+(1-(('Store Prices'!$B$5:$B$304=B154)*(IFERROR('Store Prices'!$I$5:$I$304*1,0)&gt;0)))*999999))+0.0000001,"Yes","No"))</f>
        <v>0</v>
      </c>
      <c r="O154" s="18">
        <f>IF(N154="","",TODAY()-N154)</f>
        <v>0</v>
      </c>
      <c r="P154" s="31">
        <f>IF(B154="","",IF(G154="","Add - no price",IF(E154="","Add - no pack size",IF(AND(O154&lt;&gt;"",O154&gt;180),"Check - over six months old","OK"))))</f>
        <v>0</v>
      </c>
    </row>
    <row r="155" spans="1:16">
      <c r="A155" s="39">
        <f>IF(B155="","","SP-"&amp;TEXT(ROW()-4,"0000"))</f>
        <v>0</v>
      </c>
      <c r="F155" s="17">
        <f>IF(B155="","",IFERROR(INDEX(Ingredients!$G$5:$G$304,MATCH(B155,Ingredients!$B$5:$B$304,0)),"Add to Ingredients"))</f>
        <v>0</v>
      </c>
      <c r="I155" s="25">
        <f>IF(OR(G155="",E155="",E155=0),"",G155/E155)</f>
        <v>0</v>
      </c>
      <c r="J155" s="25">
        <f>IF(I155="","",I155*100)</f>
        <v>0</v>
      </c>
      <c r="K155" s="25">
        <f>IF(B155="","",IFERROR(INDEX(Ingredients!$J$5:$J$304,MATCH(B155,Ingredients!$B$5:$B$304,0)),"Add to Ingredients"))</f>
        <v>0</v>
      </c>
      <c r="L155" s="25">
        <f>IF(OR(I155="",K155="",NOT(ISNUMBER(K155))),"",(I155-K155)*100)</f>
        <v>0</v>
      </c>
      <c r="M155" s="46">
        <f>IF(OR(B155="",J155=""),"",IF(I155&lt;=SUMPRODUCT(MIN((('Store Prices'!$B$5:$B$304=B155)*(IFERROR('Store Prices'!$I$5:$I$304*1,0)&gt;0))*IFERROR('Store Prices'!$I$5:$I$304*1,0)+(1-(('Store Prices'!$B$5:$B$304=B155)*(IFERROR('Store Prices'!$I$5:$I$304*1,0)&gt;0)))*999999))+0.0000001,"Yes","No"))</f>
        <v>0</v>
      </c>
      <c r="O155" s="18">
        <f>IF(N155="","",TODAY()-N155)</f>
        <v>0</v>
      </c>
      <c r="P155" s="31">
        <f>IF(B155="","",IF(G155="","Add - no price",IF(E155="","Add - no pack size",IF(AND(O155&lt;&gt;"",O155&gt;180),"Check - over six months old","OK"))))</f>
        <v>0</v>
      </c>
    </row>
    <row r="156" spans="1:16">
      <c r="A156" s="39">
        <f>IF(B156="","","SP-"&amp;TEXT(ROW()-4,"0000"))</f>
        <v>0</v>
      </c>
      <c r="F156" s="17">
        <f>IF(B156="","",IFERROR(INDEX(Ingredients!$G$5:$G$304,MATCH(B156,Ingredients!$B$5:$B$304,0)),"Add to Ingredients"))</f>
        <v>0</v>
      </c>
      <c r="I156" s="25">
        <f>IF(OR(G156="",E156="",E156=0),"",G156/E156)</f>
        <v>0</v>
      </c>
      <c r="J156" s="25">
        <f>IF(I156="","",I156*100)</f>
        <v>0</v>
      </c>
      <c r="K156" s="25">
        <f>IF(B156="","",IFERROR(INDEX(Ingredients!$J$5:$J$304,MATCH(B156,Ingredients!$B$5:$B$304,0)),"Add to Ingredients"))</f>
        <v>0</v>
      </c>
      <c r="L156" s="25">
        <f>IF(OR(I156="",K156="",NOT(ISNUMBER(K156))),"",(I156-K156)*100)</f>
        <v>0</v>
      </c>
      <c r="M156" s="46">
        <f>IF(OR(B156="",J156=""),"",IF(I156&lt;=SUMPRODUCT(MIN((('Store Prices'!$B$5:$B$304=B156)*(IFERROR('Store Prices'!$I$5:$I$304*1,0)&gt;0))*IFERROR('Store Prices'!$I$5:$I$304*1,0)+(1-(('Store Prices'!$B$5:$B$304=B156)*(IFERROR('Store Prices'!$I$5:$I$304*1,0)&gt;0)))*999999))+0.0000001,"Yes","No"))</f>
        <v>0</v>
      </c>
      <c r="O156" s="18">
        <f>IF(N156="","",TODAY()-N156)</f>
        <v>0</v>
      </c>
      <c r="P156" s="31">
        <f>IF(B156="","",IF(G156="","Add - no price",IF(E156="","Add - no pack size",IF(AND(O156&lt;&gt;"",O156&gt;180),"Check - over six months old","OK"))))</f>
        <v>0</v>
      </c>
    </row>
    <row r="157" spans="1:16">
      <c r="A157" s="39">
        <f>IF(B157="","","SP-"&amp;TEXT(ROW()-4,"0000"))</f>
        <v>0</v>
      </c>
      <c r="F157" s="17">
        <f>IF(B157="","",IFERROR(INDEX(Ingredients!$G$5:$G$304,MATCH(B157,Ingredients!$B$5:$B$304,0)),"Add to Ingredients"))</f>
        <v>0</v>
      </c>
      <c r="I157" s="25">
        <f>IF(OR(G157="",E157="",E157=0),"",G157/E157)</f>
        <v>0</v>
      </c>
      <c r="J157" s="25">
        <f>IF(I157="","",I157*100)</f>
        <v>0</v>
      </c>
      <c r="K157" s="25">
        <f>IF(B157="","",IFERROR(INDEX(Ingredients!$J$5:$J$304,MATCH(B157,Ingredients!$B$5:$B$304,0)),"Add to Ingredients"))</f>
        <v>0</v>
      </c>
      <c r="L157" s="25">
        <f>IF(OR(I157="",K157="",NOT(ISNUMBER(K157))),"",(I157-K157)*100)</f>
        <v>0</v>
      </c>
      <c r="M157" s="46">
        <f>IF(OR(B157="",J157=""),"",IF(I157&lt;=SUMPRODUCT(MIN((('Store Prices'!$B$5:$B$304=B157)*(IFERROR('Store Prices'!$I$5:$I$304*1,0)&gt;0))*IFERROR('Store Prices'!$I$5:$I$304*1,0)+(1-(('Store Prices'!$B$5:$B$304=B157)*(IFERROR('Store Prices'!$I$5:$I$304*1,0)&gt;0)))*999999))+0.0000001,"Yes","No"))</f>
        <v>0</v>
      </c>
      <c r="O157" s="18">
        <f>IF(N157="","",TODAY()-N157)</f>
        <v>0</v>
      </c>
      <c r="P157" s="31">
        <f>IF(B157="","",IF(G157="","Add - no price",IF(E157="","Add - no pack size",IF(AND(O157&lt;&gt;"",O157&gt;180),"Check - over six months old","OK"))))</f>
        <v>0</v>
      </c>
    </row>
    <row r="158" spans="1:16">
      <c r="A158" s="39">
        <f>IF(B158="","","SP-"&amp;TEXT(ROW()-4,"0000"))</f>
        <v>0</v>
      </c>
      <c r="F158" s="17">
        <f>IF(B158="","",IFERROR(INDEX(Ingredients!$G$5:$G$304,MATCH(B158,Ingredients!$B$5:$B$304,0)),"Add to Ingredients"))</f>
        <v>0</v>
      </c>
      <c r="I158" s="25">
        <f>IF(OR(G158="",E158="",E158=0),"",G158/E158)</f>
        <v>0</v>
      </c>
      <c r="J158" s="25">
        <f>IF(I158="","",I158*100)</f>
        <v>0</v>
      </c>
      <c r="K158" s="25">
        <f>IF(B158="","",IFERROR(INDEX(Ingredients!$J$5:$J$304,MATCH(B158,Ingredients!$B$5:$B$304,0)),"Add to Ingredients"))</f>
        <v>0</v>
      </c>
      <c r="L158" s="25">
        <f>IF(OR(I158="",K158="",NOT(ISNUMBER(K158))),"",(I158-K158)*100)</f>
        <v>0</v>
      </c>
      <c r="M158" s="46">
        <f>IF(OR(B158="",J158=""),"",IF(I158&lt;=SUMPRODUCT(MIN((('Store Prices'!$B$5:$B$304=B158)*(IFERROR('Store Prices'!$I$5:$I$304*1,0)&gt;0))*IFERROR('Store Prices'!$I$5:$I$304*1,0)+(1-(('Store Prices'!$B$5:$B$304=B158)*(IFERROR('Store Prices'!$I$5:$I$304*1,0)&gt;0)))*999999))+0.0000001,"Yes","No"))</f>
        <v>0</v>
      </c>
      <c r="O158" s="18">
        <f>IF(N158="","",TODAY()-N158)</f>
        <v>0</v>
      </c>
      <c r="P158" s="31">
        <f>IF(B158="","",IF(G158="","Add - no price",IF(E158="","Add - no pack size",IF(AND(O158&lt;&gt;"",O158&gt;180),"Check - over six months old","OK"))))</f>
        <v>0</v>
      </c>
    </row>
    <row r="159" spans="1:16">
      <c r="A159" s="39">
        <f>IF(B159="","","SP-"&amp;TEXT(ROW()-4,"0000"))</f>
        <v>0</v>
      </c>
      <c r="F159" s="17">
        <f>IF(B159="","",IFERROR(INDEX(Ingredients!$G$5:$G$304,MATCH(B159,Ingredients!$B$5:$B$304,0)),"Add to Ingredients"))</f>
        <v>0</v>
      </c>
      <c r="I159" s="25">
        <f>IF(OR(G159="",E159="",E159=0),"",G159/E159)</f>
        <v>0</v>
      </c>
      <c r="J159" s="25">
        <f>IF(I159="","",I159*100)</f>
        <v>0</v>
      </c>
      <c r="K159" s="25">
        <f>IF(B159="","",IFERROR(INDEX(Ingredients!$J$5:$J$304,MATCH(B159,Ingredients!$B$5:$B$304,0)),"Add to Ingredients"))</f>
        <v>0</v>
      </c>
      <c r="L159" s="25">
        <f>IF(OR(I159="",K159="",NOT(ISNUMBER(K159))),"",(I159-K159)*100)</f>
        <v>0</v>
      </c>
      <c r="M159" s="46">
        <f>IF(OR(B159="",J159=""),"",IF(I159&lt;=SUMPRODUCT(MIN((('Store Prices'!$B$5:$B$304=B159)*(IFERROR('Store Prices'!$I$5:$I$304*1,0)&gt;0))*IFERROR('Store Prices'!$I$5:$I$304*1,0)+(1-(('Store Prices'!$B$5:$B$304=B159)*(IFERROR('Store Prices'!$I$5:$I$304*1,0)&gt;0)))*999999))+0.0000001,"Yes","No"))</f>
        <v>0</v>
      </c>
      <c r="O159" s="18">
        <f>IF(N159="","",TODAY()-N159)</f>
        <v>0</v>
      </c>
      <c r="P159" s="31">
        <f>IF(B159="","",IF(G159="","Add - no price",IF(E159="","Add - no pack size",IF(AND(O159&lt;&gt;"",O159&gt;180),"Check - over six months old","OK"))))</f>
        <v>0</v>
      </c>
    </row>
    <row r="160" spans="1:16">
      <c r="A160" s="39">
        <f>IF(B160="","","SP-"&amp;TEXT(ROW()-4,"0000"))</f>
        <v>0</v>
      </c>
      <c r="F160" s="17">
        <f>IF(B160="","",IFERROR(INDEX(Ingredients!$G$5:$G$304,MATCH(B160,Ingredients!$B$5:$B$304,0)),"Add to Ingredients"))</f>
        <v>0</v>
      </c>
      <c r="I160" s="25">
        <f>IF(OR(G160="",E160="",E160=0),"",G160/E160)</f>
        <v>0</v>
      </c>
      <c r="J160" s="25">
        <f>IF(I160="","",I160*100)</f>
        <v>0</v>
      </c>
      <c r="K160" s="25">
        <f>IF(B160="","",IFERROR(INDEX(Ingredients!$J$5:$J$304,MATCH(B160,Ingredients!$B$5:$B$304,0)),"Add to Ingredients"))</f>
        <v>0</v>
      </c>
      <c r="L160" s="25">
        <f>IF(OR(I160="",K160="",NOT(ISNUMBER(K160))),"",(I160-K160)*100)</f>
        <v>0</v>
      </c>
      <c r="M160" s="46">
        <f>IF(OR(B160="",J160=""),"",IF(I160&lt;=SUMPRODUCT(MIN((('Store Prices'!$B$5:$B$304=B160)*(IFERROR('Store Prices'!$I$5:$I$304*1,0)&gt;0))*IFERROR('Store Prices'!$I$5:$I$304*1,0)+(1-(('Store Prices'!$B$5:$B$304=B160)*(IFERROR('Store Prices'!$I$5:$I$304*1,0)&gt;0)))*999999))+0.0000001,"Yes","No"))</f>
        <v>0</v>
      </c>
      <c r="O160" s="18">
        <f>IF(N160="","",TODAY()-N160)</f>
        <v>0</v>
      </c>
      <c r="P160" s="31">
        <f>IF(B160="","",IF(G160="","Add - no price",IF(E160="","Add - no pack size",IF(AND(O160&lt;&gt;"",O160&gt;180),"Check - over six months old","OK"))))</f>
        <v>0</v>
      </c>
    </row>
    <row r="161" spans="1:16">
      <c r="A161" s="39">
        <f>IF(B161="","","SP-"&amp;TEXT(ROW()-4,"0000"))</f>
        <v>0</v>
      </c>
      <c r="F161" s="17">
        <f>IF(B161="","",IFERROR(INDEX(Ingredients!$G$5:$G$304,MATCH(B161,Ingredients!$B$5:$B$304,0)),"Add to Ingredients"))</f>
        <v>0</v>
      </c>
      <c r="I161" s="25">
        <f>IF(OR(G161="",E161="",E161=0),"",G161/E161)</f>
        <v>0</v>
      </c>
      <c r="J161" s="25">
        <f>IF(I161="","",I161*100)</f>
        <v>0</v>
      </c>
      <c r="K161" s="25">
        <f>IF(B161="","",IFERROR(INDEX(Ingredients!$J$5:$J$304,MATCH(B161,Ingredients!$B$5:$B$304,0)),"Add to Ingredients"))</f>
        <v>0</v>
      </c>
      <c r="L161" s="25">
        <f>IF(OR(I161="",K161="",NOT(ISNUMBER(K161))),"",(I161-K161)*100)</f>
        <v>0</v>
      </c>
      <c r="M161" s="46">
        <f>IF(OR(B161="",J161=""),"",IF(I161&lt;=SUMPRODUCT(MIN((('Store Prices'!$B$5:$B$304=B161)*(IFERROR('Store Prices'!$I$5:$I$304*1,0)&gt;0))*IFERROR('Store Prices'!$I$5:$I$304*1,0)+(1-(('Store Prices'!$B$5:$B$304=B161)*(IFERROR('Store Prices'!$I$5:$I$304*1,0)&gt;0)))*999999))+0.0000001,"Yes","No"))</f>
        <v>0</v>
      </c>
      <c r="O161" s="18">
        <f>IF(N161="","",TODAY()-N161)</f>
        <v>0</v>
      </c>
      <c r="P161" s="31">
        <f>IF(B161="","",IF(G161="","Add - no price",IF(E161="","Add - no pack size",IF(AND(O161&lt;&gt;"",O161&gt;180),"Check - over six months old","OK"))))</f>
        <v>0</v>
      </c>
    </row>
    <row r="162" spans="1:16">
      <c r="A162" s="39">
        <f>IF(B162="","","SP-"&amp;TEXT(ROW()-4,"0000"))</f>
        <v>0</v>
      </c>
      <c r="F162" s="17">
        <f>IF(B162="","",IFERROR(INDEX(Ingredients!$G$5:$G$304,MATCH(B162,Ingredients!$B$5:$B$304,0)),"Add to Ingredients"))</f>
        <v>0</v>
      </c>
      <c r="I162" s="25">
        <f>IF(OR(G162="",E162="",E162=0),"",G162/E162)</f>
        <v>0</v>
      </c>
      <c r="J162" s="25">
        <f>IF(I162="","",I162*100)</f>
        <v>0</v>
      </c>
      <c r="K162" s="25">
        <f>IF(B162="","",IFERROR(INDEX(Ingredients!$J$5:$J$304,MATCH(B162,Ingredients!$B$5:$B$304,0)),"Add to Ingredients"))</f>
        <v>0</v>
      </c>
      <c r="L162" s="25">
        <f>IF(OR(I162="",K162="",NOT(ISNUMBER(K162))),"",(I162-K162)*100)</f>
        <v>0</v>
      </c>
      <c r="M162" s="46">
        <f>IF(OR(B162="",J162=""),"",IF(I162&lt;=SUMPRODUCT(MIN((('Store Prices'!$B$5:$B$304=B162)*(IFERROR('Store Prices'!$I$5:$I$304*1,0)&gt;0))*IFERROR('Store Prices'!$I$5:$I$304*1,0)+(1-(('Store Prices'!$B$5:$B$304=B162)*(IFERROR('Store Prices'!$I$5:$I$304*1,0)&gt;0)))*999999))+0.0000001,"Yes","No"))</f>
        <v>0</v>
      </c>
      <c r="O162" s="18">
        <f>IF(N162="","",TODAY()-N162)</f>
        <v>0</v>
      </c>
      <c r="P162" s="31">
        <f>IF(B162="","",IF(G162="","Add - no price",IF(E162="","Add - no pack size",IF(AND(O162&lt;&gt;"",O162&gt;180),"Check - over six months old","OK"))))</f>
        <v>0</v>
      </c>
    </row>
    <row r="163" spans="1:16">
      <c r="A163" s="39">
        <f>IF(B163="","","SP-"&amp;TEXT(ROW()-4,"0000"))</f>
        <v>0</v>
      </c>
      <c r="F163" s="17">
        <f>IF(B163="","",IFERROR(INDEX(Ingredients!$G$5:$G$304,MATCH(B163,Ingredients!$B$5:$B$304,0)),"Add to Ingredients"))</f>
        <v>0</v>
      </c>
      <c r="I163" s="25">
        <f>IF(OR(G163="",E163="",E163=0),"",G163/E163)</f>
        <v>0</v>
      </c>
      <c r="J163" s="25">
        <f>IF(I163="","",I163*100)</f>
        <v>0</v>
      </c>
      <c r="K163" s="25">
        <f>IF(B163="","",IFERROR(INDEX(Ingredients!$J$5:$J$304,MATCH(B163,Ingredients!$B$5:$B$304,0)),"Add to Ingredients"))</f>
        <v>0</v>
      </c>
      <c r="L163" s="25">
        <f>IF(OR(I163="",K163="",NOT(ISNUMBER(K163))),"",(I163-K163)*100)</f>
        <v>0</v>
      </c>
      <c r="M163" s="46">
        <f>IF(OR(B163="",J163=""),"",IF(I163&lt;=SUMPRODUCT(MIN((('Store Prices'!$B$5:$B$304=B163)*(IFERROR('Store Prices'!$I$5:$I$304*1,0)&gt;0))*IFERROR('Store Prices'!$I$5:$I$304*1,0)+(1-(('Store Prices'!$B$5:$B$304=B163)*(IFERROR('Store Prices'!$I$5:$I$304*1,0)&gt;0)))*999999))+0.0000001,"Yes","No"))</f>
        <v>0</v>
      </c>
      <c r="O163" s="18">
        <f>IF(N163="","",TODAY()-N163)</f>
        <v>0</v>
      </c>
      <c r="P163" s="31">
        <f>IF(B163="","",IF(G163="","Add - no price",IF(E163="","Add - no pack size",IF(AND(O163&lt;&gt;"",O163&gt;180),"Check - over six months old","OK"))))</f>
        <v>0</v>
      </c>
    </row>
    <row r="164" spans="1:16">
      <c r="A164" s="39">
        <f>IF(B164="","","SP-"&amp;TEXT(ROW()-4,"0000"))</f>
        <v>0</v>
      </c>
      <c r="F164" s="17">
        <f>IF(B164="","",IFERROR(INDEX(Ingredients!$G$5:$G$304,MATCH(B164,Ingredients!$B$5:$B$304,0)),"Add to Ingredients"))</f>
        <v>0</v>
      </c>
      <c r="I164" s="25">
        <f>IF(OR(G164="",E164="",E164=0),"",G164/E164)</f>
        <v>0</v>
      </c>
      <c r="J164" s="25">
        <f>IF(I164="","",I164*100)</f>
        <v>0</v>
      </c>
      <c r="K164" s="25">
        <f>IF(B164="","",IFERROR(INDEX(Ingredients!$J$5:$J$304,MATCH(B164,Ingredients!$B$5:$B$304,0)),"Add to Ingredients"))</f>
        <v>0</v>
      </c>
      <c r="L164" s="25">
        <f>IF(OR(I164="",K164="",NOT(ISNUMBER(K164))),"",(I164-K164)*100)</f>
        <v>0</v>
      </c>
      <c r="M164" s="46">
        <f>IF(OR(B164="",J164=""),"",IF(I164&lt;=SUMPRODUCT(MIN((('Store Prices'!$B$5:$B$304=B164)*(IFERROR('Store Prices'!$I$5:$I$304*1,0)&gt;0))*IFERROR('Store Prices'!$I$5:$I$304*1,0)+(1-(('Store Prices'!$B$5:$B$304=B164)*(IFERROR('Store Prices'!$I$5:$I$304*1,0)&gt;0)))*999999))+0.0000001,"Yes","No"))</f>
        <v>0</v>
      </c>
      <c r="O164" s="18">
        <f>IF(N164="","",TODAY()-N164)</f>
        <v>0</v>
      </c>
      <c r="P164" s="31">
        <f>IF(B164="","",IF(G164="","Add - no price",IF(E164="","Add - no pack size",IF(AND(O164&lt;&gt;"",O164&gt;180),"Check - over six months old","OK"))))</f>
        <v>0</v>
      </c>
    </row>
    <row r="165" spans="1:16">
      <c r="A165" s="39">
        <f>IF(B165="","","SP-"&amp;TEXT(ROW()-4,"0000"))</f>
        <v>0</v>
      </c>
      <c r="F165" s="17">
        <f>IF(B165="","",IFERROR(INDEX(Ingredients!$G$5:$G$304,MATCH(B165,Ingredients!$B$5:$B$304,0)),"Add to Ingredients"))</f>
        <v>0</v>
      </c>
      <c r="I165" s="25">
        <f>IF(OR(G165="",E165="",E165=0),"",G165/E165)</f>
        <v>0</v>
      </c>
      <c r="J165" s="25">
        <f>IF(I165="","",I165*100)</f>
        <v>0</v>
      </c>
      <c r="K165" s="25">
        <f>IF(B165="","",IFERROR(INDEX(Ingredients!$J$5:$J$304,MATCH(B165,Ingredients!$B$5:$B$304,0)),"Add to Ingredients"))</f>
        <v>0</v>
      </c>
      <c r="L165" s="25">
        <f>IF(OR(I165="",K165="",NOT(ISNUMBER(K165))),"",(I165-K165)*100)</f>
        <v>0</v>
      </c>
      <c r="M165" s="46">
        <f>IF(OR(B165="",J165=""),"",IF(I165&lt;=SUMPRODUCT(MIN((('Store Prices'!$B$5:$B$304=B165)*(IFERROR('Store Prices'!$I$5:$I$304*1,0)&gt;0))*IFERROR('Store Prices'!$I$5:$I$304*1,0)+(1-(('Store Prices'!$B$5:$B$304=B165)*(IFERROR('Store Prices'!$I$5:$I$304*1,0)&gt;0)))*999999))+0.0000001,"Yes","No"))</f>
        <v>0</v>
      </c>
      <c r="O165" s="18">
        <f>IF(N165="","",TODAY()-N165)</f>
        <v>0</v>
      </c>
      <c r="P165" s="31">
        <f>IF(B165="","",IF(G165="","Add - no price",IF(E165="","Add - no pack size",IF(AND(O165&lt;&gt;"",O165&gt;180),"Check - over six months old","OK"))))</f>
        <v>0</v>
      </c>
    </row>
    <row r="166" spans="1:16">
      <c r="A166" s="39">
        <f>IF(B166="","","SP-"&amp;TEXT(ROW()-4,"0000"))</f>
        <v>0</v>
      </c>
      <c r="F166" s="17">
        <f>IF(B166="","",IFERROR(INDEX(Ingredients!$G$5:$G$304,MATCH(B166,Ingredients!$B$5:$B$304,0)),"Add to Ingredients"))</f>
        <v>0</v>
      </c>
      <c r="I166" s="25">
        <f>IF(OR(G166="",E166="",E166=0),"",G166/E166)</f>
        <v>0</v>
      </c>
      <c r="J166" s="25">
        <f>IF(I166="","",I166*100)</f>
        <v>0</v>
      </c>
      <c r="K166" s="25">
        <f>IF(B166="","",IFERROR(INDEX(Ingredients!$J$5:$J$304,MATCH(B166,Ingredients!$B$5:$B$304,0)),"Add to Ingredients"))</f>
        <v>0</v>
      </c>
      <c r="L166" s="25">
        <f>IF(OR(I166="",K166="",NOT(ISNUMBER(K166))),"",(I166-K166)*100)</f>
        <v>0</v>
      </c>
      <c r="M166" s="46">
        <f>IF(OR(B166="",J166=""),"",IF(I166&lt;=SUMPRODUCT(MIN((('Store Prices'!$B$5:$B$304=B166)*(IFERROR('Store Prices'!$I$5:$I$304*1,0)&gt;0))*IFERROR('Store Prices'!$I$5:$I$304*1,0)+(1-(('Store Prices'!$B$5:$B$304=B166)*(IFERROR('Store Prices'!$I$5:$I$304*1,0)&gt;0)))*999999))+0.0000001,"Yes","No"))</f>
        <v>0</v>
      </c>
      <c r="O166" s="18">
        <f>IF(N166="","",TODAY()-N166)</f>
        <v>0</v>
      </c>
      <c r="P166" s="31">
        <f>IF(B166="","",IF(G166="","Add - no price",IF(E166="","Add - no pack size",IF(AND(O166&lt;&gt;"",O166&gt;180),"Check - over six months old","OK"))))</f>
        <v>0</v>
      </c>
    </row>
    <row r="167" spans="1:16">
      <c r="A167" s="39">
        <f>IF(B167="","","SP-"&amp;TEXT(ROW()-4,"0000"))</f>
        <v>0</v>
      </c>
      <c r="F167" s="17">
        <f>IF(B167="","",IFERROR(INDEX(Ingredients!$G$5:$G$304,MATCH(B167,Ingredients!$B$5:$B$304,0)),"Add to Ingredients"))</f>
        <v>0</v>
      </c>
      <c r="I167" s="25">
        <f>IF(OR(G167="",E167="",E167=0),"",G167/E167)</f>
        <v>0</v>
      </c>
      <c r="J167" s="25">
        <f>IF(I167="","",I167*100)</f>
        <v>0</v>
      </c>
      <c r="K167" s="25">
        <f>IF(B167="","",IFERROR(INDEX(Ingredients!$J$5:$J$304,MATCH(B167,Ingredients!$B$5:$B$304,0)),"Add to Ingredients"))</f>
        <v>0</v>
      </c>
      <c r="L167" s="25">
        <f>IF(OR(I167="",K167="",NOT(ISNUMBER(K167))),"",(I167-K167)*100)</f>
        <v>0</v>
      </c>
      <c r="M167" s="46">
        <f>IF(OR(B167="",J167=""),"",IF(I167&lt;=SUMPRODUCT(MIN((('Store Prices'!$B$5:$B$304=B167)*(IFERROR('Store Prices'!$I$5:$I$304*1,0)&gt;0))*IFERROR('Store Prices'!$I$5:$I$304*1,0)+(1-(('Store Prices'!$B$5:$B$304=B167)*(IFERROR('Store Prices'!$I$5:$I$304*1,0)&gt;0)))*999999))+0.0000001,"Yes","No"))</f>
        <v>0</v>
      </c>
      <c r="O167" s="18">
        <f>IF(N167="","",TODAY()-N167)</f>
        <v>0</v>
      </c>
      <c r="P167" s="31">
        <f>IF(B167="","",IF(G167="","Add - no price",IF(E167="","Add - no pack size",IF(AND(O167&lt;&gt;"",O167&gt;180),"Check - over six months old","OK"))))</f>
        <v>0</v>
      </c>
    </row>
    <row r="168" spans="1:16">
      <c r="A168" s="39">
        <f>IF(B168="","","SP-"&amp;TEXT(ROW()-4,"0000"))</f>
        <v>0</v>
      </c>
      <c r="F168" s="17">
        <f>IF(B168="","",IFERROR(INDEX(Ingredients!$G$5:$G$304,MATCH(B168,Ingredients!$B$5:$B$304,0)),"Add to Ingredients"))</f>
        <v>0</v>
      </c>
      <c r="I168" s="25">
        <f>IF(OR(G168="",E168="",E168=0),"",G168/E168)</f>
        <v>0</v>
      </c>
      <c r="J168" s="25">
        <f>IF(I168="","",I168*100)</f>
        <v>0</v>
      </c>
      <c r="K168" s="25">
        <f>IF(B168="","",IFERROR(INDEX(Ingredients!$J$5:$J$304,MATCH(B168,Ingredients!$B$5:$B$304,0)),"Add to Ingredients"))</f>
        <v>0</v>
      </c>
      <c r="L168" s="25">
        <f>IF(OR(I168="",K168="",NOT(ISNUMBER(K168))),"",(I168-K168)*100)</f>
        <v>0</v>
      </c>
      <c r="M168" s="46">
        <f>IF(OR(B168="",J168=""),"",IF(I168&lt;=SUMPRODUCT(MIN((('Store Prices'!$B$5:$B$304=B168)*(IFERROR('Store Prices'!$I$5:$I$304*1,0)&gt;0))*IFERROR('Store Prices'!$I$5:$I$304*1,0)+(1-(('Store Prices'!$B$5:$B$304=B168)*(IFERROR('Store Prices'!$I$5:$I$304*1,0)&gt;0)))*999999))+0.0000001,"Yes","No"))</f>
        <v>0</v>
      </c>
      <c r="O168" s="18">
        <f>IF(N168="","",TODAY()-N168)</f>
        <v>0</v>
      </c>
      <c r="P168" s="31">
        <f>IF(B168="","",IF(G168="","Add - no price",IF(E168="","Add - no pack size",IF(AND(O168&lt;&gt;"",O168&gt;180),"Check - over six months old","OK"))))</f>
        <v>0</v>
      </c>
    </row>
    <row r="169" spans="1:16">
      <c r="A169" s="39">
        <f>IF(B169="","","SP-"&amp;TEXT(ROW()-4,"0000"))</f>
        <v>0</v>
      </c>
      <c r="F169" s="17">
        <f>IF(B169="","",IFERROR(INDEX(Ingredients!$G$5:$G$304,MATCH(B169,Ingredients!$B$5:$B$304,0)),"Add to Ingredients"))</f>
        <v>0</v>
      </c>
      <c r="I169" s="25">
        <f>IF(OR(G169="",E169="",E169=0),"",G169/E169)</f>
        <v>0</v>
      </c>
      <c r="J169" s="25">
        <f>IF(I169="","",I169*100)</f>
        <v>0</v>
      </c>
      <c r="K169" s="25">
        <f>IF(B169="","",IFERROR(INDEX(Ingredients!$J$5:$J$304,MATCH(B169,Ingredients!$B$5:$B$304,0)),"Add to Ingredients"))</f>
        <v>0</v>
      </c>
      <c r="L169" s="25">
        <f>IF(OR(I169="",K169="",NOT(ISNUMBER(K169))),"",(I169-K169)*100)</f>
        <v>0</v>
      </c>
      <c r="M169" s="46">
        <f>IF(OR(B169="",J169=""),"",IF(I169&lt;=SUMPRODUCT(MIN((('Store Prices'!$B$5:$B$304=B169)*(IFERROR('Store Prices'!$I$5:$I$304*1,0)&gt;0))*IFERROR('Store Prices'!$I$5:$I$304*1,0)+(1-(('Store Prices'!$B$5:$B$304=B169)*(IFERROR('Store Prices'!$I$5:$I$304*1,0)&gt;0)))*999999))+0.0000001,"Yes","No"))</f>
        <v>0</v>
      </c>
      <c r="O169" s="18">
        <f>IF(N169="","",TODAY()-N169)</f>
        <v>0</v>
      </c>
      <c r="P169" s="31">
        <f>IF(B169="","",IF(G169="","Add - no price",IF(E169="","Add - no pack size",IF(AND(O169&lt;&gt;"",O169&gt;180),"Check - over six months old","OK"))))</f>
        <v>0</v>
      </c>
    </row>
    <row r="170" spans="1:16">
      <c r="A170" s="39">
        <f>IF(B170="","","SP-"&amp;TEXT(ROW()-4,"0000"))</f>
        <v>0</v>
      </c>
      <c r="F170" s="17">
        <f>IF(B170="","",IFERROR(INDEX(Ingredients!$G$5:$G$304,MATCH(B170,Ingredients!$B$5:$B$304,0)),"Add to Ingredients"))</f>
        <v>0</v>
      </c>
      <c r="I170" s="25">
        <f>IF(OR(G170="",E170="",E170=0),"",G170/E170)</f>
        <v>0</v>
      </c>
      <c r="J170" s="25">
        <f>IF(I170="","",I170*100)</f>
        <v>0</v>
      </c>
      <c r="K170" s="25">
        <f>IF(B170="","",IFERROR(INDEX(Ingredients!$J$5:$J$304,MATCH(B170,Ingredients!$B$5:$B$304,0)),"Add to Ingredients"))</f>
        <v>0</v>
      </c>
      <c r="L170" s="25">
        <f>IF(OR(I170="",K170="",NOT(ISNUMBER(K170))),"",(I170-K170)*100)</f>
        <v>0</v>
      </c>
      <c r="M170" s="46">
        <f>IF(OR(B170="",J170=""),"",IF(I170&lt;=SUMPRODUCT(MIN((('Store Prices'!$B$5:$B$304=B170)*(IFERROR('Store Prices'!$I$5:$I$304*1,0)&gt;0))*IFERROR('Store Prices'!$I$5:$I$304*1,0)+(1-(('Store Prices'!$B$5:$B$304=B170)*(IFERROR('Store Prices'!$I$5:$I$304*1,0)&gt;0)))*999999))+0.0000001,"Yes","No"))</f>
        <v>0</v>
      </c>
      <c r="O170" s="18">
        <f>IF(N170="","",TODAY()-N170)</f>
        <v>0</v>
      </c>
      <c r="P170" s="31">
        <f>IF(B170="","",IF(G170="","Add - no price",IF(E170="","Add - no pack size",IF(AND(O170&lt;&gt;"",O170&gt;180),"Check - over six months old","OK"))))</f>
        <v>0</v>
      </c>
    </row>
    <row r="171" spans="1:16">
      <c r="A171" s="39">
        <f>IF(B171="","","SP-"&amp;TEXT(ROW()-4,"0000"))</f>
        <v>0</v>
      </c>
      <c r="F171" s="17">
        <f>IF(B171="","",IFERROR(INDEX(Ingredients!$G$5:$G$304,MATCH(B171,Ingredients!$B$5:$B$304,0)),"Add to Ingredients"))</f>
        <v>0</v>
      </c>
      <c r="I171" s="25">
        <f>IF(OR(G171="",E171="",E171=0),"",G171/E171)</f>
        <v>0</v>
      </c>
      <c r="J171" s="25">
        <f>IF(I171="","",I171*100)</f>
        <v>0</v>
      </c>
      <c r="K171" s="25">
        <f>IF(B171="","",IFERROR(INDEX(Ingredients!$J$5:$J$304,MATCH(B171,Ingredients!$B$5:$B$304,0)),"Add to Ingredients"))</f>
        <v>0</v>
      </c>
      <c r="L171" s="25">
        <f>IF(OR(I171="",K171="",NOT(ISNUMBER(K171))),"",(I171-K171)*100)</f>
        <v>0</v>
      </c>
      <c r="M171" s="46">
        <f>IF(OR(B171="",J171=""),"",IF(I171&lt;=SUMPRODUCT(MIN((('Store Prices'!$B$5:$B$304=B171)*(IFERROR('Store Prices'!$I$5:$I$304*1,0)&gt;0))*IFERROR('Store Prices'!$I$5:$I$304*1,0)+(1-(('Store Prices'!$B$5:$B$304=B171)*(IFERROR('Store Prices'!$I$5:$I$304*1,0)&gt;0)))*999999))+0.0000001,"Yes","No"))</f>
        <v>0</v>
      </c>
      <c r="O171" s="18">
        <f>IF(N171="","",TODAY()-N171)</f>
        <v>0</v>
      </c>
      <c r="P171" s="31">
        <f>IF(B171="","",IF(G171="","Add - no price",IF(E171="","Add - no pack size",IF(AND(O171&lt;&gt;"",O171&gt;180),"Check - over six months old","OK"))))</f>
        <v>0</v>
      </c>
    </row>
    <row r="172" spans="1:16">
      <c r="A172" s="39">
        <f>IF(B172="","","SP-"&amp;TEXT(ROW()-4,"0000"))</f>
        <v>0</v>
      </c>
      <c r="F172" s="17">
        <f>IF(B172="","",IFERROR(INDEX(Ingredients!$G$5:$G$304,MATCH(B172,Ingredients!$B$5:$B$304,0)),"Add to Ingredients"))</f>
        <v>0</v>
      </c>
      <c r="I172" s="25">
        <f>IF(OR(G172="",E172="",E172=0),"",G172/E172)</f>
        <v>0</v>
      </c>
      <c r="J172" s="25">
        <f>IF(I172="","",I172*100)</f>
        <v>0</v>
      </c>
      <c r="K172" s="25">
        <f>IF(B172="","",IFERROR(INDEX(Ingredients!$J$5:$J$304,MATCH(B172,Ingredients!$B$5:$B$304,0)),"Add to Ingredients"))</f>
        <v>0</v>
      </c>
      <c r="L172" s="25">
        <f>IF(OR(I172="",K172="",NOT(ISNUMBER(K172))),"",(I172-K172)*100)</f>
        <v>0</v>
      </c>
      <c r="M172" s="46">
        <f>IF(OR(B172="",J172=""),"",IF(I172&lt;=SUMPRODUCT(MIN((('Store Prices'!$B$5:$B$304=B172)*(IFERROR('Store Prices'!$I$5:$I$304*1,0)&gt;0))*IFERROR('Store Prices'!$I$5:$I$304*1,0)+(1-(('Store Prices'!$B$5:$B$304=B172)*(IFERROR('Store Prices'!$I$5:$I$304*1,0)&gt;0)))*999999))+0.0000001,"Yes","No"))</f>
        <v>0</v>
      </c>
      <c r="O172" s="18">
        <f>IF(N172="","",TODAY()-N172)</f>
        <v>0</v>
      </c>
      <c r="P172" s="31">
        <f>IF(B172="","",IF(G172="","Add - no price",IF(E172="","Add - no pack size",IF(AND(O172&lt;&gt;"",O172&gt;180),"Check - over six months old","OK"))))</f>
        <v>0</v>
      </c>
    </row>
    <row r="173" spans="1:16">
      <c r="A173" s="39">
        <f>IF(B173="","","SP-"&amp;TEXT(ROW()-4,"0000"))</f>
        <v>0</v>
      </c>
      <c r="F173" s="17">
        <f>IF(B173="","",IFERROR(INDEX(Ingredients!$G$5:$G$304,MATCH(B173,Ingredients!$B$5:$B$304,0)),"Add to Ingredients"))</f>
        <v>0</v>
      </c>
      <c r="I173" s="25">
        <f>IF(OR(G173="",E173="",E173=0),"",G173/E173)</f>
        <v>0</v>
      </c>
      <c r="J173" s="25">
        <f>IF(I173="","",I173*100)</f>
        <v>0</v>
      </c>
      <c r="K173" s="25">
        <f>IF(B173="","",IFERROR(INDEX(Ingredients!$J$5:$J$304,MATCH(B173,Ingredients!$B$5:$B$304,0)),"Add to Ingredients"))</f>
        <v>0</v>
      </c>
      <c r="L173" s="25">
        <f>IF(OR(I173="",K173="",NOT(ISNUMBER(K173))),"",(I173-K173)*100)</f>
        <v>0</v>
      </c>
      <c r="M173" s="46">
        <f>IF(OR(B173="",J173=""),"",IF(I173&lt;=SUMPRODUCT(MIN((('Store Prices'!$B$5:$B$304=B173)*(IFERROR('Store Prices'!$I$5:$I$304*1,0)&gt;0))*IFERROR('Store Prices'!$I$5:$I$304*1,0)+(1-(('Store Prices'!$B$5:$B$304=B173)*(IFERROR('Store Prices'!$I$5:$I$304*1,0)&gt;0)))*999999))+0.0000001,"Yes","No"))</f>
        <v>0</v>
      </c>
      <c r="O173" s="18">
        <f>IF(N173="","",TODAY()-N173)</f>
        <v>0</v>
      </c>
      <c r="P173" s="31">
        <f>IF(B173="","",IF(G173="","Add - no price",IF(E173="","Add - no pack size",IF(AND(O173&lt;&gt;"",O173&gt;180),"Check - over six months old","OK"))))</f>
        <v>0</v>
      </c>
    </row>
    <row r="174" spans="1:16">
      <c r="A174" s="39">
        <f>IF(B174="","","SP-"&amp;TEXT(ROW()-4,"0000"))</f>
        <v>0</v>
      </c>
      <c r="F174" s="17">
        <f>IF(B174="","",IFERROR(INDEX(Ingredients!$G$5:$G$304,MATCH(B174,Ingredients!$B$5:$B$304,0)),"Add to Ingredients"))</f>
        <v>0</v>
      </c>
      <c r="I174" s="25">
        <f>IF(OR(G174="",E174="",E174=0),"",G174/E174)</f>
        <v>0</v>
      </c>
      <c r="J174" s="25">
        <f>IF(I174="","",I174*100)</f>
        <v>0</v>
      </c>
      <c r="K174" s="25">
        <f>IF(B174="","",IFERROR(INDEX(Ingredients!$J$5:$J$304,MATCH(B174,Ingredients!$B$5:$B$304,0)),"Add to Ingredients"))</f>
        <v>0</v>
      </c>
      <c r="L174" s="25">
        <f>IF(OR(I174="",K174="",NOT(ISNUMBER(K174))),"",(I174-K174)*100)</f>
        <v>0</v>
      </c>
      <c r="M174" s="46">
        <f>IF(OR(B174="",J174=""),"",IF(I174&lt;=SUMPRODUCT(MIN((('Store Prices'!$B$5:$B$304=B174)*(IFERROR('Store Prices'!$I$5:$I$304*1,0)&gt;0))*IFERROR('Store Prices'!$I$5:$I$304*1,0)+(1-(('Store Prices'!$B$5:$B$304=B174)*(IFERROR('Store Prices'!$I$5:$I$304*1,0)&gt;0)))*999999))+0.0000001,"Yes","No"))</f>
        <v>0</v>
      </c>
      <c r="O174" s="18">
        <f>IF(N174="","",TODAY()-N174)</f>
        <v>0</v>
      </c>
      <c r="P174" s="31">
        <f>IF(B174="","",IF(G174="","Add - no price",IF(E174="","Add - no pack size",IF(AND(O174&lt;&gt;"",O174&gt;180),"Check - over six months old","OK"))))</f>
        <v>0</v>
      </c>
    </row>
    <row r="175" spans="1:16">
      <c r="A175" s="39">
        <f>IF(B175="","","SP-"&amp;TEXT(ROW()-4,"0000"))</f>
        <v>0</v>
      </c>
      <c r="F175" s="17">
        <f>IF(B175="","",IFERROR(INDEX(Ingredients!$G$5:$G$304,MATCH(B175,Ingredients!$B$5:$B$304,0)),"Add to Ingredients"))</f>
        <v>0</v>
      </c>
      <c r="I175" s="25">
        <f>IF(OR(G175="",E175="",E175=0),"",G175/E175)</f>
        <v>0</v>
      </c>
      <c r="J175" s="25">
        <f>IF(I175="","",I175*100)</f>
        <v>0</v>
      </c>
      <c r="K175" s="25">
        <f>IF(B175="","",IFERROR(INDEX(Ingredients!$J$5:$J$304,MATCH(B175,Ingredients!$B$5:$B$304,0)),"Add to Ingredients"))</f>
        <v>0</v>
      </c>
      <c r="L175" s="25">
        <f>IF(OR(I175="",K175="",NOT(ISNUMBER(K175))),"",(I175-K175)*100)</f>
        <v>0</v>
      </c>
      <c r="M175" s="46">
        <f>IF(OR(B175="",J175=""),"",IF(I175&lt;=SUMPRODUCT(MIN((('Store Prices'!$B$5:$B$304=B175)*(IFERROR('Store Prices'!$I$5:$I$304*1,0)&gt;0))*IFERROR('Store Prices'!$I$5:$I$304*1,0)+(1-(('Store Prices'!$B$5:$B$304=B175)*(IFERROR('Store Prices'!$I$5:$I$304*1,0)&gt;0)))*999999))+0.0000001,"Yes","No"))</f>
        <v>0</v>
      </c>
      <c r="O175" s="18">
        <f>IF(N175="","",TODAY()-N175)</f>
        <v>0</v>
      </c>
      <c r="P175" s="31">
        <f>IF(B175="","",IF(G175="","Add - no price",IF(E175="","Add - no pack size",IF(AND(O175&lt;&gt;"",O175&gt;180),"Check - over six months old","OK"))))</f>
        <v>0</v>
      </c>
    </row>
    <row r="176" spans="1:16">
      <c r="A176" s="39">
        <f>IF(B176="","","SP-"&amp;TEXT(ROW()-4,"0000"))</f>
        <v>0</v>
      </c>
      <c r="F176" s="17">
        <f>IF(B176="","",IFERROR(INDEX(Ingredients!$G$5:$G$304,MATCH(B176,Ingredients!$B$5:$B$304,0)),"Add to Ingredients"))</f>
        <v>0</v>
      </c>
      <c r="I176" s="25">
        <f>IF(OR(G176="",E176="",E176=0),"",G176/E176)</f>
        <v>0</v>
      </c>
      <c r="J176" s="25">
        <f>IF(I176="","",I176*100)</f>
        <v>0</v>
      </c>
      <c r="K176" s="25">
        <f>IF(B176="","",IFERROR(INDEX(Ingredients!$J$5:$J$304,MATCH(B176,Ingredients!$B$5:$B$304,0)),"Add to Ingredients"))</f>
        <v>0</v>
      </c>
      <c r="L176" s="25">
        <f>IF(OR(I176="",K176="",NOT(ISNUMBER(K176))),"",(I176-K176)*100)</f>
        <v>0</v>
      </c>
      <c r="M176" s="46">
        <f>IF(OR(B176="",J176=""),"",IF(I176&lt;=SUMPRODUCT(MIN((('Store Prices'!$B$5:$B$304=B176)*(IFERROR('Store Prices'!$I$5:$I$304*1,0)&gt;0))*IFERROR('Store Prices'!$I$5:$I$304*1,0)+(1-(('Store Prices'!$B$5:$B$304=B176)*(IFERROR('Store Prices'!$I$5:$I$304*1,0)&gt;0)))*999999))+0.0000001,"Yes","No"))</f>
        <v>0</v>
      </c>
      <c r="O176" s="18">
        <f>IF(N176="","",TODAY()-N176)</f>
        <v>0</v>
      </c>
      <c r="P176" s="31">
        <f>IF(B176="","",IF(G176="","Add - no price",IF(E176="","Add - no pack size",IF(AND(O176&lt;&gt;"",O176&gt;180),"Check - over six months old","OK"))))</f>
        <v>0</v>
      </c>
    </row>
    <row r="177" spans="1:16">
      <c r="A177" s="39">
        <f>IF(B177="","","SP-"&amp;TEXT(ROW()-4,"0000"))</f>
        <v>0</v>
      </c>
      <c r="F177" s="17">
        <f>IF(B177="","",IFERROR(INDEX(Ingredients!$G$5:$G$304,MATCH(B177,Ingredients!$B$5:$B$304,0)),"Add to Ingredients"))</f>
        <v>0</v>
      </c>
      <c r="I177" s="25">
        <f>IF(OR(G177="",E177="",E177=0),"",G177/E177)</f>
        <v>0</v>
      </c>
      <c r="J177" s="25">
        <f>IF(I177="","",I177*100)</f>
        <v>0</v>
      </c>
      <c r="K177" s="25">
        <f>IF(B177="","",IFERROR(INDEX(Ingredients!$J$5:$J$304,MATCH(B177,Ingredients!$B$5:$B$304,0)),"Add to Ingredients"))</f>
        <v>0</v>
      </c>
      <c r="L177" s="25">
        <f>IF(OR(I177="",K177="",NOT(ISNUMBER(K177))),"",(I177-K177)*100)</f>
        <v>0</v>
      </c>
      <c r="M177" s="46">
        <f>IF(OR(B177="",J177=""),"",IF(I177&lt;=SUMPRODUCT(MIN((('Store Prices'!$B$5:$B$304=B177)*(IFERROR('Store Prices'!$I$5:$I$304*1,0)&gt;0))*IFERROR('Store Prices'!$I$5:$I$304*1,0)+(1-(('Store Prices'!$B$5:$B$304=B177)*(IFERROR('Store Prices'!$I$5:$I$304*1,0)&gt;0)))*999999))+0.0000001,"Yes","No"))</f>
        <v>0</v>
      </c>
      <c r="O177" s="18">
        <f>IF(N177="","",TODAY()-N177)</f>
        <v>0</v>
      </c>
      <c r="P177" s="31">
        <f>IF(B177="","",IF(G177="","Add - no price",IF(E177="","Add - no pack size",IF(AND(O177&lt;&gt;"",O177&gt;180),"Check - over six months old","OK"))))</f>
        <v>0</v>
      </c>
    </row>
    <row r="178" spans="1:16">
      <c r="A178" s="39">
        <f>IF(B178="","","SP-"&amp;TEXT(ROW()-4,"0000"))</f>
        <v>0</v>
      </c>
      <c r="F178" s="17">
        <f>IF(B178="","",IFERROR(INDEX(Ingredients!$G$5:$G$304,MATCH(B178,Ingredients!$B$5:$B$304,0)),"Add to Ingredients"))</f>
        <v>0</v>
      </c>
      <c r="I178" s="25">
        <f>IF(OR(G178="",E178="",E178=0),"",G178/E178)</f>
        <v>0</v>
      </c>
      <c r="J178" s="25">
        <f>IF(I178="","",I178*100)</f>
        <v>0</v>
      </c>
      <c r="K178" s="25">
        <f>IF(B178="","",IFERROR(INDEX(Ingredients!$J$5:$J$304,MATCH(B178,Ingredients!$B$5:$B$304,0)),"Add to Ingredients"))</f>
        <v>0</v>
      </c>
      <c r="L178" s="25">
        <f>IF(OR(I178="",K178="",NOT(ISNUMBER(K178))),"",(I178-K178)*100)</f>
        <v>0</v>
      </c>
      <c r="M178" s="46">
        <f>IF(OR(B178="",J178=""),"",IF(I178&lt;=SUMPRODUCT(MIN((('Store Prices'!$B$5:$B$304=B178)*(IFERROR('Store Prices'!$I$5:$I$304*1,0)&gt;0))*IFERROR('Store Prices'!$I$5:$I$304*1,0)+(1-(('Store Prices'!$B$5:$B$304=B178)*(IFERROR('Store Prices'!$I$5:$I$304*1,0)&gt;0)))*999999))+0.0000001,"Yes","No"))</f>
        <v>0</v>
      </c>
      <c r="O178" s="18">
        <f>IF(N178="","",TODAY()-N178)</f>
        <v>0</v>
      </c>
      <c r="P178" s="31">
        <f>IF(B178="","",IF(G178="","Add - no price",IF(E178="","Add - no pack size",IF(AND(O178&lt;&gt;"",O178&gt;180),"Check - over six months old","OK"))))</f>
        <v>0</v>
      </c>
    </row>
    <row r="179" spans="1:16">
      <c r="A179" s="39">
        <f>IF(B179="","","SP-"&amp;TEXT(ROW()-4,"0000"))</f>
        <v>0</v>
      </c>
      <c r="F179" s="17">
        <f>IF(B179="","",IFERROR(INDEX(Ingredients!$G$5:$G$304,MATCH(B179,Ingredients!$B$5:$B$304,0)),"Add to Ingredients"))</f>
        <v>0</v>
      </c>
      <c r="I179" s="25">
        <f>IF(OR(G179="",E179="",E179=0),"",G179/E179)</f>
        <v>0</v>
      </c>
      <c r="J179" s="25">
        <f>IF(I179="","",I179*100)</f>
        <v>0</v>
      </c>
      <c r="K179" s="25">
        <f>IF(B179="","",IFERROR(INDEX(Ingredients!$J$5:$J$304,MATCH(B179,Ingredients!$B$5:$B$304,0)),"Add to Ingredients"))</f>
        <v>0</v>
      </c>
      <c r="L179" s="25">
        <f>IF(OR(I179="",K179="",NOT(ISNUMBER(K179))),"",(I179-K179)*100)</f>
        <v>0</v>
      </c>
      <c r="M179" s="46">
        <f>IF(OR(B179="",J179=""),"",IF(I179&lt;=SUMPRODUCT(MIN((('Store Prices'!$B$5:$B$304=B179)*(IFERROR('Store Prices'!$I$5:$I$304*1,0)&gt;0))*IFERROR('Store Prices'!$I$5:$I$304*1,0)+(1-(('Store Prices'!$B$5:$B$304=B179)*(IFERROR('Store Prices'!$I$5:$I$304*1,0)&gt;0)))*999999))+0.0000001,"Yes","No"))</f>
        <v>0</v>
      </c>
      <c r="O179" s="18">
        <f>IF(N179="","",TODAY()-N179)</f>
        <v>0</v>
      </c>
      <c r="P179" s="31">
        <f>IF(B179="","",IF(G179="","Add - no price",IF(E179="","Add - no pack size",IF(AND(O179&lt;&gt;"",O179&gt;180),"Check - over six months old","OK"))))</f>
        <v>0</v>
      </c>
    </row>
    <row r="180" spans="1:16">
      <c r="A180" s="39">
        <f>IF(B180="","","SP-"&amp;TEXT(ROW()-4,"0000"))</f>
        <v>0</v>
      </c>
      <c r="F180" s="17">
        <f>IF(B180="","",IFERROR(INDEX(Ingredients!$G$5:$G$304,MATCH(B180,Ingredients!$B$5:$B$304,0)),"Add to Ingredients"))</f>
        <v>0</v>
      </c>
      <c r="I180" s="25">
        <f>IF(OR(G180="",E180="",E180=0),"",G180/E180)</f>
        <v>0</v>
      </c>
      <c r="J180" s="25">
        <f>IF(I180="","",I180*100)</f>
        <v>0</v>
      </c>
      <c r="K180" s="25">
        <f>IF(B180="","",IFERROR(INDEX(Ingredients!$J$5:$J$304,MATCH(B180,Ingredients!$B$5:$B$304,0)),"Add to Ingredients"))</f>
        <v>0</v>
      </c>
      <c r="L180" s="25">
        <f>IF(OR(I180="",K180="",NOT(ISNUMBER(K180))),"",(I180-K180)*100)</f>
        <v>0</v>
      </c>
      <c r="M180" s="46">
        <f>IF(OR(B180="",J180=""),"",IF(I180&lt;=SUMPRODUCT(MIN((('Store Prices'!$B$5:$B$304=B180)*(IFERROR('Store Prices'!$I$5:$I$304*1,0)&gt;0))*IFERROR('Store Prices'!$I$5:$I$304*1,0)+(1-(('Store Prices'!$B$5:$B$304=B180)*(IFERROR('Store Prices'!$I$5:$I$304*1,0)&gt;0)))*999999))+0.0000001,"Yes","No"))</f>
        <v>0</v>
      </c>
      <c r="O180" s="18">
        <f>IF(N180="","",TODAY()-N180)</f>
        <v>0</v>
      </c>
      <c r="P180" s="31">
        <f>IF(B180="","",IF(G180="","Add - no price",IF(E180="","Add - no pack size",IF(AND(O180&lt;&gt;"",O180&gt;180),"Check - over six months old","OK"))))</f>
        <v>0</v>
      </c>
    </row>
    <row r="181" spans="1:16">
      <c r="A181" s="39">
        <f>IF(B181="","","SP-"&amp;TEXT(ROW()-4,"0000"))</f>
        <v>0</v>
      </c>
      <c r="F181" s="17">
        <f>IF(B181="","",IFERROR(INDEX(Ingredients!$G$5:$G$304,MATCH(B181,Ingredients!$B$5:$B$304,0)),"Add to Ingredients"))</f>
        <v>0</v>
      </c>
      <c r="I181" s="25">
        <f>IF(OR(G181="",E181="",E181=0),"",G181/E181)</f>
        <v>0</v>
      </c>
      <c r="J181" s="25">
        <f>IF(I181="","",I181*100)</f>
        <v>0</v>
      </c>
      <c r="K181" s="25">
        <f>IF(B181="","",IFERROR(INDEX(Ingredients!$J$5:$J$304,MATCH(B181,Ingredients!$B$5:$B$304,0)),"Add to Ingredients"))</f>
        <v>0</v>
      </c>
      <c r="L181" s="25">
        <f>IF(OR(I181="",K181="",NOT(ISNUMBER(K181))),"",(I181-K181)*100)</f>
        <v>0</v>
      </c>
      <c r="M181" s="46">
        <f>IF(OR(B181="",J181=""),"",IF(I181&lt;=SUMPRODUCT(MIN((('Store Prices'!$B$5:$B$304=B181)*(IFERROR('Store Prices'!$I$5:$I$304*1,0)&gt;0))*IFERROR('Store Prices'!$I$5:$I$304*1,0)+(1-(('Store Prices'!$B$5:$B$304=B181)*(IFERROR('Store Prices'!$I$5:$I$304*1,0)&gt;0)))*999999))+0.0000001,"Yes","No"))</f>
        <v>0</v>
      </c>
      <c r="O181" s="18">
        <f>IF(N181="","",TODAY()-N181)</f>
        <v>0</v>
      </c>
      <c r="P181" s="31">
        <f>IF(B181="","",IF(G181="","Add - no price",IF(E181="","Add - no pack size",IF(AND(O181&lt;&gt;"",O181&gt;180),"Check - over six months old","OK"))))</f>
        <v>0</v>
      </c>
    </row>
    <row r="182" spans="1:16">
      <c r="A182" s="39">
        <f>IF(B182="","","SP-"&amp;TEXT(ROW()-4,"0000"))</f>
        <v>0</v>
      </c>
      <c r="F182" s="17">
        <f>IF(B182="","",IFERROR(INDEX(Ingredients!$G$5:$G$304,MATCH(B182,Ingredients!$B$5:$B$304,0)),"Add to Ingredients"))</f>
        <v>0</v>
      </c>
      <c r="I182" s="25">
        <f>IF(OR(G182="",E182="",E182=0),"",G182/E182)</f>
        <v>0</v>
      </c>
      <c r="J182" s="25">
        <f>IF(I182="","",I182*100)</f>
        <v>0</v>
      </c>
      <c r="K182" s="25">
        <f>IF(B182="","",IFERROR(INDEX(Ingredients!$J$5:$J$304,MATCH(B182,Ingredients!$B$5:$B$304,0)),"Add to Ingredients"))</f>
        <v>0</v>
      </c>
      <c r="L182" s="25">
        <f>IF(OR(I182="",K182="",NOT(ISNUMBER(K182))),"",(I182-K182)*100)</f>
        <v>0</v>
      </c>
      <c r="M182" s="46">
        <f>IF(OR(B182="",J182=""),"",IF(I182&lt;=SUMPRODUCT(MIN((('Store Prices'!$B$5:$B$304=B182)*(IFERROR('Store Prices'!$I$5:$I$304*1,0)&gt;0))*IFERROR('Store Prices'!$I$5:$I$304*1,0)+(1-(('Store Prices'!$B$5:$B$304=B182)*(IFERROR('Store Prices'!$I$5:$I$304*1,0)&gt;0)))*999999))+0.0000001,"Yes","No"))</f>
        <v>0</v>
      </c>
      <c r="O182" s="18">
        <f>IF(N182="","",TODAY()-N182)</f>
        <v>0</v>
      </c>
      <c r="P182" s="31">
        <f>IF(B182="","",IF(G182="","Add - no price",IF(E182="","Add - no pack size",IF(AND(O182&lt;&gt;"",O182&gt;180),"Check - over six months old","OK"))))</f>
        <v>0</v>
      </c>
    </row>
    <row r="183" spans="1:16">
      <c r="A183" s="39">
        <f>IF(B183="","","SP-"&amp;TEXT(ROW()-4,"0000"))</f>
        <v>0</v>
      </c>
      <c r="F183" s="17">
        <f>IF(B183="","",IFERROR(INDEX(Ingredients!$G$5:$G$304,MATCH(B183,Ingredients!$B$5:$B$304,0)),"Add to Ingredients"))</f>
        <v>0</v>
      </c>
      <c r="I183" s="25">
        <f>IF(OR(G183="",E183="",E183=0),"",G183/E183)</f>
        <v>0</v>
      </c>
      <c r="J183" s="25">
        <f>IF(I183="","",I183*100)</f>
        <v>0</v>
      </c>
      <c r="K183" s="25">
        <f>IF(B183="","",IFERROR(INDEX(Ingredients!$J$5:$J$304,MATCH(B183,Ingredients!$B$5:$B$304,0)),"Add to Ingredients"))</f>
        <v>0</v>
      </c>
      <c r="L183" s="25">
        <f>IF(OR(I183="",K183="",NOT(ISNUMBER(K183))),"",(I183-K183)*100)</f>
        <v>0</v>
      </c>
      <c r="M183" s="46">
        <f>IF(OR(B183="",J183=""),"",IF(I183&lt;=SUMPRODUCT(MIN((('Store Prices'!$B$5:$B$304=B183)*(IFERROR('Store Prices'!$I$5:$I$304*1,0)&gt;0))*IFERROR('Store Prices'!$I$5:$I$304*1,0)+(1-(('Store Prices'!$B$5:$B$304=B183)*(IFERROR('Store Prices'!$I$5:$I$304*1,0)&gt;0)))*999999))+0.0000001,"Yes","No"))</f>
        <v>0</v>
      </c>
      <c r="O183" s="18">
        <f>IF(N183="","",TODAY()-N183)</f>
        <v>0</v>
      </c>
      <c r="P183" s="31">
        <f>IF(B183="","",IF(G183="","Add - no price",IF(E183="","Add - no pack size",IF(AND(O183&lt;&gt;"",O183&gt;180),"Check - over six months old","OK"))))</f>
        <v>0</v>
      </c>
    </row>
    <row r="184" spans="1:16">
      <c r="A184" s="39">
        <f>IF(B184="","","SP-"&amp;TEXT(ROW()-4,"0000"))</f>
        <v>0</v>
      </c>
      <c r="F184" s="17">
        <f>IF(B184="","",IFERROR(INDEX(Ingredients!$G$5:$G$304,MATCH(B184,Ingredients!$B$5:$B$304,0)),"Add to Ingredients"))</f>
        <v>0</v>
      </c>
      <c r="I184" s="25">
        <f>IF(OR(G184="",E184="",E184=0),"",G184/E184)</f>
        <v>0</v>
      </c>
      <c r="J184" s="25">
        <f>IF(I184="","",I184*100)</f>
        <v>0</v>
      </c>
      <c r="K184" s="25">
        <f>IF(B184="","",IFERROR(INDEX(Ingredients!$J$5:$J$304,MATCH(B184,Ingredients!$B$5:$B$304,0)),"Add to Ingredients"))</f>
        <v>0</v>
      </c>
      <c r="L184" s="25">
        <f>IF(OR(I184="",K184="",NOT(ISNUMBER(K184))),"",(I184-K184)*100)</f>
        <v>0</v>
      </c>
      <c r="M184" s="46">
        <f>IF(OR(B184="",J184=""),"",IF(I184&lt;=SUMPRODUCT(MIN((('Store Prices'!$B$5:$B$304=B184)*(IFERROR('Store Prices'!$I$5:$I$304*1,0)&gt;0))*IFERROR('Store Prices'!$I$5:$I$304*1,0)+(1-(('Store Prices'!$B$5:$B$304=B184)*(IFERROR('Store Prices'!$I$5:$I$304*1,0)&gt;0)))*999999))+0.0000001,"Yes","No"))</f>
        <v>0</v>
      </c>
      <c r="O184" s="18">
        <f>IF(N184="","",TODAY()-N184)</f>
        <v>0</v>
      </c>
      <c r="P184" s="31">
        <f>IF(B184="","",IF(G184="","Add - no price",IF(E184="","Add - no pack size",IF(AND(O184&lt;&gt;"",O184&gt;180),"Check - over six months old","OK"))))</f>
        <v>0</v>
      </c>
    </row>
    <row r="185" spans="1:16">
      <c r="A185" s="39">
        <f>IF(B185="","","SP-"&amp;TEXT(ROW()-4,"0000"))</f>
        <v>0</v>
      </c>
      <c r="F185" s="17">
        <f>IF(B185="","",IFERROR(INDEX(Ingredients!$G$5:$G$304,MATCH(B185,Ingredients!$B$5:$B$304,0)),"Add to Ingredients"))</f>
        <v>0</v>
      </c>
      <c r="I185" s="25">
        <f>IF(OR(G185="",E185="",E185=0),"",G185/E185)</f>
        <v>0</v>
      </c>
      <c r="J185" s="25">
        <f>IF(I185="","",I185*100)</f>
        <v>0</v>
      </c>
      <c r="K185" s="25">
        <f>IF(B185="","",IFERROR(INDEX(Ingredients!$J$5:$J$304,MATCH(B185,Ingredients!$B$5:$B$304,0)),"Add to Ingredients"))</f>
        <v>0</v>
      </c>
      <c r="L185" s="25">
        <f>IF(OR(I185="",K185="",NOT(ISNUMBER(K185))),"",(I185-K185)*100)</f>
        <v>0</v>
      </c>
      <c r="M185" s="46">
        <f>IF(OR(B185="",J185=""),"",IF(I185&lt;=SUMPRODUCT(MIN((('Store Prices'!$B$5:$B$304=B185)*(IFERROR('Store Prices'!$I$5:$I$304*1,0)&gt;0))*IFERROR('Store Prices'!$I$5:$I$304*1,0)+(1-(('Store Prices'!$B$5:$B$304=B185)*(IFERROR('Store Prices'!$I$5:$I$304*1,0)&gt;0)))*999999))+0.0000001,"Yes","No"))</f>
        <v>0</v>
      </c>
      <c r="O185" s="18">
        <f>IF(N185="","",TODAY()-N185)</f>
        <v>0</v>
      </c>
      <c r="P185" s="31">
        <f>IF(B185="","",IF(G185="","Add - no price",IF(E185="","Add - no pack size",IF(AND(O185&lt;&gt;"",O185&gt;180),"Check - over six months old","OK"))))</f>
        <v>0</v>
      </c>
    </row>
    <row r="186" spans="1:16">
      <c r="A186" s="39">
        <f>IF(B186="","","SP-"&amp;TEXT(ROW()-4,"0000"))</f>
        <v>0</v>
      </c>
      <c r="F186" s="17">
        <f>IF(B186="","",IFERROR(INDEX(Ingredients!$G$5:$G$304,MATCH(B186,Ingredients!$B$5:$B$304,0)),"Add to Ingredients"))</f>
        <v>0</v>
      </c>
      <c r="I186" s="25">
        <f>IF(OR(G186="",E186="",E186=0),"",G186/E186)</f>
        <v>0</v>
      </c>
      <c r="J186" s="25">
        <f>IF(I186="","",I186*100)</f>
        <v>0</v>
      </c>
      <c r="K186" s="25">
        <f>IF(B186="","",IFERROR(INDEX(Ingredients!$J$5:$J$304,MATCH(B186,Ingredients!$B$5:$B$304,0)),"Add to Ingredients"))</f>
        <v>0</v>
      </c>
      <c r="L186" s="25">
        <f>IF(OR(I186="",K186="",NOT(ISNUMBER(K186))),"",(I186-K186)*100)</f>
        <v>0</v>
      </c>
      <c r="M186" s="46">
        <f>IF(OR(B186="",J186=""),"",IF(I186&lt;=SUMPRODUCT(MIN((('Store Prices'!$B$5:$B$304=B186)*(IFERROR('Store Prices'!$I$5:$I$304*1,0)&gt;0))*IFERROR('Store Prices'!$I$5:$I$304*1,0)+(1-(('Store Prices'!$B$5:$B$304=B186)*(IFERROR('Store Prices'!$I$5:$I$304*1,0)&gt;0)))*999999))+0.0000001,"Yes","No"))</f>
        <v>0</v>
      </c>
      <c r="O186" s="18">
        <f>IF(N186="","",TODAY()-N186)</f>
        <v>0</v>
      </c>
      <c r="P186" s="31">
        <f>IF(B186="","",IF(G186="","Add - no price",IF(E186="","Add - no pack size",IF(AND(O186&lt;&gt;"",O186&gt;180),"Check - over six months old","OK"))))</f>
        <v>0</v>
      </c>
    </row>
    <row r="187" spans="1:16">
      <c r="A187" s="39">
        <f>IF(B187="","","SP-"&amp;TEXT(ROW()-4,"0000"))</f>
        <v>0</v>
      </c>
      <c r="F187" s="17">
        <f>IF(B187="","",IFERROR(INDEX(Ingredients!$G$5:$G$304,MATCH(B187,Ingredients!$B$5:$B$304,0)),"Add to Ingredients"))</f>
        <v>0</v>
      </c>
      <c r="I187" s="25">
        <f>IF(OR(G187="",E187="",E187=0),"",G187/E187)</f>
        <v>0</v>
      </c>
      <c r="J187" s="25">
        <f>IF(I187="","",I187*100)</f>
        <v>0</v>
      </c>
      <c r="K187" s="25">
        <f>IF(B187="","",IFERROR(INDEX(Ingredients!$J$5:$J$304,MATCH(B187,Ingredients!$B$5:$B$304,0)),"Add to Ingredients"))</f>
        <v>0</v>
      </c>
      <c r="L187" s="25">
        <f>IF(OR(I187="",K187="",NOT(ISNUMBER(K187))),"",(I187-K187)*100)</f>
        <v>0</v>
      </c>
      <c r="M187" s="46">
        <f>IF(OR(B187="",J187=""),"",IF(I187&lt;=SUMPRODUCT(MIN((('Store Prices'!$B$5:$B$304=B187)*(IFERROR('Store Prices'!$I$5:$I$304*1,0)&gt;0))*IFERROR('Store Prices'!$I$5:$I$304*1,0)+(1-(('Store Prices'!$B$5:$B$304=B187)*(IFERROR('Store Prices'!$I$5:$I$304*1,0)&gt;0)))*999999))+0.0000001,"Yes","No"))</f>
        <v>0</v>
      </c>
      <c r="O187" s="18">
        <f>IF(N187="","",TODAY()-N187)</f>
        <v>0</v>
      </c>
      <c r="P187" s="31">
        <f>IF(B187="","",IF(G187="","Add - no price",IF(E187="","Add - no pack size",IF(AND(O187&lt;&gt;"",O187&gt;180),"Check - over six months old","OK"))))</f>
        <v>0</v>
      </c>
    </row>
    <row r="188" spans="1:16">
      <c r="A188" s="39">
        <f>IF(B188="","","SP-"&amp;TEXT(ROW()-4,"0000"))</f>
        <v>0</v>
      </c>
      <c r="F188" s="17">
        <f>IF(B188="","",IFERROR(INDEX(Ingredients!$G$5:$G$304,MATCH(B188,Ingredients!$B$5:$B$304,0)),"Add to Ingredients"))</f>
        <v>0</v>
      </c>
      <c r="I188" s="25">
        <f>IF(OR(G188="",E188="",E188=0),"",G188/E188)</f>
        <v>0</v>
      </c>
      <c r="J188" s="25">
        <f>IF(I188="","",I188*100)</f>
        <v>0</v>
      </c>
      <c r="K188" s="25">
        <f>IF(B188="","",IFERROR(INDEX(Ingredients!$J$5:$J$304,MATCH(B188,Ingredients!$B$5:$B$304,0)),"Add to Ingredients"))</f>
        <v>0</v>
      </c>
      <c r="L188" s="25">
        <f>IF(OR(I188="",K188="",NOT(ISNUMBER(K188))),"",(I188-K188)*100)</f>
        <v>0</v>
      </c>
      <c r="M188" s="46">
        <f>IF(OR(B188="",J188=""),"",IF(I188&lt;=SUMPRODUCT(MIN((('Store Prices'!$B$5:$B$304=B188)*(IFERROR('Store Prices'!$I$5:$I$304*1,0)&gt;0))*IFERROR('Store Prices'!$I$5:$I$304*1,0)+(1-(('Store Prices'!$B$5:$B$304=B188)*(IFERROR('Store Prices'!$I$5:$I$304*1,0)&gt;0)))*999999))+0.0000001,"Yes","No"))</f>
        <v>0</v>
      </c>
      <c r="O188" s="18">
        <f>IF(N188="","",TODAY()-N188)</f>
        <v>0</v>
      </c>
      <c r="P188" s="31">
        <f>IF(B188="","",IF(G188="","Add - no price",IF(E188="","Add - no pack size",IF(AND(O188&lt;&gt;"",O188&gt;180),"Check - over six months old","OK"))))</f>
        <v>0</v>
      </c>
    </row>
    <row r="189" spans="1:16">
      <c r="A189" s="39">
        <f>IF(B189="","","SP-"&amp;TEXT(ROW()-4,"0000"))</f>
        <v>0</v>
      </c>
      <c r="F189" s="17">
        <f>IF(B189="","",IFERROR(INDEX(Ingredients!$G$5:$G$304,MATCH(B189,Ingredients!$B$5:$B$304,0)),"Add to Ingredients"))</f>
        <v>0</v>
      </c>
      <c r="I189" s="25">
        <f>IF(OR(G189="",E189="",E189=0),"",G189/E189)</f>
        <v>0</v>
      </c>
      <c r="J189" s="25">
        <f>IF(I189="","",I189*100)</f>
        <v>0</v>
      </c>
      <c r="K189" s="25">
        <f>IF(B189="","",IFERROR(INDEX(Ingredients!$J$5:$J$304,MATCH(B189,Ingredients!$B$5:$B$304,0)),"Add to Ingredients"))</f>
        <v>0</v>
      </c>
      <c r="L189" s="25">
        <f>IF(OR(I189="",K189="",NOT(ISNUMBER(K189))),"",(I189-K189)*100)</f>
        <v>0</v>
      </c>
      <c r="M189" s="46">
        <f>IF(OR(B189="",J189=""),"",IF(I189&lt;=SUMPRODUCT(MIN((('Store Prices'!$B$5:$B$304=B189)*(IFERROR('Store Prices'!$I$5:$I$304*1,0)&gt;0))*IFERROR('Store Prices'!$I$5:$I$304*1,0)+(1-(('Store Prices'!$B$5:$B$304=B189)*(IFERROR('Store Prices'!$I$5:$I$304*1,0)&gt;0)))*999999))+0.0000001,"Yes","No"))</f>
        <v>0</v>
      </c>
      <c r="O189" s="18">
        <f>IF(N189="","",TODAY()-N189)</f>
        <v>0</v>
      </c>
      <c r="P189" s="31">
        <f>IF(B189="","",IF(G189="","Add - no price",IF(E189="","Add - no pack size",IF(AND(O189&lt;&gt;"",O189&gt;180),"Check - over six months old","OK"))))</f>
        <v>0</v>
      </c>
    </row>
    <row r="190" spans="1:16">
      <c r="A190" s="39">
        <f>IF(B190="","","SP-"&amp;TEXT(ROW()-4,"0000"))</f>
        <v>0</v>
      </c>
      <c r="F190" s="17">
        <f>IF(B190="","",IFERROR(INDEX(Ingredients!$G$5:$G$304,MATCH(B190,Ingredients!$B$5:$B$304,0)),"Add to Ingredients"))</f>
        <v>0</v>
      </c>
      <c r="I190" s="25">
        <f>IF(OR(G190="",E190="",E190=0),"",G190/E190)</f>
        <v>0</v>
      </c>
      <c r="J190" s="25">
        <f>IF(I190="","",I190*100)</f>
        <v>0</v>
      </c>
      <c r="K190" s="25">
        <f>IF(B190="","",IFERROR(INDEX(Ingredients!$J$5:$J$304,MATCH(B190,Ingredients!$B$5:$B$304,0)),"Add to Ingredients"))</f>
        <v>0</v>
      </c>
      <c r="L190" s="25">
        <f>IF(OR(I190="",K190="",NOT(ISNUMBER(K190))),"",(I190-K190)*100)</f>
        <v>0</v>
      </c>
      <c r="M190" s="46">
        <f>IF(OR(B190="",J190=""),"",IF(I190&lt;=SUMPRODUCT(MIN((('Store Prices'!$B$5:$B$304=B190)*(IFERROR('Store Prices'!$I$5:$I$304*1,0)&gt;0))*IFERROR('Store Prices'!$I$5:$I$304*1,0)+(1-(('Store Prices'!$B$5:$B$304=B190)*(IFERROR('Store Prices'!$I$5:$I$304*1,0)&gt;0)))*999999))+0.0000001,"Yes","No"))</f>
        <v>0</v>
      </c>
      <c r="O190" s="18">
        <f>IF(N190="","",TODAY()-N190)</f>
        <v>0</v>
      </c>
      <c r="P190" s="31">
        <f>IF(B190="","",IF(G190="","Add - no price",IF(E190="","Add - no pack size",IF(AND(O190&lt;&gt;"",O190&gt;180),"Check - over six months old","OK"))))</f>
        <v>0</v>
      </c>
    </row>
    <row r="191" spans="1:16">
      <c r="A191" s="39">
        <f>IF(B191="","","SP-"&amp;TEXT(ROW()-4,"0000"))</f>
        <v>0</v>
      </c>
      <c r="F191" s="17">
        <f>IF(B191="","",IFERROR(INDEX(Ingredients!$G$5:$G$304,MATCH(B191,Ingredients!$B$5:$B$304,0)),"Add to Ingredients"))</f>
        <v>0</v>
      </c>
      <c r="I191" s="25">
        <f>IF(OR(G191="",E191="",E191=0),"",G191/E191)</f>
        <v>0</v>
      </c>
      <c r="J191" s="25">
        <f>IF(I191="","",I191*100)</f>
        <v>0</v>
      </c>
      <c r="K191" s="25">
        <f>IF(B191="","",IFERROR(INDEX(Ingredients!$J$5:$J$304,MATCH(B191,Ingredients!$B$5:$B$304,0)),"Add to Ingredients"))</f>
        <v>0</v>
      </c>
      <c r="L191" s="25">
        <f>IF(OR(I191="",K191="",NOT(ISNUMBER(K191))),"",(I191-K191)*100)</f>
        <v>0</v>
      </c>
      <c r="M191" s="46">
        <f>IF(OR(B191="",J191=""),"",IF(I191&lt;=SUMPRODUCT(MIN((('Store Prices'!$B$5:$B$304=B191)*(IFERROR('Store Prices'!$I$5:$I$304*1,0)&gt;0))*IFERROR('Store Prices'!$I$5:$I$304*1,0)+(1-(('Store Prices'!$B$5:$B$304=B191)*(IFERROR('Store Prices'!$I$5:$I$304*1,0)&gt;0)))*999999))+0.0000001,"Yes","No"))</f>
        <v>0</v>
      </c>
      <c r="O191" s="18">
        <f>IF(N191="","",TODAY()-N191)</f>
        <v>0</v>
      </c>
      <c r="P191" s="31">
        <f>IF(B191="","",IF(G191="","Add - no price",IF(E191="","Add - no pack size",IF(AND(O191&lt;&gt;"",O191&gt;180),"Check - over six months old","OK"))))</f>
        <v>0</v>
      </c>
    </row>
    <row r="192" spans="1:16">
      <c r="A192" s="39">
        <f>IF(B192="","","SP-"&amp;TEXT(ROW()-4,"0000"))</f>
        <v>0</v>
      </c>
      <c r="F192" s="17">
        <f>IF(B192="","",IFERROR(INDEX(Ingredients!$G$5:$G$304,MATCH(B192,Ingredients!$B$5:$B$304,0)),"Add to Ingredients"))</f>
        <v>0</v>
      </c>
      <c r="I192" s="25">
        <f>IF(OR(G192="",E192="",E192=0),"",G192/E192)</f>
        <v>0</v>
      </c>
      <c r="J192" s="25">
        <f>IF(I192="","",I192*100)</f>
        <v>0</v>
      </c>
      <c r="K192" s="25">
        <f>IF(B192="","",IFERROR(INDEX(Ingredients!$J$5:$J$304,MATCH(B192,Ingredients!$B$5:$B$304,0)),"Add to Ingredients"))</f>
        <v>0</v>
      </c>
      <c r="L192" s="25">
        <f>IF(OR(I192="",K192="",NOT(ISNUMBER(K192))),"",(I192-K192)*100)</f>
        <v>0</v>
      </c>
      <c r="M192" s="46">
        <f>IF(OR(B192="",J192=""),"",IF(I192&lt;=SUMPRODUCT(MIN((('Store Prices'!$B$5:$B$304=B192)*(IFERROR('Store Prices'!$I$5:$I$304*1,0)&gt;0))*IFERROR('Store Prices'!$I$5:$I$304*1,0)+(1-(('Store Prices'!$B$5:$B$304=B192)*(IFERROR('Store Prices'!$I$5:$I$304*1,0)&gt;0)))*999999))+0.0000001,"Yes","No"))</f>
        <v>0</v>
      </c>
      <c r="O192" s="18">
        <f>IF(N192="","",TODAY()-N192)</f>
        <v>0</v>
      </c>
      <c r="P192" s="31">
        <f>IF(B192="","",IF(G192="","Add - no price",IF(E192="","Add - no pack size",IF(AND(O192&lt;&gt;"",O192&gt;180),"Check - over six months old","OK"))))</f>
        <v>0</v>
      </c>
    </row>
    <row r="193" spans="1:16">
      <c r="A193" s="39">
        <f>IF(B193="","","SP-"&amp;TEXT(ROW()-4,"0000"))</f>
        <v>0</v>
      </c>
      <c r="F193" s="17">
        <f>IF(B193="","",IFERROR(INDEX(Ingredients!$G$5:$G$304,MATCH(B193,Ingredients!$B$5:$B$304,0)),"Add to Ingredients"))</f>
        <v>0</v>
      </c>
      <c r="I193" s="25">
        <f>IF(OR(G193="",E193="",E193=0),"",G193/E193)</f>
        <v>0</v>
      </c>
      <c r="J193" s="25">
        <f>IF(I193="","",I193*100)</f>
        <v>0</v>
      </c>
      <c r="K193" s="25">
        <f>IF(B193="","",IFERROR(INDEX(Ingredients!$J$5:$J$304,MATCH(B193,Ingredients!$B$5:$B$304,0)),"Add to Ingredients"))</f>
        <v>0</v>
      </c>
      <c r="L193" s="25">
        <f>IF(OR(I193="",K193="",NOT(ISNUMBER(K193))),"",(I193-K193)*100)</f>
        <v>0</v>
      </c>
      <c r="M193" s="46">
        <f>IF(OR(B193="",J193=""),"",IF(I193&lt;=SUMPRODUCT(MIN((('Store Prices'!$B$5:$B$304=B193)*(IFERROR('Store Prices'!$I$5:$I$304*1,0)&gt;0))*IFERROR('Store Prices'!$I$5:$I$304*1,0)+(1-(('Store Prices'!$B$5:$B$304=B193)*(IFERROR('Store Prices'!$I$5:$I$304*1,0)&gt;0)))*999999))+0.0000001,"Yes","No"))</f>
        <v>0</v>
      </c>
      <c r="O193" s="18">
        <f>IF(N193="","",TODAY()-N193)</f>
        <v>0</v>
      </c>
      <c r="P193" s="31">
        <f>IF(B193="","",IF(G193="","Add - no price",IF(E193="","Add - no pack size",IF(AND(O193&lt;&gt;"",O193&gt;180),"Check - over six months old","OK"))))</f>
        <v>0</v>
      </c>
    </row>
    <row r="194" spans="1:16">
      <c r="A194" s="39">
        <f>IF(B194="","","SP-"&amp;TEXT(ROW()-4,"0000"))</f>
        <v>0</v>
      </c>
      <c r="F194" s="17">
        <f>IF(B194="","",IFERROR(INDEX(Ingredients!$G$5:$G$304,MATCH(B194,Ingredients!$B$5:$B$304,0)),"Add to Ingredients"))</f>
        <v>0</v>
      </c>
      <c r="I194" s="25">
        <f>IF(OR(G194="",E194="",E194=0),"",G194/E194)</f>
        <v>0</v>
      </c>
      <c r="J194" s="25">
        <f>IF(I194="","",I194*100)</f>
        <v>0</v>
      </c>
      <c r="K194" s="25">
        <f>IF(B194="","",IFERROR(INDEX(Ingredients!$J$5:$J$304,MATCH(B194,Ingredients!$B$5:$B$304,0)),"Add to Ingredients"))</f>
        <v>0</v>
      </c>
      <c r="L194" s="25">
        <f>IF(OR(I194="",K194="",NOT(ISNUMBER(K194))),"",(I194-K194)*100)</f>
        <v>0</v>
      </c>
      <c r="M194" s="46">
        <f>IF(OR(B194="",J194=""),"",IF(I194&lt;=SUMPRODUCT(MIN((('Store Prices'!$B$5:$B$304=B194)*(IFERROR('Store Prices'!$I$5:$I$304*1,0)&gt;0))*IFERROR('Store Prices'!$I$5:$I$304*1,0)+(1-(('Store Prices'!$B$5:$B$304=B194)*(IFERROR('Store Prices'!$I$5:$I$304*1,0)&gt;0)))*999999))+0.0000001,"Yes","No"))</f>
        <v>0</v>
      </c>
      <c r="O194" s="18">
        <f>IF(N194="","",TODAY()-N194)</f>
        <v>0</v>
      </c>
      <c r="P194" s="31">
        <f>IF(B194="","",IF(G194="","Add - no price",IF(E194="","Add - no pack size",IF(AND(O194&lt;&gt;"",O194&gt;180),"Check - over six months old","OK"))))</f>
        <v>0</v>
      </c>
    </row>
    <row r="195" spans="1:16">
      <c r="A195" s="39">
        <f>IF(B195="","","SP-"&amp;TEXT(ROW()-4,"0000"))</f>
        <v>0</v>
      </c>
      <c r="F195" s="17">
        <f>IF(B195="","",IFERROR(INDEX(Ingredients!$G$5:$G$304,MATCH(B195,Ingredients!$B$5:$B$304,0)),"Add to Ingredients"))</f>
        <v>0</v>
      </c>
      <c r="I195" s="25">
        <f>IF(OR(G195="",E195="",E195=0),"",G195/E195)</f>
        <v>0</v>
      </c>
      <c r="J195" s="25">
        <f>IF(I195="","",I195*100)</f>
        <v>0</v>
      </c>
      <c r="K195" s="25">
        <f>IF(B195="","",IFERROR(INDEX(Ingredients!$J$5:$J$304,MATCH(B195,Ingredients!$B$5:$B$304,0)),"Add to Ingredients"))</f>
        <v>0</v>
      </c>
      <c r="L195" s="25">
        <f>IF(OR(I195="",K195="",NOT(ISNUMBER(K195))),"",(I195-K195)*100)</f>
        <v>0</v>
      </c>
      <c r="M195" s="46">
        <f>IF(OR(B195="",J195=""),"",IF(I195&lt;=SUMPRODUCT(MIN((('Store Prices'!$B$5:$B$304=B195)*(IFERROR('Store Prices'!$I$5:$I$304*1,0)&gt;0))*IFERROR('Store Prices'!$I$5:$I$304*1,0)+(1-(('Store Prices'!$B$5:$B$304=B195)*(IFERROR('Store Prices'!$I$5:$I$304*1,0)&gt;0)))*999999))+0.0000001,"Yes","No"))</f>
        <v>0</v>
      </c>
      <c r="O195" s="18">
        <f>IF(N195="","",TODAY()-N195)</f>
        <v>0</v>
      </c>
      <c r="P195" s="31">
        <f>IF(B195="","",IF(G195="","Add - no price",IF(E195="","Add - no pack size",IF(AND(O195&lt;&gt;"",O195&gt;180),"Check - over six months old","OK"))))</f>
        <v>0</v>
      </c>
    </row>
    <row r="196" spans="1:16">
      <c r="A196" s="39">
        <f>IF(B196="","","SP-"&amp;TEXT(ROW()-4,"0000"))</f>
        <v>0</v>
      </c>
      <c r="F196" s="17">
        <f>IF(B196="","",IFERROR(INDEX(Ingredients!$G$5:$G$304,MATCH(B196,Ingredients!$B$5:$B$304,0)),"Add to Ingredients"))</f>
        <v>0</v>
      </c>
      <c r="I196" s="25">
        <f>IF(OR(G196="",E196="",E196=0),"",G196/E196)</f>
        <v>0</v>
      </c>
      <c r="J196" s="25">
        <f>IF(I196="","",I196*100)</f>
        <v>0</v>
      </c>
      <c r="K196" s="25">
        <f>IF(B196="","",IFERROR(INDEX(Ingredients!$J$5:$J$304,MATCH(B196,Ingredients!$B$5:$B$304,0)),"Add to Ingredients"))</f>
        <v>0</v>
      </c>
      <c r="L196" s="25">
        <f>IF(OR(I196="",K196="",NOT(ISNUMBER(K196))),"",(I196-K196)*100)</f>
        <v>0</v>
      </c>
      <c r="M196" s="46">
        <f>IF(OR(B196="",J196=""),"",IF(I196&lt;=SUMPRODUCT(MIN((('Store Prices'!$B$5:$B$304=B196)*(IFERROR('Store Prices'!$I$5:$I$304*1,0)&gt;0))*IFERROR('Store Prices'!$I$5:$I$304*1,0)+(1-(('Store Prices'!$B$5:$B$304=B196)*(IFERROR('Store Prices'!$I$5:$I$304*1,0)&gt;0)))*999999))+0.0000001,"Yes","No"))</f>
        <v>0</v>
      </c>
      <c r="O196" s="18">
        <f>IF(N196="","",TODAY()-N196)</f>
        <v>0</v>
      </c>
      <c r="P196" s="31">
        <f>IF(B196="","",IF(G196="","Add - no price",IF(E196="","Add - no pack size",IF(AND(O196&lt;&gt;"",O196&gt;180),"Check - over six months old","OK"))))</f>
        <v>0</v>
      </c>
    </row>
    <row r="197" spans="1:16">
      <c r="A197" s="39">
        <f>IF(B197="","","SP-"&amp;TEXT(ROW()-4,"0000"))</f>
        <v>0</v>
      </c>
      <c r="F197" s="17">
        <f>IF(B197="","",IFERROR(INDEX(Ingredients!$G$5:$G$304,MATCH(B197,Ingredients!$B$5:$B$304,0)),"Add to Ingredients"))</f>
        <v>0</v>
      </c>
      <c r="I197" s="25">
        <f>IF(OR(G197="",E197="",E197=0),"",G197/E197)</f>
        <v>0</v>
      </c>
      <c r="J197" s="25">
        <f>IF(I197="","",I197*100)</f>
        <v>0</v>
      </c>
      <c r="K197" s="25">
        <f>IF(B197="","",IFERROR(INDEX(Ingredients!$J$5:$J$304,MATCH(B197,Ingredients!$B$5:$B$304,0)),"Add to Ingredients"))</f>
        <v>0</v>
      </c>
      <c r="L197" s="25">
        <f>IF(OR(I197="",K197="",NOT(ISNUMBER(K197))),"",(I197-K197)*100)</f>
        <v>0</v>
      </c>
      <c r="M197" s="46">
        <f>IF(OR(B197="",J197=""),"",IF(I197&lt;=SUMPRODUCT(MIN((('Store Prices'!$B$5:$B$304=B197)*(IFERROR('Store Prices'!$I$5:$I$304*1,0)&gt;0))*IFERROR('Store Prices'!$I$5:$I$304*1,0)+(1-(('Store Prices'!$B$5:$B$304=B197)*(IFERROR('Store Prices'!$I$5:$I$304*1,0)&gt;0)))*999999))+0.0000001,"Yes","No"))</f>
        <v>0</v>
      </c>
      <c r="O197" s="18">
        <f>IF(N197="","",TODAY()-N197)</f>
        <v>0</v>
      </c>
      <c r="P197" s="31">
        <f>IF(B197="","",IF(G197="","Add - no price",IF(E197="","Add - no pack size",IF(AND(O197&lt;&gt;"",O197&gt;180),"Check - over six months old","OK"))))</f>
        <v>0</v>
      </c>
    </row>
    <row r="198" spans="1:16">
      <c r="A198" s="39">
        <f>IF(B198="","","SP-"&amp;TEXT(ROW()-4,"0000"))</f>
        <v>0</v>
      </c>
      <c r="F198" s="17">
        <f>IF(B198="","",IFERROR(INDEX(Ingredients!$G$5:$G$304,MATCH(B198,Ingredients!$B$5:$B$304,0)),"Add to Ingredients"))</f>
        <v>0</v>
      </c>
      <c r="I198" s="25">
        <f>IF(OR(G198="",E198="",E198=0),"",G198/E198)</f>
        <v>0</v>
      </c>
      <c r="J198" s="25">
        <f>IF(I198="","",I198*100)</f>
        <v>0</v>
      </c>
      <c r="K198" s="25">
        <f>IF(B198="","",IFERROR(INDEX(Ingredients!$J$5:$J$304,MATCH(B198,Ingredients!$B$5:$B$304,0)),"Add to Ingredients"))</f>
        <v>0</v>
      </c>
      <c r="L198" s="25">
        <f>IF(OR(I198="",K198="",NOT(ISNUMBER(K198))),"",(I198-K198)*100)</f>
        <v>0</v>
      </c>
      <c r="M198" s="46">
        <f>IF(OR(B198="",J198=""),"",IF(I198&lt;=SUMPRODUCT(MIN((('Store Prices'!$B$5:$B$304=B198)*(IFERROR('Store Prices'!$I$5:$I$304*1,0)&gt;0))*IFERROR('Store Prices'!$I$5:$I$304*1,0)+(1-(('Store Prices'!$B$5:$B$304=B198)*(IFERROR('Store Prices'!$I$5:$I$304*1,0)&gt;0)))*999999))+0.0000001,"Yes","No"))</f>
        <v>0</v>
      </c>
      <c r="O198" s="18">
        <f>IF(N198="","",TODAY()-N198)</f>
        <v>0</v>
      </c>
      <c r="P198" s="31">
        <f>IF(B198="","",IF(G198="","Add - no price",IF(E198="","Add - no pack size",IF(AND(O198&lt;&gt;"",O198&gt;180),"Check - over six months old","OK"))))</f>
        <v>0</v>
      </c>
    </row>
    <row r="199" spans="1:16">
      <c r="A199" s="39">
        <f>IF(B199="","","SP-"&amp;TEXT(ROW()-4,"0000"))</f>
        <v>0</v>
      </c>
      <c r="F199" s="17">
        <f>IF(B199="","",IFERROR(INDEX(Ingredients!$G$5:$G$304,MATCH(B199,Ingredients!$B$5:$B$304,0)),"Add to Ingredients"))</f>
        <v>0</v>
      </c>
      <c r="I199" s="25">
        <f>IF(OR(G199="",E199="",E199=0),"",G199/E199)</f>
        <v>0</v>
      </c>
      <c r="J199" s="25">
        <f>IF(I199="","",I199*100)</f>
        <v>0</v>
      </c>
      <c r="K199" s="25">
        <f>IF(B199="","",IFERROR(INDEX(Ingredients!$J$5:$J$304,MATCH(B199,Ingredients!$B$5:$B$304,0)),"Add to Ingredients"))</f>
        <v>0</v>
      </c>
      <c r="L199" s="25">
        <f>IF(OR(I199="",K199="",NOT(ISNUMBER(K199))),"",(I199-K199)*100)</f>
        <v>0</v>
      </c>
      <c r="M199" s="46">
        <f>IF(OR(B199="",J199=""),"",IF(I199&lt;=SUMPRODUCT(MIN((('Store Prices'!$B$5:$B$304=B199)*(IFERROR('Store Prices'!$I$5:$I$304*1,0)&gt;0))*IFERROR('Store Prices'!$I$5:$I$304*1,0)+(1-(('Store Prices'!$B$5:$B$304=B199)*(IFERROR('Store Prices'!$I$5:$I$304*1,0)&gt;0)))*999999))+0.0000001,"Yes","No"))</f>
        <v>0</v>
      </c>
      <c r="O199" s="18">
        <f>IF(N199="","",TODAY()-N199)</f>
        <v>0</v>
      </c>
      <c r="P199" s="31">
        <f>IF(B199="","",IF(G199="","Add - no price",IF(E199="","Add - no pack size",IF(AND(O199&lt;&gt;"",O199&gt;180),"Check - over six months old","OK"))))</f>
        <v>0</v>
      </c>
    </row>
    <row r="200" spans="1:16">
      <c r="A200" s="39">
        <f>IF(B200="","","SP-"&amp;TEXT(ROW()-4,"0000"))</f>
        <v>0</v>
      </c>
      <c r="F200" s="17">
        <f>IF(B200="","",IFERROR(INDEX(Ingredients!$G$5:$G$304,MATCH(B200,Ingredients!$B$5:$B$304,0)),"Add to Ingredients"))</f>
        <v>0</v>
      </c>
      <c r="I200" s="25">
        <f>IF(OR(G200="",E200="",E200=0),"",G200/E200)</f>
        <v>0</v>
      </c>
      <c r="J200" s="25">
        <f>IF(I200="","",I200*100)</f>
        <v>0</v>
      </c>
      <c r="K200" s="25">
        <f>IF(B200="","",IFERROR(INDEX(Ingredients!$J$5:$J$304,MATCH(B200,Ingredients!$B$5:$B$304,0)),"Add to Ingredients"))</f>
        <v>0</v>
      </c>
      <c r="L200" s="25">
        <f>IF(OR(I200="",K200="",NOT(ISNUMBER(K200))),"",(I200-K200)*100)</f>
        <v>0</v>
      </c>
      <c r="M200" s="46">
        <f>IF(OR(B200="",J200=""),"",IF(I200&lt;=SUMPRODUCT(MIN((('Store Prices'!$B$5:$B$304=B200)*(IFERROR('Store Prices'!$I$5:$I$304*1,0)&gt;0))*IFERROR('Store Prices'!$I$5:$I$304*1,0)+(1-(('Store Prices'!$B$5:$B$304=B200)*(IFERROR('Store Prices'!$I$5:$I$304*1,0)&gt;0)))*999999))+0.0000001,"Yes","No"))</f>
        <v>0</v>
      </c>
      <c r="O200" s="18">
        <f>IF(N200="","",TODAY()-N200)</f>
        <v>0</v>
      </c>
      <c r="P200" s="31">
        <f>IF(B200="","",IF(G200="","Add - no price",IF(E200="","Add - no pack size",IF(AND(O200&lt;&gt;"",O200&gt;180),"Check - over six months old","OK"))))</f>
        <v>0</v>
      </c>
    </row>
    <row r="201" spans="1:16">
      <c r="A201" s="39">
        <f>IF(B201="","","SP-"&amp;TEXT(ROW()-4,"0000"))</f>
        <v>0</v>
      </c>
      <c r="F201" s="17">
        <f>IF(B201="","",IFERROR(INDEX(Ingredients!$G$5:$G$304,MATCH(B201,Ingredients!$B$5:$B$304,0)),"Add to Ingredients"))</f>
        <v>0</v>
      </c>
      <c r="I201" s="25">
        <f>IF(OR(G201="",E201="",E201=0),"",G201/E201)</f>
        <v>0</v>
      </c>
      <c r="J201" s="25">
        <f>IF(I201="","",I201*100)</f>
        <v>0</v>
      </c>
      <c r="K201" s="25">
        <f>IF(B201="","",IFERROR(INDEX(Ingredients!$J$5:$J$304,MATCH(B201,Ingredients!$B$5:$B$304,0)),"Add to Ingredients"))</f>
        <v>0</v>
      </c>
      <c r="L201" s="25">
        <f>IF(OR(I201="",K201="",NOT(ISNUMBER(K201))),"",(I201-K201)*100)</f>
        <v>0</v>
      </c>
      <c r="M201" s="46">
        <f>IF(OR(B201="",J201=""),"",IF(I201&lt;=SUMPRODUCT(MIN((('Store Prices'!$B$5:$B$304=B201)*(IFERROR('Store Prices'!$I$5:$I$304*1,0)&gt;0))*IFERROR('Store Prices'!$I$5:$I$304*1,0)+(1-(('Store Prices'!$B$5:$B$304=B201)*(IFERROR('Store Prices'!$I$5:$I$304*1,0)&gt;0)))*999999))+0.0000001,"Yes","No"))</f>
        <v>0</v>
      </c>
      <c r="O201" s="18">
        <f>IF(N201="","",TODAY()-N201)</f>
        <v>0</v>
      </c>
      <c r="P201" s="31">
        <f>IF(B201="","",IF(G201="","Add - no price",IF(E201="","Add - no pack size",IF(AND(O201&lt;&gt;"",O201&gt;180),"Check - over six months old","OK"))))</f>
        <v>0</v>
      </c>
    </row>
    <row r="202" spans="1:16">
      <c r="A202" s="39">
        <f>IF(B202="","","SP-"&amp;TEXT(ROW()-4,"0000"))</f>
        <v>0</v>
      </c>
      <c r="F202" s="17">
        <f>IF(B202="","",IFERROR(INDEX(Ingredients!$G$5:$G$304,MATCH(B202,Ingredients!$B$5:$B$304,0)),"Add to Ingredients"))</f>
        <v>0</v>
      </c>
      <c r="I202" s="25">
        <f>IF(OR(G202="",E202="",E202=0),"",G202/E202)</f>
        <v>0</v>
      </c>
      <c r="J202" s="25">
        <f>IF(I202="","",I202*100)</f>
        <v>0</v>
      </c>
      <c r="K202" s="25">
        <f>IF(B202="","",IFERROR(INDEX(Ingredients!$J$5:$J$304,MATCH(B202,Ingredients!$B$5:$B$304,0)),"Add to Ingredients"))</f>
        <v>0</v>
      </c>
      <c r="L202" s="25">
        <f>IF(OR(I202="",K202="",NOT(ISNUMBER(K202))),"",(I202-K202)*100)</f>
        <v>0</v>
      </c>
      <c r="M202" s="46">
        <f>IF(OR(B202="",J202=""),"",IF(I202&lt;=SUMPRODUCT(MIN((('Store Prices'!$B$5:$B$304=B202)*(IFERROR('Store Prices'!$I$5:$I$304*1,0)&gt;0))*IFERROR('Store Prices'!$I$5:$I$304*1,0)+(1-(('Store Prices'!$B$5:$B$304=B202)*(IFERROR('Store Prices'!$I$5:$I$304*1,0)&gt;0)))*999999))+0.0000001,"Yes","No"))</f>
        <v>0</v>
      </c>
      <c r="O202" s="18">
        <f>IF(N202="","",TODAY()-N202)</f>
        <v>0</v>
      </c>
      <c r="P202" s="31">
        <f>IF(B202="","",IF(G202="","Add - no price",IF(E202="","Add - no pack size",IF(AND(O202&lt;&gt;"",O202&gt;180),"Check - over six months old","OK"))))</f>
        <v>0</v>
      </c>
    </row>
    <row r="203" spans="1:16">
      <c r="A203" s="39">
        <f>IF(B203="","","SP-"&amp;TEXT(ROW()-4,"0000"))</f>
        <v>0</v>
      </c>
      <c r="F203" s="17">
        <f>IF(B203="","",IFERROR(INDEX(Ingredients!$G$5:$G$304,MATCH(B203,Ingredients!$B$5:$B$304,0)),"Add to Ingredients"))</f>
        <v>0</v>
      </c>
      <c r="I203" s="25">
        <f>IF(OR(G203="",E203="",E203=0),"",G203/E203)</f>
        <v>0</v>
      </c>
      <c r="J203" s="25">
        <f>IF(I203="","",I203*100)</f>
        <v>0</v>
      </c>
      <c r="K203" s="25">
        <f>IF(B203="","",IFERROR(INDEX(Ingredients!$J$5:$J$304,MATCH(B203,Ingredients!$B$5:$B$304,0)),"Add to Ingredients"))</f>
        <v>0</v>
      </c>
      <c r="L203" s="25">
        <f>IF(OR(I203="",K203="",NOT(ISNUMBER(K203))),"",(I203-K203)*100)</f>
        <v>0</v>
      </c>
      <c r="M203" s="46">
        <f>IF(OR(B203="",J203=""),"",IF(I203&lt;=SUMPRODUCT(MIN((('Store Prices'!$B$5:$B$304=B203)*(IFERROR('Store Prices'!$I$5:$I$304*1,0)&gt;0))*IFERROR('Store Prices'!$I$5:$I$304*1,0)+(1-(('Store Prices'!$B$5:$B$304=B203)*(IFERROR('Store Prices'!$I$5:$I$304*1,0)&gt;0)))*999999))+0.0000001,"Yes","No"))</f>
        <v>0</v>
      </c>
      <c r="O203" s="18">
        <f>IF(N203="","",TODAY()-N203)</f>
        <v>0</v>
      </c>
      <c r="P203" s="31">
        <f>IF(B203="","",IF(G203="","Add - no price",IF(E203="","Add - no pack size",IF(AND(O203&lt;&gt;"",O203&gt;180),"Check - over six months old","OK"))))</f>
        <v>0</v>
      </c>
    </row>
    <row r="204" spans="1:16">
      <c r="A204" s="39">
        <f>IF(B204="","","SP-"&amp;TEXT(ROW()-4,"0000"))</f>
        <v>0</v>
      </c>
      <c r="F204" s="17">
        <f>IF(B204="","",IFERROR(INDEX(Ingredients!$G$5:$G$304,MATCH(B204,Ingredients!$B$5:$B$304,0)),"Add to Ingredients"))</f>
        <v>0</v>
      </c>
      <c r="I204" s="25">
        <f>IF(OR(G204="",E204="",E204=0),"",G204/E204)</f>
        <v>0</v>
      </c>
      <c r="J204" s="25">
        <f>IF(I204="","",I204*100)</f>
        <v>0</v>
      </c>
      <c r="K204" s="25">
        <f>IF(B204="","",IFERROR(INDEX(Ingredients!$J$5:$J$304,MATCH(B204,Ingredients!$B$5:$B$304,0)),"Add to Ingredients"))</f>
        <v>0</v>
      </c>
      <c r="L204" s="25">
        <f>IF(OR(I204="",K204="",NOT(ISNUMBER(K204))),"",(I204-K204)*100)</f>
        <v>0</v>
      </c>
      <c r="M204" s="46">
        <f>IF(OR(B204="",J204=""),"",IF(I204&lt;=SUMPRODUCT(MIN((('Store Prices'!$B$5:$B$304=B204)*(IFERROR('Store Prices'!$I$5:$I$304*1,0)&gt;0))*IFERROR('Store Prices'!$I$5:$I$304*1,0)+(1-(('Store Prices'!$B$5:$B$304=B204)*(IFERROR('Store Prices'!$I$5:$I$304*1,0)&gt;0)))*999999))+0.0000001,"Yes","No"))</f>
        <v>0</v>
      </c>
      <c r="O204" s="18">
        <f>IF(N204="","",TODAY()-N204)</f>
        <v>0</v>
      </c>
      <c r="P204" s="31">
        <f>IF(B204="","",IF(G204="","Add - no price",IF(E204="","Add - no pack size",IF(AND(O204&lt;&gt;"",O204&gt;180),"Check - over six months old","OK"))))</f>
        <v>0</v>
      </c>
    </row>
    <row r="205" spans="1:16">
      <c r="A205" s="39">
        <f>IF(B205="","","SP-"&amp;TEXT(ROW()-4,"0000"))</f>
        <v>0</v>
      </c>
      <c r="F205" s="17">
        <f>IF(B205="","",IFERROR(INDEX(Ingredients!$G$5:$G$304,MATCH(B205,Ingredients!$B$5:$B$304,0)),"Add to Ingredients"))</f>
        <v>0</v>
      </c>
      <c r="I205" s="25">
        <f>IF(OR(G205="",E205="",E205=0),"",G205/E205)</f>
        <v>0</v>
      </c>
      <c r="J205" s="25">
        <f>IF(I205="","",I205*100)</f>
        <v>0</v>
      </c>
      <c r="K205" s="25">
        <f>IF(B205="","",IFERROR(INDEX(Ingredients!$J$5:$J$304,MATCH(B205,Ingredients!$B$5:$B$304,0)),"Add to Ingredients"))</f>
        <v>0</v>
      </c>
      <c r="L205" s="25">
        <f>IF(OR(I205="",K205="",NOT(ISNUMBER(K205))),"",(I205-K205)*100)</f>
        <v>0</v>
      </c>
      <c r="M205" s="46">
        <f>IF(OR(B205="",J205=""),"",IF(I205&lt;=SUMPRODUCT(MIN((('Store Prices'!$B$5:$B$304=B205)*(IFERROR('Store Prices'!$I$5:$I$304*1,0)&gt;0))*IFERROR('Store Prices'!$I$5:$I$304*1,0)+(1-(('Store Prices'!$B$5:$B$304=B205)*(IFERROR('Store Prices'!$I$5:$I$304*1,0)&gt;0)))*999999))+0.0000001,"Yes","No"))</f>
        <v>0</v>
      </c>
      <c r="O205" s="18">
        <f>IF(N205="","",TODAY()-N205)</f>
        <v>0</v>
      </c>
      <c r="P205" s="31">
        <f>IF(B205="","",IF(G205="","Add - no price",IF(E205="","Add - no pack size",IF(AND(O205&lt;&gt;"",O205&gt;180),"Check - over six months old","OK"))))</f>
        <v>0</v>
      </c>
    </row>
    <row r="206" spans="1:16">
      <c r="A206" s="39">
        <f>IF(B206="","","SP-"&amp;TEXT(ROW()-4,"0000"))</f>
        <v>0</v>
      </c>
      <c r="F206" s="17">
        <f>IF(B206="","",IFERROR(INDEX(Ingredients!$G$5:$G$304,MATCH(B206,Ingredients!$B$5:$B$304,0)),"Add to Ingredients"))</f>
        <v>0</v>
      </c>
      <c r="I206" s="25">
        <f>IF(OR(G206="",E206="",E206=0),"",G206/E206)</f>
        <v>0</v>
      </c>
      <c r="J206" s="25">
        <f>IF(I206="","",I206*100)</f>
        <v>0</v>
      </c>
      <c r="K206" s="25">
        <f>IF(B206="","",IFERROR(INDEX(Ingredients!$J$5:$J$304,MATCH(B206,Ingredients!$B$5:$B$304,0)),"Add to Ingredients"))</f>
        <v>0</v>
      </c>
      <c r="L206" s="25">
        <f>IF(OR(I206="",K206="",NOT(ISNUMBER(K206))),"",(I206-K206)*100)</f>
        <v>0</v>
      </c>
      <c r="M206" s="46">
        <f>IF(OR(B206="",J206=""),"",IF(I206&lt;=SUMPRODUCT(MIN((('Store Prices'!$B$5:$B$304=B206)*(IFERROR('Store Prices'!$I$5:$I$304*1,0)&gt;0))*IFERROR('Store Prices'!$I$5:$I$304*1,0)+(1-(('Store Prices'!$B$5:$B$304=B206)*(IFERROR('Store Prices'!$I$5:$I$304*1,0)&gt;0)))*999999))+0.0000001,"Yes","No"))</f>
        <v>0</v>
      </c>
      <c r="O206" s="18">
        <f>IF(N206="","",TODAY()-N206)</f>
        <v>0</v>
      </c>
      <c r="P206" s="31">
        <f>IF(B206="","",IF(G206="","Add - no price",IF(E206="","Add - no pack size",IF(AND(O206&lt;&gt;"",O206&gt;180),"Check - over six months old","OK"))))</f>
        <v>0</v>
      </c>
    </row>
    <row r="207" spans="1:16">
      <c r="A207" s="39">
        <f>IF(B207="","","SP-"&amp;TEXT(ROW()-4,"0000"))</f>
        <v>0</v>
      </c>
      <c r="F207" s="17">
        <f>IF(B207="","",IFERROR(INDEX(Ingredients!$G$5:$G$304,MATCH(B207,Ingredients!$B$5:$B$304,0)),"Add to Ingredients"))</f>
        <v>0</v>
      </c>
      <c r="I207" s="25">
        <f>IF(OR(G207="",E207="",E207=0),"",G207/E207)</f>
        <v>0</v>
      </c>
      <c r="J207" s="25">
        <f>IF(I207="","",I207*100)</f>
        <v>0</v>
      </c>
      <c r="K207" s="25">
        <f>IF(B207="","",IFERROR(INDEX(Ingredients!$J$5:$J$304,MATCH(B207,Ingredients!$B$5:$B$304,0)),"Add to Ingredients"))</f>
        <v>0</v>
      </c>
      <c r="L207" s="25">
        <f>IF(OR(I207="",K207="",NOT(ISNUMBER(K207))),"",(I207-K207)*100)</f>
        <v>0</v>
      </c>
      <c r="M207" s="46">
        <f>IF(OR(B207="",J207=""),"",IF(I207&lt;=SUMPRODUCT(MIN((('Store Prices'!$B$5:$B$304=B207)*(IFERROR('Store Prices'!$I$5:$I$304*1,0)&gt;0))*IFERROR('Store Prices'!$I$5:$I$304*1,0)+(1-(('Store Prices'!$B$5:$B$304=B207)*(IFERROR('Store Prices'!$I$5:$I$304*1,0)&gt;0)))*999999))+0.0000001,"Yes","No"))</f>
        <v>0</v>
      </c>
      <c r="O207" s="18">
        <f>IF(N207="","",TODAY()-N207)</f>
        <v>0</v>
      </c>
      <c r="P207" s="31">
        <f>IF(B207="","",IF(G207="","Add - no price",IF(E207="","Add - no pack size",IF(AND(O207&lt;&gt;"",O207&gt;180),"Check - over six months old","OK"))))</f>
        <v>0</v>
      </c>
    </row>
    <row r="208" spans="1:16">
      <c r="A208" s="39">
        <f>IF(B208="","","SP-"&amp;TEXT(ROW()-4,"0000"))</f>
        <v>0</v>
      </c>
      <c r="F208" s="17">
        <f>IF(B208="","",IFERROR(INDEX(Ingredients!$G$5:$G$304,MATCH(B208,Ingredients!$B$5:$B$304,0)),"Add to Ingredients"))</f>
        <v>0</v>
      </c>
      <c r="I208" s="25">
        <f>IF(OR(G208="",E208="",E208=0),"",G208/E208)</f>
        <v>0</v>
      </c>
      <c r="J208" s="25">
        <f>IF(I208="","",I208*100)</f>
        <v>0</v>
      </c>
      <c r="K208" s="25">
        <f>IF(B208="","",IFERROR(INDEX(Ingredients!$J$5:$J$304,MATCH(B208,Ingredients!$B$5:$B$304,0)),"Add to Ingredients"))</f>
        <v>0</v>
      </c>
      <c r="L208" s="25">
        <f>IF(OR(I208="",K208="",NOT(ISNUMBER(K208))),"",(I208-K208)*100)</f>
        <v>0</v>
      </c>
      <c r="M208" s="46">
        <f>IF(OR(B208="",J208=""),"",IF(I208&lt;=SUMPRODUCT(MIN((('Store Prices'!$B$5:$B$304=B208)*(IFERROR('Store Prices'!$I$5:$I$304*1,0)&gt;0))*IFERROR('Store Prices'!$I$5:$I$304*1,0)+(1-(('Store Prices'!$B$5:$B$304=B208)*(IFERROR('Store Prices'!$I$5:$I$304*1,0)&gt;0)))*999999))+0.0000001,"Yes","No"))</f>
        <v>0</v>
      </c>
      <c r="O208" s="18">
        <f>IF(N208="","",TODAY()-N208)</f>
        <v>0</v>
      </c>
      <c r="P208" s="31">
        <f>IF(B208="","",IF(G208="","Add - no price",IF(E208="","Add - no pack size",IF(AND(O208&lt;&gt;"",O208&gt;180),"Check - over six months old","OK"))))</f>
        <v>0</v>
      </c>
    </row>
    <row r="209" spans="1:16">
      <c r="A209" s="39">
        <f>IF(B209="","","SP-"&amp;TEXT(ROW()-4,"0000"))</f>
        <v>0</v>
      </c>
      <c r="F209" s="17">
        <f>IF(B209="","",IFERROR(INDEX(Ingredients!$G$5:$G$304,MATCH(B209,Ingredients!$B$5:$B$304,0)),"Add to Ingredients"))</f>
        <v>0</v>
      </c>
      <c r="I209" s="25">
        <f>IF(OR(G209="",E209="",E209=0),"",G209/E209)</f>
        <v>0</v>
      </c>
      <c r="J209" s="25">
        <f>IF(I209="","",I209*100)</f>
        <v>0</v>
      </c>
      <c r="K209" s="25">
        <f>IF(B209="","",IFERROR(INDEX(Ingredients!$J$5:$J$304,MATCH(B209,Ingredients!$B$5:$B$304,0)),"Add to Ingredients"))</f>
        <v>0</v>
      </c>
      <c r="L209" s="25">
        <f>IF(OR(I209="",K209="",NOT(ISNUMBER(K209))),"",(I209-K209)*100)</f>
        <v>0</v>
      </c>
      <c r="M209" s="46">
        <f>IF(OR(B209="",J209=""),"",IF(I209&lt;=SUMPRODUCT(MIN((('Store Prices'!$B$5:$B$304=B209)*(IFERROR('Store Prices'!$I$5:$I$304*1,0)&gt;0))*IFERROR('Store Prices'!$I$5:$I$304*1,0)+(1-(('Store Prices'!$B$5:$B$304=B209)*(IFERROR('Store Prices'!$I$5:$I$304*1,0)&gt;0)))*999999))+0.0000001,"Yes","No"))</f>
        <v>0</v>
      </c>
      <c r="O209" s="18">
        <f>IF(N209="","",TODAY()-N209)</f>
        <v>0</v>
      </c>
      <c r="P209" s="31">
        <f>IF(B209="","",IF(G209="","Add - no price",IF(E209="","Add - no pack size",IF(AND(O209&lt;&gt;"",O209&gt;180),"Check - over six months old","OK"))))</f>
        <v>0</v>
      </c>
    </row>
    <row r="210" spans="1:16">
      <c r="A210" s="39">
        <f>IF(B210="","","SP-"&amp;TEXT(ROW()-4,"0000"))</f>
        <v>0</v>
      </c>
      <c r="F210" s="17">
        <f>IF(B210="","",IFERROR(INDEX(Ingredients!$G$5:$G$304,MATCH(B210,Ingredients!$B$5:$B$304,0)),"Add to Ingredients"))</f>
        <v>0</v>
      </c>
      <c r="I210" s="25">
        <f>IF(OR(G210="",E210="",E210=0),"",G210/E210)</f>
        <v>0</v>
      </c>
      <c r="J210" s="25">
        <f>IF(I210="","",I210*100)</f>
        <v>0</v>
      </c>
      <c r="K210" s="25">
        <f>IF(B210="","",IFERROR(INDEX(Ingredients!$J$5:$J$304,MATCH(B210,Ingredients!$B$5:$B$304,0)),"Add to Ingredients"))</f>
        <v>0</v>
      </c>
      <c r="L210" s="25">
        <f>IF(OR(I210="",K210="",NOT(ISNUMBER(K210))),"",(I210-K210)*100)</f>
        <v>0</v>
      </c>
      <c r="M210" s="46">
        <f>IF(OR(B210="",J210=""),"",IF(I210&lt;=SUMPRODUCT(MIN((('Store Prices'!$B$5:$B$304=B210)*(IFERROR('Store Prices'!$I$5:$I$304*1,0)&gt;0))*IFERROR('Store Prices'!$I$5:$I$304*1,0)+(1-(('Store Prices'!$B$5:$B$304=B210)*(IFERROR('Store Prices'!$I$5:$I$304*1,0)&gt;0)))*999999))+0.0000001,"Yes","No"))</f>
        <v>0</v>
      </c>
      <c r="O210" s="18">
        <f>IF(N210="","",TODAY()-N210)</f>
        <v>0</v>
      </c>
      <c r="P210" s="31">
        <f>IF(B210="","",IF(G210="","Add - no price",IF(E210="","Add - no pack size",IF(AND(O210&lt;&gt;"",O210&gt;180),"Check - over six months old","OK"))))</f>
        <v>0</v>
      </c>
    </row>
    <row r="211" spans="1:16">
      <c r="A211" s="39">
        <f>IF(B211="","","SP-"&amp;TEXT(ROW()-4,"0000"))</f>
        <v>0</v>
      </c>
      <c r="F211" s="17">
        <f>IF(B211="","",IFERROR(INDEX(Ingredients!$G$5:$G$304,MATCH(B211,Ingredients!$B$5:$B$304,0)),"Add to Ingredients"))</f>
        <v>0</v>
      </c>
      <c r="I211" s="25">
        <f>IF(OR(G211="",E211="",E211=0),"",G211/E211)</f>
        <v>0</v>
      </c>
      <c r="J211" s="25">
        <f>IF(I211="","",I211*100)</f>
        <v>0</v>
      </c>
      <c r="K211" s="25">
        <f>IF(B211="","",IFERROR(INDEX(Ingredients!$J$5:$J$304,MATCH(B211,Ingredients!$B$5:$B$304,0)),"Add to Ingredients"))</f>
        <v>0</v>
      </c>
      <c r="L211" s="25">
        <f>IF(OR(I211="",K211="",NOT(ISNUMBER(K211))),"",(I211-K211)*100)</f>
        <v>0</v>
      </c>
      <c r="M211" s="46">
        <f>IF(OR(B211="",J211=""),"",IF(I211&lt;=SUMPRODUCT(MIN((('Store Prices'!$B$5:$B$304=B211)*(IFERROR('Store Prices'!$I$5:$I$304*1,0)&gt;0))*IFERROR('Store Prices'!$I$5:$I$304*1,0)+(1-(('Store Prices'!$B$5:$B$304=B211)*(IFERROR('Store Prices'!$I$5:$I$304*1,0)&gt;0)))*999999))+0.0000001,"Yes","No"))</f>
        <v>0</v>
      </c>
      <c r="O211" s="18">
        <f>IF(N211="","",TODAY()-N211)</f>
        <v>0</v>
      </c>
      <c r="P211" s="31">
        <f>IF(B211="","",IF(G211="","Add - no price",IF(E211="","Add - no pack size",IF(AND(O211&lt;&gt;"",O211&gt;180),"Check - over six months old","OK"))))</f>
        <v>0</v>
      </c>
    </row>
    <row r="212" spans="1:16">
      <c r="A212" s="39">
        <f>IF(B212="","","SP-"&amp;TEXT(ROW()-4,"0000"))</f>
        <v>0</v>
      </c>
      <c r="F212" s="17">
        <f>IF(B212="","",IFERROR(INDEX(Ingredients!$G$5:$G$304,MATCH(B212,Ingredients!$B$5:$B$304,0)),"Add to Ingredients"))</f>
        <v>0</v>
      </c>
      <c r="I212" s="25">
        <f>IF(OR(G212="",E212="",E212=0),"",G212/E212)</f>
        <v>0</v>
      </c>
      <c r="J212" s="25">
        <f>IF(I212="","",I212*100)</f>
        <v>0</v>
      </c>
      <c r="K212" s="25">
        <f>IF(B212="","",IFERROR(INDEX(Ingredients!$J$5:$J$304,MATCH(B212,Ingredients!$B$5:$B$304,0)),"Add to Ingredients"))</f>
        <v>0</v>
      </c>
      <c r="L212" s="25">
        <f>IF(OR(I212="",K212="",NOT(ISNUMBER(K212))),"",(I212-K212)*100)</f>
        <v>0</v>
      </c>
      <c r="M212" s="46">
        <f>IF(OR(B212="",J212=""),"",IF(I212&lt;=SUMPRODUCT(MIN((('Store Prices'!$B$5:$B$304=B212)*(IFERROR('Store Prices'!$I$5:$I$304*1,0)&gt;0))*IFERROR('Store Prices'!$I$5:$I$304*1,0)+(1-(('Store Prices'!$B$5:$B$304=B212)*(IFERROR('Store Prices'!$I$5:$I$304*1,0)&gt;0)))*999999))+0.0000001,"Yes","No"))</f>
        <v>0</v>
      </c>
      <c r="O212" s="18">
        <f>IF(N212="","",TODAY()-N212)</f>
        <v>0</v>
      </c>
      <c r="P212" s="31">
        <f>IF(B212="","",IF(G212="","Add - no price",IF(E212="","Add - no pack size",IF(AND(O212&lt;&gt;"",O212&gt;180),"Check - over six months old","OK"))))</f>
        <v>0</v>
      </c>
    </row>
    <row r="213" spans="1:16">
      <c r="A213" s="39">
        <f>IF(B213="","","SP-"&amp;TEXT(ROW()-4,"0000"))</f>
        <v>0</v>
      </c>
      <c r="F213" s="17">
        <f>IF(B213="","",IFERROR(INDEX(Ingredients!$G$5:$G$304,MATCH(B213,Ingredients!$B$5:$B$304,0)),"Add to Ingredients"))</f>
        <v>0</v>
      </c>
      <c r="I213" s="25">
        <f>IF(OR(G213="",E213="",E213=0),"",G213/E213)</f>
        <v>0</v>
      </c>
      <c r="J213" s="25">
        <f>IF(I213="","",I213*100)</f>
        <v>0</v>
      </c>
      <c r="K213" s="25">
        <f>IF(B213="","",IFERROR(INDEX(Ingredients!$J$5:$J$304,MATCH(B213,Ingredients!$B$5:$B$304,0)),"Add to Ingredients"))</f>
        <v>0</v>
      </c>
      <c r="L213" s="25">
        <f>IF(OR(I213="",K213="",NOT(ISNUMBER(K213))),"",(I213-K213)*100)</f>
        <v>0</v>
      </c>
      <c r="M213" s="46">
        <f>IF(OR(B213="",J213=""),"",IF(I213&lt;=SUMPRODUCT(MIN((('Store Prices'!$B$5:$B$304=B213)*(IFERROR('Store Prices'!$I$5:$I$304*1,0)&gt;0))*IFERROR('Store Prices'!$I$5:$I$304*1,0)+(1-(('Store Prices'!$B$5:$B$304=B213)*(IFERROR('Store Prices'!$I$5:$I$304*1,0)&gt;0)))*999999))+0.0000001,"Yes","No"))</f>
        <v>0</v>
      </c>
      <c r="O213" s="18">
        <f>IF(N213="","",TODAY()-N213)</f>
        <v>0</v>
      </c>
      <c r="P213" s="31">
        <f>IF(B213="","",IF(G213="","Add - no price",IF(E213="","Add - no pack size",IF(AND(O213&lt;&gt;"",O213&gt;180),"Check - over six months old","OK"))))</f>
        <v>0</v>
      </c>
    </row>
    <row r="214" spans="1:16">
      <c r="A214" s="39">
        <f>IF(B214="","","SP-"&amp;TEXT(ROW()-4,"0000"))</f>
        <v>0</v>
      </c>
      <c r="F214" s="17">
        <f>IF(B214="","",IFERROR(INDEX(Ingredients!$G$5:$G$304,MATCH(B214,Ingredients!$B$5:$B$304,0)),"Add to Ingredients"))</f>
        <v>0</v>
      </c>
      <c r="I214" s="25">
        <f>IF(OR(G214="",E214="",E214=0),"",G214/E214)</f>
        <v>0</v>
      </c>
      <c r="J214" s="25">
        <f>IF(I214="","",I214*100)</f>
        <v>0</v>
      </c>
      <c r="K214" s="25">
        <f>IF(B214="","",IFERROR(INDEX(Ingredients!$J$5:$J$304,MATCH(B214,Ingredients!$B$5:$B$304,0)),"Add to Ingredients"))</f>
        <v>0</v>
      </c>
      <c r="L214" s="25">
        <f>IF(OR(I214="",K214="",NOT(ISNUMBER(K214))),"",(I214-K214)*100)</f>
        <v>0</v>
      </c>
      <c r="M214" s="46">
        <f>IF(OR(B214="",J214=""),"",IF(I214&lt;=SUMPRODUCT(MIN((('Store Prices'!$B$5:$B$304=B214)*(IFERROR('Store Prices'!$I$5:$I$304*1,0)&gt;0))*IFERROR('Store Prices'!$I$5:$I$304*1,0)+(1-(('Store Prices'!$B$5:$B$304=B214)*(IFERROR('Store Prices'!$I$5:$I$304*1,0)&gt;0)))*999999))+0.0000001,"Yes","No"))</f>
        <v>0</v>
      </c>
      <c r="O214" s="18">
        <f>IF(N214="","",TODAY()-N214)</f>
        <v>0</v>
      </c>
      <c r="P214" s="31">
        <f>IF(B214="","",IF(G214="","Add - no price",IF(E214="","Add - no pack size",IF(AND(O214&lt;&gt;"",O214&gt;180),"Check - over six months old","OK"))))</f>
        <v>0</v>
      </c>
    </row>
    <row r="215" spans="1:16">
      <c r="A215" s="39">
        <f>IF(B215="","","SP-"&amp;TEXT(ROW()-4,"0000"))</f>
        <v>0</v>
      </c>
      <c r="F215" s="17">
        <f>IF(B215="","",IFERROR(INDEX(Ingredients!$G$5:$G$304,MATCH(B215,Ingredients!$B$5:$B$304,0)),"Add to Ingredients"))</f>
        <v>0</v>
      </c>
      <c r="I215" s="25">
        <f>IF(OR(G215="",E215="",E215=0),"",G215/E215)</f>
        <v>0</v>
      </c>
      <c r="J215" s="25">
        <f>IF(I215="","",I215*100)</f>
        <v>0</v>
      </c>
      <c r="K215" s="25">
        <f>IF(B215="","",IFERROR(INDEX(Ingredients!$J$5:$J$304,MATCH(B215,Ingredients!$B$5:$B$304,0)),"Add to Ingredients"))</f>
        <v>0</v>
      </c>
      <c r="L215" s="25">
        <f>IF(OR(I215="",K215="",NOT(ISNUMBER(K215))),"",(I215-K215)*100)</f>
        <v>0</v>
      </c>
      <c r="M215" s="46">
        <f>IF(OR(B215="",J215=""),"",IF(I215&lt;=SUMPRODUCT(MIN((('Store Prices'!$B$5:$B$304=B215)*(IFERROR('Store Prices'!$I$5:$I$304*1,0)&gt;0))*IFERROR('Store Prices'!$I$5:$I$304*1,0)+(1-(('Store Prices'!$B$5:$B$304=B215)*(IFERROR('Store Prices'!$I$5:$I$304*1,0)&gt;0)))*999999))+0.0000001,"Yes","No"))</f>
        <v>0</v>
      </c>
      <c r="O215" s="18">
        <f>IF(N215="","",TODAY()-N215)</f>
        <v>0</v>
      </c>
      <c r="P215" s="31">
        <f>IF(B215="","",IF(G215="","Add - no price",IF(E215="","Add - no pack size",IF(AND(O215&lt;&gt;"",O215&gt;180),"Check - over six months old","OK"))))</f>
        <v>0</v>
      </c>
    </row>
    <row r="216" spans="1:16">
      <c r="A216" s="39">
        <f>IF(B216="","","SP-"&amp;TEXT(ROW()-4,"0000"))</f>
        <v>0</v>
      </c>
      <c r="F216" s="17">
        <f>IF(B216="","",IFERROR(INDEX(Ingredients!$G$5:$G$304,MATCH(B216,Ingredients!$B$5:$B$304,0)),"Add to Ingredients"))</f>
        <v>0</v>
      </c>
      <c r="I216" s="25">
        <f>IF(OR(G216="",E216="",E216=0),"",G216/E216)</f>
        <v>0</v>
      </c>
      <c r="J216" s="25">
        <f>IF(I216="","",I216*100)</f>
        <v>0</v>
      </c>
      <c r="K216" s="25">
        <f>IF(B216="","",IFERROR(INDEX(Ingredients!$J$5:$J$304,MATCH(B216,Ingredients!$B$5:$B$304,0)),"Add to Ingredients"))</f>
        <v>0</v>
      </c>
      <c r="L216" s="25">
        <f>IF(OR(I216="",K216="",NOT(ISNUMBER(K216))),"",(I216-K216)*100)</f>
        <v>0</v>
      </c>
      <c r="M216" s="46">
        <f>IF(OR(B216="",J216=""),"",IF(I216&lt;=SUMPRODUCT(MIN((('Store Prices'!$B$5:$B$304=B216)*(IFERROR('Store Prices'!$I$5:$I$304*1,0)&gt;0))*IFERROR('Store Prices'!$I$5:$I$304*1,0)+(1-(('Store Prices'!$B$5:$B$304=B216)*(IFERROR('Store Prices'!$I$5:$I$304*1,0)&gt;0)))*999999))+0.0000001,"Yes","No"))</f>
        <v>0</v>
      </c>
      <c r="O216" s="18">
        <f>IF(N216="","",TODAY()-N216)</f>
        <v>0</v>
      </c>
      <c r="P216" s="31">
        <f>IF(B216="","",IF(G216="","Add - no price",IF(E216="","Add - no pack size",IF(AND(O216&lt;&gt;"",O216&gt;180),"Check - over six months old","OK"))))</f>
        <v>0</v>
      </c>
    </row>
    <row r="217" spans="1:16">
      <c r="A217" s="39">
        <f>IF(B217="","","SP-"&amp;TEXT(ROW()-4,"0000"))</f>
        <v>0</v>
      </c>
      <c r="F217" s="17">
        <f>IF(B217="","",IFERROR(INDEX(Ingredients!$G$5:$G$304,MATCH(B217,Ingredients!$B$5:$B$304,0)),"Add to Ingredients"))</f>
        <v>0</v>
      </c>
      <c r="I217" s="25">
        <f>IF(OR(G217="",E217="",E217=0),"",G217/E217)</f>
        <v>0</v>
      </c>
      <c r="J217" s="25">
        <f>IF(I217="","",I217*100)</f>
        <v>0</v>
      </c>
      <c r="K217" s="25">
        <f>IF(B217="","",IFERROR(INDEX(Ingredients!$J$5:$J$304,MATCH(B217,Ingredients!$B$5:$B$304,0)),"Add to Ingredients"))</f>
        <v>0</v>
      </c>
      <c r="L217" s="25">
        <f>IF(OR(I217="",K217="",NOT(ISNUMBER(K217))),"",(I217-K217)*100)</f>
        <v>0</v>
      </c>
      <c r="M217" s="46">
        <f>IF(OR(B217="",J217=""),"",IF(I217&lt;=SUMPRODUCT(MIN((('Store Prices'!$B$5:$B$304=B217)*(IFERROR('Store Prices'!$I$5:$I$304*1,0)&gt;0))*IFERROR('Store Prices'!$I$5:$I$304*1,0)+(1-(('Store Prices'!$B$5:$B$304=B217)*(IFERROR('Store Prices'!$I$5:$I$304*1,0)&gt;0)))*999999))+0.0000001,"Yes","No"))</f>
        <v>0</v>
      </c>
      <c r="O217" s="18">
        <f>IF(N217="","",TODAY()-N217)</f>
        <v>0</v>
      </c>
      <c r="P217" s="31">
        <f>IF(B217="","",IF(G217="","Add - no price",IF(E217="","Add - no pack size",IF(AND(O217&lt;&gt;"",O217&gt;180),"Check - over six months old","OK"))))</f>
        <v>0</v>
      </c>
    </row>
    <row r="218" spans="1:16">
      <c r="A218" s="39">
        <f>IF(B218="","","SP-"&amp;TEXT(ROW()-4,"0000"))</f>
        <v>0</v>
      </c>
      <c r="F218" s="17">
        <f>IF(B218="","",IFERROR(INDEX(Ingredients!$G$5:$G$304,MATCH(B218,Ingredients!$B$5:$B$304,0)),"Add to Ingredients"))</f>
        <v>0</v>
      </c>
      <c r="I218" s="25">
        <f>IF(OR(G218="",E218="",E218=0),"",G218/E218)</f>
        <v>0</v>
      </c>
      <c r="J218" s="25">
        <f>IF(I218="","",I218*100)</f>
        <v>0</v>
      </c>
      <c r="K218" s="25">
        <f>IF(B218="","",IFERROR(INDEX(Ingredients!$J$5:$J$304,MATCH(B218,Ingredients!$B$5:$B$304,0)),"Add to Ingredients"))</f>
        <v>0</v>
      </c>
      <c r="L218" s="25">
        <f>IF(OR(I218="",K218="",NOT(ISNUMBER(K218))),"",(I218-K218)*100)</f>
        <v>0</v>
      </c>
      <c r="M218" s="46">
        <f>IF(OR(B218="",J218=""),"",IF(I218&lt;=SUMPRODUCT(MIN((('Store Prices'!$B$5:$B$304=B218)*(IFERROR('Store Prices'!$I$5:$I$304*1,0)&gt;0))*IFERROR('Store Prices'!$I$5:$I$304*1,0)+(1-(('Store Prices'!$B$5:$B$304=B218)*(IFERROR('Store Prices'!$I$5:$I$304*1,0)&gt;0)))*999999))+0.0000001,"Yes","No"))</f>
        <v>0</v>
      </c>
      <c r="O218" s="18">
        <f>IF(N218="","",TODAY()-N218)</f>
        <v>0</v>
      </c>
      <c r="P218" s="31">
        <f>IF(B218="","",IF(G218="","Add - no price",IF(E218="","Add - no pack size",IF(AND(O218&lt;&gt;"",O218&gt;180),"Check - over six months old","OK"))))</f>
        <v>0</v>
      </c>
    </row>
    <row r="219" spans="1:16">
      <c r="A219" s="39">
        <f>IF(B219="","","SP-"&amp;TEXT(ROW()-4,"0000"))</f>
        <v>0</v>
      </c>
      <c r="F219" s="17">
        <f>IF(B219="","",IFERROR(INDEX(Ingredients!$G$5:$G$304,MATCH(B219,Ingredients!$B$5:$B$304,0)),"Add to Ingredients"))</f>
        <v>0</v>
      </c>
      <c r="I219" s="25">
        <f>IF(OR(G219="",E219="",E219=0),"",G219/E219)</f>
        <v>0</v>
      </c>
      <c r="J219" s="25">
        <f>IF(I219="","",I219*100)</f>
        <v>0</v>
      </c>
      <c r="K219" s="25">
        <f>IF(B219="","",IFERROR(INDEX(Ingredients!$J$5:$J$304,MATCH(B219,Ingredients!$B$5:$B$304,0)),"Add to Ingredients"))</f>
        <v>0</v>
      </c>
      <c r="L219" s="25">
        <f>IF(OR(I219="",K219="",NOT(ISNUMBER(K219))),"",(I219-K219)*100)</f>
        <v>0</v>
      </c>
      <c r="M219" s="46">
        <f>IF(OR(B219="",J219=""),"",IF(I219&lt;=SUMPRODUCT(MIN((('Store Prices'!$B$5:$B$304=B219)*(IFERROR('Store Prices'!$I$5:$I$304*1,0)&gt;0))*IFERROR('Store Prices'!$I$5:$I$304*1,0)+(1-(('Store Prices'!$B$5:$B$304=B219)*(IFERROR('Store Prices'!$I$5:$I$304*1,0)&gt;0)))*999999))+0.0000001,"Yes","No"))</f>
        <v>0</v>
      </c>
      <c r="O219" s="18">
        <f>IF(N219="","",TODAY()-N219)</f>
        <v>0</v>
      </c>
      <c r="P219" s="31">
        <f>IF(B219="","",IF(G219="","Add - no price",IF(E219="","Add - no pack size",IF(AND(O219&lt;&gt;"",O219&gt;180),"Check - over six months old","OK"))))</f>
        <v>0</v>
      </c>
    </row>
    <row r="220" spans="1:16">
      <c r="A220" s="39">
        <f>IF(B220="","","SP-"&amp;TEXT(ROW()-4,"0000"))</f>
        <v>0</v>
      </c>
      <c r="F220" s="17">
        <f>IF(B220="","",IFERROR(INDEX(Ingredients!$G$5:$G$304,MATCH(B220,Ingredients!$B$5:$B$304,0)),"Add to Ingredients"))</f>
        <v>0</v>
      </c>
      <c r="I220" s="25">
        <f>IF(OR(G220="",E220="",E220=0),"",G220/E220)</f>
        <v>0</v>
      </c>
      <c r="J220" s="25">
        <f>IF(I220="","",I220*100)</f>
        <v>0</v>
      </c>
      <c r="K220" s="25">
        <f>IF(B220="","",IFERROR(INDEX(Ingredients!$J$5:$J$304,MATCH(B220,Ingredients!$B$5:$B$304,0)),"Add to Ingredients"))</f>
        <v>0</v>
      </c>
      <c r="L220" s="25">
        <f>IF(OR(I220="",K220="",NOT(ISNUMBER(K220))),"",(I220-K220)*100)</f>
        <v>0</v>
      </c>
      <c r="M220" s="46">
        <f>IF(OR(B220="",J220=""),"",IF(I220&lt;=SUMPRODUCT(MIN((('Store Prices'!$B$5:$B$304=B220)*(IFERROR('Store Prices'!$I$5:$I$304*1,0)&gt;0))*IFERROR('Store Prices'!$I$5:$I$304*1,0)+(1-(('Store Prices'!$B$5:$B$304=B220)*(IFERROR('Store Prices'!$I$5:$I$304*1,0)&gt;0)))*999999))+0.0000001,"Yes","No"))</f>
        <v>0</v>
      </c>
      <c r="O220" s="18">
        <f>IF(N220="","",TODAY()-N220)</f>
        <v>0</v>
      </c>
      <c r="P220" s="31">
        <f>IF(B220="","",IF(G220="","Add - no price",IF(E220="","Add - no pack size",IF(AND(O220&lt;&gt;"",O220&gt;180),"Check - over six months old","OK"))))</f>
        <v>0</v>
      </c>
    </row>
    <row r="221" spans="1:16">
      <c r="A221" s="39">
        <f>IF(B221="","","SP-"&amp;TEXT(ROW()-4,"0000"))</f>
        <v>0</v>
      </c>
      <c r="F221" s="17">
        <f>IF(B221="","",IFERROR(INDEX(Ingredients!$G$5:$G$304,MATCH(B221,Ingredients!$B$5:$B$304,0)),"Add to Ingredients"))</f>
        <v>0</v>
      </c>
      <c r="I221" s="25">
        <f>IF(OR(G221="",E221="",E221=0),"",G221/E221)</f>
        <v>0</v>
      </c>
      <c r="J221" s="25">
        <f>IF(I221="","",I221*100)</f>
        <v>0</v>
      </c>
      <c r="K221" s="25">
        <f>IF(B221="","",IFERROR(INDEX(Ingredients!$J$5:$J$304,MATCH(B221,Ingredients!$B$5:$B$304,0)),"Add to Ingredients"))</f>
        <v>0</v>
      </c>
      <c r="L221" s="25">
        <f>IF(OR(I221="",K221="",NOT(ISNUMBER(K221))),"",(I221-K221)*100)</f>
        <v>0</v>
      </c>
      <c r="M221" s="46">
        <f>IF(OR(B221="",J221=""),"",IF(I221&lt;=SUMPRODUCT(MIN((('Store Prices'!$B$5:$B$304=B221)*(IFERROR('Store Prices'!$I$5:$I$304*1,0)&gt;0))*IFERROR('Store Prices'!$I$5:$I$304*1,0)+(1-(('Store Prices'!$B$5:$B$304=B221)*(IFERROR('Store Prices'!$I$5:$I$304*1,0)&gt;0)))*999999))+0.0000001,"Yes","No"))</f>
        <v>0</v>
      </c>
      <c r="O221" s="18">
        <f>IF(N221="","",TODAY()-N221)</f>
        <v>0</v>
      </c>
      <c r="P221" s="31">
        <f>IF(B221="","",IF(G221="","Add - no price",IF(E221="","Add - no pack size",IF(AND(O221&lt;&gt;"",O221&gt;180),"Check - over six months old","OK"))))</f>
        <v>0</v>
      </c>
    </row>
    <row r="222" spans="1:16">
      <c r="A222" s="39">
        <f>IF(B222="","","SP-"&amp;TEXT(ROW()-4,"0000"))</f>
        <v>0</v>
      </c>
      <c r="F222" s="17">
        <f>IF(B222="","",IFERROR(INDEX(Ingredients!$G$5:$G$304,MATCH(B222,Ingredients!$B$5:$B$304,0)),"Add to Ingredients"))</f>
        <v>0</v>
      </c>
      <c r="I222" s="25">
        <f>IF(OR(G222="",E222="",E222=0),"",G222/E222)</f>
        <v>0</v>
      </c>
      <c r="J222" s="25">
        <f>IF(I222="","",I222*100)</f>
        <v>0</v>
      </c>
      <c r="K222" s="25">
        <f>IF(B222="","",IFERROR(INDEX(Ingredients!$J$5:$J$304,MATCH(B222,Ingredients!$B$5:$B$304,0)),"Add to Ingredients"))</f>
        <v>0</v>
      </c>
      <c r="L222" s="25">
        <f>IF(OR(I222="",K222="",NOT(ISNUMBER(K222))),"",(I222-K222)*100)</f>
        <v>0</v>
      </c>
      <c r="M222" s="46">
        <f>IF(OR(B222="",J222=""),"",IF(I222&lt;=SUMPRODUCT(MIN((('Store Prices'!$B$5:$B$304=B222)*(IFERROR('Store Prices'!$I$5:$I$304*1,0)&gt;0))*IFERROR('Store Prices'!$I$5:$I$304*1,0)+(1-(('Store Prices'!$B$5:$B$304=B222)*(IFERROR('Store Prices'!$I$5:$I$304*1,0)&gt;0)))*999999))+0.0000001,"Yes","No"))</f>
        <v>0</v>
      </c>
      <c r="O222" s="18">
        <f>IF(N222="","",TODAY()-N222)</f>
        <v>0</v>
      </c>
      <c r="P222" s="31">
        <f>IF(B222="","",IF(G222="","Add - no price",IF(E222="","Add - no pack size",IF(AND(O222&lt;&gt;"",O222&gt;180),"Check - over six months old","OK"))))</f>
        <v>0</v>
      </c>
    </row>
    <row r="223" spans="1:16">
      <c r="A223" s="39">
        <f>IF(B223="","","SP-"&amp;TEXT(ROW()-4,"0000"))</f>
        <v>0</v>
      </c>
      <c r="F223" s="17">
        <f>IF(B223="","",IFERROR(INDEX(Ingredients!$G$5:$G$304,MATCH(B223,Ingredients!$B$5:$B$304,0)),"Add to Ingredients"))</f>
        <v>0</v>
      </c>
      <c r="I223" s="25">
        <f>IF(OR(G223="",E223="",E223=0),"",G223/E223)</f>
        <v>0</v>
      </c>
      <c r="J223" s="25">
        <f>IF(I223="","",I223*100)</f>
        <v>0</v>
      </c>
      <c r="K223" s="25">
        <f>IF(B223="","",IFERROR(INDEX(Ingredients!$J$5:$J$304,MATCH(B223,Ingredients!$B$5:$B$304,0)),"Add to Ingredients"))</f>
        <v>0</v>
      </c>
      <c r="L223" s="25">
        <f>IF(OR(I223="",K223="",NOT(ISNUMBER(K223))),"",(I223-K223)*100)</f>
        <v>0</v>
      </c>
      <c r="M223" s="46">
        <f>IF(OR(B223="",J223=""),"",IF(I223&lt;=SUMPRODUCT(MIN((('Store Prices'!$B$5:$B$304=B223)*(IFERROR('Store Prices'!$I$5:$I$304*1,0)&gt;0))*IFERROR('Store Prices'!$I$5:$I$304*1,0)+(1-(('Store Prices'!$B$5:$B$304=B223)*(IFERROR('Store Prices'!$I$5:$I$304*1,0)&gt;0)))*999999))+0.0000001,"Yes","No"))</f>
        <v>0</v>
      </c>
      <c r="O223" s="18">
        <f>IF(N223="","",TODAY()-N223)</f>
        <v>0</v>
      </c>
      <c r="P223" s="31">
        <f>IF(B223="","",IF(G223="","Add - no price",IF(E223="","Add - no pack size",IF(AND(O223&lt;&gt;"",O223&gt;180),"Check - over six months old","OK"))))</f>
        <v>0</v>
      </c>
    </row>
    <row r="224" spans="1:16">
      <c r="A224" s="39">
        <f>IF(B224="","","SP-"&amp;TEXT(ROW()-4,"0000"))</f>
        <v>0</v>
      </c>
      <c r="F224" s="17">
        <f>IF(B224="","",IFERROR(INDEX(Ingredients!$G$5:$G$304,MATCH(B224,Ingredients!$B$5:$B$304,0)),"Add to Ingredients"))</f>
        <v>0</v>
      </c>
      <c r="I224" s="25">
        <f>IF(OR(G224="",E224="",E224=0),"",G224/E224)</f>
        <v>0</v>
      </c>
      <c r="J224" s="25">
        <f>IF(I224="","",I224*100)</f>
        <v>0</v>
      </c>
      <c r="K224" s="25">
        <f>IF(B224="","",IFERROR(INDEX(Ingredients!$J$5:$J$304,MATCH(B224,Ingredients!$B$5:$B$304,0)),"Add to Ingredients"))</f>
        <v>0</v>
      </c>
      <c r="L224" s="25">
        <f>IF(OR(I224="",K224="",NOT(ISNUMBER(K224))),"",(I224-K224)*100)</f>
        <v>0</v>
      </c>
      <c r="M224" s="46">
        <f>IF(OR(B224="",J224=""),"",IF(I224&lt;=SUMPRODUCT(MIN((('Store Prices'!$B$5:$B$304=B224)*(IFERROR('Store Prices'!$I$5:$I$304*1,0)&gt;0))*IFERROR('Store Prices'!$I$5:$I$304*1,0)+(1-(('Store Prices'!$B$5:$B$304=B224)*(IFERROR('Store Prices'!$I$5:$I$304*1,0)&gt;0)))*999999))+0.0000001,"Yes","No"))</f>
        <v>0</v>
      </c>
      <c r="O224" s="18">
        <f>IF(N224="","",TODAY()-N224)</f>
        <v>0</v>
      </c>
      <c r="P224" s="31">
        <f>IF(B224="","",IF(G224="","Add - no price",IF(E224="","Add - no pack size",IF(AND(O224&lt;&gt;"",O224&gt;180),"Check - over six months old","OK"))))</f>
        <v>0</v>
      </c>
    </row>
    <row r="225" spans="1:16">
      <c r="A225" s="39">
        <f>IF(B225="","","SP-"&amp;TEXT(ROW()-4,"0000"))</f>
        <v>0</v>
      </c>
      <c r="F225" s="17">
        <f>IF(B225="","",IFERROR(INDEX(Ingredients!$G$5:$G$304,MATCH(B225,Ingredients!$B$5:$B$304,0)),"Add to Ingredients"))</f>
        <v>0</v>
      </c>
      <c r="I225" s="25">
        <f>IF(OR(G225="",E225="",E225=0),"",G225/E225)</f>
        <v>0</v>
      </c>
      <c r="J225" s="25">
        <f>IF(I225="","",I225*100)</f>
        <v>0</v>
      </c>
      <c r="K225" s="25">
        <f>IF(B225="","",IFERROR(INDEX(Ingredients!$J$5:$J$304,MATCH(B225,Ingredients!$B$5:$B$304,0)),"Add to Ingredients"))</f>
        <v>0</v>
      </c>
      <c r="L225" s="25">
        <f>IF(OR(I225="",K225="",NOT(ISNUMBER(K225))),"",(I225-K225)*100)</f>
        <v>0</v>
      </c>
      <c r="M225" s="46">
        <f>IF(OR(B225="",J225=""),"",IF(I225&lt;=SUMPRODUCT(MIN((('Store Prices'!$B$5:$B$304=B225)*(IFERROR('Store Prices'!$I$5:$I$304*1,0)&gt;0))*IFERROR('Store Prices'!$I$5:$I$304*1,0)+(1-(('Store Prices'!$B$5:$B$304=B225)*(IFERROR('Store Prices'!$I$5:$I$304*1,0)&gt;0)))*999999))+0.0000001,"Yes","No"))</f>
        <v>0</v>
      </c>
      <c r="O225" s="18">
        <f>IF(N225="","",TODAY()-N225)</f>
        <v>0</v>
      </c>
      <c r="P225" s="31">
        <f>IF(B225="","",IF(G225="","Add - no price",IF(E225="","Add - no pack size",IF(AND(O225&lt;&gt;"",O225&gt;180),"Check - over six months old","OK"))))</f>
        <v>0</v>
      </c>
    </row>
    <row r="226" spans="1:16">
      <c r="A226" s="39">
        <f>IF(B226="","","SP-"&amp;TEXT(ROW()-4,"0000"))</f>
        <v>0</v>
      </c>
      <c r="F226" s="17">
        <f>IF(B226="","",IFERROR(INDEX(Ingredients!$G$5:$G$304,MATCH(B226,Ingredients!$B$5:$B$304,0)),"Add to Ingredients"))</f>
        <v>0</v>
      </c>
      <c r="I226" s="25">
        <f>IF(OR(G226="",E226="",E226=0),"",G226/E226)</f>
        <v>0</v>
      </c>
      <c r="J226" s="25">
        <f>IF(I226="","",I226*100)</f>
        <v>0</v>
      </c>
      <c r="K226" s="25">
        <f>IF(B226="","",IFERROR(INDEX(Ingredients!$J$5:$J$304,MATCH(B226,Ingredients!$B$5:$B$304,0)),"Add to Ingredients"))</f>
        <v>0</v>
      </c>
      <c r="L226" s="25">
        <f>IF(OR(I226="",K226="",NOT(ISNUMBER(K226))),"",(I226-K226)*100)</f>
        <v>0</v>
      </c>
      <c r="M226" s="46">
        <f>IF(OR(B226="",J226=""),"",IF(I226&lt;=SUMPRODUCT(MIN((('Store Prices'!$B$5:$B$304=B226)*(IFERROR('Store Prices'!$I$5:$I$304*1,0)&gt;0))*IFERROR('Store Prices'!$I$5:$I$304*1,0)+(1-(('Store Prices'!$B$5:$B$304=B226)*(IFERROR('Store Prices'!$I$5:$I$304*1,0)&gt;0)))*999999))+0.0000001,"Yes","No"))</f>
        <v>0</v>
      </c>
      <c r="O226" s="18">
        <f>IF(N226="","",TODAY()-N226)</f>
        <v>0</v>
      </c>
      <c r="P226" s="31">
        <f>IF(B226="","",IF(G226="","Add - no price",IF(E226="","Add - no pack size",IF(AND(O226&lt;&gt;"",O226&gt;180),"Check - over six months old","OK"))))</f>
        <v>0</v>
      </c>
    </row>
    <row r="227" spans="1:16">
      <c r="A227" s="39">
        <f>IF(B227="","","SP-"&amp;TEXT(ROW()-4,"0000"))</f>
        <v>0</v>
      </c>
      <c r="F227" s="17">
        <f>IF(B227="","",IFERROR(INDEX(Ingredients!$G$5:$G$304,MATCH(B227,Ingredients!$B$5:$B$304,0)),"Add to Ingredients"))</f>
        <v>0</v>
      </c>
      <c r="I227" s="25">
        <f>IF(OR(G227="",E227="",E227=0),"",G227/E227)</f>
        <v>0</v>
      </c>
      <c r="J227" s="25">
        <f>IF(I227="","",I227*100)</f>
        <v>0</v>
      </c>
      <c r="K227" s="25">
        <f>IF(B227="","",IFERROR(INDEX(Ingredients!$J$5:$J$304,MATCH(B227,Ingredients!$B$5:$B$304,0)),"Add to Ingredients"))</f>
        <v>0</v>
      </c>
      <c r="L227" s="25">
        <f>IF(OR(I227="",K227="",NOT(ISNUMBER(K227))),"",(I227-K227)*100)</f>
        <v>0</v>
      </c>
      <c r="M227" s="46">
        <f>IF(OR(B227="",J227=""),"",IF(I227&lt;=SUMPRODUCT(MIN((('Store Prices'!$B$5:$B$304=B227)*(IFERROR('Store Prices'!$I$5:$I$304*1,0)&gt;0))*IFERROR('Store Prices'!$I$5:$I$304*1,0)+(1-(('Store Prices'!$B$5:$B$304=B227)*(IFERROR('Store Prices'!$I$5:$I$304*1,0)&gt;0)))*999999))+0.0000001,"Yes","No"))</f>
        <v>0</v>
      </c>
      <c r="O227" s="18">
        <f>IF(N227="","",TODAY()-N227)</f>
        <v>0</v>
      </c>
      <c r="P227" s="31">
        <f>IF(B227="","",IF(G227="","Add - no price",IF(E227="","Add - no pack size",IF(AND(O227&lt;&gt;"",O227&gt;180),"Check - over six months old","OK"))))</f>
        <v>0</v>
      </c>
    </row>
    <row r="228" spans="1:16">
      <c r="A228" s="39">
        <f>IF(B228="","","SP-"&amp;TEXT(ROW()-4,"0000"))</f>
        <v>0</v>
      </c>
      <c r="F228" s="17">
        <f>IF(B228="","",IFERROR(INDEX(Ingredients!$G$5:$G$304,MATCH(B228,Ingredients!$B$5:$B$304,0)),"Add to Ingredients"))</f>
        <v>0</v>
      </c>
      <c r="I228" s="25">
        <f>IF(OR(G228="",E228="",E228=0),"",G228/E228)</f>
        <v>0</v>
      </c>
      <c r="J228" s="25">
        <f>IF(I228="","",I228*100)</f>
        <v>0</v>
      </c>
      <c r="K228" s="25">
        <f>IF(B228="","",IFERROR(INDEX(Ingredients!$J$5:$J$304,MATCH(B228,Ingredients!$B$5:$B$304,0)),"Add to Ingredients"))</f>
        <v>0</v>
      </c>
      <c r="L228" s="25">
        <f>IF(OR(I228="",K228="",NOT(ISNUMBER(K228))),"",(I228-K228)*100)</f>
        <v>0</v>
      </c>
      <c r="M228" s="46">
        <f>IF(OR(B228="",J228=""),"",IF(I228&lt;=SUMPRODUCT(MIN((('Store Prices'!$B$5:$B$304=B228)*(IFERROR('Store Prices'!$I$5:$I$304*1,0)&gt;0))*IFERROR('Store Prices'!$I$5:$I$304*1,0)+(1-(('Store Prices'!$B$5:$B$304=B228)*(IFERROR('Store Prices'!$I$5:$I$304*1,0)&gt;0)))*999999))+0.0000001,"Yes","No"))</f>
        <v>0</v>
      </c>
      <c r="O228" s="18">
        <f>IF(N228="","",TODAY()-N228)</f>
        <v>0</v>
      </c>
      <c r="P228" s="31">
        <f>IF(B228="","",IF(G228="","Add - no price",IF(E228="","Add - no pack size",IF(AND(O228&lt;&gt;"",O228&gt;180),"Check - over six months old","OK"))))</f>
        <v>0</v>
      </c>
    </row>
    <row r="229" spans="1:16">
      <c r="A229" s="39">
        <f>IF(B229="","","SP-"&amp;TEXT(ROW()-4,"0000"))</f>
        <v>0</v>
      </c>
      <c r="F229" s="17">
        <f>IF(B229="","",IFERROR(INDEX(Ingredients!$G$5:$G$304,MATCH(B229,Ingredients!$B$5:$B$304,0)),"Add to Ingredients"))</f>
        <v>0</v>
      </c>
      <c r="I229" s="25">
        <f>IF(OR(G229="",E229="",E229=0),"",G229/E229)</f>
        <v>0</v>
      </c>
      <c r="J229" s="25">
        <f>IF(I229="","",I229*100)</f>
        <v>0</v>
      </c>
      <c r="K229" s="25">
        <f>IF(B229="","",IFERROR(INDEX(Ingredients!$J$5:$J$304,MATCH(B229,Ingredients!$B$5:$B$304,0)),"Add to Ingredients"))</f>
        <v>0</v>
      </c>
      <c r="L229" s="25">
        <f>IF(OR(I229="",K229="",NOT(ISNUMBER(K229))),"",(I229-K229)*100)</f>
        <v>0</v>
      </c>
      <c r="M229" s="46">
        <f>IF(OR(B229="",J229=""),"",IF(I229&lt;=SUMPRODUCT(MIN((('Store Prices'!$B$5:$B$304=B229)*(IFERROR('Store Prices'!$I$5:$I$304*1,0)&gt;0))*IFERROR('Store Prices'!$I$5:$I$304*1,0)+(1-(('Store Prices'!$B$5:$B$304=B229)*(IFERROR('Store Prices'!$I$5:$I$304*1,0)&gt;0)))*999999))+0.0000001,"Yes","No"))</f>
        <v>0</v>
      </c>
      <c r="O229" s="18">
        <f>IF(N229="","",TODAY()-N229)</f>
        <v>0</v>
      </c>
      <c r="P229" s="31">
        <f>IF(B229="","",IF(G229="","Add - no price",IF(E229="","Add - no pack size",IF(AND(O229&lt;&gt;"",O229&gt;180),"Check - over six months old","OK"))))</f>
        <v>0</v>
      </c>
    </row>
    <row r="230" spans="1:16">
      <c r="A230" s="39">
        <f>IF(B230="","","SP-"&amp;TEXT(ROW()-4,"0000"))</f>
        <v>0</v>
      </c>
      <c r="F230" s="17">
        <f>IF(B230="","",IFERROR(INDEX(Ingredients!$G$5:$G$304,MATCH(B230,Ingredients!$B$5:$B$304,0)),"Add to Ingredients"))</f>
        <v>0</v>
      </c>
      <c r="I230" s="25">
        <f>IF(OR(G230="",E230="",E230=0),"",G230/E230)</f>
        <v>0</v>
      </c>
      <c r="J230" s="25">
        <f>IF(I230="","",I230*100)</f>
        <v>0</v>
      </c>
      <c r="K230" s="25">
        <f>IF(B230="","",IFERROR(INDEX(Ingredients!$J$5:$J$304,MATCH(B230,Ingredients!$B$5:$B$304,0)),"Add to Ingredients"))</f>
        <v>0</v>
      </c>
      <c r="L230" s="25">
        <f>IF(OR(I230="",K230="",NOT(ISNUMBER(K230))),"",(I230-K230)*100)</f>
        <v>0</v>
      </c>
      <c r="M230" s="46">
        <f>IF(OR(B230="",J230=""),"",IF(I230&lt;=SUMPRODUCT(MIN((('Store Prices'!$B$5:$B$304=B230)*(IFERROR('Store Prices'!$I$5:$I$304*1,0)&gt;0))*IFERROR('Store Prices'!$I$5:$I$304*1,0)+(1-(('Store Prices'!$B$5:$B$304=B230)*(IFERROR('Store Prices'!$I$5:$I$304*1,0)&gt;0)))*999999))+0.0000001,"Yes","No"))</f>
        <v>0</v>
      </c>
      <c r="O230" s="18">
        <f>IF(N230="","",TODAY()-N230)</f>
        <v>0</v>
      </c>
      <c r="P230" s="31">
        <f>IF(B230="","",IF(G230="","Add - no price",IF(E230="","Add - no pack size",IF(AND(O230&lt;&gt;"",O230&gt;180),"Check - over six months old","OK"))))</f>
        <v>0</v>
      </c>
    </row>
    <row r="231" spans="1:16">
      <c r="A231" s="39">
        <f>IF(B231="","","SP-"&amp;TEXT(ROW()-4,"0000"))</f>
        <v>0</v>
      </c>
      <c r="F231" s="17">
        <f>IF(B231="","",IFERROR(INDEX(Ingredients!$G$5:$G$304,MATCH(B231,Ingredients!$B$5:$B$304,0)),"Add to Ingredients"))</f>
        <v>0</v>
      </c>
      <c r="I231" s="25">
        <f>IF(OR(G231="",E231="",E231=0),"",G231/E231)</f>
        <v>0</v>
      </c>
      <c r="J231" s="25">
        <f>IF(I231="","",I231*100)</f>
        <v>0</v>
      </c>
      <c r="K231" s="25">
        <f>IF(B231="","",IFERROR(INDEX(Ingredients!$J$5:$J$304,MATCH(B231,Ingredients!$B$5:$B$304,0)),"Add to Ingredients"))</f>
        <v>0</v>
      </c>
      <c r="L231" s="25">
        <f>IF(OR(I231="",K231="",NOT(ISNUMBER(K231))),"",(I231-K231)*100)</f>
        <v>0</v>
      </c>
      <c r="M231" s="46">
        <f>IF(OR(B231="",J231=""),"",IF(I231&lt;=SUMPRODUCT(MIN((('Store Prices'!$B$5:$B$304=B231)*(IFERROR('Store Prices'!$I$5:$I$304*1,0)&gt;0))*IFERROR('Store Prices'!$I$5:$I$304*1,0)+(1-(('Store Prices'!$B$5:$B$304=B231)*(IFERROR('Store Prices'!$I$5:$I$304*1,0)&gt;0)))*999999))+0.0000001,"Yes","No"))</f>
        <v>0</v>
      </c>
      <c r="O231" s="18">
        <f>IF(N231="","",TODAY()-N231)</f>
        <v>0</v>
      </c>
      <c r="P231" s="31">
        <f>IF(B231="","",IF(G231="","Add - no price",IF(E231="","Add - no pack size",IF(AND(O231&lt;&gt;"",O231&gt;180),"Check - over six months old","OK"))))</f>
        <v>0</v>
      </c>
    </row>
    <row r="232" spans="1:16">
      <c r="A232" s="39">
        <f>IF(B232="","","SP-"&amp;TEXT(ROW()-4,"0000"))</f>
        <v>0</v>
      </c>
      <c r="F232" s="17">
        <f>IF(B232="","",IFERROR(INDEX(Ingredients!$G$5:$G$304,MATCH(B232,Ingredients!$B$5:$B$304,0)),"Add to Ingredients"))</f>
        <v>0</v>
      </c>
      <c r="I232" s="25">
        <f>IF(OR(G232="",E232="",E232=0),"",G232/E232)</f>
        <v>0</v>
      </c>
      <c r="J232" s="25">
        <f>IF(I232="","",I232*100)</f>
        <v>0</v>
      </c>
      <c r="K232" s="25">
        <f>IF(B232="","",IFERROR(INDEX(Ingredients!$J$5:$J$304,MATCH(B232,Ingredients!$B$5:$B$304,0)),"Add to Ingredients"))</f>
        <v>0</v>
      </c>
      <c r="L232" s="25">
        <f>IF(OR(I232="",K232="",NOT(ISNUMBER(K232))),"",(I232-K232)*100)</f>
        <v>0</v>
      </c>
      <c r="M232" s="46">
        <f>IF(OR(B232="",J232=""),"",IF(I232&lt;=SUMPRODUCT(MIN((('Store Prices'!$B$5:$B$304=B232)*(IFERROR('Store Prices'!$I$5:$I$304*1,0)&gt;0))*IFERROR('Store Prices'!$I$5:$I$304*1,0)+(1-(('Store Prices'!$B$5:$B$304=B232)*(IFERROR('Store Prices'!$I$5:$I$304*1,0)&gt;0)))*999999))+0.0000001,"Yes","No"))</f>
        <v>0</v>
      </c>
      <c r="O232" s="18">
        <f>IF(N232="","",TODAY()-N232)</f>
        <v>0</v>
      </c>
      <c r="P232" s="31">
        <f>IF(B232="","",IF(G232="","Add - no price",IF(E232="","Add - no pack size",IF(AND(O232&lt;&gt;"",O232&gt;180),"Check - over six months old","OK"))))</f>
        <v>0</v>
      </c>
    </row>
    <row r="233" spans="1:16">
      <c r="A233" s="39">
        <f>IF(B233="","","SP-"&amp;TEXT(ROW()-4,"0000"))</f>
        <v>0</v>
      </c>
      <c r="F233" s="17">
        <f>IF(B233="","",IFERROR(INDEX(Ingredients!$G$5:$G$304,MATCH(B233,Ingredients!$B$5:$B$304,0)),"Add to Ingredients"))</f>
        <v>0</v>
      </c>
      <c r="I233" s="25">
        <f>IF(OR(G233="",E233="",E233=0),"",G233/E233)</f>
        <v>0</v>
      </c>
      <c r="J233" s="25">
        <f>IF(I233="","",I233*100)</f>
        <v>0</v>
      </c>
      <c r="K233" s="25">
        <f>IF(B233="","",IFERROR(INDEX(Ingredients!$J$5:$J$304,MATCH(B233,Ingredients!$B$5:$B$304,0)),"Add to Ingredients"))</f>
        <v>0</v>
      </c>
      <c r="L233" s="25">
        <f>IF(OR(I233="",K233="",NOT(ISNUMBER(K233))),"",(I233-K233)*100)</f>
        <v>0</v>
      </c>
      <c r="M233" s="46">
        <f>IF(OR(B233="",J233=""),"",IF(I233&lt;=SUMPRODUCT(MIN((('Store Prices'!$B$5:$B$304=B233)*(IFERROR('Store Prices'!$I$5:$I$304*1,0)&gt;0))*IFERROR('Store Prices'!$I$5:$I$304*1,0)+(1-(('Store Prices'!$B$5:$B$304=B233)*(IFERROR('Store Prices'!$I$5:$I$304*1,0)&gt;0)))*999999))+0.0000001,"Yes","No"))</f>
        <v>0</v>
      </c>
      <c r="O233" s="18">
        <f>IF(N233="","",TODAY()-N233)</f>
        <v>0</v>
      </c>
      <c r="P233" s="31">
        <f>IF(B233="","",IF(G233="","Add - no price",IF(E233="","Add - no pack size",IF(AND(O233&lt;&gt;"",O233&gt;180),"Check - over six months old","OK"))))</f>
        <v>0</v>
      </c>
    </row>
    <row r="234" spans="1:16">
      <c r="A234" s="39">
        <f>IF(B234="","","SP-"&amp;TEXT(ROW()-4,"0000"))</f>
        <v>0</v>
      </c>
      <c r="F234" s="17">
        <f>IF(B234="","",IFERROR(INDEX(Ingredients!$G$5:$G$304,MATCH(B234,Ingredients!$B$5:$B$304,0)),"Add to Ingredients"))</f>
        <v>0</v>
      </c>
      <c r="I234" s="25">
        <f>IF(OR(G234="",E234="",E234=0),"",G234/E234)</f>
        <v>0</v>
      </c>
      <c r="J234" s="25">
        <f>IF(I234="","",I234*100)</f>
        <v>0</v>
      </c>
      <c r="K234" s="25">
        <f>IF(B234="","",IFERROR(INDEX(Ingredients!$J$5:$J$304,MATCH(B234,Ingredients!$B$5:$B$304,0)),"Add to Ingredients"))</f>
        <v>0</v>
      </c>
      <c r="L234" s="25">
        <f>IF(OR(I234="",K234="",NOT(ISNUMBER(K234))),"",(I234-K234)*100)</f>
        <v>0</v>
      </c>
      <c r="M234" s="46">
        <f>IF(OR(B234="",J234=""),"",IF(I234&lt;=SUMPRODUCT(MIN((('Store Prices'!$B$5:$B$304=B234)*(IFERROR('Store Prices'!$I$5:$I$304*1,0)&gt;0))*IFERROR('Store Prices'!$I$5:$I$304*1,0)+(1-(('Store Prices'!$B$5:$B$304=B234)*(IFERROR('Store Prices'!$I$5:$I$304*1,0)&gt;0)))*999999))+0.0000001,"Yes","No"))</f>
        <v>0</v>
      </c>
      <c r="O234" s="18">
        <f>IF(N234="","",TODAY()-N234)</f>
        <v>0</v>
      </c>
      <c r="P234" s="31">
        <f>IF(B234="","",IF(G234="","Add - no price",IF(E234="","Add - no pack size",IF(AND(O234&lt;&gt;"",O234&gt;180),"Check - over six months old","OK"))))</f>
        <v>0</v>
      </c>
    </row>
    <row r="235" spans="1:16">
      <c r="A235" s="39">
        <f>IF(B235="","","SP-"&amp;TEXT(ROW()-4,"0000"))</f>
        <v>0</v>
      </c>
      <c r="F235" s="17">
        <f>IF(B235="","",IFERROR(INDEX(Ingredients!$G$5:$G$304,MATCH(B235,Ingredients!$B$5:$B$304,0)),"Add to Ingredients"))</f>
        <v>0</v>
      </c>
      <c r="I235" s="25">
        <f>IF(OR(G235="",E235="",E235=0),"",G235/E235)</f>
        <v>0</v>
      </c>
      <c r="J235" s="25">
        <f>IF(I235="","",I235*100)</f>
        <v>0</v>
      </c>
      <c r="K235" s="25">
        <f>IF(B235="","",IFERROR(INDEX(Ingredients!$J$5:$J$304,MATCH(B235,Ingredients!$B$5:$B$304,0)),"Add to Ingredients"))</f>
        <v>0</v>
      </c>
      <c r="L235" s="25">
        <f>IF(OR(I235="",K235="",NOT(ISNUMBER(K235))),"",(I235-K235)*100)</f>
        <v>0</v>
      </c>
      <c r="M235" s="46">
        <f>IF(OR(B235="",J235=""),"",IF(I235&lt;=SUMPRODUCT(MIN((('Store Prices'!$B$5:$B$304=B235)*(IFERROR('Store Prices'!$I$5:$I$304*1,0)&gt;0))*IFERROR('Store Prices'!$I$5:$I$304*1,0)+(1-(('Store Prices'!$B$5:$B$304=B235)*(IFERROR('Store Prices'!$I$5:$I$304*1,0)&gt;0)))*999999))+0.0000001,"Yes","No"))</f>
        <v>0</v>
      </c>
      <c r="O235" s="18">
        <f>IF(N235="","",TODAY()-N235)</f>
        <v>0</v>
      </c>
      <c r="P235" s="31">
        <f>IF(B235="","",IF(G235="","Add - no price",IF(E235="","Add - no pack size",IF(AND(O235&lt;&gt;"",O235&gt;180),"Check - over six months old","OK"))))</f>
        <v>0</v>
      </c>
    </row>
    <row r="236" spans="1:16">
      <c r="A236" s="39">
        <f>IF(B236="","","SP-"&amp;TEXT(ROW()-4,"0000"))</f>
        <v>0</v>
      </c>
      <c r="F236" s="17">
        <f>IF(B236="","",IFERROR(INDEX(Ingredients!$G$5:$G$304,MATCH(B236,Ingredients!$B$5:$B$304,0)),"Add to Ingredients"))</f>
        <v>0</v>
      </c>
      <c r="I236" s="25">
        <f>IF(OR(G236="",E236="",E236=0),"",G236/E236)</f>
        <v>0</v>
      </c>
      <c r="J236" s="25">
        <f>IF(I236="","",I236*100)</f>
        <v>0</v>
      </c>
      <c r="K236" s="25">
        <f>IF(B236="","",IFERROR(INDEX(Ingredients!$J$5:$J$304,MATCH(B236,Ingredients!$B$5:$B$304,0)),"Add to Ingredients"))</f>
        <v>0</v>
      </c>
      <c r="L236" s="25">
        <f>IF(OR(I236="",K236="",NOT(ISNUMBER(K236))),"",(I236-K236)*100)</f>
        <v>0</v>
      </c>
      <c r="M236" s="46">
        <f>IF(OR(B236="",J236=""),"",IF(I236&lt;=SUMPRODUCT(MIN((('Store Prices'!$B$5:$B$304=B236)*(IFERROR('Store Prices'!$I$5:$I$304*1,0)&gt;0))*IFERROR('Store Prices'!$I$5:$I$304*1,0)+(1-(('Store Prices'!$B$5:$B$304=B236)*(IFERROR('Store Prices'!$I$5:$I$304*1,0)&gt;0)))*999999))+0.0000001,"Yes","No"))</f>
        <v>0</v>
      </c>
      <c r="O236" s="18">
        <f>IF(N236="","",TODAY()-N236)</f>
        <v>0</v>
      </c>
      <c r="P236" s="31">
        <f>IF(B236="","",IF(G236="","Add - no price",IF(E236="","Add - no pack size",IF(AND(O236&lt;&gt;"",O236&gt;180),"Check - over six months old","OK"))))</f>
        <v>0</v>
      </c>
    </row>
    <row r="237" spans="1:16">
      <c r="A237" s="39">
        <f>IF(B237="","","SP-"&amp;TEXT(ROW()-4,"0000"))</f>
        <v>0</v>
      </c>
      <c r="F237" s="17">
        <f>IF(B237="","",IFERROR(INDEX(Ingredients!$G$5:$G$304,MATCH(B237,Ingredients!$B$5:$B$304,0)),"Add to Ingredients"))</f>
        <v>0</v>
      </c>
      <c r="I237" s="25">
        <f>IF(OR(G237="",E237="",E237=0),"",G237/E237)</f>
        <v>0</v>
      </c>
      <c r="J237" s="25">
        <f>IF(I237="","",I237*100)</f>
        <v>0</v>
      </c>
      <c r="K237" s="25">
        <f>IF(B237="","",IFERROR(INDEX(Ingredients!$J$5:$J$304,MATCH(B237,Ingredients!$B$5:$B$304,0)),"Add to Ingredients"))</f>
        <v>0</v>
      </c>
      <c r="L237" s="25">
        <f>IF(OR(I237="",K237="",NOT(ISNUMBER(K237))),"",(I237-K237)*100)</f>
        <v>0</v>
      </c>
      <c r="M237" s="46">
        <f>IF(OR(B237="",J237=""),"",IF(I237&lt;=SUMPRODUCT(MIN((('Store Prices'!$B$5:$B$304=B237)*(IFERROR('Store Prices'!$I$5:$I$304*1,0)&gt;0))*IFERROR('Store Prices'!$I$5:$I$304*1,0)+(1-(('Store Prices'!$B$5:$B$304=B237)*(IFERROR('Store Prices'!$I$5:$I$304*1,0)&gt;0)))*999999))+0.0000001,"Yes","No"))</f>
        <v>0</v>
      </c>
      <c r="O237" s="18">
        <f>IF(N237="","",TODAY()-N237)</f>
        <v>0</v>
      </c>
      <c r="P237" s="31">
        <f>IF(B237="","",IF(G237="","Add - no price",IF(E237="","Add - no pack size",IF(AND(O237&lt;&gt;"",O237&gt;180),"Check - over six months old","OK"))))</f>
        <v>0</v>
      </c>
    </row>
    <row r="238" spans="1:16">
      <c r="A238" s="39">
        <f>IF(B238="","","SP-"&amp;TEXT(ROW()-4,"0000"))</f>
        <v>0</v>
      </c>
      <c r="F238" s="17">
        <f>IF(B238="","",IFERROR(INDEX(Ingredients!$G$5:$G$304,MATCH(B238,Ingredients!$B$5:$B$304,0)),"Add to Ingredients"))</f>
        <v>0</v>
      </c>
      <c r="I238" s="25">
        <f>IF(OR(G238="",E238="",E238=0),"",G238/E238)</f>
        <v>0</v>
      </c>
      <c r="J238" s="25">
        <f>IF(I238="","",I238*100)</f>
        <v>0</v>
      </c>
      <c r="K238" s="25">
        <f>IF(B238="","",IFERROR(INDEX(Ingredients!$J$5:$J$304,MATCH(B238,Ingredients!$B$5:$B$304,0)),"Add to Ingredients"))</f>
        <v>0</v>
      </c>
      <c r="L238" s="25">
        <f>IF(OR(I238="",K238="",NOT(ISNUMBER(K238))),"",(I238-K238)*100)</f>
        <v>0</v>
      </c>
      <c r="M238" s="46">
        <f>IF(OR(B238="",J238=""),"",IF(I238&lt;=SUMPRODUCT(MIN((('Store Prices'!$B$5:$B$304=B238)*(IFERROR('Store Prices'!$I$5:$I$304*1,0)&gt;0))*IFERROR('Store Prices'!$I$5:$I$304*1,0)+(1-(('Store Prices'!$B$5:$B$304=B238)*(IFERROR('Store Prices'!$I$5:$I$304*1,0)&gt;0)))*999999))+0.0000001,"Yes","No"))</f>
        <v>0</v>
      </c>
      <c r="O238" s="18">
        <f>IF(N238="","",TODAY()-N238)</f>
        <v>0</v>
      </c>
      <c r="P238" s="31">
        <f>IF(B238="","",IF(G238="","Add - no price",IF(E238="","Add - no pack size",IF(AND(O238&lt;&gt;"",O238&gt;180),"Check - over six months old","OK"))))</f>
        <v>0</v>
      </c>
    </row>
    <row r="239" spans="1:16">
      <c r="A239" s="39">
        <f>IF(B239="","","SP-"&amp;TEXT(ROW()-4,"0000"))</f>
        <v>0</v>
      </c>
      <c r="F239" s="17">
        <f>IF(B239="","",IFERROR(INDEX(Ingredients!$G$5:$G$304,MATCH(B239,Ingredients!$B$5:$B$304,0)),"Add to Ingredients"))</f>
        <v>0</v>
      </c>
      <c r="I239" s="25">
        <f>IF(OR(G239="",E239="",E239=0),"",G239/E239)</f>
        <v>0</v>
      </c>
      <c r="J239" s="25">
        <f>IF(I239="","",I239*100)</f>
        <v>0</v>
      </c>
      <c r="K239" s="25">
        <f>IF(B239="","",IFERROR(INDEX(Ingredients!$J$5:$J$304,MATCH(B239,Ingredients!$B$5:$B$304,0)),"Add to Ingredients"))</f>
        <v>0</v>
      </c>
      <c r="L239" s="25">
        <f>IF(OR(I239="",K239="",NOT(ISNUMBER(K239))),"",(I239-K239)*100)</f>
        <v>0</v>
      </c>
      <c r="M239" s="46">
        <f>IF(OR(B239="",J239=""),"",IF(I239&lt;=SUMPRODUCT(MIN((('Store Prices'!$B$5:$B$304=B239)*(IFERROR('Store Prices'!$I$5:$I$304*1,0)&gt;0))*IFERROR('Store Prices'!$I$5:$I$304*1,0)+(1-(('Store Prices'!$B$5:$B$304=B239)*(IFERROR('Store Prices'!$I$5:$I$304*1,0)&gt;0)))*999999))+0.0000001,"Yes","No"))</f>
        <v>0</v>
      </c>
      <c r="O239" s="18">
        <f>IF(N239="","",TODAY()-N239)</f>
        <v>0</v>
      </c>
      <c r="P239" s="31">
        <f>IF(B239="","",IF(G239="","Add - no price",IF(E239="","Add - no pack size",IF(AND(O239&lt;&gt;"",O239&gt;180),"Check - over six months old","OK"))))</f>
        <v>0</v>
      </c>
    </row>
    <row r="240" spans="1:16">
      <c r="A240" s="39">
        <f>IF(B240="","","SP-"&amp;TEXT(ROW()-4,"0000"))</f>
        <v>0</v>
      </c>
      <c r="F240" s="17">
        <f>IF(B240="","",IFERROR(INDEX(Ingredients!$G$5:$G$304,MATCH(B240,Ingredients!$B$5:$B$304,0)),"Add to Ingredients"))</f>
        <v>0</v>
      </c>
      <c r="I240" s="25">
        <f>IF(OR(G240="",E240="",E240=0),"",G240/E240)</f>
        <v>0</v>
      </c>
      <c r="J240" s="25">
        <f>IF(I240="","",I240*100)</f>
        <v>0</v>
      </c>
      <c r="K240" s="25">
        <f>IF(B240="","",IFERROR(INDEX(Ingredients!$J$5:$J$304,MATCH(B240,Ingredients!$B$5:$B$304,0)),"Add to Ingredients"))</f>
        <v>0</v>
      </c>
      <c r="L240" s="25">
        <f>IF(OR(I240="",K240="",NOT(ISNUMBER(K240))),"",(I240-K240)*100)</f>
        <v>0</v>
      </c>
      <c r="M240" s="46">
        <f>IF(OR(B240="",J240=""),"",IF(I240&lt;=SUMPRODUCT(MIN((('Store Prices'!$B$5:$B$304=B240)*(IFERROR('Store Prices'!$I$5:$I$304*1,0)&gt;0))*IFERROR('Store Prices'!$I$5:$I$304*1,0)+(1-(('Store Prices'!$B$5:$B$304=B240)*(IFERROR('Store Prices'!$I$5:$I$304*1,0)&gt;0)))*999999))+0.0000001,"Yes","No"))</f>
        <v>0</v>
      </c>
      <c r="O240" s="18">
        <f>IF(N240="","",TODAY()-N240)</f>
        <v>0</v>
      </c>
      <c r="P240" s="31">
        <f>IF(B240="","",IF(G240="","Add - no price",IF(E240="","Add - no pack size",IF(AND(O240&lt;&gt;"",O240&gt;180),"Check - over six months old","OK"))))</f>
        <v>0</v>
      </c>
    </row>
    <row r="241" spans="1:16">
      <c r="A241" s="39">
        <f>IF(B241="","","SP-"&amp;TEXT(ROW()-4,"0000"))</f>
        <v>0</v>
      </c>
      <c r="F241" s="17">
        <f>IF(B241="","",IFERROR(INDEX(Ingredients!$G$5:$G$304,MATCH(B241,Ingredients!$B$5:$B$304,0)),"Add to Ingredients"))</f>
        <v>0</v>
      </c>
      <c r="I241" s="25">
        <f>IF(OR(G241="",E241="",E241=0),"",G241/E241)</f>
        <v>0</v>
      </c>
      <c r="J241" s="25">
        <f>IF(I241="","",I241*100)</f>
        <v>0</v>
      </c>
      <c r="K241" s="25">
        <f>IF(B241="","",IFERROR(INDEX(Ingredients!$J$5:$J$304,MATCH(B241,Ingredients!$B$5:$B$304,0)),"Add to Ingredients"))</f>
        <v>0</v>
      </c>
      <c r="L241" s="25">
        <f>IF(OR(I241="",K241="",NOT(ISNUMBER(K241))),"",(I241-K241)*100)</f>
        <v>0</v>
      </c>
      <c r="M241" s="46">
        <f>IF(OR(B241="",J241=""),"",IF(I241&lt;=SUMPRODUCT(MIN((('Store Prices'!$B$5:$B$304=B241)*(IFERROR('Store Prices'!$I$5:$I$304*1,0)&gt;0))*IFERROR('Store Prices'!$I$5:$I$304*1,0)+(1-(('Store Prices'!$B$5:$B$304=B241)*(IFERROR('Store Prices'!$I$5:$I$304*1,0)&gt;0)))*999999))+0.0000001,"Yes","No"))</f>
        <v>0</v>
      </c>
      <c r="O241" s="18">
        <f>IF(N241="","",TODAY()-N241)</f>
        <v>0</v>
      </c>
      <c r="P241" s="31">
        <f>IF(B241="","",IF(G241="","Add - no price",IF(E241="","Add - no pack size",IF(AND(O241&lt;&gt;"",O241&gt;180),"Check - over six months old","OK"))))</f>
        <v>0</v>
      </c>
    </row>
    <row r="242" spans="1:16">
      <c r="A242" s="39">
        <f>IF(B242="","","SP-"&amp;TEXT(ROW()-4,"0000"))</f>
        <v>0</v>
      </c>
      <c r="F242" s="17">
        <f>IF(B242="","",IFERROR(INDEX(Ingredients!$G$5:$G$304,MATCH(B242,Ingredients!$B$5:$B$304,0)),"Add to Ingredients"))</f>
        <v>0</v>
      </c>
      <c r="I242" s="25">
        <f>IF(OR(G242="",E242="",E242=0),"",G242/E242)</f>
        <v>0</v>
      </c>
      <c r="J242" s="25">
        <f>IF(I242="","",I242*100)</f>
        <v>0</v>
      </c>
      <c r="K242" s="25">
        <f>IF(B242="","",IFERROR(INDEX(Ingredients!$J$5:$J$304,MATCH(B242,Ingredients!$B$5:$B$304,0)),"Add to Ingredients"))</f>
        <v>0</v>
      </c>
      <c r="L242" s="25">
        <f>IF(OR(I242="",K242="",NOT(ISNUMBER(K242))),"",(I242-K242)*100)</f>
        <v>0</v>
      </c>
      <c r="M242" s="46">
        <f>IF(OR(B242="",J242=""),"",IF(I242&lt;=SUMPRODUCT(MIN((('Store Prices'!$B$5:$B$304=B242)*(IFERROR('Store Prices'!$I$5:$I$304*1,0)&gt;0))*IFERROR('Store Prices'!$I$5:$I$304*1,0)+(1-(('Store Prices'!$B$5:$B$304=B242)*(IFERROR('Store Prices'!$I$5:$I$304*1,0)&gt;0)))*999999))+0.0000001,"Yes","No"))</f>
        <v>0</v>
      </c>
      <c r="O242" s="18">
        <f>IF(N242="","",TODAY()-N242)</f>
        <v>0</v>
      </c>
      <c r="P242" s="31">
        <f>IF(B242="","",IF(G242="","Add - no price",IF(E242="","Add - no pack size",IF(AND(O242&lt;&gt;"",O242&gt;180),"Check - over six months old","OK"))))</f>
        <v>0</v>
      </c>
    </row>
    <row r="243" spans="1:16">
      <c r="A243" s="39">
        <f>IF(B243="","","SP-"&amp;TEXT(ROW()-4,"0000"))</f>
        <v>0</v>
      </c>
      <c r="F243" s="17">
        <f>IF(B243="","",IFERROR(INDEX(Ingredients!$G$5:$G$304,MATCH(B243,Ingredients!$B$5:$B$304,0)),"Add to Ingredients"))</f>
        <v>0</v>
      </c>
      <c r="I243" s="25">
        <f>IF(OR(G243="",E243="",E243=0),"",G243/E243)</f>
        <v>0</v>
      </c>
      <c r="J243" s="25">
        <f>IF(I243="","",I243*100)</f>
        <v>0</v>
      </c>
      <c r="K243" s="25">
        <f>IF(B243="","",IFERROR(INDEX(Ingredients!$J$5:$J$304,MATCH(B243,Ingredients!$B$5:$B$304,0)),"Add to Ingredients"))</f>
        <v>0</v>
      </c>
      <c r="L243" s="25">
        <f>IF(OR(I243="",K243="",NOT(ISNUMBER(K243))),"",(I243-K243)*100)</f>
        <v>0</v>
      </c>
      <c r="M243" s="46">
        <f>IF(OR(B243="",J243=""),"",IF(I243&lt;=SUMPRODUCT(MIN((('Store Prices'!$B$5:$B$304=B243)*(IFERROR('Store Prices'!$I$5:$I$304*1,0)&gt;0))*IFERROR('Store Prices'!$I$5:$I$304*1,0)+(1-(('Store Prices'!$B$5:$B$304=B243)*(IFERROR('Store Prices'!$I$5:$I$304*1,0)&gt;0)))*999999))+0.0000001,"Yes","No"))</f>
        <v>0</v>
      </c>
      <c r="O243" s="18">
        <f>IF(N243="","",TODAY()-N243)</f>
        <v>0</v>
      </c>
      <c r="P243" s="31">
        <f>IF(B243="","",IF(G243="","Add - no price",IF(E243="","Add - no pack size",IF(AND(O243&lt;&gt;"",O243&gt;180),"Check - over six months old","OK"))))</f>
        <v>0</v>
      </c>
    </row>
    <row r="244" spans="1:16">
      <c r="A244" s="39">
        <f>IF(B244="","","SP-"&amp;TEXT(ROW()-4,"0000"))</f>
        <v>0</v>
      </c>
      <c r="F244" s="17">
        <f>IF(B244="","",IFERROR(INDEX(Ingredients!$G$5:$G$304,MATCH(B244,Ingredients!$B$5:$B$304,0)),"Add to Ingredients"))</f>
        <v>0</v>
      </c>
      <c r="I244" s="25">
        <f>IF(OR(G244="",E244="",E244=0),"",G244/E244)</f>
        <v>0</v>
      </c>
      <c r="J244" s="25">
        <f>IF(I244="","",I244*100)</f>
        <v>0</v>
      </c>
      <c r="K244" s="25">
        <f>IF(B244="","",IFERROR(INDEX(Ingredients!$J$5:$J$304,MATCH(B244,Ingredients!$B$5:$B$304,0)),"Add to Ingredients"))</f>
        <v>0</v>
      </c>
      <c r="L244" s="25">
        <f>IF(OR(I244="",K244="",NOT(ISNUMBER(K244))),"",(I244-K244)*100)</f>
        <v>0</v>
      </c>
      <c r="M244" s="46">
        <f>IF(OR(B244="",J244=""),"",IF(I244&lt;=SUMPRODUCT(MIN((('Store Prices'!$B$5:$B$304=B244)*(IFERROR('Store Prices'!$I$5:$I$304*1,0)&gt;0))*IFERROR('Store Prices'!$I$5:$I$304*1,0)+(1-(('Store Prices'!$B$5:$B$304=B244)*(IFERROR('Store Prices'!$I$5:$I$304*1,0)&gt;0)))*999999))+0.0000001,"Yes","No"))</f>
        <v>0</v>
      </c>
      <c r="O244" s="18">
        <f>IF(N244="","",TODAY()-N244)</f>
        <v>0</v>
      </c>
      <c r="P244" s="31">
        <f>IF(B244="","",IF(G244="","Add - no price",IF(E244="","Add - no pack size",IF(AND(O244&lt;&gt;"",O244&gt;180),"Check - over six months old","OK"))))</f>
        <v>0</v>
      </c>
    </row>
    <row r="245" spans="1:16">
      <c r="A245" s="39">
        <f>IF(B245="","","SP-"&amp;TEXT(ROW()-4,"0000"))</f>
        <v>0</v>
      </c>
      <c r="F245" s="17">
        <f>IF(B245="","",IFERROR(INDEX(Ingredients!$G$5:$G$304,MATCH(B245,Ingredients!$B$5:$B$304,0)),"Add to Ingredients"))</f>
        <v>0</v>
      </c>
      <c r="I245" s="25">
        <f>IF(OR(G245="",E245="",E245=0),"",G245/E245)</f>
        <v>0</v>
      </c>
      <c r="J245" s="25">
        <f>IF(I245="","",I245*100)</f>
        <v>0</v>
      </c>
      <c r="K245" s="25">
        <f>IF(B245="","",IFERROR(INDEX(Ingredients!$J$5:$J$304,MATCH(B245,Ingredients!$B$5:$B$304,0)),"Add to Ingredients"))</f>
        <v>0</v>
      </c>
      <c r="L245" s="25">
        <f>IF(OR(I245="",K245="",NOT(ISNUMBER(K245))),"",(I245-K245)*100)</f>
        <v>0</v>
      </c>
      <c r="M245" s="46">
        <f>IF(OR(B245="",J245=""),"",IF(I245&lt;=SUMPRODUCT(MIN((('Store Prices'!$B$5:$B$304=B245)*(IFERROR('Store Prices'!$I$5:$I$304*1,0)&gt;0))*IFERROR('Store Prices'!$I$5:$I$304*1,0)+(1-(('Store Prices'!$B$5:$B$304=B245)*(IFERROR('Store Prices'!$I$5:$I$304*1,0)&gt;0)))*999999))+0.0000001,"Yes","No"))</f>
        <v>0</v>
      </c>
      <c r="O245" s="18">
        <f>IF(N245="","",TODAY()-N245)</f>
        <v>0</v>
      </c>
      <c r="P245" s="31">
        <f>IF(B245="","",IF(G245="","Add - no price",IF(E245="","Add - no pack size",IF(AND(O245&lt;&gt;"",O245&gt;180),"Check - over six months old","OK"))))</f>
        <v>0</v>
      </c>
    </row>
    <row r="246" spans="1:16">
      <c r="A246" s="39">
        <f>IF(B246="","","SP-"&amp;TEXT(ROW()-4,"0000"))</f>
        <v>0</v>
      </c>
      <c r="F246" s="17">
        <f>IF(B246="","",IFERROR(INDEX(Ingredients!$G$5:$G$304,MATCH(B246,Ingredients!$B$5:$B$304,0)),"Add to Ingredients"))</f>
        <v>0</v>
      </c>
      <c r="I246" s="25">
        <f>IF(OR(G246="",E246="",E246=0),"",G246/E246)</f>
        <v>0</v>
      </c>
      <c r="J246" s="25">
        <f>IF(I246="","",I246*100)</f>
        <v>0</v>
      </c>
      <c r="K246" s="25">
        <f>IF(B246="","",IFERROR(INDEX(Ingredients!$J$5:$J$304,MATCH(B246,Ingredients!$B$5:$B$304,0)),"Add to Ingredients"))</f>
        <v>0</v>
      </c>
      <c r="L246" s="25">
        <f>IF(OR(I246="",K246="",NOT(ISNUMBER(K246))),"",(I246-K246)*100)</f>
        <v>0</v>
      </c>
      <c r="M246" s="46">
        <f>IF(OR(B246="",J246=""),"",IF(I246&lt;=SUMPRODUCT(MIN((('Store Prices'!$B$5:$B$304=B246)*(IFERROR('Store Prices'!$I$5:$I$304*1,0)&gt;0))*IFERROR('Store Prices'!$I$5:$I$304*1,0)+(1-(('Store Prices'!$B$5:$B$304=B246)*(IFERROR('Store Prices'!$I$5:$I$304*1,0)&gt;0)))*999999))+0.0000001,"Yes","No"))</f>
        <v>0</v>
      </c>
      <c r="O246" s="18">
        <f>IF(N246="","",TODAY()-N246)</f>
        <v>0</v>
      </c>
      <c r="P246" s="31">
        <f>IF(B246="","",IF(G246="","Add - no price",IF(E246="","Add - no pack size",IF(AND(O246&lt;&gt;"",O246&gt;180),"Check - over six months old","OK"))))</f>
        <v>0</v>
      </c>
    </row>
    <row r="247" spans="1:16">
      <c r="A247" s="39">
        <f>IF(B247="","","SP-"&amp;TEXT(ROW()-4,"0000"))</f>
        <v>0</v>
      </c>
      <c r="F247" s="17">
        <f>IF(B247="","",IFERROR(INDEX(Ingredients!$G$5:$G$304,MATCH(B247,Ingredients!$B$5:$B$304,0)),"Add to Ingredients"))</f>
        <v>0</v>
      </c>
      <c r="I247" s="25">
        <f>IF(OR(G247="",E247="",E247=0),"",G247/E247)</f>
        <v>0</v>
      </c>
      <c r="J247" s="25">
        <f>IF(I247="","",I247*100)</f>
        <v>0</v>
      </c>
      <c r="K247" s="25">
        <f>IF(B247="","",IFERROR(INDEX(Ingredients!$J$5:$J$304,MATCH(B247,Ingredients!$B$5:$B$304,0)),"Add to Ingredients"))</f>
        <v>0</v>
      </c>
      <c r="L247" s="25">
        <f>IF(OR(I247="",K247="",NOT(ISNUMBER(K247))),"",(I247-K247)*100)</f>
        <v>0</v>
      </c>
      <c r="M247" s="46">
        <f>IF(OR(B247="",J247=""),"",IF(I247&lt;=SUMPRODUCT(MIN((('Store Prices'!$B$5:$B$304=B247)*(IFERROR('Store Prices'!$I$5:$I$304*1,0)&gt;0))*IFERROR('Store Prices'!$I$5:$I$304*1,0)+(1-(('Store Prices'!$B$5:$B$304=B247)*(IFERROR('Store Prices'!$I$5:$I$304*1,0)&gt;0)))*999999))+0.0000001,"Yes","No"))</f>
        <v>0</v>
      </c>
      <c r="O247" s="18">
        <f>IF(N247="","",TODAY()-N247)</f>
        <v>0</v>
      </c>
      <c r="P247" s="31">
        <f>IF(B247="","",IF(G247="","Add - no price",IF(E247="","Add - no pack size",IF(AND(O247&lt;&gt;"",O247&gt;180),"Check - over six months old","OK"))))</f>
        <v>0</v>
      </c>
    </row>
    <row r="248" spans="1:16">
      <c r="A248" s="39">
        <f>IF(B248="","","SP-"&amp;TEXT(ROW()-4,"0000"))</f>
        <v>0</v>
      </c>
      <c r="F248" s="17">
        <f>IF(B248="","",IFERROR(INDEX(Ingredients!$G$5:$G$304,MATCH(B248,Ingredients!$B$5:$B$304,0)),"Add to Ingredients"))</f>
        <v>0</v>
      </c>
      <c r="I248" s="25">
        <f>IF(OR(G248="",E248="",E248=0),"",G248/E248)</f>
        <v>0</v>
      </c>
      <c r="J248" s="25">
        <f>IF(I248="","",I248*100)</f>
        <v>0</v>
      </c>
      <c r="K248" s="25">
        <f>IF(B248="","",IFERROR(INDEX(Ingredients!$J$5:$J$304,MATCH(B248,Ingredients!$B$5:$B$304,0)),"Add to Ingredients"))</f>
        <v>0</v>
      </c>
      <c r="L248" s="25">
        <f>IF(OR(I248="",K248="",NOT(ISNUMBER(K248))),"",(I248-K248)*100)</f>
        <v>0</v>
      </c>
      <c r="M248" s="46">
        <f>IF(OR(B248="",J248=""),"",IF(I248&lt;=SUMPRODUCT(MIN((('Store Prices'!$B$5:$B$304=B248)*(IFERROR('Store Prices'!$I$5:$I$304*1,0)&gt;0))*IFERROR('Store Prices'!$I$5:$I$304*1,0)+(1-(('Store Prices'!$B$5:$B$304=B248)*(IFERROR('Store Prices'!$I$5:$I$304*1,0)&gt;0)))*999999))+0.0000001,"Yes","No"))</f>
        <v>0</v>
      </c>
      <c r="O248" s="18">
        <f>IF(N248="","",TODAY()-N248)</f>
        <v>0</v>
      </c>
      <c r="P248" s="31">
        <f>IF(B248="","",IF(G248="","Add - no price",IF(E248="","Add - no pack size",IF(AND(O248&lt;&gt;"",O248&gt;180),"Check - over six months old","OK"))))</f>
        <v>0</v>
      </c>
    </row>
    <row r="249" spans="1:16">
      <c r="A249" s="39">
        <f>IF(B249="","","SP-"&amp;TEXT(ROW()-4,"0000"))</f>
        <v>0</v>
      </c>
      <c r="F249" s="17">
        <f>IF(B249="","",IFERROR(INDEX(Ingredients!$G$5:$G$304,MATCH(B249,Ingredients!$B$5:$B$304,0)),"Add to Ingredients"))</f>
        <v>0</v>
      </c>
      <c r="I249" s="25">
        <f>IF(OR(G249="",E249="",E249=0),"",G249/E249)</f>
        <v>0</v>
      </c>
      <c r="J249" s="25">
        <f>IF(I249="","",I249*100)</f>
        <v>0</v>
      </c>
      <c r="K249" s="25">
        <f>IF(B249="","",IFERROR(INDEX(Ingredients!$J$5:$J$304,MATCH(B249,Ingredients!$B$5:$B$304,0)),"Add to Ingredients"))</f>
        <v>0</v>
      </c>
      <c r="L249" s="25">
        <f>IF(OR(I249="",K249="",NOT(ISNUMBER(K249))),"",(I249-K249)*100)</f>
        <v>0</v>
      </c>
      <c r="M249" s="46">
        <f>IF(OR(B249="",J249=""),"",IF(I249&lt;=SUMPRODUCT(MIN((('Store Prices'!$B$5:$B$304=B249)*(IFERROR('Store Prices'!$I$5:$I$304*1,0)&gt;0))*IFERROR('Store Prices'!$I$5:$I$304*1,0)+(1-(('Store Prices'!$B$5:$B$304=B249)*(IFERROR('Store Prices'!$I$5:$I$304*1,0)&gt;0)))*999999))+0.0000001,"Yes","No"))</f>
        <v>0</v>
      </c>
      <c r="O249" s="18">
        <f>IF(N249="","",TODAY()-N249)</f>
        <v>0</v>
      </c>
      <c r="P249" s="31">
        <f>IF(B249="","",IF(G249="","Add - no price",IF(E249="","Add - no pack size",IF(AND(O249&lt;&gt;"",O249&gt;180),"Check - over six months old","OK"))))</f>
        <v>0</v>
      </c>
    </row>
    <row r="250" spans="1:16">
      <c r="A250" s="39">
        <f>IF(B250="","","SP-"&amp;TEXT(ROW()-4,"0000"))</f>
        <v>0</v>
      </c>
      <c r="F250" s="17">
        <f>IF(B250="","",IFERROR(INDEX(Ingredients!$G$5:$G$304,MATCH(B250,Ingredients!$B$5:$B$304,0)),"Add to Ingredients"))</f>
        <v>0</v>
      </c>
      <c r="I250" s="25">
        <f>IF(OR(G250="",E250="",E250=0),"",G250/E250)</f>
        <v>0</v>
      </c>
      <c r="J250" s="25">
        <f>IF(I250="","",I250*100)</f>
        <v>0</v>
      </c>
      <c r="K250" s="25">
        <f>IF(B250="","",IFERROR(INDEX(Ingredients!$J$5:$J$304,MATCH(B250,Ingredients!$B$5:$B$304,0)),"Add to Ingredients"))</f>
        <v>0</v>
      </c>
      <c r="L250" s="25">
        <f>IF(OR(I250="",K250="",NOT(ISNUMBER(K250))),"",(I250-K250)*100)</f>
        <v>0</v>
      </c>
      <c r="M250" s="46">
        <f>IF(OR(B250="",J250=""),"",IF(I250&lt;=SUMPRODUCT(MIN((('Store Prices'!$B$5:$B$304=B250)*(IFERROR('Store Prices'!$I$5:$I$304*1,0)&gt;0))*IFERROR('Store Prices'!$I$5:$I$304*1,0)+(1-(('Store Prices'!$B$5:$B$304=B250)*(IFERROR('Store Prices'!$I$5:$I$304*1,0)&gt;0)))*999999))+0.0000001,"Yes","No"))</f>
        <v>0</v>
      </c>
      <c r="O250" s="18">
        <f>IF(N250="","",TODAY()-N250)</f>
        <v>0</v>
      </c>
      <c r="P250" s="31">
        <f>IF(B250="","",IF(G250="","Add - no price",IF(E250="","Add - no pack size",IF(AND(O250&lt;&gt;"",O250&gt;180),"Check - over six months old","OK"))))</f>
        <v>0</v>
      </c>
    </row>
    <row r="251" spans="1:16">
      <c r="A251" s="39">
        <f>IF(B251="","","SP-"&amp;TEXT(ROW()-4,"0000"))</f>
        <v>0</v>
      </c>
      <c r="F251" s="17">
        <f>IF(B251="","",IFERROR(INDEX(Ingredients!$G$5:$G$304,MATCH(B251,Ingredients!$B$5:$B$304,0)),"Add to Ingredients"))</f>
        <v>0</v>
      </c>
      <c r="I251" s="25">
        <f>IF(OR(G251="",E251="",E251=0),"",G251/E251)</f>
        <v>0</v>
      </c>
      <c r="J251" s="25">
        <f>IF(I251="","",I251*100)</f>
        <v>0</v>
      </c>
      <c r="K251" s="25">
        <f>IF(B251="","",IFERROR(INDEX(Ingredients!$J$5:$J$304,MATCH(B251,Ingredients!$B$5:$B$304,0)),"Add to Ingredients"))</f>
        <v>0</v>
      </c>
      <c r="L251" s="25">
        <f>IF(OR(I251="",K251="",NOT(ISNUMBER(K251))),"",(I251-K251)*100)</f>
        <v>0</v>
      </c>
      <c r="M251" s="46">
        <f>IF(OR(B251="",J251=""),"",IF(I251&lt;=SUMPRODUCT(MIN((('Store Prices'!$B$5:$B$304=B251)*(IFERROR('Store Prices'!$I$5:$I$304*1,0)&gt;0))*IFERROR('Store Prices'!$I$5:$I$304*1,0)+(1-(('Store Prices'!$B$5:$B$304=B251)*(IFERROR('Store Prices'!$I$5:$I$304*1,0)&gt;0)))*999999))+0.0000001,"Yes","No"))</f>
        <v>0</v>
      </c>
      <c r="O251" s="18">
        <f>IF(N251="","",TODAY()-N251)</f>
        <v>0</v>
      </c>
      <c r="P251" s="31">
        <f>IF(B251="","",IF(G251="","Add - no price",IF(E251="","Add - no pack size",IF(AND(O251&lt;&gt;"",O251&gt;180),"Check - over six months old","OK"))))</f>
        <v>0</v>
      </c>
    </row>
    <row r="252" spans="1:16">
      <c r="A252" s="39">
        <f>IF(B252="","","SP-"&amp;TEXT(ROW()-4,"0000"))</f>
        <v>0</v>
      </c>
      <c r="F252" s="17">
        <f>IF(B252="","",IFERROR(INDEX(Ingredients!$G$5:$G$304,MATCH(B252,Ingredients!$B$5:$B$304,0)),"Add to Ingredients"))</f>
        <v>0</v>
      </c>
      <c r="I252" s="25">
        <f>IF(OR(G252="",E252="",E252=0),"",G252/E252)</f>
        <v>0</v>
      </c>
      <c r="J252" s="25">
        <f>IF(I252="","",I252*100)</f>
        <v>0</v>
      </c>
      <c r="K252" s="25">
        <f>IF(B252="","",IFERROR(INDEX(Ingredients!$J$5:$J$304,MATCH(B252,Ingredients!$B$5:$B$304,0)),"Add to Ingredients"))</f>
        <v>0</v>
      </c>
      <c r="L252" s="25">
        <f>IF(OR(I252="",K252="",NOT(ISNUMBER(K252))),"",(I252-K252)*100)</f>
        <v>0</v>
      </c>
      <c r="M252" s="46">
        <f>IF(OR(B252="",J252=""),"",IF(I252&lt;=SUMPRODUCT(MIN((('Store Prices'!$B$5:$B$304=B252)*(IFERROR('Store Prices'!$I$5:$I$304*1,0)&gt;0))*IFERROR('Store Prices'!$I$5:$I$304*1,0)+(1-(('Store Prices'!$B$5:$B$304=B252)*(IFERROR('Store Prices'!$I$5:$I$304*1,0)&gt;0)))*999999))+0.0000001,"Yes","No"))</f>
        <v>0</v>
      </c>
      <c r="O252" s="18">
        <f>IF(N252="","",TODAY()-N252)</f>
        <v>0</v>
      </c>
      <c r="P252" s="31">
        <f>IF(B252="","",IF(G252="","Add - no price",IF(E252="","Add - no pack size",IF(AND(O252&lt;&gt;"",O252&gt;180),"Check - over six months old","OK"))))</f>
        <v>0</v>
      </c>
    </row>
    <row r="253" spans="1:16">
      <c r="A253" s="39">
        <f>IF(B253="","","SP-"&amp;TEXT(ROW()-4,"0000"))</f>
        <v>0</v>
      </c>
      <c r="F253" s="17">
        <f>IF(B253="","",IFERROR(INDEX(Ingredients!$G$5:$G$304,MATCH(B253,Ingredients!$B$5:$B$304,0)),"Add to Ingredients"))</f>
        <v>0</v>
      </c>
      <c r="I253" s="25">
        <f>IF(OR(G253="",E253="",E253=0),"",G253/E253)</f>
        <v>0</v>
      </c>
      <c r="J253" s="25">
        <f>IF(I253="","",I253*100)</f>
        <v>0</v>
      </c>
      <c r="K253" s="25">
        <f>IF(B253="","",IFERROR(INDEX(Ingredients!$J$5:$J$304,MATCH(B253,Ingredients!$B$5:$B$304,0)),"Add to Ingredients"))</f>
        <v>0</v>
      </c>
      <c r="L253" s="25">
        <f>IF(OR(I253="",K253="",NOT(ISNUMBER(K253))),"",(I253-K253)*100)</f>
        <v>0</v>
      </c>
      <c r="M253" s="46">
        <f>IF(OR(B253="",J253=""),"",IF(I253&lt;=SUMPRODUCT(MIN((('Store Prices'!$B$5:$B$304=B253)*(IFERROR('Store Prices'!$I$5:$I$304*1,0)&gt;0))*IFERROR('Store Prices'!$I$5:$I$304*1,0)+(1-(('Store Prices'!$B$5:$B$304=B253)*(IFERROR('Store Prices'!$I$5:$I$304*1,0)&gt;0)))*999999))+0.0000001,"Yes","No"))</f>
        <v>0</v>
      </c>
      <c r="O253" s="18">
        <f>IF(N253="","",TODAY()-N253)</f>
        <v>0</v>
      </c>
      <c r="P253" s="31">
        <f>IF(B253="","",IF(G253="","Add - no price",IF(E253="","Add - no pack size",IF(AND(O253&lt;&gt;"",O253&gt;180),"Check - over six months old","OK"))))</f>
        <v>0</v>
      </c>
    </row>
    <row r="254" spans="1:16">
      <c r="A254" s="39">
        <f>IF(B254="","","SP-"&amp;TEXT(ROW()-4,"0000"))</f>
        <v>0</v>
      </c>
      <c r="F254" s="17">
        <f>IF(B254="","",IFERROR(INDEX(Ingredients!$G$5:$G$304,MATCH(B254,Ingredients!$B$5:$B$304,0)),"Add to Ingredients"))</f>
        <v>0</v>
      </c>
      <c r="I254" s="25">
        <f>IF(OR(G254="",E254="",E254=0),"",G254/E254)</f>
        <v>0</v>
      </c>
      <c r="J254" s="25">
        <f>IF(I254="","",I254*100)</f>
        <v>0</v>
      </c>
      <c r="K254" s="25">
        <f>IF(B254="","",IFERROR(INDEX(Ingredients!$J$5:$J$304,MATCH(B254,Ingredients!$B$5:$B$304,0)),"Add to Ingredients"))</f>
        <v>0</v>
      </c>
      <c r="L254" s="25">
        <f>IF(OR(I254="",K254="",NOT(ISNUMBER(K254))),"",(I254-K254)*100)</f>
        <v>0</v>
      </c>
      <c r="M254" s="46">
        <f>IF(OR(B254="",J254=""),"",IF(I254&lt;=SUMPRODUCT(MIN((('Store Prices'!$B$5:$B$304=B254)*(IFERROR('Store Prices'!$I$5:$I$304*1,0)&gt;0))*IFERROR('Store Prices'!$I$5:$I$304*1,0)+(1-(('Store Prices'!$B$5:$B$304=B254)*(IFERROR('Store Prices'!$I$5:$I$304*1,0)&gt;0)))*999999))+0.0000001,"Yes","No"))</f>
        <v>0</v>
      </c>
      <c r="O254" s="18">
        <f>IF(N254="","",TODAY()-N254)</f>
        <v>0</v>
      </c>
      <c r="P254" s="31">
        <f>IF(B254="","",IF(G254="","Add - no price",IF(E254="","Add - no pack size",IF(AND(O254&lt;&gt;"",O254&gt;180),"Check - over six months old","OK"))))</f>
        <v>0</v>
      </c>
    </row>
    <row r="255" spans="1:16">
      <c r="A255" s="39">
        <f>IF(B255="","","SP-"&amp;TEXT(ROW()-4,"0000"))</f>
        <v>0</v>
      </c>
      <c r="F255" s="17">
        <f>IF(B255="","",IFERROR(INDEX(Ingredients!$G$5:$G$304,MATCH(B255,Ingredients!$B$5:$B$304,0)),"Add to Ingredients"))</f>
        <v>0</v>
      </c>
      <c r="I255" s="25">
        <f>IF(OR(G255="",E255="",E255=0),"",G255/E255)</f>
        <v>0</v>
      </c>
      <c r="J255" s="25">
        <f>IF(I255="","",I255*100)</f>
        <v>0</v>
      </c>
      <c r="K255" s="25">
        <f>IF(B255="","",IFERROR(INDEX(Ingredients!$J$5:$J$304,MATCH(B255,Ingredients!$B$5:$B$304,0)),"Add to Ingredients"))</f>
        <v>0</v>
      </c>
      <c r="L255" s="25">
        <f>IF(OR(I255="",K255="",NOT(ISNUMBER(K255))),"",(I255-K255)*100)</f>
        <v>0</v>
      </c>
      <c r="M255" s="46">
        <f>IF(OR(B255="",J255=""),"",IF(I255&lt;=SUMPRODUCT(MIN((('Store Prices'!$B$5:$B$304=B255)*(IFERROR('Store Prices'!$I$5:$I$304*1,0)&gt;0))*IFERROR('Store Prices'!$I$5:$I$304*1,0)+(1-(('Store Prices'!$B$5:$B$304=B255)*(IFERROR('Store Prices'!$I$5:$I$304*1,0)&gt;0)))*999999))+0.0000001,"Yes","No"))</f>
        <v>0</v>
      </c>
      <c r="O255" s="18">
        <f>IF(N255="","",TODAY()-N255)</f>
        <v>0</v>
      </c>
      <c r="P255" s="31">
        <f>IF(B255="","",IF(G255="","Add - no price",IF(E255="","Add - no pack size",IF(AND(O255&lt;&gt;"",O255&gt;180),"Check - over six months old","OK"))))</f>
        <v>0</v>
      </c>
    </row>
    <row r="256" spans="1:16">
      <c r="A256" s="39">
        <f>IF(B256="","","SP-"&amp;TEXT(ROW()-4,"0000"))</f>
        <v>0</v>
      </c>
      <c r="F256" s="17">
        <f>IF(B256="","",IFERROR(INDEX(Ingredients!$G$5:$G$304,MATCH(B256,Ingredients!$B$5:$B$304,0)),"Add to Ingredients"))</f>
        <v>0</v>
      </c>
      <c r="I256" s="25">
        <f>IF(OR(G256="",E256="",E256=0),"",G256/E256)</f>
        <v>0</v>
      </c>
      <c r="J256" s="25">
        <f>IF(I256="","",I256*100)</f>
        <v>0</v>
      </c>
      <c r="K256" s="25">
        <f>IF(B256="","",IFERROR(INDEX(Ingredients!$J$5:$J$304,MATCH(B256,Ingredients!$B$5:$B$304,0)),"Add to Ingredients"))</f>
        <v>0</v>
      </c>
      <c r="L256" s="25">
        <f>IF(OR(I256="",K256="",NOT(ISNUMBER(K256))),"",(I256-K256)*100)</f>
        <v>0</v>
      </c>
      <c r="M256" s="46">
        <f>IF(OR(B256="",J256=""),"",IF(I256&lt;=SUMPRODUCT(MIN((('Store Prices'!$B$5:$B$304=B256)*(IFERROR('Store Prices'!$I$5:$I$304*1,0)&gt;0))*IFERROR('Store Prices'!$I$5:$I$304*1,0)+(1-(('Store Prices'!$B$5:$B$304=B256)*(IFERROR('Store Prices'!$I$5:$I$304*1,0)&gt;0)))*999999))+0.0000001,"Yes","No"))</f>
        <v>0</v>
      </c>
      <c r="O256" s="18">
        <f>IF(N256="","",TODAY()-N256)</f>
        <v>0</v>
      </c>
      <c r="P256" s="31">
        <f>IF(B256="","",IF(G256="","Add - no price",IF(E256="","Add - no pack size",IF(AND(O256&lt;&gt;"",O256&gt;180),"Check - over six months old","OK"))))</f>
        <v>0</v>
      </c>
    </row>
    <row r="257" spans="1:16">
      <c r="A257" s="39">
        <f>IF(B257="","","SP-"&amp;TEXT(ROW()-4,"0000"))</f>
        <v>0</v>
      </c>
      <c r="F257" s="17">
        <f>IF(B257="","",IFERROR(INDEX(Ingredients!$G$5:$G$304,MATCH(B257,Ingredients!$B$5:$B$304,0)),"Add to Ingredients"))</f>
        <v>0</v>
      </c>
      <c r="I257" s="25">
        <f>IF(OR(G257="",E257="",E257=0),"",G257/E257)</f>
        <v>0</v>
      </c>
      <c r="J257" s="25">
        <f>IF(I257="","",I257*100)</f>
        <v>0</v>
      </c>
      <c r="K257" s="25">
        <f>IF(B257="","",IFERROR(INDEX(Ingredients!$J$5:$J$304,MATCH(B257,Ingredients!$B$5:$B$304,0)),"Add to Ingredients"))</f>
        <v>0</v>
      </c>
      <c r="L257" s="25">
        <f>IF(OR(I257="",K257="",NOT(ISNUMBER(K257))),"",(I257-K257)*100)</f>
        <v>0</v>
      </c>
      <c r="M257" s="46">
        <f>IF(OR(B257="",J257=""),"",IF(I257&lt;=SUMPRODUCT(MIN((('Store Prices'!$B$5:$B$304=B257)*(IFERROR('Store Prices'!$I$5:$I$304*1,0)&gt;0))*IFERROR('Store Prices'!$I$5:$I$304*1,0)+(1-(('Store Prices'!$B$5:$B$304=B257)*(IFERROR('Store Prices'!$I$5:$I$304*1,0)&gt;0)))*999999))+0.0000001,"Yes","No"))</f>
        <v>0</v>
      </c>
      <c r="O257" s="18">
        <f>IF(N257="","",TODAY()-N257)</f>
        <v>0</v>
      </c>
      <c r="P257" s="31">
        <f>IF(B257="","",IF(G257="","Add - no price",IF(E257="","Add - no pack size",IF(AND(O257&lt;&gt;"",O257&gt;180),"Check - over six months old","OK"))))</f>
        <v>0</v>
      </c>
    </row>
    <row r="258" spans="1:16">
      <c r="A258" s="39">
        <f>IF(B258="","","SP-"&amp;TEXT(ROW()-4,"0000"))</f>
        <v>0</v>
      </c>
      <c r="F258" s="17">
        <f>IF(B258="","",IFERROR(INDEX(Ingredients!$G$5:$G$304,MATCH(B258,Ingredients!$B$5:$B$304,0)),"Add to Ingredients"))</f>
        <v>0</v>
      </c>
      <c r="I258" s="25">
        <f>IF(OR(G258="",E258="",E258=0),"",G258/E258)</f>
        <v>0</v>
      </c>
      <c r="J258" s="25">
        <f>IF(I258="","",I258*100)</f>
        <v>0</v>
      </c>
      <c r="K258" s="25">
        <f>IF(B258="","",IFERROR(INDEX(Ingredients!$J$5:$J$304,MATCH(B258,Ingredients!$B$5:$B$304,0)),"Add to Ingredients"))</f>
        <v>0</v>
      </c>
      <c r="L258" s="25">
        <f>IF(OR(I258="",K258="",NOT(ISNUMBER(K258))),"",(I258-K258)*100)</f>
        <v>0</v>
      </c>
      <c r="M258" s="46">
        <f>IF(OR(B258="",J258=""),"",IF(I258&lt;=SUMPRODUCT(MIN((('Store Prices'!$B$5:$B$304=B258)*(IFERROR('Store Prices'!$I$5:$I$304*1,0)&gt;0))*IFERROR('Store Prices'!$I$5:$I$304*1,0)+(1-(('Store Prices'!$B$5:$B$304=B258)*(IFERROR('Store Prices'!$I$5:$I$304*1,0)&gt;0)))*999999))+0.0000001,"Yes","No"))</f>
        <v>0</v>
      </c>
      <c r="O258" s="18">
        <f>IF(N258="","",TODAY()-N258)</f>
        <v>0</v>
      </c>
      <c r="P258" s="31">
        <f>IF(B258="","",IF(G258="","Add - no price",IF(E258="","Add - no pack size",IF(AND(O258&lt;&gt;"",O258&gt;180),"Check - over six months old","OK"))))</f>
        <v>0</v>
      </c>
    </row>
    <row r="259" spans="1:16">
      <c r="A259" s="39">
        <f>IF(B259="","","SP-"&amp;TEXT(ROW()-4,"0000"))</f>
        <v>0</v>
      </c>
      <c r="F259" s="17">
        <f>IF(B259="","",IFERROR(INDEX(Ingredients!$G$5:$G$304,MATCH(B259,Ingredients!$B$5:$B$304,0)),"Add to Ingredients"))</f>
        <v>0</v>
      </c>
      <c r="I259" s="25">
        <f>IF(OR(G259="",E259="",E259=0),"",G259/E259)</f>
        <v>0</v>
      </c>
      <c r="J259" s="25">
        <f>IF(I259="","",I259*100)</f>
        <v>0</v>
      </c>
      <c r="K259" s="25">
        <f>IF(B259="","",IFERROR(INDEX(Ingredients!$J$5:$J$304,MATCH(B259,Ingredients!$B$5:$B$304,0)),"Add to Ingredients"))</f>
        <v>0</v>
      </c>
      <c r="L259" s="25">
        <f>IF(OR(I259="",K259="",NOT(ISNUMBER(K259))),"",(I259-K259)*100)</f>
        <v>0</v>
      </c>
      <c r="M259" s="46">
        <f>IF(OR(B259="",J259=""),"",IF(I259&lt;=SUMPRODUCT(MIN((('Store Prices'!$B$5:$B$304=B259)*(IFERROR('Store Prices'!$I$5:$I$304*1,0)&gt;0))*IFERROR('Store Prices'!$I$5:$I$304*1,0)+(1-(('Store Prices'!$B$5:$B$304=B259)*(IFERROR('Store Prices'!$I$5:$I$304*1,0)&gt;0)))*999999))+0.0000001,"Yes","No"))</f>
        <v>0</v>
      </c>
      <c r="O259" s="18">
        <f>IF(N259="","",TODAY()-N259)</f>
        <v>0</v>
      </c>
      <c r="P259" s="31">
        <f>IF(B259="","",IF(G259="","Add - no price",IF(E259="","Add - no pack size",IF(AND(O259&lt;&gt;"",O259&gt;180),"Check - over six months old","OK"))))</f>
        <v>0</v>
      </c>
    </row>
    <row r="260" spans="1:16">
      <c r="A260" s="39">
        <f>IF(B260="","","SP-"&amp;TEXT(ROW()-4,"0000"))</f>
        <v>0</v>
      </c>
      <c r="F260" s="17">
        <f>IF(B260="","",IFERROR(INDEX(Ingredients!$G$5:$G$304,MATCH(B260,Ingredients!$B$5:$B$304,0)),"Add to Ingredients"))</f>
        <v>0</v>
      </c>
      <c r="I260" s="25">
        <f>IF(OR(G260="",E260="",E260=0),"",G260/E260)</f>
        <v>0</v>
      </c>
      <c r="J260" s="25">
        <f>IF(I260="","",I260*100)</f>
        <v>0</v>
      </c>
      <c r="K260" s="25">
        <f>IF(B260="","",IFERROR(INDEX(Ingredients!$J$5:$J$304,MATCH(B260,Ingredients!$B$5:$B$304,0)),"Add to Ingredients"))</f>
        <v>0</v>
      </c>
      <c r="L260" s="25">
        <f>IF(OR(I260="",K260="",NOT(ISNUMBER(K260))),"",(I260-K260)*100)</f>
        <v>0</v>
      </c>
      <c r="M260" s="46">
        <f>IF(OR(B260="",J260=""),"",IF(I260&lt;=SUMPRODUCT(MIN((('Store Prices'!$B$5:$B$304=B260)*(IFERROR('Store Prices'!$I$5:$I$304*1,0)&gt;0))*IFERROR('Store Prices'!$I$5:$I$304*1,0)+(1-(('Store Prices'!$B$5:$B$304=B260)*(IFERROR('Store Prices'!$I$5:$I$304*1,0)&gt;0)))*999999))+0.0000001,"Yes","No"))</f>
        <v>0</v>
      </c>
      <c r="O260" s="18">
        <f>IF(N260="","",TODAY()-N260)</f>
        <v>0</v>
      </c>
      <c r="P260" s="31">
        <f>IF(B260="","",IF(G260="","Add - no price",IF(E260="","Add - no pack size",IF(AND(O260&lt;&gt;"",O260&gt;180),"Check - over six months old","OK"))))</f>
        <v>0</v>
      </c>
    </row>
    <row r="261" spans="1:16">
      <c r="A261" s="39">
        <f>IF(B261="","","SP-"&amp;TEXT(ROW()-4,"0000"))</f>
        <v>0</v>
      </c>
      <c r="F261" s="17">
        <f>IF(B261="","",IFERROR(INDEX(Ingredients!$G$5:$G$304,MATCH(B261,Ingredients!$B$5:$B$304,0)),"Add to Ingredients"))</f>
        <v>0</v>
      </c>
      <c r="I261" s="25">
        <f>IF(OR(G261="",E261="",E261=0),"",G261/E261)</f>
        <v>0</v>
      </c>
      <c r="J261" s="25">
        <f>IF(I261="","",I261*100)</f>
        <v>0</v>
      </c>
      <c r="K261" s="25">
        <f>IF(B261="","",IFERROR(INDEX(Ingredients!$J$5:$J$304,MATCH(B261,Ingredients!$B$5:$B$304,0)),"Add to Ingredients"))</f>
        <v>0</v>
      </c>
      <c r="L261" s="25">
        <f>IF(OR(I261="",K261="",NOT(ISNUMBER(K261))),"",(I261-K261)*100)</f>
        <v>0</v>
      </c>
      <c r="M261" s="46">
        <f>IF(OR(B261="",J261=""),"",IF(I261&lt;=SUMPRODUCT(MIN((('Store Prices'!$B$5:$B$304=B261)*(IFERROR('Store Prices'!$I$5:$I$304*1,0)&gt;0))*IFERROR('Store Prices'!$I$5:$I$304*1,0)+(1-(('Store Prices'!$B$5:$B$304=B261)*(IFERROR('Store Prices'!$I$5:$I$304*1,0)&gt;0)))*999999))+0.0000001,"Yes","No"))</f>
        <v>0</v>
      </c>
      <c r="O261" s="18">
        <f>IF(N261="","",TODAY()-N261)</f>
        <v>0</v>
      </c>
      <c r="P261" s="31">
        <f>IF(B261="","",IF(G261="","Add - no price",IF(E261="","Add - no pack size",IF(AND(O261&lt;&gt;"",O261&gt;180),"Check - over six months old","OK"))))</f>
        <v>0</v>
      </c>
    </row>
    <row r="262" spans="1:16">
      <c r="A262" s="39">
        <f>IF(B262="","","SP-"&amp;TEXT(ROW()-4,"0000"))</f>
        <v>0</v>
      </c>
      <c r="F262" s="17">
        <f>IF(B262="","",IFERROR(INDEX(Ingredients!$G$5:$G$304,MATCH(B262,Ingredients!$B$5:$B$304,0)),"Add to Ingredients"))</f>
        <v>0</v>
      </c>
      <c r="I262" s="25">
        <f>IF(OR(G262="",E262="",E262=0),"",G262/E262)</f>
        <v>0</v>
      </c>
      <c r="J262" s="25">
        <f>IF(I262="","",I262*100)</f>
        <v>0</v>
      </c>
      <c r="K262" s="25">
        <f>IF(B262="","",IFERROR(INDEX(Ingredients!$J$5:$J$304,MATCH(B262,Ingredients!$B$5:$B$304,0)),"Add to Ingredients"))</f>
        <v>0</v>
      </c>
      <c r="L262" s="25">
        <f>IF(OR(I262="",K262="",NOT(ISNUMBER(K262))),"",(I262-K262)*100)</f>
        <v>0</v>
      </c>
      <c r="M262" s="46">
        <f>IF(OR(B262="",J262=""),"",IF(I262&lt;=SUMPRODUCT(MIN((('Store Prices'!$B$5:$B$304=B262)*(IFERROR('Store Prices'!$I$5:$I$304*1,0)&gt;0))*IFERROR('Store Prices'!$I$5:$I$304*1,0)+(1-(('Store Prices'!$B$5:$B$304=B262)*(IFERROR('Store Prices'!$I$5:$I$304*1,0)&gt;0)))*999999))+0.0000001,"Yes","No"))</f>
        <v>0</v>
      </c>
      <c r="O262" s="18">
        <f>IF(N262="","",TODAY()-N262)</f>
        <v>0</v>
      </c>
      <c r="P262" s="31">
        <f>IF(B262="","",IF(G262="","Add - no price",IF(E262="","Add - no pack size",IF(AND(O262&lt;&gt;"",O262&gt;180),"Check - over six months old","OK"))))</f>
        <v>0</v>
      </c>
    </row>
    <row r="263" spans="1:16">
      <c r="A263" s="39">
        <f>IF(B263="","","SP-"&amp;TEXT(ROW()-4,"0000"))</f>
        <v>0</v>
      </c>
      <c r="F263" s="17">
        <f>IF(B263="","",IFERROR(INDEX(Ingredients!$G$5:$G$304,MATCH(B263,Ingredients!$B$5:$B$304,0)),"Add to Ingredients"))</f>
        <v>0</v>
      </c>
      <c r="I263" s="25">
        <f>IF(OR(G263="",E263="",E263=0),"",G263/E263)</f>
        <v>0</v>
      </c>
      <c r="J263" s="25">
        <f>IF(I263="","",I263*100)</f>
        <v>0</v>
      </c>
      <c r="K263" s="25">
        <f>IF(B263="","",IFERROR(INDEX(Ingredients!$J$5:$J$304,MATCH(B263,Ingredients!$B$5:$B$304,0)),"Add to Ingredients"))</f>
        <v>0</v>
      </c>
      <c r="L263" s="25">
        <f>IF(OR(I263="",K263="",NOT(ISNUMBER(K263))),"",(I263-K263)*100)</f>
        <v>0</v>
      </c>
      <c r="M263" s="46">
        <f>IF(OR(B263="",J263=""),"",IF(I263&lt;=SUMPRODUCT(MIN((('Store Prices'!$B$5:$B$304=B263)*(IFERROR('Store Prices'!$I$5:$I$304*1,0)&gt;0))*IFERROR('Store Prices'!$I$5:$I$304*1,0)+(1-(('Store Prices'!$B$5:$B$304=B263)*(IFERROR('Store Prices'!$I$5:$I$304*1,0)&gt;0)))*999999))+0.0000001,"Yes","No"))</f>
        <v>0</v>
      </c>
      <c r="O263" s="18">
        <f>IF(N263="","",TODAY()-N263)</f>
        <v>0</v>
      </c>
      <c r="P263" s="31">
        <f>IF(B263="","",IF(G263="","Add - no price",IF(E263="","Add - no pack size",IF(AND(O263&lt;&gt;"",O263&gt;180),"Check - over six months old","OK"))))</f>
        <v>0</v>
      </c>
    </row>
    <row r="264" spans="1:16">
      <c r="A264" s="39">
        <f>IF(B264="","","SP-"&amp;TEXT(ROW()-4,"0000"))</f>
        <v>0</v>
      </c>
      <c r="F264" s="17">
        <f>IF(B264="","",IFERROR(INDEX(Ingredients!$G$5:$G$304,MATCH(B264,Ingredients!$B$5:$B$304,0)),"Add to Ingredients"))</f>
        <v>0</v>
      </c>
      <c r="I264" s="25">
        <f>IF(OR(G264="",E264="",E264=0),"",G264/E264)</f>
        <v>0</v>
      </c>
      <c r="J264" s="25">
        <f>IF(I264="","",I264*100)</f>
        <v>0</v>
      </c>
      <c r="K264" s="25">
        <f>IF(B264="","",IFERROR(INDEX(Ingredients!$J$5:$J$304,MATCH(B264,Ingredients!$B$5:$B$304,0)),"Add to Ingredients"))</f>
        <v>0</v>
      </c>
      <c r="L264" s="25">
        <f>IF(OR(I264="",K264="",NOT(ISNUMBER(K264))),"",(I264-K264)*100)</f>
        <v>0</v>
      </c>
      <c r="M264" s="46">
        <f>IF(OR(B264="",J264=""),"",IF(I264&lt;=SUMPRODUCT(MIN((('Store Prices'!$B$5:$B$304=B264)*(IFERROR('Store Prices'!$I$5:$I$304*1,0)&gt;0))*IFERROR('Store Prices'!$I$5:$I$304*1,0)+(1-(('Store Prices'!$B$5:$B$304=B264)*(IFERROR('Store Prices'!$I$5:$I$304*1,0)&gt;0)))*999999))+0.0000001,"Yes","No"))</f>
        <v>0</v>
      </c>
      <c r="O264" s="18">
        <f>IF(N264="","",TODAY()-N264)</f>
        <v>0</v>
      </c>
      <c r="P264" s="31">
        <f>IF(B264="","",IF(G264="","Add - no price",IF(E264="","Add - no pack size",IF(AND(O264&lt;&gt;"",O264&gt;180),"Check - over six months old","OK"))))</f>
        <v>0</v>
      </c>
    </row>
    <row r="265" spans="1:16">
      <c r="A265" s="39">
        <f>IF(B265="","","SP-"&amp;TEXT(ROW()-4,"0000"))</f>
        <v>0</v>
      </c>
      <c r="F265" s="17">
        <f>IF(B265="","",IFERROR(INDEX(Ingredients!$G$5:$G$304,MATCH(B265,Ingredients!$B$5:$B$304,0)),"Add to Ingredients"))</f>
        <v>0</v>
      </c>
      <c r="I265" s="25">
        <f>IF(OR(G265="",E265="",E265=0),"",G265/E265)</f>
        <v>0</v>
      </c>
      <c r="J265" s="25">
        <f>IF(I265="","",I265*100)</f>
        <v>0</v>
      </c>
      <c r="K265" s="25">
        <f>IF(B265="","",IFERROR(INDEX(Ingredients!$J$5:$J$304,MATCH(B265,Ingredients!$B$5:$B$304,0)),"Add to Ingredients"))</f>
        <v>0</v>
      </c>
      <c r="L265" s="25">
        <f>IF(OR(I265="",K265="",NOT(ISNUMBER(K265))),"",(I265-K265)*100)</f>
        <v>0</v>
      </c>
      <c r="M265" s="46">
        <f>IF(OR(B265="",J265=""),"",IF(I265&lt;=SUMPRODUCT(MIN((('Store Prices'!$B$5:$B$304=B265)*(IFERROR('Store Prices'!$I$5:$I$304*1,0)&gt;0))*IFERROR('Store Prices'!$I$5:$I$304*1,0)+(1-(('Store Prices'!$B$5:$B$304=B265)*(IFERROR('Store Prices'!$I$5:$I$304*1,0)&gt;0)))*999999))+0.0000001,"Yes","No"))</f>
        <v>0</v>
      </c>
      <c r="O265" s="18">
        <f>IF(N265="","",TODAY()-N265)</f>
        <v>0</v>
      </c>
      <c r="P265" s="31">
        <f>IF(B265="","",IF(G265="","Add - no price",IF(E265="","Add - no pack size",IF(AND(O265&lt;&gt;"",O265&gt;180),"Check - over six months old","OK"))))</f>
        <v>0</v>
      </c>
    </row>
    <row r="266" spans="1:16">
      <c r="A266" s="39">
        <f>IF(B266="","","SP-"&amp;TEXT(ROW()-4,"0000"))</f>
        <v>0</v>
      </c>
      <c r="F266" s="17">
        <f>IF(B266="","",IFERROR(INDEX(Ingredients!$G$5:$G$304,MATCH(B266,Ingredients!$B$5:$B$304,0)),"Add to Ingredients"))</f>
        <v>0</v>
      </c>
      <c r="I266" s="25">
        <f>IF(OR(G266="",E266="",E266=0),"",G266/E266)</f>
        <v>0</v>
      </c>
      <c r="J266" s="25">
        <f>IF(I266="","",I266*100)</f>
        <v>0</v>
      </c>
      <c r="K266" s="25">
        <f>IF(B266="","",IFERROR(INDEX(Ingredients!$J$5:$J$304,MATCH(B266,Ingredients!$B$5:$B$304,0)),"Add to Ingredients"))</f>
        <v>0</v>
      </c>
      <c r="L266" s="25">
        <f>IF(OR(I266="",K266="",NOT(ISNUMBER(K266))),"",(I266-K266)*100)</f>
        <v>0</v>
      </c>
      <c r="M266" s="46">
        <f>IF(OR(B266="",J266=""),"",IF(I266&lt;=SUMPRODUCT(MIN((('Store Prices'!$B$5:$B$304=B266)*(IFERROR('Store Prices'!$I$5:$I$304*1,0)&gt;0))*IFERROR('Store Prices'!$I$5:$I$304*1,0)+(1-(('Store Prices'!$B$5:$B$304=B266)*(IFERROR('Store Prices'!$I$5:$I$304*1,0)&gt;0)))*999999))+0.0000001,"Yes","No"))</f>
        <v>0</v>
      </c>
      <c r="O266" s="18">
        <f>IF(N266="","",TODAY()-N266)</f>
        <v>0</v>
      </c>
      <c r="P266" s="31">
        <f>IF(B266="","",IF(G266="","Add - no price",IF(E266="","Add - no pack size",IF(AND(O266&lt;&gt;"",O266&gt;180),"Check - over six months old","OK"))))</f>
        <v>0</v>
      </c>
    </row>
    <row r="267" spans="1:16">
      <c r="A267" s="39">
        <f>IF(B267="","","SP-"&amp;TEXT(ROW()-4,"0000"))</f>
        <v>0</v>
      </c>
      <c r="F267" s="17">
        <f>IF(B267="","",IFERROR(INDEX(Ingredients!$G$5:$G$304,MATCH(B267,Ingredients!$B$5:$B$304,0)),"Add to Ingredients"))</f>
        <v>0</v>
      </c>
      <c r="I267" s="25">
        <f>IF(OR(G267="",E267="",E267=0),"",G267/E267)</f>
        <v>0</v>
      </c>
      <c r="J267" s="25">
        <f>IF(I267="","",I267*100)</f>
        <v>0</v>
      </c>
      <c r="K267" s="25">
        <f>IF(B267="","",IFERROR(INDEX(Ingredients!$J$5:$J$304,MATCH(B267,Ingredients!$B$5:$B$304,0)),"Add to Ingredients"))</f>
        <v>0</v>
      </c>
      <c r="L267" s="25">
        <f>IF(OR(I267="",K267="",NOT(ISNUMBER(K267))),"",(I267-K267)*100)</f>
        <v>0</v>
      </c>
      <c r="M267" s="46">
        <f>IF(OR(B267="",J267=""),"",IF(I267&lt;=SUMPRODUCT(MIN((('Store Prices'!$B$5:$B$304=B267)*(IFERROR('Store Prices'!$I$5:$I$304*1,0)&gt;0))*IFERROR('Store Prices'!$I$5:$I$304*1,0)+(1-(('Store Prices'!$B$5:$B$304=B267)*(IFERROR('Store Prices'!$I$5:$I$304*1,0)&gt;0)))*999999))+0.0000001,"Yes","No"))</f>
        <v>0</v>
      </c>
      <c r="O267" s="18">
        <f>IF(N267="","",TODAY()-N267)</f>
        <v>0</v>
      </c>
      <c r="P267" s="31">
        <f>IF(B267="","",IF(G267="","Add - no price",IF(E267="","Add - no pack size",IF(AND(O267&lt;&gt;"",O267&gt;180),"Check - over six months old","OK"))))</f>
        <v>0</v>
      </c>
    </row>
    <row r="268" spans="1:16">
      <c r="A268" s="39">
        <f>IF(B268="","","SP-"&amp;TEXT(ROW()-4,"0000"))</f>
        <v>0</v>
      </c>
      <c r="F268" s="17">
        <f>IF(B268="","",IFERROR(INDEX(Ingredients!$G$5:$G$304,MATCH(B268,Ingredients!$B$5:$B$304,0)),"Add to Ingredients"))</f>
        <v>0</v>
      </c>
      <c r="I268" s="25">
        <f>IF(OR(G268="",E268="",E268=0),"",G268/E268)</f>
        <v>0</v>
      </c>
      <c r="J268" s="25">
        <f>IF(I268="","",I268*100)</f>
        <v>0</v>
      </c>
      <c r="K268" s="25">
        <f>IF(B268="","",IFERROR(INDEX(Ingredients!$J$5:$J$304,MATCH(B268,Ingredients!$B$5:$B$304,0)),"Add to Ingredients"))</f>
        <v>0</v>
      </c>
      <c r="L268" s="25">
        <f>IF(OR(I268="",K268="",NOT(ISNUMBER(K268))),"",(I268-K268)*100)</f>
        <v>0</v>
      </c>
      <c r="M268" s="46">
        <f>IF(OR(B268="",J268=""),"",IF(I268&lt;=SUMPRODUCT(MIN((('Store Prices'!$B$5:$B$304=B268)*(IFERROR('Store Prices'!$I$5:$I$304*1,0)&gt;0))*IFERROR('Store Prices'!$I$5:$I$304*1,0)+(1-(('Store Prices'!$B$5:$B$304=B268)*(IFERROR('Store Prices'!$I$5:$I$304*1,0)&gt;0)))*999999))+0.0000001,"Yes","No"))</f>
        <v>0</v>
      </c>
      <c r="O268" s="18">
        <f>IF(N268="","",TODAY()-N268)</f>
        <v>0</v>
      </c>
      <c r="P268" s="31">
        <f>IF(B268="","",IF(G268="","Add - no price",IF(E268="","Add - no pack size",IF(AND(O268&lt;&gt;"",O268&gt;180),"Check - over six months old","OK"))))</f>
        <v>0</v>
      </c>
    </row>
    <row r="269" spans="1:16">
      <c r="A269" s="39">
        <f>IF(B269="","","SP-"&amp;TEXT(ROW()-4,"0000"))</f>
        <v>0</v>
      </c>
      <c r="F269" s="17">
        <f>IF(B269="","",IFERROR(INDEX(Ingredients!$G$5:$G$304,MATCH(B269,Ingredients!$B$5:$B$304,0)),"Add to Ingredients"))</f>
        <v>0</v>
      </c>
      <c r="I269" s="25">
        <f>IF(OR(G269="",E269="",E269=0),"",G269/E269)</f>
        <v>0</v>
      </c>
      <c r="J269" s="25">
        <f>IF(I269="","",I269*100)</f>
        <v>0</v>
      </c>
      <c r="K269" s="25">
        <f>IF(B269="","",IFERROR(INDEX(Ingredients!$J$5:$J$304,MATCH(B269,Ingredients!$B$5:$B$304,0)),"Add to Ingredients"))</f>
        <v>0</v>
      </c>
      <c r="L269" s="25">
        <f>IF(OR(I269="",K269="",NOT(ISNUMBER(K269))),"",(I269-K269)*100)</f>
        <v>0</v>
      </c>
      <c r="M269" s="46">
        <f>IF(OR(B269="",J269=""),"",IF(I269&lt;=SUMPRODUCT(MIN((('Store Prices'!$B$5:$B$304=B269)*(IFERROR('Store Prices'!$I$5:$I$304*1,0)&gt;0))*IFERROR('Store Prices'!$I$5:$I$304*1,0)+(1-(('Store Prices'!$B$5:$B$304=B269)*(IFERROR('Store Prices'!$I$5:$I$304*1,0)&gt;0)))*999999))+0.0000001,"Yes","No"))</f>
        <v>0</v>
      </c>
      <c r="O269" s="18">
        <f>IF(N269="","",TODAY()-N269)</f>
        <v>0</v>
      </c>
      <c r="P269" s="31">
        <f>IF(B269="","",IF(G269="","Add - no price",IF(E269="","Add - no pack size",IF(AND(O269&lt;&gt;"",O269&gt;180),"Check - over six months old","OK"))))</f>
        <v>0</v>
      </c>
    </row>
    <row r="270" spans="1:16">
      <c r="A270" s="39">
        <f>IF(B270="","","SP-"&amp;TEXT(ROW()-4,"0000"))</f>
        <v>0</v>
      </c>
      <c r="F270" s="17">
        <f>IF(B270="","",IFERROR(INDEX(Ingredients!$G$5:$G$304,MATCH(B270,Ingredients!$B$5:$B$304,0)),"Add to Ingredients"))</f>
        <v>0</v>
      </c>
      <c r="I270" s="25">
        <f>IF(OR(G270="",E270="",E270=0),"",G270/E270)</f>
        <v>0</v>
      </c>
      <c r="J270" s="25">
        <f>IF(I270="","",I270*100)</f>
        <v>0</v>
      </c>
      <c r="K270" s="25">
        <f>IF(B270="","",IFERROR(INDEX(Ingredients!$J$5:$J$304,MATCH(B270,Ingredients!$B$5:$B$304,0)),"Add to Ingredients"))</f>
        <v>0</v>
      </c>
      <c r="L270" s="25">
        <f>IF(OR(I270="",K270="",NOT(ISNUMBER(K270))),"",(I270-K270)*100)</f>
        <v>0</v>
      </c>
      <c r="M270" s="46">
        <f>IF(OR(B270="",J270=""),"",IF(I270&lt;=SUMPRODUCT(MIN((('Store Prices'!$B$5:$B$304=B270)*(IFERROR('Store Prices'!$I$5:$I$304*1,0)&gt;0))*IFERROR('Store Prices'!$I$5:$I$304*1,0)+(1-(('Store Prices'!$B$5:$B$304=B270)*(IFERROR('Store Prices'!$I$5:$I$304*1,0)&gt;0)))*999999))+0.0000001,"Yes","No"))</f>
        <v>0</v>
      </c>
      <c r="O270" s="18">
        <f>IF(N270="","",TODAY()-N270)</f>
        <v>0</v>
      </c>
      <c r="P270" s="31">
        <f>IF(B270="","",IF(G270="","Add - no price",IF(E270="","Add - no pack size",IF(AND(O270&lt;&gt;"",O270&gt;180),"Check - over six months old","OK"))))</f>
        <v>0</v>
      </c>
    </row>
    <row r="271" spans="1:16">
      <c r="A271" s="39">
        <f>IF(B271="","","SP-"&amp;TEXT(ROW()-4,"0000"))</f>
        <v>0</v>
      </c>
      <c r="F271" s="17">
        <f>IF(B271="","",IFERROR(INDEX(Ingredients!$G$5:$G$304,MATCH(B271,Ingredients!$B$5:$B$304,0)),"Add to Ingredients"))</f>
        <v>0</v>
      </c>
      <c r="I271" s="25">
        <f>IF(OR(G271="",E271="",E271=0),"",G271/E271)</f>
        <v>0</v>
      </c>
      <c r="J271" s="25">
        <f>IF(I271="","",I271*100)</f>
        <v>0</v>
      </c>
      <c r="K271" s="25">
        <f>IF(B271="","",IFERROR(INDEX(Ingredients!$J$5:$J$304,MATCH(B271,Ingredients!$B$5:$B$304,0)),"Add to Ingredients"))</f>
        <v>0</v>
      </c>
      <c r="L271" s="25">
        <f>IF(OR(I271="",K271="",NOT(ISNUMBER(K271))),"",(I271-K271)*100)</f>
        <v>0</v>
      </c>
      <c r="M271" s="46">
        <f>IF(OR(B271="",J271=""),"",IF(I271&lt;=SUMPRODUCT(MIN((('Store Prices'!$B$5:$B$304=B271)*(IFERROR('Store Prices'!$I$5:$I$304*1,0)&gt;0))*IFERROR('Store Prices'!$I$5:$I$304*1,0)+(1-(('Store Prices'!$B$5:$B$304=B271)*(IFERROR('Store Prices'!$I$5:$I$304*1,0)&gt;0)))*999999))+0.0000001,"Yes","No"))</f>
        <v>0</v>
      </c>
      <c r="O271" s="18">
        <f>IF(N271="","",TODAY()-N271)</f>
        <v>0</v>
      </c>
      <c r="P271" s="31">
        <f>IF(B271="","",IF(G271="","Add - no price",IF(E271="","Add - no pack size",IF(AND(O271&lt;&gt;"",O271&gt;180),"Check - over six months old","OK"))))</f>
        <v>0</v>
      </c>
    </row>
    <row r="272" spans="1:16">
      <c r="A272" s="39">
        <f>IF(B272="","","SP-"&amp;TEXT(ROW()-4,"0000"))</f>
        <v>0</v>
      </c>
      <c r="F272" s="17">
        <f>IF(B272="","",IFERROR(INDEX(Ingredients!$G$5:$G$304,MATCH(B272,Ingredients!$B$5:$B$304,0)),"Add to Ingredients"))</f>
        <v>0</v>
      </c>
      <c r="I272" s="25">
        <f>IF(OR(G272="",E272="",E272=0),"",G272/E272)</f>
        <v>0</v>
      </c>
      <c r="J272" s="25">
        <f>IF(I272="","",I272*100)</f>
        <v>0</v>
      </c>
      <c r="K272" s="25">
        <f>IF(B272="","",IFERROR(INDEX(Ingredients!$J$5:$J$304,MATCH(B272,Ingredients!$B$5:$B$304,0)),"Add to Ingredients"))</f>
        <v>0</v>
      </c>
      <c r="L272" s="25">
        <f>IF(OR(I272="",K272="",NOT(ISNUMBER(K272))),"",(I272-K272)*100)</f>
        <v>0</v>
      </c>
      <c r="M272" s="46">
        <f>IF(OR(B272="",J272=""),"",IF(I272&lt;=SUMPRODUCT(MIN((('Store Prices'!$B$5:$B$304=B272)*(IFERROR('Store Prices'!$I$5:$I$304*1,0)&gt;0))*IFERROR('Store Prices'!$I$5:$I$304*1,0)+(1-(('Store Prices'!$B$5:$B$304=B272)*(IFERROR('Store Prices'!$I$5:$I$304*1,0)&gt;0)))*999999))+0.0000001,"Yes","No"))</f>
        <v>0</v>
      </c>
      <c r="O272" s="18">
        <f>IF(N272="","",TODAY()-N272)</f>
        <v>0</v>
      </c>
      <c r="P272" s="31">
        <f>IF(B272="","",IF(G272="","Add - no price",IF(E272="","Add - no pack size",IF(AND(O272&lt;&gt;"",O272&gt;180),"Check - over six months old","OK"))))</f>
        <v>0</v>
      </c>
    </row>
    <row r="273" spans="1:16">
      <c r="A273" s="39">
        <f>IF(B273="","","SP-"&amp;TEXT(ROW()-4,"0000"))</f>
        <v>0</v>
      </c>
      <c r="F273" s="17">
        <f>IF(B273="","",IFERROR(INDEX(Ingredients!$G$5:$G$304,MATCH(B273,Ingredients!$B$5:$B$304,0)),"Add to Ingredients"))</f>
        <v>0</v>
      </c>
      <c r="I273" s="25">
        <f>IF(OR(G273="",E273="",E273=0),"",G273/E273)</f>
        <v>0</v>
      </c>
      <c r="J273" s="25">
        <f>IF(I273="","",I273*100)</f>
        <v>0</v>
      </c>
      <c r="K273" s="25">
        <f>IF(B273="","",IFERROR(INDEX(Ingredients!$J$5:$J$304,MATCH(B273,Ingredients!$B$5:$B$304,0)),"Add to Ingredients"))</f>
        <v>0</v>
      </c>
      <c r="L273" s="25">
        <f>IF(OR(I273="",K273="",NOT(ISNUMBER(K273))),"",(I273-K273)*100)</f>
        <v>0</v>
      </c>
      <c r="M273" s="46">
        <f>IF(OR(B273="",J273=""),"",IF(I273&lt;=SUMPRODUCT(MIN((('Store Prices'!$B$5:$B$304=B273)*(IFERROR('Store Prices'!$I$5:$I$304*1,0)&gt;0))*IFERROR('Store Prices'!$I$5:$I$304*1,0)+(1-(('Store Prices'!$B$5:$B$304=B273)*(IFERROR('Store Prices'!$I$5:$I$304*1,0)&gt;0)))*999999))+0.0000001,"Yes","No"))</f>
        <v>0</v>
      </c>
      <c r="O273" s="18">
        <f>IF(N273="","",TODAY()-N273)</f>
        <v>0</v>
      </c>
      <c r="P273" s="31">
        <f>IF(B273="","",IF(G273="","Add - no price",IF(E273="","Add - no pack size",IF(AND(O273&lt;&gt;"",O273&gt;180),"Check - over six months old","OK"))))</f>
        <v>0</v>
      </c>
    </row>
    <row r="274" spans="1:16">
      <c r="A274" s="39">
        <f>IF(B274="","","SP-"&amp;TEXT(ROW()-4,"0000"))</f>
        <v>0</v>
      </c>
      <c r="F274" s="17">
        <f>IF(B274="","",IFERROR(INDEX(Ingredients!$G$5:$G$304,MATCH(B274,Ingredients!$B$5:$B$304,0)),"Add to Ingredients"))</f>
        <v>0</v>
      </c>
      <c r="I274" s="25">
        <f>IF(OR(G274="",E274="",E274=0),"",G274/E274)</f>
        <v>0</v>
      </c>
      <c r="J274" s="25">
        <f>IF(I274="","",I274*100)</f>
        <v>0</v>
      </c>
      <c r="K274" s="25">
        <f>IF(B274="","",IFERROR(INDEX(Ingredients!$J$5:$J$304,MATCH(B274,Ingredients!$B$5:$B$304,0)),"Add to Ingredients"))</f>
        <v>0</v>
      </c>
      <c r="L274" s="25">
        <f>IF(OR(I274="",K274="",NOT(ISNUMBER(K274))),"",(I274-K274)*100)</f>
        <v>0</v>
      </c>
      <c r="M274" s="46">
        <f>IF(OR(B274="",J274=""),"",IF(I274&lt;=SUMPRODUCT(MIN((('Store Prices'!$B$5:$B$304=B274)*(IFERROR('Store Prices'!$I$5:$I$304*1,0)&gt;0))*IFERROR('Store Prices'!$I$5:$I$304*1,0)+(1-(('Store Prices'!$B$5:$B$304=B274)*(IFERROR('Store Prices'!$I$5:$I$304*1,0)&gt;0)))*999999))+0.0000001,"Yes","No"))</f>
        <v>0</v>
      </c>
      <c r="O274" s="18">
        <f>IF(N274="","",TODAY()-N274)</f>
        <v>0</v>
      </c>
      <c r="P274" s="31">
        <f>IF(B274="","",IF(G274="","Add - no price",IF(E274="","Add - no pack size",IF(AND(O274&lt;&gt;"",O274&gt;180),"Check - over six months old","OK"))))</f>
        <v>0</v>
      </c>
    </row>
    <row r="275" spans="1:16">
      <c r="A275" s="39">
        <f>IF(B275="","","SP-"&amp;TEXT(ROW()-4,"0000"))</f>
        <v>0</v>
      </c>
      <c r="F275" s="17">
        <f>IF(B275="","",IFERROR(INDEX(Ingredients!$G$5:$G$304,MATCH(B275,Ingredients!$B$5:$B$304,0)),"Add to Ingredients"))</f>
        <v>0</v>
      </c>
      <c r="I275" s="25">
        <f>IF(OR(G275="",E275="",E275=0),"",G275/E275)</f>
        <v>0</v>
      </c>
      <c r="J275" s="25">
        <f>IF(I275="","",I275*100)</f>
        <v>0</v>
      </c>
      <c r="K275" s="25">
        <f>IF(B275="","",IFERROR(INDEX(Ingredients!$J$5:$J$304,MATCH(B275,Ingredients!$B$5:$B$304,0)),"Add to Ingredients"))</f>
        <v>0</v>
      </c>
      <c r="L275" s="25">
        <f>IF(OR(I275="",K275="",NOT(ISNUMBER(K275))),"",(I275-K275)*100)</f>
        <v>0</v>
      </c>
      <c r="M275" s="46">
        <f>IF(OR(B275="",J275=""),"",IF(I275&lt;=SUMPRODUCT(MIN((('Store Prices'!$B$5:$B$304=B275)*(IFERROR('Store Prices'!$I$5:$I$304*1,0)&gt;0))*IFERROR('Store Prices'!$I$5:$I$304*1,0)+(1-(('Store Prices'!$B$5:$B$304=B275)*(IFERROR('Store Prices'!$I$5:$I$304*1,0)&gt;0)))*999999))+0.0000001,"Yes","No"))</f>
        <v>0</v>
      </c>
      <c r="O275" s="18">
        <f>IF(N275="","",TODAY()-N275)</f>
        <v>0</v>
      </c>
      <c r="P275" s="31">
        <f>IF(B275="","",IF(G275="","Add - no price",IF(E275="","Add - no pack size",IF(AND(O275&lt;&gt;"",O275&gt;180),"Check - over six months old","OK"))))</f>
        <v>0</v>
      </c>
    </row>
    <row r="276" spans="1:16">
      <c r="A276" s="39">
        <f>IF(B276="","","SP-"&amp;TEXT(ROW()-4,"0000"))</f>
        <v>0</v>
      </c>
      <c r="F276" s="17">
        <f>IF(B276="","",IFERROR(INDEX(Ingredients!$G$5:$G$304,MATCH(B276,Ingredients!$B$5:$B$304,0)),"Add to Ingredients"))</f>
        <v>0</v>
      </c>
      <c r="I276" s="25">
        <f>IF(OR(G276="",E276="",E276=0),"",G276/E276)</f>
        <v>0</v>
      </c>
      <c r="J276" s="25">
        <f>IF(I276="","",I276*100)</f>
        <v>0</v>
      </c>
      <c r="K276" s="25">
        <f>IF(B276="","",IFERROR(INDEX(Ingredients!$J$5:$J$304,MATCH(B276,Ingredients!$B$5:$B$304,0)),"Add to Ingredients"))</f>
        <v>0</v>
      </c>
      <c r="L276" s="25">
        <f>IF(OR(I276="",K276="",NOT(ISNUMBER(K276))),"",(I276-K276)*100)</f>
        <v>0</v>
      </c>
      <c r="M276" s="46">
        <f>IF(OR(B276="",J276=""),"",IF(I276&lt;=SUMPRODUCT(MIN((('Store Prices'!$B$5:$B$304=B276)*(IFERROR('Store Prices'!$I$5:$I$304*1,0)&gt;0))*IFERROR('Store Prices'!$I$5:$I$304*1,0)+(1-(('Store Prices'!$B$5:$B$304=B276)*(IFERROR('Store Prices'!$I$5:$I$304*1,0)&gt;0)))*999999))+0.0000001,"Yes","No"))</f>
        <v>0</v>
      </c>
      <c r="O276" s="18">
        <f>IF(N276="","",TODAY()-N276)</f>
        <v>0</v>
      </c>
      <c r="P276" s="31">
        <f>IF(B276="","",IF(G276="","Add - no price",IF(E276="","Add - no pack size",IF(AND(O276&lt;&gt;"",O276&gt;180),"Check - over six months old","OK"))))</f>
        <v>0</v>
      </c>
    </row>
    <row r="277" spans="1:16">
      <c r="A277" s="39">
        <f>IF(B277="","","SP-"&amp;TEXT(ROW()-4,"0000"))</f>
        <v>0</v>
      </c>
      <c r="F277" s="17">
        <f>IF(B277="","",IFERROR(INDEX(Ingredients!$G$5:$G$304,MATCH(B277,Ingredients!$B$5:$B$304,0)),"Add to Ingredients"))</f>
        <v>0</v>
      </c>
      <c r="I277" s="25">
        <f>IF(OR(G277="",E277="",E277=0),"",G277/E277)</f>
        <v>0</v>
      </c>
      <c r="J277" s="25">
        <f>IF(I277="","",I277*100)</f>
        <v>0</v>
      </c>
      <c r="K277" s="25">
        <f>IF(B277="","",IFERROR(INDEX(Ingredients!$J$5:$J$304,MATCH(B277,Ingredients!$B$5:$B$304,0)),"Add to Ingredients"))</f>
        <v>0</v>
      </c>
      <c r="L277" s="25">
        <f>IF(OR(I277="",K277="",NOT(ISNUMBER(K277))),"",(I277-K277)*100)</f>
        <v>0</v>
      </c>
      <c r="M277" s="46">
        <f>IF(OR(B277="",J277=""),"",IF(I277&lt;=SUMPRODUCT(MIN((('Store Prices'!$B$5:$B$304=B277)*(IFERROR('Store Prices'!$I$5:$I$304*1,0)&gt;0))*IFERROR('Store Prices'!$I$5:$I$304*1,0)+(1-(('Store Prices'!$B$5:$B$304=B277)*(IFERROR('Store Prices'!$I$5:$I$304*1,0)&gt;0)))*999999))+0.0000001,"Yes","No"))</f>
        <v>0</v>
      </c>
      <c r="O277" s="18">
        <f>IF(N277="","",TODAY()-N277)</f>
        <v>0</v>
      </c>
      <c r="P277" s="31">
        <f>IF(B277="","",IF(G277="","Add - no price",IF(E277="","Add - no pack size",IF(AND(O277&lt;&gt;"",O277&gt;180),"Check - over six months old","OK"))))</f>
        <v>0</v>
      </c>
    </row>
    <row r="278" spans="1:16">
      <c r="A278" s="39">
        <f>IF(B278="","","SP-"&amp;TEXT(ROW()-4,"0000"))</f>
        <v>0</v>
      </c>
      <c r="F278" s="17">
        <f>IF(B278="","",IFERROR(INDEX(Ingredients!$G$5:$G$304,MATCH(B278,Ingredients!$B$5:$B$304,0)),"Add to Ingredients"))</f>
        <v>0</v>
      </c>
      <c r="I278" s="25">
        <f>IF(OR(G278="",E278="",E278=0),"",G278/E278)</f>
        <v>0</v>
      </c>
      <c r="J278" s="25">
        <f>IF(I278="","",I278*100)</f>
        <v>0</v>
      </c>
      <c r="K278" s="25">
        <f>IF(B278="","",IFERROR(INDEX(Ingredients!$J$5:$J$304,MATCH(B278,Ingredients!$B$5:$B$304,0)),"Add to Ingredients"))</f>
        <v>0</v>
      </c>
      <c r="L278" s="25">
        <f>IF(OR(I278="",K278="",NOT(ISNUMBER(K278))),"",(I278-K278)*100)</f>
        <v>0</v>
      </c>
      <c r="M278" s="46">
        <f>IF(OR(B278="",J278=""),"",IF(I278&lt;=SUMPRODUCT(MIN((('Store Prices'!$B$5:$B$304=B278)*(IFERROR('Store Prices'!$I$5:$I$304*1,0)&gt;0))*IFERROR('Store Prices'!$I$5:$I$304*1,0)+(1-(('Store Prices'!$B$5:$B$304=B278)*(IFERROR('Store Prices'!$I$5:$I$304*1,0)&gt;0)))*999999))+0.0000001,"Yes","No"))</f>
        <v>0</v>
      </c>
      <c r="O278" s="18">
        <f>IF(N278="","",TODAY()-N278)</f>
        <v>0</v>
      </c>
      <c r="P278" s="31">
        <f>IF(B278="","",IF(G278="","Add - no price",IF(E278="","Add - no pack size",IF(AND(O278&lt;&gt;"",O278&gt;180),"Check - over six months old","OK"))))</f>
        <v>0</v>
      </c>
    </row>
    <row r="279" spans="1:16">
      <c r="A279" s="39">
        <f>IF(B279="","","SP-"&amp;TEXT(ROW()-4,"0000"))</f>
        <v>0</v>
      </c>
      <c r="F279" s="17">
        <f>IF(B279="","",IFERROR(INDEX(Ingredients!$G$5:$G$304,MATCH(B279,Ingredients!$B$5:$B$304,0)),"Add to Ingredients"))</f>
        <v>0</v>
      </c>
      <c r="I279" s="25">
        <f>IF(OR(G279="",E279="",E279=0),"",G279/E279)</f>
        <v>0</v>
      </c>
      <c r="J279" s="25">
        <f>IF(I279="","",I279*100)</f>
        <v>0</v>
      </c>
      <c r="K279" s="25">
        <f>IF(B279="","",IFERROR(INDEX(Ingredients!$J$5:$J$304,MATCH(B279,Ingredients!$B$5:$B$304,0)),"Add to Ingredients"))</f>
        <v>0</v>
      </c>
      <c r="L279" s="25">
        <f>IF(OR(I279="",K279="",NOT(ISNUMBER(K279))),"",(I279-K279)*100)</f>
        <v>0</v>
      </c>
      <c r="M279" s="46">
        <f>IF(OR(B279="",J279=""),"",IF(I279&lt;=SUMPRODUCT(MIN((('Store Prices'!$B$5:$B$304=B279)*(IFERROR('Store Prices'!$I$5:$I$304*1,0)&gt;0))*IFERROR('Store Prices'!$I$5:$I$304*1,0)+(1-(('Store Prices'!$B$5:$B$304=B279)*(IFERROR('Store Prices'!$I$5:$I$304*1,0)&gt;0)))*999999))+0.0000001,"Yes","No"))</f>
        <v>0</v>
      </c>
      <c r="O279" s="18">
        <f>IF(N279="","",TODAY()-N279)</f>
        <v>0</v>
      </c>
      <c r="P279" s="31">
        <f>IF(B279="","",IF(G279="","Add - no price",IF(E279="","Add - no pack size",IF(AND(O279&lt;&gt;"",O279&gt;180),"Check - over six months old","OK"))))</f>
        <v>0</v>
      </c>
    </row>
    <row r="280" spans="1:16">
      <c r="A280" s="39">
        <f>IF(B280="","","SP-"&amp;TEXT(ROW()-4,"0000"))</f>
        <v>0</v>
      </c>
      <c r="F280" s="17">
        <f>IF(B280="","",IFERROR(INDEX(Ingredients!$G$5:$G$304,MATCH(B280,Ingredients!$B$5:$B$304,0)),"Add to Ingredients"))</f>
        <v>0</v>
      </c>
      <c r="I280" s="25">
        <f>IF(OR(G280="",E280="",E280=0),"",G280/E280)</f>
        <v>0</v>
      </c>
      <c r="J280" s="25">
        <f>IF(I280="","",I280*100)</f>
        <v>0</v>
      </c>
      <c r="K280" s="25">
        <f>IF(B280="","",IFERROR(INDEX(Ingredients!$J$5:$J$304,MATCH(B280,Ingredients!$B$5:$B$304,0)),"Add to Ingredients"))</f>
        <v>0</v>
      </c>
      <c r="L280" s="25">
        <f>IF(OR(I280="",K280="",NOT(ISNUMBER(K280))),"",(I280-K280)*100)</f>
        <v>0</v>
      </c>
      <c r="M280" s="46">
        <f>IF(OR(B280="",J280=""),"",IF(I280&lt;=SUMPRODUCT(MIN((('Store Prices'!$B$5:$B$304=B280)*(IFERROR('Store Prices'!$I$5:$I$304*1,0)&gt;0))*IFERROR('Store Prices'!$I$5:$I$304*1,0)+(1-(('Store Prices'!$B$5:$B$304=B280)*(IFERROR('Store Prices'!$I$5:$I$304*1,0)&gt;0)))*999999))+0.0000001,"Yes","No"))</f>
        <v>0</v>
      </c>
      <c r="O280" s="18">
        <f>IF(N280="","",TODAY()-N280)</f>
        <v>0</v>
      </c>
      <c r="P280" s="31">
        <f>IF(B280="","",IF(G280="","Add - no price",IF(E280="","Add - no pack size",IF(AND(O280&lt;&gt;"",O280&gt;180),"Check - over six months old","OK"))))</f>
        <v>0</v>
      </c>
    </row>
    <row r="281" spans="1:16">
      <c r="A281" s="39">
        <f>IF(B281="","","SP-"&amp;TEXT(ROW()-4,"0000"))</f>
        <v>0</v>
      </c>
      <c r="F281" s="17">
        <f>IF(B281="","",IFERROR(INDEX(Ingredients!$G$5:$G$304,MATCH(B281,Ingredients!$B$5:$B$304,0)),"Add to Ingredients"))</f>
        <v>0</v>
      </c>
      <c r="I281" s="25">
        <f>IF(OR(G281="",E281="",E281=0),"",G281/E281)</f>
        <v>0</v>
      </c>
      <c r="J281" s="25">
        <f>IF(I281="","",I281*100)</f>
        <v>0</v>
      </c>
      <c r="K281" s="25">
        <f>IF(B281="","",IFERROR(INDEX(Ingredients!$J$5:$J$304,MATCH(B281,Ingredients!$B$5:$B$304,0)),"Add to Ingredients"))</f>
        <v>0</v>
      </c>
      <c r="L281" s="25">
        <f>IF(OR(I281="",K281="",NOT(ISNUMBER(K281))),"",(I281-K281)*100)</f>
        <v>0</v>
      </c>
      <c r="M281" s="46">
        <f>IF(OR(B281="",J281=""),"",IF(I281&lt;=SUMPRODUCT(MIN((('Store Prices'!$B$5:$B$304=B281)*(IFERROR('Store Prices'!$I$5:$I$304*1,0)&gt;0))*IFERROR('Store Prices'!$I$5:$I$304*1,0)+(1-(('Store Prices'!$B$5:$B$304=B281)*(IFERROR('Store Prices'!$I$5:$I$304*1,0)&gt;0)))*999999))+0.0000001,"Yes","No"))</f>
        <v>0</v>
      </c>
      <c r="O281" s="18">
        <f>IF(N281="","",TODAY()-N281)</f>
        <v>0</v>
      </c>
      <c r="P281" s="31">
        <f>IF(B281="","",IF(G281="","Add - no price",IF(E281="","Add - no pack size",IF(AND(O281&lt;&gt;"",O281&gt;180),"Check - over six months old","OK"))))</f>
        <v>0</v>
      </c>
    </row>
    <row r="282" spans="1:16">
      <c r="A282" s="39">
        <f>IF(B282="","","SP-"&amp;TEXT(ROW()-4,"0000"))</f>
        <v>0</v>
      </c>
      <c r="F282" s="17">
        <f>IF(B282="","",IFERROR(INDEX(Ingredients!$G$5:$G$304,MATCH(B282,Ingredients!$B$5:$B$304,0)),"Add to Ingredients"))</f>
        <v>0</v>
      </c>
      <c r="I282" s="25">
        <f>IF(OR(G282="",E282="",E282=0),"",G282/E282)</f>
        <v>0</v>
      </c>
      <c r="J282" s="25">
        <f>IF(I282="","",I282*100)</f>
        <v>0</v>
      </c>
      <c r="K282" s="25">
        <f>IF(B282="","",IFERROR(INDEX(Ingredients!$J$5:$J$304,MATCH(B282,Ingredients!$B$5:$B$304,0)),"Add to Ingredients"))</f>
        <v>0</v>
      </c>
      <c r="L282" s="25">
        <f>IF(OR(I282="",K282="",NOT(ISNUMBER(K282))),"",(I282-K282)*100)</f>
        <v>0</v>
      </c>
      <c r="M282" s="46">
        <f>IF(OR(B282="",J282=""),"",IF(I282&lt;=SUMPRODUCT(MIN((('Store Prices'!$B$5:$B$304=B282)*(IFERROR('Store Prices'!$I$5:$I$304*1,0)&gt;0))*IFERROR('Store Prices'!$I$5:$I$304*1,0)+(1-(('Store Prices'!$B$5:$B$304=B282)*(IFERROR('Store Prices'!$I$5:$I$304*1,0)&gt;0)))*999999))+0.0000001,"Yes","No"))</f>
        <v>0</v>
      </c>
      <c r="O282" s="18">
        <f>IF(N282="","",TODAY()-N282)</f>
        <v>0</v>
      </c>
      <c r="P282" s="31">
        <f>IF(B282="","",IF(G282="","Add - no price",IF(E282="","Add - no pack size",IF(AND(O282&lt;&gt;"",O282&gt;180),"Check - over six months old","OK"))))</f>
        <v>0</v>
      </c>
    </row>
    <row r="283" spans="1:16">
      <c r="A283" s="39">
        <f>IF(B283="","","SP-"&amp;TEXT(ROW()-4,"0000"))</f>
        <v>0</v>
      </c>
      <c r="F283" s="17">
        <f>IF(B283="","",IFERROR(INDEX(Ingredients!$G$5:$G$304,MATCH(B283,Ingredients!$B$5:$B$304,0)),"Add to Ingredients"))</f>
        <v>0</v>
      </c>
      <c r="I283" s="25">
        <f>IF(OR(G283="",E283="",E283=0),"",G283/E283)</f>
        <v>0</v>
      </c>
      <c r="J283" s="25">
        <f>IF(I283="","",I283*100)</f>
        <v>0</v>
      </c>
      <c r="K283" s="25">
        <f>IF(B283="","",IFERROR(INDEX(Ingredients!$J$5:$J$304,MATCH(B283,Ingredients!$B$5:$B$304,0)),"Add to Ingredients"))</f>
        <v>0</v>
      </c>
      <c r="L283" s="25">
        <f>IF(OR(I283="",K283="",NOT(ISNUMBER(K283))),"",(I283-K283)*100)</f>
        <v>0</v>
      </c>
      <c r="M283" s="46">
        <f>IF(OR(B283="",J283=""),"",IF(I283&lt;=SUMPRODUCT(MIN((('Store Prices'!$B$5:$B$304=B283)*(IFERROR('Store Prices'!$I$5:$I$304*1,0)&gt;0))*IFERROR('Store Prices'!$I$5:$I$304*1,0)+(1-(('Store Prices'!$B$5:$B$304=B283)*(IFERROR('Store Prices'!$I$5:$I$304*1,0)&gt;0)))*999999))+0.0000001,"Yes","No"))</f>
        <v>0</v>
      </c>
      <c r="O283" s="18">
        <f>IF(N283="","",TODAY()-N283)</f>
        <v>0</v>
      </c>
      <c r="P283" s="31">
        <f>IF(B283="","",IF(G283="","Add - no price",IF(E283="","Add - no pack size",IF(AND(O283&lt;&gt;"",O283&gt;180),"Check - over six months old","OK"))))</f>
        <v>0</v>
      </c>
    </row>
    <row r="284" spans="1:16">
      <c r="A284" s="39">
        <f>IF(B284="","","SP-"&amp;TEXT(ROW()-4,"0000"))</f>
        <v>0</v>
      </c>
      <c r="F284" s="17">
        <f>IF(B284="","",IFERROR(INDEX(Ingredients!$G$5:$G$304,MATCH(B284,Ingredients!$B$5:$B$304,0)),"Add to Ingredients"))</f>
        <v>0</v>
      </c>
      <c r="I284" s="25">
        <f>IF(OR(G284="",E284="",E284=0),"",G284/E284)</f>
        <v>0</v>
      </c>
      <c r="J284" s="25">
        <f>IF(I284="","",I284*100)</f>
        <v>0</v>
      </c>
      <c r="K284" s="25">
        <f>IF(B284="","",IFERROR(INDEX(Ingredients!$J$5:$J$304,MATCH(B284,Ingredients!$B$5:$B$304,0)),"Add to Ingredients"))</f>
        <v>0</v>
      </c>
      <c r="L284" s="25">
        <f>IF(OR(I284="",K284="",NOT(ISNUMBER(K284))),"",(I284-K284)*100)</f>
        <v>0</v>
      </c>
      <c r="M284" s="46">
        <f>IF(OR(B284="",J284=""),"",IF(I284&lt;=SUMPRODUCT(MIN((('Store Prices'!$B$5:$B$304=B284)*(IFERROR('Store Prices'!$I$5:$I$304*1,0)&gt;0))*IFERROR('Store Prices'!$I$5:$I$304*1,0)+(1-(('Store Prices'!$B$5:$B$304=B284)*(IFERROR('Store Prices'!$I$5:$I$304*1,0)&gt;0)))*999999))+0.0000001,"Yes","No"))</f>
        <v>0</v>
      </c>
      <c r="O284" s="18">
        <f>IF(N284="","",TODAY()-N284)</f>
        <v>0</v>
      </c>
      <c r="P284" s="31">
        <f>IF(B284="","",IF(G284="","Add - no price",IF(E284="","Add - no pack size",IF(AND(O284&lt;&gt;"",O284&gt;180),"Check - over six months old","OK"))))</f>
        <v>0</v>
      </c>
    </row>
    <row r="285" spans="1:16">
      <c r="A285" s="39">
        <f>IF(B285="","","SP-"&amp;TEXT(ROW()-4,"0000"))</f>
        <v>0</v>
      </c>
      <c r="F285" s="17">
        <f>IF(B285="","",IFERROR(INDEX(Ingredients!$G$5:$G$304,MATCH(B285,Ingredients!$B$5:$B$304,0)),"Add to Ingredients"))</f>
        <v>0</v>
      </c>
      <c r="I285" s="25">
        <f>IF(OR(G285="",E285="",E285=0),"",G285/E285)</f>
        <v>0</v>
      </c>
      <c r="J285" s="25">
        <f>IF(I285="","",I285*100)</f>
        <v>0</v>
      </c>
      <c r="K285" s="25">
        <f>IF(B285="","",IFERROR(INDEX(Ingredients!$J$5:$J$304,MATCH(B285,Ingredients!$B$5:$B$304,0)),"Add to Ingredients"))</f>
        <v>0</v>
      </c>
      <c r="L285" s="25">
        <f>IF(OR(I285="",K285="",NOT(ISNUMBER(K285))),"",(I285-K285)*100)</f>
        <v>0</v>
      </c>
      <c r="M285" s="46">
        <f>IF(OR(B285="",J285=""),"",IF(I285&lt;=SUMPRODUCT(MIN((('Store Prices'!$B$5:$B$304=B285)*(IFERROR('Store Prices'!$I$5:$I$304*1,0)&gt;0))*IFERROR('Store Prices'!$I$5:$I$304*1,0)+(1-(('Store Prices'!$B$5:$B$304=B285)*(IFERROR('Store Prices'!$I$5:$I$304*1,0)&gt;0)))*999999))+0.0000001,"Yes","No"))</f>
        <v>0</v>
      </c>
      <c r="O285" s="18">
        <f>IF(N285="","",TODAY()-N285)</f>
        <v>0</v>
      </c>
      <c r="P285" s="31">
        <f>IF(B285="","",IF(G285="","Add - no price",IF(E285="","Add - no pack size",IF(AND(O285&lt;&gt;"",O285&gt;180),"Check - over six months old","OK"))))</f>
        <v>0</v>
      </c>
    </row>
    <row r="286" spans="1:16">
      <c r="A286" s="39">
        <f>IF(B286="","","SP-"&amp;TEXT(ROW()-4,"0000"))</f>
        <v>0</v>
      </c>
      <c r="F286" s="17">
        <f>IF(B286="","",IFERROR(INDEX(Ingredients!$G$5:$G$304,MATCH(B286,Ingredients!$B$5:$B$304,0)),"Add to Ingredients"))</f>
        <v>0</v>
      </c>
      <c r="I286" s="25">
        <f>IF(OR(G286="",E286="",E286=0),"",G286/E286)</f>
        <v>0</v>
      </c>
      <c r="J286" s="25">
        <f>IF(I286="","",I286*100)</f>
        <v>0</v>
      </c>
      <c r="K286" s="25">
        <f>IF(B286="","",IFERROR(INDEX(Ingredients!$J$5:$J$304,MATCH(B286,Ingredients!$B$5:$B$304,0)),"Add to Ingredients"))</f>
        <v>0</v>
      </c>
      <c r="L286" s="25">
        <f>IF(OR(I286="",K286="",NOT(ISNUMBER(K286))),"",(I286-K286)*100)</f>
        <v>0</v>
      </c>
      <c r="M286" s="46">
        <f>IF(OR(B286="",J286=""),"",IF(I286&lt;=SUMPRODUCT(MIN((('Store Prices'!$B$5:$B$304=B286)*(IFERROR('Store Prices'!$I$5:$I$304*1,0)&gt;0))*IFERROR('Store Prices'!$I$5:$I$304*1,0)+(1-(('Store Prices'!$B$5:$B$304=B286)*(IFERROR('Store Prices'!$I$5:$I$304*1,0)&gt;0)))*999999))+0.0000001,"Yes","No"))</f>
        <v>0</v>
      </c>
      <c r="O286" s="18">
        <f>IF(N286="","",TODAY()-N286)</f>
        <v>0</v>
      </c>
      <c r="P286" s="31">
        <f>IF(B286="","",IF(G286="","Add - no price",IF(E286="","Add - no pack size",IF(AND(O286&lt;&gt;"",O286&gt;180),"Check - over six months old","OK"))))</f>
        <v>0</v>
      </c>
    </row>
    <row r="287" spans="1:16">
      <c r="A287" s="39">
        <f>IF(B287="","","SP-"&amp;TEXT(ROW()-4,"0000"))</f>
        <v>0</v>
      </c>
      <c r="F287" s="17">
        <f>IF(B287="","",IFERROR(INDEX(Ingredients!$G$5:$G$304,MATCH(B287,Ingredients!$B$5:$B$304,0)),"Add to Ingredients"))</f>
        <v>0</v>
      </c>
      <c r="I287" s="25">
        <f>IF(OR(G287="",E287="",E287=0),"",G287/E287)</f>
        <v>0</v>
      </c>
      <c r="J287" s="25">
        <f>IF(I287="","",I287*100)</f>
        <v>0</v>
      </c>
      <c r="K287" s="25">
        <f>IF(B287="","",IFERROR(INDEX(Ingredients!$J$5:$J$304,MATCH(B287,Ingredients!$B$5:$B$304,0)),"Add to Ingredients"))</f>
        <v>0</v>
      </c>
      <c r="L287" s="25">
        <f>IF(OR(I287="",K287="",NOT(ISNUMBER(K287))),"",(I287-K287)*100)</f>
        <v>0</v>
      </c>
      <c r="M287" s="46">
        <f>IF(OR(B287="",J287=""),"",IF(I287&lt;=SUMPRODUCT(MIN((('Store Prices'!$B$5:$B$304=B287)*(IFERROR('Store Prices'!$I$5:$I$304*1,0)&gt;0))*IFERROR('Store Prices'!$I$5:$I$304*1,0)+(1-(('Store Prices'!$B$5:$B$304=B287)*(IFERROR('Store Prices'!$I$5:$I$304*1,0)&gt;0)))*999999))+0.0000001,"Yes","No"))</f>
        <v>0</v>
      </c>
      <c r="O287" s="18">
        <f>IF(N287="","",TODAY()-N287)</f>
        <v>0</v>
      </c>
      <c r="P287" s="31">
        <f>IF(B287="","",IF(G287="","Add - no price",IF(E287="","Add - no pack size",IF(AND(O287&lt;&gt;"",O287&gt;180),"Check - over six months old","OK"))))</f>
        <v>0</v>
      </c>
    </row>
    <row r="288" spans="1:16">
      <c r="A288" s="39">
        <f>IF(B288="","","SP-"&amp;TEXT(ROW()-4,"0000"))</f>
        <v>0</v>
      </c>
      <c r="F288" s="17">
        <f>IF(B288="","",IFERROR(INDEX(Ingredients!$G$5:$G$304,MATCH(B288,Ingredients!$B$5:$B$304,0)),"Add to Ingredients"))</f>
        <v>0</v>
      </c>
      <c r="I288" s="25">
        <f>IF(OR(G288="",E288="",E288=0),"",G288/E288)</f>
        <v>0</v>
      </c>
      <c r="J288" s="25">
        <f>IF(I288="","",I288*100)</f>
        <v>0</v>
      </c>
      <c r="K288" s="25">
        <f>IF(B288="","",IFERROR(INDEX(Ingredients!$J$5:$J$304,MATCH(B288,Ingredients!$B$5:$B$304,0)),"Add to Ingredients"))</f>
        <v>0</v>
      </c>
      <c r="L288" s="25">
        <f>IF(OR(I288="",K288="",NOT(ISNUMBER(K288))),"",(I288-K288)*100)</f>
        <v>0</v>
      </c>
      <c r="M288" s="46">
        <f>IF(OR(B288="",J288=""),"",IF(I288&lt;=SUMPRODUCT(MIN((('Store Prices'!$B$5:$B$304=B288)*(IFERROR('Store Prices'!$I$5:$I$304*1,0)&gt;0))*IFERROR('Store Prices'!$I$5:$I$304*1,0)+(1-(('Store Prices'!$B$5:$B$304=B288)*(IFERROR('Store Prices'!$I$5:$I$304*1,0)&gt;0)))*999999))+0.0000001,"Yes","No"))</f>
        <v>0</v>
      </c>
      <c r="O288" s="18">
        <f>IF(N288="","",TODAY()-N288)</f>
        <v>0</v>
      </c>
      <c r="P288" s="31">
        <f>IF(B288="","",IF(G288="","Add - no price",IF(E288="","Add - no pack size",IF(AND(O288&lt;&gt;"",O288&gt;180),"Check - over six months old","OK"))))</f>
        <v>0</v>
      </c>
    </row>
    <row r="289" spans="1:16">
      <c r="A289" s="39">
        <f>IF(B289="","","SP-"&amp;TEXT(ROW()-4,"0000"))</f>
        <v>0</v>
      </c>
      <c r="F289" s="17">
        <f>IF(B289="","",IFERROR(INDEX(Ingredients!$G$5:$G$304,MATCH(B289,Ingredients!$B$5:$B$304,0)),"Add to Ingredients"))</f>
        <v>0</v>
      </c>
      <c r="I289" s="25">
        <f>IF(OR(G289="",E289="",E289=0),"",G289/E289)</f>
        <v>0</v>
      </c>
      <c r="J289" s="25">
        <f>IF(I289="","",I289*100)</f>
        <v>0</v>
      </c>
      <c r="K289" s="25">
        <f>IF(B289="","",IFERROR(INDEX(Ingredients!$J$5:$J$304,MATCH(B289,Ingredients!$B$5:$B$304,0)),"Add to Ingredients"))</f>
        <v>0</v>
      </c>
      <c r="L289" s="25">
        <f>IF(OR(I289="",K289="",NOT(ISNUMBER(K289))),"",(I289-K289)*100)</f>
        <v>0</v>
      </c>
      <c r="M289" s="46">
        <f>IF(OR(B289="",J289=""),"",IF(I289&lt;=SUMPRODUCT(MIN((('Store Prices'!$B$5:$B$304=B289)*(IFERROR('Store Prices'!$I$5:$I$304*1,0)&gt;0))*IFERROR('Store Prices'!$I$5:$I$304*1,0)+(1-(('Store Prices'!$B$5:$B$304=B289)*(IFERROR('Store Prices'!$I$5:$I$304*1,0)&gt;0)))*999999))+0.0000001,"Yes","No"))</f>
        <v>0</v>
      </c>
      <c r="O289" s="18">
        <f>IF(N289="","",TODAY()-N289)</f>
        <v>0</v>
      </c>
      <c r="P289" s="31">
        <f>IF(B289="","",IF(G289="","Add - no price",IF(E289="","Add - no pack size",IF(AND(O289&lt;&gt;"",O289&gt;180),"Check - over six months old","OK"))))</f>
        <v>0</v>
      </c>
    </row>
    <row r="290" spans="1:16">
      <c r="A290" s="39">
        <f>IF(B290="","","SP-"&amp;TEXT(ROW()-4,"0000"))</f>
        <v>0</v>
      </c>
      <c r="F290" s="17">
        <f>IF(B290="","",IFERROR(INDEX(Ingredients!$G$5:$G$304,MATCH(B290,Ingredients!$B$5:$B$304,0)),"Add to Ingredients"))</f>
        <v>0</v>
      </c>
      <c r="I290" s="25">
        <f>IF(OR(G290="",E290="",E290=0),"",G290/E290)</f>
        <v>0</v>
      </c>
      <c r="J290" s="25">
        <f>IF(I290="","",I290*100)</f>
        <v>0</v>
      </c>
      <c r="K290" s="25">
        <f>IF(B290="","",IFERROR(INDEX(Ingredients!$J$5:$J$304,MATCH(B290,Ingredients!$B$5:$B$304,0)),"Add to Ingredients"))</f>
        <v>0</v>
      </c>
      <c r="L290" s="25">
        <f>IF(OR(I290="",K290="",NOT(ISNUMBER(K290))),"",(I290-K290)*100)</f>
        <v>0</v>
      </c>
      <c r="M290" s="46">
        <f>IF(OR(B290="",J290=""),"",IF(I290&lt;=SUMPRODUCT(MIN((('Store Prices'!$B$5:$B$304=B290)*(IFERROR('Store Prices'!$I$5:$I$304*1,0)&gt;0))*IFERROR('Store Prices'!$I$5:$I$304*1,0)+(1-(('Store Prices'!$B$5:$B$304=B290)*(IFERROR('Store Prices'!$I$5:$I$304*1,0)&gt;0)))*999999))+0.0000001,"Yes","No"))</f>
        <v>0</v>
      </c>
      <c r="O290" s="18">
        <f>IF(N290="","",TODAY()-N290)</f>
        <v>0</v>
      </c>
      <c r="P290" s="31">
        <f>IF(B290="","",IF(G290="","Add - no price",IF(E290="","Add - no pack size",IF(AND(O290&lt;&gt;"",O290&gt;180),"Check - over six months old","OK"))))</f>
        <v>0</v>
      </c>
    </row>
    <row r="291" spans="1:16">
      <c r="A291" s="39">
        <f>IF(B291="","","SP-"&amp;TEXT(ROW()-4,"0000"))</f>
        <v>0</v>
      </c>
      <c r="F291" s="17">
        <f>IF(B291="","",IFERROR(INDEX(Ingredients!$G$5:$G$304,MATCH(B291,Ingredients!$B$5:$B$304,0)),"Add to Ingredients"))</f>
        <v>0</v>
      </c>
      <c r="I291" s="25">
        <f>IF(OR(G291="",E291="",E291=0),"",G291/E291)</f>
        <v>0</v>
      </c>
      <c r="J291" s="25">
        <f>IF(I291="","",I291*100)</f>
        <v>0</v>
      </c>
      <c r="K291" s="25">
        <f>IF(B291="","",IFERROR(INDEX(Ingredients!$J$5:$J$304,MATCH(B291,Ingredients!$B$5:$B$304,0)),"Add to Ingredients"))</f>
        <v>0</v>
      </c>
      <c r="L291" s="25">
        <f>IF(OR(I291="",K291="",NOT(ISNUMBER(K291))),"",(I291-K291)*100)</f>
        <v>0</v>
      </c>
      <c r="M291" s="46">
        <f>IF(OR(B291="",J291=""),"",IF(I291&lt;=SUMPRODUCT(MIN((('Store Prices'!$B$5:$B$304=B291)*(IFERROR('Store Prices'!$I$5:$I$304*1,0)&gt;0))*IFERROR('Store Prices'!$I$5:$I$304*1,0)+(1-(('Store Prices'!$B$5:$B$304=B291)*(IFERROR('Store Prices'!$I$5:$I$304*1,0)&gt;0)))*999999))+0.0000001,"Yes","No"))</f>
        <v>0</v>
      </c>
      <c r="O291" s="18">
        <f>IF(N291="","",TODAY()-N291)</f>
        <v>0</v>
      </c>
      <c r="P291" s="31">
        <f>IF(B291="","",IF(G291="","Add - no price",IF(E291="","Add - no pack size",IF(AND(O291&lt;&gt;"",O291&gt;180),"Check - over six months old","OK"))))</f>
        <v>0</v>
      </c>
    </row>
    <row r="292" spans="1:16">
      <c r="A292" s="39">
        <f>IF(B292="","","SP-"&amp;TEXT(ROW()-4,"0000"))</f>
        <v>0</v>
      </c>
      <c r="F292" s="17">
        <f>IF(B292="","",IFERROR(INDEX(Ingredients!$G$5:$G$304,MATCH(B292,Ingredients!$B$5:$B$304,0)),"Add to Ingredients"))</f>
        <v>0</v>
      </c>
      <c r="I292" s="25">
        <f>IF(OR(G292="",E292="",E292=0),"",G292/E292)</f>
        <v>0</v>
      </c>
      <c r="J292" s="25">
        <f>IF(I292="","",I292*100)</f>
        <v>0</v>
      </c>
      <c r="K292" s="25">
        <f>IF(B292="","",IFERROR(INDEX(Ingredients!$J$5:$J$304,MATCH(B292,Ingredients!$B$5:$B$304,0)),"Add to Ingredients"))</f>
        <v>0</v>
      </c>
      <c r="L292" s="25">
        <f>IF(OR(I292="",K292="",NOT(ISNUMBER(K292))),"",(I292-K292)*100)</f>
        <v>0</v>
      </c>
      <c r="M292" s="46">
        <f>IF(OR(B292="",J292=""),"",IF(I292&lt;=SUMPRODUCT(MIN((('Store Prices'!$B$5:$B$304=B292)*(IFERROR('Store Prices'!$I$5:$I$304*1,0)&gt;0))*IFERROR('Store Prices'!$I$5:$I$304*1,0)+(1-(('Store Prices'!$B$5:$B$304=B292)*(IFERROR('Store Prices'!$I$5:$I$304*1,0)&gt;0)))*999999))+0.0000001,"Yes","No"))</f>
        <v>0</v>
      </c>
      <c r="O292" s="18">
        <f>IF(N292="","",TODAY()-N292)</f>
        <v>0</v>
      </c>
      <c r="P292" s="31">
        <f>IF(B292="","",IF(G292="","Add - no price",IF(E292="","Add - no pack size",IF(AND(O292&lt;&gt;"",O292&gt;180),"Check - over six months old","OK"))))</f>
        <v>0</v>
      </c>
    </row>
    <row r="293" spans="1:16">
      <c r="A293" s="39">
        <f>IF(B293="","","SP-"&amp;TEXT(ROW()-4,"0000"))</f>
        <v>0</v>
      </c>
      <c r="F293" s="17">
        <f>IF(B293="","",IFERROR(INDEX(Ingredients!$G$5:$G$304,MATCH(B293,Ingredients!$B$5:$B$304,0)),"Add to Ingredients"))</f>
        <v>0</v>
      </c>
      <c r="I293" s="25">
        <f>IF(OR(G293="",E293="",E293=0),"",G293/E293)</f>
        <v>0</v>
      </c>
      <c r="J293" s="25">
        <f>IF(I293="","",I293*100)</f>
        <v>0</v>
      </c>
      <c r="K293" s="25">
        <f>IF(B293="","",IFERROR(INDEX(Ingredients!$J$5:$J$304,MATCH(B293,Ingredients!$B$5:$B$304,0)),"Add to Ingredients"))</f>
        <v>0</v>
      </c>
      <c r="L293" s="25">
        <f>IF(OR(I293="",K293="",NOT(ISNUMBER(K293))),"",(I293-K293)*100)</f>
        <v>0</v>
      </c>
      <c r="M293" s="46">
        <f>IF(OR(B293="",J293=""),"",IF(I293&lt;=SUMPRODUCT(MIN((('Store Prices'!$B$5:$B$304=B293)*(IFERROR('Store Prices'!$I$5:$I$304*1,0)&gt;0))*IFERROR('Store Prices'!$I$5:$I$304*1,0)+(1-(('Store Prices'!$B$5:$B$304=B293)*(IFERROR('Store Prices'!$I$5:$I$304*1,0)&gt;0)))*999999))+0.0000001,"Yes","No"))</f>
        <v>0</v>
      </c>
      <c r="O293" s="18">
        <f>IF(N293="","",TODAY()-N293)</f>
        <v>0</v>
      </c>
      <c r="P293" s="31">
        <f>IF(B293="","",IF(G293="","Add - no price",IF(E293="","Add - no pack size",IF(AND(O293&lt;&gt;"",O293&gt;180),"Check - over six months old","OK"))))</f>
        <v>0</v>
      </c>
    </row>
    <row r="294" spans="1:16">
      <c r="A294" s="39">
        <f>IF(B294="","","SP-"&amp;TEXT(ROW()-4,"0000"))</f>
        <v>0</v>
      </c>
      <c r="F294" s="17">
        <f>IF(B294="","",IFERROR(INDEX(Ingredients!$G$5:$G$304,MATCH(B294,Ingredients!$B$5:$B$304,0)),"Add to Ingredients"))</f>
        <v>0</v>
      </c>
      <c r="I294" s="25">
        <f>IF(OR(G294="",E294="",E294=0),"",G294/E294)</f>
        <v>0</v>
      </c>
      <c r="J294" s="25">
        <f>IF(I294="","",I294*100)</f>
        <v>0</v>
      </c>
      <c r="K294" s="25">
        <f>IF(B294="","",IFERROR(INDEX(Ingredients!$J$5:$J$304,MATCH(B294,Ingredients!$B$5:$B$304,0)),"Add to Ingredients"))</f>
        <v>0</v>
      </c>
      <c r="L294" s="25">
        <f>IF(OR(I294="",K294="",NOT(ISNUMBER(K294))),"",(I294-K294)*100)</f>
        <v>0</v>
      </c>
      <c r="M294" s="46">
        <f>IF(OR(B294="",J294=""),"",IF(I294&lt;=SUMPRODUCT(MIN((('Store Prices'!$B$5:$B$304=B294)*(IFERROR('Store Prices'!$I$5:$I$304*1,0)&gt;0))*IFERROR('Store Prices'!$I$5:$I$304*1,0)+(1-(('Store Prices'!$B$5:$B$304=B294)*(IFERROR('Store Prices'!$I$5:$I$304*1,0)&gt;0)))*999999))+0.0000001,"Yes","No"))</f>
        <v>0</v>
      </c>
      <c r="O294" s="18">
        <f>IF(N294="","",TODAY()-N294)</f>
        <v>0</v>
      </c>
      <c r="P294" s="31">
        <f>IF(B294="","",IF(G294="","Add - no price",IF(E294="","Add - no pack size",IF(AND(O294&lt;&gt;"",O294&gt;180),"Check - over six months old","OK"))))</f>
        <v>0</v>
      </c>
    </row>
    <row r="295" spans="1:16">
      <c r="A295" s="39">
        <f>IF(B295="","","SP-"&amp;TEXT(ROW()-4,"0000"))</f>
        <v>0</v>
      </c>
      <c r="F295" s="17">
        <f>IF(B295="","",IFERROR(INDEX(Ingredients!$G$5:$G$304,MATCH(B295,Ingredients!$B$5:$B$304,0)),"Add to Ingredients"))</f>
        <v>0</v>
      </c>
      <c r="I295" s="25">
        <f>IF(OR(G295="",E295="",E295=0),"",G295/E295)</f>
        <v>0</v>
      </c>
      <c r="J295" s="25">
        <f>IF(I295="","",I295*100)</f>
        <v>0</v>
      </c>
      <c r="K295" s="25">
        <f>IF(B295="","",IFERROR(INDEX(Ingredients!$J$5:$J$304,MATCH(B295,Ingredients!$B$5:$B$304,0)),"Add to Ingredients"))</f>
        <v>0</v>
      </c>
      <c r="L295" s="25">
        <f>IF(OR(I295="",K295="",NOT(ISNUMBER(K295))),"",(I295-K295)*100)</f>
        <v>0</v>
      </c>
      <c r="M295" s="46">
        <f>IF(OR(B295="",J295=""),"",IF(I295&lt;=SUMPRODUCT(MIN((('Store Prices'!$B$5:$B$304=B295)*(IFERROR('Store Prices'!$I$5:$I$304*1,0)&gt;0))*IFERROR('Store Prices'!$I$5:$I$304*1,0)+(1-(('Store Prices'!$B$5:$B$304=B295)*(IFERROR('Store Prices'!$I$5:$I$304*1,0)&gt;0)))*999999))+0.0000001,"Yes","No"))</f>
        <v>0</v>
      </c>
      <c r="O295" s="18">
        <f>IF(N295="","",TODAY()-N295)</f>
        <v>0</v>
      </c>
      <c r="P295" s="31">
        <f>IF(B295="","",IF(G295="","Add - no price",IF(E295="","Add - no pack size",IF(AND(O295&lt;&gt;"",O295&gt;180),"Check - over six months old","OK"))))</f>
        <v>0</v>
      </c>
    </row>
    <row r="296" spans="1:16">
      <c r="A296" s="39">
        <f>IF(B296="","","SP-"&amp;TEXT(ROW()-4,"0000"))</f>
        <v>0</v>
      </c>
      <c r="F296" s="17">
        <f>IF(B296="","",IFERROR(INDEX(Ingredients!$G$5:$G$304,MATCH(B296,Ingredients!$B$5:$B$304,0)),"Add to Ingredients"))</f>
        <v>0</v>
      </c>
      <c r="I296" s="25">
        <f>IF(OR(G296="",E296="",E296=0),"",G296/E296)</f>
        <v>0</v>
      </c>
      <c r="J296" s="25">
        <f>IF(I296="","",I296*100)</f>
        <v>0</v>
      </c>
      <c r="K296" s="25">
        <f>IF(B296="","",IFERROR(INDEX(Ingredients!$J$5:$J$304,MATCH(B296,Ingredients!$B$5:$B$304,0)),"Add to Ingredients"))</f>
        <v>0</v>
      </c>
      <c r="L296" s="25">
        <f>IF(OR(I296="",K296="",NOT(ISNUMBER(K296))),"",(I296-K296)*100)</f>
        <v>0</v>
      </c>
      <c r="M296" s="46">
        <f>IF(OR(B296="",J296=""),"",IF(I296&lt;=SUMPRODUCT(MIN((('Store Prices'!$B$5:$B$304=B296)*(IFERROR('Store Prices'!$I$5:$I$304*1,0)&gt;0))*IFERROR('Store Prices'!$I$5:$I$304*1,0)+(1-(('Store Prices'!$B$5:$B$304=B296)*(IFERROR('Store Prices'!$I$5:$I$304*1,0)&gt;0)))*999999))+0.0000001,"Yes","No"))</f>
        <v>0</v>
      </c>
      <c r="O296" s="18">
        <f>IF(N296="","",TODAY()-N296)</f>
        <v>0</v>
      </c>
      <c r="P296" s="31">
        <f>IF(B296="","",IF(G296="","Add - no price",IF(E296="","Add - no pack size",IF(AND(O296&lt;&gt;"",O296&gt;180),"Check - over six months old","OK"))))</f>
        <v>0</v>
      </c>
    </row>
    <row r="297" spans="1:16">
      <c r="A297" s="39">
        <f>IF(B297="","","SP-"&amp;TEXT(ROW()-4,"0000"))</f>
        <v>0</v>
      </c>
      <c r="F297" s="17">
        <f>IF(B297="","",IFERROR(INDEX(Ingredients!$G$5:$G$304,MATCH(B297,Ingredients!$B$5:$B$304,0)),"Add to Ingredients"))</f>
        <v>0</v>
      </c>
      <c r="I297" s="25">
        <f>IF(OR(G297="",E297="",E297=0),"",G297/E297)</f>
        <v>0</v>
      </c>
      <c r="J297" s="25">
        <f>IF(I297="","",I297*100)</f>
        <v>0</v>
      </c>
      <c r="K297" s="25">
        <f>IF(B297="","",IFERROR(INDEX(Ingredients!$J$5:$J$304,MATCH(B297,Ingredients!$B$5:$B$304,0)),"Add to Ingredients"))</f>
        <v>0</v>
      </c>
      <c r="L297" s="25">
        <f>IF(OR(I297="",K297="",NOT(ISNUMBER(K297))),"",(I297-K297)*100)</f>
        <v>0</v>
      </c>
      <c r="M297" s="46">
        <f>IF(OR(B297="",J297=""),"",IF(I297&lt;=SUMPRODUCT(MIN((('Store Prices'!$B$5:$B$304=B297)*(IFERROR('Store Prices'!$I$5:$I$304*1,0)&gt;0))*IFERROR('Store Prices'!$I$5:$I$304*1,0)+(1-(('Store Prices'!$B$5:$B$304=B297)*(IFERROR('Store Prices'!$I$5:$I$304*1,0)&gt;0)))*999999))+0.0000001,"Yes","No"))</f>
        <v>0</v>
      </c>
      <c r="O297" s="18">
        <f>IF(N297="","",TODAY()-N297)</f>
        <v>0</v>
      </c>
      <c r="P297" s="31">
        <f>IF(B297="","",IF(G297="","Add - no price",IF(E297="","Add - no pack size",IF(AND(O297&lt;&gt;"",O297&gt;180),"Check - over six months old","OK"))))</f>
        <v>0</v>
      </c>
    </row>
    <row r="298" spans="1:16">
      <c r="A298" s="39">
        <f>IF(B298="","","SP-"&amp;TEXT(ROW()-4,"0000"))</f>
        <v>0</v>
      </c>
      <c r="F298" s="17">
        <f>IF(B298="","",IFERROR(INDEX(Ingredients!$G$5:$G$304,MATCH(B298,Ingredients!$B$5:$B$304,0)),"Add to Ingredients"))</f>
        <v>0</v>
      </c>
      <c r="I298" s="25">
        <f>IF(OR(G298="",E298="",E298=0),"",G298/E298)</f>
        <v>0</v>
      </c>
      <c r="J298" s="25">
        <f>IF(I298="","",I298*100)</f>
        <v>0</v>
      </c>
      <c r="K298" s="25">
        <f>IF(B298="","",IFERROR(INDEX(Ingredients!$J$5:$J$304,MATCH(B298,Ingredients!$B$5:$B$304,0)),"Add to Ingredients"))</f>
        <v>0</v>
      </c>
      <c r="L298" s="25">
        <f>IF(OR(I298="",K298="",NOT(ISNUMBER(K298))),"",(I298-K298)*100)</f>
        <v>0</v>
      </c>
      <c r="M298" s="46">
        <f>IF(OR(B298="",J298=""),"",IF(I298&lt;=SUMPRODUCT(MIN((('Store Prices'!$B$5:$B$304=B298)*(IFERROR('Store Prices'!$I$5:$I$304*1,0)&gt;0))*IFERROR('Store Prices'!$I$5:$I$304*1,0)+(1-(('Store Prices'!$B$5:$B$304=B298)*(IFERROR('Store Prices'!$I$5:$I$304*1,0)&gt;0)))*999999))+0.0000001,"Yes","No"))</f>
        <v>0</v>
      </c>
      <c r="O298" s="18">
        <f>IF(N298="","",TODAY()-N298)</f>
        <v>0</v>
      </c>
      <c r="P298" s="31">
        <f>IF(B298="","",IF(G298="","Add - no price",IF(E298="","Add - no pack size",IF(AND(O298&lt;&gt;"",O298&gt;180),"Check - over six months old","OK"))))</f>
        <v>0</v>
      </c>
    </row>
    <row r="299" spans="1:16">
      <c r="A299" s="39">
        <f>IF(B299="","","SP-"&amp;TEXT(ROW()-4,"0000"))</f>
        <v>0</v>
      </c>
      <c r="F299" s="17">
        <f>IF(B299="","",IFERROR(INDEX(Ingredients!$G$5:$G$304,MATCH(B299,Ingredients!$B$5:$B$304,0)),"Add to Ingredients"))</f>
        <v>0</v>
      </c>
      <c r="I299" s="25">
        <f>IF(OR(G299="",E299="",E299=0),"",G299/E299)</f>
        <v>0</v>
      </c>
      <c r="J299" s="25">
        <f>IF(I299="","",I299*100)</f>
        <v>0</v>
      </c>
      <c r="K299" s="25">
        <f>IF(B299="","",IFERROR(INDEX(Ingredients!$J$5:$J$304,MATCH(B299,Ingredients!$B$5:$B$304,0)),"Add to Ingredients"))</f>
        <v>0</v>
      </c>
      <c r="L299" s="25">
        <f>IF(OR(I299="",K299="",NOT(ISNUMBER(K299))),"",(I299-K299)*100)</f>
        <v>0</v>
      </c>
      <c r="M299" s="46">
        <f>IF(OR(B299="",J299=""),"",IF(I299&lt;=SUMPRODUCT(MIN((('Store Prices'!$B$5:$B$304=B299)*(IFERROR('Store Prices'!$I$5:$I$304*1,0)&gt;0))*IFERROR('Store Prices'!$I$5:$I$304*1,0)+(1-(('Store Prices'!$B$5:$B$304=B299)*(IFERROR('Store Prices'!$I$5:$I$304*1,0)&gt;0)))*999999))+0.0000001,"Yes","No"))</f>
        <v>0</v>
      </c>
      <c r="O299" s="18">
        <f>IF(N299="","",TODAY()-N299)</f>
        <v>0</v>
      </c>
      <c r="P299" s="31">
        <f>IF(B299="","",IF(G299="","Add - no price",IF(E299="","Add - no pack size",IF(AND(O299&lt;&gt;"",O299&gt;180),"Check - over six months old","OK"))))</f>
        <v>0</v>
      </c>
    </row>
    <row r="300" spans="1:16">
      <c r="A300" s="39">
        <f>IF(B300="","","SP-"&amp;TEXT(ROW()-4,"0000"))</f>
        <v>0</v>
      </c>
      <c r="F300" s="17">
        <f>IF(B300="","",IFERROR(INDEX(Ingredients!$G$5:$G$304,MATCH(B300,Ingredients!$B$5:$B$304,0)),"Add to Ingredients"))</f>
        <v>0</v>
      </c>
      <c r="I300" s="25">
        <f>IF(OR(G300="",E300="",E300=0),"",G300/E300)</f>
        <v>0</v>
      </c>
      <c r="J300" s="25">
        <f>IF(I300="","",I300*100)</f>
        <v>0</v>
      </c>
      <c r="K300" s="25">
        <f>IF(B300="","",IFERROR(INDEX(Ingredients!$J$5:$J$304,MATCH(B300,Ingredients!$B$5:$B$304,0)),"Add to Ingredients"))</f>
        <v>0</v>
      </c>
      <c r="L300" s="25">
        <f>IF(OR(I300="",K300="",NOT(ISNUMBER(K300))),"",(I300-K300)*100)</f>
        <v>0</v>
      </c>
      <c r="M300" s="46">
        <f>IF(OR(B300="",J300=""),"",IF(I300&lt;=SUMPRODUCT(MIN((('Store Prices'!$B$5:$B$304=B300)*(IFERROR('Store Prices'!$I$5:$I$304*1,0)&gt;0))*IFERROR('Store Prices'!$I$5:$I$304*1,0)+(1-(('Store Prices'!$B$5:$B$304=B300)*(IFERROR('Store Prices'!$I$5:$I$304*1,0)&gt;0)))*999999))+0.0000001,"Yes","No"))</f>
        <v>0</v>
      </c>
      <c r="O300" s="18">
        <f>IF(N300="","",TODAY()-N300)</f>
        <v>0</v>
      </c>
      <c r="P300" s="31">
        <f>IF(B300="","",IF(G300="","Add - no price",IF(E300="","Add - no pack size",IF(AND(O300&lt;&gt;"",O300&gt;180),"Check - over six months old","OK"))))</f>
        <v>0</v>
      </c>
    </row>
    <row r="301" spans="1:16">
      <c r="A301" s="39">
        <f>IF(B301="","","SP-"&amp;TEXT(ROW()-4,"0000"))</f>
        <v>0</v>
      </c>
      <c r="F301" s="17">
        <f>IF(B301="","",IFERROR(INDEX(Ingredients!$G$5:$G$304,MATCH(B301,Ingredients!$B$5:$B$304,0)),"Add to Ingredients"))</f>
        <v>0</v>
      </c>
      <c r="I301" s="25">
        <f>IF(OR(G301="",E301="",E301=0),"",G301/E301)</f>
        <v>0</v>
      </c>
      <c r="J301" s="25">
        <f>IF(I301="","",I301*100)</f>
        <v>0</v>
      </c>
      <c r="K301" s="25">
        <f>IF(B301="","",IFERROR(INDEX(Ingredients!$J$5:$J$304,MATCH(B301,Ingredients!$B$5:$B$304,0)),"Add to Ingredients"))</f>
        <v>0</v>
      </c>
      <c r="L301" s="25">
        <f>IF(OR(I301="",K301="",NOT(ISNUMBER(K301))),"",(I301-K301)*100)</f>
        <v>0</v>
      </c>
      <c r="M301" s="46">
        <f>IF(OR(B301="",J301=""),"",IF(I301&lt;=SUMPRODUCT(MIN((('Store Prices'!$B$5:$B$304=B301)*(IFERROR('Store Prices'!$I$5:$I$304*1,0)&gt;0))*IFERROR('Store Prices'!$I$5:$I$304*1,0)+(1-(('Store Prices'!$B$5:$B$304=B301)*(IFERROR('Store Prices'!$I$5:$I$304*1,0)&gt;0)))*999999))+0.0000001,"Yes","No"))</f>
        <v>0</v>
      </c>
      <c r="O301" s="18">
        <f>IF(N301="","",TODAY()-N301)</f>
        <v>0</v>
      </c>
      <c r="P301" s="31">
        <f>IF(B301="","",IF(G301="","Add - no price",IF(E301="","Add - no pack size",IF(AND(O301&lt;&gt;"",O301&gt;180),"Check - over six months old","OK"))))</f>
        <v>0</v>
      </c>
    </row>
    <row r="302" spans="1:16">
      <c r="A302" s="39">
        <f>IF(B302="","","SP-"&amp;TEXT(ROW()-4,"0000"))</f>
        <v>0</v>
      </c>
      <c r="F302" s="17">
        <f>IF(B302="","",IFERROR(INDEX(Ingredients!$G$5:$G$304,MATCH(B302,Ingredients!$B$5:$B$304,0)),"Add to Ingredients"))</f>
        <v>0</v>
      </c>
      <c r="I302" s="25">
        <f>IF(OR(G302="",E302="",E302=0),"",G302/E302)</f>
        <v>0</v>
      </c>
      <c r="J302" s="25">
        <f>IF(I302="","",I302*100)</f>
        <v>0</v>
      </c>
      <c r="K302" s="25">
        <f>IF(B302="","",IFERROR(INDEX(Ingredients!$J$5:$J$304,MATCH(B302,Ingredients!$B$5:$B$304,0)),"Add to Ingredients"))</f>
        <v>0</v>
      </c>
      <c r="L302" s="25">
        <f>IF(OR(I302="",K302="",NOT(ISNUMBER(K302))),"",(I302-K302)*100)</f>
        <v>0</v>
      </c>
      <c r="M302" s="46">
        <f>IF(OR(B302="",J302=""),"",IF(I302&lt;=SUMPRODUCT(MIN((('Store Prices'!$B$5:$B$304=B302)*(IFERROR('Store Prices'!$I$5:$I$304*1,0)&gt;0))*IFERROR('Store Prices'!$I$5:$I$304*1,0)+(1-(('Store Prices'!$B$5:$B$304=B302)*(IFERROR('Store Prices'!$I$5:$I$304*1,0)&gt;0)))*999999))+0.0000001,"Yes","No"))</f>
        <v>0</v>
      </c>
      <c r="O302" s="18">
        <f>IF(N302="","",TODAY()-N302)</f>
        <v>0</v>
      </c>
      <c r="P302" s="31">
        <f>IF(B302="","",IF(G302="","Add - no price",IF(E302="","Add - no pack size",IF(AND(O302&lt;&gt;"",O302&gt;180),"Check - over six months old","OK"))))</f>
        <v>0</v>
      </c>
    </row>
    <row r="303" spans="1:16">
      <c r="A303" s="39">
        <f>IF(B303="","","SP-"&amp;TEXT(ROW()-4,"0000"))</f>
        <v>0</v>
      </c>
      <c r="F303" s="17">
        <f>IF(B303="","",IFERROR(INDEX(Ingredients!$G$5:$G$304,MATCH(B303,Ingredients!$B$5:$B$304,0)),"Add to Ingredients"))</f>
        <v>0</v>
      </c>
      <c r="I303" s="25">
        <f>IF(OR(G303="",E303="",E303=0),"",G303/E303)</f>
        <v>0</v>
      </c>
      <c r="J303" s="25">
        <f>IF(I303="","",I303*100)</f>
        <v>0</v>
      </c>
      <c r="K303" s="25">
        <f>IF(B303="","",IFERROR(INDEX(Ingredients!$J$5:$J$304,MATCH(B303,Ingredients!$B$5:$B$304,0)),"Add to Ingredients"))</f>
        <v>0</v>
      </c>
      <c r="L303" s="25">
        <f>IF(OR(I303="",K303="",NOT(ISNUMBER(K303))),"",(I303-K303)*100)</f>
        <v>0</v>
      </c>
      <c r="M303" s="46">
        <f>IF(OR(B303="",J303=""),"",IF(I303&lt;=SUMPRODUCT(MIN((('Store Prices'!$B$5:$B$304=B303)*(IFERROR('Store Prices'!$I$5:$I$304*1,0)&gt;0))*IFERROR('Store Prices'!$I$5:$I$304*1,0)+(1-(('Store Prices'!$B$5:$B$304=B303)*(IFERROR('Store Prices'!$I$5:$I$304*1,0)&gt;0)))*999999))+0.0000001,"Yes","No"))</f>
        <v>0</v>
      </c>
      <c r="O303" s="18">
        <f>IF(N303="","",TODAY()-N303)</f>
        <v>0</v>
      </c>
      <c r="P303" s="31">
        <f>IF(B303="","",IF(G303="","Add - no price",IF(E303="","Add - no pack size",IF(AND(O303&lt;&gt;"",O303&gt;180),"Check - over six months old","OK"))))</f>
        <v>0</v>
      </c>
    </row>
    <row r="304" spans="1:16">
      <c r="A304" s="39">
        <f>IF(B304="","","SP-"&amp;TEXT(ROW()-4,"0000"))</f>
        <v>0</v>
      </c>
      <c r="F304" s="17">
        <f>IF(B304="","",IFERROR(INDEX(Ingredients!$G$5:$G$304,MATCH(B304,Ingredients!$B$5:$B$304,0)),"Add to Ingredients"))</f>
        <v>0</v>
      </c>
      <c r="I304" s="25">
        <f>IF(OR(G304="",E304="",E304=0),"",G304/E304)</f>
        <v>0</v>
      </c>
      <c r="J304" s="25">
        <f>IF(I304="","",I304*100)</f>
        <v>0</v>
      </c>
      <c r="K304" s="25">
        <f>IF(B304="","",IFERROR(INDEX(Ingredients!$J$5:$J$304,MATCH(B304,Ingredients!$B$5:$B$304,0)),"Add to Ingredients"))</f>
        <v>0</v>
      </c>
      <c r="L304" s="25">
        <f>IF(OR(I304="",K304="",NOT(ISNUMBER(K304))),"",(I304-K304)*100)</f>
        <v>0</v>
      </c>
      <c r="M304" s="46">
        <f>IF(OR(B304="",J304=""),"",IF(I304&lt;=SUMPRODUCT(MIN((('Store Prices'!$B$5:$B$304=B304)*(IFERROR('Store Prices'!$I$5:$I$304*1,0)&gt;0))*IFERROR('Store Prices'!$I$5:$I$304*1,0)+(1-(('Store Prices'!$B$5:$B$304=B304)*(IFERROR('Store Prices'!$I$5:$I$304*1,0)&gt;0)))*999999))+0.0000001,"Yes","No"))</f>
        <v>0</v>
      </c>
      <c r="O304" s="18">
        <f>IF(N304="","",TODAY()-N304)</f>
        <v>0</v>
      </c>
      <c r="P304" s="31">
        <f>IF(B304="","",IF(G304="","Add - no price",IF(E304="","Add - no pack size",IF(AND(O304&lt;&gt;"",O304&gt;180),"Check - over six months old","OK"))))</f>
        <v>0</v>
      </c>
    </row>
    <row r="306" spans="1:17" ht="20" customHeight="1">
      <c r="A306" s="7" t="s">
        <v>1540</v>
      </c>
      <c r="B306" s="7"/>
      <c r="C306" s="7"/>
      <c r="D306" s="7"/>
      <c r="E306" s="7"/>
      <c r="F306" s="7"/>
      <c r="G306" s="7"/>
      <c r="H306" s="7"/>
      <c r="I306" s="7"/>
      <c r="J306" s="7"/>
      <c r="K306" s="7"/>
      <c r="L306" s="7"/>
      <c r="M306" s="7"/>
      <c r="N306" s="7"/>
      <c r="O306" s="7"/>
      <c r="P306" s="7"/>
      <c r="Q306" s="7"/>
    </row>
    <row r="307" spans="1:17" ht="26" customHeight="1">
      <c r="A307" s="8" t="s">
        <v>1541</v>
      </c>
      <c r="B307" s="9" t="s">
        <v>1542</v>
      </c>
      <c r="C307" s="9" t="s">
        <v>1543</v>
      </c>
      <c r="D307" s="9" t="s">
        <v>1544</v>
      </c>
      <c r="E307" s="9" t="s">
        <v>1545</v>
      </c>
    </row>
    <row r="308" spans="1:17">
      <c r="A308" s="18">
        <f>COUNTIF('Store Prices'!$B$5:$B$304,"&lt;&gt;")</f>
        <v>0</v>
      </c>
      <c r="B308" s="18">
        <f>SUMPRODUCT((COUNTIF('Store Prices'!$B$5:$B$304,Ingredients!$B$5:$B$304)&gt;0)*(Ingredients!$B$5:$B$304&lt;&gt;""))</f>
        <v>0</v>
      </c>
      <c r="C308" s="18">
        <f>SUMPRODUCT((COUNTIF('Store Prices'!$C$5:$C$304,Stores!$B$5:$B$44)&gt;0)*(Stores!$B$5:$B$44&lt;&gt;""))</f>
        <v>0</v>
      </c>
      <c r="D308" s="18">
        <f>COUNTIFS('Store Prices'!$N$5:$N$304,"&gt;="&amp;DATE(YEAR(TODAY()),1,1))</f>
        <v>0</v>
      </c>
      <c r="E308" s="25">
        <f>SUM(Ingredients!$O$5:$O$304)</f>
        <v>0</v>
      </c>
    </row>
    <row r="310" spans="1:17" ht="28" customHeight="1">
      <c r="A310" s="6" t="s">
        <v>1546</v>
      </c>
      <c r="B310" s="6"/>
      <c r="C310" s="6"/>
      <c r="D310" s="6"/>
      <c r="E310" s="6"/>
      <c r="F310" s="6"/>
      <c r="G310" s="6"/>
      <c r="H310" s="6"/>
      <c r="I310" s="6"/>
      <c r="J310" s="6"/>
      <c r="K310" s="6"/>
      <c r="L310" s="6"/>
      <c r="M310" s="6"/>
      <c r="N310" s="6"/>
      <c r="O310" s="6"/>
      <c r="P310" s="6"/>
      <c r="Q310" s="6"/>
    </row>
  </sheetData>
  <sheetProtection password="EC7C" sheet="1" objects="1" scenarios="1" formatCells="0" formatColumns="0" formatRows="0" insertRows="0" insertHyperlinks="0" deleteRows="0" autoFilter="0"/>
  <autoFilter ref="A4:Q304"/>
  <mergeCells count="13">
    <mergeCell ref="A1:N1"/>
    <mergeCell ref="O1:Q1"/>
    <mergeCell ref="A2:Q2"/>
    <mergeCell ref="A3:B3"/>
    <mergeCell ref="C3:D3"/>
    <mergeCell ref="E3:F3"/>
    <mergeCell ref="G3:H3"/>
    <mergeCell ref="I3:J3"/>
    <mergeCell ref="K3:L3"/>
    <mergeCell ref="M3:N3"/>
    <mergeCell ref="O3:P3"/>
    <mergeCell ref="A306:Q306"/>
    <mergeCell ref="A310:Q310"/>
  </mergeCells>
  <conditionalFormatting sqref="L5:L304">
    <cfRule type="cellIs" dxfId="1" priority="1" operator="lessThan">
      <formula>0</formula>
    </cfRule>
    <cfRule type="cellIs" dxfId="0" priority="2" operator="greaterThan">
      <formula>0</formula>
    </cfRule>
  </conditionalFormatting>
  <conditionalFormatting sqref="M5:M304">
    <cfRule type="containsText" dxfId="1" priority="3" operator="containsText" text="Yes">
      <formula>NOT(ISERROR(SEARCH("Yes",M5)))</formula>
    </cfRule>
  </conditionalFormatting>
  <conditionalFormatting sqref="O5:O304">
    <cfRule type="cellIs" dxfId="0" priority="4" operator="greaterThan">
      <formula>90</formula>
    </cfRule>
  </conditionalFormatting>
  <conditionalFormatting sqref="P5:P304">
    <cfRule type="beginsWith" dxfId="1" priority="5" operator="beginsWith" text="OK">
      <formula>LEFT(P5,2)="OK"</formula>
    </cfRule>
    <cfRule type="containsText" dxfId="2" priority="6" operator="containsText" text="Overdue">
      <formula>NOT(ISERROR(SEARCH("Overdue",P5)))</formula>
    </cfRule>
    <cfRule type="containsText" dxfId="2" priority="7" operator="containsText" text="Late">
      <formula>NOT(ISERROR(SEARCH("Late",P5)))</formula>
    </cfRule>
    <cfRule type="containsText" dxfId="2" priority="8" operator="containsText" text="Missing">
      <formula>NOT(ISERROR(SEARCH("Missing",P5)))</formula>
    </cfRule>
    <cfRule type="containsText" dxfId="2" priority="9" operator="containsText" text="Conflict">
      <formula>NOT(ISERROR(SEARCH("Conflict",P5)))</formula>
    </cfRule>
    <cfRule type="containsText" dxfId="2" priority="10" operator="containsText" text="Expired">
      <formula>NOT(ISERROR(SEARCH("Expired",P5)))</formula>
    </cfRule>
    <cfRule type="containsText" dxfId="2" priority="11" operator="containsText" text="Duplicate">
      <formula>NOT(ISERROR(SEARCH("Duplicate",P5)))</formula>
    </cfRule>
    <cfRule type="containsText" dxfId="0" priority="12" operator="containsText" text="Action">
      <formula>NOT(ISERROR(SEARCH("Action",P5)))</formula>
    </cfRule>
    <cfRule type="containsText" dxfId="0" priority="13" operator="containsText" text="Due">
      <formula>NOT(ISERROR(SEARCH("Due",P5)))</formula>
    </cfRule>
    <cfRule type="containsText" dxfId="0" priority="14" operator="containsText" text="Check">
      <formula>NOT(ISERROR(SEARCH("Check",P5)))</formula>
    </cfRule>
    <cfRule type="containsText" dxfId="0" priority="15" operator="containsText" text="Add">
      <formula>NOT(ISERROR(SEARCH("Add",P5)))</formula>
    </cfRule>
    <cfRule type="containsText" dxfId="4" priority="16" operator="containsText" text="Today">
      <formula>NOT(ISERROR(SEARCH("Today",P5)))</formula>
    </cfRule>
    <cfRule type="containsText" dxfId="4" priority="17" operator="containsText" text="Upcoming">
      <formula>NOT(ISERROR(SEARCH("Upcoming",P5)))</formula>
    </cfRule>
  </conditionalFormatting>
  <dataValidations count="6">
    <dataValidation type="list" allowBlank="1" showInputMessage="1" showErrorMessage="1" sqref="B5:B304">
      <formula1>IngredientNames</formula1>
    </dataValidation>
    <dataValidation type="list" allowBlank="1" showInputMessage="1" showErrorMessage="1" sqref="C5:C304">
      <formula1>StoreNames</formula1>
    </dataValidation>
    <dataValidation type="decimal" allowBlank="1" showInputMessage="1" showErrorMessage="1" errorTitle="Check the value" error="Enter a number between 0 and 1000000." promptTitle="Pack size" prompt="In the base unit for that ingredient - g, ml or each." sqref="E5:E304">
      <formula1>0</formula1>
      <formula2>1000000</formula2>
    </dataValidation>
    <dataValidation type="decimal" allowBlank="1" showInputMessage="1" showErrorMessage="1" errorTitle="Check the value" error="Enter a number between 0 and 100000." sqref="G5:G304">
      <formula1>0</formula1>
      <formula2>100000</formula2>
    </dataValidation>
    <dataValidation type="list" allowBlank="1" showInputMessage="1" showErrorMessage="1" promptTitle="On offer?" prompt="Offer prices are worth logging but do not plan the month around them." sqref="H5:H304">
      <formula1>YesNoList</formula1>
    </dataValidation>
    <dataValidation type="date" allowBlank="1" showInputMessage="1" showErrorMessage="1" errorTitle="Check the date" error="Enter a real date between 2000 and 2100." sqref="N5:N304">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s>
  <pageMargins left="0.4" right="0.4" top="0.6" bottom="0.5" header="0.3" footer="0.3"/>
  <pageSetup paperSize="9" fitToHeight="0" orientation="landscape"/>
  <headerFooter>
    <oddHeader>&amp;L&amp;"Calibri,Bold"&amp;12&amp;C&amp;"Calibri,Bold"&amp;11Store Prices&amp;R&amp;"Calibri,Italic"&amp;9Automated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28.xml><?xml version="1.0" encoding="utf-8"?>
<worksheet xmlns="http://schemas.openxmlformats.org/spreadsheetml/2006/main" xmlns:r="http://schemas.openxmlformats.org/officeDocument/2006/relationships">
  <sheetPr>
    <tabColor rgb="FFE2EFE6"/>
    <pageSetUpPr fitToPage="1"/>
  </sheetPr>
  <dimension ref="A1:X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20.7109375" style="32" customWidth="1"/>
    <col min="3" max="3" width="15.7109375" style="32" customWidth="1"/>
    <col min="4" max="4" width="20.7109375" style="32" customWidth="1"/>
    <col min="5" max="5" width="10.7109375" style="35" customWidth="1"/>
    <col min="6" max="6" width="24.7109375" style="32" customWidth="1"/>
    <col min="7" max="7" width="10.7109375" style="40" customWidth="1"/>
    <col min="8" max="8" width="11.7109375" style="36" customWidth="1"/>
    <col min="9" max="9" width="11.7109375" style="36" customWidth="1"/>
    <col min="10" max="10" width="16.7109375" style="32" customWidth="1"/>
    <col min="11" max="11" width="16.7109375" style="32" customWidth="1"/>
    <col min="12" max="12" width="18.7109375" style="32" customWidth="1"/>
    <col min="13" max="13" width="12.7109375" style="32" customWidth="1"/>
    <col min="14" max="14" width="10.7109375" style="40" customWidth="1"/>
    <col min="15" max="15" width="11.7109375" style="18" customWidth="1"/>
    <col min="16" max="16" width="11.7109375" style="18" customWidth="1"/>
    <col min="17" max="17" width="12.7109375" style="25" customWidth="1"/>
    <col min="18" max="18" width="10.7109375" style="18" customWidth="1"/>
    <col min="19" max="19" width="11.7109375" style="25" customWidth="1"/>
    <col min="20" max="20" width="11.7109375" style="18" customWidth="1"/>
    <col min="21" max="21" width="9.7109375" style="18" hidden="1" customWidth="1"/>
    <col min="22" max="22" width="12.7109375" style="42" customWidth="1"/>
    <col min="23" max="23" width="22.7109375" style="31" customWidth="1"/>
    <col min="24" max="24" width="26.7109375" style="43" customWidth="1"/>
  </cols>
  <sheetData>
    <row r="1" spans="1:24" ht="34" customHeight="1">
      <c r="A1" s="2" t="s">
        <v>1547</v>
      </c>
      <c r="B1" s="2"/>
      <c r="C1" s="2"/>
      <c r="D1" s="2"/>
      <c r="E1" s="2"/>
      <c r="F1" s="2"/>
      <c r="G1" s="2"/>
      <c r="H1" s="2"/>
      <c r="I1" s="2"/>
      <c r="J1" s="2"/>
      <c r="K1" s="2"/>
      <c r="L1" s="2"/>
      <c r="M1" s="2"/>
      <c r="N1" s="2"/>
      <c r="O1" s="2"/>
      <c r="P1" s="2"/>
      <c r="Q1" s="2"/>
      <c r="R1" s="2"/>
      <c r="S1" s="2"/>
      <c r="T1" s="2"/>
      <c r="U1" s="2"/>
      <c r="V1" s="3" t="s">
        <v>1</v>
      </c>
      <c r="W1" s="3"/>
      <c r="X1" s="3"/>
    </row>
    <row r="2" spans="1:24" ht="18" customHeight="1">
      <c r="A2" s="4" t="s">
        <v>1548</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1549</v>
      </c>
      <c r="T3" s="44"/>
      <c r="U3" s="44"/>
      <c r="V3" s="44"/>
      <c r="W3" s="44"/>
      <c r="X3" s="44"/>
    </row>
    <row r="4" spans="1:24" ht="30" customHeight="1">
      <c r="A4" s="8" t="s">
        <v>708</v>
      </c>
      <c r="B4" s="8" t="s">
        <v>1059</v>
      </c>
      <c r="C4" s="9" t="s">
        <v>1550</v>
      </c>
      <c r="D4" s="9" t="s">
        <v>12</v>
      </c>
      <c r="E4" s="9" t="s">
        <v>1551</v>
      </c>
      <c r="F4" s="9" t="s">
        <v>1552</v>
      </c>
      <c r="G4" s="9" t="s">
        <v>1553</v>
      </c>
      <c r="H4" s="9" t="s">
        <v>550</v>
      </c>
      <c r="I4" s="9" t="s">
        <v>1554</v>
      </c>
      <c r="J4" s="9" t="s">
        <v>1555</v>
      </c>
      <c r="K4" s="9" t="s">
        <v>1556</v>
      </c>
      <c r="L4" s="9" t="s">
        <v>1557</v>
      </c>
      <c r="M4" s="9" t="s">
        <v>1292</v>
      </c>
      <c r="N4" s="9" t="s">
        <v>803</v>
      </c>
      <c r="O4" s="9" t="s">
        <v>1558</v>
      </c>
      <c r="P4" s="9" t="s">
        <v>1559</v>
      </c>
      <c r="Q4" s="9" t="s">
        <v>1560</v>
      </c>
      <c r="R4" s="9" t="s">
        <v>1528</v>
      </c>
      <c r="S4" s="9" t="s">
        <v>1290</v>
      </c>
      <c r="T4" s="9" t="s">
        <v>1561</v>
      </c>
      <c r="U4" s="9" t="s">
        <v>1005</v>
      </c>
      <c r="V4" s="9" t="s">
        <v>728</v>
      </c>
      <c r="W4" s="9" t="s">
        <v>729</v>
      </c>
      <c r="X4" s="9" t="s">
        <v>730</v>
      </c>
    </row>
    <row r="5" spans="1:24">
      <c r="A5" s="39">
        <f>IF(B5="","","ST-"&amp;TEXT(ROW()-4,"00"))</f>
        <v>0</v>
      </c>
      <c r="B5" s="32" t="s">
        <v>214</v>
      </c>
      <c r="C5" s="32" t="s">
        <v>531</v>
      </c>
      <c r="D5" s="32" t="s">
        <v>1562</v>
      </c>
      <c r="E5" s="35">
        <v>12</v>
      </c>
      <c r="F5" s="32" t="s">
        <v>1563</v>
      </c>
      <c r="G5" s="40" t="s">
        <v>311</v>
      </c>
      <c r="H5" s="36">
        <v>3.5</v>
      </c>
      <c r="I5" s="36">
        <v>40</v>
      </c>
      <c r="J5" s="32" t="s">
        <v>1564</v>
      </c>
      <c r="K5" s="32" t="s">
        <v>1565</v>
      </c>
      <c r="L5" s="32" t="s">
        <v>1566</v>
      </c>
      <c r="M5" s="32" t="s">
        <v>639</v>
      </c>
      <c r="N5" s="40">
        <v>4</v>
      </c>
      <c r="O5" s="18">
        <f>IF(B5="","",COUNTIFS('Store Prices'!$C$5:$C$304,B5))</f>
        <v>0</v>
      </c>
      <c r="P5" s="18">
        <f>IF(B5="","",COUNTIFS(Ingredients!$N$5:$N$304,B5))</f>
        <v>0</v>
      </c>
      <c r="Q5" s="25">
        <f>IF(B5="","",SUMIFS('Grocery Spending'!$K$5:$K$404,'Grocery Spending'!$F$5:$F$404,B5))</f>
        <v>0</v>
      </c>
      <c r="R5" s="18">
        <f>IF(B5="","",COUNTIFS('Grocery Spending'!$F$5:$F$404,B5))</f>
        <v>0</v>
      </c>
      <c r="S5" s="25">
        <f>IF(OR(R5="",R5=0),"",Q5/R5)</f>
        <v>0</v>
      </c>
      <c r="T5" s="18">
        <f>IF(B5="","",COUNTIFS('Grocery List'!$E$5:$E$304,B5))</f>
        <v>0</v>
      </c>
      <c r="U5" s="18">
        <f>IF(B5="","",COUNTIFS($Q$5:$Q$44,"&gt;"&amp;Q5)+COUNTIFS($Q$5:Q5,Q5))</f>
        <v>0</v>
      </c>
      <c r="V5" s="42" t="s">
        <v>613</v>
      </c>
      <c r="W5" s="31">
        <f>IF(B5="","",IF(O5=0,"Add - no prices logged here yet",IF(AND(G5="Yes",I5=""),"Add - minimum order?","OK")))</f>
        <v>0</v>
      </c>
      <c r="X5" s="43" t="s">
        <v>1567</v>
      </c>
    </row>
    <row r="6" spans="1:24">
      <c r="A6" s="39">
        <f>IF(B6="","","ST-"&amp;TEXT(ROW()-4,"00"))</f>
        <v>0</v>
      </c>
      <c r="B6" s="32" t="s">
        <v>1010</v>
      </c>
      <c r="C6" s="32" t="s">
        <v>532</v>
      </c>
      <c r="D6" s="32" t="s">
        <v>1568</v>
      </c>
      <c r="E6" s="35">
        <v>18</v>
      </c>
      <c r="F6" s="32" t="s">
        <v>1569</v>
      </c>
      <c r="G6" s="40" t="s">
        <v>312</v>
      </c>
      <c r="J6" s="32" t="s">
        <v>157</v>
      </c>
      <c r="K6" s="32" t="s">
        <v>157</v>
      </c>
      <c r="L6" s="32" t="s">
        <v>1570</v>
      </c>
      <c r="M6" s="32" t="s">
        <v>141</v>
      </c>
      <c r="N6" s="40">
        <v>4</v>
      </c>
      <c r="O6" s="18">
        <f>IF(B6="","",COUNTIFS('Store Prices'!$C$5:$C$304,B6))</f>
        <v>0</v>
      </c>
      <c r="P6" s="18">
        <f>IF(B6="","",COUNTIFS(Ingredients!$N$5:$N$304,B6))</f>
        <v>0</v>
      </c>
      <c r="Q6" s="25">
        <f>IF(B6="","",SUMIFS('Grocery Spending'!$K$5:$K$404,'Grocery Spending'!$F$5:$F$404,B6))</f>
        <v>0</v>
      </c>
      <c r="R6" s="18">
        <f>IF(B6="","",COUNTIFS('Grocery Spending'!$F$5:$F$404,B6))</f>
        <v>0</v>
      </c>
      <c r="S6" s="25">
        <f>IF(OR(R6="",R6=0),"",Q6/R6)</f>
        <v>0</v>
      </c>
      <c r="T6" s="18">
        <f>IF(B6="","",COUNTIFS('Grocery List'!$E$5:$E$304,B6))</f>
        <v>0</v>
      </c>
      <c r="U6" s="18">
        <f>IF(B6="","",COUNTIFS($Q$5:$Q$44,"&gt;"&amp;Q6)+COUNTIFS($Q$5:Q6,Q6))</f>
        <v>0</v>
      </c>
      <c r="V6" s="42" t="s">
        <v>613</v>
      </c>
      <c r="W6" s="31">
        <f>IF(B6="","",IF(O6=0,"Add - no prices logged here yet",IF(AND(G6="Yes",I6=""),"Add - minimum order?","OK")))</f>
        <v>0</v>
      </c>
      <c r="X6" s="43" t="s">
        <v>1571</v>
      </c>
    </row>
    <row r="7" spans="1:24">
      <c r="A7" s="39">
        <f>IF(B7="","","ST-"&amp;TEXT(ROW()-4,"00"))</f>
        <v>0</v>
      </c>
      <c r="B7" s="32" t="s">
        <v>1011</v>
      </c>
      <c r="C7" s="32" t="s">
        <v>536</v>
      </c>
      <c r="D7" s="32" t="s">
        <v>1572</v>
      </c>
      <c r="E7" s="35">
        <v>20</v>
      </c>
      <c r="F7" s="32" t="s">
        <v>1573</v>
      </c>
      <c r="G7" s="40" t="s">
        <v>311</v>
      </c>
      <c r="H7" s="36">
        <v>2</v>
      </c>
      <c r="I7" s="36">
        <v>25</v>
      </c>
      <c r="J7" s="32" t="s">
        <v>1574</v>
      </c>
      <c r="K7" s="32" t="s">
        <v>157</v>
      </c>
      <c r="L7" s="32" t="s">
        <v>1575</v>
      </c>
      <c r="M7" s="32" t="s">
        <v>640</v>
      </c>
      <c r="N7" s="40">
        <v>5</v>
      </c>
      <c r="O7" s="18">
        <f>IF(B7="","",COUNTIFS('Store Prices'!$C$5:$C$304,B7))</f>
        <v>0</v>
      </c>
      <c r="P7" s="18">
        <f>IF(B7="","",COUNTIFS(Ingredients!$N$5:$N$304,B7))</f>
        <v>0</v>
      </c>
      <c r="Q7" s="25">
        <f>IF(B7="","",SUMIFS('Grocery Spending'!$K$5:$K$404,'Grocery Spending'!$F$5:$F$404,B7))</f>
        <v>0</v>
      </c>
      <c r="R7" s="18">
        <f>IF(B7="","",COUNTIFS('Grocery Spending'!$F$5:$F$404,B7))</f>
        <v>0</v>
      </c>
      <c r="S7" s="25">
        <f>IF(OR(R7="",R7=0),"",Q7/R7)</f>
        <v>0</v>
      </c>
      <c r="T7" s="18">
        <f>IF(B7="","",COUNTIFS('Grocery List'!$E$5:$E$304,B7))</f>
        <v>0</v>
      </c>
      <c r="U7" s="18">
        <f>IF(B7="","",COUNTIFS($Q$5:$Q$44,"&gt;"&amp;Q7)+COUNTIFS($Q$5:Q7,Q7))</f>
        <v>0</v>
      </c>
      <c r="V7" s="42" t="s">
        <v>613</v>
      </c>
      <c r="W7" s="31">
        <f>IF(B7="","",IF(O7=0,"Add - no prices logged here yet",IF(AND(G7="Yes",I7=""),"Add - minimum order?","OK")))</f>
        <v>0</v>
      </c>
      <c r="X7" s="43" t="s">
        <v>1576</v>
      </c>
    </row>
    <row r="8" spans="1:24">
      <c r="A8" s="39">
        <f>IF(B8="","","ST-"&amp;TEXT(ROW()-4,"00"))</f>
        <v>0</v>
      </c>
      <c r="B8" s="32" t="s">
        <v>1013</v>
      </c>
      <c r="C8" s="32" t="s">
        <v>540</v>
      </c>
      <c r="D8" s="32" t="s">
        <v>1577</v>
      </c>
      <c r="E8" s="35">
        <v>3</v>
      </c>
      <c r="F8" s="32" t="s">
        <v>1578</v>
      </c>
      <c r="G8" s="40" t="s">
        <v>312</v>
      </c>
      <c r="J8" s="32" t="s">
        <v>157</v>
      </c>
      <c r="K8" s="32" t="s">
        <v>157</v>
      </c>
      <c r="L8" s="32" t="s">
        <v>1579</v>
      </c>
      <c r="M8" s="32" t="s">
        <v>640</v>
      </c>
      <c r="N8" s="40">
        <v>3</v>
      </c>
      <c r="O8" s="18">
        <f>IF(B8="","",COUNTIFS('Store Prices'!$C$5:$C$304,B8))</f>
        <v>0</v>
      </c>
      <c r="P8" s="18">
        <f>IF(B8="","",COUNTIFS(Ingredients!$N$5:$N$304,B8))</f>
        <v>0</v>
      </c>
      <c r="Q8" s="25">
        <f>IF(B8="","",SUMIFS('Grocery Spending'!$K$5:$K$404,'Grocery Spending'!$F$5:$F$404,B8))</f>
        <v>0</v>
      </c>
      <c r="R8" s="18">
        <f>IF(B8="","",COUNTIFS('Grocery Spending'!$F$5:$F$404,B8))</f>
        <v>0</v>
      </c>
      <c r="S8" s="25">
        <f>IF(OR(R8="",R8=0),"",Q8/R8)</f>
        <v>0</v>
      </c>
      <c r="T8" s="18">
        <f>IF(B8="","",COUNTIFS('Grocery List'!$E$5:$E$304,B8))</f>
        <v>0</v>
      </c>
      <c r="U8" s="18">
        <f>IF(B8="","",COUNTIFS($Q$5:$Q$44,"&gt;"&amp;Q8)+COUNTIFS($Q$5:Q8,Q8))</f>
        <v>0</v>
      </c>
      <c r="V8" s="42" t="s">
        <v>613</v>
      </c>
      <c r="W8" s="31">
        <f>IF(B8="","",IF(O8=0,"Add - no prices logged here yet",IF(AND(G8="Yes",I8=""),"Add - minimum order?","OK")))</f>
        <v>0</v>
      </c>
      <c r="X8" s="43" t="s">
        <v>1580</v>
      </c>
    </row>
    <row r="9" spans="1:24">
      <c r="A9" s="39">
        <f>IF(B9="","","ST-"&amp;TEXT(ROW()-4,"00"))</f>
        <v>0</v>
      </c>
      <c r="B9" s="32" t="s">
        <v>1015</v>
      </c>
      <c r="C9" s="32" t="s">
        <v>538</v>
      </c>
      <c r="D9" s="32" t="s">
        <v>1581</v>
      </c>
      <c r="E9" s="35">
        <v>0</v>
      </c>
      <c r="F9" s="32" t="s">
        <v>1582</v>
      </c>
      <c r="G9" s="40" t="s">
        <v>311</v>
      </c>
      <c r="H9" s="36">
        <v>4.95</v>
      </c>
      <c r="I9" s="36">
        <v>50</v>
      </c>
      <c r="J9" s="32" t="s">
        <v>1583</v>
      </c>
      <c r="K9" s="32" t="s">
        <v>1584</v>
      </c>
      <c r="L9" s="32" t="s">
        <v>1585</v>
      </c>
      <c r="M9" s="32" t="s">
        <v>639</v>
      </c>
      <c r="N9" s="40">
        <v>4</v>
      </c>
      <c r="O9" s="18">
        <f>IF(B9="","",COUNTIFS('Store Prices'!$C$5:$C$304,B9))</f>
        <v>0</v>
      </c>
      <c r="P9" s="18">
        <f>IF(B9="","",COUNTIFS(Ingredients!$N$5:$N$304,B9))</f>
        <v>0</v>
      </c>
      <c r="Q9" s="25">
        <f>IF(B9="","",SUMIFS('Grocery Spending'!$K$5:$K$404,'Grocery Spending'!$F$5:$F$404,B9))</f>
        <v>0</v>
      </c>
      <c r="R9" s="18">
        <f>IF(B9="","",COUNTIFS('Grocery Spending'!$F$5:$F$404,B9))</f>
        <v>0</v>
      </c>
      <c r="S9" s="25">
        <f>IF(OR(R9="",R9=0),"",Q9/R9)</f>
        <v>0</v>
      </c>
      <c r="T9" s="18">
        <f>IF(B9="","",COUNTIFS('Grocery List'!$E$5:$E$304,B9))</f>
        <v>0</v>
      </c>
      <c r="U9" s="18">
        <f>IF(B9="","",COUNTIFS($Q$5:$Q$44,"&gt;"&amp;Q9)+COUNTIFS($Q$5:Q9,Q9))</f>
        <v>0</v>
      </c>
      <c r="V9" s="42" t="s">
        <v>613</v>
      </c>
      <c r="W9" s="31">
        <f>IF(B9="","",IF(O9=0,"Add - no prices logged here yet",IF(AND(G9="Yes",I9=""),"Add - minimum order?","OK")))</f>
        <v>0</v>
      </c>
      <c r="X9" s="43" t="s">
        <v>157</v>
      </c>
    </row>
    <row r="10" spans="1:24">
      <c r="A10" s="39">
        <f>IF(B10="","","ST-"&amp;TEXT(ROW()-4,"00"))</f>
        <v>0</v>
      </c>
      <c r="B10" s="32" t="s">
        <v>1521</v>
      </c>
      <c r="C10" s="32" t="s">
        <v>322</v>
      </c>
      <c r="D10" s="32" t="s">
        <v>1562</v>
      </c>
      <c r="E10" s="35">
        <v>10</v>
      </c>
      <c r="F10" s="32" t="s">
        <v>1586</v>
      </c>
      <c r="G10" s="40" t="s">
        <v>311</v>
      </c>
      <c r="H10" s="36">
        <v>2.5</v>
      </c>
      <c r="I10" s="36">
        <v>20</v>
      </c>
      <c r="J10" s="32" t="s">
        <v>157</v>
      </c>
      <c r="K10" s="32" t="s">
        <v>157</v>
      </c>
      <c r="L10" s="32" t="s">
        <v>1587</v>
      </c>
      <c r="M10" s="32" t="s">
        <v>640</v>
      </c>
      <c r="N10" s="40">
        <v>4</v>
      </c>
      <c r="O10" s="18">
        <f>IF(B10="","",COUNTIFS('Store Prices'!$C$5:$C$304,B10))</f>
        <v>0</v>
      </c>
      <c r="P10" s="18">
        <f>IF(B10="","",COUNTIFS(Ingredients!$N$5:$N$304,B10))</f>
        <v>0</v>
      </c>
      <c r="Q10" s="25">
        <f>IF(B10="","",SUMIFS('Grocery Spending'!$K$5:$K$404,'Grocery Spending'!$F$5:$F$404,B10))</f>
        <v>0</v>
      </c>
      <c r="R10" s="18">
        <f>IF(B10="","",COUNTIFS('Grocery Spending'!$F$5:$F$404,B10))</f>
        <v>0</v>
      </c>
      <c r="S10" s="25">
        <f>IF(OR(R10="",R10=0),"",Q10/R10)</f>
        <v>0</v>
      </c>
      <c r="T10" s="18">
        <f>IF(B10="","",COUNTIFS('Grocery List'!$E$5:$E$304,B10))</f>
        <v>0</v>
      </c>
      <c r="U10" s="18">
        <f>IF(B10="","",COUNTIFS($Q$5:$Q$44,"&gt;"&amp;Q10)+COUNTIFS($Q$5:Q10,Q10))</f>
        <v>0</v>
      </c>
      <c r="V10" s="42" t="s">
        <v>613</v>
      </c>
      <c r="W10" s="31">
        <f>IF(B10="","",IF(O10=0,"Add - no prices logged here yet",IF(AND(G10="Yes",I10=""),"Add - minimum order?","OK")))</f>
        <v>0</v>
      </c>
      <c r="X10" s="43" t="s">
        <v>1588</v>
      </c>
    </row>
    <row r="11" spans="1:24">
      <c r="A11" s="39">
        <f>IF(B11="","","ST-"&amp;TEXT(ROW()-4,"00"))</f>
        <v>0</v>
      </c>
      <c r="B11" s="32" t="s">
        <v>1524</v>
      </c>
      <c r="C11" s="32" t="s">
        <v>541</v>
      </c>
      <c r="D11" s="32" t="s">
        <v>1589</v>
      </c>
      <c r="E11" s="35">
        <v>15</v>
      </c>
      <c r="F11" s="32" t="s">
        <v>1590</v>
      </c>
      <c r="G11" s="40" t="s">
        <v>312</v>
      </c>
      <c r="J11" s="32" t="s">
        <v>157</v>
      </c>
      <c r="K11" s="32" t="s">
        <v>157</v>
      </c>
      <c r="L11" s="32" t="s">
        <v>1591</v>
      </c>
      <c r="M11" s="32" t="s">
        <v>640</v>
      </c>
      <c r="N11" s="40">
        <v>5</v>
      </c>
      <c r="O11" s="18">
        <f>IF(B11="","",COUNTIFS('Store Prices'!$C$5:$C$304,B11))</f>
        <v>0</v>
      </c>
      <c r="P11" s="18">
        <f>IF(B11="","",COUNTIFS(Ingredients!$N$5:$N$304,B11))</f>
        <v>0</v>
      </c>
      <c r="Q11" s="25">
        <f>IF(B11="","",SUMIFS('Grocery Spending'!$K$5:$K$404,'Grocery Spending'!$F$5:$F$404,B11))</f>
        <v>0</v>
      </c>
      <c r="R11" s="18">
        <f>IF(B11="","",COUNTIFS('Grocery Spending'!$F$5:$F$404,B11))</f>
        <v>0</v>
      </c>
      <c r="S11" s="25">
        <f>IF(OR(R11="",R11=0),"",Q11/R11)</f>
        <v>0</v>
      </c>
      <c r="T11" s="18">
        <f>IF(B11="","",COUNTIFS('Grocery List'!$E$5:$E$304,B11))</f>
        <v>0</v>
      </c>
      <c r="U11" s="18">
        <f>IF(B11="","",COUNTIFS($Q$5:$Q$44,"&gt;"&amp;Q11)+COUNTIFS($Q$5:Q11,Q11))</f>
        <v>0</v>
      </c>
      <c r="V11" s="42" t="s">
        <v>613</v>
      </c>
      <c r="W11" s="31">
        <f>IF(B11="","",IF(O11=0,"Add - no prices logged here yet",IF(AND(G11="Yes",I11=""),"Add - minimum order?","OK")))</f>
        <v>0</v>
      </c>
      <c r="X11" s="43" t="s">
        <v>1592</v>
      </c>
    </row>
    <row r="12" spans="1:24">
      <c r="A12" s="39">
        <f>IF(B12="","","ST-"&amp;TEXT(ROW()-4,"00"))</f>
        <v>0</v>
      </c>
      <c r="O12" s="18">
        <f>IF(B12="","",COUNTIFS('Store Prices'!$C$5:$C$304,B12))</f>
        <v>0</v>
      </c>
      <c r="P12" s="18">
        <f>IF(B12="","",COUNTIFS(Ingredients!$N$5:$N$304,B12))</f>
        <v>0</v>
      </c>
      <c r="Q12" s="25">
        <f>IF(B12="","",SUMIFS('Grocery Spending'!$K$5:$K$404,'Grocery Spending'!$F$5:$F$404,B12))</f>
        <v>0</v>
      </c>
      <c r="R12" s="18">
        <f>IF(B12="","",COUNTIFS('Grocery Spending'!$F$5:$F$404,B12))</f>
        <v>0</v>
      </c>
      <c r="S12" s="25">
        <f>IF(OR(R12="",R12=0),"",Q12/R12)</f>
        <v>0</v>
      </c>
      <c r="T12" s="18">
        <f>IF(B12="","",COUNTIFS('Grocery List'!$E$5:$E$304,B12))</f>
        <v>0</v>
      </c>
      <c r="U12" s="18">
        <f>IF(B12="","",COUNTIFS($Q$5:$Q$44,"&gt;"&amp;Q12)+COUNTIFS($Q$5:Q12,Q12))</f>
        <v>0</v>
      </c>
      <c r="W12" s="31">
        <f>IF(B12="","",IF(O12=0,"Add - no prices logged here yet",IF(AND(G12="Yes",I12=""),"Add - minimum order?","OK")))</f>
        <v>0</v>
      </c>
    </row>
    <row r="13" spans="1:24">
      <c r="A13" s="39">
        <f>IF(B13="","","ST-"&amp;TEXT(ROW()-4,"00"))</f>
        <v>0</v>
      </c>
      <c r="O13" s="18">
        <f>IF(B13="","",COUNTIFS('Store Prices'!$C$5:$C$304,B13))</f>
        <v>0</v>
      </c>
      <c r="P13" s="18">
        <f>IF(B13="","",COUNTIFS(Ingredients!$N$5:$N$304,B13))</f>
        <v>0</v>
      </c>
      <c r="Q13" s="25">
        <f>IF(B13="","",SUMIFS('Grocery Spending'!$K$5:$K$404,'Grocery Spending'!$F$5:$F$404,B13))</f>
        <v>0</v>
      </c>
      <c r="R13" s="18">
        <f>IF(B13="","",COUNTIFS('Grocery Spending'!$F$5:$F$404,B13))</f>
        <v>0</v>
      </c>
      <c r="S13" s="25">
        <f>IF(OR(R13="",R13=0),"",Q13/R13)</f>
        <v>0</v>
      </c>
      <c r="T13" s="18">
        <f>IF(B13="","",COUNTIFS('Grocery List'!$E$5:$E$304,B13))</f>
        <v>0</v>
      </c>
      <c r="U13" s="18">
        <f>IF(B13="","",COUNTIFS($Q$5:$Q$44,"&gt;"&amp;Q13)+COUNTIFS($Q$5:Q13,Q13))</f>
        <v>0</v>
      </c>
      <c r="W13" s="31">
        <f>IF(B13="","",IF(O13=0,"Add - no prices logged here yet",IF(AND(G13="Yes",I13=""),"Add - minimum order?","OK")))</f>
        <v>0</v>
      </c>
    </row>
    <row r="14" spans="1:24">
      <c r="A14" s="39">
        <f>IF(B14="","","ST-"&amp;TEXT(ROW()-4,"00"))</f>
        <v>0</v>
      </c>
      <c r="O14" s="18">
        <f>IF(B14="","",COUNTIFS('Store Prices'!$C$5:$C$304,B14))</f>
        <v>0</v>
      </c>
      <c r="P14" s="18">
        <f>IF(B14="","",COUNTIFS(Ingredients!$N$5:$N$304,B14))</f>
        <v>0</v>
      </c>
      <c r="Q14" s="25">
        <f>IF(B14="","",SUMIFS('Grocery Spending'!$K$5:$K$404,'Grocery Spending'!$F$5:$F$404,B14))</f>
        <v>0</v>
      </c>
      <c r="R14" s="18">
        <f>IF(B14="","",COUNTIFS('Grocery Spending'!$F$5:$F$404,B14))</f>
        <v>0</v>
      </c>
      <c r="S14" s="25">
        <f>IF(OR(R14="",R14=0),"",Q14/R14)</f>
        <v>0</v>
      </c>
      <c r="T14" s="18">
        <f>IF(B14="","",COUNTIFS('Grocery List'!$E$5:$E$304,B14))</f>
        <v>0</v>
      </c>
      <c r="U14" s="18">
        <f>IF(B14="","",COUNTIFS($Q$5:$Q$44,"&gt;"&amp;Q14)+COUNTIFS($Q$5:Q14,Q14))</f>
        <v>0</v>
      </c>
      <c r="W14" s="31">
        <f>IF(B14="","",IF(O14=0,"Add - no prices logged here yet",IF(AND(G14="Yes",I14=""),"Add - minimum order?","OK")))</f>
        <v>0</v>
      </c>
    </row>
    <row r="15" spans="1:24">
      <c r="A15" s="39">
        <f>IF(B15="","","ST-"&amp;TEXT(ROW()-4,"00"))</f>
        <v>0</v>
      </c>
      <c r="O15" s="18">
        <f>IF(B15="","",COUNTIFS('Store Prices'!$C$5:$C$304,B15))</f>
        <v>0</v>
      </c>
      <c r="P15" s="18">
        <f>IF(B15="","",COUNTIFS(Ingredients!$N$5:$N$304,B15))</f>
        <v>0</v>
      </c>
      <c r="Q15" s="25">
        <f>IF(B15="","",SUMIFS('Grocery Spending'!$K$5:$K$404,'Grocery Spending'!$F$5:$F$404,B15))</f>
        <v>0</v>
      </c>
      <c r="R15" s="18">
        <f>IF(B15="","",COUNTIFS('Grocery Spending'!$F$5:$F$404,B15))</f>
        <v>0</v>
      </c>
      <c r="S15" s="25">
        <f>IF(OR(R15="",R15=0),"",Q15/R15)</f>
        <v>0</v>
      </c>
      <c r="T15" s="18">
        <f>IF(B15="","",COUNTIFS('Grocery List'!$E$5:$E$304,B15))</f>
        <v>0</v>
      </c>
      <c r="U15" s="18">
        <f>IF(B15="","",COUNTIFS($Q$5:$Q$44,"&gt;"&amp;Q15)+COUNTIFS($Q$5:Q15,Q15))</f>
        <v>0</v>
      </c>
      <c r="W15" s="31">
        <f>IF(B15="","",IF(O15=0,"Add - no prices logged here yet",IF(AND(G15="Yes",I15=""),"Add - minimum order?","OK")))</f>
        <v>0</v>
      </c>
    </row>
    <row r="16" spans="1:24">
      <c r="A16" s="39">
        <f>IF(B16="","","ST-"&amp;TEXT(ROW()-4,"00"))</f>
        <v>0</v>
      </c>
      <c r="O16" s="18">
        <f>IF(B16="","",COUNTIFS('Store Prices'!$C$5:$C$304,B16))</f>
        <v>0</v>
      </c>
      <c r="P16" s="18">
        <f>IF(B16="","",COUNTIFS(Ingredients!$N$5:$N$304,B16))</f>
        <v>0</v>
      </c>
      <c r="Q16" s="25">
        <f>IF(B16="","",SUMIFS('Grocery Spending'!$K$5:$K$404,'Grocery Spending'!$F$5:$F$404,B16))</f>
        <v>0</v>
      </c>
      <c r="R16" s="18">
        <f>IF(B16="","",COUNTIFS('Grocery Spending'!$F$5:$F$404,B16))</f>
        <v>0</v>
      </c>
      <c r="S16" s="25">
        <f>IF(OR(R16="",R16=0),"",Q16/R16)</f>
        <v>0</v>
      </c>
      <c r="T16" s="18">
        <f>IF(B16="","",COUNTIFS('Grocery List'!$E$5:$E$304,B16))</f>
        <v>0</v>
      </c>
      <c r="U16" s="18">
        <f>IF(B16="","",COUNTIFS($Q$5:$Q$44,"&gt;"&amp;Q16)+COUNTIFS($Q$5:Q16,Q16))</f>
        <v>0</v>
      </c>
      <c r="W16" s="31">
        <f>IF(B16="","",IF(O16=0,"Add - no prices logged here yet",IF(AND(G16="Yes",I16=""),"Add - minimum order?","OK")))</f>
        <v>0</v>
      </c>
    </row>
    <row r="17" spans="1:23">
      <c r="A17" s="39">
        <f>IF(B17="","","ST-"&amp;TEXT(ROW()-4,"00"))</f>
        <v>0</v>
      </c>
      <c r="O17" s="18">
        <f>IF(B17="","",COUNTIFS('Store Prices'!$C$5:$C$304,B17))</f>
        <v>0</v>
      </c>
      <c r="P17" s="18">
        <f>IF(B17="","",COUNTIFS(Ingredients!$N$5:$N$304,B17))</f>
        <v>0</v>
      </c>
      <c r="Q17" s="25">
        <f>IF(B17="","",SUMIFS('Grocery Spending'!$K$5:$K$404,'Grocery Spending'!$F$5:$F$404,B17))</f>
        <v>0</v>
      </c>
      <c r="R17" s="18">
        <f>IF(B17="","",COUNTIFS('Grocery Spending'!$F$5:$F$404,B17))</f>
        <v>0</v>
      </c>
      <c r="S17" s="25">
        <f>IF(OR(R17="",R17=0),"",Q17/R17)</f>
        <v>0</v>
      </c>
      <c r="T17" s="18">
        <f>IF(B17="","",COUNTIFS('Grocery List'!$E$5:$E$304,B17))</f>
        <v>0</v>
      </c>
      <c r="U17" s="18">
        <f>IF(B17="","",COUNTIFS($Q$5:$Q$44,"&gt;"&amp;Q17)+COUNTIFS($Q$5:Q17,Q17))</f>
        <v>0</v>
      </c>
      <c r="W17" s="31">
        <f>IF(B17="","",IF(O17=0,"Add - no prices logged here yet",IF(AND(G17="Yes",I17=""),"Add - minimum order?","OK")))</f>
        <v>0</v>
      </c>
    </row>
    <row r="18" spans="1:23">
      <c r="A18" s="39">
        <f>IF(B18="","","ST-"&amp;TEXT(ROW()-4,"00"))</f>
        <v>0</v>
      </c>
      <c r="O18" s="18">
        <f>IF(B18="","",COUNTIFS('Store Prices'!$C$5:$C$304,B18))</f>
        <v>0</v>
      </c>
      <c r="P18" s="18">
        <f>IF(B18="","",COUNTIFS(Ingredients!$N$5:$N$304,B18))</f>
        <v>0</v>
      </c>
      <c r="Q18" s="25">
        <f>IF(B18="","",SUMIFS('Grocery Spending'!$K$5:$K$404,'Grocery Spending'!$F$5:$F$404,B18))</f>
        <v>0</v>
      </c>
      <c r="R18" s="18">
        <f>IF(B18="","",COUNTIFS('Grocery Spending'!$F$5:$F$404,B18))</f>
        <v>0</v>
      </c>
      <c r="S18" s="25">
        <f>IF(OR(R18="",R18=0),"",Q18/R18)</f>
        <v>0</v>
      </c>
      <c r="T18" s="18">
        <f>IF(B18="","",COUNTIFS('Grocery List'!$E$5:$E$304,B18))</f>
        <v>0</v>
      </c>
      <c r="U18" s="18">
        <f>IF(B18="","",COUNTIFS($Q$5:$Q$44,"&gt;"&amp;Q18)+COUNTIFS($Q$5:Q18,Q18))</f>
        <v>0</v>
      </c>
      <c r="W18" s="31">
        <f>IF(B18="","",IF(O18=0,"Add - no prices logged here yet",IF(AND(G18="Yes",I18=""),"Add - minimum order?","OK")))</f>
        <v>0</v>
      </c>
    </row>
    <row r="19" spans="1:23">
      <c r="A19" s="39">
        <f>IF(B19="","","ST-"&amp;TEXT(ROW()-4,"00"))</f>
        <v>0</v>
      </c>
      <c r="O19" s="18">
        <f>IF(B19="","",COUNTIFS('Store Prices'!$C$5:$C$304,B19))</f>
        <v>0</v>
      </c>
      <c r="P19" s="18">
        <f>IF(B19="","",COUNTIFS(Ingredients!$N$5:$N$304,B19))</f>
        <v>0</v>
      </c>
      <c r="Q19" s="25">
        <f>IF(B19="","",SUMIFS('Grocery Spending'!$K$5:$K$404,'Grocery Spending'!$F$5:$F$404,B19))</f>
        <v>0</v>
      </c>
      <c r="R19" s="18">
        <f>IF(B19="","",COUNTIFS('Grocery Spending'!$F$5:$F$404,B19))</f>
        <v>0</v>
      </c>
      <c r="S19" s="25">
        <f>IF(OR(R19="",R19=0),"",Q19/R19)</f>
        <v>0</v>
      </c>
      <c r="T19" s="18">
        <f>IF(B19="","",COUNTIFS('Grocery List'!$E$5:$E$304,B19))</f>
        <v>0</v>
      </c>
      <c r="U19" s="18">
        <f>IF(B19="","",COUNTIFS($Q$5:$Q$44,"&gt;"&amp;Q19)+COUNTIFS($Q$5:Q19,Q19))</f>
        <v>0</v>
      </c>
      <c r="W19" s="31">
        <f>IF(B19="","",IF(O19=0,"Add - no prices logged here yet",IF(AND(G19="Yes",I19=""),"Add - minimum order?","OK")))</f>
        <v>0</v>
      </c>
    </row>
    <row r="20" spans="1:23">
      <c r="A20" s="39">
        <f>IF(B20="","","ST-"&amp;TEXT(ROW()-4,"00"))</f>
        <v>0</v>
      </c>
      <c r="O20" s="18">
        <f>IF(B20="","",COUNTIFS('Store Prices'!$C$5:$C$304,B20))</f>
        <v>0</v>
      </c>
      <c r="P20" s="18">
        <f>IF(B20="","",COUNTIFS(Ingredients!$N$5:$N$304,B20))</f>
        <v>0</v>
      </c>
      <c r="Q20" s="25">
        <f>IF(B20="","",SUMIFS('Grocery Spending'!$K$5:$K$404,'Grocery Spending'!$F$5:$F$404,B20))</f>
        <v>0</v>
      </c>
      <c r="R20" s="18">
        <f>IF(B20="","",COUNTIFS('Grocery Spending'!$F$5:$F$404,B20))</f>
        <v>0</v>
      </c>
      <c r="S20" s="25">
        <f>IF(OR(R20="",R20=0),"",Q20/R20)</f>
        <v>0</v>
      </c>
      <c r="T20" s="18">
        <f>IF(B20="","",COUNTIFS('Grocery List'!$E$5:$E$304,B20))</f>
        <v>0</v>
      </c>
      <c r="U20" s="18">
        <f>IF(B20="","",COUNTIFS($Q$5:$Q$44,"&gt;"&amp;Q20)+COUNTIFS($Q$5:Q20,Q20))</f>
        <v>0</v>
      </c>
      <c r="W20" s="31">
        <f>IF(B20="","",IF(O20=0,"Add - no prices logged here yet",IF(AND(G20="Yes",I20=""),"Add - minimum order?","OK")))</f>
        <v>0</v>
      </c>
    </row>
    <row r="21" spans="1:23">
      <c r="A21" s="39">
        <f>IF(B21="","","ST-"&amp;TEXT(ROW()-4,"00"))</f>
        <v>0</v>
      </c>
      <c r="O21" s="18">
        <f>IF(B21="","",COUNTIFS('Store Prices'!$C$5:$C$304,B21))</f>
        <v>0</v>
      </c>
      <c r="P21" s="18">
        <f>IF(B21="","",COUNTIFS(Ingredients!$N$5:$N$304,B21))</f>
        <v>0</v>
      </c>
      <c r="Q21" s="25">
        <f>IF(B21="","",SUMIFS('Grocery Spending'!$K$5:$K$404,'Grocery Spending'!$F$5:$F$404,B21))</f>
        <v>0</v>
      </c>
      <c r="R21" s="18">
        <f>IF(B21="","",COUNTIFS('Grocery Spending'!$F$5:$F$404,B21))</f>
        <v>0</v>
      </c>
      <c r="S21" s="25">
        <f>IF(OR(R21="",R21=0),"",Q21/R21)</f>
        <v>0</v>
      </c>
      <c r="T21" s="18">
        <f>IF(B21="","",COUNTIFS('Grocery List'!$E$5:$E$304,B21))</f>
        <v>0</v>
      </c>
      <c r="U21" s="18">
        <f>IF(B21="","",COUNTIFS($Q$5:$Q$44,"&gt;"&amp;Q21)+COUNTIFS($Q$5:Q21,Q21))</f>
        <v>0</v>
      </c>
      <c r="W21" s="31">
        <f>IF(B21="","",IF(O21=0,"Add - no prices logged here yet",IF(AND(G21="Yes",I21=""),"Add - minimum order?","OK")))</f>
        <v>0</v>
      </c>
    </row>
    <row r="22" spans="1:23">
      <c r="A22" s="39">
        <f>IF(B22="","","ST-"&amp;TEXT(ROW()-4,"00"))</f>
        <v>0</v>
      </c>
      <c r="O22" s="18">
        <f>IF(B22="","",COUNTIFS('Store Prices'!$C$5:$C$304,B22))</f>
        <v>0</v>
      </c>
      <c r="P22" s="18">
        <f>IF(B22="","",COUNTIFS(Ingredients!$N$5:$N$304,B22))</f>
        <v>0</v>
      </c>
      <c r="Q22" s="25">
        <f>IF(B22="","",SUMIFS('Grocery Spending'!$K$5:$K$404,'Grocery Spending'!$F$5:$F$404,B22))</f>
        <v>0</v>
      </c>
      <c r="R22" s="18">
        <f>IF(B22="","",COUNTIFS('Grocery Spending'!$F$5:$F$404,B22))</f>
        <v>0</v>
      </c>
      <c r="S22" s="25">
        <f>IF(OR(R22="",R22=0),"",Q22/R22)</f>
        <v>0</v>
      </c>
      <c r="T22" s="18">
        <f>IF(B22="","",COUNTIFS('Grocery List'!$E$5:$E$304,B22))</f>
        <v>0</v>
      </c>
      <c r="U22" s="18">
        <f>IF(B22="","",COUNTIFS($Q$5:$Q$44,"&gt;"&amp;Q22)+COUNTIFS($Q$5:Q22,Q22))</f>
        <v>0</v>
      </c>
      <c r="W22" s="31">
        <f>IF(B22="","",IF(O22=0,"Add - no prices logged here yet",IF(AND(G22="Yes",I22=""),"Add - minimum order?","OK")))</f>
        <v>0</v>
      </c>
    </row>
    <row r="23" spans="1:23">
      <c r="A23" s="39">
        <f>IF(B23="","","ST-"&amp;TEXT(ROW()-4,"00"))</f>
        <v>0</v>
      </c>
      <c r="O23" s="18">
        <f>IF(B23="","",COUNTIFS('Store Prices'!$C$5:$C$304,B23))</f>
        <v>0</v>
      </c>
      <c r="P23" s="18">
        <f>IF(B23="","",COUNTIFS(Ingredients!$N$5:$N$304,B23))</f>
        <v>0</v>
      </c>
      <c r="Q23" s="25">
        <f>IF(B23="","",SUMIFS('Grocery Spending'!$K$5:$K$404,'Grocery Spending'!$F$5:$F$404,B23))</f>
        <v>0</v>
      </c>
      <c r="R23" s="18">
        <f>IF(B23="","",COUNTIFS('Grocery Spending'!$F$5:$F$404,B23))</f>
        <v>0</v>
      </c>
      <c r="S23" s="25">
        <f>IF(OR(R23="",R23=0),"",Q23/R23)</f>
        <v>0</v>
      </c>
      <c r="T23" s="18">
        <f>IF(B23="","",COUNTIFS('Grocery List'!$E$5:$E$304,B23))</f>
        <v>0</v>
      </c>
      <c r="U23" s="18">
        <f>IF(B23="","",COUNTIFS($Q$5:$Q$44,"&gt;"&amp;Q23)+COUNTIFS($Q$5:Q23,Q23))</f>
        <v>0</v>
      </c>
      <c r="W23" s="31">
        <f>IF(B23="","",IF(O23=0,"Add - no prices logged here yet",IF(AND(G23="Yes",I23=""),"Add - minimum order?","OK")))</f>
        <v>0</v>
      </c>
    </row>
    <row r="24" spans="1:23">
      <c r="A24" s="39">
        <f>IF(B24="","","ST-"&amp;TEXT(ROW()-4,"00"))</f>
        <v>0</v>
      </c>
      <c r="O24" s="18">
        <f>IF(B24="","",COUNTIFS('Store Prices'!$C$5:$C$304,B24))</f>
        <v>0</v>
      </c>
      <c r="P24" s="18">
        <f>IF(B24="","",COUNTIFS(Ingredients!$N$5:$N$304,B24))</f>
        <v>0</v>
      </c>
      <c r="Q24" s="25">
        <f>IF(B24="","",SUMIFS('Grocery Spending'!$K$5:$K$404,'Grocery Spending'!$F$5:$F$404,B24))</f>
        <v>0</v>
      </c>
      <c r="R24" s="18">
        <f>IF(B24="","",COUNTIFS('Grocery Spending'!$F$5:$F$404,B24))</f>
        <v>0</v>
      </c>
      <c r="S24" s="25">
        <f>IF(OR(R24="",R24=0),"",Q24/R24)</f>
        <v>0</v>
      </c>
      <c r="T24" s="18">
        <f>IF(B24="","",COUNTIFS('Grocery List'!$E$5:$E$304,B24))</f>
        <v>0</v>
      </c>
      <c r="U24" s="18">
        <f>IF(B24="","",COUNTIFS($Q$5:$Q$44,"&gt;"&amp;Q24)+COUNTIFS($Q$5:Q24,Q24))</f>
        <v>0</v>
      </c>
      <c r="W24" s="31">
        <f>IF(B24="","",IF(O24=0,"Add - no prices logged here yet",IF(AND(G24="Yes",I24=""),"Add - minimum order?","OK")))</f>
        <v>0</v>
      </c>
    </row>
    <row r="25" spans="1:23">
      <c r="A25" s="39">
        <f>IF(B25="","","ST-"&amp;TEXT(ROW()-4,"00"))</f>
        <v>0</v>
      </c>
      <c r="O25" s="18">
        <f>IF(B25="","",COUNTIFS('Store Prices'!$C$5:$C$304,B25))</f>
        <v>0</v>
      </c>
      <c r="P25" s="18">
        <f>IF(B25="","",COUNTIFS(Ingredients!$N$5:$N$304,B25))</f>
        <v>0</v>
      </c>
      <c r="Q25" s="25">
        <f>IF(B25="","",SUMIFS('Grocery Spending'!$K$5:$K$404,'Grocery Spending'!$F$5:$F$404,B25))</f>
        <v>0</v>
      </c>
      <c r="R25" s="18">
        <f>IF(B25="","",COUNTIFS('Grocery Spending'!$F$5:$F$404,B25))</f>
        <v>0</v>
      </c>
      <c r="S25" s="25">
        <f>IF(OR(R25="",R25=0),"",Q25/R25)</f>
        <v>0</v>
      </c>
      <c r="T25" s="18">
        <f>IF(B25="","",COUNTIFS('Grocery List'!$E$5:$E$304,B25))</f>
        <v>0</v>
      </c>
      <c r="U25" s="18">
        <f>IF(B25="","",COUNTIFS($Q$5:$Q$44,"&gt;"&amp;Q25)+COUNTIFS($Q$5:Q25,Q25))</f>
        <v>0</v>
      </c>
      <c r="W25" s="31">
        <f>IF(B25="","",IF(O25=0,"Add - no prices logged here yet",IF(AND(G25="Yes",I25=""),"Add - minimum order?","OK")))</f>
        <v>0</v>
      </c>
    </row>
    <row r="26" spans="1:23">
      <c r="A26" s="39">
        <f>IF(B26="","","ST-"&amp;TEXT(ROW()-4,"00"))</f>
        <v>0</v>
      </c>
      <c r="O26" s="18">
        <f>IF(B26="","",COUNTIFS('Store Prices'!$C$5:$C$304,B26))</f>
        <v>0</v>
      </c>
      <c r="P26" s="18">
        <f>IF(B26="","",COUNTIFS(Ingredients!$N$5:$N$304,B26))</f>
        <v>0</v>
      </c>
      <c r="Q26" s="25">
        <f>IF(B26="","",SUMIFS('Grocery Spending'!$K$5:$K$404,'Grocery Spending'!$F$5:$F$404,B26))</f>
        <v>0</v>
      </c>
      <c r="R26" s="18">
        <f>IF(B26="","",COUNTIFS('Grocery Spending'!$F$5:$F$404,B26))</f>
        <v>0</v>
      </c>
      <c r="S26" s="25">
        <f>IF(OR(R26="",R26=0),"",Q26/R26)</f>
        <v>0</v>
      </c>
      <c r="T26" s="18">
        <f>IF(B26="","",COUNTIFS('Grocery List'!$E$5:$E$304,B26))</f>
        <v>0</v>
      </c>
      <c r="U26" s="18">
        <f>IF(B26="","",COUNTIFS($Q$5:$Q$44,"&gt;"&amp;Q26)+COUNTIFS($Q$5:Q26,Q26))</f>
        <v>0</v>
      </c>
      <c r="W26" s="31">
        <f>IF(B26="","",IF(O26=0,"Add - no prices logged here yet",IF(AND(G26="Yes",I26=""),"Add - minimum order?","OK")))</f>
        <v>0</v>
      </c>
    </row>
    <row r="27" spans="1:23">
      <c r="A27" s="39">
        <f>IF(B27="","","ST-"&amp;TEXT(ROW()-4,"00"))</f>
        <v>0</v>
      </c>
      <c r="O27" s="18">
        <f>IF(B27="","",COUNTIFS('Store Prices'!$C$5:$C$304,B27))</f>
        <v>0</v>
      </c>
      <c r="P27" s="18">
        <f>IF(B27="","",COUNTIFS(Ingredients!$N$5:$N$304,B27))</f>
        <v>0</v>
      </c>
      <c r="Q27" s="25">
        <f>IF(B27="","",SUMIFS('Grocery Spending'!$K$5:$K$404,'Grocery Spending'!$F$5:$F$404,B27))</f>
        <v>0</v>
      </c>
      <c r="R27" s="18">
        <f>IF(B27="","",COUNTIFS('Grocery Spending'!$F$5:$F$404,B27))</f>
        <v>0</v>
      </c>
      <c r="S27" s="25">
        <f>IF(OR(R27="",R27=0),"",Q27/R27)</f>
        <v>0</v>
      </c>
      <c r="T27" s="18">
        <f>IF(B27="","",COUNTIFS('Grocery List'!$E$5:$E$304,B27))</f>
        <v>0</v>
      </c>
      <c r="U27" s="18">
        <f>IF(B27="","",COUNTIFS($Q$5:$Q$44,"&gt;"&amp;Q27)+COUNTIFS($Q$5:Q27,Q27))</f>
        <v>0</v>
      </c>
      <c r="W27" s="31">
        <f>IF(B27="","",IF(O27=0,"Add - no prices logged here yet",IF(AND(G27="Yes",I27=""),"Add - minimum order?","OK")))</f>
        <v>0</v>
      </c>
    </row>
    <row r="28" spans="1:23">
      <c r="A28" s="39">
        <f>IF(B28="","","ST-"&amp;TEXT(ROW()-4,"00"))</f>
        <v>0</v>
      </c>
      <c r="O28" s="18">
        <f>IF(B28="","",COUNTIFS('Store Prices'!$C$5:$C$304,B28))</f>
        <v>0</v>
      </c>
      <c r="P28" s="18">
        <f>IF(B28="","",COUNTIFS(Ingredients!$N$5:$N$304,B28))</f>
        <v>0</v>
      </c>
      <c r="Q28" s="25">
        <f>IF(B28="","",SUMIFS('Grocery Spending'!$K$5:$K$404,'Grocery Spending'!$F$5:$F$404,B28))</f>
        <v>0</v>
      </c>
      <c r="R28" s="18">
        <f>IF(B28="","",COUNTIFS('Grocery Spending'!$F$5:$F$404,B28))</f>
        <v>0</v>
      </c>
      <c r="S28" s="25">
        <f>IF(OR(R28="",R28=0),"",Q28/R28)</f>
        <v>0</v>
      </c>
      <c r="T28" s="18">
        <f>IF(B28="","",COUNTIFS('Grocery List'!$E$5:$E$304,B28))</f>
        <v>0</v>
      </c>
      <c r="U28" s="18">
        <f>IF(B28="","",COUNTIFS($Q$5:$Q$44,"&gt;"&amp;Q28)+COUNTIFS($Q$5:Q28,Q28))</f>
        <v>0</v>
      </c>
      <c r="W28" s="31">
        <f>IF(B28="","",IF(O28=0,"Add - no prices logged here yet",IF(AND(G28="Yes",I28=""),"Add - minimum order?","OK")))</f>
        <v>0</v>
      </c>
    </row>
    <row r="29" spans="1:23">
      <c r="A29" s="39">
        <f>IF(B29="","","ST-"&amp;TEXT(ROW()-4,"00"))</f>
        <v>0</v>
      </c>
      <c r="O29" s="18">
        <f>IF(B29="","",COUNTIFS('Store Prices'!$C$5:$C$304,B29))</f>
        <v>0</v>
      </c>
      <c r="P29" s="18">
        <f>IF(B29="","",COUNTIFS(Ingredients!$N$5:$N$304,B29))</f>
        <v>0</v>
      </c>
      <c r="Q29" s="25">
        <f>IF(B29="","",SUMIFS('Grocery Spending'!$K$5:$K$404,'Grocery Spending'!$F$5:$F$404,B29))</f>
        <v>0</v>
      </c>
      <c r="R29" s="18">
        <f>IF(B29="","",COUNTIFS('Grocery Spending'!$F$5:$F$404,B29))</f>
        <v>0</v>
      </c>
      <c r="S29" s="25">
        <f>IF(OR(R29="",R29=0),"",Q29/R29)</f>
        <v>0</v>
      </c>
      <c r="T29" s="18">
        <f>IF(B29="","",COUNTIFS('Grocery List'!$E$5:$E$304,B29))</f>
        <v>0</v>
      </c>
      <c r="U29" s="18">
        <f>IF(B29="","",COUNTIFS($Q$5:$Q$44,"&gt;"&amp;Q29)+COUNTIFS($Q$5:Q29,Q29))</f>
        <v>0</v>
      </c>
      <c r="W29" s="31">
        <f>IF(B29="","",IF(O29=0,"Add - no prices logged here yet",IF(AND(G29="Yes",I29=""),"Add - minimum order?","OK")))</f>
        <v>0</v>
      </c>
    </row>
    <row r="30" spans="1:23">
      <c r="A30" s="39">
        <f>IF(B30="","","ST-"&amp;TEXT(ROW()-4,"00"))</f>
        <v>0</v>
      </c>
      <c r="O30" s="18">
        <f>IF(B30="","",COUNTIFS('Store Prices'!$C$5:$C$304,B30))</f>
        <v>0</v>
      </c>
      <c r="P30" s="18">
        <f>IF(B30="","",COUNTIFS(Ingredients!$N$5:$N$304,B30))</f>
        <v>0</v>
      </c>
      <c r="Q30" s="25">
        <f>IF(B30="","",SUMIFS('Grocery Spending'!$K$5:$K$404,'Grocery Spending'!$F$5:$F$404,B30))</f>
        <v>0</v>
      </c>
      <c r="R30" s="18">
        <f>IF(B30="","",COUNTIFS('Grocery Spending'!$F$5:$F$404,B30))</f>
        <v>0</v>
      </c>
      <c r="S30" s="25">
        <f>IF(OR(R30="",R30=0),"",Q30/R30)</f>
        <v>0</v>
      </c>
      <c r="T30" s="18">
        <f>IF(B30="","",COUNTIFS('Grocery List'!$E$5:$E$304,B30))</f>
        <v>0</v>
      </c>
      <c r="U30" s="18">
        <f>IF(B30="","",COUNTIFS($Q$5:$Q$44,"&gt;"&amp;Q30)+COUNTIFS($Q$5:Q30,Q30))</f>
        <v>0</v>
      </c>
      <c r="W30" s="31">
        <f>IF(B30="","",IF(O30=0,"Add - no prices logged here yet",IF(AND(G30="Yes",I30=""),"Add - minimum order?","OK")))</f>
        <v>0</v>
      </c>
    </row>
    <row r="31" spans="1:23">
      <c r="A31" s="39">
        <f>IF(B31="","","ST-"&amp;TEXT(ROW()-4,"00"))</f>
        <v>0</v>
      </c>
      <c r="O31" s="18">
        <f>IF(B31="","",COUNTIFS('Store Prices'!$C$5:$C$304,B31))</f>
        <v>0</v>
      </c>
      <c r="P31" s="18">
        <f>IF(B31="","",COUNTIFS(Ingredients!$N$5:$N$304,B31))</f>
        <v>0</v>
      </c>
      <c r="Q31" s="25">
        <f>IF(B31="","",SUMIFS('Grocery Spending'!$K$5:$K$404,'Grocery Spending'!$F$5:$F$404,B31))</f>
        <v>0</v>
      </c>
      <c r="R31" s="18">
        <f>IF(B31="","",COUNTIFS('Grocery Spending'!$F$5:$F$404,B31))</f>
        <v>0</v>
      </c>
      <c r="S31" s="25">
        <f>IF(OR(R31="",R31=0),"",Q31/R31)</f>
        <v>0</v>
      </c>
      <c r="T31" s="18">
        <f>IF(B31="","",COUNTIFS('Grocery List'!$E$5:$E$304,B31))</f>
        <v>0</v>
      </c>
      <c r="U31" s="18">
        <f>IF(B31="","",COUNTIFS($Q$5:$Q$44,"&gt;"&amp;Q31)+COUNTIFS($Q$5:Q31,Q31))</f>
        <v>0</v>
      </c>
      <c r="W31" s="31">
        <f>IF(B31="","",IF(O31=0,"Add - no prices logged here yet",IF(AND(G31="Yes",I31=""),"Add - minimum order?","OK")))</f>
        <v>0</v>
      </c>
    </row>
    <row r="32" spans="1:23">
      <c r="A32" s="39">
        <f>IF(B32="","","ST-"&amp;TEXT(ROW()-4,"00"))</f>
        <v>0</v>
      </c>
      <c r="O32" s="18">
        <f>IF(B32="","",COUNTIFS('Store Prices'!$C$5:$C$304,B32))</f>
        <v>0</v>
      </c>
      <c r="P32" s="18">
        <f>IF(B32="","",COUNTIFS(Ingredients!$N$5:$N$304,B32))</f>
        <v>0</v>
      </c>
      <c r="Q32" s="25">
        <f>IF(B32="","",SUMIFS('Grocery Spending'!$K$5:$K$404,'Grocery Spending'!$F$5:$F$404,B32))</f>
        <v>0</v>
      </c>
      <c r="R32" s="18">
        <f>IF(B32="","",COUNTIFS('Grocery Spending'!$F$5:$F$404,B32))</f>
        <v>0</v>
      </c>
      <c r="S32" s="25">
        <f>IF(OR(R32="",R32=0),"",Q32/R32)</f>
        <v>0</v>
      </c>
      <c r="T32" s="18">
        <f>IF(B32="","",COUNTIFS('Grocery List'!$E$5:$E$304,B32))</f>
        <v>0</v>
      </c>
      <c r="U32" s="18">
        <f>IF(B32="","",COUNTIFS($Q$5:$Q$44,"&gt;"&amp;Q32)+COUNTIFS($Q$5:Q32,Q32))</f>
        <v>0</v>
      </c>
      <c r="W32" s="31">
        <f>IF(B32="","",IF(O32=0,"Add - no prices logged here yet",IF(AND(G32="Yes",I32=""),"Add - minimum order?","OK")))</f>
        <v>0</v>
      </c>
    </row>
    <row r="33" spans="1:23">
      <c r="A33" s="39">
        <f>IF(B33="","","ST-"&amp;TEXT(ROW()-4,"00"))</f>
        <v>0</v>
      </c>
      <c r="O33" s="18">
        <f>IF(B33="","",COUNTIFS('Store Prices'!$C$5:$C$304,B33))</f>
        <v>0</v>
      </c>
      <c r="P33" s="18">
        <f>IF(B33="","",COUNTIFS(Ingredients!$N$5:$N$304,B33))</f>
        <v>0</v>
      </c>
      <c r="Q33" s="25">
        <f>IF(B33="","",SUMIFS('Grocery Spending'!$K$5:$K$404,'Grocery Spending'!$F$5:$F$404,B33))</f>
        <v>0</v>
      </c>
      <c r="R33" s="18">
        <f>IF(B33="","",COUNTIFS('Grocery Spending'!$F$5:$F$404,B33))</f>
        <v>0</v>
      </c>
      <c r="S33" s="25">
        <f>IF(OR(R33="",R33=0),"",Q33/R33)</f>
        <v>0</v>
      </c>
      <c r="T33" s="18">
        <f>IF(B33="","",COUNTIFS('Grocery List'!$E$5:$E$304,B33))</f>
        <v>0</v>
      </c>
      <c r="U33" s="18">
        <f>IF(B33="","",COUNTIFS($Q$5:$Q$44,"&gt;"&amp;Q33)+COUNTIFS($Q$5:Q33,Q33))</f>
        <v>0</v>
      </c>
      <c r="W33" s="31">
        <f>IF(B33="","",IF(O33=0,"Add - no prices logged here yet",IF(AND(G33="Yes",I33=""),"Add - minimum order?","OK")))</f>
        <v>0</v>
      </c>
    </row>
    <row r="34" spans="1:23">
      <c r="A34" s="39">
        <f>IF(B34="","","ST-"&amp;TEXT(ROW()-4,"00"))</f>
        <v>0</v>
      </c>
      <c r="O34" s="18">
        <f>IF(B34="","",COUNTIFS('Store Prices'!$C$5:$C$304,B34))</f>
        <v>0</v>
      </c>
      <c r="P34" s="18">
        <f>IF(B34="","",COUNTIFS(Ingredients!$N$5:$N$304,B34))</f>
        <v>0</v>
      </c>
      <c r="Q34" s="25">
        <f>IF(B34="","",SUMIFS('Grocery Spending'!$K$5:$K$404,'Grocery Spending'!$F$5:$F$404,B34))</f>
        <v>0</v>
      </c>
      <c r="R34" s="18">
        <f>IF(B34="","",COUNTIFS('Grocery Spending'!$F$5:$F$404,B34))</f>
        <v>0</v>
      </c>
      <c r="S34" s="25">
        <f>IF(OR(R34="",R34=0),"",Q34/R34)</f>
        <v>0</v>
      </c>
      <c r="T34" s="18">
        <f>IF(B34="","",COUNTIFS('Grocery List'!$E$5:$E$304,B34))</f>
        <v>0</v>
      </c>
      <c r="U34" s="18">
        <f>IF(B34="","",COUNTIFS($Q$5:$Q$44,"&gt;"&amp;Q34)+COUNTIFS($Q$5:Q34,Q34))</f>
        <v>0</v>
      </c>
      <c r="W34" s="31">
        <f>IF(B34="","",IF(O34=0,"Add - no prices logged here yet",IF(AND(G34="Yes",I34=""),"Add - minimum order?","OK")))</f>
        <v>0</v>
      </c>
    </row>
    <row r="35" spans="1:23">
      <c r="A35" s="39">
        <f>IF(B35="","","ST-"&amp;TEXT(ROW()-4,"00"))</f>
        <v>0</v>
      </c>
      <c r="O35" s="18">
        <f>IF(B35="","",COUNTIFS('Store Prices'!$C$5:$C$304,B35))</f>
        <v>0</v>
      </c>
      <c r="P35" s="18">
        <f>IF(B35="","",COUNTIFS(Ingredients!$N$5:$N$304,B35))</f>
        <v>0</v>
      </c>
      <c r="Q35" s="25">
        <f>IF(B35="","",SUMIFS('Grocery Spending'!$K$5:$K$404,'Grocery Spending'!$F$5:$F$404,B35))</f>
        <v>0</v>
      </c>
      <c r="R35" s="18">
        <f>IF(B35="","",COUNTIFS('Grocery Spending'!$F$5:$F$404,B35))</f>
        <v>0</v>
      </c>
      <c r="S35" s="25">
        <f>IF(OR(R35="",R35=0),"",Q35/R35)</f>
        <v>0</v>
      </c>
      <c r="T35" s="18">
        <f>IF(B35="","",COUNTIFS('Grocery List'!$E$5:$E$304,B35))</f>
        <v>0</v>
      </c>
      <c r="U35" s="18">
        <f>IF(B35="","",COUNTIFS($Q$5:$Q$44,"&gt;"&amp;Q35)+COUNTIFS($Q$5:Q35,Q35))</f>
        <v>0</v>
      </c>
      <c r="W35" s="31">
        <f>IF(B35="","",IF(O35=0,"Add - no prices logged here yet",IF(AND(G35="Yes",I35=""),"Add - minimum order?","OK")))</f>
        <v>0</v>
      </c>
    </row>
    <row r="36" spans="1:23">
      <c r="A36" s="39">
        <f>IF(B36="","","ST-"&amp;TEXT(ROW()-4,"00"))</f>
        <v>0</v>
      </c>
      <c r="O36" s="18">
        <f>IF(B36="","",COUNTIFS('Store Prices'!$C$5:$C$304,B36))</f>
        <v>0</v>
      </c>
      <c r="P36" s="18">
        <f>IF(B36="","",COUNTIFS(Ingredients!$N$5:$N$304,B36))</f>
        <v>0</v>
      </c>
      <c r="Q36" s="25">
        <f>IF(B36="","",SUMIFS('Grocery Spending'!$K$5:$K$404,'Grocery Spending'!$F$5:$F$404,B36))</f>
        <v>0</v>
      </c>
      <c r="R36" s="18">
        <f>IF(B36="","",COUNTIFS('Grocery Spending'!$F$5:$F$404,B36))</f>
        <v>0</v>
      </c>
      <c r="S36" s="25">
        <f>IF(OR(R36="",R36=0),"",Q36/R36)</f>
        <v>0</v>
      </c>
      <c r="T36" s="18">
        <f>IF(B36="","",COUNTIFS('Grocery List'!$E$5:$E$304,B36))</f>
        <v>0</v>
      </c>
      <c r="U36" s="18">
        <f>IF(B36="","",COUNTIFS($Q$5:$Q$44,"&gt;"&amp;Q36)+COUNTIFS($Q$5:Q36,Q36))</f>
        <v>0</v>
      </c>
      <c r="W36" s="31">
        <f>IF(B36="","",IF(O36=0,"Add - no prices logged here yet",IF(AND(G36="Yes",I36=""),"Add - minimum order?","OK")))</f>
        <v>0</v>
      </c>
    </row>
    <row r="37" spans="1:23">
      <c r="A37" s="39">
        <f>IF(B37="","","ST-"&amp;TEXT(ROW()-4,"00"))</f>
        <v>0</v>
      </c>
      <c r="O37" s="18">
        <f>IF(B37="","",COUNTIFS('Store Prices'!$C$5:$C$304,B37))</f>
        <v>0</v>
      </c>
      <c r="P37" s="18">
        <f>IF(B37="","",COUNTIFS(Ingredients!$N$5:$N$304,B37))</f>
        <v>0</v>
      </c>
      <c r="Q37" s="25">
        <f>IF(B37="","",SUMIFS('Grocery Spending'!$K$5:$K$404,'Grocery Spending'!$F$5:$F$404,B37))</f>
        <v>0</v>
      </c>
      <c r="R37" s="18">
        <f>IF(B37="","",COUNTIFS('Grocery Spending'!$F$5:$F$404,B37))</f>
        <v>0</v>
      </c>
      <c r="S37" s="25">
        <f>IF(OR(R37="",R37=0),"",Q37/R37)</f>
        <v>0</v>
      </c>
      <c r="T37" s="18">
        <f>IF(B37="","",COUNTIFS('Grocery List'!$E$5:$E$304,B37))</f>
        <v>0</v>
      </c>
      <c r="U37" s="18">
        <f>IF(B37="","",COUNTIFS($Q$5:$Q$44,"&gt;"&amp;Q37)+COUNTIFS($Q$5:Q37,Q37))</f>
        <v>0</v>
      </c>
      <c r="W37" s="31">
        <f>IF(B37="","",IF(O37=0,"Add - no prices logged here yet",IF(AND(G37="Yes",I37=""),"Add - minimum order?","OK")))</f>
        <v>0</v>
      </c>
    </row>
    <row r="38" spans="1:23">
      <c r="A38" s="39">
        <f>IF(B38="","","ST-"&amp;TEXT(ROW()-4,"00"))</f>
        <v>0</v>
      </c>
      <c r="O38" s="18">
        <f>IF(B38="","",COUNTIFS('Store Prices'!$C$5:$C$304,B38))</f>
        <v>0</v>
      </c>
      <c r="P38" s="18">
        <f>IF(B38="","",COUNTIFS(Ingredients!$N$5:$N$304,B38))</f>
        <v>0</v>
      </c>
      <c r="Q38" s="25">
        <f>IF(B38="","",SUMIFS('Grocery Spending'!$K$5:$K$404,'Grocery Spending'!$F$5:$F$404,B38))</f>
        <v>0</v>
      </c>
      <c r="R38" s="18">
        <f>IF(B38="","",COUNTIFS('Grocery Spending'!$F$5:$F$404,B38))</f>
        <v>0</v>
      </c>
      <c r="S38" s="25">
        <f>IF(OR(R38="",R38=0),"",Q38/R38)</f>
        <v>0</v>
      </c>
      <c r="T38" s="18">
        <f>IF(B38="","",COUNTIFS('Grocery List'!$E$5:$E$304,B38))</f>
        <v>0</v>
      </c>
      <c r="U38" s="18">
        <f>IF(B38="","",COUNTIFS($Q$5:$Q$44,"&gt;"&amp;Q38)+COUNTIFS($Q$5:Q38,Q38))</f>
        <v>0</v>
      </c>
      <c r="W38" s="31">
        <f>IF(B38="","",IF(O38=0,"Add - no prices logged here yet",IF(AND(G38="Yes",I38=""),"Add - minimum order?","OK")))</f>
        <v>0</v>
      </c>
    </row>
    <row r="39" spans="1:23">
      <c r="A39" s="39">
        <f>IF(B39="","","ST-"&amp;TEXT(ROW()-4,"00"))</f>
        <v>0</v>
      </c>
      <c r="O39" s="18">
        <f>IF(B39="","",COUNTIFS('Store Prices'!$C$5:$C$304,B39))</f>
        <v>0</v>
      </c>
      <c r="P39" s="18">
        <f>IF(B39="","",COUNTIFS(Ingredients!$N$5:$N$304,B39))</f>
        <v>0</v>
      </c>
      <c r="Q39" s="25">
        <f>IF(B39="","",SUMIFS('Grocery Spending'!$K$5:$K$404,'Grocery Spending'!$F$5:$F$404,B39))</f>
        <v>0</v>
      </c>
      <c r="R39" s="18">
        <f>IF(B39="","",COUNTIFS('Grocery Spending'!$F$5:$F$404,B39))</f>
        <v>0</v>
      </c>
      <c r="S39" s="25">
        <f>IF(OR(R39="",R39=0),"",Q39/R39)</f>
        <v>0</v>
      </c>
      <c r="T39" s="18">
        <f>IF(B39="","",COUNTIFS('Grocery List'!$E$5:$E$304,B39))</f>
        <v>0</v>
      </c>
      <c r="U39" s="18">
        <f>IF(B39="","",COUNTIFS($Q$5:$Q$44,"&gt;"&amp;Q39)+COUNTIFS($Q$5:Q39,Q39))</f>
        <v>0</v>
      </c>
      <c r="W39" s="31">
        <f>IF(B39="","",IF(O39=0,"Add - no prices logged here yet",IF(AND(G39="Yes",I39=""),"Add - minimum order?","OK")))</f>
        <v>0</v>
      </c>
    </row>
    <row r="40" spans="1:23">
      <c r="A40" s="39">
        <f>IF(B40="","","ST-"&amp;TEXT(ROW()-4,"00"))</f>
        <v>0</v>
      </c>
      <c r="O40" s="18">
        <f>IF(B40="","",COUNTIFS('Store Prices'!$C$5:$C$304,B40))</f>
        <v>0</v>
      </c>
      <c r="P40" s="18">
        <f>IF(B40="","",COUNTIFS(Ingredients!$N$5:$N$304,B40))</f>
        <v>0</v>
      </c>
      <c r="Q40" s="25">
        <f>IF(B40="","",SUMIFS('Grocery Spending'!$K$5:$K$404,'Grocery Spending'!$F$5:$F$404,B40))</f>
        <v>0</v>
      </c>
      <c r="R40" s="18">
        <f>IF(B40="","",COUNTIFS('Grocery Spending'!$F$5:$F$404,B40))</f>
        <v>0</v>
      </c>
      <c r="S40" s="25">
        <f>IF(OR(R40="",R40=0),"",Q40/R40)</f>
        <v>0</v>
      </c>
      <c r="T40" s="18">
        <f>IF(B40="","",COUNTIFS('Grocery List'!$E$5:$E$304,B40))</f>
        <v>0</v>
      </c>
      <c r="U40" s="18">
        <f>IF(B40="","",COUNTIFS($Q$5:$Q$44,"&gt;"&amp;Q40)+COUNTIFS($Q$5:Q40,Q40))</f>
        <v>0</v>
      </c>
      <c r="W40" s="31">
        <f>IF(B40="","",IF(O40=0,"Add - no prices logged here yet",IF(AND(G40="Yes",I40=""),"Add - minimum order?","OK")))</f>
        <v>0</v>
      </c>
    </row>
    <row r="41" spans="1:23">
      <c r="A41" s="39">
        <f>IF(B41="","","ST-"&amp;TEXT(ROW()-4,"00"))</f>
        <v>0</v>
      </c>
      <c r="O41" s="18">
        <f>IF(B41="","",COUNTIFS('Store Prices'!$C$5:$C$304,B41))</f>
        <v>0</v>
      </c>
      <c r="P41" s="18">
        <f>IF(B41="","",COUNTIFS(Ingredients!$N$5:$N$304,B41))</f>
        <v>0</v>
      </c>
      <c r="Q41" s="25">
        <f>IF(B41="","",SUMIFS('Grocery Spending'!$K$5:$K$404,'Grocery Spending'!$F$5:$F$404,B41))</f>
        <v>0</v>
      </c>
      <c r="R41" s="18">
        <f>IF(B41="","",COUNTIFS('Grocery Spending'!$F$5:$F$404,B41))</f>
        <v>0</v>
      </c>
      <c r="S41" s="25">
        <f>IF(OR(R41="",R41=0),"",Q41/R41)</f>
        <v>0</v>
      </c>
      <c r="T41" s="18">
        <f>IF(B41="","",COUNTIFS('Grocery List'!$E$5:$E$304,B41))</f>
        <v>0</v>
      </c>
      <c r="U41" s="18">
        <f>IF(B41="","",COUNTIFS($Q$5:$Q$44,"&gt;"&amp;Q41)+COUNTIFS($Q$5:Q41,Q41))</f>
        <v>0</v>
      </c>
      <c r="W41" s="31">
        <f>IF(B41="","",IF(O41=0,"Add - no prices logged here yet",IF(AND(G41="Yes",I41=""),"Add - minimum order?","OK")))</f>
        <v>0</v>
      </c>
    </row>
    <row r="42" spans="1:23">
      <c r="A42" s="39">
        <f>IF(B42="","","ST-"&amp;TEXT(ROW()-4,"00"))</f>
        <v>0</v>
      </c>
      <c r="O42" s="18">
        <f>IF(B42="","",COUNTIFS('Store Prices'!$C$5:$C$304,B42))</f>
        <v>0</v>
      </c>
      <c r="P42" s="18">
        <f>IF(B42="","",COUNTIFS(Ingredients!$N$5:$N$304,B42))</f>
        <v>0</v>
      </c>
      <c r="Q42" s="25">
        <f>IF(B42="","",SUMIFS('Grocery Spending'!$K$5:$K$404,'Grocery Spending'!$F$5:$F$404,B42))</f>
        <v>0</v>
      </c>
      <c r="R42" s="18">
        <f>IF(B42="","",COUNTIFS('Grocery Spending'!$F$5:$F$404,B42))</f>
        <v>0</v>
      </c>
      <c r="S42" s="25">
        <f>IF(OR(R42="",R42=0),"",Q42/R42)</f>
        <v>0</v>
      </c>
      <c r="T42" s="18">
        <f>IF(B42="","",COUNTIFS('Grocery List'!$E$5:$E$304,B42))</f>
        <v>0</v>
      </c>
      <c r="U42" s="18">
        <f>IF(B42="","",COUNTIFS($Q$5:$Q$44,"&gt;"&amp;Q42)+COUNTIFS($Q$5:Q42,Q42))</f>
        <v>0</v>
      </c>
      <c r="W42" s="31">
        <f>IF(B42="","",IF(O42=0,"Add - no prices logged here yet",IF(AND(G42="Yes",I42=""),"Add - minimum order?","OK")))</f>
        <v>0</v>
      </c>
    </row>
    <row r="43" spans="1:23">
      <c r="A43" s="39">
        <f>IF(B43="","","ST-"&amp;TEXT(ROW()-4,"00"))</f>
        <v>0</v>
      </c>
      <c r="O43" s="18">
        <f>IF(B43="","",COUNTIFS('Store Prices'!$C$5:$C$304,B43))</f>
        <v>0</v>
      </c>
      <c r="P43" s="18">
        <f>IF(B43="","",COUNTIFS(Ingredients!$N$5:$N$304,B43))</f>
        <v>0</v>
      </c>
      <c r="Q43" s="25">
        <f>IF(B43="","",SUMIFS('Grocery Spending'!$K$5:$K$404,'Grocery Spending'!$F$5:$F$404,B43))</f>
        <v>0</v>
      </c>
      <c r="R43" s="18">
        <f>IF(B43="","",COUNTIFS('Grocery Spending'!$F$5:$F$404,B43))</f>
        <v>0</v>
      </c>
      <c r="S43" s="25">
        <f>IF(OR(R43="",R43=0),"",Q43/R43)</f>
        <v>0</v>
      </c>
      <c r="T43" s="18">
        <f>IF(B43="","",COUNTIFS('Grocery List'!$E$5:$E$304,B43))</f>
        <v>0</v>
      </c>
      <c r="U43" s="18">
        <f>IF(B43="","",COUNTIFS($Q$5:$Q$44,"&gt;"&amp;Q43)+COUNTIFS($Q$5:Q43,Q43))</f>
        <v>0</v>
      </c>
      <c r="W43" s="31">
        <f>IF(B43="","",IF(O43=0,"Add - no prices logged here yet",IF(AND(G43="Yes",I43=""),"Add - minimum order?","OK")))</f>
        <v>0</v>
      </c>
    </row>
    <row r="44" spans="1:23">
      <c r="A44" s="39">
        <f>IF(B44="","","ST-"&amp;TEXT(ROW()-4,"00"))</f>
        <v>0</v>
      </c>
      <c r="O44" s="18">
        <f>IF(B44="","",COUNTIFS('Store Prices'!$C$5:$C$304,B44))</f>
        <v>0</v>
      </c>
      <c r="P44" s="18">
        <f>IF(B44="","",COUNTIFS(Ingredients!$N$5:$N$304,B44))</f>
        <v>0</v>
      </c>
      <c r="Q44" s="25">
        <f>IF(B44="","",SUMIFS('Grocery Spending'!$K$5:$K$404,'Grocery Spending'!$F$5:$F$404,B44))</f>
        <v>0</v>
      </c>
      <c r="R44" s="18">
        <f>IF(B44="","",COUNTIFS('Grocery Spending'!$F$5:$F$404,B44))</f>
        <v>0</v>
      </c>
      <c r="S44" s="25">
        <f>IF(OR(R44="",R44=0),"",Q44/R44)</f>
        <v>0</v>
      </c>
      <c r="T44" s="18">
        <f>IF(B44="","",COUNTIFS('Grocery List'!$E$5:$E$304,B44))</f>
        <v>0</v>
      </c>
      <c r="U44" s="18">
        <f>IF(B44="","",COUNTIFS($Q$5:$Q$44,"&gt;"&amp;Q44)+COUNTIFS($Q$5:Q44,Q44))</f>
        <v>0</v>
      </c>
      <c r="W44" s="31">
        <f>IF(B44="","",IF(O44=0,"Add - no prices logged here yet",IF(AND(G44="Yes",I44=""),"Add - minimum order?","OK")))</f>
        <v>0</v>
      </c>
    </row>
  </sheetData>
  <sheetProtection password="EC7C" sheet="1" objects="1" scenarios="1" formatCells="0" formatColumns="0" formatRows="0" insertRows="0" insertHyperlinks="0" deleteRows="0" autoFilter="0"/>
  <autoFilter ref="A4:X4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V5:V44">
    <cfRule type="containsText" dxfId="1" priority="1" operator="containsText" text="Prepared">
      <formula>NOT(ISERROR(SEARCH("Prepared",V5)))</formula>
    </cfRule>
    <cfRule type="containsText" dxfId="1" priority="2" operator="containsText" text="Cooked">
      <formula>NOT(ISERROR(SEARCH("Cooked",V5)))</formula>
    </cfRule>
    <cfRule type="containsText" dxfId="1" priority="3" operator="containsText" text="Eaten">
      <formula>NOT(ISERROR(SEARCH("Eaten",V5)))</formula>
    </cfRule>
    <cfRule type="containsText" dxfId="1" priority="4" operator="containsText" text="Bought">
      <formula>NOT(ISERROR(SEARCH("Bought",V5)))</formula>
    </cfRule>
    <cfRule type="containsText" dxfId="1" priority="5" operator="containsText" text="Purchased">
      <formula>NOT(ISERROR(SEARCH("Purchased",V5)))</formula>
    </cfRule>
    <cfRule type="containsText" dxfId="1" priority="6" operator="containsText" text="Done">
      <formula>NOT(ISERROR(SEARCH("Done",V5)))</formula>
    </cfRule>
    <cfRule type="containsText" dxfId="1" priority="7" operator="containsText" text="Complete">
      <formula>NOT(ISERROR(SEARCH("Complete",V5)))</formula>
    </cfRule>
    <cfRule type="containsText" dxfId="1" priority="8" operator="containsText" text="In stock">
      <formula>NOT(ISERROR(SEARCH("In stock",V5)))</formula>
    </cfRule>
    <cfRule type="containsText" dxfId="1" priority="9" operator="containsText" text="Yes">
      <formula>NOT(ISERROR(SEARCH("Yes",V5)))</formula>
    </cfRule>
    <cfRule type="containsText" dxfId="4" priority="10" operator="containsText" text="Planned">
      <formula>NOT(ISERROR(SEARCH("Planned",V5)))</formula>
    </cfRule>
    <cfRule type="containsText" dxfId="4" priority="11" operator="containsText" text="Scheduled">
      <formula>NOT(ISERROR(SEARCH("Scheduled",V5)))</formula>
    </cfRule>
    <cfRule type="containsText" dxfId="4" priority="12" operator="containsText" text="Shopping">
      <formula>NOT(ISERROR(SEARCH("Shopping",V5)))</formula>
    </cfRule>
    <cfRule type="containsText" dxfId="4" priority="13" operator="containsText" text="On the list">
      <formula>NOT(ISERROR(SEARCH("On the list",V5)))</formula>
    </cfRule>
    <cfRule type="containsText" dxfId="4" priority="14" operator="containsText" text="Prepping">
      <formula>NOT(ISERROR(SEARCH("Prepping",V5)))</formula>
    </cfRule>
    <cfRule type="containsText" dxfId="4" priority="15" operator="containsText" text="Frozen">
      <formula>NOT(ISERROR(SEARCH("Frozen",V5)))</formula>
    </cfRule>
    <cfRule type="containsText" dxfId="0" priority="16" operator="containsText" text="To do">
      <formula>NOT(ISERROR(SEARCH("To do",V5)))</formula>
    </cfRule>
    <cfRule type="containsText" dxfId="0" priority="17" operator="containsText" text="Not started">
      <formula>NOT(ISERROR(SEARCH("Not started",V5)))</formula>
    </cfRule>
    <cfRule type="containsText" dxfId="0" priority="18" operator="containsText" text="Low stock">
      <formula>NOT(ISERROR(SEARCH("Low stock",V5)))</formula>
    </cfRule>
    <cfRule type="containsText" dxfId="0" priority="19" operator="containsText" text="Use soon">
      <formula>NOT(ISERROR(SEARCH("Use soon",V5)))</formula>
    </cfRule>
    <cfRule type="containsText" dxfId="0" priority="20" operator="containsText" text="Defrosting">
      <formula>NOT(ISERROR(SEARCH("Defrosting",V5)))</formula>
    </cfRule>
    <cfRule type="containsText" dxfId="0" priority="21" operator="containsText" text="Substituted">
      <formula>NOT(ISERROR(SEARCH("Substituted",V5)))</formula>
    </cfRule>
    <cfRule type="containsText" dxfId="2" priority="22" operator="containsText" text="Out of stock">
      <formula>NOT(ISERROR(SEARCH("Out of stock",V5)))</formula>
    </cfRule>
    <cfRule type="containsText" dxfId="2" priority="23" operator="containsText" text="Expired">
      <formula>NOT(ISERROR(SEARCH("Expired",V5)))</formula>
    </cfRule>
    <cfRule type="containsText" dxfId="2" priority="24" operator="containsText" text="Skipped">
      <formula>NOT(ISERROR(SEARCH("Skipped",V5)))</formula>
    </cfRule>
    <cfRule type="containsText" dxfId="2" priority="25" operator="containsText" text="Binned">
      <formula>NOT(ISERROR(SEARCH("Binned",V5)))</formula>
    </cfRule>
    <cfRule type="containsText" dxfId="2" priority="26" operator="containsText" text="Wasted">
      <formula>NOT(ISERROR(SEARCH("Wasted",V5)))</formula>
    </cfRule>
    <cfRule type="containsText" dxfId="2" priority="27" operator="containsText" text="Cancelled">
      <formula>NOT(ISERROR(SEARCH("Cancelled",V5)))</formula>
    </cfRule>
    <cfRule type="containsText" dxfId="3" priority="28" operator="containsText" text="Archived">
      <formula>NOT(ISERROR(SEARCH("Archived",V5)))</formula>
    </cfRule>
    <cfRule type="containsText" dxfId="3" priority="29" operator="containsText" text="Not needed">
      <formula>NOT(ISERROR(SEARCH("Not needed",V5)))</formula>
    </cfRule>
  </conditionalFormatting>
  <conditionalFormatting sqref="W5:W44">
    <cfRule type="beginsWith" dxfId="1" priority="30" operator="beginsWith" text="OK">
      <formula>LEFT(W5,2)="OK"</formula>
    </cfRule>
    <cfRule type="containsText" dxfId="2" priority="31" operator="containsText" text="Overdue">
      <formula>NOT(ISERROR(SEARCH("Overdue",W5)))</formula>
    </cfRule>
    <cfRule type="containsText" dxfId="2" priority="32" operator="containsText" text="Late">
      <formula>NOT(ISERROR(SEARCH("Late",W5)))</formula>
    </cfRule>
    <cfRule type="containsText" dxfId="2" priority="33" operator="containsText" text="Missing">
      <formula>NOT(ISERROR(SEARCH("Missing",W5)))</formula>
    </cfRule>
    <cfRule type="containsText" dxfId="2" priority="34" operator="containsText" text="Conflict">
      <formula>NOT(ISERROR(SEARCH("Conflict",W5)))</formula>
    </cfRule>
    <cfRule type="containsText" dxfId="2" priority="35" operator="containsText" text="Expired">
      <formula>NOT(ISERROR(SEARCH("Expired",W5)))</formula>
    </cfRule>
    <cfRule type="containsText" dxfId="2" priority="36" operator="containsText" text="Duplicate">
      <formula>NOT(ISERROR(SEARCH("Duplicate",W5)))</formula>
    </cfRule>
    <cfRule type="containsText" dxfId="0" priority="37" operator="containsText" text="Action">
      <formula>NOT(ISERROR(SEARCH("Action",W5)))</formula>
    </cfRule>
    <cfRule type="containsText" dxfId="0" priority="38" operator="containsText" text="Due">
      <formula>NOT(ISERROR(SEARCH("Due",W5)))</formula>
    </cfRule>
    <cfRule type="containsText" dxfId="0" priority="39" operator="containsText" text="Check">
      <formula>NOT(ISERROR(SEARCH("Check",W5)))</formula>
    </cfRule>
    <cfRule type="containsText" dxfId="0" priority="40" operator="containsText" text="Add">
      <formula>NOT(ISERROR(SEARCH("Add",W5)))</formula>
    </cfRule>
    <cfRule type="containsText" dxfId="4" priority="41" operator="containsText" text="Today">
      <formula>NOT(ISERROR(SEARCH("Today",W5)))</formula>
    </cfRule>
    <cfRule type="containsText" dxfId="4" priority="42" operator="containsText" text="Upcoming">
      <formula>NOT(ISERROR(SEARCH("Upcoming",W5)))</formula>
    </cfRule>
  </conditionalFormatting>
  <dataValidations count="8">
    <dataValidation type="list" allowBlank="1" showInputMessage="1" showErrorMessage="1" sqref="C5:C44">
      <formula1>StoreTypeList</formula1>
    </dataValidation>
    <dataValidation type="whole" allowBlank="1" showInputMessage="1" showErrorMessage="1" errorTitle="Check the value" error="Enter a number between 0 and 300." sqref="E5:E44">
      <formula1>0</formula1>
      <formula2>300</formula2>
    </dataValidation>
    <dataValidation type="list" allowBlank="1" showInputMessage="1" showErrorMessage="1" sqref="G5:G44">
      <formula1>YesNoList</formula1>
    </dataValidation>
    <dataValidation type="decimal" allowBlank="1" showInputMessage="1" showErrorMessage="1" errorTitle="Check the value" error="Enter a number between 0 and 1000." sqref="H5:H44">
      <formula1>0</formula1>
      <formula2>1000</formula2>
    </dataValidation>
    <dataValidation type="decimal" allowBlank="1" showInputMessage="1" showErrorMessage="1" errorTitle="Check the value" error="Enter a number between 0 and 100000." sqref="I5:I44">
      <formula1>0</formula1>
      <formula2>100000</formula2>
    </dataValidation>
    <dataValidation type="list" allowBlank="1" showInputMessage="1" showErrorMessage="1" sqref="M5:M44">
      <formula1>PriceLevelList</formula1>
    </dataValidation>
    <dataValidation type="whole" allowBlank="1" showInputMessage="1" showErrorMessage="1" errorTitle="Check the value" error="Enter a number between 1 and 5." sqref="N5:N44">
      <formula1>1</formula1>
      <formula2>5</formula2>
    </dataValidation>
    <dataValidation type="list" allowBlank="1" showInputMessage="1" showErrorMessage="1" sqref="V5:V44">
      <formula1>ActiveList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&amp;L&amp;"Calibri,Bold"&amp;12&amp;C&amp;"Calibri,Bold"&amp;11Stores&amp;R&amp;"Calibri,Italic"&amp;9Automated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D9703C"/>
    <pageSetUpPr fitToPage="1"/>
  </sheetPr>
  <dimension ref="A1:W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39" customWidth="1"/>
    <col min="2" max="2" width="24.7109375" style="32" customWidth="1"/>
    <col min="3" max="3" width="14.7109375" style="32" customWidth="1"/>
    <col min="4" max="4" width="11.7109375" style="15" customWidth="1"/>
    <col min="5" max="5" width="10.7109375" style="18" customWidth="1"/>
    <col min="6" max="6" width="10.7109375" style="56" customWidth="1"/>
    <col min="7" max="7" width="9.7109375" style="35" customWidth="1"/>
    <col min="8" max="8" width="8.7109375" style="35" customWidth="1"/>
    <col min="9" max="9" width="9.7109375" style="35" customWidth="1"/>
    <col min="10" max="10" width="11.7109375" style="45" customWidth="1"/>
    <col min="11" max="11" width="24.7109375" style="32" customWidth="1"/>
    <col min="12" max="12" width="11.7109375" style="36" customWidth="1"/>
    <col min="13" max="13" width="12.7109375" style="25" customWidth="1"/>
    <col min="14" max="14" width="11.7109375" style="36" customWidth="1"/>
    <col min="15" max="15" width="12.7109375" style="25" customWidth="1"/>
    <col min="16" max="16" width="10.7109375" style="18" customWidth="1"/>
    <col min="17" max="17" width="30.7109375" style="43" customWidth="1"/>
    <col min="18" max="18" width="11.7109375" style="15" customWidth="1"/>
    <col min="19" max="19" width="11.7109375" style="40" customWidth="1"/>
    <col min="20" max="20" width="14.7109375" style="32" customWidth="1"/>
    <col min="21" max="21" width="12.7109375" style="42" customWidth="1"/>
    <col min="22" max="22" width="26.7109375" style="31" customWidth="1"/>
    <col min="23" max="23" width="26.7109375" style="43" customWidth="1"/>
  </cols>
  <sheetData>
    <row r="1" spans="1:23" ht="34" customHeight="1">
      <c r="A1" s="2" t="s">
        <v>1593</v>
      </c>
      <c r="B1" s="2"/>
      <c r="C1" s="2"/>
      <c r="D1" s="2"/>
      <c r="E1" s="2"/>
      <c r="F1" s="2"/>
      <c r="G1" s="2"/>
      <c r="H1" s="2"/>
      <c r="I1" s="2"/>
      <c r="J1" s="2"/>
      <c r="K1" s="2"/>
      <c r="L1" s="2"/>
      <c r="M1" s="2"/>
      <c r="N1" s="2"/>
      <c r="O1" s="2"/>
      <c r="P1" s="2"/>
      <c r="Q1" s="2"/>
      <c r="R1" s="2"/>
      <c r="S1" s="2"/>
      <c r="T1" s="2"/>
      <c r="U1" s="3" t="s">
        <v>1</v>
      </c>
      <c r="V1" s="3"/>
      <c r="W1" s="3"/>
    </row>
    <row r="2" spans="1:23" ht="18" customHeight="1">
      <c r="A2" s="4" t="s">
        <v>1594</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1595</v>
      </c>
      <c r="T3" s="44"/>
      <c r="U3" s="44"/>
      <c r="V3" s="44"/>
      <c r="W3" s="44"/>
    </row>
    <row r="4" spans="1:23" ht="30" customHeight="1">
      <c r="A4" s="8" t="s">
        <v>708</v>
      </c>
      <c r="B4" s="8" t="s">
        <v>1035</v>
      </c>
      <c r="C4" s="9" t="s">
        <v>1550</v>
      </c>
      <c r="D4" s="9" t="s">
        <v>1025</v>
      </c>
      <c r="E4" s="9" t="s">
        <v>1596</v>
      </c>
      <c r="F4" s="9" t="s">
        <v>557</v>
      </c>
      <c r="G4" s="9" t="s">
        <v>1597</v>
      </c>
      <c r="H4" s="9" t="s">
        <v>1598</v>
      </c>
      <c r="I4" s="9" t="s">
        <v>1599</v>
      </c>
      <c r="J4" s="9" t="s">
        <v>1600</v>
      </c>
      <c r="K4" s="9" t="s">
        <v>1601</v>
      </c>
      <c r="L4" s="9" t="s">
        <v>141</v>
      </c>
      <c r="M4" s="9" t="s">
        <v>176</v>
      </c>
      <c r="N4" s="9" t="s">
        <v>1602</v>
      </c>
      <c r="O4" s="9" t="s">
        <v>1603</v>
      </c>
      <c r="P4" s="9" t="s">
        <v>175</v>
      </c>
      <c r="Q4" s="9" t="s">
        <v>1604</v>
      </c>
      <c r="R4" s="9" t="s">
        <v>1605</v>
      </c>
      <c r="S4" s="9" t="s">
        <v>1606</v>
      </c>
      <c r="T4" s="9" t="s">
        <v>1607</v>
      </c>
      <c r="U4" s="9" t="s">
        <v>728</v>
      </c>
      <c r="V4" s="9" t="s">
        <v>729</v>
      </c>
      <c r="W4" s="9" t="s">
        <v>730</v>
      </c>
    </row>
    <row r="5" spans="1:23">
      <c r="A5" s="39">
        <f>IF(B5="","",EventPrefix&amp;TEXT(ROW()-4,"000"))</f>
        <v>0</v>
      </c>
      <c r="B5" s="32" t="s">
        <v>1049</v>
      </c>
      <c r="C5" s="32" t="s">
        <v>507</v>
      </c>
      <c r="D5" s="15">
        <v>46306</v>
      </c>
      <c r="E5" s="18">
        <f>IF(D5="","",D5-TODAY())</f>
        <v>0</v>
      </c>
      <c r="F5" s="56" t="s">
        <v>1608</v>
      </c>
      <c r="G5" s="35">
        <v>6</v>
      </c>
      <c r="H5" s="35">
        <v>5</v>
      </c>
      <c r="I5" s="35">
        <v>1</v>
      </c>
      <c r="J5" s="45">
        <f>IF(G5="","",IF(AND(H5="",I5=""),G5,IF(H5="",0,H5)+IF(I5="",0,I5)*0.5))</f>
        <v>0</v>
      </c>
      <c r="K5" s="32" t="s">
        <v>1609</v>
      </c>
      <c r="L5" s="36">
        <v>35</v>
      </c>
      <c r="M5" s="25">
        <f>IF(A5="","",SUMIFS('Meal Plan'!$T$5:$T$504,'Meal Plan'!$S$5:$S$504,B5))</f>
        <v>0</v>
      </c>
      <c r="O5" s="25">
        <f>IF(L5="","",L5-IF(N5&lt;&gt;"",N5,IF(M5="",0,M5)))</f>
        <v>0</v>
      </c>
      <c r="P5" s="18">
        <f>IF(B5="","",COUNTIFS('Meal Plan'!$S$5:$S$504,B5))</f>
        <v>0</v>
      </c>
      <c r="Q5" s="43" t="s">
        <v>1610</v>
      </c>
      <c r="R5" s="15">
        <v>46305</v>
      </c>
      <c r="S5" s="40" t="s">
        <v>312</v>
      </c>
      <c r="T5" s="32" t="s">
        <v>206</v>
      </c>
      <c r="U5" s="42" t="s">
        <v>317</v>
      </c>
      <c r="V5" s="31">
        <f>IF(B5="","",IF(U5="Done","OK",IF(AND(E5&lt;&gt;"",E5&lt;0),"Check - date has passed",IF(AND(E5&lt;=7,P5=0),"Action - nothing on the menu yet",IF(AND(E5&lt;=3,S5&lt;&gt;"Yes"),"Due - shopping not done","OK")))))</f>
        <v>0</v>
      </c>
      <c r="W5" s="43" t="s">
        <v>1611</v>
      </c>
    </row>
    <row r="6" spans="1:23">
      <c r="A6" s="39">
        <f>IF(B6="","",EventPrefix&amp;TEXT(ROW()-4,"000"))</f>
        <v>0</v>
      </c>
      <c r="B6" s="32" t="s">
        <v>1612</v>
      </c>
      <c r="C6" s="32" t="s">
        <v>500</v>
      </c>
      <c r="D6" s="15">
        <v>46329</v>
      </c>
      <c r="E6" s="18">
        <f>IF(D6="","",D6-TODAY())</f>
        <v>0</v>
      </c>
      <c r="F6" s="56" t="s">
        <v>1613</v>
      </c>
      <c r="G6" s="35">
        <v>12</v>
      </c>
      <c r="H6" s="35">
        <v>4</v>
      </c>
      <c r="I6" s="35">
        <v>8</v>
      </c>
      <c r="J6" s="45">
        <f>IF(G6="","",IF(AND(H6="",I6=""),G6,IF(H6="",0,H6)+IF(I6="",0,I6)*0.5))</f>
        <v>0</v>
      </c>
      <c r="K6" s="32" t="s">
        <v>1614</v>
      </c>
      <c r="L6" s="36">
        <v>60</v>
      </c>
      <c r="M6" s="25">
        <f>IF(A6="","",SUMIFS('Meal Plan'!$T$5:$T$504,'Meal Plan'!$S$5:$S$504,B6))</f>
        <v>0</v>
      </c>
      <c r="O6" s="25">
        <f>IF(L6="","",L6-IF(N6&lt;&gt;"",N6,IF(M6="",0,M6)))</f>
        <v>0</v>
      </c>
      <c r="P6" s="18">
        <f>IF(B6="","",COUNTIFS('Meal Plan'!$S$5:$S$504,B6))</f>
        <v>0</v>
      </c>
      <c r="Q6" s="43" t="s">
        <v>1615</v>
      </c>
      <c r="R6" s="15">
        <v>46327</v>
      </c>
      <c r="S6" s="40" t="s">
        <v>312</v>
      </c>
      <c r="T6" s="32" t="s">
        <v>206</v>
      </c>
      <c r="U6" s="42" t="s">
        <v>317</v>
      </c>
      <c r="V6" s="31">
        <f>IF(B6="","",IF(U6="Done","OK",IF(AND(E6&lt;&gt;"",E6&lt;0),"Check - date has passed",IF(AND(E6&lt;=7,P6=0),"Action - nothing on the menu yet",IF(AND(E6&lt;=3,S6&lt;&gt;"Yes"),"Due - shopping not done","OK")))))</f>
        <v>0</v>
      </c>
      <c r="W6" s="43" t="s">
        <v>1616</v>
      </c>
    </row>
    <row r="7" spans="1:23">
      <c r="A7" s="39">
        <f>IF(B7="","",EventPrefix&amp;TEXT(ROW()-4,"000"))</f>
        <v>0</v>
      </c>
      <c r="B7" s="32" t="s">
        <v>1617</v>
      </c>
      <c r="C7" s="32" t="s">
        <v>504</v>
      </c>
      <c r="D7" s="15">
        <v>46315</v>
      </c>
      <c r="E7" s="18">
        <f>IF(D7="","",D7-TODAY())</f>
        <v>0</v>
      </c>
      <c r="F7" s="56" t="s">
        <v>1618</v>
      </c>
      <c r="G7" s="35">
        <v>7</v>
      </c>
      <c r="H7" s="35">
        <v>7</v>
      </c>
      <c r="I7" s="35">
        <v>0</v>
      </c>
      <c r="J7" s="45">
        <f>IF(G7="","",IF(AND(H7="",I7=""),G7,IF(H7="",0,H7)+IF(I7="",0,I7)*0.5))</f>
        <v>0</v>
      </c>
      <c r="K7" s="32" t="s">
        <v>1619</v>
      </c>
      <c r="L7" s="36">
        <v>45</v>
      </c>
      <c r="M7" s="25">
        <f>IF(A7="","",SUMIFS('Meal Plan'!$T$5:$T$504,'Meal Plan'!$S$5:$S$504,B7))</f>
        <v>0</v>
      </c>
      <c r="O7" s="25">
        <f>IF(L7="","",L7-IF(N7&lt;&gt;"",N7,IF(M7="",0,M7)))</f>
        <v>0</v>
      </c>
      <c r="P7" s="18">
        <f>IF(B7="","",COUNTIFS('Meal Plan'!$S$5:$S$504,B7))</f>
        <v>0</v>
      </c>
      <c r="Q7" s="43" t="s">
        <v>1620</v>
      </c>
      <c r="R7" s="15">
        <v>46315</v>
      </c>
      <c r="S7" s="40" t="s">
        <v>312</v>
      </c>
      <c r="T7" s="32" t="s">
        <v>206</v>
      </c>
      <c r="U7" s="42" t="s">
        <v>646</v>
      </c>
      <c r="V7" s="31">
        <f>IF(B7="","",IF(U7="Done","OK",IF(AND(E7&lt;&gt;"",E7&lt;0),"Check - date has passed",IF(AND(E7&lt;=7,P7=0),"Action - nothing on the menu yet",IF(AND(E7&lt;=3,S7&lt;&gt;"Yes"),"Due - shopping not done","OK")))))</f>
        <v>0</v>
      </c>
      <c r="W7" s="43" t="s">
        <v>157</v>
      </c>
    </row>
    <row r="8" spans="1:23">
      <c r="A8" s="39">
        <f>IF(B8="","",EventPrefix&amp;TEXT(ROW()-4,"000"))</f>
        <v>0</v>
      </c>
      <c r="B8" s="32" t="s">
        <v>1621</v>
      </c>
      <c r="C8" s="32" t="s">
        <v>362</v>
      </c>
      <c r="D8" s="15">
        <v>46296</v>
      </c>
      <c r="E8" s="18">
        <f>IF(D8="","",D8-TODAY())</f>
        <v>0</v>
      </c>
      <c r="F8" s="56" t="s">
        <v>1622</v>
      </c>
      <c r="G8" s="35">
        <v>15</v>
      </c>
      <c r="H8" s="35">
        <v>12</v>
      </c>
      <c r="I8" s="35">
        <v>3</v>
      </c>
      <c r="J8" s="45">
        <f>IF(G8="","",IF(AND(H8="",I8=""),G8,IF(H8="",0,H8)+IF(I8="",0,I8)*0.5))</f>
        <v>0</v>
      </c>
      <c r="K8" s="32" t="s">
        <v>157</v>
      </c>
      <c r="L8" s="36">
        <v>70</v>
      </c>
      <c r="M8" s="25">
        <f>IF(A8="","",SUMIFS('Meal Plan'!$T$5:$T$504,'Meal Plan'!$S$5:$S$504,B8))</f>
        <v>0</v>
      </c>
      <c r="N8" s="36">
        <v>82.4</v>
      </c>
      <c r="O8" s="25">
        <f>IF(L8="","",L8-IF(N8&lt;&gt;"",N8,IF(M8="",0,M8)))</f>
        <v>0</v>
      </c>
      <c r="P8" s="18">
        <f>IF(B8="","",COUNTIFS('Meal Plan'!$S$5:$S$504,B8))</f>
        <v>0</v>
      </c>
      <c r="Q8" s="43" t="s">
        <v>1623</v>
      </c>
      <c r="R8" s="15">
        <v>46295</v>
      </c>
      <c r="S8" s="40" t="s">
        <v>311</v>
      </c>
      <c r="T8" s="32" t="s">
        <v>736</v>
      </c>
      <c r="U8" s="42" t="s">
        <v>476</v>
      </c>
      <c r="V8" s="31">
        <f>IF(B8="","",IF(U8="Done","OK",IF(AND(E8&lt;&gt;"",E8&lt;0),"Check - date has passed",IF(AND(E8&lt;=7,P8=0),"Action - nothing on the menu yet",IF(AND(E8&lt;=3,S8&lt;&gt;"Yes"),"Due - shopping not done","OK")))))</f>
        <v>0</v>
      </c>
      <c r="W8" s="43" t="s">
        <v>1624</v>
      </c>
    </row>
    <row r="9" spans="1:23">
      <c r="A9" s="39">
        <f>IF(B9="","",EventPrefix&amp;TEXT(ROW()-4,"000"))</f>
        <v>0</v>
      </c>
      <c r="E9" s="18">
        <f>IF(D9="","",D9-TODAY())</f>
        <v>0</v>
      </c>
      <c r="J9" s="45">
        <f>IF(G9="","",IF(AND(H9="",I9=""),G9,IF(H9="",0,H9)+IF(I9="",0,I9)*0.5))</f>
        <v>0</v>
      </c>
      <c r="M9" s="25">
        <f>IF(A9="","",SUMIFS('Meal Plan'!$T$5:$T$504,'Meal Plan'!$S$5:$S$504,B9))</f>
        <v>0</v>
      </c>
      <c r="O9" s="25">
        <f>IF(L9="","",L9-IF(N9&lt;&gt;"",N9,IF(M9="",0,M9)))</f>
        <v>0</v>
      </c>
      <c r="P9" s="18">
        <f>IF(B9="","",COUNTIFS('Meal Plan'!$S$5:$S$504,B9))</f>
        <v>0</v>
      </c>
      <c r="V9" s="31">
        <f>IF(B9="","",IF(U9="Done","OK",IF(AND(E9&lt;&gt;"",E9&lt;0),"Check - date has passed",IF(AND(E9&lt;=7,P9=0),"Action - nothing on the menu yet",IF(AND(E9&lt;=3,S9&lt;&gt;"Yes"),"Due - shopping not done","OK")))))</f>
        <v>0</v>
      </c>
    </row>
    <row r="10" spans="1:23">
      <c r="A10" s="39">
        <f>IF(B10="","",EventPrefix&amp;TEXT(ROW()-4,"000"))</f>
        <v>0</v>
      </c>
      <c r="E10" s="18">
        <f>IF(D10="","",D10-TODAY())</f>
        <v>0</v>
      </c>
      <c r="J10" s="45">
        <f>IF(G10="","",IF(AND(H10="",I10=""),G10,IF(H10="",0,H10)+IF(I10="",0,I10)*0.5))</f>
        <v>0</v>
      </c>
      <c r="M10" s="25">
        <f>IF(A10="","",SUMIFS('Meal Plan'!$T$5:$T$504,'Meal Plan'!$S$5:$S$504,B10))</f>
        <v>0</v>
      </c>
      <c r="O10" s="25">
        <f>IF(L10="","",L10-IF(N10&lt;&gt;"",N10,IF(M10="",0,M10)))</f>
        <v>0</v>
      </c>
      <c r="P10" s="18">
        <f>IF(B10="","",COUNTIFS('Meal Plan'!$S$5:$S$504,B10))</f>
        <v>0</v>
      </c>
      <c r="V10" s="31">
        <f>IF(B10="","",IF(U10="Done","OK",IF(AND(E10&lt;&gt;"",E10&lt;0),"Check - date has passed",IF(AND(E10&lt;=7,P10=0),"Action - nothing on the menu yet",IF(AND(E10&lt;=3,S10&lt;&gt;"Yes"),"Due - shopping not done","OK")))))</f>
        <v>0</v>
      </c>
    </row>
    <row r="11" spans="1:23">
      <c r="A11" s="39">
        <f>IF(B11="","",EventPrefix&amp;TEXT(ROW()-4,"000"))</f>
        <v>0</v>
      </c>
      <c r="E11" s="18">
        <f>IF(D11="","",D11-TODAY())</f>
        <v>0</v>
      </c>
      <c r="J11" s="45">
        <f>IF(G11="","",IF(AND(H11="",I11=""),G11,IF(H11="",0,H11)+IF(I11="",0,I11)*0.5))</f>
        <v>0</v>
      </c>
      <c r="M11" s="25">
        <f>IF(A11="","",SUMIFS('Meal Plan'!$T$5:$T$504,'Meal Plan'!$S$5:$S$504,B11))</f>
        <v>0</v>
      </c>
      <c r="O11" s="25">
        <f>IF(L11="","",L11-IF(N11&lt;&gt;"",N11,IF(M11="",0,M11)))</f>
        <v>0</v>
      </c>
      <c r="P11" s="18">
        <f>IF(B11="","",COUNTIFS('Meal Plan'!$S$5:$S$504,B11))</f>
        <v>0</v>
      </c>
      <c r="V11" s="31">
        <f>IF(B11="","",IF(U11="Done","OK",IF(AND(E11&lt;&gt;"",E11&lt;0),"Check - date has passed",IF(AND(E11&lt;=7,P11=0),"Action - nothing on the menu yet",IF(AND(E11&lt;=3,S11&lt;&gt;"Yes"),"Due - shopping not done","OK")))))</f>
        <v>0</v>
      </c>
    </row>
    <row r="12" spans="1:23">
      <c r="A12" s="39">
        <f>IF(B12="","",EventPrefix&amp;TEXT(ROW()-4,"000"))</f>
        <v>0</v>
      </c>
      <c r="E12" s="18">
        <f>IF(D12="","",D12-TODAY())</f>
        <v>0</v>
      </c>
      <c r="J12" s="45">
        <f>IF(G12="","",IF(AND(H12="",I12=""),G12,IF(H12="",0,H12)+IF(I12="",0,I12)*0.5))</f>
        <v>0</v>
      </c>
      <c r="M12" s="25">
        <f>IF(A12="","",SUMIFS('Meal Plan'!$T$5:$T$504,'Meal Plan'!$S$5:$S$504,B12))</f>
        <v>0</v>
      </c>
      <c r="O12" s="25">
        <f>IF(L12="","",L12-IF(N12&lt;&gt;"",N12,IF(M12="",0,M12)))</f>
        <v>0</v>
      </c>
      <c r="P12" s="18">
        <f>IF(B12="","",COUNTIFS('Meal Plan'!$S$5:$S$504,B12))</f>
        <v>0</v>
      </c>
      <c r="V12" s="31">
        <f>IF(B12="","",IF(U12="Done","OK",IF(AND(E12&lt;&gt;"",E12&lt;0),"Check - date has passed",IF(AND(E12&lt;=7,P12=0),"Action - nothing on the menu yet",IF(AND(E12&lt;=3,S12&lt;&gt;"Yes"),"Due - shopping not done","OK")))))</f>
        <v>0</v>
      </c>
    </row>
    <row r="13" spans="1:23">
      <c r="A13" s="39">
        <f>IF(B13="","",EventPrefix&amp;TEXT(ROW()-4,"000"))</f>
        <v>0</v>
      </c>
      <c r="E13" s="18">
        <f>IF(D13="","",D13-TODAY())</f>
        <v>0</v>
      </c>
      <c r="J13" s="45">
        <f>IF(G13="","",IF(AND(H13="",I13=""),G13,IF(H13="",0,H13)+IF(I13="",0,I13)*0.5))</f>
        <v>0</v>
      </c>
      <c r="M13" s="25">
        <f>IF(A13="","",SUMIFS('Meal Plan'!$T$5:$T$504,'Meal Plan'!$S$5:$S$504,B13))</f>
        <v>0</v>
      </c>
      <c r="O13" s="25">
        <f>IF(L13="","",L13-IF(N13&lt;&gt;"",N13,IF(M13="",0,M13)))</f>
        <v>0</v>
      </c>
      <c r="P13" s="18">
        <f>IF(B13="","",COUNTIFS('Meal Plan'!$S$5:$S$504,B13))</f>
        <v>0</v>
      </c>
      <c r="V13" s="31">
        <f>IF(B13="","",IF(U13="Done","OK",IF(AND(E13&lt;&gt;"",E13&lt;0),"Check - date has passed",IF(AND(E13&lt;=7,P13=0),"Action - nothing on the menu yet",IF(AND(E13&lt;=3,S13&lt;&gt;"Yes"),"Due - shopping not done","OK")))))</f>
        <v>0</v>
      </c>
    </row>
    <row r="14" spans="1:23">
      <c r="A14" s="39">
        <f>IF(B14="","",EventPrefix&amp;TEXT(ROW()-4,"000"))</f>
        <v>0</v>
      </c>
      <c r="E14" s="18">
        <f>IF(D14="","",D14-TODAY())</f>
        <v>0</v>
      </c>
      <c r="J14" s="45">
        <f>IF(G14="","",IF(AND(H14="",I14=""),G14,IF(H14="",0,H14)+IF(I14="",0,I14)*0.5))</f>
        <v>0</v>
      </c>
      <c r="M14" s="25">
        <f>IF(A14="","",SUMIFS('Meal Plan'!$T$5:$T$504,'Meal Plan'!$S$5:$S$504,B14))</f>
        <v>0</v>
      </c>
      <c r="O14" s="25">
        <f>IF(L14="","",L14-IF(N14&lt;&gt;"",N14,IF(M14="",0,M14)))</f>
        <v>0</v>
      </c>
      <c r="P14" s="18">
        <f>IF(B14="","",COUNTIFS('Meal Plan'!$S$5:$S$504,B14))</f>
        <v>0</v>
      </c>
      <c r="V14" s="31">
        <f>IF(B14="","",IF(U14="Done","OK",IF(AND(E14&lt;&gt;"",E14&lt;0),"Check - date has passed",IF(AND(E14&lt;=7,P14=0),"Action - nothing on the menu yet",IF(AND(E14&lt;=3,S14&lt;&gt;"Yes"),"Due - shopping not done","OK")))))</f>
        <v>0</v>
      </c>
    </row>
    <row r="15" spans="1:23">
      <c r="A15" s="39">
        <f>IF(B15="","",EventPrefix&amp;TEXT(ROW()-4,"000"))</f>
        <v>0</v>
      </c>
      <c r="E15" s="18">
        <f>IF(D15="","",D15-TODAY())</f>
        <v>0</v>
      </c>
      <c r="J15" s="45">
        <f>IF(G15="","",IF(AND(H15="",I15=""),G15,IF(H15="",0,H15)+IF(I15="",0,I15)*0.5))</f>
        <v>0</v>
      </c>
      <c r="M15" s="25">
        <f>IF(A15="","",SUMIFS('Meal Plan'!$T$5:$T$504,'Meal Plan'!$S$5:$S$504,B15))</f>
        <v>0</v>
      </c>
      <c r="O15" s="25">
        <f>IF(L15="","",L15-IF(N15&lt;&gt;"",N15,IF(M15="",0,M15)))</f>
        <v>0</v>
      </c>
      <c r="P15" s="18">
        <f>IF(B15="","",COUNTIFS('Meal Plan'!$S$5:$S$504,B15))</f>
        <v>0</v>
      </c>
      <c r="V15" s="31">
        <f>IF(B15="","",IF(U15="Done","OK",IF(AND(E15&lt;&gt;"",E15&lt;0),"Check - date has passed",IF(AND(E15&lt;=7,P15=0),"Action - nothing on the menu yet",IF(AND(E15&lt;=3,S15&lt;&gt;"Yes"),"Due - shopping not done","OK")))))</f>
        <v>0</v>
      </c>
    </row>
    <row r="16" spans="1:23">
      <c r="A16" s="39">
        <f>IF(B16="","",EventPrefix&amp;TEXT(ROW()-4,"000"))</f>
        <v>0</v>
      </c>
      <c r="E16" s="18">
        <f>IF(D16="","",D16-TODAY())</f>
        <v>0</v>
      </c>
      <c r="J16" s="45">
        <f>IF(G16="","",IF(AND(H16="",I16=""),G16,IF(H16="",0,H16)+IF(I16="",0,I16)*0.5))</f>
        <v>0</v>
      </c>
      <c r="M16" s="25">
        <f>IF(A16="","",SUMIFS('Meal Plan'!$T$5:$T$504,'Meal Plan'!$S$5:$S$504,B16))</f>
        <v>0</v>
      </c>
      <c r="O16" s="25">
        <f>IF(L16="","",L16-IF(N16&lt;&gt;"",N16,IF(M16="",0,M16)))</f>
        <v>0</v>
      </c>
      <c r="P16" s="18">
        <f>IF(B16="","",COUNTIFS('Meal Plan'!$S$5:$S$504,B16))</f>
        <v>0</v>
      </c>
      <c r="V16" s="31">
        <f>IF(B16="","",IF(U16="Done","OK",IF(AND(E16&lt;&gt;"",E16&lt;0),"Check - date has passed",IF(AND(E16&lt;=7,P16=0),"Action - nothing on the menu yet",IF(AND(E16&lt;=3,S16&lt;&gt;"Yes"),"Due - shopping not done","OK")))))</f>
        <v>0</v>
      </c>
    </row>
    <row r="17" spans="1:22">
      <c r="A17" s="39">
        <f>IF(B17="","",EventPrefix&amp;TEXT(ROW()-4,"000"))</f>
        <v>0</v>
      </c>
      <c r="E17" s="18">
        <f>IF(D17="","",D17-TODAY())</f>
        <v>0</v>
      </c>
      <c r="J17" s="45">
        <f>IF(G17="","",IF(AND(H17="",I17=""),G17,IF(H17="",0,H17)+IF(I17="",0,I17)*0.5))</f>
        <v>0</v>
      </c>
      <c r="M17" s="25">
        <f>IF(A17="","",SUMIFS('Meal Plan'!$T$5:$T$504,'Meal Plan'!$S$5:$S$504,B17))</f>
        <v>0</v>
      </c>
      <c r="O17" s="25">
        <f>IF(L17="","",L17-IF(N17&lt;&gt;"",N17,IF(M17="",0,M17)))</f>
        <v>0</v>
      </c>
      <c r="P17" s="18">
        <f>IF(B17="","",COUNTIFS('Meal Plan'!$S$5:$S$504,B17))</f>
        <v>0</v>
      </c>
      <c r="V17" s="31">
        <f>IF(B17="","",IF(U17="Done","OK",IF(AND(E17&lt;&gt;"",E17&lt;0),"Check - date has passed",IF(AND(E17&lt;=7,P17=0),"Action - nothing on the menu yet",IF(AND(E17&lt;=3,S17&lt;&gt;"Yes"),"Due - shopping not done","OK")))))</f>
        <v>0</v>
      </c>
    </row>
    <row r="18" spans="1:22">
      <c r="A18" s="39">
        <f>IF(B18="","",EventPrefix&amp;TEXT(ROW()-4,"000"))</f>
        <v>0</v>
      </c>
      <c r="E18" s="18">
        <f>IF(D18="","",D18-TODAY())</f>
        <v>0</v>
      </c>
      <c r="J18" s="45">
        <f>IF(G18="","",IF(AND(H18="",I18=""),G18,IF(H18="",0,H18)+IF(I18="",0,I18)*0.5))</f>
        <v>0</v>
      </c>
      <c r="M18" s="25">
        <f>IF(A18="","",SUMIFS('Meal Plan'!$T$5:$T$504,'Meal Plan'!$S$5:$S$504,B18))</f>
        <v>0</v>
      </c>
      <c r="O18" s="25">
        <f>IF(L18="","",L18-IF(N18&lt;&gt;"",N18,IF(M18="",0,M18)))</f>
        <v>0</v>
      </c>
      <c r="P18" s="18">
        <f>IF(B18="","",COUNTIFS('Meal Plan'!$S$5:$S$504,B18))</f>
        <v>0</v>
      </c>
      <c r="V18" s="31">
        <f>IF(B18="","",IF(U18="Done","OK",IF(AND(E18&lt;&gt;"",E18&lt;0),"Check - date has passed",IF(AND(E18&lt;=7,P18=0),"Action - nothing on the menu yet",IF(AND(E18&lt;=3,S18&lt;&gt;"Yes"),"Due - shopping not done","OK")))))</f>
        <v>0</v>
      </c>
    </row>
    <row r="19" spans="1:22">
      <c r="A19" s="39">
        <f>IF(B19="","",EventPrefix&amp;TEXT(ROW()-4,"000"))</f>
        <v>0</v>
      </c>
      <c r="E19" s="18">
        <f>IF(D19="","",D19-TODAY())</f>
        <v>0</v>
      </c>
      <c r="J19" s="45">
        <f>IF(G19="","",IF(AND(H19="",I19=""),G19,IF(H19="",0,H19)+IF(I19="",0,I19)*0.5))</f>
        <v>0</v>
      </c>
      <c r="M19" s="25">
        <f>IF(A19="","",SUMIFS('Meal Plan'!$T$5:$T$504,'Meal Plan'!$S$5:$S$504,B19))</f>
        <v>0</v>
      </c>
      <c r="O19" s="25">
        <f>IF(L19="","",L19-IF(N19&lt;&gt;"",N19,IF(M19="",0,M19)))</f>
        <v>0</v>
      </c>
      <c r="P19" s="18">
        <f>IF(B19="","",COUNTIFS('Meal Plan'!$S$5:$S$504,B19))</f>
        <v>0</v>
      </c>
      <c r="V19" s="31">
        <f>IF(B19="","",IF(U19="Done","OK",IF(AND(E19&lt;&gt;"",E19&lt;0),"Check - date has passed",IF(AND(E19&lt;=7,P19=0),"Action - nothing on the menu yet",IF(AND(E19&lt;=3,S19&lt;&gt;"Yes"),"Due - shopping not done","OK")))))</f>
        <v>0</v>
      </c>
    </row>
    <row r="20" spans="1:22">
      <c r="A20" s="39">
        <f>IF(B20="","",EventPrefix&amp;TEXT(ROW()-4,"000"))</f>
        <v>0</v>
      </c>
      <c r="E20" s="18">
        <f>IF(D20="","",D20-TODAY())</f>
        <v>0</v>
      </c>
      <c r="J20" s="45">
        <f>IF(G20="","",IF(AND(H20="",I20=""),G20,IF(H20="",0,H20)+IF(I20="",0,I20)*0.5))</f>
        <v>0</v>
      </c>
      <c r="M20" s="25">
        <f>IF(A20="","",SUMIFS('Meal Plan'!$T$5:$T$504,'Meal Plan'!$S$5:$S$504,B20))</f>
        <v>0</v>
      </c>
      <c r="O20" s="25">
        <f>IF(L20="","",L20-IF(N20&lt;&gt;"",N20,IF(M20="",0,M20)))</f>
        <v>0</v>
      </c>
      <c r="P20" s="18">
        <f>IF(B20="","",COUNTIFS('Meal Plan'!$S$5:$S$504,B20))</f>
        <v>0</v>
      </c>
      <c r="V20" s="31">
        <f>IF(B20="","",IF(U20="Done","OK",IF(AND(E20&lt;&gt;"",E20&lt;0),"Check - date has passed",IF(AND(E20&lt;=7,P20=0),"Action - nothing on the menu yet",IF(AND(E20&lt;=3,S20&lt;&gt;"Yes"),"Due - shopping not done","OK")))))</f>
        <v>0</v>
      </c>
    </row>
    <row r="21" spans="1:22">
      <c r="A21" s="39">
        <f>IF(B21="","",EventPrefix&amp;TEXT(ROW()-4,"000"))</f>
        <v>0</v>
      </c>
      <c r="E21" s="18">
        <f>IF(D21="","",D21-TODAY())</f>
        <v>0</v>
      </c>
      <c r="J21" s="45">
        <f>IF(G21="","",IF(AND(H21="",I21=""),G21,IF(H21="",0,H21)+IF(I21="",0,I21)*0.5))</f>
        <v>0</v>
      </c>
      <c r="M21" s="25">
        <f>IF(A21="","",SUMIFS('Meal Plan'!$T$5:$T$504,'Meal Plan'!$S$5:$S$504,B21))</f>
        <v>0</v>
      </c>
      <c r="O21" s="25">
        <f>IF(L21="","",L21-IF(N21&lt;&gt;"",N21,IF(M21="",0,M21)))</f>
        <v>0</v>
      </c>
      <c r="P21" s="18">
        <f>IF(B21="","",COUNTIFS('Meal Plan'!$S$5:$S$504,B21))</f>
        <v>0</v>
      </c>
      <c r="V21" s="31">
        <f>IF(B21="","",IF(U21="Done","OK",IF(AND(E21&lt;&gt;"",E21&lt;0),"Check - date has passed",IF(AND(E21&lt;=7,P21=0),"Action - nothing on the menu yet",IF(AND(E21&lt;=3,S21&lt;&gt;"Yes"),"Due - shopping not done","OK")))))</f>
        <v>0</v>
      </c>
    </row>
    <row r="22" spans="1:22">
      <c r="A22" s="39">
        <f>IF(B22="","",EventPrefix&amp;TEXT(ROW()-4,"000"))</f>
        <v>0</v>
      </c>
      <c r="E22" s="18">
        <f>IF(D22="","",D22-TODAY())</f>
        <v>0</v>
      </c>
      <c r="J22" s="45">
        <f>IF(G22="","",IF(AND(H22="",I22=""),G22,IF(H22="",0,H22)+IF(I22="",0,I22)*0.5))</f>
        <v>0</v>
      </c>
      <c r="M22" s="25">
        <f>IF(A22="","",SUMIFS('Meal Plan'!$T$5:$T$504,'Meal Plan'!$S$5:$S$504,B22))</f>
        <v>0</v>
      </c>
      <c r="O22" s="25">
        <f>IF(L22="","",L22-IF(N22&lt;&gt;"",N22,IF(M22="",0,M22)))</f>
        <v>0</v>
      </c>
      <c r="P22" s="18">
        <f>IF(B22="","",COUNTIFS('Meal Plan'!$S$5:$S$504,B22))</f>
        <v>0</v>
      </c>
      <c r="V22" s="31">
        <f>IF(B22="","",IF(U22="Done","OK",IF(AND(E22&lt;&gt;"",E22&lt;0),"Check - date has passed",IF(AND(E22&lt;=7,P22=0),"Action - nothing on the menu yet",IF(AND(E22&lt;=3,S22&lt;&gt;"Yes"),"Due - shopping not done","OK")))))</f>
        <v>0</v>
      </c>
    </row>
    <row r="23" spans="1:22">
      <c r="A23" s="39">
        <f>IF(B23="","",EventPrefix&amp;TEXT(ROW()-4,"000"))</f>
        <v>0</v>
      </c>
      <c r="E23" s="18">
        <f>IF(D23="","",D23-TODAY())</f>
        <v>0</v>
      </c>
      <c r="J23" s="45">
        <f>IF(G23="","",IF(AND(H23="",I23=""),G23,IF(H23="",0,H23)+IF(I23="",0,I23)*0.5))</f>
        <v>0</v>
      </c>
      <c r="M23" s="25">
        <f>IF(A23="","",SUMIFS('Meal Plan'!$T$5:$T$504,'Meal Plan'!$S$5:$S$504,B23))</f>
        <v>0</v>
      </c>
      <c r="O23" s="25">
        <f>IF(L23="","",L23-IF(N23&lt;&gt;"",N23,IF(M23="",0,M23)))</f>
        <v>0</v>
      </c>
      <c r="P23" s="18">
        <f>IF(B23="","",COUNTIFS('Meal Plan'!$S$5:$S$504,B23))</f>
        <v>0</v>
      </c>
      <c r="V23" s="31">
        <f>IF(B23="","",IF(U23="Done","OK",IF(AND(E23&lt;&gt;"",E23&lt;0),"Check - date has passed",IF(AND(E23&lt;=7,P23=0),"Action - nothing on the menu yet",IF(AND(E23&lt;=3,S23&lt;&gt;"Yes"),"Due - shopping not done","OK")))))</f>
        <v>0</v>
      </c>
    </row>
    <row r="24" spans="1:22">
      <c r="A24" s="39">
        <f>IF(B24="","",EventPrefix&amp;TEXT(ROW()-4,"000"))</f>
        <v>0</v>
      </c>
      <c r="E24" s="18">
        <f>IF(D24="","",D24-TODAY())</f>
        <v>0</v>
      </c>
      <c r="J24" s="45">
        <f>IF(G24="","",IF(AND(H24="",I24=""),G24,IF(H24="",0,H24)+IF(I24="",0,I24)*0.5))</f>
        <v>0</v>
      </c>
      <c r="M24" s="25">
        <f>IF(A24="","",SUMIFS('Meal Plan'!$T$5:$T$504,'Meal Plan'!$S$5:$S$504,B24))</f>
        <v>0</v>
      </c>
      <c r="O24" s="25">
        <f>IF(L24="","",L24-IF(N24&lt;&gt;"",N24,IF(M24="",0,M24)))</f>
        <v>0</v>
      </c>
      <c r="P24" s="18">
        <f>IF(B24="","",COUNTIFS('Meal Plan'!$S$5:$S$504,B24))</f>
        <v>0</v>
      </c>
      <c r="V24" s="31">
        <f>IF(B24="","",IF(U24="Done","OK",IF(AND(E24&lt;&gt;"",E24&lt;0),"Check - date has passed",IF(AND(E24&lt;=7,P24=0),"Action - nothing on the menu yet",IF(AND(E24&lt;=3,S24&lt;&gt;"Yes"),"Due - shopping not done","OK")))))</f>
        <v>0</v>
      </c>
    </row>
    <row r="25" spans="1:22">
      <c r="A25" s="39">
        <f>IF(B25="","",EventPrefix&amp;TEXT(ROW()-4,"000"))</f>
        <v>0</v>
      </c>
      <c r="E25" s="18">
        <f>IF(D25="","",D25-TODAY())</f>
        <v>0</v>
      </c>
      <c r="J25" s="45">
        <f>IF(G25="","",IF(AND(H25="",I25=""),G25,IF(H25="",0,H25)+IF(I25="",0,I25)*0.5))</f>
        <v>0</v>
      </c>
      <c r="M25" s="25">
        <f>IF(A25="","",SUMIFS('Meal Plan'!$T$5:$T$504,'Meal Plan'!$S$5:$S$504,B25))</f>
        <v>0</v>
      </c>
      <c r="O25" s="25">
        <f>IF(L25="","",L25-IF(N25&lt;&gt;"",N25,IF(M25="",0,M25)))</f>
        <v>0</v>
      </c>
      <c r="P25" s="18">
        <f>IF(B25="","",COUNTIFS('Meal Plan'!$S$5:$S$504,B25))</f>
        <v>0</v>
      </c>
      <c r="V25" s="31">
        <f>IF(B25="","",IF(U25="Done","OK",IF(AND(E25&lt;&gt;"",E25&lt;0),"Check - date has passed",IF(AND(E25&lt;=7,P25=0),"Action - nothing on the menu yet",IF(AND(E25&lt;=3,S25&lt;&gt;"Yes"),"Due - shopping not done","OK")))))</f>
        <v>0</v>
      </c>
    </row>
    <row r="26" spans="1:22">
      <c r="A26" s="39">
        <f>IF(B26="","",EventPrefix&amp;TEXT(ROW()-4,"000"))</f>
        <v>0</v>
      </c>
      <c r="E26" s="18">
        <f>IF(D26="","",D26-TODAY())</f>
        <v>0</v>
      </c>
      <c r="J26" s="45">
        <f>IF(G26="","",IF(AND(H26="",I26=""),G26,IF(H26="",0,H26)+IF(I26="",0,I26)*0.5))</f>
        <v>0</v>
      </c>
      <c r="M26" s="25">
        <f>IF(A26="","",SUMIFS('Meal Plan'!$T$5:$T$504,'Meal Plan'!$S$5:$S$504,B26))</f>
        <v>0</v>
      </c>
      <c r="O26" s="25">
        <f>IF(L26="","",L26-IF(N26&lt;&gt;"",N26,IF(M26="",0,M26)))</f>
        <v>0</v>
      </c>
      <c r="P26" s="18">
        <f>IF(B26="","",COUNTIFS('Meal Plan'!$S$5:$S$504,B26))</f>
        <v>0</v>
      </c>
      <c r="V26" s="31">
        <f>IF(B26="","",IF(U26="Done","OK",IF(AND(E26&lt;&gt;"",E26&lt;0),"Check - date has passed",IF(AND(E26&lt;=7,P26=0),"Action - nothing on the menu yet",IF(AND(E26&lt;=3,S26&lt;&gt;"Yes"),"Due - shopping not done","OK")))))</f>
        <v>0</v>
      </c>
    </row>
    <row r="27" spans="1:22">
      <c r="A27" s="39">
        <f>IF(B27="","",EventPrefix&amp;TEXT(ROW()-4,"000"))</f>
        <v>0</v>
      </c>
      <c r="E27" s="18">
        <f>IF(D27="","",D27-TODAY())</f>
        <v>0</v>
      </c>
      <c r="J27" s="45">
        <f>IF(G27="","",IF(AND(H27="",I27=""),G27,IF(H27="",0,H27)+IF(I27="",0,I27)*0.5))</f>
        <v>0</v>
      </c>
      <c r="M27" s="25">
        <f>IF(A27="","",SUMIFS('Meal Plan'!$T$5:$T$504,'Meal Plan'!$S$5:$S$504,B27))</f>
        <v>0</v>
      </c>
      <c r="O27" s="25">
        <f>IF(L27="","",L27-IF(N27&lt;&gt;"",N27,IF(M27="",0,M27)))</f>
        <v>0</v>
      </c>
      <c r="P27" s="18">
        <f>IF(B27="","",COUNTIFS('Meal Plan'!$S$5:$S$504,B27))</f>
        <v>0</v>
      </c>
      <c r="V27" s="31">
        <f>IF(B27="","",IF(U27="Done","OK",IF(AND(E27&lt;&gt;"",E27&lt;0),"Check - date has passed",IF(AND(E27&lt;=7,P27=0),"Action - nothing on the menu yet",IF(AND(E27&lt;=3,S27&lt;&gt;"Yes"),"Due - shopping not done","OK")))))</f>
        <v>0</v>
      </c>
    </row>
    <row r="28" spans="1:22">
      <c r="A28" s="39">
        <f>IF(B28="","",EventPrefix&amp;TEXT(ROW()-4,"000"))</f>
        <v>0</v>
      </c>
      <c r="E28" s="18">
        <f>IF(D28="","",D28-TODAY())</f>
        <v>0</v>
      </c>
      <c r="J28" s="45">
        <f>IF(G28="","",IF(AND(H28="",I28=""),G28,IF(H28="",0,H28)+IF(I28="",0,I28)*0.5))</f>
        <v>0</v>
      </c>
      <c r="M28" s="25">
        <f>IF(A28="","",SUMIFS('Meal Plan'!$T$5:$T$504,'Meal Plan'!$S$5:$S$504,B28))</f>
        <v>0</v>
      </c>
      <c r="O28" s="25">
        <f>IF(L28="","",L28-IF(N28&lt;&gt;"",N28,IF(M28="",0,M28)))</f>
        <v>0</v>
      </c>
      <c r="P28" s="18">
        <f>IF(B28="","",COUNTIFS('Meal Plan'!$S$5:$S$504,B28))</f>
        <v>0</v>
      </c>
      <c r="V28" s="31">
        <f>IF(B28="","",IF(U28="Done","OK",IF(AND(E28&lt;&gt;"",E28&lt;0),"Check - date has passed",IF(AND(E28&lt;=7,P28=0),"Action - nothing on the menu yet",IF(AND(E28&lt;=3,S28&lt;&gt;"Yes"),"Due - shopping not done","OK")))))</f>
        <v>0</v>
      </c>
    </row>
    <row r="29" spans="1:22">
      <c r="A29" s="39">
        <f>IF(B29="","",EventPrefix&amp;TEXT(ROW()-4,"000"))</f>
        <v>0</v>
      </c>
      <c r="E29" s="18">
        <f>IF(D29="","",D29-TODAY())</f>
        <v>0</v>
      </c>
      <c r="J29" s="45">
        <f>IF(G29="","",IF(AND(H29="",I29=""),G29,IF(H29="",0,H29)+IF(I29="",0,I29)*0.5))</f>
        <v>0</v>
      </c>
      <c r="M29" s="25">
        <f>IF(A29="","",SUMIFS('Meal Plan'!$T$5:$T$504,'Meal Plan'!$S$5:$S$504,B29))</f>
        <v>0</v>
      </c>
      <c r="O29" s="25">
        <f>IF(L29="","",L29-IF(N29&lt;&gt;"",N29,IF(M29="",0,M29)))</f>
        <v>0</v>
      </c>
      <c r="P29" s="18">
        <f>IF(B29="","",COUNTIFS('Meal Plan'!$S$5:$S$504,B29))</f>
        <v>0</v>
      </c>
      <c r="V29" s="31">
        <f>IF(B29="","",IF(U29="Done","OK",IF(AND(E29&lt;&gt;"",E29&lt;0),"Check - date has passed",IF(AND(E29&lt;=7,P29=0),"Action - nothing on the menu yet",IF(AND(E29&lt;=3,S29&lt;&gt;"Yes"),"Due - shopping not done","OK")))))</f>
        <v>0</v>
      </c>
    </row>
    <row r="30" spans="1:22">
      <c r="A30" s="39">
        <f>IF(B30="","",EventPrefix&amp;TEXT(ROW()-4,"000"))</f>
        <v>0</v>
      </c>
      <c r="E30" s="18">
        <f>IF(D30="","",D30-TODAY())</f>
        <v>0</v>
      </c>
      <c r="J30" s="45">
        <f>IF(G30="","",IF(AND(H30="",I30=""),G30,IF(H30="",0,H30)+IF(I30="",0,I30)*0.5))</f>
        <v>0</v>
      </c>
      <c r="M30" s="25">
        <f>IF(A30="","",SUMIFS('Meal Plan'!$T$5:$T$504,'Meal Plan'!$S$5:$S$504,B30))</f>
        <v>0</v>
      </c>
      <c r="O30" s="25">
        <f>IF(L30="","",L30-IF(N30&lt;&gt;"",N30,IF(M30="",0,M30)))</f>
        <v>0</v>
      </c>
      <c r="P30" s="18">
        <f>IF(B30="","",COUNTIFS('Meal Plan'!$S$5:$S$504,B30))</f>
        <v>0</v>
      </c>
      <c r="V30" s="31">
        <f>IF(B30="","",IF(U30="Done","OK",IF(AND(E30&lt;&gt;"",E30&lt;0),"Check - date has passed",IF(AND(E30&lt;=7,P30=0),"Action - nothing on the menu yet",IF(AND(E30&lt;=3,S30&lt;&gt;"Yes"),"Due - shopping not done","OK")))))</f>
        <v>0</v>
      </c>
    </row>
    <row r="31" spans="1:22">
      <c r="A31" s="39">
        <f>IF(B31="","",EventPrefix&amp;TEXT(ROW()-4,"000"))</f>
        <v>0</v>
      </c>
      <c r="E31" s="18">
        <f>IF(D31="","",D31-TODAY())</f>
        <v>0</v>
      </c>
      <c r="J31" s="45">
        <f>IF(G31="","",IF(AND(H31="",I31=""),G31,IF(H31="",0,H31)+IF(I31="",0,I31)*0.5))</f>
        <v>0</v>
      </c>
      <c r="M31" s="25">
        <f>IF(A31="","",SUMIFS('Meal Plan'!$T$5:$T$504,'Meal Plan'!$S$5:$S$504,B31))</f>
        <v>0</v>
      </c>
      <c r="O31" s="25">
        <f>IF(L31="","",L31-IF(N31&lt;&gt;"",N31,IF(M31="",0,M31)))</f>
        <v>0</v>
      </c>
      <c r="P31" s="18">
        <f>IF(B31="","",COUNTIFS('Meal Plan'!$S$5:$S$504,B31))</f>
        <v>0</v>
      </c>
      <c r="V31" s="31">
        <f>IF(B31="","",IF(U31="Done","OK",IF(AND(E31&lt;&gt;"",E31&lt;0),"Check - date has passed",IF(AND(E31&lt;=7,P31=0),"Action - nothing on the menu yet",IF(AND(E31&lt;=3,S31&lt;&gt;"Yes"),"Due - shopping not done","OK")))))</f>
        <v>0</v>
      </c>
    </row>
    <row r="32" spans="1:22">
      <c r="A32" s="39">
        <f>IF(B32="","",EventPrefix&amp;TEXT(ROW()-4,"000"))</f>
        <v>0</v>
      </c>
      <c r="E32" s="18">
        <f>IF(D32="","",D32-TODAY())</f>
        <v>0</v>
      </c>
      <c r="J32" s="45">
        <f>IF(G32="","",IF(AND(H32="",I32=""),G32,IF(H32="",0,H32)+IF(I32="",0,I32)*0.5))</f>
        <v>0</v>
      </c>
      <c r="M32" s="25">
        <f>IF(A32="","",SUMIFS('Meal Plan'!$T$5:$T$504,'Meal Plan'!$S$5:$S$504,B32))</f>
        <v>0</v>
      </c>
      <c r="O32" s="25">
        <f>IF(L32="","",L32-IF(N32&lt;&gt;"",N32,IF(M32="",0,M32)))</f>
        <v>0</v>
      </c>
      <c r="P32" s="18">
        <f>IF(B32="","",COUNTIFS('Meal Plan'!$S$5:$S$504,B32))</f>
        <v>0</v>
      </c>
      <c r="V32" s="31">
        <f>IF(B32="","",IF(U32="Done","OK",IF(AND(E32&lt;&gt;"",E32&lt;0),"Check - date has passed",IF(AND(E32&lt;=7,P32=0),"Action - nothing on the menu yet",IF(AND(E32&lt;=3,S32&lt;&gt;"Yes"),"Due - shopping not done","OK")))))</f>
        <v>0</v>
      </c>
    </row>
    <row r="33" spans="1:22">
      <c r="A33" s="39">
        <f>IF(B33="","",EventPrefix&amp;TEXT(ROW()-4,"000"))</f>
        <v>0</v>
      </c>
      <c r="E33" s="18">
        <f>IF(D33="","",D33-TODAY())</f>
        <v>0</v>
      </c>
      <c r="J33" s="45">
        <f>IF(G33="","",IF(AND(H33="",I33=""),G33,IF(H33="",0,H33)+IF(I33="",0,I33)*0.5))</f>
        <v>0</v>
      </c>
      <c r="M33" s="25">
        <f>IF(A33="","",SUMIFS('Meal Plan'!$T$5:$T$504,'Meal Plan'!$S$5:$S$504,B33))</f>
        <v>0</v>
      </c>
      <c r="O33" s="25">
        <f>IF(L33="","",L33-IF(N33&lt;&gt;"",N33,IF(M33="",0,M33)))</f>
        <v>0</v>
      </c>
      <c r="P33" s="18">
        <f>IF(B33="","",COUNTIFS('Meal Plan'!$S$5:$S$504,B33))</f>
        <v>0</v>
      </c>
      <c r="V33" s="31">
        <f>IF(B33="","",IF(U33="Done","OK",IF(AND(E33&lt;&gt;"",E33&lt;0),"Check - date has passed",IF(AND(E33&lt;=7,P33=0),"Action - nothing on the menu yet",IF(AND(E33&lt;=3,S33&lt;&gt;"Yes"),"Due - shopping not done","OK")))))</f>
        <v>0</v>
      </c>
    </row>
    <row r="34" spans="1:22">
      <c r="A34" s="39">
        <f>IF(B34="","",EventPrefix&amp;TEXT(ROW()-4,"000"))</f>
        <v>0</v>
      </c>
      <c r="E34" s="18">
        <f>IF(D34="","",D34-TODAY())</f>
        <v>0</v>
      </c>
      <c r="J34" s="45">
        <f>IF(G34="","",IF(AND(H34="",I34=""),G34,IF(H34="",0,H34)+IF(I34="",0,I34)*0.5))</f>
        <v>0</v>
      </c>
      <c r="M34" s="25">
        <f>IF(A34="","",SUMIFS('Meal Plan'!$T$5:$T$504,'Meal Plan'!$S$5:$S$504,B34))</f>
        <v>0</v>
      </c>
      <c r="O34" s="25">
        <f>IF(L34="","",L34-IF(N34&lt;&gt;"",N34,IF(M34="",0,M34)))</f>
        <v>0</v>
      </c>
      <c r="P34" s="18">
        <f>IF(B34="","",COUNTIFS('Meal Plan'!$S$5:$S$504,B34))</f>
        <v>0</v>
      </c>
      <c r="V34" s="31">
        <f>IF(B34="","",IF(U34="Done","OK",IF(AND(E34&lt;&gt;"",E34&lt;0),"Check - date has passed",IF(AND(E34&lt;=7,P34=0),"Action - nothing on the menu yet",IF(AND(E34&lt;=3,S34&lt;&gt;"Yes"),"Due - shopping not done","OK")))))</f>
        <v>0</v>
      </c>
    </row>
    <row r="35" spans="1:22">
      <c r="A35" s="39">
        <f>IF(B35="","",EventPrefix&amp;TEXT(ROW()-4,"000"))</f>
        <v>0</v>
      </c>
      <c r="E35" s="18">
        <f>IF(D35="","",D35-TODAY())</f>
        <v>0</v>
      </c>
      <c r="J35" s="45">
        <f>IF(G35="","",IF(AND(H35="",I35=""),G35,IF(H35="",0,H35)+IF(I35="",0,I35)*0.5))</f>
        <v>0</v>
      </c>
      <c r="M35" s="25">
        <f>IF(A35="","",SUMIFS('Meal Plan'!$T$5:$T$504,'Meal Plan'!$S$5:$S$504,B35))</f>
        <v>0</v>
      </c>
      <c r="O35" s="25">
        <f>IF(L35="","",L35-IF(N35&lt;&gt;"",N35,IF(M35="",0,M35)))</f>
        <v>0</v>
      </c>
      <c r="P35" s="18">
        <f>IF(B35="","",COUNTIFS('Meal Plan'!$S$5:$S$504,B35))</f>
        <v>0</v>
      </c>
      <c r="V35" s="31">
        <f>IF(B35="","",IF(U35="Done","OK",IF(AND(E35&lt;&gt;"",E35&lt;0),"Check - date has passed",IF(AND(E35&lt;=7,P35=0),"Action - nothing on the menu yet",IF(AND(E35&lt;=3,S35&lt;&gt;"Yes"),"Due - shopping not done","OK")))))</f>
        <v>0</v>
      </c>
    </row>
    <row r="36" spans="1:22">
      <c r="A36" s="39">
        <f>IF(B36="","",EventPrefix&amp;TEXT(ROW()-4,"000"))</f>
        <v>0</v>
      </c>
      <c r="E36" s="18">
        <f>IF(D36="","",D36-TODAY())</f>
        <v>0</v>
      </c>
      <c r="J36" s="45">
        <f>IF(G36="","",IF(AND(H36="",I36=""),G36,IF(H36="",0,H36)+IF(I36="",0,I36)*0.5))</f>
        <v>0</v>
      </c>
      <c r="M36" s="25">
        <f>IF(A36="","",SUMIFS('Meal Plan'!$T$5:$T$504,'Meal Plan'!$S$5:$S$504,B36))</f>
        <v>0</v>
      </c>
      <c r="O36" s="25">
        <f>IF(L36="","",L36-IF(N36&lt;&gt;"",N36,IF(M36="",0,M36)))</f>
        <v>0</v>
      </c>
      <c r="P36" s="18">
        <f>IF(B36="","",COUNTIFS('Meal Plan'!$S$5:$S$504,B36))</f>
        <v>0</v>
      </c>
      <c r="V36" s="31">
        <f>IF(B36="","",IF(U36="Done","OK",IF(AND(E36&lt;&gt;"",E36&lt;0),"Check - date has passed",IF(AND(E36&lt;=7,P36=0),"Action - nothing on the menu yet",IF(AND(E36&lt;=3,S36&lt;&gt;"Yes"),"Due - shopping not done","OK")))))</f>
        <v>0</v>
      </c>
    </row>
    <row r="37" spans="1:22">
      <c r="A37" s="39">
        <f>IF(B37="","",EventPrefix&amp;TEXT(ROW()-4,"000"))</f>
        <v>0</v>
      </c>
      <c r="E37" s="18">
        <f>IF(D37="","",D37-TODAY())</f>
        <v>0</v>
      </c>
      <c r="J37" s="45">
        <f>IF(G37="","",IF(AND(H37="",I37=""),G37,IF(H37="",0,H37)+IF(I37="",0,I37)*0.5))</f>
        <v>0</v>
      </c>
      <c r="M37" s="25">
        <f>IF(A37="","",SUMIFS('Meal Plan'!$T$5:$T$504,'Meal Plan'!$S$5:$S$504,B37))</f>
        <v>0</v>
      </c>
      <c r="O37" s="25">
        <f>IF(L37="","",L37-IF(N37&lt;&gt;"",N37,IF(M37="",0,M37)))</f>
        <v>0</v>
      </c>
      <c r="P37" s="18">
        <f>IF(B37="","",COUNTIFS('Meal Plan'!$S$5:$S$504,B37))</f>
        <v>0</v>
      </c>
      <c r="V37" s="31">
        <f>IF(B37="","",IF(U37="Done","OK",IF(AND(E37&lt;&gt;"",E37&lt;0),"Check - date has passed",IF(AND(E37&lt;=7,P37=0),"Action - nothing on the menu yet",IF(AND(E37&lt;=3,S37&lt;&gt;"Yes"),"Due - shopping not done","OK")))))</f>
        <v>0</v>
      </c>
    </row>
    <row r="38" spans="1:22">
      <c r="A38" s="39">
        <f>IF(B38="","",EventPrefix&amp;TEXT(ROW()-4,"000"))</f>
        <v>0</v>
      </c>
      <c r="E38" s="18">
        <f>IF(D38="","",D38-TODAY())</f>
        <v>0</v>
      </c>
      <c r="J38" s="45">
        <f>IF(G38="","",IF(AND(H38="",I38=""),G38,IF(H38="",0,H38)+IF(I38="",0,I38)*0.5))</f>
        <v>0</v>
      </c>
      <c r="M38" s="25">
        <f>IF(A38="","",SUMIFS('Meal Plan'!$T$5:$T$504,'Meal Plan'!$S$5:$S$504,B38))</f>
        <v>0</v>
      </c>
      <c r="O38" s="25">
        <f>IF(L38="","",L38-IF(N38&lt;&gt;"",N38,IF(M38="",0,M38)))</f>
        <v>0</v>
      </c>
      <c r="P38" s="18">
        <f>IF(B38="","",COUNTIFS('Meal Plan'!$S$5:$S$504,B38))</f>
        <v>0</v>
      </c>
      <c r="V38" s="31">
        <f>IF(B38="","",IF(U38="Done","OK",IF(AND(E38&lt;&gt;"",E38&lt;0),"Check - date has passed",IF(AND(E38&lt;=7,P38=0),"Action - nothing on the menu yet",IF(AND(E38&lt;=3,S38&lt;&gt;"Yes"),"Due - shopping not done","OK")))))</f>
        <v>0</v>
      </c>
    </row>
    <row r="39" spans="1:22">
      <c r="A39" s="39">
        <f>IF(B39="","",EventPrefix&amp;TEXT(ROW()-4,"000"))</f>
        <v>0</v>
      </c>
      <c r="E39" s="18">
        <f>IF(D39="","",D39-TODAY())</f>
        <v>0</v>
      </c>
      <c r="J39" s="45">
        <f>IF(G39="","",IF(AND(H39="",I39=""),G39,IF(H39="",0,H39)+IF(I39="",0,I39)*0.5))</f>
        <v>0</v>
      </c>
      <c r="M39" s="25">
        <f>IF(A39="","",SUMIFS('Meal Plan'!$T$5:$T$504,'Meal Plan'!$S$5:$S$504,B39))</f>
        <v>0</v>
      </c>
      <c r="O39" s="25">
        <f>IF(L39="","",L39-IF(N39&lt;&gt;"",N39,IF(M39="",0,M39)))</f>
        <v>0</v>
      </c>
      <c r="P39" s="18">
        <f>IF(B39="","",COUNTIFS('Meal Plan'!$S$5:$S$504,B39))</f>
        <v>0</v>
      </c>
      <c r="V39" s="31">
        <f>IF(B39="","",IF(U39="Done","OK",IF(AND(E39&lt;&gt;"",E39&lt;0),"Check - date has passed",IF(AND(E39&lt;=7,P39=0),"Action - nothing on the menu yet",IF(AND(E39&lt;=3,S39&lt;&gt;"Yes"),"Due - shopping not done","OK")))))</f>
        <v>0</v>
      </c>
    </row>
    <row r="40" spans="1:22">
      <c r="A40" s="39">
        <f>IF(B40="","",EventPrefix&amp;TEXT(ROW()-4,"000"))</f>
        <v>0</v>
      </c>
      <c r="E40" s="18">
        <f>IF(D40="","",D40-TODAY())</f>
        <v>0</v>
      </c>
      <c r="J40" s="45">
        <f>IF(G40="","",IF(AND(H40="",I40=""),G40,IF(H40="",0,H40)+IF(I40="",0,I40)*0.5))</f>
        <v>0</v>
      </c>
      <c r="M40" s="25">
        <f>IF(A40="","",SUMIFS('Meal Plan'!$T$5:$T$504,'Meal Plan'!$S$5:$S$504,B40))</f>
        <v>0</v>
      </c>
      <c r="O40" s="25">
        <f>IF(L40="","",L40-IF(N40&lt;&gt;"",N40,IF(M40="",0,M40)))</f>
        <v>0</v>
      </c>
      <c r="P40" s="18">
        <f>IF(B40="","",COUNTIFS('Meal Plan'!$S$5:$S$504,B40))</f>
        <v>0</v>
      </c>
      <c r="V40" s="31">
        <f>IF(B40="","",IF(U40="Done","OK",IF(AND(E40&lt;&gt;"",E40&lt;0),"Check - date has passed",IF(AND(E40&lt;=7,P40=0),"Action - nothing on the menu yet",IF(AND(E40&lt;=3,S40&lt;&gt;"Yes"),"Due - shopping not done","OK")))))</f>
        <v>0</v>
      </c>
    </row>
    <row r="41" spans="1:22">
      <c r="A41" s="39">
        <f>IF(B41="","",EventPrefix&amp;TEXT(ROW()-4,"000"))</f>
        <v>0</v>
      </c>
      <c r="E41" s="18">
        <f>IF(D41="","",D41-TODAY())</f>
        <v>0</v>
      </c>
      <c r="J41" s="45">
        <f>IF(G41="","",IF(AND(H41="",I41=""),G41,IF(H41="",0,H41)+IF(I41="",0,I41)*0.5))</f>
        <v>0</v>
      </c>
      <c r="M41" s="25">
        <f>IF(A41="","",SUMIFS('Meal Plan'!$T$5:$T$504,'Meal Plan'!$S$5:$S$504,B41))</f>
        <v>0</v>
      </c>
      <c r="O41" s="25">
        <f>IF(L41="","",L41-IF(N41&lt;&gt;"",N41,IF(M41="",0,M41)))</f>
        <v>0</v>
      </c>
      <c r="P41" s="18">
        <f>IF(B41="","",COUNTIFS('Meal Plan'!$S$5:$S$504,B41))</f>
        <v>0</v>
      </c>
      <c r="V41" s="31">
        <f>IF(B41="","",IF(U41="Done","OK",IF(AND(E41&lt;&gt;"",E41&lt;0),"Check - date has passed",IF(AND(E41&lt;=7,P41=0),"Action - nothing on the menu yet",IF(AND(E41&lt;=3,S41&lt;&gt;"Yes"),"Due - shopping not done","OK")))))</f>
        <v>0</v>
      </c>
    </row>
    <row r="42" spans="1:22">
      <c r="A42" s="39">
        <f>IF(B42="","",EventPrefix&amp;TEXT(ROW()-4,"000"))</f>
        <v>0</v>
      </c>
      <c r="E42" s="18">
        <f>IF(D42="","",D42-TODAY())</f>
        <v>0</v>
      </c>
      <c r="J42" s="45">
        <f>IF(G42="","",IF(AND(H42="",I42=""),G42,IF(H42="",0,H42)+IF(I42="",0,I42)*0.5))</f>
        <v>0</v>
      </c>
      <c r="M42" s="25">
        <f>IF(A42="","",SUMIFS('Meal Plan'!$T$5:$T$504,'Meal Plan'!$S$5:$S$504,B42))</f>
        <v>0</v>
      </c>
      <c r="O42" s="25">
        <f>IF(L42="","",L42-IF(N42&lt;&gt;"",N42,IF(M42="",0,M42)))</f>
        <v>0</v>
      </c>
      <c r="P42" s="18">
        <f>IF(B42="","",COUNTIFS('Meal Plan'!$S$5:$S$504,B42))</f>
        <v>0</v>
      </c>
      <c r="V42" s="31">
        <f>IF(B42="","",IF(U42="Done","OK",IF(AND(E42&lt;&gt;"",E42&lt;0),"Check - date has passed",IF(AND(E42&lt;=7,P42=0),"Action - nothing on the menu yet",IF(AND(E42&lt;=3,S42&lt;&gt;"Yes"),"Due - shopping not done","OK")))))</f>
        <v>0</v>
      </c>
    </row>
    <row r="43" spans="1:22">
      <c r="A43" s="39">
        <f>IF(B43="","",EventPrefix&amp;TEXT(ROW()-4,"000"))</f>
        <v>0</v>
      </c>
      <c r="E43" s="18">
        <f>IF(D43="","",D43-TODAY())</f>
        <v>0</v>
      </c>
      <c r="J43" s="45">
        <f>IF(G43="","",IF(AND(H43="",I43=""),G43,IF(H43="",0,H43)+IF(I43="",0,I43)*0.5))</f>
        <v>0</v>
      </c>
      <c r="M43" s="25">
        <f>IF(A43="","",SUMIFS('Meal Plan'!$T$5:$T$504,'Meal Plan'!$S$5:$S$504,B43))</f>
        <v>0</v>
      </c>
      <c r="O43" s="25">
        <f>IF(L43="","",L43-IF(N43&lt;&gt;"",N43,IF(M43="",0,M43)))</f>
        <v>0</v>
      </c>
      <c r="P43" s="18">
        <f>IF(B43="","",COUNTIFS('Meal Plan'!$S$5:$S$504,B43))</f>
        <v>0</v>
      </c>
      <c r="V43" s="31">
        <f>IF(B43="","",IF(U43="Done","OK",IF(AND(E43&lt;&gt;"",E43&lt;0),"Check - date has passed",IF(AND(E43&lt;=7,P43=0),"Action - nothing on the menu yet",IF(AND(E43&lt;=3,S43&lt;&gt;"Yes"),"Due - shopping not done","OK")))))</f>
        <v>0</v>
      </c>
    </row>
    <row r="44" spans="1:22">
      <c r="A44" s="39">
        <f>IF(B44="","",EventPrefix&amp;TEXT(ROW()-4,"000"))</f>
        <v>0</v>
      </c>
      <c r="E44" s="18">
        <f>IF(D44="","",D44-TODAY())</f>
        <v>0</v>
      </c>
      <c r="J44" s="45">
        <f>IF(G44="","",IF(AND(H44="",I44=""),G44,IF(H44="",0,H44)+IF(I44="",0,I44)*0.5))</f>
        <v>0</v>
      </c>
      <c r="M44" s="25">
        <f>IF(A44="","",SUMIFS('Meal Plan'!$T$5:$T$504,'Meal Plan'!$S$5:$S$504,B44))</f>
        <v>0</v>
      </c>
      <c r="O44" s="25">
        <f>IF(L44="","",L44-IF(N44&lt;&gt;"",N44,IF(M44="",0,M44)))</f>
        <v>0</v>
      </c>
      <c r="P44" s="18">
        <f>IF(B44="","",COUNTIFS('Meal Plan'!$S$5:$S$504,B44))</f>
        <v>0</v>
      </c>
      <c r="V44" s="31">
        <f>IF(B44="","",IF(U44="Done","OK",IF(AND(E44&lt;&gt;"",E44&lt;0),"Check - date has passed",IF(AND(E44&lt;=7,P44=0),"Action - nothing on the menu yet",IF(AND(E44&lt;=3,S44&lt;&gt;"Yes"),"Due - shopping not done","OK")))))</f>
        <v>0</v>
      </c>
    </row>
  </sheetData>
  <sheetProtection password="EC7C" sheet="1" objects="1" scenarios="1" formatCells="0" formatColumns="0" formatRows="0" insertRows="0" insertHyperlinks="0" deleteRows="0" autoFilter="0"/>
  <autoFilter ref="A4:W44"/>
  <mergeCells count="13">
    <mergeCell ref="A1:T1"/>
    <mergeCell ref="U1:W1"/>
    <mergeCell ref="A2:W2"/>
    <mergeCell ref="A3:B3"/>
    <mergeCell ref="C3:D3"/>
    <mergeCell ref="E3:F3"/>
    <mergeCell ref="G3:H3"/>
    <mergeCell ref="I3:J3"/>
    <mergeCell ref="K3:L3"/>
    <mergeCell ref="M3:N3"/>
    <mergeCell ref="O3:P3"/>
    <mergeCell ref="Q3:R3"/>
    <mergeCell ref="S3:W3"/>
  </mergeCells>
  <conditionalFormatting sqref="E5:E44">
    <cfRule type="cellIs" dxfId="3" priority="1" operator="lessThan">
      <formula>0</formula>
    </cfRule>
    <cfRule type="cellIs" dxfId="0" priority="2" operator="between">
      <formula>0</formula>
      <formula>7</formula>
    </cfRule>
  </conditionalFormatting>
  <conditionalFormatting sqref="O5:O44">
    <cfRule type="cellIs" dxfId="2" priority="3" operator="lessThan">
      <formula>0</formula>
    </cfRule>
    <cfRule type="cellIs" dxfId="1" priority="4" operator="greaterThanOrEqual">
      <formula>0</formula>
    </cfRule>
  </conditionalFormatting>
  <conditionalFormatting sqref="U5:U44">
    <cfRule type="containsText" dxfId="1" priority="5" operator="containsText" text="Prepared">
      <formula>NOT(ISERROR(SEARCH("Prepared",U5)))</formula>
    </cfRule>
    <cfRule type="containsText" dxfId="1" priority="6" operator="containsText" text="Cooked">
      <formula>NOT(ISERROR(SEARCH("Cooked",U5)))</formula>
    </cfRule>
    <cfRule type="containsText" dxfId="1" priority="7" operator="containsText" text="Eaten">
      <formula>NOT(ISERROR(SEARCH("Eaten",U5)))</formula>
    </cfRule>
    <cfRule type="containsText" dxfId="1" priority="8" operator="containsText" text="Bought">
      <formula>NOT(ISERROR(SEARCH("Bought",U5)))</formula>
    </cfRule>
    <cfRule type="containsText" dxfId="1" priority="9" operator="containsText" text="Purchased">
      <formula>NOT(ISERROR(SEARCH("Purchased",U5)))</formula>
    </cfRule>
    <cfRule type="containsText" dxfId="1" priority="10" operator="containsText" text="Done">
      <formula>NOT(ISERROR(SEARCH("Done",U5)))</formula>
    </cfRule>
    <cfRule type="containsText" dxfId="1" priority="11" operator="containsText" text="Complete">
      <formula>NOT(ISERROR(SEARCH("Complete",U5)))</formula>
    </cfRule>
    <cfRule type="containsText" dxfId="1" priority="12" operator="containsText" text="In stock">
      <formula>NOT(ISERROR(SEARCH("In stock",U5)))</formula>
    </cfRule>
    <cfRule type="containsText" dxfId="1" priority="13" operator="containsText" text="Yes">
      <formula>NOT(ISERROR(SEARCH("Yes",U5)))</formula>
    </cfRule>
    <cfRule type="containsText" dxfId="4" priority="14" operator="containsText" text="Planned">
      <formula>NOT(ISERROR(SEARCH("Planned",U5)))</formula>
    </cfRule>
    <cfRule type="containsText" dxfId="4" priority="15" operator="containsText" text="Scheduled">
      <formula>NOT(ISERROR(SEARCH("Scheduled",U5)))</formula>
    </cfRule>
    <cfRule type="containsText" dxfId="4" priority="16" operator="containsText" text="Shopping">
      <formula>NOT(ISERROR(SEARCH("Shopping",U5)))</formula>
    </cfRule>
    <cfRule type="containsText" dxfId="4" priority="17" operator="containsText" text="On the list">
      <formula>NOT(ISERROR(SEARCH("On the list",U5)))</formula>
    </cfRule>
    <cfRule type="containsText" dxfId="4" priority="18" operator="containsText" text="Prepping">
      <formula>NOT(ISERROR(SEARCH("Prepping",U5)))</formula>
    </cfRule>
    <cfRule type="containsText" dxfId="4" priority="19" operator="containsText" text="Frozen">
      <formula>NOT(ISERROR(SEARCH("Frozen",U5)))</formula>
    </cfRule>
    <cfRule type="containsText" dxfId="0" priority="20" operator="containsText" text="To do">
      <formula>NOT(ISERROR(SEARCH("To do",U5)))</formula>
    </cfRule>
    <cfRule type="containsText" dxfId="0" priority="21" operator="containsText" text="Not started">
      <formula>NOT(ISERROR(SEARCH("Not started",U5)))</formula>
    </cfRule>
    <cfRule type="containsText" dxfId="0" priority="22" operator="containsText" text="Low stock">
      <formula>NOT(ISERROR(SEARCH("Low stock",U5)))</formula>
    </cfRule>
    <cfRule type="containsText" dxfId="0" priority="23" operator="containsText" text="Use soon">
      <formula>NOT(ISERROR(SEARCH("Use soon",U5)))</formula>
    </cfRule>
    <cfRule type="containsText" dxfId="0" priority="24" operator="containsText" text="Defrosting">
      <formula>NOT(ISERROR(SEARCH("Defrosting",U5)))</formula>
    </cfRule>
    <cfRule type="containsText" dxfId="0" priority="25" operator="containsText" text="Substituted">
      <formula>NOT(ISERROR(SEARCH("Substituted",U5)))</formula>
    </cfRule>
    <cfRule type="containsText" dxfId="2" priority="26" operator="containsText" text="Out of stock">
      <formula>NOT(ISERROR(SEARCH("Out of stock",U5)))</formula>
    </cfRule>
    <cfRule type="containsText" dxfId="2" priority="27" operator="containsText" text="Expired">
      <formula>NOT(ISERROR(SEARCH("Expired",U5)))</formula>
    </cfRule>
    <cfRule type="containsText" dxfId="2" priority="28" operator="containsText" text="Skipped">
      <formula>NOT(ISERROR(SEARCH("Skipped",U5)))</formula>
    </cfRule>
    <cfRule type="containsText" dxfId="2" priority="29" operator="containsText" text="Binned">
      <formula>NOT(ISERROR(SEARCH("Binned",U5)))</formula>
    </cfRule>
    <cfRule type="containsText" dxfId="2" priority="30" operator="containsText" text="Wasted">
      <formula>NOT(ISERROR(SEARCH("Wasted",U5)))</formula>
    </cfRule>
    <cfRule type="containsText" dxfId="2" priority="31" operator="containsText" text="Cancelled">
      <formula>NOT(ISERROR(SEARCH("Cancelled",U5)))</formula>
    </cfRule>
    <cfRule type="containsText" dxfId="3" priority="32" operator="containsText" text="Archived">
      <formula>NOT(ISERROR(SEARCH("Archived",U5)))</formula>
    </cfRule>
    <cfRule type="containsText" dxfId="3" priority="33" operator="containsText" text="Not needed">
      <formula>NOT(ISERROR(SEARCH("Not needed",U5)))</formula>
    </cfRule>
  </conditionalFormatting>
  <conditionalFormatting sqref="V5:V44">
    <cfRule type="beginsWith" dxfId="1" priority="34" operator="beginsWith" text="OK">
      <formula>LEFT(V5,2)="OK"</formula>
    </cfRule>
    <cfRule type="containsText" dxfId="2" priority="35" operator="containsText" text="Overdue">
      <formula>NOT(ISERROR(SEARCH("Overdue",V5)))</formula>
    </cfRule>
    <cfRule type="containsText" dxfId="2" priority="36" operator="containsText" text="Late">
      <formula>NOT(ISERROR(SEARCH("Late",V5)))</formula>
    </cfRule>
    <cfRule type="containsText" dxfId="2" priority="37" operator="containsText" text="Missing">
      <formula>NOT(ISERROR(SEARCH("Missing",V5)))</formula>
    </cfRule>
    <cfRule type="containsText" dxfId="2" priority="38" operator="containsText" text="Conflict">
      <formula>NOT(ISERROR(SEARCH("Conflict",V5)))</formula>
    </cfRule>
    <cfRule type="containsText" dxfId="2" priority="39" operator="containsText" text="Expired">
      <formula>NOT(ISERROR(SEARCH("Expired",V5)))</formula>
    </cfRule>
    <cfRule type="containsText" dxfId="2" priority="40" operator="containsText" text="Duplicate">
      <formula>NOT(ISERROR(SEARCH("Duplicate",V5)))</formula>
    </cfRule>
    <cfRule type="containsText" dxfId="0" priority="41" operator="containsText" text="Action">
      <formula>NOT(ISERROR(SEARCH("Action",V5)))</formula>
    </cfRule>
    <cfRule type="containsText" dxfId="0" priority="42" operator="containsText" text="Due">
      <formula>NOT(ISERROR(SEARCH("Due",V5)))</formula>
    </cfRule>
    <cfRule type="containsText" dxfId="0" priority="43" operator="containsText" text="Check">
      <formula>NOT(ISERROR(SEARCH("Check",V5)))</formula>
    </cfRule>
    <cfRule type="containsText" dxfId="0" priority="44" operator="containsText" text="Add">
      <formula>NOT(ISERROR(SEARCH("Add",V5)))</formula>
    </cfRule>
    <cfRule type="containsText" dxfId="4" priority="45" operator="containsText" text="Today">
      <formula>NOT(ISERROR(SEARCH("Today",V5)))</formula>
    </cfRule>
    <cfRule type="containsText" dxfId="4" priority="46" operator="containsText" text="Upcoming">
      <formula>NOT(ISERROR(SEARCH("Upcoming",V5)))</formula>
    </cfRule>
  </conditionalFormatting>
  <dataValidations count="11">
    <dataValidation type="list" allowBlank="1" showInputMessage="1" showErrorMessage="1" sqref="C5:C44">
      <formula1>EventTypeList</formula1>
    </dataValidation>
    <dataValidation type="date" allowBlank="1" showInputMessage="1" showErrorMessage="1" errorTitle="Check the date" error="Enter a real date between 2000 and 2100." sqref="D5:D44">
      <formula1>36526</formula1>
      <formula2>73415</formula2>
    </dataValidation>
    <dataValidation type="whole" allowBlank="1" showInputMessage="1" showErrorMessage="1" errorTitle="Check the value" error="Enter a number between 0 and 500." promptTitle="Guests" prompt="Including the household - it is the number you cook for." sqref="G5:G44">
      <formula1>0</formula1>
      <formula2>500</formula2>
    </dataValidation>
    <dataValidation type="whole" allowBlank="1" showInputMessage="1" showErrorMessage="1" errorTitle="Check the value" error="Enter a number between 0 and 500." sqref="H5:H44">
      <formula1>0</formula1>
      <formula2>500</formula2>
    </dataValidation>
    <dataValidation type="whole" allowBlank="1" showInputMessage="1" showErrorMessage="1" errorTitle="Check the value" error="Enter a number between 0 and 500." sqref="I5:I44">
      <formula1>0</formula1>
      <formula2>500</formula2>
    </dataValidation>
    <dataValidation type="decimal" allowBlank="1" showInputMessage="1" showErrorMessage="1" errorTitle="Check the value" error="Enter a number between 0 and 100000." sqref="L5:L44">
      <formula1>0</formula1>
      <formula2>100000</formula2>
    </dataValidation>
    <dataValidation type="decimal" allowBlank="1" showInputMessage="1" showErrorMessage="1" errorTitle="Check the value" error="Enter a number between 0 and 100000." sqref="N5:N44">
      <formula1>0</formula1>
      <formula2>100000</formula2>
    </dataValidation>
    <dataValidation type="date" allowBlank="1" showInputMessage="1" showErrorMessage="1" errorTitle="Check the date" error="Enter a real date between 2000 and 2100." promptTitle="Start cooking" prompt="Work backwards from the meal - most of the stress is in the timetable, not the food." sqref="R5:R44">
      <formula1>36526</formula1>
      <formula2>73415</formula2>
    </dataValidation>
    <dataValidation type="list" allowBlank="1" showInputMessage="1" showErrorMessage="1" sqref="S5:S44">
      <formula1>YesNoList</formula1>
    </dataValidation>
    <dataValidation type="list" allowBlank="1" showInputMessage="1" showErrorMessage="1" sqref="T5:T44">
      <formula1>MemberNames</formula1>
    </dataValidation>
    <dataValidation type="list" allowBlank="1" showInputMessage="1" showErrorMessage="1" sqref="U5:U44">
      <formula1>EventStatusList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&amp;L&amp;"Calibri,Bold"&amp;12&amp;C&amp;"Calibri,Bold"&amp;11Events&amp;R&amp;"Calibri,Italic"&amp;9Automated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2F5E43"/>
    <pageSetUpPr fitToPage="1"/>
  </sheetPr>
  <dimension ref="A1:R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30.7109375" style="32" customWidth="1"/>
    <col min="3" max="3" width="14.7109375" style="32" customWidth="1"/>
    <col min="4" max="4" width="24.7109375" style="32" customWidth="1"/>
    <col min="5" max="5" width="10.7109375" style="38" customWidth="1"/>
    <col min="6" max="6" width="12.7109375" style="32" customWidth="1"/>
    <col min="7" max="7" width="11.7109375" style="45" hidden="1" customWidth="1"/>
    <col min="8" max="8" width="11.7109375" style="38" customWidth="1"/>
    <col min="9" max="9" width="11.7109375" style="45" customWidth="1"/>
    <col min="10" max="10" width="10.7109375" style="50" customWidth="1"/>
    <col min="11" max="11" width="11.7109375" style="46" customWidth="1"/>
    <col min="12" max="12" width="26.7109375" style="43" customWidth="1"/>
    <col min="13" max="13" width="11.7109375" style="15" customWidth="1"/>
    <col min="14" max="14" width="11.7109375" style="15" customWidth="1"/>
    <col min="15" max="15" width="14.7109375" style="32" customWidth="1"/>
    <col min="16" max="16" width="12.7109375" style="42" customWidth="1"/>
    <col min="17" max="17" width="24.7109375" style="31" customWidth="1"/>
    <col min="18" max="18" width="26.7109375" style="43" customWidth="1"/>
    <col min="1" max="1" width="12.7109375" customWidth="1"/>
    <col min="2" max="2" width="11.7109375" customWidth="1"/>
    <col min="3" max="3" width="11.7109375" customWidth="1"/>
    <col min="4" max="4" width="16.7109375" customWidth="1"/>
    <col min="5" max="5" width="14.7109375" customWidth="1"/>
    <col min="6" max="6" width="11.7109375" customWidth="1"/>
  </cols>
  <sheetData>
    <row r="1" spans="1:18" ht="34" customHeight="1">
      <c r="A1" s="2" t="s">
        <v>1625</v>
      </c>
      <c r="B1" s="2"/>
      <c r="C1" s="2"/>
      <c r="D1" s="2"/>
      <c r="E1" s="2"/>
      <c r="F1" s="2"/>
      <c r="G1" s="2"/>
      <c r="H1" s="2"/>
      <c r="I1" s="2"/>
      <c r="J1" s="2"/>
      <c r="K1" s="2"/>
      <c r="L1" s="2"/>
      <c r="M1" s="2"/>
      <c r="N1" s="2"/>
      <c r="O1" s="2"/>
      <c r="P1" s="3" t="s">
        <v>1</v>
      </c>
      <c r="Q1" s="3"/>
      <c r="R1" s="3"/>
    </row>
    <row r="2" spans="1:18" ht="18" customHeight="1">
      <c r="A2" s="4" t="s">
        <v>1626</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704</v>
      </c>
      <c r="N3" s="5"/>
      <c r="O3" s="5" t="s">
        <v>705</v>
      </c>
      <c r="P3" s="5"/>
      <c r="Q3" s="5" t="s">
        <v>706</v>
      </c>
      <c r="R3" s="5"/>
    </row>
    <row r="4" spans="1:18" ht="30" customHeight="1">
      <c r="A4" s="8" t="s">
        <v>708</v>
      </c>
      <c r="B4" s="8" t="s">
        <v>1627</v>
      </c>
      <c r="C4" s="9" t="s">
        <v>1628</v>
      </c>
      <c r="D4" s="9" t="s">
        <v>1629</v>
      </c>
      <c r="E4" s="9" t="s">
        <v>1257</v>
      </c>
      <c r="F4" s="9" t="s">
        <v>1630</v>
      </c>
      <c r="G4" s="9" t="s">
        <v>1631</v>
      </c>
      <c r="H4" s="9" t="s">
        <v>661</v>
      </c>
      <c r="I4" s="9" t="s">
        <v>1632</v>
      </c>
      <c r="J4" s="9" t="s">
        <v>1633</v>
      </c>
      <c r="K4" s="9" t="s">
        <v>1634</v>
      </c>
      <c r="L4" s="9" t="s">
        <v>1635</v>
      </c>
      <c r="M4" s="9" t="s">
        <v>1636</v>
      </c>
      <c r="N4" s="9" t="s">
        <v>1637</v>
      </c>
      <c r="O4" s="9" t="s">
        <v>1638</v>
      </c>
      <c r="P4" s="9" t="s">
        <v>728</v>
      </c>
      <c r="Q4" s="9" t="s">
        <v>729</v>
      </c>
      <c r="R4" s="9" t="s">
        <v>730</v>
      </c>
    </row>
    <row r="5" spans="1:18">
      <c r="A5" s="39">
        <f>IF(B5="","","GL-"&amp;TEXT(ROW()-4,"000"))</f>
        <v>0</v>
      </c>
      <c r="B5" s="32" t="s">
        <v>1639</v>
      </c>
      <c r="C5" s="32" t="s">
        <v>554</v>
      </c>
      <c r="D5" s="32" t="s">
        <v>271</v>
      </c>
      <c r="E5" s="38">
        <v>18</v>
      </c>
      <c r="F5" s="32" t="s">
        <v>648</v>
      </c>
      <c r="G5" s="45">
        <f>IF(D5="","",IFERROR(IF(D5="Home cooked meals a week",COUNTIFS('Meal Plan'!$B$5:$B$504,"&gt;="&amp;TODAY()-7,'Meal Plan'!$B$5:$B$504,"&lt;="&amp;TODAY(),'Meal Plan'!$AD$5:$AD$504,"Yes"),IF(D5="Takeaways a month",COUNTIFS('Grocery Spending'!$E$5:$E$404,TEXT(TODAY(),"yyyy-mm"),'Grocery Spending'!$G$5:$G$404,"Takeaway"),IF(D5="Grocery spend this month",SUMIFS('Grocery Spending'!$K$5:$K$404,'Grocery Spending'!$E$5:$E$404,TEXT(TODAY(),"yyyy-mm")),IF(D5="New recipes this month",COUNTIFS(Recipes!$BE$5:$BE$204,"&gt;="&amp;DATE(YEAR(TODAY()),MONTH(TODAY()),1)),IF(D5="Food waste this month",SUMIFS('Food Waste'!$L$5:$L$154,'Food Waste'!$D$5:$D$154,TEXT(TODAY(),"yyyy-mm")),IF(D5="Packed lunches a week",COUNTIFS('Meal Plan'!$B$5:$B$504,"&gt;="&amp;TODAY()-7,'Meal Plan'!$F$5:$F$504,"Lunch",'Meal Plan'!$AD$5:$AD$504,"Yes"),IF(D5="Leftovers eaten",COUNTIFS(Leftovers!$Q$5:$Q$124,"Eaten"),IF(D5="Meals prepped ahead",COUNTIFS('Meal Prep'!$W$5:$W$124,"Done"),"")))))))),""))</f>
        <v>0</v>
      </c>
      <c r="I5" s="45">
        <f>IF(H5&lt;&gt;"",H5,G5)</f>
        <v>0</v>
      </c>
      <c r="J5" s="50">
        <f>IF(OR(E5="",E5=0,I5=""),"",IF(F5="Stay under",IF(I5=0,1,MIN(2,E5/I5)),MIN(2,I5/E5)))</f>
        <v>0</v>
      </c>
      <c r="K5" s="46">
        <f>IF(J5="","",IF(J5&gt;=1,"Yes","No"))</f>
        <v>0</v>
      </c>
      <c r="L5" s="43" t="s">
        <v>1640</v>
      </c>
      <c r="M5" s="15">
        <v>46246</v>
      </c>
      <c r="N5" s="15">
        <v>46313</v>
      </c>
      <c r="O5" s="32" t="s">
        <v>206</v>
      </c>
      <c r="P5" s="42" t="s">
        <v>475</v>
      </c>
      <c r="Q5" s="31">
        <f>IF(B5="","",IF(P5="Done","OK",IF(E5="","Add - no target set",IF(AND(N5&lt;&gt;"",N5&lt;TODAY()),"Due - time to review this",IF(K5="No","Check - behind target","OK")))))</f>
        <v>0</v>
      </c>
      <c r="R5" s="43" t="s">
        <v>157</v>
      </c>
    </row>
    <row r="6" spans="1:18">
      <c r="A6" s="39">
        <f>IF(B6="","","GL-"&amp;TEXT(ROW()-4,"000"))</f>
        <v>0</v>
      </c>
      <c r="B6" s="32" t="s">
        <v>1641</v>
      </c>
      <c r="C6" s="32" t="s">
        <v>141</v>
      </c>
      <c r="D6" s="32" t="s">
        <v>656</v>
      </c>
      <c r="E6" s="38">
        <v>780</v>
      </c>
      <c r="F6" s="32" t="s">
        <v>649</v>
      </c>
      <c r="G6" s="45">
        <f>IF(D6="","",IFERROR(IF(D6="Home cooked meals a week",COUNTIFS('Meal Plan'!$B$5:$B$504,"&gt;="&amp;TODAY()-7,'Meal Plan'!$B$5:$B$504,"&lt;="&amp;TODAY(),'Meal Plan'!$AD$5:$AD$504,"Yes"),IF(D6="Takeaways a month",COUNTIFS('Grocery Spending'!$E$5:$E$404,TEXT(TODAY(),"yyyy-mm"),'Grocery Spending'!$G$5:$G$404,"Takeaway"),IF(D6="Grocery spend this month",SUMIFS('Grocery Spending'!$K$5:$K$404,'Grocery Spending'!$E$5:$E$404,TEXT(TODAY(),"yyyy-mm")),IF(D6="New recipes this month",COUNTIFS(Recipes!$BE$5:$BE$204,"&gt;="&amp;DATE(YEAR(TODAY()),MONTH(TODAY()),1)),IF(D6="Food waste this month",SUMIFS('Food Waste'!$L$5:$L$154,'Food Waste'!$D$5:$D$154,TEXT(TODAY(),"yyyy-mm")),IF(D6="Packed lunches a week",COUNTIFS('Meal Plan'!$B$5:$B$504,"&gt;="&amp;TODAY()-7,'Meal Plan'!$F$5:$F$504,"Lunch",'Meal Plan'!$AD$5:$AD$504,"Yes"),IF(D6="Leftovers eaten",COUNTIFS(Leftovers!$Q$5:$Q$124,"Eaten"),IF(D6="Meals prepped ahead",COUNTIFS('Meal Prep'!$W$5:$W$124,"Done"),"")))))))),""))</f>
        <v>0</v>
      </c>
      <c r="I6" s="45">
        <f>IF(H6&lt;&gt;"",H6,G6)</f>
        <v>0</v>
      </c>
      <c r="J6" s="50">
        <f>IF(OR(E6="",E6=0,I6=""),"",IF(F6="Stay under",IF(I6=0,1,MIN(2,E6/I6)),MIN(2,I6/E6)))</f>
        <v>0</v>
      </c>
      <c r="K6" s="46">
        <f>IF(J6="","",IF(J6&gt;=1,"Yes","No"))</f>
        <v>0</v>
      </c>
      <c r="L6" s="43" t="s">
        <v>1642</v>
      </c>
      <c r="M6" s="15">
        <v>46216</v>
      </c>
      <c r="N6" s="15">
        <v>46320</v>
      </c>
      <c r="O6" s="32" t="s">
        <v>206</v>
      </c>
      <c r="P6" s="42" t="s">
        <v>560</v>
      </c>
      <c r="Q6" s="31">
        <f>IF(B6="","",IF(P6="Done","OK",IF(E6="","Add - no target set",IF(AND(N6&lt;&gt;"",N6&lt;TODAY()),"Due - time to review this",IF(K6="No","Check - behind target","OK")))))</f>
        <v>0</v>
      </c>
      <c r="R6" s="43" t="s">
        <v>157</v>
      </c>
    </row>
    <row r="7" spans="1:18">
      <c r="A7" s="39">
        <f>IF(B7="","","GL-"&amp;TEXT(ROW()-4,"000"))</f>
        <v>0</v>
      </c>
      <c r="B7" s="32" t="s">
        <v>1643</v>
      </c>
      <c r="C7" s="32" t="s">
        <v>555</v>
      </c>
      <c r="D7" s="32" t="s">
        <v>657</v>
      </c>
      <c r="E7" s="38">
        <v>2</v>
      </c>
      <c r="F7" s="32" t="s">
        <v>648</v>
      </c>
      <c r="G7" s="45">
        <f>IF(D7="","",IFERROR(IF(D7="Home cooked meals a week",COUNTIFS('Meal Plan'!$B$5:$B$504,"&gt;="&amp;TODAY()-7,'Meal Plan'!$B$5:$B$504,"&lt;="&amp;TODAY(),'Meal Plan'!$AD$5:$AD$504,"Yes"),IF(D7="Takeaways a month",COUNTIFS('Grocery Spending'!$E$5:$E$404,TEXT(TODAY(),"yyyy-mm"),'Grocery Spending'!$G$5:$G$404,"Takeaway"),IF(D7="Grocery spend this month",SUMIFS('Grocery Spending'!$K$5:$K$404,'Grocery Spending'!$E$5:$E$404,TEXT(TODAY(),"yyyy-mm")),IF(D7="New recipes this month",COUNTIFS(Recipes!$BE$5:$BE$204,"&gt;="&amp;DATE(YEAR(TODAY()),MONTH(TODAY()),1)),IF(D7="Food waste this month",SUMIFS('Food Waste'!$L$5:$L$154,'Food Waste'!$D$5:$D$154,TEXT(TODAY(),"yyyy-mm")),IF(D7="Packed lunches a week",COUNTIFS('Meal Plan'!$B$5:$B$504,"&gt;="&amp;TODAY()-7,'Meal Plan'!$F$5:$F$504,"Lunch",'Meal Plan'!$AD$5:$AD$504,"Yes"),IF(D7="Leftovers eaten",COUNTIFS(Leftovers!$Q$5:$Q$124,"Eaten"),IF(D7="Meals prepped ahead",COUNTIFS('Meal Prep'!$W$5:$W$124,"Done"),"")))))))),""))</f>
        <v>0</v>
      </c>
      <c r="I7" s="45">
        <f>IF(H7&lt;&gt;"",H7,G7)</f>
        <v>0</v>
      </c>
      <c r="J7" s="50">
        <f>IF(OR(E7="",E7=0,I7=""),"",IF(F7="Stay under",IF(I7=0,1,MIN(2,E7/I7)),MIN(2,I7/E7)))</f>
        <v>0</v>
      </c>
      <c r="K7" s="46">
        <f>IF(J7="","",IF(J7&gt;=1,"Yes","No"))</f>
        <v>0</v>
      </c>
      <c r="L7" s="43" t="s">
        <v>1644</v>
      </c>
      <c r="M7" s="15">
        <v>46186</v>
      </c>
      <c r="N7" s="15">
        <v>46327</v>
      </c>
      <c r="O7" s="32" t="s">
        <v>742</v>
      </c>
      <c r="P7" s="42" t="s">
        <v>475</v>
      </c>
      <c r="Q7" s="31">
        <f>IF(B7="","",IF(P7="Done","OK",IF(E7="","Add - no target set",IF(AND(N7&lt;&gt;"",N7&lt;TODAY()),"Due - time to review this",IF(K7="No","Check - behind target","OK")))))</f>
        <v>0</v>
      </c>
      <c r="R7" s="43" t="s">
        <v>157</v>
      </c>
    </row>
    <row r="8" spans="1:18">
      <c r="A8" s="39">
        <f>IF(B8="","","GL-"&amp;TEXT(ROW()-4,"000"))</f>
        <v>0</v>
      </c>
      <c r="B8" s="32" t="s">
        <v>1645</v>
      </c>
      <c r="C8" s="32" t="s">
        <v>553</v>
      </c>
      <c r="D8" s="32" t="s">
        <v>658</v>
      </c>
      <c r="E8" s="38">
        <v>15</v>
      </c>
      <c r="F8" s="32" t="s">
        <v>649</v>
      </c>
      <c r="G8" s="45">
        <f>IF(D8="","",IFERROR(IF(D8="Home cooked meals a week",COUNTIFS('Meal Plan'!$B$5:$B$504,"&gt;="&amp;TODAY()-7,'Meal Plan'!$B$5:$B$504,"&lt;="&amp;TODAY(),'Meal Plan'!$AD$5:$AD$504,"Yes"),IF(D8="Takeaways a month",COUNTIFS('Grocery Spending'!$E$5:$E$404,TEXT(TODAY(),"yyyy-mm"),'Grocery Spending'!$G$5:$G$404,"Takeaway"),IF(D8="Grocery spend this month",SUMIFS('Grocery Spending'!$K$5:$K$404,'Grocery Spending'!$E$5:$E$404,TEXT(TODAY(),"yyyy-mm")),IF(D8="New recipes this month",COUNTIFS(Recipes!$BE$5:$BE$204,"&gt;="&amp;DATE(YEAR(TODAY()),MONTH(TODAY()),1)),IF(D8="Food waste this month",SUMIFS('Food Waste'!$L$5:$L$154,'Food Waste'!$D$5:$D$154,TEXT(TODAY(),"yyyy-mm")),IF(D8="Packed lunches a week",COUNTIFS('Meal Plan'!$B$5:$B$504,"&gt;="&amp;TODAY()-7,'Meal Plan'!$F$5:$F$504,"Lunch",'Meal Plan'!$AD$5:$AD$504,"Yes"),IF(D8="Leftovers eaten",COUNTIFS(Leftovers!$Q$5:$Q$124,"Eaten"),IF(D8="Meals prepped ahead",COUNTIFS('Meal Prep'!$W$5:$W$124,"Done"),"")))))))),""))</f>
        <v>0</v>
      </c>
      <c r="I8" s="45">
        <f>IF(H8&lt;&gt;"",H8,G8)</f>
        <v>0</v>
      </c>
      <c r="J8" s="50">
        <f>IF(OR(E8="",E8=0,I8=""),"",IF(F8="Stay under",IF(I8=0,1,MIN(2,E8/I8)),MIN(2,I8/E8)))</f>
        <v>0</v>
      </c>
      <c r="K8" s="46">
        <f>IF(J8="","",IF(J8&gt;=1,"Yes","No"))</f>
        <v>0</v>
      </c>
      <c r="L8" s="43" t="s">
        <v>1646</v>
      </c>
      <c r="M8" s="15">
        <v>46261</v>
      </c>
      <c r="N8" s="15">
        <v>46304</v>
      </c>
      <c r="O8" s="32" t="s">
        <v>736</v>
      </c>
      <c r="P8" s="42" t="s">
        <v>561</v>
      </c>
      <c r="Q8" s="31">
        <f>IF(B8="","",IF(P8="Done","OK",IF(E8="","Add - no target set",IF(AND(N8&lt;&gt;"",N8&lt;TODAY()),"Due - time to review this",IF(K8="No","Check - behind target","OK")))))</f>
        <v>0</v>
      </c>
      <c r="R8" s="43" t="s">
        <v>1647</v>
      </c>
    </row>
    <row r="9" spans="1:18">
      <c r="A9" s="39">
        <f>IF(B9="","","GL-"&amp;TEXT(ROW()-4,"000"))</f>
        <v>0</v>
      </c>
      <c r="B9" s="32" t="s">
        <v>1648</v>
      </c>
      <c r="C9" s="32" t="s">
        <v>141</v>
      </c>
      <c r="D9" s="32" t="s">
        <v>655</v>
      </c>
      <c r="E9" s="38">
        <v>4</v>
      </c>
      <c r="F9" s="32" t="s">
        <v>649</v>
      </c>
      <c r="G9" s="45">
        <f>IF(D9="","",IFERROR(IF(D9="Home cooked meals a week",COUNTIFS('Meal Plan'!$B$5:$B$504,"&gt;="&amp;TODAY()-7,'Meal Plan'!$B$5:$B$504,"&lt;="&amp;TODAY(),'Meal Plan'!$AD$5:$AD$504,"Yes"),IF(D9="Takeaways a month",COUNTIFS('Grocery Spending'!$E$5:$E$404,TEXT(TODAY(),"yyyy-mm"),'Grocery Spending'!$G$5:$G$404,"Takeaway"),IF(D9="Grocery spend this month",SUMIFS('Grocery Spending'!$K$5:$K$404,'Grocery Spending'!$E$5:$E$404,TEXT(TODAY(),"yyyy-mm")),IF(D9="New recipes this month",COUNTIFS(Recipes!$BE$5:$BE$204,"&gt;="&amp;DATE(YEAR(TODAY()),MONTH(TODAY()),1)),IF(D9="Food waste this month",SUMIFS('Food Waste'!$L$5:$L$154,'Food Waste'!$D$5:$D$154,TEXT(TODAY(),"yyyy-mm")),IF(D9="Packed lunches a week",COUNTIFS('Meal Plan'!$B$5:$B$504,"&gt;="&amp;TODAY()-7,'Meal Plan'!$F$5:$F$504,"Lunch",'Meal Plan'!$AD$5:$AD$504,"Yes"),IF(D9="Leftovers eaten",COUNTIFS(Leftovers!$Q$5:$Q$124,"Eaten"),IF(D9="Meals prepped ahead",COUNTIFS('Meal Prep'!$W$5:$W$124,"Done"),"")))))))),""))</f>
        <v>0</v>
      </c>
      <c r="I9" s="45">
        <f>IF(H9&lt;&gt;"",H9,G9)</f>
        <v>0</v>
      </c>
      <c r="J9" s="50">
        <f>IF(OR(E9="",E9=0,I9=""),"",IF(F9="Stay under",IF(I9=0,1,MIN(2,E9/I9)),MIN(2,I9/E9)))</f>
        <v>0</v>
      </c>
      <c r="K9" s="46">
        <f>IF(J9="","",IF(J9&gt;=1,"Yes","No"))</f>
        <v>0</v>
      </c>
      <c r="L9" s="43" t="s">
        <v>1649</v>
      </c>
      <c r="M9" s="15">
        <v>46276</v>
      </c>
      <c r="N9" s="15">
        <v>46316</v>
      </c>
      <c r="O9" s="32" t="s">
        <v>736</v>
      </c>
      <c r="P9" s="42" t="s">
        <v>560</v>
      </c>
      <c r="Q9" s="31">
        <f>IF(B9="","",IF(P9="Done","OK",IF(E9="","Add - no target set",IF(AND(N9&lt;&gt;"",N9&lt;TODAY()),"Due - time to review this",IF(K9="No","Check - behind target","OK")))))</f>
        <v>0</v>
      </c>
      <c r="R9" s="43" t="s">
        <v>157</v>
      </c>
    </row>
    <row r="10" spans="1:18">
      <c r="A10" s="39">
        <f>IF(B10="","","GL-"&amp;TEXT(ROW()-4,"000"))</f>
        <v>0</v>
      </c>
      <c r="B10" s="32" t="s">
        <v>1650</v>
      </c>
      <c r="C10" s="32" t="s">
        <v>552</v>
      </c>
      <c r="D10" s="32" t="s">
        <v>274</v>
      </c>
      <c r="E10" s="38">
        <v>5</v>
      </c>
      <c r="F10" s="32" t="s">
        <v>648</v>
      </c>
      <c r="G10" s="45">
        <f>IF(D10="","",IFERROR(IF(D10="Home cooked meals a week",COUNTIFS('Meal Plan'!$B$5:$B$504,"&gt;="&amp;TODAY()-7,'Meal Plan'!$B$5:$B$504,"&lt;="&amp;TODAY(),'Meal Plan'!$AD$5:$AD$504,"Yes"),IF(D10="Takeaways a month",COUNTIFS('Grocery Spending'!$E$5:$E$404,TEXT(TODAY(),"yyyy-mm"),'Grocery Spending'!$G$5:$G$404,"Takeaway"),IF(D10="Grocery spend this month",SUMIFS('Grocery Spending'!$K$5:$K$404,'Grocery Spending'!$E$5:$E$404,TEXT(TODAY(),"yyyy-mm")),IF(D10="New recipes this month",COUNTIFS(Recipes!$BE$5:$BE$204,"&gt;="&amp;DATE(YEAR(TODAY()),MONTH(TODAY()),1)),IF(D10="Food waste this month",SUMIFS('Food Waste'!$L$5:$L$154,'Food Waste'!$D$5:$D$154,TEXT(TODAY(),"yyyy-mm")),IF(D10="Packed lunches a week",COUNTIFS('Meal Plan'!$B$5:$B$504,"&gt;="&amp;TODAY()-7,'Meal Plan'!$F$5:$F$504,"Lunch",'Meal Plan'!$AD$5:$AD$504,"Yes"),IF(D10="Leftovers eaten",COUNTIFS(Leftovers!$Q$5:$Q$124,"Eaten"),IF(D10="Meals prepped ahead",COUNTIFS('Meal Prep'!$W$5:$W$124,"Done"),"")))))))),""))</f>
        <v>0</v>
      </c>
      <c r="I10" s="45">
        <f>IF(H10&lt;&gt;"",H10,G10)</f>
        <v>0</v>
      </c>
      <c r="J10" s="50">
        <f>IF(OR(E10="",E10=0,I10=""),"",IF(F10="Stay under",IF(I10=0,1,MIN(2,E10/I10)),MIN(2,I10/E10)))</f>
        <v>0</v>
      </c>
      <c r="K10" s="46">
        <f>IF(J10="","",IF(J10&gt;=1,"Yes","No"))</f>
        <v>0</v>
      </c>
      <c r="L10" s="43" t="s">
        <v>1651</v>
      </c>
      <c r="M10" s="15">
        <v>46286</v>
      </c>
      <c r="N10" s="15">
        <v>46318</v>
      </c>
      <c r="O10" s="32" t="s">
        <v>742</v>
      </c>
      <c r="P10" s="42" t="s">
        <v>475</v>
      </c>
      <c r="Q10" s="31">
        <f>IF(B10="","",IF(P10="Done","OK",IF(E10="","Add - no target set",IF(AND(N10&lt;&gt;"",N10&lt;TODAY()),"Due - time to review this",IF(K10="No","Check - behind target","OK")))))</f>
        <v>0</v>
      </c>
      <c r="R10" s="43" t="s">
        <v>157</v>
      </c>
    </row>
    <row r="11" spans="1:18">
      <c r="A11" s="39">
        <f>IF(B11="","","GL-"&amp;TEXT(ROW()-4,"000"))</f>
        <v>0</v>
      </c>
      <c r="G11" s="45">
        <f>IF(D11="","",IFERROR(IF(D11="Home cooked meals a week",COUNTIFS('Meal Plan'!$B$5:$B$504,"&gt;="&amp;TODAY()-7,'Meal Plan'!$B$5:$B$504,"&lt;="&amp;TODAY(),'Meal Plan'!$AD$5:$AD$504,"Yes"),IF(D11="Takeaways a month",COUNTIFS('Grocery Spending'!$E$5:$E$404,TEXT(TODAY(),"yyyy-mm"),'Grocery Spending'!$G$5:$G$404,"Takeaway"),IF(D11="Grocery spend this month",SUMIFS('Grocery Spending'!$K$5:$K$404,'Grocery Spending'!$E$5:$E$404,TEXT(TODAY(),"yyyy-mm")),IF(D11="New recipes this month",COUNTIFS(Recipes!$BE$5:$BE$204,"&gt;="&amp;DATE(YEAR(TODAY()),MONTH(TODAY()),1)),IF(D11="Food waste this month",SUMIFS('Food Waste'!$L$5:$L$154,'Food Waste'!$D$5:$D$154,TEXT(TODAY(),"yyyy-mm")),IF(D11="Packed lunches a week",COUNTIFS('Meal Plan'!$B$5:$B$504,"&gt;="&amp;TODAY()-7,'Meal Plan'!$F$5:$F$504,"Lunch",'Meal Plan'!$AD$5:$AD$504,"Yes"),IF(D11="Leftovers eaten",COUNTIFS(Leftovers!$Q$5:$Q$124,"Eaten"),IF(D11="Meals prepped ahead",COUNTIFS('Meal Prep'!$W$5:$W$124,"Done"),"")))))))),""))</f>
        <v>0</v>
      </c>
      <c r="I11" s="45">
        <f>IF(H11&lt;&gt;"",H11,G11)</f>
        <v>0</v>
      </c>
      <c r="J11" s="50">
        <f>IF(OR(E11="",E11=0,I11=""),"",IF(F11="Stay under",IF(I11=0,1,MIN(2,E11/I11)),MIN(2,I11/E11)))</f>
        <v>0</v>
      </c>
      <c r="K11" s="46">
        <f>IF(J11="","",IF(J11&gt;=1,"Yes","No"))</f>
        <v>0</v>
      </c>
      <c r="Q11" s="31">
        <f>IF(B11="","",IF(P11="Done","OK",IF(E11="","Add - no target set",IF(AND(N11&lt;&gt;"",N11&lt;TODAY()),"Due - time to review this",IF(K11="No","Check - behind target","OK")))))</f>
        <v>0</v>
      </c>
    </row>
    <row r="12" spans="1:18">
      <c r="A12" s="39">
        <f>IF(B12="","","GL-"&amp;TEXT(ROW()-4,"000"))</f>
        <v>0</v>
      </c>
      <c r="G12" s="45">
        <f>IF(D12="","",IFERROR(IF(D12="Home cooked meals a week",COUNTIFS('Meal Plan'!$B$5:$B$504,"&gt;="&amp;TODAY()-7,'Meal Plan'!$B$5:$B$504,"&lt;="&amp;TODAY(),'Meal Plan'!$AD$5:$AD$504,"Yes"),IF(D12="Takeaways a month",COUNTIFS('Grocery Spending'!$E$5:$E$404,TEXT(TODAY(),"yyyy-mm"),'Grocery Spending'!$G$5:$G$404,"Takeaway"),IF(D12="Grocery spend this month",SUMIFS('Grocery Spending'!$K$5:$K$404,'Grocery Spending'!$E$5:$E$404,TEXT(TODAY(),"yyyy-mm")),IF(D12="New recipes this month",COUNTIFS(Recipes!$BE$5:$BE$204,"&gt;="&amp;DATE(YEAR(TODAY()),MONTH(TODAY()),1)),IF(D12="Food waste this month",SUMIFS('Food Waste'!$L$5:$L$154,'Food Waste'!$D$5:$D$154,TEXT(TODAY(),"yyyy-mm")),IF(D12="Packed lunches a week",COUNTIFS('Meal Plan'!$B$5:$B$504,"&gt;="&amp;TODAY()-7,'Meal Plan'!$F$5:$F$504,"Lunch",'Meal Plan'!$AD$5:$AD$504,"Yes"),IF(D12="Leftovers eaten",COUNTIFS(Leftovers!$Q$5:$Q$124,"Eaten"),IF(D12="Meals prepped ahead",COUNTIFS('Meal Prep'!$W$5:$W$124,"Done"),"")))))))),""))</f>
        <v>0</v>
      </c>
      <c r="I12" s="45">
        <f>IF(H12&lt;&gt;"",H12,G12)</f>
        <v>0</v>
      </c>
      <c r="J12" s="50">
        <f>IF(OR(E12="",E12=0,I12=""),"",IF(F12="Stay under",IF(I12=0,1,MIN(2,E12/I12)),MIN(2,I12/E12)))</f>
        <v>0</v>
      </c>
      <c r="K12" s="46">
        <f>IF(J12="","",IF(J12&gt;=1,"Yes","No"))</f>
        <v>0</v>
      </c>
      <c r="Q12" s="31">
        <f>IF(B12="","",IF(P12="Done","OK",IF(E12="","Add - no target set",IF(AND(N12&lt;&gt;"",N12&lt;TODAY()),"Due - time to review this",IF(K12="No","Check - behind target","OK")))))</f>
        <v>0</v>
      </c>
    </row>
    <row r="13" spans="1:18">
      <c r="A13" s="39">
        <f>IF(B13="","","GL-"&amp;TEXT(ROW()-4,"000"))</f>
        <v>0</v>
      </c>
      <c r="G13" s="45">
        <f>IF(D13="","",IFERROR(IF(D13="Home cooked meals a week",COUNTIFS('Meal Plan'!$B$5:$B$504,"&gt;="&amp;TODAY()-7,'Meal Plan'!$B$5:$B$504,"&lt;="&amp;TODAY(),'Meal Plan'!$AD$5:$AD$504,"Yes"),IF(D13="Takeaways a month",COUNTIFS('Grocery Spending'!$E$5:$E$404,TEXT(TODAY(),"yyyy-mm"),'Grocery Spending'!$G$5:$G$404,"Takeaway"),IF(D13="Grocery spend this month",SUMIFS('Grocery Spending'!$K$5:$K$404,'Grocery Spending'!$E$5:$E$404,TEXT(TODAY(),"yyyy-mm")),IF(D13="New recipes this month",COUNTIFS(Recipes!$BE$5:$BE$204,"&gt;="&amp;DATE(YEAR(TODAY()),MONTH(TODAY()),1)),IF(D13="Food waste this month",SUMIFS('Food Waste'!$L$5:$L$154,'Food Waste'!$D$5:$D$154,TEXT(TODAY(),"yyyy-mm")),IF(D13="Packed lunches a week",COUNTIFS('Meal Plan'!$B$5:$B$504,"&gt;="&amp;TODAY()-7,'Meal Plan'!$F$5:$F$504,"Lunch",'Meal Plan'!$AD$5:$AD$504,"Yes"),IF(D13="Leftovers eaten",COUNTIFS(Leftovers!$Q$5:$Q$124,"Eaten"),IF(D13="Meals prepped ahead",COUNTIFS('Meal Prep'!$W$5:$W$124,"Done"),"")))))))),""))</f>
        <v>0</v>
      </c>
      <c r="I13" s="45">
        <f>IF(H13&lt;&gt;"",H13,G13)</f>
        <v>0</v>
      </c>
      <c r="J13" s="50">
        <f>IF(OR(E13="",E13=0,I13=""),"",IF(F13="Stay under",IF(I13=0,1,MIN(2,E13/I13)),MIN(2,I13/E13)))</f>
        <v>0</v>
      </c>
      <c r="K13" s="46">
        <f>IF(J13="","",IF(J13&gt;=1,"Yes","No"))</f>
        <v>0</v>
      </c>
      <c r="Q13" s="31">
        <f>IF(B13="","",IF(P13="Done","OK",IF(E13="","Add - no target set",IF(AND(N13&lt;&gt;"",N13&lt;TODAY()),"Due - time to review this",IF(K13="No","Check - behind target","OK")))))</f>
        <v>0</v>
      </c>
    </row>
    <row r="14" spans="1:18">
      <c r="A14" s="39">
        <f>IF(B14="","","GL-"&amp;TEXT(ROW()-4,"000"))</f>
        <v>0</v>
      </c>
      <c r="G14" s="45">
        <f>IF(D14="","",IFERROR(IF(D14="Home cooked meals a week",COUNTIFS('Meal Plan'!$B$5:$B$504,"&gt;="&amp;TODAY()-7,'Meal Plan'!$B$5:$B$504,"&lt;="&amp;TODAY(),'Meal Plan'!$AD$5:$AD$504,"Yes"),IF(D14="Takeaways a month",COUNTIFS('Grocery Spending'!$E$5:$E$404,TEXT(TODAY(),"yyyy-mm"),'Grocery Spending'!$G$5:$G$404,"Takeaway"),IF(D14="Grocery spend this month",SUMIFS('Grocery Spending'!$K$5:$K$404,'Grocery Spending'!$E$5:$E$404,TEXT(TODAY(),"yyyy-mm")),IF(D14="New recipes this month",COUNTIFS(Recipes!$BE$5:$BE$204,"&gt;="&amp;DATE(YEAR(TODAY()),MONTH(TODAY()),1)),IF(D14="Food waste this month",SUMIFS('Food Waste'!$L$5:$L$154,'Food Waste'!$D$5:$D$154,TEXT(TODAY(),"yyyy-mm")),IF(D14="Packed lunches a week",COUNTIFS('Meal Plan'!$B$5:$B$504,"&gt;="&amp;TODAY()-7,'Meal Plan'!$F$5:$F$504,"Lunch",'Meal Plan'!$AD$5:$AD$504,"Yes"),IF(D14="Leftovers eaten",COUNTIFS(Leftovers!$Q$5:$Q$124,"Eaten"),IF(D14="Meals prepped ahead",COUNTIFS('Meal Prep'!$W$5:$W$124,"Done"),"")))))))),""))</f>
        <v>0</v>
      </c>
      <c r="I14" s="45">
        <f>IF(H14&lt;&gt;"",H14,G14)</f>
        <v>0</v>
      </c>
      <c r="J14" s="50">
        <f>IF(OR(E14="",E14=0,I14=""),"",IF(F14="Stay under",IF(I14=0,1,MIN(2,E14/I14)),MIN(2,I14/E14)))</f>
        <v>0</v>
      </c>
      <c r="K14" s="46">
        <f>IF(J14="","",IF(J14&gt;=1,"Yes","No"))</f>
        <v>0</v>
      </c>
      <c r="Q14" s="31">
        <f>IF(B14="","",IF(P14="Done","OK",IF(E14="","Add - no target set",IF(AND(N14&lt;&gt;"",N14&lt;TODAY()),"Due - time to review this",IF(K14="No","Check - behind target","OK")))))</f>
        <v>0</v>
      </c>
    </row>
    <row r="15" spans="1:18">
      <c r="A15" s="39">
        <f>IF(B15="","","GL-"&amp;TEXT(ROW()-4,"000"))</f>
        <v>0</v>
      </c>
      <c r="G15" s="45">
        <f>IF(D15="","",IFERROR(IF(D15="Home cooked meals a week",COUNTIFS('Meal Plan'!$B$5:$B$504,"&gt;="&amp;TODAY()-7,'Meal Plan'!$B$5:$B$504,"&lt;="&amp;TODAY(),'Meal Plan'!$AD$5:$AD$504,"Yes"),IF(D15="Takeaways a month",COUNTIFS('Grocery Spending'!$E$5:$E$404,TEXT(TODAY(),"yyyy-mm"),'Grocery Spending'!$G$5:$G$404,"Takeaway"),IF(D15="Grocery spend this month",SUMIFS('Grocery Spending'!$K$5:$K$404,'Grocery Spending'!$E$5:$E$404,TEXT(TODAY(),"yyyy-mm")),IF(D15="New recipes this month",COUNTIFS(Recipes!$BE$5:$BE$204,"&gt;="&amp;DATE(YEAR(TODAY()),MONTH(TODAY()),1)),IF(D15="Food waste this month",SUMIFS('Food Waste'!$L$5:$L$154,'Food Waste'!$D$5:$D$154,TEXT(TODAY(),"yyyy-mm")),IF(D15="Packed lunches a week",COUNTIFS('Meal Plan'!$B$5:$B$504,"&gt;="&amp;TODAY()-7,'Meal Plan'!$F$5:$F$504,"Lunch",'Meal Plan'!$AD$5:$AD$504,"Yes"),IF(D15="Leftovers eaten",COUNTIFS(Leftovers!$Q$5:$Q$124,"Eaten"),IF(D15="Meals prepped ahead",COUNTIFS('Meal Prep'!$W$5:$W$124,"Done"),"")))))))),""))</f>
        <v>0</v>
      </c>
      <c r="I15" s="45">
        <f>IF(H15&lt;&gt;"",H15,G15)</f>
        <v>0</v>
      </c>
      <c r="J15" s="50">
        <f>IF(OR(E15="",E15=0,I15=""),"",IF(F15="Stay under",IF(I15=0,1,MIN(2,E15/I15)),MIN(2,I15/E15)))</f>
        <v>0</v>
      </c>
      <c r="K15" s="46">
        <f>IF(J15="","",IF(J15&gt;=1,"Yes","No"))</f>
        <v>0</v>
      </c>
      <c r="Q15" s="31">
        <f>IF(B15="","",IF(P15="Done","OK",IF(E15="","Add - no target set",IF(AND(N15&lt;&gt;"",N15&lt;TODAY()),"Due - time to review this",IF(K15="No","Check - behind target","OK")))))</f>
        <v>0</v>
      </c>
    </row>
    <row r="16" spans="1:18">
      <c r="A16" s="39">
        <f>IF(B16="","","GL-"&amp;TEXT(ROW()-4,"000"))</f>
        <v>0</v>
      </c>
      <c r="G16" s="45">
        <f>IF(D16="","",IFERROR(IF(D16="Home cooked meals a week",COUNTIFS('Meal Plan'!$B$5:$B$504,"&gt;="&amp;TODAY()-7,'Meal Plan'!$B$5:$B$504,"&lt;="&amp;TODAY(),'Meal Plan'!$AD$5:$AD$504,"Yes"),IF(D16="Takeaways a month",COUNTIFS('Grocery Spending'!$E$5:$E$404,TEXT(TODAY(),"yyyy-mm"),'Grocery Spending'!$G$5:$G$404,"Takeaway"),IF(D16="Grocery spend this month",SUMIFS('Grocery Spending'!$K$5:$K$404,'Grocery Spending'!$E$5:$E$404,TEXT(TODAY(),"yyyy-mm")),IF(D16="New recipes this month",COUNTIFS(Recipes!$BE$5:$BE$204,"&gt;="&amp;DATE(YEAR(TODAY()),MONTH(TODAY()),1)),IF(D16="Food waste this month",SUMIFS('Food Waste'!$L$5:$L$154,'Food Waste'!$D$5:$D$154,TEXT(TODAY(),"yyyy-mm")),IF(D16="Packed lunches a week",COUNTIFS('Meal Plan'!$B$5:$B$504,"&gt;="&amp;TODAY()-7,'Meal Plan'!$F$5:$F$504,"Lunch",'Meal Plan'!$AD$5:$AD$504,"Yes"),IF(D16="Leftovers eaten",COUNTIFS(Leftovers!$Q$5:$Q$124,"Eaten"),IF(D16="Meals prepped ahead",COUNTIFS('Meal Prep'!$W$5:$W$124,"Done"),"")))))))),""))</f>
        <v>0</v>
      </c>
      <c r="I16" s="45">
        <f>IF(H16&lt;&gt;"",H16,G16)</f>
        <v>0</v>
      </c>
      <c r="J16" s="50">
        <f>IF(OR(E16="",E16=0,I16=""),"",IF(F16="Stay under",IF(I16=0,1,MIN(2,E16/I16)),MIN(2,I16/E16)))</f>
        <v>0</v>
      </c>
      <c r="K16" s="46">
        <f>IF(J16="","",IF(J16&gt;=1,"Yes","No"))</f>
        <v>0</v>
      </c>
      <c r="Q16" s="31">
        <f>IF(B16="","",IF(P16="Done","OK",IF(E16="","Add - no target set",IF(AND(N16&lt;&gt;"",N16&lt;TODAY()),"Due - time to review this",IF(K16="No","Check - behind target","OK")))))</f>
        <v>0</v>
      </c>
    </row>
    <row r="17" spans="1:17">
      <c r="A17" s="39">
        <f>IF(B17="","","GL-"&amp;TEXT(ROW()-4,"000"))</f>
        <v>0</v>
      </c>
      <c r="G17" s="45">
        <f>IF(D17="","",IFERROR(IF(D17="Home cooked meals a week",COUNTIFS('Meal Plan'!$B$5:$B$504,"&gt;="&amp;TODAY()-7,'Meal Plan'!$B$5:$B$504,"&lt;="&amp;TODAY(),'Meal Plan'!$AD$5:$AD$504,"Yes"),IF(D17="Takeaways a month",COUNTIFS('Grocery Spending'!$E$5:$E$404,TEXT(TODAY(),"yyyy-mm"),'Grocery Spending'!$G$5:$G$404,"Takeaway"),IF(D17="Grocery spend this month",SUMIFS('Grocery Spending'!$K$5:$K$404,'Grocery Spending'!$E$5:$E$404,TEXT(TODAY(),"yyyy-mm")),IF(D17="New recipes this month",COUNTIFS(Recipes!$BE$5:$BE$204,"&gt;="&amp;DATE(YEAR(TODAY()),MONTH(TODAY()),1)),IF(D17="Food waste this month",SUMIFS('Food Waste'!$L$5:$L$154,'Food Waste'!$D$5:$D$154,TEXT(TODAY(),"yyyy-mm")),IF(D17="Packed lunches a week",COUNTIFS('Meal Plan'!$B$5:$B$504,"&gt;="&amp;TODAY()-7,'Meal Plan'!$F$5:$F$504,"Lunch",'Meal Plan'!$AD$5:$AD$504,"Yes"),IF(D17="Leftovers eaten",COUNTIFS(Leftovers!$Q$5:$Q$124,"Eaten"),IF(D17="Meals prepped ahead",COUNTIFS('Meal Prep'!$W$5:$W$124,"Done"),"")))))))),""))</f>
        <v>0</v>
      </c>
      <c r="I17" s="45">
        <f>IF(H17&lt;&gt;"",H17,G17)</f>
        <v>0</v>
      </c>
      <c r="J17" s="50">
        <f>IF(OR(E17="",E17=0,I17=""),"",IF(F17="Stay under",IF(I17=0,1,MIN(2,E17/I17)),MIN(2,I17/E17)))</f>
        <v>0</v>
      </c>
      <c r="K17" s="46">
        <f>IF(J17="","",IF(J17&gt;=1,"Yes","No"))</f>
        <v>0</v>
      </c>
      <c r="Q17" s="31">
        <f>IF(B17="","",IF(P17="Done","OK",IF(E17="","Add - no target set",IF(AND(N17&lt;&gt;"",N17&lt;TODAY()),"Due - time to review this",IF(K17="No","Check - behind target","OK")))))</f>
        <v>0</v>
      </c>
    </row>
    <row r="18" spans="1:17">
      <c r="A18" s="39">
        <f>IF(B18="","","GL-"&amp;TEXT(ROW()-4,"000"))</f>
        <v>0</v>
      </c>
      <c r="G18" s="45">
        <f>IF(D18="","",IFERROR(IF(D18="Home cooked meals a week",COUNTIFS('Meal Plan'!$B$5:$B$504,"&gt;="&amp;TODAY()-7,'Meal Plan'!$B$5:$B$504,"&lt;="&amp;TODAY(),'Meal Plan'!$AD$5:$AD$504,"Yes"),IF(D18="Takeaways a month",COUNTIFS('Grocery Spending'!$E$5:$E$404,TEXT(TODAY(),"yyyy-mm"),'Grocery Spending'!$G$5:$G$404,"Takeaway"),IF(D18="Grocery spend this month",SUMIFS('Grocery Spending'!$K$5:$K$404,'Grocery Spending'!$E$5:$E$404,TEXT(TODAY(),"yyyy-mm")),IF(D18="New recipes this month",COUNTIFS(Recipes!$BE$5:$BE$204,"&gt;="&amp;DATE(YEAR(TODAY()),MONTH(TODAY()),1)),IF(D18="Food waste this month",SUMIFS('Food Waste'!$L$5:$L$154,'Food Waste'!$D$5:$D$154,TEXT(TODAY(),"yyyy-mm")),IF(D18="Packed lunches a week",COUNTIFS('Meal Plan'!$B$5:$B$504,"&gt;="&amp;TODAY()-7,'Meal Plan'!$F$5:$F$504,"Lunch",'Meal Plan'!$AD$5:$AD$504,"Yes"),IF(D18="Leftovers eaten",COUNTIFS(Leftovers!$Q$5:$Q$124,"Eaten"),IF(D18="Meals prepped ahead",COUNTIFS('Meal Prep'!$W$5:$W$124,"Done"),"")))))))),""))</f>
        <v>0</v>
      </c>
      <c r="I18" s="45">
        <f>IF(H18&lt;&gt;"",H18,G18)</f>
        <v>0</v>
      </c>
      <c r="J18" s="50">
        <f>IF(OR(E18="",E18=0,I18=""),"",IF(F18="Stay under",IF(I18=0,1,MIN(2,E18/I18)),MIN(2,I18/E18)))</f>
        <v>0</v>
      </c>
      <c r="K18" s="46">
        <f>IF(J18="","",IF(J18&gt;=1,"Yes","No"))</f>
        <v>0</v>
      </c>
      <c r="Q18" s="31">
        <f>IF(B18="","",IF(P18="Done","OK",IF(E18="","Add - no target set",IF(AND(N18&lt;&gt;"",N18&lt;TODAY()),"Due - time to review this",IF(K18="No","Check - behind target","OK")))))</f>
        <v>0</v>
      </c>
    </row>
    <row r="19" spans="1:17">
      <c r="A19" s="39">
        <f>IF(B19="","","GL-"&amp;TEXT(ROW()-4,"000"))</f>
        <v>0</v>
      </c>
      <c r="G19" s="45">
        <f>IF(D19="","",IFERROR(IF(D19="Home cooked meals a week",COUNTIFS('Meal Plan'!$B$5:$B$504,"&gt;="&amp;TODAY()-7,'Meal Plan'!$B$5:$B$504,"&lt;="&amp;TODAY(),'Meal Plan'!$AD$5:$AD$504,"Yes"),IF(D19="Takeaways a month",COUNTIFS('Grocery Spending'!$E$5:$E$404,TEXT(TODAY(),"yyyy-mm"),'Grocery Spending'!$G$5:$G$404,"Takeaway"),IF(D19="Grocery spend this month",SUMIFS('Grocery Spending'!$K$5:$K$404,'Grocery Spending'!$E$5:$E$404,TEXT(TODAY(),"yyyy-mm")),IF(D19="New recipes this month",COUNTIFS(Recipes!$BE$5:$BE$204,"&gt;="&amp;DATE(YEAR(TODAY()),MONTH(TODAY()),1)),IF(D19="Food waste this month",SUMIFS('Food Waste'!$L$5:$L$154,'Food Waste'!$D$5:$D$154,TEXT(TODAY(),"yyyy-mm")),IF(D19="Packed lunches a week",COUNTIFS('Meal Plan'!$B$5:$B$504,"&gt;="&amp;TODAY()-7,'Meal Plan'!$F$5:$F$504,"Lunch",'Meal Plan'!$AD$5:$AD$504,"Yes"),IF(D19="Leftovers eaten",COUNTIFS(Leftovers!$Q$5:$Q$124,"Eaten"),IF(D19="Meals prepped ahead",COUNTIFS('Meal Prep'!$W$5:$W$124,"Done"),"")))))))),""))</f>
        <v>0</v>
      </c>
      <c r="I19" s="45">
        <f>IF(H19&lt;&gt;"",H19,G19)</f>
        <v>0</v>
      </c>
      <c r="J19" s="50">
        <f>IF(OR(E19="",E19=0,I19=""),"",IF(F19="Stay under",IF(I19=0,1,MIN(2,E19/I19)),MIN(2,I19/E19)))</f>
        <v>0</v>
      </c>
      <c r="K19" s="46">
        <f>IF(J19="","",IF(J19&gt;=1,"Yes","No"))</f>
        <v>0</v>
      </c>
      <c r="Q19" s="31">
        <f>IF(B19="","",IF(P19="Done","OK",IF(E19="","Add - no target set",IF(AND(N19&lt;&gt;"",N19&lt;TODAY()),"Due - time to review this",IF(K19="No","Check - behind target","OK")))))</f>
        <v>0</v>
      </c>
    </row>
    <row r="20" spans="1:17">
      <c r="A20" s="39">
        <f>IF(B20="","","GL-"&amp;TEXT(ROW()-4,"000"))</f>
        <v>0</v>
      </c>
      <c r="G20" s="45">
        <f>IF(D20="","",IFERROR(IF(D20="Home cooked meals a week",COUNTIFS('Meal Plan'!$B$5:$B$504,"&gt;="&amp;TODAY()-7,'Meal Plan'!$B$5:$B$504,"&lt;="&amp;TODAY(),'Meal Plan'!$AD$5:$AD$504,"Yes"),IF(D20="Takeaways a month",COUNTIFS('Grocery Spending'!$E$5:$E$404,TEXT(TODAY(),"yyyy-mm"),'Grocery Spending'!$G$5:$G$404,"Takeaway"),IF(D20="Grocery spend this month",SUMIFS('Grocery Spending'!$K$5:$K$404,'Grocery Spending'!$E$5:$E$404,TEXT(TODAY(),"yyyy-mm")),IF(D20="New recipes this month",COUNTIFS(Recipes!$BE$5:$BE$204,"&gt;="&amp;DATE(YEAR(TODAY()),MONTH(TODAY()),1)),IF(D20="Food waste this month",SUMIFS('Food Waste'!$L$5:$L$154,'Food Waste'!$D$5:$D$154,TEXT(TODAY(),"yyyy-mm")),IF(D20="Packed lunches a week",COUNTIFS('Meal Plan'!$B$5:$B$504,"&gt;="&amp;TODAY()-7,'Meal Plan'!$F$5:$F$504,"Lunch",'Meal Plan'!$AD$5:$AD$504,"Yes"),IF(D20="Leftovers eaten",COUNTIFS(Leftovers!$Q$5:$Q$124,"Eaten"),IF(D20="Meals prepped ahead",COUNTIFS('Meal Prep'!$W$5:$W$124,"Done"),"")))))))),""))</f>
        <v>0</v>
      </c>
      <c r="I20" s="45">
        <f>IF(H20&lt;&gt;"",H20,G20)</f>
        <v>0</v>
      </c>
      <c r="J20" s="50">
        <f>IF(OR(E20="",E20=0,I20=""),"",IF(F20="Stay under",IF(I20=0,1,MIN(2,E20/I20)),MIN(2,I20/E20)))</f>
        <v>0</v>
      </c>
      <c r="K20" s="46">
        <f>IF(J20="","",IF(J20&gt;=1,"Yes","No"))</f>
        <v>0</v>
      </c>
      <c r="Q20" s="31">
        <f>IF(B20="","",IF(P20="Done","OK",IF(E20="","Add - no target set",IF(AND(N20&lt;&gt;"",N20&lt;TODAY()),"Due - time to review this",IF(K20="No","Check - behind target","OK")))))</f>
        <v>0</v>
      </c>
    </row>
    <row r="21" spans="1:17">
      <c r="A21" s="39">
        <f>IF(B21="","","GL-"&amp;TEXT(ROW()-4,"000"))</f>
        <v>0</v>
      </c>
      <c r="G21" s="45">
        <f>IF(D21="","",IFERROR(IF(D21="Home cooked meals a week",COUNTIFS('Meal Plan'!$B$5:$B$504,"&gt;="&amp;TODAY()-7,'Meal Plan'!$B$5:$B$504,"&lt;="&amp;TODAY(),'Meal Plan'!$AD$5:$AD$504,"Yes"),IF(D21="Takeaways a month",COUNTIFS('Grocery Spending'!$E$5:$E$404,TEXT(TODAY(),"yyyy-mm"),'Grocery Spending'!$G$5:$G$404,"Takeaway"),IF(D21="Grocery spend this month",SUMIFS('Grocery Spending'!$K$5:$K$404,'Grocery Spending'!$E$5:$E$404,TEXT(TODAY(),"yyyy-mm")),IF(D21="New recipes this month",COUNTIFS(Recipes!$BE$5:$BE$204,"&gt;="&amp;DATE(YEAR(TODAY()),MONTH(TODAY()),1)),IF(D21="Food waste this month",SUMIFS('Food Waste'!$L$5:$L$154,'Food Waste'!$D$5:$D$154,TEXT(TODAY(),"yyyy-mm")),IF(D21="Packed lunches a week",COUNTIFS('Meal Plan'!$B$5:$B$504,"&gt;="&amp;TODAY()-7,'Meal Plan'!$F$5:$F$504,"Lunch",'Meal Plan'!$AD$5:$AD$504,"Yes"),IF(D21="Leftovers eaten",COUNTIFS(Leftovers!$Q$5:$Q$124,"Eaten"),IF(D21="Meals prepped ahead",COUNTIFS('Meal Prep'!$W$5:$W$124,"Done"),"")))))))),""))</f>
        <v>0</v>
      </c>
      <c r="I21" s="45">
        <f>IF(H21&lt;&gt;"",H21,G21)</f>
        <v>0</v>
      </c>
      <c r="J21" s="50">
        <f>IF(OR(E21="",E21=0,I21=""),"",IF(F21="Stay under",IF(I21=0,1,MIN(2,E21/I21)),MIN(2,I21/E21)))</f>
        <v>0</v>
      </c>
      <c r="K21" s="46">
        <f>IF(J21="","",IF(J21&gt;=1,"Yes","No"))</f>
        <v>0</v>
      </c>
      <c r="Q21" s="31">
        <f>IF(B21="","",IF(P21="Done","OK",IF(E21="","Add - no target set",IF(AND(N21&lt;&gt;"",N21&lt;TODAY()),"Due - time to review this",IF(K21="No","Check - behind target","OK")))))</f>
        <v>0</v>
      </c>
    </row>
    <row r="22" spans="1:17">
      <c r="A22" s="39">
        <f>IF(B22="","","GL-"&amp;TEXT(ROW()-4,"000"))</f>
        <v>0</v>
      </c>
      <c r="G22" s="45">
        <f>IF(D22="","",IFERROR(IF(D22="Home cooked meals a week",COUNTIFS('Meal Plan'!$B$5:$B$504,"&gt;="&amp;TODAY()-7,'Meal Plan'!$B$5:$B$504,"&lt;="&amp;TODAY(),'Meal Plan'!$AD$5:$AD$504,"Yes"),IF(D22="Takeaways a month",COUNTIFS('Grocery Spending'!$E$5:$E$404,TEXT(TODAY(),"yyyy-mm"),'Grocery Spending'!$G$5:$G$404,"Takeaway"),IF(D22="Grocery spend this month",SUMIFS('Grocery Spending'!$K$5:$K$404,'Grocery Spending'!$E$5:$E$404,TEXT(TODAY(),"yyyy-mm")),IF(D22="New recipes this month",COUNTIFS(Recipes!$BE$5:$BE$204,"&gt;="&amp;DATE(YEAR(TODAY()),MONTH(TODAY()),1)),IF(D22="Food waste this month",SUMIFS('Food Waste'!$L$5:$L$154,'Food Waste'!$D$5:$D$154,TEXT(TODAY(),"yyyy-mm")),IF(D22="Packed lunches a week",COUNTIFS('Meal Plan'!$B$5:$B$504,"&gt;="&amp;TODAY()-7,'Meal Plan'!$F$5:$F$504,"Lunch",'Meal Plan'!$AD$5:$AD$504,"Yes"),IF(D22="Leftovers eaten",COUNTIFS(Leftovers!$Q$5:$Q$124,"Eaten"),IF(D22="Meals prepped ahead",COUNTIFS('Meal Prep'!$W$5:$W$124,"Done"),"")))))))),""))</f>
        <v>0</v>
      </c>
      <c r="I22" s="45">
        <f>IF(H22&lt;&gt;"",H22,G22)</f>
        <v>0</v>
      </c>
      <c r="J22" s="50">
        <f>IF(OR(E22="",E22=0,I22=""),"",IF(F22="Stay under",IF(I22=0,1,MIN(2,E22/I22)),MIN(2,I22/E22)))</f>
        <v>0</v>
      </c>
      <c r="K22" s="46">
        <f>IF(J22="","",IF(J22&gt;=1,"Yes","No"))</f>
        <v>0</v>
      </c>
      <c r="Q22" s="31">
        <f>IF(B22="","",IF(P22="Done","OK",IF(E22="","Add - no target set",IF(AND(N22&lt;&gt;"",N22&lt;TODAY()),"Due - time to review this",IF(K22="No","Check - behind target","OK")))))</f>
        <v>0</v>
      </c>
    </row>
    <row r="23" spans="1:17">
      <c r="A23" s="39">
        <f>IF(B23="","","GL-"&amp;TEXT(ROW()-4,"000"))</f>
        <v>0</v>
      </c>
      <c r="G23" s="45">
        <f>IF(D23="","",IFERROR(IF(D23="Home cooked meals a week",COUNTIFS('Meal Plan'!$B$5:$B$504,"&gt;="&amp;TODAY()-7,'Meal Plan'!$B$5:$B$504,"&lt;="&amp;TODAY(),'Meal Plan'!$AD$5:$AD$504,"Yes"),IF(D23="Takeaways a month",COUNTIFS('Grocery Spending'!$E$5:$E$404,TEXT(TODAY(),"yyyy-mm"),'Grocery Spending'!$G$5:$G$404,"Takeaway"),IF(D23="Grocery spend this month",SUMIFS('Grocery Spending'!$K$5:$K$404,'Grocery Spending'!$E$5:$E$404,TEXT(TODAY(),"yyyy-mm")),IF(D23="New recipes this month",COUNTIFS(Recipes!$BE$5:$BE$204,"&gt;="&amp;DATE(YEAR(TODAY()),MONTH(TODAY()),1)),IF(D23="Food waste this month",SUMIFS('Food Waste'!$L$5:$L$154,'Food Waste'!$D$5:$D$154,TEXT(TODAY(),"yyyy-mm")),IF(D23="Packed lunches a week",COUNTIFS('Meal Plan'!$B$5:$B$504,"&gt;="&amp;TODAY()-7,'Meal Plan'!$F$5:$F$504,"Lunch",'Meal Plan'!$AD$5:$AD$504,"Yes"),IF(D23="Leftovers eaten",COUNTIFS(Leftovers!$Q$5:$Q$124,"Eaten"),IF(D23="Meals prepped ahead",COUNTIFS('Meal Prep'!$W$5:$W$124,"Done"),"")))))))),""))</f>
        <v>0</v>
      </c>
      <c r="I23" s="45">
        <f>IF(H23&lt;&gt;"",H23,G23)</f>
        <v>0</v>
      </c>
      <c r="J23" s="50">
        <f>IF(OR(E23="",E23=0,I23=""),"",IF(F23="Stay under",IF(I23=0,1,MIN(2,E23/I23)),MIN(2,I23/E23)))</f>
        <v>0</v>
      </c>
      <c r="K23" s="46">
        <f>IF(J23="","",IF(J23&gt;=1,"Yes","No"))</f>
        <v>0</v>
      </c>
      <c r="Q23" s="31">
        <f>IF(B23="","",IF(P23="Done","OK",IF(E23="","Add - no target set",IF(AND(N23&lt;&gt;"",N23&lt;TODAY()),"Due - time to review this",IF(K23="No","Check - behind target","OK")))))</f>
        <v>0</v>
      </c>
    </row>
    <row r="24" spans="1:17">
      <c r="A24" s="39">
        <f>IF(B24="","","GL-"&amp;TEXT(ROW()-4,"000"))</f>
        <v>0</v>
      </c>
      <c r="G24" s="45">
        <f>IF(D24="","",IFERROR(IF(D24="Home cooked meals a week",COUNTIFS('Meal Plan'!$B$5:$B$504,"&gt;="&amp;TODAY()-7,'Meal Plan'!$B$5:$B$504,"&lt;="&amp;TODAY(),'Meal Plan'!$AD$5:$AD$504,"Yes"),IF(D24="Takeaways a month",COUNTIFS('Grocery Spending'!$E$5:$E$404,TEXT(TODAY(),"yyyy-mm"),'Grocery Spending'!$G$5:$G$404,"Takeaway"),IF(D24="Grocery spend this month",SUMIFS('Grocery Spending'!$K$5:$K$404,'Grocery Spending'!$E$5:$E$404,TEXT(TODAY(),"yyyy-mm")),IF(D24="New recipes this month",COUNTIFS(Recipes!$BE$5:$BE$204,"&gt;="&amp;DATE(YEAR(TODAY()),MONTH(TODAY()),1)),IF(D24="Food waste this month",SUMIFS('Food Waste'!$L$5:$L$154,'Food Waste'!$D$5:$D$154,TEXT(TODAY(),"yyyy-mm")),IF(D24="Packed lunches a week",COUNTIFS('Meal Plan'!$B$5:$B$504,"&gt;="&amp;TODAY()-7,'Meal Plan'!$F$5:$F$504,"Lunch",'Meal Plan'!$AD$5:$AD$504,"Yes"),IF(D24="Leftovers eaten",COUNTIFS(Leftovers!$Q$5:$Q$124,"Eaten"),IF(D24="Meals prepped ahead",COUNTIFS('Meal Prep'!$W$5:$W$124,"Done"),"")))))))),""))</f>
        <v>0</v>
      </c>
      <c r="I24" s="45">
        <f>IF(H24&lt;&gt;"",H24,G24)</f>
        <v>0</v>
      </c>
      <c r="J24" s="50">
        <f>IF(OR(E24="",E24=0,I24=""),"",IF(F24="Stay under",IF(I24=0,1,MIN(2,E24/I24)),MIN(2,I24/E24)))</f>
        <v>0</v>
      </c>
      <c r="K24" s="46">
        <f>IF(J24="","",IF(J24&gt;=1,"Yes","No"))</f>
        <v>0</v>
      </c>
      <c r="Q24" s="31">
        <f>IF(B24="","",IF(P24="Done","OK",IF(E24="","Add - no target set",IF(AND(N24&lt;&gt;"",N24&lt;TODAY()),"Due - time to review this",IF(K24="No","Check - behind target","OK")))))</f>
        <v>0</v>
      </c>
    </row>
    <row r="25" spans="1:17">
      <c r="A25" s="39">
        <f>IF(B25="","","GL-"&amp;TEXT(ROW()-4,"000"))</f>
        <v>0</v>
      </c>
      <c r="G25" s="45">
        <f>IF(D25="","",IFERROR(IF(D25="Home cooked meals a week",COUNTIFS('Meal Plan'!$B$5:$B$504,"&gt;="&amp;TODAY()-7,'Meal Plan'!$B$5:$B$504,"&lt;="&amp;TODAY(),'Meal Plan'!$AD$5:$AD$504,"Yes"),IF(D25="Takeaways a month",COUNTIFS('Grocery Spending'!$E$5:$E$404,TEXT(TODAY(),"yyyy-mm"),'Grocery Spending'!$G$5:$G$404,"Takeaway"),IF(D25="Grocery spend this month",SUMIFS('Grocery Spending'!$K$5:$K$404,'Grocery Spending'!$E$5:$E$404,TEXT(TODAY(),"yyyy-mm")),IF(D25="New recipes this month",COUNTIFS(Recipes!$BE$5:$BE$204,"&gt;="&amp;DATE(YEAR(TODAY()),MONTH(TODAY()),1)),IF(D25="Food waste this month",SUMIFS('Food Waste'!$L$5:$L$154,'Food Waste'!$D$5:$D$154,TEXT(TODAY(),"yyyy-mm")),IF(D25="Packed lunches a week",COUNTIFS('Meal Plan'!$B$5:$B$504,"&gt;="&amp;TODAY()-7,'Meal Plan'!$F$5:$F$504,"Lunch",'Meal Plan'!$AD$5:$AD$504,"Yes"),IF(D25="Leftovers eaten",COUNTIFS(Leftovers!$Q$5:$Q$124,"Eaten"),IF(D25="Meals prepped ahead",COUNTIFS('Meal Prep'!$W$5:$W$124,"Done"),"")))))))),""))</f>
        <v>0</v>
      </c>
      <c r="I25" s="45">
        <f>IF(H25&lt;&gt;"",H25,G25)</f>
        <v>0</v>
      </c>
      <c r="J25" s="50">
        <f>IF(OR(E25="",E25=0,I25=""),"",IF(F25="Stay under",IF(I25=0,1,MIN(2,E25/I25)),MIN(2,I25/E25)))</f>
        <v>0</v>
      </c>
      <c r="K25" s="46">
        <f>IF(J25="","",IF(J25&gt;=1,"Yes","No"))</f>
        <v>0</v>
      </c>
      <c r="Q25" s="31">
        <f>IF(B25="","",IF(P25="Done","OK",IF(E25="","Add - no target set",IF(AND(N25&lt;&gt;"",N25&lt;TODAY()),"Due - time to review this",IF(K25="No","Check - behind target","OK")))))</f>
        <v>0</v>
      </c>
    </row>
    <row r="26" spans="1:17">
      <c r="A26" s="39">
        <f>IF(B26="","","GL-"&amp;TEXT(ROW()-4,"000"))</f>
        <v>0</v>
      </c>
      <c r="G26" s="45">
        <f>IF(D26="","",IFERROR(IF(D26="Home cooked meals a week",COUNTIFS('Meal Plan'!$B$5:$B$504,"&gt;="&amp;TODAY()-7,'Meal Plan'!$B$5:$B$504,"&lt;="&amp;TODAY(),'Meal Plan'!$AD$5:$AD$504,"Yes"),IF(D26="Takeaways a month",COUNTIFS('Grocery Spending'!$E$5:$E$404,TEXT(TODAY(),"yyyy-mm"),'Grocery Spending'!$G$5:$G$404,"Takeaway"),IF(D26="Grocery spend this month",SUMIFS('Grocery Spending'!$K$5:$K$404,'Grocery Spending'!$E$5:$E$404,TEXT(TODAY(),"yyyy-mm")),IF(D26="New recipes this month",COUNTIFS(Recipes!$BE$5:$BE$204,"&gt;="&amp;DATE(YEAR(TODAY()),MONTH(TODAY()),1)),IF(D26="Food waste this month",SUMIFS('Food Waste'!$L$5:$L$154,'Food Waste'!$D$5:$D$154,TEXT(TODAY(),"yyyy-mm")),IF(D26="Packed lunches a week",COUNTIFS('Meal Plan'!$B$5:$B$504,"&gt;="&amp;TODAY()-7,'Meal Plan'!$F$5:$F$504,"Lunch",'Meal Plan'!$AD$5:$AD$504,"Yes"),IF(D26="Leftovers eaten",COUNTIFS(Leftovers!$Q$5:$Q$124,"Eaten"),IF(D26="Meals prepped ahead",COUNTIFS('Meal Prep'!$W$5:$W$124,"Done"),"")))))))),""))</f>
        <v>0</v>
      </c>
      <c r="I26" s="45">
        <f>IF(H26&lt;&gt;"",H26,G26)</f>
        <v>0</v>
      </c>
      <c r="J26" s="50">
        <f>IF(OR(E26="",E26=0,I26=""),"",IF(F26="Stay under",IF(I26=0,1,MIN(2,E26/I26)),MIN(2,I26/E26)))</f>
        <v>0</v>
      </c>
      <c r="K26" s="46">
        <f>IF(J26="","",IF(J26&gt;=1,"Yes","No"))</f>
        <v>0</v>
      </c>
      <c r="Q26" s="31">
        <f>IF(B26="","",IF(P26="Done","OK",IF(E26="","Add - no target set",IF(AND(N26&lt;&gt;"",N26&lt;TODAY()),"Due - time to review this",IF(K26="No","Check - behind target","OK")))))</f>
        <v>0</v>
      </c>
    </row>
    <row r="27" spans="1:17">
      <c r="A27" s="39">
        <f>IF(B27="","","GL-"&amp;TEXT(ROW()-4,"000"))</f>
        <v>0</v>
      </c>
      <c r="G27" s="45">
        <f>IF(D27="","",IFERROR(IF(D27="Home cooked meals a week",COUNTIFS('Meal Plan'!$B$5:$B$504,"&gt;="&amp;TODAY()-7,'Meal Plan'!$B$5:$B$504,"&lt;="&amp;TODAY(),'Meal Plan'!$AD$5:$AD$504,"Yes"),IF(D27="Takeaways a month",COUNTIFS('Grocery Spending'!$E$5:$E$404,TEXT(TODAY(),"yyyy-mm"),'Grocery Spending'!$G$5:$G$404,"Takeaway"),IF(D27="Grocery spend this month",SUMIFS('Grocery Spending'!$K$5:$K$404,'Grocery Spending'!$E$5:$E$404,TEXT(TODAY(),"yyyy-mm")),IF(D27="New recipes this month",COUNTIFS(Recipes!$BE$5:$BE$204,"&gt;="&amp;DATE(YEAR(TODAY()),MONTH(TODAY()),1)),IF(D27="Food waste this month",SUMIFS('Food Waste'!$L$5:$L$154,'Food Waste'!$D$5:$D$154,TEXT(TODAY(),"yyyy-mm")),IF(D27="Packed lunches a week",COUNTIFS('Meal Plan'!$B$5:$B$504,"&gt;="&amp;TODAY()-7,'Meal Plan'!$F$5:$F$504,"Lunch",'Meal Plan'!$AD$5:$AD$504,"Yes"),IF(D27="Leftovers eaten",COUNTIFS(Leftovers!$Q$5:$Q$124,"Eaten"),IF(D27="Meals prepped ahead",COUNTIFS('Meal Prep'!$W$5:$W$124,"Done"),"")))))))),""))</f>
        <v>0</v>
      </c>
      <c r="I27" s="45">
        <f>IF(H27&lt;&gt;"",H27,G27)</f>
        <v>0</v>
      </c>
      <c r="J27" s="50">
        <f>IF(OR(E27="",E27=0,I27=""),"",IF(F27="Stay under",IF(I27=0,1,MIN(2,E27/I27)),MIN(2,I27/E27)))</f>
        <v>0</v>
      </c>
      <c r="K27" s="46">
        <f>IF(J27="","",IF(J27&gt;=1,"Yes","No"))</f>
        <v>0</v>
      </c>
      <c r="Q27" s="31">
        <f>IF(B27="","",IF(P27="Done","OK",IF(E27="","Add - no target set",IF(AND(N27&lt;&gt;"",N27&lt;TODAY()),"Due - time to review this",IF(K27="No","Check - behind target","OK")))))</f>
        <v>0</v>
      </c>
    </row>
    <row r="28" spans="1:17">
      <c r="A28" s="39">
        <f>IF(B28="","","GL-"&amp;TEXT(ROW()-4,"000"))</f>
        <v>0</v>
      </c>
      <c r="G28" s="45">
        <f>IF(D28="","",IFERROR(IF(D28="Home cooked meals a week",COUNTIFS('Meal Plan'!$B$5:$B$504,"&gt;="&amp;TODAY()-7,'Meal Plan'!$B$5:$B$504,"&lt;="&amp;TODAY(),'Meal Plan'!$AD$5:$AD$504,"Yes"),IF(D28="Takeaways a month",COUNTIFS('Grocery Spending'!$E$5:$E$404,TEXT(TODAY(),"yyyy-mm"),'Grocery Spending'!$G$5:$G$404,"Takeaway"),IF(D28="Grocery spend this month",SUMIFS('Grocery Spending'!$K$5:$K$404,'Grocery Spending'!$E$5:$E$404,TEXT(TODAY(),"yyyy-mm")),IF(D28="New recipes this month",COUNTIFS(Recipes!$BE$5:$BE$204,"&gt;="&amp;DATE(YEAR(TODAY()),MONTH(TODAY()),1)),IF(D28="Food waste this month",SUMIFS('Food Waste'!$L$5:$L$154,'Food Waste'!$D$5:$D$154,TEXT(TODAY(),"yyyy-mm")),IF(D28="Packed lunches a week",COUNTIFS('Meal Plan'!$B$5:$B$504,"&gt;="&amp;TODAY()-7,'Meal Plan'!$F$5:$F$504,"Lunch",'Meal Plan'!$AD$5:$AD$504,"Yes"),IF(D28="Leftovers eaten",COUNTIFS(Leftovers!$Q$5:$Q$124,"Eaten"),IF(D28="Meals prepped ahead",COUNTIFS('Meal Prep'!$W$5:$W$124,"Done"),"")))))))),""))</f>
        <v>0</v>
      </c>
      <c r="I28" s="45">
        <f>IF(H28&lt;&gt;"",H28,G28)</f>
        <v>0</v>
      </c>
      <c r="J28" s="50">
        <f>IF(OR(E28="",E28=0,I28=""),"",IF(F28="Stay under",IF(I28=0,1,MIN(2,E28/I28)),MIN(2,I28/E28)))</f>
        <v>0</v>
      </c>
      <c r="K28" s="46">
        <f>IF(J28="","",IF(J28&gt;=1,"Yes","No"))</f>
        <v>0</v>
      </c>
      <c r="Q28" s="31">
        <f>IF(B28="","",IF(P28="Done","OK",IF(E28="","Add - no target set",IF(AND(N28&lt;&gt;"",N28&lt;TODAY()),"Due - time to review this",IF(K28="No","Check - behind target","OK")))))</f>
        <v>0</v>
      </c>
    </row>
    <row r="29" spans="1:17">
      <c r="A29" s="39">
        <f>IF(B29="","","GL-"&amp;TEXT(ROW()-4,"000"))</f>
        <v>0</v>
      </c>
      <c r="G29" s="45">
        <f>IF(D29="","",IFERROR(IF(D29="Home cooked meals a week",COUNTIFS('Meal Plan'!$B$5:$B$504,"&gt;="&amp;TODAY()-7,'Meal Plan'!$B$5:$B$504,"&lt;="&amp;TODAY(),'Meal Plan'!$AD$5:$AD$504,"Yes"),IF(D29="Takeaways a month",COUNTIFS('Grocery Spending'!$E$5:$E$404,TEXT(TODAY(),"yyyy-mm"),'Grocery Spending'!$G$5:$G$404,"Takeaway"),IF(D29="Grocery spend this month",SUMIFS('Grocery Spending'!$K$5:$K$404,'Grocery Spending'!$E$5:$E$404,TEXT(TODAY(),"yyyy-mm")),IF(D29="New recipes this month",COUNTIFS(Recipes!$BE$5:$BE$204,"&gt;="&amp;DATE(YEAR(TODAY()),MONTH(TODAY()),1)),IF(D29="Food waste this month",SUMIFS('Food Waste'!$L$5:$L$154,'Food Waste'!$D$5:$D$154,TEXT(TODAY(),"yyyy-mm")),IF(D29="Packed lunches a week",COUNTIFS('Meal Plan'!$B$5:$B$504,"&gt;="&amp;TODAY()-7,'Meal Plan'!$F$5:$F$504,"Lunch",'Meal Plan'!$AD$5:$AD$504,"Yes"),IF(D29="Leftovers eaten",COUNTIFS(Leftovers!$Q$5:$Q$124,"Eaten"),IF(D29="Meals prepped ahead",COUNTIFS('Meal Prep'!$W$5:$W$124,"Done"),"")))))))),""))</f>
        <v>0</v>
      </c>
      <c r="I29" s="45">
        <f>IF(H29&lt;&gt;"",H29,G29)</f>
        <v>0</v>
      </c>
      <c r="J29" s="50">
        <f>IF(OR(E29="",E29=0,I29=""),"",IF(F29="Stay under",IF(I29=0,1,MIN(2,E29/I29)),MIN(2,I29/E29)))</f>
        <v>0</v>
      </c>
      <c r="K29" s="46">
        <f>IF(J29="","",IF(J29&gt;=1,"Yes","No"))</f>
        <v>0</v>
      </c>
      <c r="Q29" s="31">
        <f>IF(B29="","",IF(P29="Done","OK",IF(E29="","Add - no target set",IF(AND(N29&lt;&gt;"",N29&lt;TODAY()),"Due - time to review this",IF(K29="No","Check - behind target","OK")))))</f>
        <v>0</v>
      </c>
    </row>
    <row r="30" spans="1:17">
      <c r="A30" s="39">
        <f>IF(B30="","","GL-"&amp;TEXT(ROW()-4,"000"))</f>
        <v>0</v>
      </c>
      <c r="G30" s="45">
        <f>IF(D30="","",IFERROR(IF(D30="Home cooked meals a week",COUNTIFS('Meal Plan'!$B$5:$B$504,"&gt;="&amp;TODAY()-7,'Meal Plan'!$B$5:$B$504,"&lt;="&amp;TODAY(),'Meal Plan'!$AD$5:$AD$504,"Yes"),IF(D30="Takeaways a month",COUNTIFS('Grocery Spending'!$E$5:$E$404,TEXT(TODAY(),"yyyy-mm"),'Grocery Spending'!$G$5:$G$404,"Takeaway"),IF(D30="Grocery spend this month",SUMIFS('Grocery Spending'!$K$5:$K$404,'Grocery Spending'!$E$5:$E$404,TEXT(TODAY(),"yyyy-mm")),IF(D30="New recipes this month",COUNTIFS(Recipes!$BE$5:$BE$204,"&gt;="&amp;DATE(YEAR(TODAY()),MONTH(TODAY()),1)),IF(D30="Food waste this month",SUMIFS('Food Waste'!$L$5:$L$154,'Food Waste'!$D$5:$D$154,TEXT(TODAY(),"yyyy-mm")),IF(D30="Packed lunches a week",COUNTIFS('Meal Plan'!$B$5:$B$504,"&gt;="&amp;TODAY()-7,'Meal Plan'!$F$5:$F$504,"Lunch",'Meal Plan'!$AD$5:$AD$504,"Yes"),IF(D30="Leftovers eaten",COUNTIFS(Leftovers!$Q$5:$Q$124,"Eaten"),IF(D30="Meals prepped ahead",COUNTIFS('Meal Prep'!$W$5:$W$124,"Done"),"")))))))),""))</f>
        <v>0</v>
      </c>
      <c r="I30" s="45">
        <f>IF(H30&lt;&gt;"",H30,G30)</f>
        <v>0</v>
      </c>
      <c r="J30" s="50">
        <f>IF(OR(E30="",E30=0,I30=""),"",IF(F30="Stay under",IF(I30=0,1,MIN(2,E30/I30)),MIN(2,I30/E30)))</f>
        <v>0</v>
      </c>
      <c r="K30" s="46">
        <f>IF(J30="","",IF(J30&gt;=1,"Yes","No"))</f>
        <v>0</v>
      </c>
      <c r="Q30" s="31">
        <f>IF(B30="","",IF(P30="Done","OK",IF(E30="","Add - no target set",IF(AND(N30&lt;&gt;"",N30&lt;TODAY()),"Due - time to review this",IF(K30="No","Check - behind target","OK")))))</f>
        <v>0</v>
      </c>
    </row>
    <row r="31" spans="1:17">
      <c r="A31" s="39">
        <f>IF(B31="","","GL-"&amp;TEXT(ROW()-4,"000"))</f>
        <v>0</v>
      </c>
      <c r="G31" s="45">
        <f>IF(D31="","",IFERROR(IF(D31="Home cooked meals a week",COUNTIFS('Meal Plan'!$B$5:$B$504,"&gt;="&amp;TODAY()-7,'Meal Plan'!$B$5:$B$504,"&lt;="&amp;TODAY(),'Meal Plan'!$AD$5:$AD$504,"Yes"),IF(D31="Takeaways a month",COUNTIFS('Grocery Spending'!$E$5:$E$404,TEXT(TODAY(),"yyyy-mm"),'Grocery Spending'!$G$5:$G$404,"Takeaway"),IF(D31="Grocery spend this month",SUMIFS('Grocery Spending'!$K$5:$K$404,'Grocery Spending'!$E$5:$E$404,TEXT(TODAY(),"yyyy-mm")),IF(D31="New recipes this month",COUNTIFS(Recipes!$BE$5:$BE$204,"&gt;="&amp;DATE(YEAR(TODAY()),MONTH(TODAY()),1)),IF(D31="Food waste this month",SUMIFS('Food Waste'!$L$5:$L$154,'Food Waste'!$D$5:$D$154,TEXT(TODAY(),"yyyy-mm")),IF(D31="Packed lunches a week",COUNTIFS('Meal Plan'!$B$5:$B$504,"&gt;="&amp;TODAY()-7,'Meal Plan'!$F$5:$F$504,"Lunch",'Meal Plan'!$AD$5:$AD$504,"Yes"),IF(D31="Leftovers eaten",COUNTIFS(Leftovers!$Q$5:$Q$124,"Eaten"),IF(D31="Meals prepped ahead",COUNTIFS('Meal Prep'!$W$5:$W$124,"Done"),"")))))))),""))</f>
        <v>0</v>
      </c>
      <c r="I31" s="45">
        <f>IF(H31&lt;&gt;"",H31,G31)</f>
        <v>0</v>
      </c>
      <c r="J31" s="50">
        <f>IF(OR(E31="",E31=0,I31=""),"",IF(F31="Stay under",IF(I31=0,1,MIN(2,E31/I31)),MIN(2,I31/E31)))</f>
        <v>0</v>
      </c>
      <c r="K31" s="46">
        <f>IF(J31="","",IF(J31&gt;=1,"Yes","No"))</f>
        <v>0</v>
      </c>
      <c r="Q31" s="31">
        <f>IF(B31="","",IF(P31="Done","OK",IF(E31="","Add - no target set",IF(AND(N31&lt;&gt;"",N31&lt;TODAY()),"Due - time to review this",IF(K31="No","Check - behind target","OK")))))</f>
        <v>0</v>
      </c>
    </row>
    <row r="32" spans="1:17">
      <c r="A32" s="39">
        <f>IF(B32="","","GL-"&amp;TEXT(ROW()-4,"000"))</f>
        <v>0</v>
      </c>
      <c r="G32" s="45">
        <f>IF(D32="","",IFERROR(IF(D32="Home cooked meals a week",COUNTIFS('Meal Plan'!$B$5:$B$504,"&gt;="&amp;TODAY()-7,'Meal Plan'!$B$5:$B$504,"&lt;="&amp;TODAY(),'Meal Plan'!$AD$5:$AD$504,"Yes"),IF(D32="Takeaways a month",COUNTIFS('Grocery Spending'!$E$5:$E$404,TEXT(TODAY(),"yyyy-mm"),'Grocery Spending'!$G$5:$G$404,"Takeaway"),IF(D32="Grocery spend this month",SUMIFS('Grocery Spending'!$K$5:$K$404,'Grocery Spending'!$E$5:$E$404,TEXT(TODAY(),"yyyy-mm")),IF(D32="New recipes this month",COUNTIFS(Recipes!$BE$5:$BE$204,"&gt;="&amp;DATE(YEAR(TODAY()),MONTH(TODAY()),1)),IF(D32="Food waste this month",SUMIFS('Food Waste'!$L$5:$L$154,'Food Waste'!$D$5:$D$154,TEXT(TODAY(),"yyyy-mm")),IF(D32="Packed lunches a week",COUNTIFS('Meal Plan'!$B$5:$B$504,"&gt;="&amp;TODAY()-7,'Meal Plan'!$F$5:$F$504,"Lunch",'Meal Plan'!$AD$5:$AD$504,"Yes"),IF(D32="Leftovers eaten",COUNTIFS(Leftovers!$Q$5:$Q$124,"Eaten"),IF(D32="Meals prepped ahead",COUNTIFS('Meal Prep'!$W$5:$W$124,"Done"),"")))))))),""))</f>
        <v>0</v>
      </c>
      <c r="I32" s="45">
        <f>IF(H32&lt;&gt;"",H32,G32)</f>
        <v>0</v>
      </c>
      <c r="J32" s="50">
        <f>IF(OR(E32="",E32=0,I32=""),"",IF(F32="Stay under",IF(I32=0,1,MIN(2,E32/I32)),MIN(2,I32/E32)))</f>
        <v>0</v>
      </c>
      <c r="K32" s="46">
        <f>IF(J32="","",IF(J32&gt;=1,"Yes","No"))</f>
        <v>0</v>
      </c>
      <c r="Q32" s="31">
        <f>IF(B32="","",IF(P32="Done","OK",IF(E32="","Add - no target set",IF(AND(N32&lt;&gt;"",N32&lt;TODAY()),"Due - time to review this",IF(K32="No","Check - behind target","OK")))))</f>
        <v>0</v>
      </c>
    </row>
    <row r="33" spans="1:18">
      <c r="A33" s="39">
        <f>IF(B33="","","GL-"&amp;TEXT(ROW()-4,"000"))</f>
        <v>0</v>
      </c>
      <c r="G33" s="45">
        <f>IF(D33="","",IFERROR(IF(D33="Home cooked meals a week",COUNTIFS('Meal Plan'!$B$5:$B$504,"&gt;="&amp;TODAY()-7,'Meal Plan'!$B$5:$B$504,"&lt;="&amp;TODAY(),'Meal Plan'!$AD$5:$AD$504,"Yes"),IF(D33="Takeaways a month",COUNTIFS('Grocery Spending'!$E$5:$E$404,TEXT(TODAY(),"yyyy-mm"),'Grocery Spending'!$G$5:$G$404,"Takeaway"),IF(D33="Grocery spend this month",SUMIFS('Grocery Spending'!$K$5:$K$404,'Grocery Spending'!$E$5:$E$404,TEXT(TODAY(),"yyyy-mm")),IF(D33="New recipes this month",COUNTIFS(Recipes!$BE$5:$BE$204,"&gt;="&amp;DATE(YEAR(TODAY()),MONTH(TODAY()),1)),IF(D33="Food waste this month",SUMIFS('Food Waste'!$L$5:$L$154,'Food Waste'!$D$5:$D$154,TEXT(TODAY(),"yyyy-mm")),IF(D33="Packed lunches a week",COUNTIFS('Meal Plan'!$B$5:$B$504,"&gt;="&amp;TODAY()-7,'Meal Plan'!$F$5:$F$504,"Lunch",'Meal Plan'!$AD$5:$AD$504,"Yes"),IF(D33="Leftovers eaten",COUNTIFS(Leftovers!$Q$5:$Q$124,"Eaten"),IF(D33="Meals prepped ahead",COUNTIFS('Meal Prep'!$W$5:$W$124,"Done"),"")))))))),""))</f>
        <v>0</v>
      </c>
      <c r="I33" s="45">
        <f>IF(H33&lt;&gt;"",H33,G33)</f>
        <v>0</v>
      </c>
      <c r="J33" s="50">
        <f>IF(OR(E33="",E33=0,I33=""),"",IF(F33="Stay under",IF(I33=0,1,MIN(2,E33/I33)),MIN(2,I33/E33)))</f>
        <v>0</v>
      </c>
      <c r="K33" s="46">
        <f>IF(J33="","",IF(J33&gt;=1,"Yes","No"))</f>
        <v>0</v>
      </c>
      <c r="Q33" s="31">
        <f>IF(B33="","",IF(P33="Done","OK",IF(E33="","Add - no target set",IF(AND(N33&lt;&gt;"",N33&lt;TODAY()),"Due - time to review this",IF(K33="No","Check - behind target","OK")))))</f>
        <v>0</v>
      </c>
    </row>
    <row r="34" spans="1:18">
      <c r="A34" s="39">
        <f>IF(B34="","","GL-"&amp;TEXT(ROW()-4,"000"))</f>
        <v>0</v>
      </c>
      <c r="G34" s="45">
        <f>IF(D34="","",IFERROR(IF(D34="Home cooked meals a week",COUNTIFS('Meal Plan'!$B$5:$B$504,"&gt;="&amp;TODAY()-7,'Meal Plan'!$B$5:$B$504,"&lt;="&amp;TODAY(),'Meal Plan'!$AD$5:$AD$504,"Yes"),IF(D34="Takeaways a month",COUNTIFS('Grocery Spending'!$E$5:$E$404,TEXT(TODAY(),"yyyy-mm"),'Grocery Spending'!$G$5:$G$404,"Takeaway"),IF(D34="Grocery spend this month",SUMIFS('Grocery Spending'!$K$5:$K$404,'Grocery Spending'!$E$5:$E$404,TEXT(TODAY(),"yyyy-mm")),IF(D34="New recipes this month",COUNTIFS(Recipes!$BE$5:$BE$204,"&gt;="&amp;DATE(YEAR(TODAY()),MONTH(TODAY()),1)),IF(D34="Food waste this month",SUMIFS('Food Waste'!$L$5:$L$154,'Food Waste'!$D$5:$D$154,TEXT(TODAY(),"yyyy-mm")),IF(D34="Packed lunches a week",COUNTIFS('Meal Plan'!$B$5:$B$504,"&gt;="&amp;TODAY()-7,'Meal Plan'!$F$5:$F$504,"Lunch",'Meal Plan'!$AD$5:$AD$504,"Yes"),IF(D34="Leftovers eaten",COUNTIFS(Leftovers!$Q$5:$Q$124,"Eaten"),IF(D34="Meals prepped ahead",COUNTIFS('Meal Prep'!$W$5:$W$124,"Done"),"")))))))),""))</f>
        <v>0</v>
      </c>
      <c r="I34" s="45">
        <f>IF(H34&lt;&gt;"",H34,G34)</f>
        <v>0</v>
      </c>
      <c r="J34" s="50">
        <f>IF(OR(E34="",E34=0,I34=""),"",IF(F34="Stay under",IF(I34=0,1,MIN(2,E34/I34)),MIN(2,I34/E34)))</f>
        <v>0</v>
      </c>
      <c r="K34" s="46">
        <f>IF(J34="","",IF(J34&gt;=1,"Yes","No"))</f>
        <v>0</v>
      </c>
      <c r="Q34" s="31">
        <f>IF(B34="","",IF(P34="Done","OK",IF(E34="","Add - no target set",IF(AND(N34&lt;&gt;"",N34&lt;TODAY()),"Due - time to review this",IF(K34="No","Check - behind target","OK")))))</f>
        <v>0</v>
      </c>
    </row>
    <row r="35" spans="1:18">
      <c r="A35" s="39">
        <f>IF(B35="","","GL-"&amp;TEXT(ROW()-4,"000"))</f>
        <v>0</v>
      </c>
      <c r="G35" s="45">
        <f>IF(D35="","",IFERROR(IF(D35="Home cooked meals a week",COUNTIFS('Meal Plan'!$B$5:$B$504,"&gt;="&amp;TODAY()-7,'Meal Plan'!$B$5:$B$504,"&lt;="&amp;TODAY(),'Meal Plan'!$AD$5:$AD$504,"Yes"),IF(D35="Takeaways a month",COUNTIFS('Grocery Spending'!$E$5:$E$404,TEXT(TODAY(),"yyyy-mm"),'Grocery Spending'!$G$5:$G$404,"Takeaway"),IF(D35="Grocery spend this month",SUMIFS('Grocery Spending'!$K$5:$K$404,'Grocery Spending'!$E$5:$E$404,TEXT(TODAY(),"yyyy-mm")),IF(D35="New recipes this month",COUNTIFS(Recipes!$BE$5:$BE$204,"&gt;="&amp;DATE(YEAR(TODAY()),MONTH(TODAY()),1)),IF(D35="Food waste this month",SUMIFS('Food Waste'!$L$5:$L$154,'Food Waste'!$D$5:$D$154,TEXT(TODAY(),"yyyy-mm")),IF(D35="Packed lunches a week",COUNTIFS('Meal Plan'!$B$5:$B$504,"&gt;="&amp;TODAY()-7,'Meal Plan'!$F$5:$F$504,"Lunch",'Meal Plan'!$AD$5:$AD$504,"Yes"),IF(D35="Leftovers eaten",COUNTIFS(Leftovers!$Q$5:$Q$124,"Eaten"),IF(D35="Meals prepped ahead",COUNTIFS('Meal Prep'!$W$5:$W$124,"Done"),"")))))))),""))</f>
        <v>0</v>
      </c>
      <c r="I35" s="45">
        <f>IF(H35&lt;&gt;"",H35,G35)</f>
        <v>0</v>
      </c>
      <c r="J35" s="50">
        <f>IF(OR(E35="",E35=0,I35=""),"",IF(F35="Stay under",IF(I35=0,1,MIN(2,E35/I35)),MIN(2,I35/E35)))</f>
        <v>0</v>
      </c>
      <c r="K35" s="46">
        <f>IF(J35="","",IF(J35&gt;=1,"Yes","No"))</f>
        <v>0</v>
      </c>
      <c r="Q35" s="31">
        <f>IF(B35="","",IF(P35="Done","OK",IF(E35="","Add - no target set",IF(AND(N35&lt;&gt;"",N35&lt;TODAY()),"Due - time to review this",IF(K35="No","Check - behind target","OK")))))</f>
        <v>0</v>
      </c>
    </row>
    <row r="36" spans="1:18">
      <c r="A36" s="39">
        <f>IF(B36="","","GL-"&amp;TEXT(ROW()-4,"000"))</f>
        <v>0</v>
      </c>
      <c r="G36" s="45">
        <f>IF(D36="","",IFERROR(IF(D36="Home cooked meals a week",COUNTIFS('Meal Plan'!$B$5:$B$504,"&gt;="&amp;TODAY()-7,'Meal Plan'!$B$5:$B$504,"&lt;="&amp;TODAY(),'Meal Plan'!$AD$5:$AD$504,"Yes"),IF(D36="Takeaways a month",COUNTIFS('Grocery Spending'!$E$5:$E$404,TEXT(TODAY(),"yyyy-mm"),'Grocery Spending'!$G$5:$G$404,"Takeaway"),IF(D36="Grocery spend this month",SUMIFS('Grocery Spending'!$K$5:$K$404,'Grocery Spending'!$E$5:$E$404,TEXT(TODAY(),"yyyy-mm")),IF(D36="New recipes this month",COUNTIFS(Recipes!$BE$5:$BE$204,"&gt;="&amp;DATE(YEAR(TODAY()),MONTH(TODAY()),1)),IF(D36="Food waste this month",SUMIFS('Food Waste'!$L$5:$L$154,'Food Waste'!$D$5:$D$154,TEXT(TODAY(),"yyyy-mm")),IF(D36="Packed lunches a week",COUNTIFS('Meal Plan'!$B$5:$B$504,"&gt;="&amp;TODAY()-7,'Meal Plan'!$F$5:$F$504,"Lunch",'Meal Plan'!$AD$5:$AD$504,"Yes"),IF(D36="Leftovers eaten",COUNTIFS(Leftovers!$Q$5:$Q$124,"Eaten"),IF(D36="Meals prepped ahead",COUNTIFS('Meal Prep'!$W$5:$W$124,"Done"),"")))))))),""))</f>
        <v>0</v>
      </c>
      <c r="I36" s="45">
        <f>IF(H36&lt;&gt;"",H36,G36)</f>
        <v>0</v>
      </c>
      <c r="J36" s="50">
        <f>IF(OR(E36="",E36=0,I36=""),"",IF(F36="Stay under",IF(I36=0,1,MIN(2,E36/I36)),MIN(2,I36/E36)))</f>
        <v>0</v>
      </c>
      <c r="K36" s="46">
        <f>IF(J36="","",IF(J36&gt;=1,"Yes","No"))</f>
        <v>0</v>
      </c>
      <c r="Q36" s="31">
        <f>IF(B36="","",IF(P36="Done","OK",IF(E36="","Add - no target set",IF(AND(N36&lt;&gt;"",N36&lt;TODAY()),"Due - time to review this",IF(K36="No","Check - behind target","OK")))))</f>
        <v>0</v>
      </c>
    </row>
    <row r="37" spans="1:18">
      <c r="A37" s="39">
        <f>IF(B37="","","GL-"&amp;TEXT(ROW()-4,"000"))</f>
        <v>0</v>
      </c>
      <c r="G37" s="45">
        <f>IF(D37="","",IFERROR(IF(D37="Home cooked meals a week",COUNTIFS('Meal Plan'!$B$5:$B$504,"&gt;="&amp;TODAY()-7,'Meal Plan'!$B$5:$B$504,"&lt;="&amp;TODAY(),'Meal Plan'!$AD$5:$AD$504,"Yes"),IF(D37="Takeaways a month",COUNTIFS('Grocery Spending'!$E$5:$E$404,TEXT(TODAY(),"yyyy-mm"),'Grocery Spending'!$G$5:$G$404,"Takeaway"),IF(D37="Grocery spend this month",SUMIFS('Grocery Spending'!$K$5:$K$404,'Grocery Spending'!$E$5:$E$404,TEXT(TODAY(),"yyyy-mm")),IF(D37="New recipes this month",COUNTIFS(Recipes!$BE$5:$BE$204,"&gt;="&amp;DATE(YEAR(TODAY()),MONTH(TODAY()),1)),IF(D37="Food waste this month",SUMIFS('Food Waste'!$L$5:$L$154,'Food Waste'!$D$5:$D$154,TEXT(TODAY(),"yyyy-mm")),IF(D37="Packed lunches a week",COUNTIFS('Meal Plan'!$B$5:$B$504,"&gt;="&amp;TODAY()-7,'Meal Plan'!$F$5:$F$504,"Lunch",'Meal Plan'!$AD$5:$AD$504,"Yes"),IF(D37="Leftovers eaten",COUNTIFS(Leftovers!$Q$5:$Q$124,"Eaten"),IF(D37="Meals prepped ahead",COUNTIFS('Meal Prep'!$W$5:$W$124,"Done"),"")))))))),""))</f>
        <v>0</v>
      </c>
      <c r="I37" s="45">
        <f>IF(H37&lt;&gt;"",H37,G37)</f>
        <v>0</v>
      </c>
      <c r="J37" s="50">
        <f>IF(OR(E37="",E37=0,I37=""),"",IF(F37="Stay under",IF(I37=0,1,MIN(2,E37/I37)),MIN(2,I37/E37)))</f>
        <v>0</v>
      </c>
      <c r="K37" s="46">
        <f>IF(J37="","",IF(J37&gt;=1,"Yes","No"))</f>
        <v>0</v>
      </c>
      <c r="Q37" s="31">
        <f>IF(B37="","",IF(P37="Done","OK",IF(E37="","Add - no target set",IF(AND(N37&lt;&gt;"",N37&lt;TODAY()),"Due - time to review this",IF(K37="No","Check - behind target","OK")))))</f>
        <v>0</v>
      </c>
    </row>
    <row r="38" spans="1:18">
      <c r="A38" s="39">
        <f>IF(B38="","","GL-"&amp;TEXT(ROW()-4,"000"))</f>
        <v>0</v>
      </c>
      <c r="G38" s="45">
        <f>IF(D38="","",IFERROR(IF(D38="Home cooked meals a week",COUNTIFS('Meal Plan'!$B$5:$B$504,"&gt;="&amp;TODAY()-7,'Meal Plan'!$B$5:$B$504,"&lt;="&amp;TODAY(),'Meal Plan'!$AD$5:$AD$504,"Yes"),IF(D38="Takeaways a month",COUNTIFS('Grocery Spending'!$E$5:$E$404,TEXT(TODAY(),"yyyy-mm"),'Grocery Spending'!$G$5:$G$404,"Takeaway"),IF(D38="Grocery spend this month",SUMIFS('Grocery Spending'!$K$5:$K$404,'Grocery Spending'!$E$5:$E$404,TEXT(TODAY(),"yyyy-mm")),IF(D38="New recipes this month",COUNTIFS(Recipes!$BE$5:$BE$204,"&gt;="&amp;DATE(YEAR(TODAY()),MONTH(TODAY()),1)),IF(D38="Food waste this month",SUMIFS('Food Waste'!$L$5:$L$154,'Food Waste'!$D$5:$D$154,TEXT(TODAY(),"yyyy-mm")),IF(D38="Packed lunches a week",COUNTIFS('Meal Plan'!$B$5:$B$504,"&gt;="&amp;TODAY()-7,'Meal Plan'!$F$5:$F$504,"Lunch",'Meal Plan'!$AD$5:$AD$504,"Yes"),IF(D38="Leftovers eaten",COUNTIFS(Leftovers!$Q$5:$Q$124,"Eaten"),IF(D38="Meals prepped ahead",COUNTIFS('Meal Prep'!$W$5:$W$124,"Done"),"")))))))),""))</f>
        <v>0</v>
      </c>
      <c r="I38" s="45">
        <f>IF(H38&lt;&gt;"",H38,G38)</f>
        <v>0</v>
      </c>
      <c r="J38" s="50">
        <f>IF(OR(E38="",E38=0,I38=""),"",IF(F38="Stay under",IF(I38=0,1,MIN(2,E38/I38)),MIN(2,I38/E38)))</f>
        <v>0</v>
      </c>
      <c r="K38" s="46">
        <f>IF(J38="","",IF(J38&gt;=1,"Yes","No"))</f>
        <v>0</v>
      </c>
      <c r="Q38" s="31">
        <f>IF(B38="","",IF(P38="Done","OK",IF(E38="","Add - no target set",IF(AND(N38&lt;&gt;"",N38&lt;TODAY()),"Due - time to review this",IF(K38="No","Check - behind target","OK")))))</f>
        <v>0</v>
      </c>
    </row>
    <row r="39" spans="1:18">
      <c r="A39" s="39">
        <f>IF(B39="","","GL-"&amp;TEXT(ROW()-4,"000"))</f>
        <v>0</v>
      </c>
      <c r="G39" s="45">
        <f>IF(D39="","",IFERROR(IF(D39="Home cooked meals a week",COUNTIFS('Meal Plan'!$B$5:$B$504,"&gt;="&amp;TODAY()-7,'Meal Plan'!$B$5:$B$504,"&lt;="&amp;TODAY(),'Meal Plan'!$AD$5:$AD$504,"Yes"),IF(D39="Takeaways a month",COUNTIFS('Grocery Spending'!$E$5:$E$404,TEXT(TODAY(),"yyyy-mm"),'Grocery Spending'!$G$5:$G$404,"Takeaway"),IF(D39="Grocery spend this month",SUMIFS('Grocery Spending'!$K$5:$K$404,'Grocery Spending'!$E$5:$E$404,TEXT(TODAY(),"yyyy-mm")),IF(D39="New recipes this month",COUNTIFS(Recipes!$BE$5:$BE$204,"&gt;="&amp;DATE(YEAR(TODAY()),MONTH(TODAY()),1)),IF(D39="Food waste this month",SUMIFS('Food Waste'!$L$5:$L$154,'Food Waste'!$D$5:$D$154,TEXT(TODAY(),"yyyy-mm")),IF(D39="Packed lunches a week",COUNTIFS('Meal Plan'!$B$5:$B$504,"&gt;="&amp;TODAY()-7,'Meal Plan'!$F$5:$F$504,"Lunch",'Meal Plan'!$AD$5:$AD$504,"Yes"),IF(D39="Leftovers eaten",COUNTIFS(Leftovers!$Q$5:$Q$124,"Eaten"),IF(D39="Meals prepped ahead",COUNTIFS('Meal Prep'!$W$5:$W$124,"Done"),"")))))))),""))</f>
        <v>0</v>
      </c>
      <c r="I39" s="45">
        <f>IF(H39&lt;&gt;"",H39,G39)</f>
        <v>0</v>
      </c>
      <c r="J39" s="50">
        <f>IF(OR(E39="",E39=0,I39=""),"",IF(F39="Stay under",IF(I39=0,1,MIN(2,E39/I39)),MIN(2,I39/E39)))</f>
        <v>0</v>
      </c>
      <c r="K39" s="46">
        <f>IF(J39="","",IF(J39&gt;=1,"Yes","No"))</f>
        <v>0</v>
      </c>
      <c r="Q39" s="31">
        <f>IF(B39="","",IF(P39="Done","OK",IF(E39="","Add - no target set",IF(AND(N39&lt;&gt;"",N39&lt;TODAY()),"Due - time to review this",IF(K39="No","Check - behind target","OK")))))</f>
        <v>0</v>
      </c>
    </row>
    <row r="40" spans="1:18">
      <c r="A40" s="39">
        <f>IF(B40="","","GL-"&amp;TEXT(ROW()-4,"000"))</f>
        <v>0</v>
      </c>
      <c r="G40" s="45">
        <f>IF(D40="","",IFERROR(IF(D40="Home cooked meals a week",COUNTIFS('Meal Plan'!$B$5:$B$504,"&gt;="&amp;TODAY()-7,'Meal Plan'!$B$5:$B$504,"&lt;="&amp;TODAY(),'Meal Plan'!$AD$5:$AD$504,"Yes"),IF(D40="Takeaways a month",COUNTIFS('Grocery Spending'!$E$5:$E$404,TEXT(TODAY(),"yyyy-mm"),'Grocery Spending'!$G$5:$G$404,"Takeaway"),IF(D40="Grocery spend this month",SUMIFS('Grocery Spending'!$K$5:$K$404,'Grocery Spending'!$E$5:$E$404,TEXT(TODAY(),"yyyy-mm")),IF(D40="New recipes this month",COUNTIFS(Recipes!$BE$5:$BE$204,"&gt;="&amp;DATE(YEAR(TODAY()),MONTH(TODAY()),1)),IF(D40="Food waste this month",SUMIFS('Food Waste'!$L$5:$L$154,'Food Waste'!$D$5:$D$154,TEXT(TODAY(),"yyyy-mm")),IF(D40="Packed lunches a week",COUNTIFS('Meal Plan'!$B$5:$B$504,"&gt;="&amp;TODAY()-7,'Meal Plan'!$F$5:$F$504,"Lunch",'Meal Plan'!$AD$5:$AD$504,"Yes"),IF(D40="Leftovers eaten",COUNTIFS(Leftovers!$Q$5:$Q$124,"Eaten"),IF(D40="Meals prepped ahead",COUNTIFS('Meal Prep'!$W$5:$W$124,"Done"),"")))))))),""))</f>
        <v>0</v>
      </c>
      <c r="I40" s="45">
        <f>IF(H40&lt;&gt;"",H40,G40)</f>
        <v>0</v>
      </c>
      <c r="J40" s="50">
        <f>IF(OR(E40="",E40=0,I40=""),"",IF(F40="Stay under",IF(I40=0,1,MIN(2,E40/I40)),MIN(2,I40/E40)))</f>
        <v>0</v>
      </c>
      <c r="K40" s="46">
        <f>IF(J40="","",IF(J40&gt;=1,"Yes","No"))</f>
        <v>0</v>
      </c>
      <c r="Q40" s="31">
        <f>IF(B40="","",IF(P40="Done","OK",IF(E40="","Add - no target set",IF(AND(N40&lt;&gt;"",N40&lt;TODAY()),"Due - time to review this",IF(K40="No","Check - behind target","OK")))))</f>
        <v>0</v>
      </c>
    </row>
    <row r="41" spans="1:18">
      <c r="A41" s="39">
        <f>IF(B41="","","GL-"&amp;TEXT(ROW()-4,"000"))</f>
        <v>0</v>
      </c>
      <c r="G41" s="45">
        <f>IF(D41="","",IFERROR(IF(D41="Home cooked meals a week",COUNTIFS('Meal Plan'!$B$5:$B$504,"&gt;="&amp;TODAY()-7,'Meal Plan'!$B$5:$B$504,"&lt;="&amp;TODAY(),'Meal Plan'!$AD$5:$AD$504,"Yes"),IF(D41="Takeaways a month",COUNTIFS('Grocery Spending'!$E$5:$E$404,TEXT(TODAY(),"yyyy-mm"),'Grocery Spending'!$G$5:$G$404,"Takeaway"),IF(D41="Grocery spend this month",SUMIFS('Grocery Spending'!$K$5:$K$404,'Grocery Spending'!$E$5:$E$404,TEXT(TODAY(),"yyyy-mm")),IF(D41="New recipes this month",COUNTIFS(Recipes!$BE$5:$BE$204,"&gt;="&amp;DATE(YEAR(TODAY()),MONTH(TODAY()),1)),IF(D41="Food waste this month",SUMIFS('Food Waste'!$L$5:$L$154,'Food Waste'!$D$5:$D$154,TEXT(TODAY(),"yyyy-mm")),IF(D41="Packed lunches a week",COUNTIFS('Meal Plan'!$B$5:$B$504,"&gt;="&amp;TODAY()-7,'Meal Plan'!$F$5:$F$504,"Lunch",'Meal Plan'!$AD$5:$AD$504,"Yes"),IF(D41="Leftovers eaten",COUNTIFS(Leftovers!$Q$5:$Q$124,"Eaten"),IF(D41="Meals prepped ahead",COUNTIFS('Meal Prep'!$W$5:$W$124,"Done"),"")))))))),""))</f>
        <v>0</v>
      </c>
      <c r="I41" s="45">
        <f>IF(H41&lt;&gt;"",H41,G41)</f>
        <v>0</v>
      </c>
      <c r="J41" s="50">
        <f>IF(OR(E41="",E41=0,I41=""),"",IF(F41="Stay under",IF(I41=0,1,MIN(2,E41/I41)),MIN(2,I41/E41)))</f>
        <v>0</v>
      </c>
      <c r="K41" s="46">
        <f>IF(J41="","",IF(J41&gt;=1,"Yes","No"))</f>
        <v>0</v>
      </c>
      <c r="Q41" s="31">
        <f>IF(B41="","",IF(P41="Done","OK",IF(E41="","Add - no target set",IF(AND(N41&lt;&gt;"",N41&lt;TODAY()),"Due - time to review this",IF(K41="No","Check - behind target","OK")))))</f>
        <v>0</v>
      </c>
    </row>
    <row r="42" spans="1:18">
      <c r="A42" s="39">
        <f>IF(B42="","","GL-"&amp;TEXT(ROW()-4,"000"))</f>
        <v>0</v>
      </c>
      <c r="G42" s="45">
        <f>IF(D42="","",IFERROR(IF(D42="Home cooked meals a week",COUNTIFS('Meal Plan'!$B$5:$B$504,"&gt;="&amp;TODAY()-7,'Meal Plan'!$B$5:$B$504,"&lt;="&amp;TODAY(),'Meal Plan'!$AD$5:$AD$504,"Yes"),IF(D42="Takeaways a month",COUNTIFS('Grocery Spending'!$E$5:$E$404,TEXT(TODAY(),"yyyy-mm"),'Grocery Spending'!$G$5:$G$404,"Takeaway"),IF(D42="Grocery spend this month",SUMIFS('Grocery Spending'!$K$5:$K$404,'Grocery Spending'!$E$5:$E$404,TEXT(TODAY(),"yyyy-mm")),IF(D42="New recipes this month",COUNTIFS(Recipes!$BE$5:$BE$204,"&gt;="&amp;DATE(YEAR(TODAY()),MONTH(TODAY()),1)),IF(D42="Food waste this month",SUMIFS('Food Waste'!$L$5:$L$154,'Food Waste'!$D$5:$D$154,TEXT(TODAY(),"yyyy-mm")),IF(D42="Packed lunches a week",COUNTIFS('Meal Plan'!$B$5:$B$504,"&gt;="&amp;TODAY()-7,'Meal Plan'!$F$5:$F$504,"Lunch",'Meal Plan'!$AD$5:$AD$504,"Yes"),IF(D42="Leftovers eaten",COUNTIFS(Leftovers!$Q$5:$Q$124,"Eaten"),IF(D42="Meals prepped ahead",COUNTIFS('Meal Prep'!$W$5:$W$124,"Done"),"")))))))),""))</f>
        <v>0</v>
      </c>
      <c r="I42" s="45">
        <f>IF(H42&lt;&gt;"",H42,G42)</f>
        <v>0</v>
      </c>
      <c r="J42" s="50">
        <f>IF(OR(E42="",E42=0,I42=""),"",IF(F42="Stay under",IF(I42=0,1,MIN(2,E42/I42)),MIN(2,I42/E42)))</f>
        <v>0</v>
      </c>
      <c r="K42" s="46">
        <f>IF(J42="","",IF(J42&gt;=1,"Yes","No"))</f>
        <v>0</v>
      </c>
      <c r="Q42" s="31">
        <f>IF(B42="","",IF(P42="Done","OK",IF(E42="","Add - no target set",IF(AND(N42&lt;&gt;"",N42&lt;TODAY()),"Due - time to review this",IF(K42="No","Check - behind target","OK")))))</f>
        <v>0</v>
      </c>
    </row>
    <row r="43" spans="1:18">
      <c r="A43" s="39">
        <f>IF(B43="","","GL-"&amp;TEXT(ROW()-4,"000"))</f>
        <v>0</v>
      </c>
      <c r="G43" s="45">
        <f>IF(D43="","",IFERROR(IF(D43="Home cooked meals a week",COUNTIFS('Meal Plan'!$B$5:$B$504,"&gt;="&amp;TODAY()-7,'Meal Plan'!$B$5:$B$504,"&lt;="&amp;TODAY(),'Meal Plan'!$AD$5:$AD$504,"Yes"),IF(D43="Takeaways a month",COUNTIFS('Grocery Spending'!$E$5:$E$404,TEXT(TODAY(),"yyyy-mm"),'Grocery Spending'!$G$5:$G$404,"Takeaway"),IF(D43="Grocery spend this month",SUMIFS('Grocery Spending'!$K$5:$K$404,'Grocery Spending'!$E$5:$E$404,TEXT(TODAY(),"yyyy-mm")),IF(D43="New recipes this month",COUNTIFS(Recipes!$BE$5:$BE$204,"&gt;="&amp;DATE(YEAR(TODAY()),MONTH(TODAY()),1)),IF(D43="Food waste this month",SUMIFS('Food Waste'!$L$5:$L$154,'Food Waste'!$D$5:$D$154,TEXT(TODAY(),"yyyy-mm")),IF(D43="Packed lunches a week",COUNTIFS('Meal Plan'!$B$5:$B$504,"&gt;="&amp;TODAY()-7,'Meal Plan'!$F$5:$F$504,"Lunch",'Meal Plan'!$AD$5:$AD$504,"Yes"),IF(D43="Leftovers eaten",COUNTIFS(Leftovers!$Q$5:$Q$124,"Eaten"),IF(D43="Meals prepped ahead",COUNTIFS('Meal Prep'!$W$5:$W$124,"Done"),"")))))))),""))</f>
        <v>0</v>
      </c>
      <c r="I43" s="45">
        <f>IF(H43&lt;&gt;"",H43,G43)</f>
        <v>0</v>
      </c>
      <c r="J43" s="50">
        <f>IF(OR(E43="",E43=0,I43=""),"",IF(F43="Stay under",IF(I43=0,1,MIN(2,E43/I43)),MIN(2,I43/E43)))</f>
        <v>0</v>
      </c>
      <c r="K43" s="46">
        <f>IF(J43="","",IF(J43&gt;=1,"Yes","No"))</f>
        <v>0</v>
      </c>
      <c r="Q43" s="31">
        <f>IF(B43="","",IF(P43="Done","OK",IF(E43="","Add - no target set",IF(AND(N43&lt;&gt;"",N43&lt;TODAY()),"Due - time to review this",IF(K43="No","Check - behind target","OK")))))</f>
        <v>0</v>
      </c>
    </row>
    <row r="44" spans="1:18">
      <c r="A44" s="39">
        <f>IF(B44="","","GL-"&amp;TEXT(ROW()-4,"000"))</f>
        <v>0</v>
      </c>
      <c r="G44" s="45">
        <f>IF(D44="","",IFERROR(IF(D44="Home cooked meals a week",COUNTIFS('Meal Plan'!$B$5:$B$504,"&gt;="&amp;TODAY()-7,'Meal Plan'!$B$5:$B$504,"&lt;="&amp;TODAY(),'Meal Plan'!$AD$5:$AD$504,"Yes"),IF(D44="Takeaways a month",COUNTIFS('Grocery Spending'!$E$5:$E$404,TEXT(TODAY(),"yyyy-mm"),'Grocery Spending'!$G$5:$G$404,"Takeaway"),IF(D44="Grocery spend this month",SUMIFS('Grocery Spending'!$K$5:$K$404,'Grocery Spending'!$E$5:$E$404,TEXT(TODAY(),"yyyy-mm")),IF(D44="New recipes this month",COUNTIFS(Recipes!$BE$5:$BE$204,"&gt;="&amp;DATE(YEAR(TODAY()),MONTH(TODAY()),1)),IF(D44="Food waste this month",SUMIFS('Food Waste'!$L$5:$L$154,'Food Waste'!$D$5:$D$154,TEXT(TODAY(),"yyyy-mm")),IF(D44="Packed lunches a week",COUNTIFS('Meal Plan'!$B$5:$B$504,"&gt;="&amp;TODAY()-7,'Meal Plan'!$F$5:$F$504,"Lunch",'Meal Plan'!$AD$5:$AD$504,"Yes"),IF(D44="Leftovers eaten",COUNTIFS(Leftovers!$Q$5:$Q$124,"Eaten"),IF(D44="Meals prepped ahead",COUNTIFS('Meal Prep'!$W$5:$W$124,"Done"),"")))))))),""))</f>
        <v>0</v>
      </c>
      <c r="I44" s="45">
        <f>IF(H44&lt;&gt;"",H44,G44)</f>
        <v>0</v>
      </c>
      <c r="J44" s="50">
        <f>IF(OR(E44="",E44=0,I44=""),"",IF(F44="Stay under",IF(I44=0,1,MIN(2,E44/I44)),MIN(2,I44/E44)))</f>
        <v>0</v>
      </c>
      <c r="K44" s="46">
        <f>IF(J44="","",IF(J44&gt;=1,"Yes","No"))</f>
        <v>0</v>
      </c>
      <c r="Q44" s="31">
        <f>IF(B44="","",IF(P44="Done","OK",IF(E44="","Add - no target set",IF(AND(N44&lt;&gt;"",N44&lt;TODAY()),"Due - time to review this",IF(K44="No","Check - behind target","OK")))))</f>
        <v>0</v>
      </c>
    </row>
    <row r="46" spans="1:18" ht="20" customHeight="1">
      <c r="A46" s="7" t="s">
        <v>1652</v>
      </c>
      <c r="B46" s="7"/>
      <c r="C46" s="7"/>
      <c r="D46" s="7"/>
      <c r="E46" s="7"/>
      <c r="F46" s="7"/>
      <c r="G46" s="7"/>
      <c r="H46" s="7"/>
      <c r="I46" s="7"/>
      <c r="J46" s="7"/>
      <c r="K46" s="7"/>
      <c r="L46" s="7"/>
      <c r="M46" s="7"/>
      <c r="N46" s="7"/>
      <c r="O46" s="7"/>
      <c r="P46" s="7"/>
      <c r="Q46" s="7"/>
      <c r="R46" s="7"/>
    </row>
    <row r="47" spans="1:18" ht="26" customHeight="1">
      <c r="A47" s="8" t="s">
        <v>1653</v>
      </c>
      <c r="B47" s="9" t="s">
        <v>560</v>
      </c>
      <c r="C47" s="9" t="s">
        <v>561</v>
      </c>
      <c r="D47" s="9" t="s">
        <v>1654</v>
      </c>
      <c r="E47" s="9" t="s">
        <v>1655</v>
      </c>
      <c r="F47" s="9" t="s">
        <v>1656</v>
      </c>
    </row>
    <row r="48" spans="1:18">
      <c r="A48" s="18">
        <f>COUNTIF(Goals!$B$5:$B$44,"&lt;&gt;")</f>
        <v>0</v>
      </c>
      <c r="B48" s="18">
        <f>COUNTIF(Goals!$K$5:$K$44,"Yes")</f>
        <v>0</v>
      </c>
      <c r="C48" s="18">
        <f>COUNTIF(Goals!$K$5:$K$44,"No")</f>
        <v>0</v>
      </c>
      <c r="D48" s="50">
        <f>IFERROR(AVERAGE(Goals!$J$5:$J$44),"")</f>
        <v>0</v>
      </c>
      <c r="E48" s="18">
        <f>COUNTIFS(Goals!$N$5:$N$44,"&lt;"&amp;TODAY(),Goals!$N$5:$N$44,"&gt;0",Goals!$P$5:$P$44,"&lt;&gt;Done")</f>
        <v>0</v>
      </c>
      <c r="F48" s="18">
        <f>COUNTIF(Goals!$P$5:$P$44,"Done")</f>
        <v>0</v>
      </c>
    </row>
  </sheetData>
  <sheetProtection password="EC7C" sheet="1" objects="1" scenarios="1" formatCells="0" formatColumns="0" formatRows="0" insertRows="0" insertHyperlinks="0" deleteRows="0" autoFilter="0"/>
  <autoFilter ref="A4:R44"/>
  <mergeCells count="13">
    <mergeCell ref="A1:O1"/>
    <mergeCell ref="P1:R1"/>
    <mergeCell ref="A2:R2"/>
    <mergeCell ref="A3:B3"/>
    <mergeCell ref="C3:D3"/>
    <mergeCell ref="E3:F3"/>
    <mergeCell ref="G3:H3"/>
    <mergeCell ref="I3:J3"/>
    <mergeCell ref="K3:L3"/>
    <mergeCell ref="M3:N3"/>
    <mergeCell ref="O3:P3"/>
    <mergeCell ref="Q3:R3"/>
    <mergeCell ref="A46:R46"/>
  </mergeCells>
  <conditionalFormatting sqref="J5:J44">
    <cfRule type="dataBar" priority="1">
      <dataBar>
        <cfvo type="min" val="0"/>
        <cfvo type="max" val="0"/>
        <color rgb="FF4E8A63"/>
      </dataBar>
    </cfRule>
  </conditionalFormatting>
  <conditionalFormatting sqref="K5:K44">
    <cfRule type="containsText" dxfId="1" priority="2" operator="containsText" text="Yes">
      <formula>NOT(ISERROR(SEARCH("Yes",K5)))</formula>
    </cfRule>
    <cfRule type="containsText" dxfId="0" priority="3" operator="containsText" text="No">
      <formula>NOT(ISERROR(SEARCH("No",K5)))</formula>
    </cfRule>
  </conditionalFormatting>
  <conditionalFormatting sqref="P5:P44">
    <cfRule type="containsText" dxfId="1" priority="4" operator="containsText" text="Prepared">
      <formula>NOT(ISERROR(SEARCH("Prepared",P5)))</formula>
    </cfRule>
    <cfRule type="containsText" dxfId="1" priority="5" operator="containsText" text="Cooked">
      <formula>NOT(ISERROR(SEARCH("Cooked",P5)))</formula>
    </cfRule>
    <cfRule type="containsText" dxfId="1" priority="6" operator="containsText" text="Eaten">
      <formula>NOT(ISERROR(SEARCH("Eaten",P5)))</formula>
    </cfRule>
    <cfRule type="containsText" dxfId="1" priority="7" operator="containsText" text="Bought">
      <formula>NOT(ISERROR(SEARCH("Bought",P5)))</formula>
    </cfRule>
    <cfRule type="containsText" dxfId="1" priority="8" operator="containsText" text="Purchased">
      <formula>NOT(ISERROR(SEARCH("Purchased",P5)))</formula>
    </cfRule>
    <cfRule type="containsText" dxfId="1" priority="9" operator="containsText" text="Done">
      <formula>NOT(ISERROR(SEARCH("Done",P5)))</formula>
    </cfRule>
    <cfRule type="containsText" dxfId="1" priority="10" operator="containsText" text="Complete">
      <formula>NOT(ISERROR(SEARCH("Complete",P5)))</formula>
    </cfRule>
    <cfRule type="containsText" dxfId="1" priority="11" operator="containsText" text="In stock">
      <formula>NOT(ISERROR(SEARCH("In stock",P5)))</formula>
    </cfRule>
    <cfRule type="containsText" dxfId="1" priority="12" operator="containsText" text="Yes">
      <formula>NOT(ISERROR(SEARCH("Yes",P5)))</formula>
    </cfRule>
    <cfRule type="containsText" dxfId="4" priority="13" operator="containsText" text="Planned">
      <formula>NOT(ISERROR(SEARCH("Planned",P5)))</formula>
    </cfRule>
    <cfRule type="containsText" dxfId="4" priority="14" operator="containsText" text="Scheduled">
      <formula>NOT(ISERROR(SEARCH("Scheduled",P5)))</formula>
    </cfRule>
    <cfRule type="containsText" dxfId="4" priority="15" operator="containsText" text="Shopping">
      <formula>NOT(ISERROR(SEARCH("Shopping",P5)))</formula>
    </cfRule>
    <cfRule type="containsText" dxfId="4" priority="16" operator="containsText" text="On the list">
      <formula>NOT(ISERROR(SEARCH("On the list",P5)))</formula>
    </cfRule>
    <cfRule type="containsText" dxfId="4" priority="17" operator="containsText" text="Prepping">
      <formula>NOT(ISERROR(SEARCH("Prepping",P5)))</formula>
    </cfRule>
    <cfRule type="containsText" dxfId="4" priority="18" operator="containsText" text="Frozen">
      <formula>NOT(ISERROR(SEARCH("Frozen",P5)))</formula>
    </cfRule>
    <cfRule type="containsText" dxfId="0" priority="19" operator="containsText" text="To do">
      <formula>NOT(ISERROR(SEARCH("To do",P5)))</formula>
    </cfRule>
    <cfRule type="containsText" dxfId="0" priority="20" operator="containsText" text="Not started">
      <formula>NOT(ISERROR(SEARCH("Not started",P5)))</formula>
    </cfRule>
    <cfRule type="containsText" dxfId="0" priority="21" operator="containsText" text="Low stock">
      <formula>NOT(ISERROR(SEARCH("Low stock",P5)))</formula>
    </cfRule>
    <cfRule type="containsText" dxfId="0" priority="22" operator="containsText" text="Use soon">
      <formula>NOT(ISERROR(SEARCH("Use soon",P5)))</formula>
    </cfRule>
    <cfRule type="containsText" dxfId="0" priority="23" operator="containsText" text="Defrosting">
      <formula>NOT(ISERROR(SEARCH("Defrosting",P5)))</formula>
    </cfRule>
    <cfRule type="containsText" dxfId="0" priority="24" operator="containsText" text="Substituted">
      <formula>NOT(ISERROR(SEARCH("Substituted",P5)))</formula>
    </cfRule>
    <cfRule type="containsText" dxfId="2" priority="25" operator="containsText" text="Out of stock">
      <formula>NOT(ISERROR(SEARCH("Out of stock",P5)))</formula>
    </cfRule>
    <cfRule type="containsText" dxfId="2" priority="26" operator="containsText" text="Expired">
      <formula>NOT(ISERROR(SEARCH("Expired",P5)))</formula>
    </cfRule>
    <cfRule type="containsText" dxfId="2" priority="27" operator="containsText" text="Skipped">
      <formula>NOT(ISERROR(SEARCH("Skipped",P5)))</formula>
    </cfRule>
    <cfRule type="containsText" dxfId="2" priority="28" operator="containsText" text="Binned">
      <formula>NOT(ISERROR(SEARCH("Binned",P5)))</formula>
    </cfRule>
    <cfRule type="containsText" dxfId="2" priority="29" operator="containsText" text="Wasted">
      <formula>NOT(ISERROR(SEARCH("Wasted",P5)))</formula>
    </cfRule>
    <cfRule type="containsText" dxfId="2" priority="30" operator="containsText" text="Cancelled">
      <formula>NOT(ISERROR(SEARCH("Cancelled",P5)))</formula>
    </cfRule>
    <cfRule type="containsText" dxfId="3" priority="31" operator="containsText" text="Archived">
      <formula>NOT(ISERROR(SEARCH("Archived",P5)))</formula>
    </cfRule>
    <cfRule type="containsText" dxfId="3" priority="32" operator="containsText" text="Not needed">
      <formula>NOT(ISERROR(SEARCH("Not needed",P5)))</formula>
    </cfRule>
  </conditionalFormatting>
  <conditionalFormatting sqref="Q5:Q44">
    <cfRule type="beginsWith" dxfId="1" priority="33" operator="beginsWith" text="OK">
      <formula>LEFT(Q5,2)="OK"</formula>
    </cfRule>
    <cfRule type="containsText" dxfId="2" priority="34" operator="containsText" text="Overdue">
      <formula>NOT(ISERROR(SEARCH("Overdue",Q5)))</formula>
    </cfRule>
    <cfRule type="containsText" dxfId="2" priority="35" operator="containsText" text="Late">
      <formula>NOT(ISERROR(SEARCH("Late",Q5)))</formula>
    </cfRule>
    <cfRule type="containsText" dxfId="2" priority="36" operator="containsText" text="Missing">
      <formula>NOT(ISERROR(SEARCH("Missing",Q5)))</formula>
    </cfRule>
    <cfRule type="containsText" dxfId="2" priority="37" operator="containsText" text="Conflict">
      <formula>NOT(ISERROR(SEARCH("Conflict",Q5)))</formula>
    </cfRule>
    <cfRule type="containsText" dxfId="2" priority="38" operator="containsText" text="Expired">
      <formula>NOT(ISERROR(SEARCH("Expired",Q5)))</formula>
    </cfRule>
    <cfRule type="containsText" dxfId="2" priority="39" operator="containsText" text="Duplicate">
      <formula>NOT(ISERROR(SEARCH("Duplicate",Q5)))</formula>
    </cfRule>
    <cfRule type="containsText" dxfId="0" priority="40" operator="containsText" text="Action">
      <formula>NOT(ISERROR(SEARCH("Action",Q5)))</formula>
    </cfRule>
    <cfRule type="containsText" dxfId="0" priority="41" operator="containsText" text="Due">
      <formula>NOT(ISERROR(SEARCH("Due",Q5)))</formula>
    </cfRule>
    <cfRule type="containsText" dxfId="0" priority="42" operator="containsText" text="Check">
      <formula>NOT(ISERROR(SEARCH("Check",Q5)))</formula>
    </cfRule>
    <cfRule type="containsText" dxfId="0" priority="43" operator="containsText" text="Add">
      <formula>NOT(ISERROR(SEARCH("Add",Q5)))</formula>
    </cfRule>
    <cfRule type="containsText" dxfId="4" priority="44" operator="containsText" text="Today">
      <formula>NOT(ISERROR(SEARCH("Today",Q5)))</formula>
    </cfRule>
    <cfRule type="containsText" dxfId="4" priority="45" operator="containsText" text="Upcoming">
      <formula>NOT(ISERROR(SEARCH("Upcoming",Q5)))</formula>
    </cfRule>
  </conditionalFormatting>
  <dataValidations count="9">
    <dataValidation type="list" allowBlank="1" showInputMessage="1" showErrorMessage="1" sqref="C5:C44">
      <formula1>GoalCategoryList</formula1>
    </dataValidation>
    <dataValidation type="list" allowBlank="1" showInputMessage="1" showErrorMessage="1" promptTitle="Measured by" prompt="Pick one of the measures the workbook can count for itself, or choose 'Your own count' and fill in the actual column by hand." sqref="D5:D44">
      <formula1>MeasureList</formula1>
    </dataValidation>
    <dataValidation type="decimal" allowBlank="1" showInputMessage="1" showErrorMessage="1" errorTitle="Check the value" error="Enter a number between 0 and 1000000." sqref="E5:E44">
      <formula1>0</formula1>
      <formula2>1000000</formula2>
    </dataValidation>
    <dataValidation type="list" allowBlank="1" showInputMessage="1" showErrorMessage="1" promptTitle="Aim to" prompt="'Hit or beat' for things you want more of, 'Stay under' for spending and waste." sqref="F5:F44">
      <formula1>DirectionList</formula1>
    </dataValidation>
    <dataValidation type="decimal" allowBlank="1" showInputMessage="1" showErrorMessage="1" errorTitle="Check the value" error="Enter a number between 0 and 1000000." promptTitle="Your own count" prompt="Only needed for goals the workbook cannot count." sqref="H5:H44">
      <formula1>0</formula1>
      <formula2>1000000</formula2>
    </dataValidation>
    <dataValidation type="date" allowBlank="1" showInputMessage="1" showErrorMessage="1" errorTitle="Check the date" error="Enter a real date between 2000 and 2100." sqref="M5:M44">
      <formula1>36526</formula1>
      <formula2>73415</formula2>
    </dataValidation>
    <dataValidation type="date" allowBlank="1" showInputMessage="1" showErrorMessage="1" errorTitle="Check the date" error="Enter a real date between 2000 and 2100." sqref="N5:N44">
      <formula1>36526</formula1>
      <formula2>73415</formula2>
    </dataValidation>
    <dataValidation type="list" allowBlank="1" showInputMessage="1" showErrorMessage="1" sqref="O5:O44">
      <formula1>MemberNames</formula1>
    </dataValidation>
    <dataValidation type="list" allowBlank="1" showInputMessage="1" showErrorMessage="1" sqref="P5:P44">
      <formula1>GoalStatusList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&amp;L&amp;"Calibri,Bold"&amp;12&amp;C&amp;"Calibri,Bold"&amp;11Goals&amp;R&amp;"Calibri,Italic"&amp;9Automated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E2EFE6"/>
    <pageSetUpPr fitToPage="1"/>
  </sheetPr>
  <dimension ref="A1:I55"/>
  <sheetViews>
    <sheetView showGridLines="0" workbookViewId="0">
      <pane ySplit="4" topLeftCell="A5" activePane="bottomLeft" state="frozen"/>
      <selection pane="bottomLeft"/>
    </sheetView>
  </sheetViews>
  <sheetFormatPr defaultRowHeight="15"/>
  <cols>
    <col min="1" max="1" width="26.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 max="1" width="24.7109375" customWidth="1"/>
    <col min="2" max="2" width="10.7109375" customWidth="1"/>
    <col min="3" max="3" width="13.7109375" customWidth="1"/>
    <col min="4" max="4" width="18.7109375" customWidth="1"/>
    <col min="5" max="5" width="12.7109375" customWidth="1"/>
    <col min="6" max="6" width="24.7109375" customWidth="1"/>
    <col min="1" max="1" width="5.7109375" customWidth="1"/>
    <col min="2" max="2" width="24.7109375" customWidth="1"/>
    <col min="3" max="3" width="14.7109375" customWidth="1"/>
    <col min="4" max="4" width="14.7109375" customWidth="1"/>
    <col min="5" max="5" width="16.7109375" customWidth="1"/>
    <col min="6" max="6" width="34.7109375" customWidth="1"/>
    <col min="1" max="1" width="24.7109375" customWidth="1"/>
    <col min="2" max="2" width="12.7109375" customWidth="1"/>
    <col min="3" max="3" width="14.7109375" customWidth="1"/>
    <col min="4" max="4" width="14.7109375" customWidth="1"/>
    <col min="1" max="1" width="16.7109375" customWidth="1"/>
    <col min="2" max="2" width="20.7109375" customWidth="1"/>
    <col min="3" max="3" width="18.7109375" customWidth="1"/>
    <col min="4" max="4" width="18.7109375" customWidth="1"/>
  </cols>
  <sheetData>
    <row r="1" spans="1:9" ht="34" customHeight="1">
      <c r="A1" s="2" t="s">
        <v>1657</v>
      </c>
      <c r="B1" s="2"/>
      <c r="C1" s="2"/>
      <c r="D1" s="2"/>
      <c r="E1" s="2"/>
      <c r="F1" s="2"/>
      <c r="G1" s="3" t="s">
        <v>1</v>
      </c>
      <c r="H1" s="3"/>
      <c r="I1" s="3"/>
    </row>
    <row r="2" spans="1:9" ht="18" customHeight="1">
      <c r="A2" s="4" t="s">
        <v>1658</v>
      </c>
      <c r="B2" s="4"/>
      <c r="C2" s="4"/>
      <c r="D2" s="4"/>
      <c r="E2" s="4"/>
      <c r="F2" s="4"/>
      <c r="G2" s="4"/>
      <c r="H2" s="4"/>
      <c r="I2" s="4"/>
    </row>
    <row r="3" spans="1:9" ht="16" customHeight="1">
      <c r="A3" s="5" t="s">
        <v>3</v>
      </c>
      <c r="B3" s="5"/>
      <c r="C3" s="5" t="s">
        <v>4</v>
      </c>
      <c r="D3" s="5"/>
      <c r="E3" s="5" t="s">
        <v>5</v>
      </c>
      <c r="F3" s="5"/>
      <c r="G3" s="5" t="s">
        <v>6</v>
      </c>
      <c r="H3" s="5"/>
      <c r="I3" s="28" t="s">
        <v>157</v>
      </c>
    </row>
    <row r="5" spans="1:9">
      <c r="A5" s="10" t="s">
        <v>1174</v>
      </c>
      <c r="B5" s="10"/>
      <c r="C5" s="10" t="s">
        <v>1188</v>
      </c>
      <c r="D5" s="10"/>
      <c r="E5" s="10" t="s">
        <v>1187</v>
      </c>
      <c r="F5" s="10"/>
      <c r="G5" s="10" t="s">
        <v>1661</v>
      </c>
      <c r="H5" s="10"/>
    </row>
    <row r="6" spans="1:9" ht="26" customHeight="1">
      <c r="A6" s="21">
        <f>SUMIFS('Food Waste'!$L$5:$L$154,'Food Waste'!$D$5:$D$154,TEXT(TODAY(),"yyyy-mm"))</f>
        <v>0</v>
      </c>
      <c r="B6" s="21"/>
      <c r="C6" s="21">
        <f>SUMIFS('Food Waste'!$L$5:$L$154,'Food Waste'!$D$5:$D$154,TEXT(TODAY(),"yyyy-mm"))*12</f>
        <v>0</v>
      </c>
      <c r="D6" s="21"/>
      <c r="E6" s="55">
        <f>IFERROR(SUMIFS('Food Waste'!$L$5:$L$154,'Food Waste'!$O$5:$O$154,"Yes")/SUM('Food Waste'!$L$5:$L$154),"")</f>
        <v>0</v>
      </c>
      <c r="F6" s="55"/>
      <c r="G6" s="55">
        <f>IFERROR(SUM('Food Waste'!$L$5:$L$154)/SUM('Grocery Spending'!$K$5:$K$404),"")</f>
        <v>0</v>
      </c>
      <c r="H6" s="55"/>
    </row>
    <row r="7" spans="1:9">
      <c r="A7" s="22" t="s">
        <v>117</v>
      </c>
      <c r="B7" s="22"/>
      <c r="C7" s="22" t="s">
        <v>1659</v>
      </c>
      <c r="D7" s="22"/>
      <c r="E7" s="22" t="s">
        <v>1660</v>
      </c>
      <c r="F7" s="22"/>
      <c r="G7" s="22" t="s">
        <v>1662</v>
      </c>
      <c r="H7" s="22"/>
    </row>
    <row r="9" spans="1:9" ht="20" customHeight="1">
      <c r="A9" s="7" t="s">
        <v>1663</v>
      </c>
      <c r="B9" s="7"/>
      <c r="C9" s="7"/>
      <c r="D9" s="7"/>
      <c r="E9" s="7"/>
      <c r="F9" s="7"/>
      <c r="G9" s="7"/>
      <c r="H9" s="7"/>
      <c r="I9" s="7"/>
    </row>
    <row r="10" spans="1:9" ht="26" customHeight="1">
      <c r="A10" s="8" t="s">
        <v>1664</v>
      </c>
      <c r="B10" s="9" t="s">
        <v>1665</v>
      </c>
      <c r="C10" s="9" t="s">
        <v>138</v>
      </c>
      <c r="D10" s="9" t="s">
        <v>1666</v>
      </c>
      <c r="E10" s="9" t="s">
        <v>1170</v>
      </c>
      <c r="F10" s="9" t="s">
        <v>1667</v>
      </c>
    </row>
    <row r="11" spans="1:9">
      <c r="A11" s="13" t="s">
        <v>517</v>
      </c>
      <c r="B11" s="18">
        <f>COUNTIFS('Food Waste'!$N$5:$N$154,"Expired")</f>
        <v>0</v>
      </c>
      <c r="C11" s="25">
        <f>SUMIFS('Food Waste'!$L$5:$L$154,'Food Waste'!$N$5:$N$154,"Expired")</f>
        <v>0</v>
      </c>
      <c r="D11" s="50">
        <f>IFERROR(SUMIFS('Food Waste'!$L$5:$L$154,'Food Waste'!$N$5:$N$154,"Expired")/SUM('Food Waste'!$L$5:$L$154),"")</f>
        <v>0</v>
      </c>
      <c r="E11" s="46">
        <f>IF(COUNTIFS('Food Waste'!$N$5:$N$154,"Expired")=0,"",IF(COUNTIFS('Food Waste'!$N$5:$N$154,"Expired",'Food Waste'!$O$5:$O$154,"Yes")&gt;0,"Yes","No"))</f>
        <v>0</v>
      </c>
      <c r="F11" s="17">
        <f>IFERROR(INDEX('Food Waste'!$E$5:$E$154,MATCH("Expired",'Food Waste'!$N$5:$N$154,0)),"")</f>
        <v>0</v>
      </c>
    </row>
    <row r="12" spans="1:9">
      <c r="A12" s="13" t="s">
        <v>518</v>
      </c>
      <c r="B12" s="18">
        <f>COUNTIFS('Food Waste'!$N$5:$N$154,"Went mouldy")</f>
        <v>0</v>
      </c>
      <c r="C12" s="25">
        <f>SUMIFS('Food Waste'!$L$5:$L$154,'Food Waste'!$N$5:$N$154,"Went mouldy")</f>
        <v>0</v>
      </c>
      <c r="D12" s="50">
        <f>IFERROR(SUMIFS('Food Waste'!$L$5:$L$154,'Food Waste'!$N$5:$N$154,"Went mouldy")/SUM('Food Waste'!$L$5:$L$154),"")</f>
        <v>0</v>
      </c>
      <c r="E12" s="46">
        <f>IF(COUNTIFS('Food Waste'!$N$5:$N$154,"Went mouldy")=0,"",IF(COUNTIFS('Food Waste'!$N$5:$N$154,"Went mouldy",'Food Waste'!$O$5:$O$154,"Yes")&gt;0,"Yes","No"))</f>
        <v>0</v>
      </c>
      <c r="F12" s="17">
        <f>IFERROR(INDEX('Food Waste'!$E$5:$E$154,MATCH("Went mouldy",'Food Waste'!$N$5:$N$154,0)),"")</f>
        <v>0</v>
      </c>
    </row>
    <row r="13" spans="1:9">
      <c r="A13" s="13" t="s">
        <v>519</v>
      </c>
      <c r="B13" s="18">
        <f>COUNTIFS('Food Waste'!$N$5:$N$154,"Cooked too much")</f>
        <v>0</v>
      </c>
      <c r="C13" s="25">
        <f>SUMIFS('Food Waste'!$L$5:$L$154,'Food Waste'!$N$5:$N$154,"Cooked too much")</f>
        <v>0</v>
      </c>
      <c r="D13" s="50">
        <f>IFERROR(SUMIFS('Food Waste'!$L$5:$L$154,'Food Waste'!$N$5:$N$154,"Cooked too much")/SUM('Food Waste'!$L$5:$L$154),"")</f>
        <v>0</v>
      </c>
      <c r="E13" s="46">
        <f>IF(COUNTIFS('Food Waste'!$N$5:$N$154,"Cooked too much")=0,"",IF(COUNTIFS('Food Waste'!$N$5:$N$154,"Cooked too much",'Food Waste'!$O$5:$O$154,"Yes")&gt;0,"Yes","No"))</f>
        <v>0</v>
      </c>
      <c r="F13" s="17">
        <f>IFERROR(INDEX('Food Waste'!$E$5:$E$154,MATCH("Cooked too much",'Food Waste'!$N$5:$N$154,0)),"")</f>
        <v>0</v>
      </c>
    </row>
    <row r="14" spans="1:9">
      <c r="A14" s="13" t="s">
        <v>520</v>
      </c>
      <c r="B14" s="18">
        <f>COUNTIFS('Food Waste'!$N$5:$N$154,"Did not like it")</f>
        <v>0</v>
      </c>
      <c r="C14" s="25">
        <f>SUMIFS('Food Waste'!$L$5:$L$154,'Food Waste'!$N$5:$N$154,"Did not like it")</f>
        <v>0</v>
      </c>
      <c r="D14" s="50">
        <f>IFERROR(SUMIFS('Food Waste'!$L$5:$L$154,'Food Waste'!$N$5:$N$154,"Did not like it")/SUM('Food Waste'!$L$5:$L$154),"")</f>
        <v>0</v>
      </c>
      <c r="E14" s="46">
        <f>IF(COUNTIFS('Food Waste'!$N$5:$N$154,"Did not like it")=0,"",IF(COUNTIFS('Food Waste'!$N$5:$N$154,"Did not like it",'Food Waste'!$O$5:$O$154,"Yes")&gt;0,"Yes","No"))</f>
        <v>0</v>
      </c>
      <c r="F14" s="17">
        <f>IFERROR(INDEX('Food Waste'!$E$5:$E$154,MATCH("Did not like it",'Food Waste'!$N$5:$N$154,0)),"")</f>
        <v>0</v>
      </c>
    </row>
    <row r="15" spans="1:9">
      <c r="A15" s="13" t="s">
        <v>521</v>
      </c>
      <c r="B15" s="18">
        <f>COUNTIFS('Food Waste'!$N$5:$N$154,"Forgot about it")</f>
        <v>0</v>
      </c>
      <c r="C15" s="25">
        <f>SUMIFS('Food Waste'!$L$5:$L$154,'Food Waste'!$N$5:$N$154,"Forgot about it")</f>
        <v>0</v>
      </c>
      <c r="D15" s="50">
        <f>IFERROR(SUMIFS('Food Waste'!$L$5:$L$154,'Food Waste'!$N$5:$N$154,"Forgot about it")/SUM('Food Waste'!$L$5:$L$154),"")</f>
        <v>0</v>
      </c>
      <c r="E15" s="46">
        <f>IF(COUNTIFS('Food Waste'!$N$5:$N$154,"Forgot about it")=0,"",IF(COUNTIFS('Food Waste'!$N$5:$N$154,"Forgot about it",'Food Waste'!$O$5:$O$154,"Yes")&gt;0,"Yes","No"))</f>
        <v>0</v>
      </c>
      <c r="F15" s="17">
        <f>IFERROR(INDEX('Food Waste'!$E$5:$E$154,MATCH("Forgot about it",'Food Waste'!$N$5:$N$154,0)),"")</f>
        <v>0</v>
      </c>
    </row>
    <row r="16" spans="1:9">
      <c r="A16" s="13" t="s">
        <v>522</v>
      </c>
      <c r="B16" s="18">
        <f>COUNTIFS('Food Waste'!$N$5:$N$154,"Freezer burn")</f>
        <v>0</v>
      </c>
      <c r="C16" s="25">
        <f>SUMIFS('Food Waste'!$L$5:$L$154,'Food Waste'!$N$5:$N$154,"Freezer burn")</f>
        <v>0</v>
      </c>
      <c r="D16" s="50">
        <f>IFERROR(SUMIFS('Food Waste'!$L$5:$L$154,'Food Waste'!$N$5:$N$154,"Freezer burn")/SUM('Food Waste'!$L$5:$L$154),"")</f>
        <v>0</v>
      </c>
      <c r="E16" s="46">
        <f>IF(COUNTIFS('Food Waste'!$N$5:$N$154,"Freezer burn")=0,"",IF(COUNTIFS('Food Waste'!$N$5:$N$154,"Freezer burn",'Food Waste'!$O$5:$O$154,"Yes")&gt;0,"Yes","No"))</f>
        <v>0</v>
      </c>
      <c r="F16" s="17">
        <f>IFERROR(INDEX('Food Waste'!$E$5:$E$154,MATCH("Freezer burn",'Food Waste'!$N$5:$N$154,0)),"")</f>
        <v>0</v>
      </c>
    </row>
    <row r="17" spans="1:9">
      <c r="A17" s="13" t="s">
        <v>523</v>
      </c>
      <c r="B17" s="18">
        <f>COUNTIFS('Food Waste'!$N$5:$N$154,"Left out too long")</f>
        <v>0</v>
      </c>
      <c r="C17" s="25">
        <f>SUMIFS('Food Waste'!$L$5:$L$154,'Food Waste'!$N$5:$N$154,"Left out too long")</f>
        <v>0</v>
      </c>
      <c r="D17" s="50">
        <f>IFERROR(SUMIFS('Food Waste'!$L$5:$L$154,'Food Waste'!$N$5:$N$154,"Left out too long")/SUM('Food Waste'!$L$5:$L$154),"")</f>
        <v>0</v>
      </c>
      <c r="E17" s="46">
        <f>IF(COUNTIFS('Food Waste'!$N$5:$N$154,"Left out too long")=0,"",IF(COUNTIFS('Food Waste'!$N$5:$N$154,"Left out too long",'Food Waste'!$O$5:$O$154,"Yes")&gt;0,"Yes","No"))</f>
        <v>0</v>
      </c>
      <c r="F17" s="17">
        <f>IFERROR(INDEX('Food Waste'!$E$5:$E$154,MATCH("Left out too long",'Food Waste'!$N$5:$N$154,0)),"")</f>
        <v>0</v>
      </c>
    </row>
    <row r="18" spans="1:9">
      <c r="A18" s="13" t="s">
        <v>524</v>
      </c>
      <c r="B18" s="18">
        <f>COUNTIFS('Food Waste'!$N$5:$N$154,"Bought too much")</f>
        <v>0</v>
      </c>
      <c r="C18" s="25">
        <f>SUMIFS('Food Waste'!$L$5:$L$154,'Food Waste'!$N$5:$N$154,"Bought too much")</f>
        <v>0</v>
      </c>
      <c r="D18" s="50">
        <f>IFERROR(SUMIFS('Food Waste'!$L$5:$L$154,'Food Waste'!$N$5:$N$154,"Bought too much")/SUM('Food Waste'!$L$5:$L$154),"")</f>
        <v>0</v>
      </c>
      <c r="E18" s="46">
        <f>IF(COUNTIFS('Food Waste'!$N$5:$N$154,"Bought too much")=0,"",IF(COUNTIFS('Food Waste'!$N$5:$N$154,"Bought too much",'Food Waste'!$O$5:$O$154,"Yes")&gt;0,"Yes","No"))</f>
        <v>0</v>
      </c>
      <c r="F18" s="17">
        <f>IFERROR(INDEX('Food Waste'!$E$5:$E$154,MATCH("Bought too much",'Food Waste'!$N$5:$N$154,0)),"")</f>
        <v>0</v>
      </c>
    </row>
    <row r="19" spans="1:9">
      <c r="A19" s="13" t="s">
        <v>525</v>
      </c>
      <c r="B19" s="18">
        <f>COUNTIFS('Food Waste'!$N$5:$N$154,"Plate scrapings")</f>
        <v>0</v>
      </c>
      <c r="C19" s="25">
        <f>SUMIFS('Food Waste'!$L$5:$L$154,'Food Waste'!$N$5:$N$154,"Plate scrapings")</f>
        <v>0</v>
      </c>
      <c r="D19" s="50">
        <f>IFERROR(SUMIFS('Food Waste'!$L$5:$L$154,'Food Waste'!$N$5:$N$154,"Plate scrapings")/SUM('Food Waste'!$L$5:$L$154),"")</f>
        <v>0</v>
      </c>
      <c r="E19" s="46">
        <f>IF(COUNTIFS('Food Waste'!$N$5:$N$154,"Plate scrapings")=0,"",IF(COUNTIFS('Food Waste'!$N$5:$N$154,"Plate scrapings",'Food Waste'!$O$5:$O$154,"Yes")&gt;0,"Yes","No"))</f>
        <v>0</v>
      </c>
      <c r="F19" s="17">
        <f>IFERROR(INDEX('Food Waste'!$E$5:$E$154,MATCH("Plate scrapings",'Food Waste'!$N$5:$N$154,0)),"")</f>
        <v>0</v>
      </c>
    </row>
    <row r="20" spans="1:9">
      <c r="A20" s="13" t="s">
        <v>353</v>
      </c>
      <c r="B20" s="18">
        <f>COUNTIFS('Food Waste'!$N$5:$N$154,"Other")</f>
        <v>0</v>
      </c>
      <c r="C20" s="25">
        <f>SUMIFS('Food Waste'!$L$5:$L$154,'Food Waste'!$N$5:$N$154,"Other")</f>
        <v>0</v>
      </c>
      <c r="D20" s="50">
        <f>IFERROR(SUMIFS('Food Waste'!$L$5:$L$154,'Food Waste'!$N$5:$N$154,"Other")/SUM('Food Waste'!$L$5:$L$154),"")</f>
        <v>0</v>
      </c>
      <c r="E20" s="46">
        <f>IF(COUNTIFS('Food Waste'!$N$5:$N$154,"Other")=0,"",IF(COUNTIFS('Food Waste'!$N$5:$N$154,"Other",'Food Waste'!$O$5:$O$154,"Yes")&gt;0,"Yes","No"))</f>
        <v>0</v>
      </c>
      <c r="F20" s="17">
        <f>IFERROR(INDEX('Food Waste'!$E$5:$E$154,MATCH("Other",'Food Waste'!$N$5:$N$154,0)),"")</f>
        <v>0</v>
      </c>
    </row>
    <row r="22" spans="1:9" ht="20" customHeight="1">
      <c r="A22" s="7" t="s">
        <v>1668</v>
      </c>
      <c r="B22" s="7"/>
      <c r="C22" s="7"/>
      <c r="D22" s="7"/>
      <c r="E22" s="7"/>
      <c r="F22" s="7"/>
      <c r="G22" s="7"/>
      <c r="H22" s="7"/>
      <c r="I22" s="7"/>
    </row>
    <row r="23" spans="1:9" ht="26" customHeight="1">
      <c r="A23" s="8" t="s">
        <v>157</v>
      </c>
      <c r="B23" s="9" t="s">
        <v>1058</v>
      </c>
      <c r="C23" s="9" t="s">
        <v>1006</v>
      </c>
      <c r="D23" s="9" t="s">
        <v>1669</v>
      </c>
      <c r="E23" s="9" t="s">
        <v>1670</v>
      </c>
      <c r="F23" s="9" t="s">
        <v>1671</v>
      </c>
    </row>
    <row r="24" spans="1:9">
      <c r="A24" s="13">
        <v>1</v>
      </c>
      <c r="B24" s="17">
        <f>IFERROR(IF(INDEX(Ingredients!$AJ$5:$AJ$304,MATCH(1,Ingredients!$AK$5:$AK$304,0))=0,"",INDEX(Ingredients!$B$5:$B$304,MATCH(1,Ingredients!$AK$5:$AK$304,0))),"")</f>
        <v>0</v>
      </c>
      <c r="C24" s="18">
        <f>IFERROR(IF(INDEX(Ingredients!$AJ$5:$AJ$304,MATCH(1,Ingredients!$AK$5:$AK$304,0))=0,"",INDEX(Ingredients!$AJ$5:$AJ$304,MATCH(1,Ingredients!$AK$5:$AK$304,0))),"")</f>
        <v>0</v>
      </c>
      <c r="D24" s="25">
        <f>IF(B24="","",SUMIFS('Food Waste'!$L$5:$L$154,'Food Waste'!$E$5:$E$154,B24))</f>
        <v>0</v>
      </c>
      <c r="E24" s="17">
        <f>IF(B24="","",IF(COUNTIFS('Grocery List'!$B$5:$B$304,B24)&gt;0,"On this week's list","Not this week"))</f>
        <v>0</v>
      </c>
      <c r="F24" s="17">
        <f>IF(B24="","",IFERROR(INDEX('Food Waste'!$R$5:$R$154,MATCH(B24,'Food Waste'!$E$5:$E$154,0)),""))</f>
        <v>0</v>
      </c>
    </row>
    <row r="25" spans="1:9">
      <c r="A25" s="13">
        <v>2</v>
      </c>
      <c r="B25" s="17">
        <f>IFERROR(IF(INDEX(Ingredients!$AJ$5:$AJ$304,MATCH(2,Ingredients!$AK$5:$AK$304,0))=0,"",INDEX(Ingredients!$B$5:$B$304,MATCH(2,Ingredients!$AK$5:$AK$304,0))),"")</f>
        <v>0</v>
      </c>
      <c r="C25" s="18">
        <f>IFERROR(IF(INDEX(Ingredients!$AJ$5:$AJ$304,MATCH(2,Ingredients!$AK$5:$AK$304,0))=0,"",INDEX(Ingredients!$AJ$5:$AJ$304,MATCH(2,Ingredients!$AK$5:$AK$304,0))),"")</f>
        <v>0</v>
      </c>
      <c r="D25" s="25">
        <f>IF(B25="","",SUMIFS('Food Waste'!$L$5:$L$154,'Food Waste'!$E$5:$E$154,B25))</f>
        <v>0</v>
      </c>
      <c r="E25" s="17">
        <f>IF(B25="","",IF(COUNTIFS('Grocery List'!$B$5:$B$304,B25)&gt;0,"On this week's list","Not this week"))</f>
        <v>0</v>
      </c>
      <c r="F25" s="17">
        <f>IF(B25="","",IFERROR(INDEX('Food Waste'!$R$5:$R$154,MATCH(B25,'Food Waste'!$E$5:$E$154,0)),""))</f>
        <v>0</v>
      </c>
    </row>
    <row r="26" spans="1:9">
      <c r="A26" s="13">
        <v>3</v>
      </c>
      <c r="B26" s="17">
        <f>IFERROR(IF(INDEX(Ingredients!$AJ$5:$AJ$304,MATCH(3,Ingredients!$AK$5:$AK$304,0))=0,"",INDEX(Ingredients!$B$5:$B$304,MATCH(3,Ingredients!$AK$5:$AK$304,0))),"")</f>
        <v>0</v>
      </c>
      <c r="C26" s="18">
        <f>IFERROR(IF(INDEX(Ingredients!$AJ$5:$AJ$304,MATCH(3,Ingredients!$AK$5:$AK$304,0))=0,"",INDEX(Ingredients!$AJ$5:$AJ$304,MATCH(3,Ingredients!$AK$5:$AK$304,0))),"")</f>
        <v>0</v>
      </c>
      <c r="D26" s="25">
        <f>IF(B26="","",SUMIFS('Food Waste'!$L$5:$L$154,'Food Waste'!$E$5:$E$154,B26))</f>
        <v>0</v>
      </c>
      <c r="E26" s="17">
        <f>IF(B26="","",IF(COUNTIFS('Grocery List'!$B$5:$B$304,B26)&gt;0,"On this week's list","Not this week"))</f>
        <v>0</v>
      </c>
      <c r="F26" s="17">
        <f>IF(B26="","",IFERROR(INDEX('Food Waste'!$R$5:$R$154,MATCH(B26,'Food Waste'!$E$5:$E$154,0)),""))</f>
        <v>0</v>
      </c>
    </row>
    <row r="27" spans="1:9">
      <c r="A27" s="13">
        <v>4</v>
      </c>
      <c r="B27" s="17">
        <f>IFERROR(IF(INDEX(Ingredients!$AJ$5:$AJ$304,MATCH(4,Ingredients!$AK$5:$AK$304,0))=0,"",INDEX(Ingredients!$B$5:$B$304,MATCH(4,Ingredients!$AK$5:$AK$304,0))),"")</f>
        <v>0</v>
      </c>
      <c r="C27" s="18">
        <f>IFERROR(IF(INDEX(Ingredients!$AJ$5:$AJ$304,MATCH(4,Ingredients!$AK$5:$AK$304,0))=0,"",INDEX(Ingredients!$AJ$5:$AJ$304,MATCH(4,Ingredients!$AK$5:$AK$304,0))),"")</f>
        <v>0</v>
      </c>
      <c r="D27" s="25">
        <f>IF(B27="","",SUMIFS('Food Waste'!$L$5:$L$154,'Food Waste'!$E$5:$E$154,B27))</f>
        <v>0</v>
      </c>
      <c r="E27" s="17">
        <f>IF(B27="","",IF(COUNTIFS('Grocery List'!$B$5:$B$304,B27)&gt;0,"On this week's list","Not this week"))</f>
        <v>0</v>
      </c>
      <c r="F27" s="17">
        <f>IF(B27="","",IFERROR(INDEX('Food Waste'!$R$5:$R$154,MATCH(B27,'Food Waste'!$E$5:$E$154,0)),""))</f>
        <v>0</v>
      </c>
    </row>
    <row r="28" spans="1:9">
      <c r="A28" s="13">
        <v>5</v>
      </c>
      <c r="B28" s="17">
        <f>IFERROR(IF(INDEX(Ingredients!$AJ$5:$AJ$304,MATCH(5,Ingredients!$AK$5:$AK$304,0))=0,"",INDEX(Ingredients!$B$5:$B$304,MATCH(5,Ingredients!$AK$5:$AK$304,0))),"")</f>
        <v>0</v>
      </c>
      <c r="C28" s="18">
        <f>IFERROR(IF(INDEX(Ingredients!$AJ$5:$AJ$304,MATCH(5,Ingredients!$AK$5:$AK$304,0))=0,"",INDEX(Ingredients!$AJ$5:$AJ$304,MATCH(5,Ingredients!$AK$5:$AK$304,0))),"")</f>
        <v>0</v>
      </c>
      <c r="D28" s="25">
        <f>IF(B28="","",SUMIFS('Food Waste'!$L$5:$L$154,'Food Waste'!$E$5:$E$154,B28))</f>
        <v>0</v>
      </c>
      <c r="E28" s="17">
        <f>IF(B28="","",IF(COUNTIFS('Grocery List'!$B$5:$B$304,B28)&gt;0,"On this week's list","Not this week"))</f>
        <v>0</v>
      </c>
      <c r="F28" s="17">
        <f>IF(B28="","",IFERROR(INDEX('Food Waste'!$R$5:$R$154,MATCH(B28,'Food Waste'!$E$5:$E$154,0)),""))</f>
        <v>0</v>
      </c>
    </row>
    <row r="30" spans="1:9" ht="20" customHeight="1">
      <c r="A30" s="7" t="s">
        <v>1672</v>
      </c>
      <c r="B30" s="7"/>
      <c r="C30" s="7"/>
      <c r="D30" s="7"/>
      <c r="E30" s="7"/>
      <c r="F30" s="7"/>
      <c r="G30" s="7"/>
      <c r="H30" s="7"/>
      <c r="I30" s="7"/>
    </row>
    <row r="31" spans="1:9" ht="26" customHeight="1">
      <c r="A31" s="8" t="s">
        <v>1673</v>
      </c>
      <c r="B31" s="9" t="s">
        <v>1665</v>
      </c>
      <c r="C31" s="9" t="s">
        <v>138</v>
      </c>
      <c r="D31" s="9" t="s">
        <v>1291</v>
      </c>
    </row>
    <row r="32" spans="1:9">
      <c r="A32" s="13" t="s">
        <v>651</v>
      </c>
      <c r="B32" s="18">
        <f>COUNTIFS('Food Waste'!$Q$5:$Q$154,"General bin")</f>
        <v>0</v>
      </c>
      <c r="C32" s="25">
        <f>SUMIFS('Food Waste'!$L$5:$L$154,'Food Waste'!$Q$5:$Q$154,"General bin")</f>
        <v>0</v>
      </c>
      <c r="D32" s="50">
        <f>IFERROR(COUNTIFS('Food Waste'!$Q$5:$Q$154,"General bin")/COUNTIF('Food Waste'!$B$5:$B$154,"&gt;0"),"")</f>
        <v>0</v>
      </c>
    </row>
    <row r="33" spans="1:9">
      <c r="A33" s="13" t="s">
        <v>652</v>
      </c>
      <c r="B33" s="18">
        <f>COUNTIFS('Food Waste'!$Q$5:$Q$154,"Food waste caddy")</f>
        <v>0</v>
      </c>
      <c r="C33" s="25">
        <f>SUMIFS('Food Waste'!$L$5:$L$154,'Food Waste'!$Q$5:$Q$154,"Food waste caddy")</f>
        <v>0</v>
      </c>
      <c r="D33" s="50">
        <f>IFERROR(COUNTIFS('Food Waste'!$Q$5:$Q$154,"Food waste caddy")/COUNTIF('Food Waste'!$B$5:$B$154,"&gt;0"),"")</f>
        <v>0</v>
      </c>
    </row>
    <row r="34" spans="1:9">
      <c r="A34" s="13" t="s">
        <v>653</v>
      </c>
      <c r="B34" s="18">
        <f>COUNTIFS('Food Waste'!$Q$5:$Q$154,"Compost")</f>
        <v>0</v>
      </c>
      <c r="C34" s="25">
        <f>SUMIFS('Food Waste'!$L$5:$L$154,'Food Waste'!$Q$5:$Q$154,"Compost")</f>
        <v>0</v>
      </c>
      <c r="D34" s="50">
        <f>IFERROR(COUNTIFS('Food Waste'!$Q$5:$Q$154,"Compost")/COUNTIF('Food Waste'!$B$5:$B$154,"&gt;0"),"")</f>
        <v>0</v>
      </c>
    </row>
    <row r="35" spans="1:9">
      <c r="A35" s="13" t="s">
        <v>528</v>
      </c>
      <c r="B35" s="18">
        <f>COUNTIFS('Food Waste'!$Q$5:$Q$154,"Fed to pets")</f>
        <v>0</v>
      </c>
      <c r="C35" s="25">
        <f>SUMIFS('Food Waste'!$L$5:$L$154,'Food Waste'!$Q$5:$Q$154,"Fed to pets")</f>
        <v>0</v>
      </c>
      <c r="D35" s="50">
        <f>IFERROR(COUNTIFS('Food Waste'!$Q$5:$Q$154,"Fed to pets")/COUNTIF('Food Waste'!$B$5:$B$154,"&gt;0"),"")</f>
        <v>0</v>
      </c>
    </row>
    <row r="36" spans="1:9">
      <c r="A36" s="13" t="s">
        <v>515</v>
      </c>
      <c r="B36" s="18">
        <f>COUNTIFS('Food Waste'!$Q$5:$Q$154,"Given away")</f>
        <v>0</v>
      </c>
      <c r="C36" s="25">
        <f>SUMIFS('Food Waste'!$L$5:$L$154,'Food Waste'!$Q$5:$Q$154,"Given away")</f>
        <v>0</v>
      </c>
      <c r="D36" s="50">
        <f>IFERROR(COUNTIFS('Food Waste'!$Q$5:$Q$154,"Given away")/COUNTIF('Food Waste'!$B$5:$B$154,"&gt;0"),"")</f>
        <v>0</v>
      </c>
    </row>
    <row r="38" spans="1:9" ht="20" customHeight="1">
      <c r="A38" s="7" t="s">
        <v>1674</v>
      </c>
      <c r="B38" s="7"/>
      <c r="C38" s="7"/>
      <c r="D38" s="7"/>
      <c r="E38" s="7"/>
      <c r="F38" s="7"/>
      <c r="G38" s="7"/>
      <c r="H38" s="7"/>
      <c r="I38" s="7"/>
    </row>
    <row r="39" spans="1:9" ht="28" customHeight="1">
      <c r="A39" s="11" t="s">
        <v>1675</v>
      </c>
      <c r="B39" s="12" t="s">
        <v>1676</v>
      </c>
      <c r="C39" s="12"/>
      <c r="D39" s="12"/>
      <c r="E39" s="12"/>
      <c r="F39" s="12"/>
      <c r="G39" s="12"/>
      <c r="H39" s="12"/>
      <c r="I39" s="12"/>
    </row>
    <row r="40" spans="1:9" ht="28" customHeight="1">
      <c r="A40" s="11" t="s">
        <v>1677</v>
      </c>
      <c r="B40" s="12" t="s">
        <v>1678</v>
      </c>
      <c r="C40" s="12"/>
      <c r="D40" s="12"/>
      <c r="E40" s="12"/>
      <c r="F40" s="12"/>
      <c r="G40" s="12"/>
      <c r="H40" s="12"/>
      <c r="I40" s="12"/>
    </row>
    <row r="41" spans="1:9" ht="28" customHeight="1">
      <c r="A41" s="11" t="s">
        <v>1679</v>
      </c>
      <c r="B41" s="12" t="s">
        <v>1680</v>
      </c>
      <c r="C41" s="12"/>
      <c r="D41" s="12"/>
      <c r="E41" s="12"/>
      <c r="F41" s="12"/>
      <c r="G41" s="12"/>
      <c r="H41" s="12"/>
      <c r="I41" s="12"/>
    </row>
    <row r="42" spans="1:9" ht="28" customHeight="1">
      <c r="A42" s="11" t="s">
        <v>1681</v>
      </c>
      <c r="B42" s="12" t="s">
        <v>1682</v>
      </c>
      <c r="C42" s="12"/>
      <c r="D42" s="12"/>
      <c r="E42" s="12"/>
      <c r="F42" s="12"/>
      <c r="G42" s="12"/>
      <c r="H42" s="12"/>
      <c r="I42" s="12"/>
    </row>
    <row r="43" spans="1:9" ht="28" customHeight="1">
      <c r="A43" s="11" t="s">
        <v>1683</v>
      </c>
      <c r="B43" s="12" t="s">
        <v>1684</v>
      </c>
      <c r="C43" s="12"/>
      <c r="D43" s="12"/>
      <c r="E43" s="12"/>
      <c r="F43" s="12"/>
      <c r="G43" s="12"/>
      <c r="H43" s="12"/>
      <c r="I43" s="12"/>
    </row>
    <row r="44" spans="1:9" ht="28" customHeight="1">
      <c r="A44" s="11" t="s">
        <v>1685</v>
      </c>
      <c r="B44" s="12" t="s">
        <v>1686</v>
      </c>
      <c r="C44" s="12"/>
      <c r="D44" s="12"/>
      <c r="E44" s="12"/>
      <c r="F44" s="12"/>
      <c r="G44" s="12"/>
      <c r="H44" s="12"/>
      <c r="I44" s="12"/>
    </row>
    <row r="45" spans="1:9" ht="28" customHeight="1">
      <c r="A45" s="11" t="s">
        <v>1687</v>
      </c>
      <c r="B45" s="12" t="s">
        <v>1688</v>
      </c>
      <c r="C45" s="12"/>
      <c r="D45" s="12"/>
      <c r="E45" s="12"/>
      <c r="F45" s="12"/>
      <c r="G45" s="12"/>
      <c r="H45" s="12"/>
      <c r="I45" s="12"/>
    </row>
    <row r="47" spans="1:9" ht="20" customHeight="1">
      <c r="A47" s="7" t="s">
        <v>1689</v>
      </c>
      <c r="B47" s="7"/>
      <c r="C47" s="7"/>
      <c r="D47" s="7"/>
      <c r="E47" s="7"/>
      <c r="F47" s="7"/>
      <c r="G47" s="7"/>
      <c r="H47" s="7"/>
      <c r="I47" s="7"/>
    </row>
    <row r="48" spans="1:9" ht="26" customHeight="1">
      <c r="A48" s="8" t="s">
        <v>571</v>
      </c>
      <c r="B48" s="9" t="s">
        <v>1690</v>
      </c>
      <c r="C48" s="9" t="s">
        <v>1691</v>
      </c>
      <c r="D48" s="9" t="s">
        <v>1009</v>
      </c>
    </row>
    <row r="49" spans="1:9">
      <c r="A49" s="13" t="s">
        <v>572</v>
      </c>
      <c r="B49" s="18">
        <f>COUNTIFS(Ingredients!$Y$5:$Y$304,"All year")</f>
        <v>0</v>
      </c>
      <c r="C49" s="18">
        <f>COUNTIFS(Recipes!$V$5:$V$204,"All year")</f>
        <v>0</v>
      </c>
      <c r="D49" s="18">
        <f>SUMPRODUCT(('Grocery List'!$B$5:$B$304&lt;&gt;"")*(COUNTIFS(Ingredients!$B$5:$B$304,'Grocery List'!$B$5:$B$304,Ingredients!$Y$5:$Y$304,"All year")&gt;0))</f>
        <v>0</v>
      </c>
    </row>
    <row r="50" spans="1:9">
      <c r="A50" s="13" t="s">
        <v>573</v>
      </c>
      <c r="B50" s="18">
        <f>COUNTIFS(Ingredients!$Y$5:$Y$304,"Spring")</f>
        <v>0</v>
      </c>
      <c r="C50" s="18">
        <f>COUNTIFS(Recipes!$V$5:$V$204,"Spring")</f>
        <v>0</v>
      </c>
      <c r="D50" s="18">
        <f>SUMPRODUCT(('Grocery List'!$B$5:$B$304&lt;&gt;"")*(COUNTIFS(Ingredients!$B$5:$B$304,'Grocery List'!$B$5:$B$304,Ingredients!$Y$5:$Y$304,"Spring")&gt;0))</f>
        <v>0</v>
      </c>
    </row>
    <row r="51" spans="1:9">
      <c r="A51" s="13" t="s">
        <v>574</v>
      </c>
      <c r="B51" s="18">
        <f>COUNTIFS(Ingredients!$Y$5:$Y$304,"Summer")</f>
        <v>0</v>
      </c>
      <c r="C51" s="18">
        <f>COUNTIFS(Recipes!$V$5:$V$204,"Summer")</f>
        <v>0</v>
      </c>
      <c r="D51" s="18">
        <f>SUMPRODUCT(('Grocery List'!$B$5:$B$304&lt;&gt;"")*(COUNTIFS(Ingredients!$B$5:$B$304,'Grocery List'!$B$5:$B$304,Ingredients!$Y$5:$Y$304,"Summer")&gt;0))</f>
        <v>0</v>
      </c>
    </row>
    <row r="52" spans="1:9">
      <c r="A52" s="13" t="s">
        <v>575</v>
      </c>
      <c r="B52" s="18">
        <f>COUNTIFS(Ingredients!$Y$5:$Y$304,"Autumn")</f>
        <v>0</v>
      </c>
      <c r="C52" s="18">
        <f>COUNTIFS(Recipes!$V$5:$V$204,"Autumn")</f>
        <v>0</v>
      </c>
      <c r="D52" s="18">
        <f>SUMPRODUCT(('Grocery List'!$B$5:$B$304&lt;&gt;"")*(COUNTIFS(Ingredients!$B$5:$B$304,'Grocery List'!$B$5:$B$304,Ingredients!$Y$5:$Y$304,"Autumn")&gt;0))</f>
        <v>0</v>
      </c>
    </row>
    <row r="53" spans="1:9">
      <c r="A53" s="13" t="s">
        <v>576</v>
      </c>
      <c r="B53" s="18">
        <f>COUNTIFS(Ingredients!$Y$5:$Y$304,"Winter")</f>
        <v>0</v>
      </c>
      <c r="C53" s="18">
        <f>COUNTIFS(Recipes!$V$5:$V$204,"Winter")</f>
        <v>0</v>
      </c>
      <c r="D53" s="18">
        <f>SUMPRODUCT(('Grocery List'!$B$5:$B$304&lt;&gt;"")*(COUNTIFS(Ingredients!$B$5:$B$304,'Grocery List'!$B$5:$B$304,Ingredients!$Y$5:$Y$304,"Winter")&gt;0))</f>
        <v>0</v>
      </c>
    </row>
    <row r="55" spans="1:9" ht="46" customHeight="1">
      <c r="A55" s="6" t="s">
        <v>1692</v>
      </c>
      <c r="B55" s="6"/>
      <c r="C55" s="6"/>
      <c r="D55" s="6"/>
      <c r="E55" s="6"/>
      <c r="F55" s="6"/>
      <c r="G55" s="6"/>
      <c r="H55" s="6"/>
      <c r="I55" s="6"/>
    </row>
  </sheetData>
  <sheetProtection password="EC7C" sheet="1" objects="1" scenarios="1" formatCells="0" formatColumns="0" formatRows="0" insertRows="0" insertHyperlinks="0" deleteRows="0" autoFilter="0"/>
  <mergeCells count="32">
    <mergeCell ref="A1:F1"/>
    <mergeCell ref="G1:I1"/>
    <mergeCell ref="A2:I2"/>
    <mergeCell ref="A3:B3"/>
    <mergeCell ref="C3:D3"/>
    <mergeCell ref="E3:F3"/>
    <mergeCell ref="G3:H3"/>
    <mergeCell ref="A5:B5"/>
    <mergeCell ref="A6:B6"/>
    <mergeCell ref="A7:B7"/>
    <mergeCell ref="C5:D5"/>
    <mergeCell ref="C6:D6"/>
    <mergeCell ref="C7:D7"/>
    <mergeCell ref="E5:F5"/>
    <mergeCell ref="E6:F6"/>
    <mergeCell ref="E7:F7"/>
    <mergeCell ref="G5:H5"/>
    <mergeCell ref="G6:H6"/>
    <mergeCell ref="G7:H7"/>
    <mergeCell ref="A9:I9"/>
    <mergeCell ref="A22:I22"/>
    <mergeCell ref="A30:I30"/>
    <mergeCell ref="A38:I38"/>
    <mergeCell ref="B39:I39"/>
    <mergeCell ref="B40:I40"/>
    <mergeCell ref="B41:I41"/>
    <mergeCell ref="B42:I42"/>
    <mergeCell ref="B43:I43"/>
    <mergeCell ref="B44:I44"/>
    <mergeCell ref="B45:I45"/>
    <mergeCell ref="A47:I47"/>
    <mergeCell ref="A55:I55"/>
  </mergeCells>
  <conditionalFormatting sqref="D11:D20">
    <cfRule type="dataBar" priority="1">
      <dataBar>
        <cfvo type="min" val="0"/>
        <cfvo type="max" val="0"/>
        <color rgb="FFD9703C"/>
      </dataBar>
    </cfRule>
  </conditionalFormatting>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&amp;L&amp;"Calibri,Bold"&amp;12&amp;C&amp;"Calibri,Bold"&amp;11Sustainability&amp;R&amp;"Calibri,Italic"&amp;9Automated Meal Planner &amp; Grocery List Spreadsheet</oddHeader>
    <oddFooter>&amp;L&amp;"Calibri,Italic"&amp;8Novality Store - v1.0.0&amp;C&amp;"Calibri,Italic"&amp;8Page &amp;P of &amp;N&amp;R&amp;"Calibri,Italic"&amp;8&amp;D</oddFooter>
  </headerFooter>
</worksheet>
</file>

<file path=xl/worksheets/sheet32.xml><?xml version="1.0" encoding="utf-8"?>
<worksheet xmlns="http://schemas.openxmlformats.org/spreadsheetml/2006/main" xmlns:r="http://schemas.openxmlformats.org/officeDocument/2006/relationships">
  <sheetPr>
    <tabColor rgb="FF2F5E43"/>
    <pageSetUpPr fitToPage="1"/>
  </sheetPr>
  <dimension ref="A1:L73"/>
  <sheetViews>
    <sheetView showGridLines="0" workbookViewId="0">
      <pane ySplit="4" topLeftCell="A5" activePane="bottomLeft" state="frozen"/>
      <selection pane="bottomLeft"/>
    </sheetView>
  </sheetViews>
  <sheetFormatPr defaultRowHeight="15"/>
  <cols>
    <col min="1" max="1" width="26.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2" max="12" width="0" hidden="1" customWidth="1"/>
    <col min="1" max="1" width="26.7109375" customWidth="1"/>
    <col min="2" max="2" width="14.7109375" customWidth="1"/>
    <col min="3" max="3" width="12.7109375" customWidth="1"/>
    <col min="4" max="4" width="14.7109375" customWidth="1"/>
    <col min="5" max="5" width="14.7109375" customWidth="1"/>
    <col min="6" max="6" width="16.7109375" customWidth="1"/>
    <col min="1" max="1" width="30.7109375" customWidth="1"/>
    <col min="2" max="2" width="14.7109375" customWidth="1"/>
    <col min="3" max="3" width="14.7109375" customWidth="1"/>
    <col min="4" max="4" width="16.7109375" customWidth="1"/>
    <col min="5" max="5" width="40.7109375" customWidth="1"/>
    <col min="1" max="1" width="18.7109375" customWidth="1"/>
    <col min="2" max="2" width="14.7109375" customWidth="1"/>
    <col min="3" max="3" width="14.7109375" customWidth="1"/>
    <col min="4" max="4" width="14.7109375" customWidth="1"/>
    <col min="5" max="5" width="14.7109375" customWidth="1"/>
    <col min="6" max="6" width="16.7109375" customWidth="1"/>
    <col min="1" max="1" width="14.7109375" customWidth="1"/>
    <col min="2" max="2" width="13.7109375" customWidth="1"/>
    <col min="3" max="3" width="13.7109375" customWidth="1"/>
    <col min="4" max="4" width="13.7109375" customWidth="1"/>
    <col min="5" max="5" width="14.7109375" customWidth="1"/>
    <col min="6" max="6" width="12.7109375" customWidth="1"/>
    <col min="7" max="7" width="18.7109375" customWidth="1"/>
    <col min="8" max="8" width="12.7109375" customWidth="1"/>
    <col min="9" max="9" width="10.7109375" customWidth="1"/>
    <col min="1" max="1" width="24.7109375" customWidth="1"/>
    <col min="2" max="2" width="12.7109375" customWidth="1"/>
    <col min="3" max="3" width="14.7109375" customWidth="1"/>
    <col min="4" max="4" width="16.7109375" customWidth="1"/>
    <col min="5" max="5" width="14.7109375" customWidth="1"/>
    <col min="6" max="6" width="14.7109375" customWidth="1"/>
  </cols>
  <sheetData>
    <row r="1" spans="1:12" ht="34" customHeight="1">
      <c r="A1" s="2" t="s">
        <v>1693</v>
      </c>
      <c r="B1" s="2"/>
      <c r="C1" s="2"/>
      <c r="D1" s="2"/>
      <c r="E1" s="2"/>
      <c r="F1" s="2"/>
      <c r="G1" s="2"/>
      <c r="H1" s="3" t="s">
        <v>1</v>
      </c>
      <c r="I1" s="3"/>
      <c r="J1" s="3"/>
    </row>
    <row r="2" spans="1:12" ht="18" customHeight="1">
      <c r="A2" s="4" t="s">
        <v>1694</v>
      </c>
      <c r="B2" s="4"/>
      <c r="C2" s="4"/>
      <c r="D2" s="4"/>
      <c r="E2" s="4"/>
      <c r="F2" s="4"/>
      <c r="G2" s="4"/>
      <c r="H2" s="4"/>
      <c r="I2" s="4"/>
      <c r="J2" s="4"/>
    </row>
    <row r="3" spans="1:12" ht="16" customHeight="1">
      <c r="A3" s="5" t="s">
        <v>3</v>
      </c>
      <c r="B3" s="5"/>
      <c r="C3" s="5" t="s">
        <v>4</v>
      </c>
      <c r="D3" s="5"/>
      <c r="E3" s="5" t="s">
        <v>5</v>
      </c>
      <c r="F3" s="5"/>
      <c r="G3" s="5" t="s">
        <v>6</v>
      </c>
      <c r="H3" s="5"/>
      <c r="I3" s="5" t="s">
        <v>7</v>
      </c>
      <c r="J3" s="5"/>
    </row>
    <row r="5" spans="1:12">
      <c r="A5" s="11" t="s">
        <v>101</v>
      </c>
      <c r="B5" s="32" t="s">
        <v>157</v>
      </c>
      <c r="C5" s="19">
        <f>IFERROR(DATE(VALUE(LEFT(ReportMonth,4)),VALUE(RIGHT(ReportMonth,2)),1),DATE(YEAR(TODAY()),MONTH(TODAY()),1))</f>
        <v>0</v>
      </c>
      <c r="D5" s="12" t="s">
        <v>1695</v>
      </c>
      <c r="E5" s="12"/>
      <c r="F5" s="12"/>
      <c r="G5" s="12"/>
      <c r="H5" s="12"/>
      <c r="I5" s="12"/>
      <c r="J5" s="12"/>
      <c r="L5" s="18">
        <f>MAX(1,(COUNTIFS('Grocery Spending'!$E$5:$E$404,TEXT(DATE(PlanYear,1,1),"yyyy-mm"))&gt;0)*1+(COUNTIFS('Grocery Spending'!$E$5:$E$404,TEXT(DATE(PlanYear,2,1),"yyyy-mm"))&gt;0)*1+(COUNTIFS('Grocery Spending'!$E$5:$E$404,TEXT(DATE(PlanYear,3,1),"yyyy-mm"))&gt;0)*1+(COUNTIFS('Grocery Spending'!$E$5:$E$404,TEXT(DATE(PlanYear,4,1),"yyyy-mm"))&gt;0)*1+(COUNTIFS('Grocery Spending'!$E$5:$E$404,TEXT(DATE(PlanYear,5,1),"yyyy-mm"))&gt;0)*1+(COUNTIFS('Grocery Spending'!$E$5:$E$404,TEXT(DATE(PlanYear,6,1),"yyyy-mm"))&gt;0)*1+(COUNTIFS('Grocery Spending'!$E$5:$E$404,TEXT(DATE(PlanYear,7,1),"yyyy-mm"))&gt;0)*1+(COUNTIFS('Grocery Spending'!$E$5:$E$404,TEXT(DATE(PlanYear,8,1),"yyyy-mm"))&gt;0)*1+(COUNTIFS('Grocery Spending'!$E$5:$E$404,TEXT(DATE(PlanYear,9,1),"yyyy-mm"))&gt;0)*1+(COUNTIFS('Grocery Spending'!$E$5:$E$404,TEXT(DATE(PlanYear,10,1),"yyyy-mm"))&gt;0)*1+(COUNTIFS('Grocery Spending'!$E$5:$E$404,TEXT(DATE(PlanYear,11,1),"yyyy-mm"))&gt;0)*1+(COUNTIFS('Grocery Spending'!$E$5:$E$404,TEXT(DATE(PlanYear,12,1),"yyyy-mm"))&gt;0)*1)</f>
        <v>0</v>
      </c>
    </row>
    <row r="7" spans="1:12">
      <c r="A7" s="10" t="s">
        <v>1696</v>
      </c>
      <c r="B7" s="10"/>
      <c r="C7" s="10" t="s">
        <v>1698</v>
      </c>
      <c r="D7" s="10"/>
      <c r="E7" s="10" t="s">
        <v>145</v>
      </c>
      <c r="F7" s="10"/>
      <c r="G7" s="10" t="s">
        <v>1701</v>
      </c>
      <c r="H7" s="10"/>
      <c r="I7" s="10" t="s">
        <v>1603</v>
      </c>
      <c r="J7" s="10"/>
    </row>
    <row r="8" spans="1:12" ht="26" customHeight="1">
      <c r="A8" s="21">
        <f>SUMIFS('Grocery Spending'!$K$5:$K$404,'Grocery Spending'!$E$5:$E$404,TEXT(ReportStart,"yyyy-mm"))</f>
        <v>0</v>
      </c>
      <c r="B8" s="21"/>
      <c r="C8" s="21">
        <f>IFERROR(SUMIFS('Grocery Spending'!$K$5:$K$404,'Grocery Spending'!$E$5:$E$404,TEXT(ReportStart,"yyyy-mm"))/HouseMembers/DAY(EOMONTH(ReportStart,0)),"")</f>
        <v>0</v>
      </c>
      <c r="D8" s="21"/>
      <c r="E8" s="20">
        <f>SUMIFS('Meal Plan'!$AD$5:$AD$504,'Meal Plan'!$E$5:$E$504,TEXT(ReportStart,"yyyy-mm"))</f>
        <v>0</v>
      </c>
      <c r="F8" s="20"/>
      <c r="G8" s="21">
        <f>SUMIFS('Food Waste'!$L$5:$L$154,'Food Waste'!$D$5:$D$154,TEXT(ReportStart,"yyyy-mm"))</f>
        <v>0</v>
      </c>
      <c r="H8" s="21"/>
      <c r="I8" s="55">
        <f>IFERROR(SUMIFS('Grocery Spending'!$K$5:$K$404,'Grocery Spending'!$E$5:$E$404,TEXT(ReportStart,"yyyy-mm"))/MonthlyBudget,"")</f>
        <v>0</v>
      </c>
      <c r="J8" s="55"/>
    </row>
    <row r="9" spans="1:12">
      <c r="A9" s="22" t="s">
        <v>1697</v>
      </c>
      <c r="B9" s="22"/>
      <c r="C9" s="22" t="s">
        <v>1699</v>
      </c>
      <c r="D9" s="22"/>
      <c r="E9" s="22" t="s">
        <v>1700</v>
      </c>
      <c r="F9" s="22"/>
      <c r="G9" s="22" t="s">
        <v>1702</v>
      </c>
      <c r="H9" s="22"/>
      <c r="I9" s="22" t="s">
        <v>1703</v>
      </c>
      <c r="J9" s="22"/>
    </row>
    <row r="11" spans="1:12" ht="20" customHeight="1">
      <c r="A11" s="7" t="s">
        <v>1704</v>
      </c>
      <c r="B11" s="7"/>
      <c r="C11" s="7"/>
      <c r="D11" s="7"/>
      <c r="E11" s="7"/>
      <c r="F11" s="7"/>
      <c r="G11" s="7"/>
      <c r="H11" s="7"/>
      <c r="I11" s="7"/>
      <c r="J11" s="7"/>
    </row>
    <row r="12" spans="1:12" ht="26" customHeight="1">
      <c r="A12" s="8" t="s">
        <v>1284</v>
      </c>
      <c r="B12" s="9" t="s">
        <v>1186</v>
      </c>
      <c r="C12" s="9" t="s">
        <v>1291</v>
      </c>
      <c r="D12" s="9" t="s">
        <v>1705</v>
      </c>
      <c r="E12" s="9" t="s">
        <v>1706</v>
      </c>
      <c r="F12" s="9" t="s">
        <v>1707</v>
      </c>
    </row>
    <row r="13" spans="1:12">
      <c r="A13" s="13" t="s">
        <v>624</v>
      </c>
      <c r="B13" s="25">
        <f>SUMIFS('Grocery Spending'!$K$5:$K$404,'Grocery Spending'!$E$5:$E$404,TEXT(ReportStart,"yyyy-mm"),'Grocery Spending'!$G$5:$G$404,"Weekly shop")</f>
        <v>0</v>
      </c>
      <c r="C13" s="50">
        <f>IFERROR(SUMIFS('Grocery Spending'!$K$5:$K$404,'Grocery Spending'!$E$5:$E$404,TEXT(ReportStart,"yyyy-mm"),'Grocery Spending'!$G$5:$G$404,"Weekly shop")/SUMIFS('Grocery Spending'!$K$5:$K$404,'Grocery Spending'!$E$5:$E$404,TEXT(ReportStart,"yyyy-mm")),"")</f>
        <v>0</v>
      </c>
      <c r="D13" s="25">
        <f>SUMIFS('Grocery Spending'!$K$5:$K$404,'Grocery Spending'!$E$5:$E$404,TEXT(EDATE(ReportStart,-1),"yyyy-mm"),'Grocery Spending'!$G$5:$G$404,"Weekly shop")</f>
        <v>0</v>
      </c>
      <c r="E13" s="27">
        <f>IF(SUMIFS('Grocery Spending'!$K$5:$K$404,'Grocery Spending'!$E$5:$E$404,TEXT(EDATE(ReportStart,-1),"yyyy-mm"),'Grocery Spending'!$G$5:$G$404,"Weekly shop")=0,"",SUMIFS('Grocery Spending'!$K$5:$K$404,'Grocery Spending'!$E$5:$E$404,TEXT(ReportStart,"yyyy-mm"),'Grocery Spending'!$G$5:$G$404,"Weekly shop")/SUMIFS('Grocery Spending'!$K$5:$K$404,'Grocery Spending'!$E$5:$E$404,TEXT(EDATE(ReportStart,-1),"yyyy-mm"),'Grocery Spending'!$G$5:$G$404,"Weekly shop")-1)</f>
        <v>0</v>
      </c>
      <c r="F13" s="25">
        <f>IFERROR(SUMIFS('Grocery Spending'!$K$5:$K$404,'Grocery Spending'!$G$5:$G$404,"Weekly shop")/ReportMonths,"")</f>
        <v>0</v>
      </c>
    </row>
    <row r="14" spans="1:12">
      <c r="A14" s="13" t="s">
        <v>625</v>
      </c>
      <c r="B14" s="25">
        <f>SUMIFS('Grocery Spending'!$K$5:$K$404,'Grocery Spending'!$E$5:$E$404,TEXT(ReportStart,"yyyy-mm"),'Grocery Spending'!$G$5:$G$404,"Top-up shop")</f>
        <v>0</v>
      </c>
      <c r="C14" s="50">
        <f>IFERROR(SUMIFS('Grocery Spending'!$K$5:$K$404,'Grocery Spending'!$E$5:$E$404,TEXT(ReportStart,"yyyy-mm"),'Grocery Spending'!$G$5:$G$404,"Top-up shop")/SUMIFS('Grocery Spending'!$K$5:$K$404,'Grocery Spending'!$E$5:$E$404,TEXT(ReportStart,"yyyy-mm")),"")</f>
        <v>0</v>
      </c>
      <c r="D14" s="25">
        <f>SUMIFS('Grocery Spending'!$K$5:$K$404,'Grocery Spending'!$E$5:$E$404,TEXT(EDATE(ReportStart,-1),"yyyy-mm"),'Grocery Spending'!$G$5:$G$404,"Top-up shop")</f>
        <v>0</v>
      </c>
      <c r="E14" s="27">
        <f>IF(SUMIFS('Grocery Spending'!$K$5:$K$404,'Grocery Spending'!$E$5:$E$404,TEXT(EDATE(ReportStart,-1),"yyyy-mm"),'Grocery Spending'!$G$5:$G$404,"Top-up shop")=0,"",SUMIFS('Grocery Spending'!$K$5:$K$404,'Grocery Spending'!$E$5:$E$404,TEXT(ReportStart,"yyyy-mm"),'Grocery Spending'!$G$5:$G$404,"Top-up shop")/SUMIFS('Grocery Spending'!$K$5:$K$404,'Grocery Spending'!$E$5:$E$404,TEXT(EDATE(ReportStart,-1),"yyyy-mm"),'Grocery Spending'!$G$5:$G$404,"Top-up shop")-1)</f>
        <v>0</v>
      </c>
      <c r="F14" s="25">
        <f>IFERROR(SUMIFS('Grocery Spending'!$K$5:$K$404,'Grocery Spending'!$G$5:$G$404,"Top-up shop")/ReportMonths,"")</f>
        <v>0</v>
      </c>
    </row>
    <row r="15" spans="1:12">
      <c r="A15" s="13" t="s">
        <v>545</v>
      </c>
      <c r="B15" s="25">
        <f>SUMIFS('Grocery Spending'!$K$5:$K$404,'Grocery Spending'!$E$5:$E$404,TEXT(ReportStart,"yyyy-mm"),'Grocery Spending'!$G$5:$G$404,"Bulk shop")</f>
        <v>0</v>
      </c>
      <c r="C15" s="50">
        <f>IFERROR(SUMIFS('Grocery Spending'!$K$5:$K$404,'Grocery Spending'!$E$5:$E$404,TEXT(ReportStart,"yyyy-mm"),'Grocery Spending'!$G$5:$G$404,"Bulk shop")/SUMIFS('Grocery Spending'!$K$5:$K$404,'Grocery Spending'!$E$5:$E$404,TEXT(ReportStart,"yyyy-mm")),"")</f>
        <v>0</v>
      </c>
      <c r="D15" s="25">
        <f>SUMIFS('Grocery Spending'!$K$5:$K$404,'Grocery Spending'!$E$5:$E$404,TEXT(EDATE(ReportStart,-1),"yyyy-mm"),'Grocery Spending'!$G$5:$G$404,"Bulk shop")</f>
        <v>0</v>
      </c>
      <c r="E15" s="27">
        <f>IF(SUMIFS('Grocery Spending'!$K$5:$K$404,'Grocery Spending'!$E$5:$E$404,TEXT(EDATE(ReportStart,-1),"yyyy-mm"),'Grocery Spending'!$G$5:$G$404,"Bulk shop")=0,"",SUMIFS('Grocery Spending'!$K$5:$K$404,'Grocery Spending'!$E$5:$E$404,TEXT(ReportStart,"yyyy-mm"),'Grocery Spending'!$G$5:$G$404,"Bulk shop")/SUMIFS('Grocery Spending'!$K$5:$K$404,'Grocery Spending'!$E$5:$E$404,TEXT(EDATE(ReportStart,-1),"yyyy-mm"),'Grocery Spending'!$G$5:$G$404,"Bulk shop")-1)</f>
        <v>0</v>
      </c>
      <c r="F15" s="25">
        <f>IFERROR(SUMIFS('Grocery Spending'!$K$5:$K$404,'Grocery Spending'!$G$5:$G$404,"Bulk shop")/ReportMonths,"")</f>
        <v>0</v>
      </c>
    </row>
    <row r="16" spans="1:12">
      <c r="A16" s="13" t="s">
        <v>322</v>
      </c>
      <c r="B16" s="25">
        <f>SUMIFS('Grocery Spending'!$K$5:$K$404,'Grocery Spending'!$E$5:$E$404,TEXT(ReportStart,"yyyy-mm"),'Grocery Spending'!$G$5:$G$404,"Takeaway")</f>
        <v>0</v>
      </c>
      <c r="C16" s="50">
        <f>IFERROR(SUMIFS('Grocery Spending'!$K$5:$K$404,'Grocery Spending'!$E$5:$E$404,TEXT(ReportStart,"yyyy-mm"),'Grocery Spending'!$G$5:$G$404,"Takeaway")/SUMIFS('Grocery Spending'!$K$5:$K$404,'Grocery Spending'!$E$5:$E$404,TEXT(ReportStart,"yyyy-mm")),"")</f>
        <v>0</v>
      </c>
      <c r="D16" s="25">
        <f>SUMIFS('Grocery Spending'!$K$5:$K$404,'Grocery Spending'!$E$5:$E$404,TEXT(EDATE(ReportStart,-1),"yyyy-mm"),'Grocery Spending'!$G$5:$G$404,"Takeaway")</f>
        <v>0</v>
      </c>
      <c r="E16" s="27">
        <f>IF(SUMIFS('Grocery Spending'!$K$5:$K$404,'Grocery Spending'!$E$5:$E$404,TEXT(EDATE(ReportStart,-1),"yyyy-mm"),'Grocery Spending'!$G$5:$G$404,"Takeaway")=0,"",SUMIFS('Grocery Spending'!$K$5:$K$404,'Grocery Spending'!$E$5:$E$404,TEXT(ReportStart,"yyyy-mm"),'Grocery Spending'!$G$5:$G$404,"Takeaway")/SUMIFS('Grocery Spending'!$K$5:$K$404,'Grocery Spending'!$E$5:$E$404,TEXT(EDATE(ReportStart,-1),"yyyy-mm"),'Grocery Spending'!$G$5:$G$404,"Takeaway")-1)</f>
        <v>0</v>
      </c>
      <c r="F16" s="25">
        <f>IFERROR(SUMIFS('Grocery Spending'!$K$5:$K$404,'Grocery Spending'!$G$5:$G$404,"Takeaway")/ReportMonths,"")</f>
        <v>0</v>
      </c>
    </row>
    <row r="17" spans="1:10">
      <c r="A17" s="13" t="s">
        <v>143</v>
      </c>
      <c r="B17" s="25">
        <f>SUMIFS('Grocery Spending'!$K$5:$K$404,'Grocery Spending'!$E$5:$E$404,TEXT(ReportStart,"yyyy-mm"),'Grocery Spending'!$G$5:$G$404,"Eating out")</f>
        <v>0</v>
      </c>
      <c r="C17" s="50">
        <f>IFERROR(SUMIFS('Grocery Spending'!$K$5:$K$404,'Grocery Spending'!$E$5:$E$404,TEXT(ReportStart,"yyyy-mm"),'Grocery Spending'!$G$5:$G$404,"Eating out")/SUMIFS('Grocery Spending'!$K$5:$K$404,'Grocery Spending'!$E$5:$E$404,TEXT(ReportStart,"yyyy-mm")),"")</f>
        <v>0</v>
      </c>
      <c r="D17" s="25">
        <f>SUMIFS('Grocery Spending'!$K$5:$K$404,'Grocery Spending'!$E$5:$E$404,TEXT(EDATE(ReportStart,-1),"yyyy-mm"),'Grocery Spending'!$G$5:$G$404,"Eating out")</f>
        <v>0</v>
      </c>
      <c r="E17" s="27">
        <f>IF(SUMIFS('Grocery Spending'!$K$5:$K$404,'Grocery Spending'!$E$5:$E$404,TEXT(EDATE(ReportStart,-1),"yyyy-mm"),'Grocery Spending'!$G$5:$G$404,"Eating out")=0,"",SUMIFS('Grocery Spending'!$K$5:$K$404,'Grocery Spending'!$E$5:$E$404,TEXT(ReportStart,"yyyy-mm"),'Grocery Spending'!$G$5:$G$404,"Eating out")/SUMIFS('Grocery Spending'!$K$5:$K$404,'Grocery Spending'!$E$5:$E$404,TEXT(EDATE(ReportStart,-1),"yyyy-mm"),'Grocery Spending'!$G$5:$G$404,"Eating out")-1)</f>
        <v>0</v>
      </c>
      <c r="F17" s="25">
        <f>IFERROR(SUMIFS('Grocery Spending'!$K$5:$K$404,'Grocery Spending'!$G$5:$G$404,"Eating out")/ReportMonths,"")</f>
        <v>0</v>
      </c>
    </row>
    <row r="18" spans="1:10">
      <c r="A18" s="13" t="s">
        <v>547</v>
      </c>
      <c r="B18" s="25">
        <f>SUMIFS('Grocery Spending'!$K$5:$K$404,'Grocery Spending'!$E$5:$E$404,TEXT(ReportStart,"yyyy-mm"),'Grocery Spending'!$G$5:$G$404,"Work lunch")</f>
        <v>0</v>
      </c>
      <c r="C18" s="50">
        <f>IFERROR(SUMIFS('Grocery Spending'!$K$5:$K$404,'Grocery Spending'!$E$5:$E$404,TEXT(ReportStart,"yyyy-mm"),'Grocery Spending'!$G$5:$G$404,"Work lunch")/SUMIFS('Grocery Spending'!$K$5:$K$404,'Grocery Spending'!$E$5:$E$404,TEXT(ReportStart,"yyyy-mm")),"")</f>
        <v>0</v>
      </c>
      <c r="D18" s="25">
        <f>SUMIFS('Grocery Spending'!$K$5:$K$404,'Grocery Spending'!$E$5:$E$404,TEXT(EDATE(ReportStart,-1),"yyyy-mm"),'Grocery Spending'!$G$5:$G$404,"Work lunch")</f>
        <v>0</v>
      </c>
      <c r="E18" s="27">
        <f>IF(SUMIFS('Grocery Spending'!$K$5:$K$404,'Grocery Spending'!$E$5:$E$404,TEXT(EDATE(ReportStart,-1),"yyyy-mm"),'Grocery Spending'!$G$5:$G$404,"Work lunch")=0,"",SUMIFS('Grocery Spending'!$K$5:$K$404,'Grocery Spending'!$E$5:$E$404,TEXT(ReportStart,"yyyy-mm"),'Grocery Spending'!$G$5:$G$404,"Work lunch")/SUMIFS('Grocery Spending'!$K$5:$K$404,'Grocery Spending'!$E$5:$E$404,TEXT(EDATE(ReportStart,-1),"yyyy-mm"),'Grocery Spending'!$G$5:$G$404,"Work lunch")-1)</f>
        <v>0</v>
      </c>
      <c r="F18" s="25">
        <f>IFERROR(SUMIFS('Grocery Spending'!$K$5:$K$404,'Grocery Spending'!$G$5:$G$404,"Work lunch")/ReportMonths,"")</f>
        <v>0</v>
      </c>
    </row>
    <row r="19" spans="1:10">
      <c r="A19" s="13" t="s">
        <v>626</v>
      </c>
      <c r="B19" s="25">
        <f>SUMIFS('Grocery Spending'!$K$5:$K$404,'Grocery Spending'!$E$5:$E$404,TEXT(ReportStart,"yyyy-mm"),'Grocery Spending'!$G$5:$G$404,"Coffee &amp; treats")</f>
        <v>0</v>
      </c>
      <c r="C19" s="50">
        <f>IFERROR(SUMIFS('Grocery Spending'!$K$5:$K$404,'Grocery Spending'!$E$5:$E$404,TEXT(ReportStart,"yyyy-mm"),'Grocery Spending'!$G$5:$G$404,"Coffee &amp; treats")/SUMIFS('Grocery Spending'!$K$5:$K$404,'Grocery Spending'!$E$5:$E$404,TEXT(ReportStart,"yyyy-mm")),"")</f>
        <v>0</v>
      </c>
      <c r="D19" s="25">
        <f>SUMIFS('Grocery Spending'!$K$5:$K$404,'Grocery Spending'!$E$5:$E$404,TEXT(EDATE(ReportStart,-1),"yyyy-mm"),'Grocery Spending'!$G$5:$G$404,"Coffee &amp; treats")</f>
        <v>0</v>
      </c>
      <c r="E19" s="27">
        <f>IF(SUMIFS('Grocery Spending'!$K$5:$K$404,'Grocery Spending'!$E$5:$E$404,TEXT(EDATE(ReportStart,-1),"yyyy-mm"),'Grocery Spending'!$G$5:$G$404,"Coffee &amp; treats")=0,"",SUMIFS('Grocery Spending'!$K$5:$K$404,'Grocery Spending'!$E$5:$E$404,TEXT(ReportStart,"yyyy-mm"),'Grocery Spending'!$G$5:$G$404,"Coffee &amp; treats")/SUMIFS('Grocery Spending'!$K$5:$K$404,'Grocery Spending'!$E$5:$E$404,TEXT(EDATE(ReportStart,-1),"yyyy-mm"),'Grocery Spending'!$G$5:$G$404,"Coffee &amp; treats")-1)</f>
        <v>0</v>
      </c>
      <c r="F19" s="25">
        <f>IFERROR(SUMIFS('Grocery Spending'!$K$5:$K$404,'Grocery Spending'!$G$5:$G$404,"Coffee &amp; treats")/ReportMonths,"")</f>
        <v>0</v>
      </c>
    </row>
    <row r="20" spans="1:10">
      <c r="A20" s="13" t="s">
        <v>550</v>
      </c>
      <c r="B20" s="25">
        <f>SUMIFS('Grocery Spending'!$K$5:$K$404,'Grocery Spending'!$E$5:$E$404,TEXT(ReportStart,"yyyy-mm"),'Grocery Spending'!$G$5:$G$404,"Delivery fee")</f>
        <v>0</v>
      </c>
      <c r="C20" s="50">
        <f>IFERROR(SUMIFS('Grocery Spending'!$K$5:$K$404,'Grocery Spending'!$E$5:$E$404,TEXT(ReportStart,"yyyy-mm"),'Grocery Spending'!$G$5:$G$404,"Delivery fee")/SUMIFS('Grocery Spending'!$K$5:$K$404,'Grocery Spending'!$E$5:$E$404,TEXT(ReportStart,"yyyy-mm")),"")</f>
        <v>0</v>
      </c>
      <c r="D20" s="25">
        <f>SUMIFS('Grocery Spending'!$K$5:$K$404,'Grocery Spending'!$E$5:$E$404,TEXT(EDATE(ReportStart,-1),"yyyy-mm"),'Grocery Spending'!$G$5:$G$404,"Delivery fee")</f>
        <v>0</v>
      </c>
      <c r="E20" s="27">
        <f>IF(SUMIFS('Grocery Spending'!$K$5:$K$404,'Grocery Spending'!$E$5:$E$404,TEXT(EDATE(ReportStart,-1),"yyyy-mm"),'Grocery Spending'!$G$5:$G$404,"Delivery fee")=0,"",SUMIFS('Grocery Spending'!$K$5:$K$404,'Grocery Spending'!$E$5:$E$404,TEXT(ReportStart,"yyyy-mm"),'Grocery Spending'!$G$5:$G$404,"Delivery fee")/SUMIFS('Grocery Spending'!$K$5:$K$404,'Grocery Spending'!$E$5:$E$404,TEXT(EDATE(ReportStart,-1),"yyyy-mm"),'Grocery Spending'!$G$5:$G$404,"Delivery fee")-1)</f>
        <v>0</v>
      </c>
      <c r="F20" s="25">
        <f>IFERROR(SUMIFS('Grocery Spending'!$K$5:$K$404,'Grocery Spending'!$G$5:$G$404,"Delivery fee")/ReportMonths,"")</f>
        <v>0</v>
      </c>
    </row>
    <row r="21" spans="1:10">
      <c r="A21" s="13" t="s">
        <v>628</v>
      </c>
      <c r="B21" s="25">
        <f>SUMIFS('Grocery Spending'!$K$5:$K$404,'Grocery Spending'!$E$5:$E$404,TEXT(ReportStart,"yyyy-mm"),'Grocery Spending'!$G$5:$G$404,"Special occasion")</f>
        <v>0</v>
      </c>
      <c r="C21" s="50">
        <f>IFERROR(SUMIFS('Grocery Spending'!$K$5:$K$404,'Grocery Spending'!$E$5:$E$404,TEXT(ReportStart,"yyyy-mm"),'Grocery Spending'!$G$5:$G$404,"Special occasion")/SUMIFS('Grocery Spending'!$K$5:$K$404,'Grocery Spending'!$E$5:$E$404,TEXT(ReportStart,"yyyy-mm")),"")</f>
        <v>0</v>
      </c>
      <c r="D21" s="25">
        <f>SUMIFS('Grocery Spending'!$K$5:$K$404,'Grocery Spending'!$E$5:$E$404,TEXT(EDATE(ReportStart,-1),"yyyy-mm"),'Grocery Spending'!$G$5:$G$404,"Special occasion")</f>
        <v>0</v>
      </c>
      <c r="E21" s="27">
        <f>IF(SUMIFS('Grocery Spending'!$K$5:$K$404,'Grocery Spending'!$E$5:$E$404,TEXT(EDATE(ReportStart,-1),"yyyy-mm"),'Grocery Spending'!$G$5:$G$404,"Special occasion")=0,"",SUMIFS('Grocery Spending'!$K$5:$K$404,'Grocery Spending'!$E$5:$E$404,TEXT(ReportStart,"yyyy-mm"),'Grocery Spending'!$G$5:$G$404,"Special occasion")/SUMIFS('Grocery Spending'!$K$5:$K$404,'Grocery Spending'!$E$5:$E$404,TEXT(EDATE(ReportStart,-1),"yyyy-mm"),'Grocery Spending'!$G$5:$G$404,"Special occasion")-1)</f>
        <v>0</v>
      </c>
      <c r="F21" s="25">
        <f>IFERROR(SUMIFS('Grocery Spending'!$K$5:$K$404,'Grocery Spending'!$G$5:$G$404,"Special occasion")/ReportMonths,"")</f>
        <v>0</v>
      </c>
    </row>
    <row r="22" spans="1:10">
      <c r="A22" s="13" t="s">
        <v>18</v>
      </c>
      <c r="B22" s="25">
        <f>SUMIFS('Grocery Spending'!$K$5:$K$404,'Grocery Spending'!$E$5:$E$404,TEXT(ReportStart,"yyyy-mm"),'Grocery Spending'!$G$5:$G$404,"Household")</f>
        <v>0</v>
      </c>
      <c r="C22" s="50">
        <f>IFERROR(SUMIFS('Grocery Spending'!$K$5:$K$404,'Grocery Spending'!$E$5:$E$404,TEXT(ReportStart,"yyyy-mm"),'Grocery Spending'!$G$5:$G$404,"Household")/SUMIFS('Grocery Spending'!$K$5:$K$404,'Grocery Spending'!$E$5:$E$404,TEXT(ReportStart,"yyyy-mm")),"")</f>
        <v>0</v>
      </c>
      <c r="D22" s="25">
        <f>SUMIFS('Grocery Spending'!$K$5:$K$404,'Grocery Spending'!$E$5:$E$404,TEXT(EDATE(ReportStart,-1),"yyyy-mm"),'Grocery Spending'!$G$5:$G$404,"Household")</f>
        <v>0</v>
      </c>
      <c r="E22" s="27">
        <f>IF(SUMIFS('Grocery Spending'!$K$5:$K$404,'Grocery Spending'!$E$5:$E$404,TEXT(EDATE(ReportStart,-1),"yyyy-mm"),'Grocery Spending'!$G$5:$G$404,"Household")=0,"",SUMIFS('Grocery Spending'!$K$5:$K$404,'Grocery Spending'!$E$5:$E$404,TEXT(ReportStart,"yyyy-mm"),'Grocery Spending'!$G$5:$G$404,"Household")/SUMIFS('Grocery Spending'!$K$5:$K$404,'Grocery Spending'!$E$5:$E$404,TEXT(EDATE(ReportStart,-1),"yyyy-mm"),'Grocery Spending'!$G$5:$G$404,"Household")-1)</f>
        <v>0</v>
      </c>
      <c r="F22" s="25">
        <f>IFERROR(SUMIFS('Grocery Spending'!$K$5:$K$404,'Grocery Spending'!$G$5:$G$404,"Household")/ReportMonths,"")</f>
        <v>0</v>
      </c>
    </row>
    <row r="23" spans="1:10">
      <c r="A23" s="48" t="s">
        <v>1708</v>
      </c>
      <c r="B23" s="26">
        <f>SUM(B13:B22)</f>
        <v>0</v>
      </c>
      <c r="C23" s="53"/>
      <c r="D23" s="26">
        <f>SUM(D13:D22)</f>
        <v>0</v>
      </c>
      <c r="E23" s="53"/>
      <c r="F23" s="53"/>
    </row>
    <row r="25" spans="1:10" ht="20" customHeight="1">
      <c r="A25" s="7" t="s">
        <v>1709</v>
      </c>
      <c r="B25" s="7"/>
      <c r="C25" s="7"/>
      <c r="D25" s="7"/>
      <c r="E25" s="7"/>
      <c r="F25" s="7"/>
      <c r="G25" s="7"/>
      <c r="H25" s="7"/>
      <c r="I25" s="7"/>
      <c r="J25" s="7"/>
    </row>
    <row r="26" spans="1:10" ht="26" customHeight="1">
      <c r="A26" s="8" t="s">
        <v>654</v>
      </c>
      <c r="B26" s="9" t="s">
        <v>1186</v>
      </c>
      <c r="C26" s="9" t="s">
        <v>1257</v>
      </c>
      <c r="D26" s="9" t="s">
        <v>1259</v>
      </c>
      <c r="E26" s="9" t="s">
        <v>730</v>
      </c>
    </row>
    <row r="27" spans="1:10">
      <c r="A27" s="13" t="s">
        <v>175</v>
      </c>
      <c r="B27" s="18">
        <f>COUNTIFS('Meal Plan'!$E$5:$E$504,TEXT(ReportStart,"yyyy-mm"))</f>
        <v>0</v>
      </c>
      <c r="C27" s="18">
        <f>""</f>
        <v>0</v>
      </c>
      <c r="D27" s="31">
        <f>IF(C27="","",IF(B27&gt;=C27,"On target","Short"))</f>
        <v>0</v>
      </c>
      <c r="E27" s="12" t="s">
        <v>105</v>
      </c>
    </row>
    <row r="28" spans="1:10">
      <c r="A28" s="13" t="s">
        <v>1710</v>
      </c>
      <c r="B28" s="18">
        <f>COUNTIFS('Meal Plan'!$E$5:$E$504,TEXT(ReportStart,"yyyy-mm"),'Meal Plan'!$F$5:$F$504,"Dinner",'Meal Plan'!$AD$5:$AD$504,1)</f>
        <v>0</v>
      </c>
      <c r="C28" s="18">
        <f>HomeCookedTarget*DAY(EOMONTH(ReportStart,0))/7</f>
        <v>0</v>
      </c>
      <c r="D28" s="31">
        <f>IF(C28="","",IF(B28&gt;=C28,"On target","Short"))</f>
        <v>0</v>
      </c>
      <c r="E28" s="12" t="s">
        <v>1711</v>
      </c>
    </row>
    <row r="29" spans="1:10">
      <c r="A29" s="13" t="s">
        <v>1712</v>
      </c>
      <c r="B29" s="18">
        <f>COUNTIFS('Meal Plan'!$E$5:$E$504,TEXT(ReportStart,"yyyy-mm"),'Meal Plan'!$AD$5:$AD$504,0)</f>
        <v>0</v>
      </c>
      <c r="C29" s="18">
        <f>TakeawayLimit*DAY(EOMONTH(ReportStart,0))/7</f>
        <v>0</v>
      </c>
      <c r="D29" s="31">
        <f>IF(C29="","",IF(B29&gt;=C29,"On target","Short"))</f>
        <v>0</v>
      </c>
      <c r="E29" s="12" t="s">
        <v>1713</v>
      </c>
    </row>
    <row r="30" spans="1:10">
      <c r="A30" s="13" t="s">
        <v>1714</v>
      </c>
      <c r="B30" s="18">
        <f>SUMPRODUCT((COUNTIFS('Meal Plan'!$E$5:$E$504,TEXT(ReportStart,"yyyy-mm"),'Meal Plan'!$G$5:$G$504,Recipes!$A$5:$A$204)&gt;0)*1)</f>
        <v>0</v>
      </c>
      <c r="C30" s="18">
        <f>""</f>
        <v>0</v>
      </c>
      <c r="D30" s="31">
        <f>IF(C30="","",IF(B30&gt;=C30,"On target","Short"))</f>
        <v>0</v>
      </c>
      <c r="E30" s="12" t="s">
        <v>1715</v>
      </c>
    </row>
    <row r="31" spans="1:10">
      <c r="A31" s="13" t="s">
        <v>1716</v>
      </c>
      <c r="B31" s="18">
        <f>COUNTIFS(Recipes!$BE$5:$BE$204,"&gt;="&amp;ReportStart,Recipes!$BE$5:$BE$204,"&lt;="&amp;EOMONTH(ReportStart,0))</f>
        <v>0</v>
      </c>
      <c r="C31" s="18">
        <f>NewRecipeTarget</f>
        <v>0</v>
      </c>
      <c r="D31" s="31">
        <f>IF(C31="","",IF(B31&gt;=C31,"On target","Short"))</f>
        <v>0</v>
      </c>
      <c r="E31" s="12" t="s">
        <v>1717</v>
      </c>
    </row>
    <row r="32" spans="1:10">
      <c r="A32" s="13" t="s">
        <v>757</v>
      </c>
      <c r="B32" s="18">
        <f>COUNTIFS('Meal Plan'!$E$5:$E$504,TEXT(ReportStart,"yyyy-mm"),'Meal Plan'!$F$5:$F$504,"Lunch",'Meal Plan'!$AD$5:$AD$504,1)</f>
        <v>0</v>
      </c>
      <c r="C32" s="18">
        <f>PackedLunchTarget*DAY(EOMONTH(ReportStart,0))/7</f>
        <v>0</v>
      </c>
      <c r="D32" s="31">
        <f>IF(C32="","",IF(B32&gt;=C32,"On target","Short"))</f>
        <v>0</v>
      </c>
      <c r="E32" s="12" t="s">
        <v>1718</v>
      </c>
    </row>
    <row r="33" spans="1:10">
      <c r="A33" s="13" t="s">
        <v>1719</v>
      </c>
      <c r="B33" s="18">
        <f>COUNTIFS('Meal Prep'!$C$5:$C$124,"&gt;="&amp;ReportStart,'Meal Prep'!$C$5:$C$124,"&lt;="&amp;EOMONTH(ReportStart,0))</f>
        <v>0</v>
      </c>
      <c r="C33" s="18">
        <f>""</f>
        <v>0</v>
      </c>
      <c r="D33" s="31">
        <f>IF(C33="","",IF(B33&gt;=C33,"On target","Short"))</f>
        <v>0</v>
      </c>
      <c r="E33" s="12" t="s">
        <v>1720</v>
      </c>
    </row>
    <row r="34" spans="1:10">
      <c r="A34" s="13" t="s">
        <v>1721</v>
      </c>
      <c r="B34" s="45">
        <f>SUMIFS('Meal Prep'!$I$5:$I$124,'Meal Prep'!$C$5:$C$124,"&gt;="&amp;ReportStart,'Meal Prep'!$C$5:$C$124,"&lt;="&amp;EOMONTH(ReportStart,0))</f>
        <v>0</v>
      </c>
      <c r="C34" s="45">
        <f>""</f>
        <v>0</v>
      </c>
      <c r="D34" s="31">
        <f>IF(C34="","",IF(B34&gt;=C34,"On target","Short"))</f>
        <v>0</v>
      </c>
      <c r="E34" s="12" t="s">
        <v>1722</v>
      </c>
    </row>
    <row r="37" spans="1:10" ht="20" customHeight="1">
      <c r="A37" s="7" t="s">
        <v>1723</v>
      </c>
      <c r="B37" s="7"/>
      <c r="C37" s="7"/>
      <c r="D37" s="7"/>
      <c r="E37" s="7"/>
      <c r="F37" s="7"/>
      <c r="G37" s="7"/>
      <c r="H37" s="7"/>
      <c r="I37" s="7"/>
      <c r="J37" s="7"/>
    </row>
    <row r="38" spans="1:10" ht="26" customHeight="1">
      <c r="A38" s="8" t="s">
        <v>1724</v>
      </c>
      <c r="B38" s="9" t="s">
        <v>175</v>
      </c>
      <c r="C38" s="9" t="s">
        <v>1036</v>
      </c>
      <c r="D38" s="9" t="s">
        <v>1289</v>
      </c>
      <c r="E38" s="9" t="s">
        <v>151</v>
      </c>
      <c r="F38" s="9" t="s">
        <v>1725</v>
      </c>
    </row>
    <row r="39" spans="1:10">
      <c r="A39" s="19">
        <f>IF(ReportStart+0&gt;EOMONTH(ReportStart,0),"",ReportStart+0)</f>
        <v>0</v>
      </c>
      <c r="B39" s="18">
        <f>IF(A39="","",COUNTIFS('Meal Plan'!$B$5:$B$504,"&gt;="&amp;A39,'Meal Plan'!$B$5:$B$504,"&lt;="&amp;A39+6))</f>
        <v>0</v>
      </c>
      <c r="C39" s="25">
        <f>IF(A39="","",SUMIFS('Meal Plan'!$T$5:$T$504,'Meal Plan'!$B$5:$B$504,"&gt;="&amp;A39,'Meal Plan'!$B$5:$B$504,"&lt;="&amp;A39+6))</f>
        <v>0</v>
      </c>
      <c r="D39" s="25">
        <f>IF(A39="","",SUMIFS('Grocery Spending'!$K$5:$K$404,'Grocery Spending'!$B$5:$B$404,"&gt;="&amp;A39,'Grocery Spending'!$B$5:$B$404,"&lt;="&amp;A39+6))</f>
        <v>0</v>
      </c>
      <c r="E39" s="25">
        <f>IF(A39="","",SUMIFS('Food Waste'!$L$5:$L$154,'Food Waste'!$B$5:$B$154,"&gt;="&amp;A39,'Food Waste'!$B$5:$B$154,"&lt;="&amp;A39+6))</f>
        <v>0</v>
      </c>
      <c r="F39" s="25">
        <f>IF(A39="","",IFERROR(SUMIFS('Grocery Spending'!$K$5:$K$404,'Grocery Spending'!$B$5:$B$404,"&gt;="&amp;A39,'Grocery Spending'!$B$5:$B$404,"&lt;="&amp;A39+6)/HouseMembers,""))</f>
        <v>0</v>
      </c>
    </row>
    <row r="40" spans="1:10">
      <c r="A40" s="19">
        <f>IF(ReportStart+7&gt;EOMONTH(ReportStart,0),"",ReportStart+7)</f>
        <v>0</v>
      </c>
      <c r="B40" s="18">
        <f>IF(A40="","",COUNTIFS('Meal Plan'!$B$5:$B$504,"&gt;="&amp;A40,'Meal Plan'!$B$5:$B$504,"&lt;="&amp;A40+6))</f>
        <v>0</v>
      </c>
      <c r="C40" s="25">
        <f>IF(A40="","",SUMIFS('Meal Plan'!$T$5:$T$504,'Meal Plan'!$B$5:$B$504,"&gt;="&amp;A40,'Meal Plan'!$B$5:$B$504,"&lt;="&amp;A40+6))</f>
        <v>0</v>
      </c>
      <c r="D40" s="25">
        <f>IF(A40="","",SUMIFS('Grocery Spending'!$K$5:$K$404,'Grocery Spending'!$B$5:$B$404,"&gt;="&amp;A40,'Grocery Spending'!$B$5:$B$404,"&lt;="&amp;A40+6))</f>
        <v>0</v>
      </c>
      <c r="E40" s="25">
        <f>IF(A40="","",SUMIFS('Food Waste'!$L$5:$L$154,'Food Waste'!$B$5:$B$154,"&gt;="&amp;A40,'Food Waste'!$B$5:$B$154,"&lt;="&amp;A40+6))</f>
        <v>0</v>
      </c>
      <c r="F40" s="25">
        <f>IF(A40="","",IFERROR(SUMIFS('Grocery Spending'!$K$5:$K$404,'Grocery Spending'!$B$5:$B$404,"&gt;="&amp;A40,'Grocery Spending'!$B$5:$B$404,"&lt;="&amp;A40+6)/HouseMembers,""))</f>
        <v>0</v>
      </c>
    </row>
    <row r="41" spans="1:10">
      <c r="A41" s="19">
        <f>IF(ReportStart+14&gt;EOMONTH(ReportStart,0),"",ReportStart+14)</f>
        <v>0</v>
      </c>
      <c r="B41" s="18">
        <f>IF(A41="","",COUNTIFS('Meal Plan'!$B$5:$B$504,"&gt;="&amp;A41,'Meal Plan'!$B$5:$B$504,"&lt;="&amp;A41+6))</f>
        <v>0</v>
      </c>
      <c r="C41" s="25">
        <f>IF(A41="","",SUMIFS('Meal Plan'!$T$5:$T$504,'Meal Plan'!$B$5:$B$504,"&gt;="&amp;A41,'Meal Plan'!$B$5:$B$504,"&lt;="&amp;A41+6))</f>
        <v>0</v>
      </c>
      <c r="D41" s="25">
        <f>IF(A41="","",SUMIFS('Grocery Spending'!$K$5:$K$404,'Grocery Spending'!$B$5:$B$404,"&gt;="&amp;A41,'Grocery Spending'!$B$5:$B$404,"&lt;="&amp;A41+6))</f>
        <v>0</v>
      </c>
      <c r="E41" s="25">
        <f>IF(A41="","",SUMIFS('Food Waste'!$L$5:$L$154,'Food Waste'!$B$5:$B$154,"&gt;="&amp;A41,'Food Waste'!$B$5:$B$154,"&lt;="&amp;A41+6))</f>
        <v>0</v>
      </c>
      <c r="F41" s="25">
        <f>IF(A41="","",IFERROR(SUMIFS('Grocery Spending'!$K$5:$K$404,'Grocery Spending'!$B$5:$B$404,"&gt;="&amp;A41,'Grocery Spending'!$B$5:$B$404,"&lt;="&amp;A41+6)/HouseMembers,""))</f>
        <v>0</v>
      </c>
    </row>
    <row r="42" spans="1:10">
      <c r="A42" s="19">
        <f>IF(ReportStart+21&gt;EOMONTH(ReportStart,0),"",ReportStart+21)</f>
        <v>0</v>
      </c>
      <c r="B42" s="18">
        <f>IF(A42="","",COUNTIFS('Meal Plan'!$B$5:$B$504,"&gt;="&amp;A42,'Meal Plan'!$B$5:$B$504,"&lt;="&amp;A42+6))</f>
        <v>0</v>
      </c>
      <c r="C42" s="25">
        <f>IF(A42="","",SUMIFS('Meal Plan'!$T$5:$T$504,'Meal Plan'!$B$5:$B$504,"&gt;="&amp;A42,'Meal Plan'!$B$5:$B$504,"&lt;="&amp;A42+6))</f>
        <v>0</v>
      </c>
      <c r="D42" s="25">
        <f>IF(A42="","",SUMIFS('Grocery Spending'!$K$5:$K$404,'Grocery Spending'!$B$5:$B$404,"&gt;="&amp;A42,'Grocery Spending'!$B$5:$B$404,"&lt;="&amp;A42+6))</f>
        <v>0</v>
      </c>
      <c r="E42" s="25">
        <f>IF(A42="","",SUMIFS('Food Waste'!$L$5:$L$154,'Food Waste'!$B$5:$B$154,"&gt;="&amp;A42,'Food Waste'!$B$5:$B$154,"&lt;="&amp;A42+6))</f>
        <v>0</v>
      </c>
      <c r="F42" s="25">
        <f>IF(A42="","",IFERROR(SUMIFS('Grocery Spending'!$K$5:$K$404,'Grocery Spending'!$B$5:$B$404,"&gt;="&amp;A42,'Grocery Spending'!$B$5:$B$404,"&lt;="&amp;A42+6)/HouseMembers,""))</f>
        <v>0</v>
      </c>
    </row>
    <row r="43" spans="1:10">
      <c r="A43" s="19">
        <f>IF(ReportStart+28&gt;EOMONTH(ReportStart,0),"",ReportStart+28)</f>
        <v>0</v>
      </c>
      <c r="B43" s="18">
        <f>IF(A43="","",COUNTIFS('Meal Plan'!$B$5:$B$504,"&gt;="&amp;A43,'Meal Plan'!$B$5:$B$504,"&lt;="&amp;A43+6))</f>
        <v>0</v>
      </c>
      <c r="C43" s="25">
        <f>IF(A43="","",SUMIFS('Meal Plan'!$T$5:$T$504,'Meal Plan'!$B$5:$B$504,"&gt;="&amp;A43,'Meal Plan'!$B$5:$B$504,"&lt;="&amp;A43+6))</f>
        <v>0</v>
      </c>
      <c r="D43" s="25">
        <f>IF(A43="","",SUMIFS('Grocery Spending'!$K$5:$K$404,'Grocery Spending'!$B$5:$B$404,"&gt;="&amp;A43,'Grocery Spending'!$B$5:$B$404,"&lt;="&amp;A43+6))</f>
        <v>0</v>
      </c>
      <c r="E43" s="25">
        <f>IF(A43="","",SUMIFS('Food Waste'!$L$5:$L$154,'Food Waste'!$B$5:$B$154,"&gt;="&amp;A43,'Food Waste'!$B$5:$B$154,"&lt;="&amp;A43+6))</f>
        <v>0</v>
      </c>
      <c r="F43" s="25">
        <f>IF(A43="","",IFERROR(SUMIFS('Grocery Spending'!$K$5:$K$404,'Grocery Spending'!$B$5:$B$404,"&gt;="&amp;A43,'Grocery Spending'!$B$5:$B$404,"&lt;="&amp;A43+6)/HouseMembers,""))</f>
        <v>0</v>
      </c>
    </row>
    <row r="46" spans="1:10" ht="20" customHeight="1">
      <c r="A46" s="7" t="s">
        <v>1726</v>
      </c>
      <c r="B46" s="7"/>
      <c r="C46" s="7"/>
      <c r="D46" s="7"/>
      <c r="E46" s="7"/>
      <c r="F46" s="7"/>
      <c r="G46" s="7"/>
      <c r="H46" s="7"/>
      <c r="I46" s="7"/>
      <c r="J46" s="7"/>
    </row>
    <row r="47" spans="1:10" ht="26" customHeight="1">
      <c r="A47" s="8" t="s">
        <v>101</v>
      </c>
      <c r="B47" s="9" t="s">
        <v>1727</v>
      </c>
      <c r="C47" s="9" t="s">
        <v>141</v>
      </c>
      <c r="D47" s="9" t="s">
        <v>1728</v>
      </c>
      <c r="E47" s="9" t="s">
        <v>1729</v>
      </c>
      <c r="F47" s="9" t="s">
        <v>553</v>
      </c>
      <c r="G47" s="9" t="s">
        <v>1698</v>
      </c>
      <c r="H47" s="9" t="s">
        <v>1730</v>
      </c>
      <c r="I47" s="9" t="s">
        <v>1288</v>
      </c>
    </row>
    <row r="48" spans="1:10">
      <c r="A48" s="57">
        <f>DATE(PlanYear,1,1)</f>
        <v>0</v>
      </c>
      <c r="B48" s="25">
        <f>SUMIFS('Grocery Spending'!$K$5:$K$404,'Grocery Spending'!$E$5:$E$404,TEXT(DATE(PlanYear,1,1),"yyyy-mm"))</f>
        <v>0</v>
      </c>
      <c r="C48" s="25">
        <f>MonthlyBudget</f>
        <v>0</v>
      </c>
      <c r="D48" s="25">
        <f>MonthlyBudget-SUMIFS('Grocery Spending'!$K$5:$K$404,'Grocery Spending'!$E$5:$E$404,TEXT(DATE(PlanYear,1,1),"yyyy-mm"))</f>
        <v>0</v>
      </c>
      <c r="E48" s="18">
        <f>SUMIFS('Meal Plan'!$AD$5:$AD$504,'Meal Plan'!$E$5:$E$504,TEXT(DATE(PlanYear,1,1),"yyyy-mm"))</f>
        <v>0</v>
      </c>
      <c r="F48" s="25">
        <f>SUMIFS('Food Waste'!$L$5:$L$154,'Food Waste'!$D$5:$D$154,TEXT(DATE(PlanYear,1,1),"yyyy-mm"))</f>
        <v>0</v>
      </c>
      <c r="G48" s="25">
        <f>IFERROR(SUMIFS('Grocery Spending'!$K$5:$K$404,'Grocery Spending'!$E$5:$E$404,TEXT(DATE(PlanYear,1,1),"yyyy-mm"))/HouseMembers/DAY(DATE(PlanYear,2,0)),"")</f>
        <v>0</v>
      </c>
      <c r="H48" s="18">
        <f>COUNTIFS('Meal Plan'!$E$5:$E$504,TEXT(DATE(PlanYear,1,1),"yyyy-mm"),'Meal Plan'!$AD$5:$AD$504,0)</f>
        <v>0</v>
      </c>
      <c r="I48" s="18">
        <f>COUNTIFS('Grocery Spending'!$E$5:$E$404,TEXT(DATE(PlanYear,1,1),"yyyy-mm"))</f>
        <v>0</v>
      </c>
    </row>
    <row r="49" spans="1:10">
      <c r="A49" s="57">
        <f>DATE(PlanYear,2,1)</f>
        <v>0</v>
      </c>
      <c r="B49" s="25">
        <f>SUMIFS('Grocery Spending'!$K$5:$K$404,'Grocery Spending'!$E$5:$E$404,TEXT(DATE(PlanYear,2,1),"yyyy-mm"))</f>
        <v>0</v>
      </c>
      <c r="C49" s="25">
        <f>MonthlyBudget</f>
        <v>0</v>
      </c>
      <c r="D49" s="25">
        <f>MonthlyBudget-SUMIFS('Grocery Spending'!$K$5:$K$404,'Grocery Spending'!$E$5:$E$404,TEXT(DATE(PlanYear,2,1),"yyyy-mm"))</f>
        <v>0</v>
      </c>
      <c r="E49" s="18">
        <f>SUMIFS('Meal Plan'!$AD$5:$AD$504,'Meal Plan'!$E$5:$E$504,TEXT(DATE(PlanYear,2,1),"yyyy-mm"))</f>
        <v>0</v>
      </c>
      <c r="F49" s="25">
        <f>SUMIFS('Food Waste'!$L$5:$L$154,'Food Waste'!$D$5:$D$154,TEXT(DATE(PlanYear,2,1),"yyyy-mm"))</f>
        <v>0</v>
      </c>
      <c r="G49" s="25">
        <f>IFERROR(SUMIFS('Grocery Spending'!$K$5:$K$404,'Grocery Spending'!$E$5:$E$404,TEXT(DATE(PlanYear,2,1),"yyyy-mm"))/HouseMembers/DAY(DATE(PlanYear,3,0)),"")</f>
        <v>0</v>
      </c>
      <c r="H49" s="18">
        <f>COUNTIFS('Meal Plan'!$E$5:$E$504,TEXT(DATE(PlanYear,2,1),"yyyy-mm"),'Meal Plan'!$AD$5:$AD$504,0)</f>
        <v>0</v>
      </c>
      <c r="I49" s="18">
        <f>COUNTIFS('Grocery Spending'!$E$5:$E$404,TEXT(DATE(PlanYear,2,1),"yyyy-mm"))</f>
        <v>0</v>
      </c>
    </row>
    <row r="50" spans="1:10">
      <c r="A50" s="57">
        <f>DATE(PlanYear,3,1)</f>
        <v>0</v>
      </c>
      <c r="B50" s="25">
        <f>SUMIFS('Grocery Spending'!$K$5:$K$404,'Grocery Spending'!$E$5:$E$404,TEXT(DATE(PlanYear,3,1),"yyyy-mm"))</f>
        <v>0</v>
      </c>
      <c r="C50" s="25">
        <f>MonthlyBudget</f>
        <v>0</v>
      </c>
      <c r="D50" s="25">
        <f>MonthlyBudget-SUMIFS('Grocery Spending'!$K$5:$K$404,'Grocery Spending'!$E$5:$E$404,TEXT(DATE(PlanYear,3,1),"yyyy-mm"))</f>
        <v>0</v>
      </c>
      <c r="E50" s="18">
        <f>SUMIFS('Meal Plan'!$AD$5:$AD$504,'Meal Plan'!$E$5:$E$504,TEXT(DATE(PlanYear,3,1),"yyyy-mm"))</f>
        <v>0</v>
      </c>
      <c r="F50" s="25">
        <f>SUMIFS('Food Waste'!$L$5:$L$154,'Food Waste'!$D$5:$D$154,TEXT(DATE(PlanYear,3,1),"yyyy-mm"))</f>
        <v>0</v>
      </c>
      <c r="G50" s="25">
        <f>IFERROR(SUMIFS('Grocery Spending'!$K$5:$K$404,'Grocery Spending'!$E$5:$E$404,TEXT(DATE(PlanYear,3,1),"yyyy-mm"))/HouseMembers/DAY(DATE(PlanYear,4,0)),"")</f>
        <v>0</v>
      </c>
      <c r="H50" s="18">
        <f>COUNTIFS('Meal Plan'!$E$5:$E$504,TEXT(DATE(PlanYear,3,1),"yyyy-mm"),'Meal Plan'!$AD$5:$AD$504,0)</f>
        <v>0</v>
      </c>
      <c r="I50" s="18">
        <f>COUNTIFS('Grocery Spending'!$E$5:$E$404,TEXT(DATE(PlanYear,3,1),"yyyy-mm"))</f>
        <v>0</v>
      </c>
    </row>
    <row r="51" spans="1:10">
      <c r="A51" s="57">
        <f>DATE(PlanYear,4,1)</f>
        <v>0</v>
      </c>
      <c r="B51" s="25">
        <f>SUMIFS('Grocery Spending'!$K$5:$K$404,'Grocery Spending'!$E$5:$E$404,TEXT(DATE(PlanYear,4,1),"yyyy-mm"))</f>
        <v>0</v>
      </c>
      <c r="C51" s="25">
        <f>MonthlyBudget</f>
        <v>0</v>
      </c>
      <c r="D51" s="25">
        <f>MonthlyBudget-SUMIFS('Grocery Spending'!$K$5:$K$404,'Grocery Spending'!$E$5:$E$404,TEXT(DATE(PlanYear,4,1),"yyyy-mm"))</f>
        <v>0</v>
      </c>
      <c r="E51" s="18">
        <f>SUMIFS('Meal Plan'!$AD$5:$AD$504,'Meal Plan'!$E$5:$E$504,TEXT(DATE(PlanYear,4,1),"yyyy-mm"))</f>
        <v>0</v>
      </c>
      <c r="F51" s="25">
        <f>SUMIFS('Food Waste'!$L$5:$L$154,'Food Waste'!$D$5:$D$154,TEXT(DATE(PlanYear,4,1),"yyyy-mm"))</f>
        <v>0</v>
      </c>
      <c r="G51" s="25">
        <f>IFERROR(SUMIFS('Grocery Spending'!$K$5:$K$404,'Grocery Spending'!$E$5:$E$404,TEXT(DATE(PlanYear,4,1),"yyyy-mm"))/HouseMembers/DAY(DATE(PlanYear,5,0)),"")</f>
        <v>0</v>
      </c>
      <c r="H51" s="18">
        <f>COUNTIFS('Meal Plan'!$E$5:$E$504,TEXT(DATE(PlanYear,4,1),"yyyy-mm"),'Meal Plan'!$AD$5:$AD$504,0)</f>
        <v>0</v>
      </c>
      <c r="I51" s="18">
        <f>COUNTIFS('Grocery Spending'!$E$5:$E$404,TEXT(DATE(PlanYear,4,1),"yyyy-mm"))</f>
        <v>0</v>
      </c>
    </row>
    <row r="52" spans="1:10">
      <c r="A52" s="57">
        <f>DATE(PlanYear,5,1)</f>
        <v>0</v>
      </c>
      <c r="B52" s="25">
        <f>SUMIFS('Grocery Spending'!$K$5:$K$404,'Grocery Spending'!$E$5:$E$404,TEXT(DATE(PlanYear,5,1),"yyyy-mm"))</f>
        <v>0</v>
      </c>
      <c r="C52" s="25">
        <f>MonthlyBudget</f>
        <v>0</v>
      </c>
      <c r="D52" s="25">
        <f>MonthlyBudget-SUMIFS('Grocery Spending'!$K$5:$K$404,'Grocery Spending'!$E$5:$E$404,TEXT(DATE(PlanYear,5,1),"yyyy-mm"))</f>
        <v>0</v>
      </c>
      <c r="E52" s="18">
        <f>SUMIFS('Meal Plan'!$AD$5:$AD$504,'Meal Plan'!$E$5:$E$504,TEXT(DATE(PlanYear,5,1),"yyyy-mm"))</f>
        <v>0</v>
      </c>
      <c r="F52" s="25">
        <f>SUMIFS('Food Waste'!$L$5:$L$154,'Food Waste'!$D$5:$D$154,TEXT(DATE(PlanYear,5,1),"yyyy-mm"))</f>
        <v>0</v>
      </c>
      <c r="G52" s="25">
        <f>IFERROR(SUMIFS('Grocery Spending'!$K$5:$K$404,'Grocery Spending'!$E$5:$E$404,TEXT(DATE(PlanYear,5,1),"yyyy-mm"))/HouseMembers/DAY(DATE(PlanYear,6,0)),"")</f>
        <v>0</v>
      </c>
      <c r="H52" s="18">
        <f>COUNTIFS('Meal Plan'!$E$5:$E$504,TEXT(DATE(PlanYear,5,1),"yyyy-mm"),'Meal Plan'!$AD$5:$AD$504,0)</f>
        <v>0</v>
      </c>
      <c r="I52" s="18">
        <f>COUNTIFS('Grocery Spending'!$E$5:$E$404,TEXT(DATE(PlanYear,5,1),"yyyy-mm"))</f>
        <v>0</v>
      </c>
    </row>
    <row r="53" spans="1:10">
      <c r="A53" s="57">
        <f>DATE(PlanYear,6,1)</f>
        <v>0</v>
      </c>
      <c r="B53" s="25">
        <f>SUMIFS('Grocery Spending'!$K$5:$K$404,'Grocery Spending'!$E$5:$E$404,TEXT(DATE(PlanYear,6,1),"yyyy-mm"))</f>
        <v>0</v>
      </c>
      <c r="C53" s="25">
        <f>MonthlyBudget</f>
        <v>0</v>
      </c>
      <c r="D53" s="25">
        <f>MonthlyBudget-SUMIFS('Grocery Spending'!$K$5:$K$404,'Grocery Spending'!$E$5:$E$404,TEXT(DATE(PlanYear,6,1),"yyyy-mm"))</f>
        <v>0</v>
      </c>
      <c r="E53" s="18">
        <f>SUMIFS('Meal Plan'!$AD$5:$AD$504,'Meal Plan'!$E$5:$E$504,TEXT(DATE(PlanYear,6,1),"yyyy-mm"))</f>
        <v>0</v>
      </c>
      <c r="F53" s="25">
        <f>SUMIFS('Food Waste'!$L$5:$L$154,'Food Waste'!$D$5:$D$154,TEXT(DATE(PlanYear,6,1),"yyyy-mm"))</f>
        <v>0</v>
      </c>
      <c r="G53" s="25">
        <f>IFERROR(SUMIFS('Grocery Spending'!$K$5:$K$404,'Grocery Spending'!$E$5:$E$404,TEXT(DATE(PlanYear,6,1),"yyyy-mm"))/HouseMembers/DAY(DATE(PlanYear,7,0)),"")</f>
        <v>0</v>
      </c>
      <c r="H53" s="18">
        <f>COUNTIFS('Meal Plan'!$E$5:$E$504,TEXT(DATE(PlanYear,6,1),"yyyy-mm"),'Meal Plan'!$AD$5:$AD$504,0)</f>
        <v>0</v>
      </c>
      <c r="I53" s="18">
        <f>COUNTIFS('Grocery Spending'!$E$5:$E$404,TEXT(DATE(PlanYear,6,1),"yyyy-mm"))</f>
        <v>0</v>
      </c>
    </row>
    <row r="54" spans="1:10">
      <c r="A54" s="57">
        <f>DATE(PlanYear,7,1)</f>
        <v>0</v>
      </c>
      <c r="B54" s="25">
        <f>SUMIFS('Grocery Spending'!$K$5:$K$404,'Grocery Spending'!$E$5:$E$404,TEXT(DATE(PlanYear,7,1),"yyyy-mm"))</f>
        <v>0</v>
      </c>
      <c r="C54" s="25">
        <f>MonthlyBudget</f>
        <v>0</v>
      </c>
      <c r="D54" s="25">
        <f>MonthlyBudget-SUMIFS('Grocery Spending'!$K$5:$K$404,'Grocery Spending'!$E$5:$E$404,TEXT(DATE(PlanYear,7,1),"yyyy-mm"))</f>
        <v>0</v>
      </c>
      <c r="E54" s="18">
        <f>SUMIFS('Meal Plan'!$AD$5:$AD$504,'Meal Plan'!$E$5:$E$504,TEXT(DATE(PlanYear,7,1),"yyyy-mm"))</f>
        <v>0</v>
      </c>
      <c r="F54" s="25">
        <f>SUMIFS('Food Waste'!$L$5:$L$154,'Food Waste'!$D$5:$D$154,TEXT(DATE(PlanYear,7,1),"yyyy-mm"))</f>
        <v>0</v>
      </c>
      <c r="G54" s="25">
        <f>IFERROR(SUMIFS('Grocery Spending'!$K$5:$K$404,'Grocery Spending'!$E$5:$E$404,TEXT(DATE(PlanYear,7,1),"yyyy-mm"))/HouseMembers/DAY(DATE(PlanYear,8,0)),"")</f>
        <v>0</v>
      </c>
      <c r="H54" s="18">
        <f>COUNTIFS('Meal Plan'!$E$5:$E$504,TEXT(DATE(PlanYear,7,1),"yyyy-mm"),'Meal Plan'!$AD$5:$AD$504,0)</f>
        <v>0</v>
      </c>
      <c r="I54" s="18">
        <f>COUNTIFS('Grocery Spending'!$E$5:$E$404,TEXT(DATE(PlanYear,7,1),"yyyy-mm"))</f>
        <v>0</v>
      </c>
    </row>
    <row r="55" spans="1:10">
      <c r="A55" s="57">
        <f>DATE(PlanYear,8,1)</f>
        <v>0</v>
      </c>
      <c r="B55" s="25">
        <f>SUMIFS('Grocery Spending'!$K$5:$K$404,'Grocery Spending'!$E$5:$E$404,TEXT(DATE(PlanYear,8,1),"yyyy-mm"))</f>
        <v>0</v>
      </c>
      <c r="C55" s="25">
        <f>MonthlyBudget</f>
        <v>0</v>
      </c>
      <c r="D55" s="25">
        <f>MonthlyBudget-SUMIFS('Grocery Spending'!$K$5:$K$404,'Grocery Spending'!$E$5:$E$404,TEXT(DATE(PlanYear,8,1),"yyyy-mm"))</f>
        <v>0</v>
      </c>
      <c r="E55" s="18">
        <f>SUMIFS('Meal Plan'!$AD$5:$AD$504,'Meal Plan'!$E$5:$E$504,TEXT(DATE(PlanYear,8,1),"yyyy-mm"))</f>
        <v>0</v>
      </c>
      <c r="F55" s="25">
        <f>SUMIFS('Food Waste'!$L$5:$L$154,'Food Waste'!$D$5:$D$154,TEXT(DATE(PlanYear,8,1),"yyyy-mm"))</f>
        <v>0</v>
      </c>
      <c r="G55" s="25">
        <f>IFERROR(SUMIFS('Grocery Spending'!$K$5:$K$404,'Grocery Spending'!$E$5:$E$404,TEXT(DATE(PlanYear,8,1),"yyyy-mm"))/HouseMembers/DAY(DATE(PlanYear,9,0)),"")</f>
        <v>0</v>
      </c>
      <c r="H55" s="18">
        <f>COUNTIFS('Meal Plan'!$E$5:$E$504,TEXT(DATE(PlanYear,8,1),"yyyy-mm"),'Meal Plan'!$AD$5:$AD$504,0)</f>
        <v>0</v>
      </c>
      <c r="I55" s="18">
        <f>COUNTIFS('Grocery Spending'!$E$5:$E$404,TEXT(DATE(PlanYear,8,1),"yyyy-mm"))</f>
        <v>0</v>
      </c>
    </row>
    <row r="56" spans="1:10">
      <c r="A56" s="57">
        <f>DATE(PlanYear,9,1)</f>
        <v>0</v>
      </c>
      <c r="B56" s="25">
        <f>SUMIFS('Grocery Spending'!$K$5:$K$404,'Grocery Spending'!$E$5:$E$404,TEXT(DATE(PlanYear,9,1),"yyyy-mm"))</f>
        <v>0</v>
      </c>
      <c r="C56" s="25">
        <f>MonthlyBudget</f>
        <v>0</v>
      </c>
      <c r="D56" s="25">
        <f>MonthlyBudget-SUMIFS('Grocery Spending'!$K$5:$K$404,'Grocery Spending'!$E$5:$E$404,TEXT(DATE(PlanYear,9,1),"yyyy-mm"))</f>
        <v>0</v>
      </c>
      <c r="E56" s="18">
        <f>SUMIFS('Meal Plan'!$AD$5:$AD$504,'Meal Plan'!$E$5:$E$504,TEXT(DATE(PlanYear,9,1),"yyyy-mm"))</f>
        <v>0</v>
      </c>
      <c r="F56" s="25">
        <f>SUMIFS('Food Waste'!$L$5:$L$154,'Food Waste'!$D$5:$D$154,TEXT(DATE(PlanYear,9,1),"yyyy-mm"))</f>
        <v>0</v>
      </c>
      <c r="G56" s="25">
        <f>IFERROR(SUMIFS('Grocery Spending'!$K$5:$K$404,'Grocery Spending'!$E$5:$E$404,TEXT(DATE(PlanYear,9,1),"yyyy-mm"))/HouseMembers/DAY(DATE(PlanYear,10,0)),"")</f>
        <v>0</v>
      </c>
      <c r="H56" s="18">
        <f>COUNTIFS('Meal Plan'!$E$5:$E$504,TEXT(DATE(PlanYear,9,1),"yyyy-mm"),'Meal Plan'!$AD$5:$AD$504,0)</f>
        <v>0</v>
      </c>
      <c r="I56" s="18">
        <f>COUNTIFS('Grocery Spending'!$E$5:$E$404,TEXT(DATE(PlanYear,9,1),"yyyy-mm"))</f>
        <v>0</v>
      </c>
    </row>
    <row r="57" spans="1:10">
      <c r="A57" s="57">
        <f>DATE(PlanYear,10,1)</f>
        <v>0</v>
      </c>
      <c r="B57" s="25">
        <f>SUMIFS('Grocery Spending'!$K$5:$K$404,'Grocery Spending'!$E$5:$E$404,TEXT(DATE(PlanYear,10,1),"yyyy-mm"))</f>
        <v>0</v>
      </c>
      <c r="C57" s="25">
        <f>MonthlyBudget</f>
        <v>0</v>
      </c>
      <c r="D57" s="25">
        <f>MonthlyBudget-SUMIFS('Grocery Spending'!$K$5:$K$404,'Grocery Spending'!$E$5:$E$404,TEXT(DATE(PlanYear,10,1),"yyyy-mm"))</f>
        <v>0</v>
      </c>
      <c r="E57" s="18">
        <f>SUMIFS('Meal Plan'!$AD$5:$AD$504,'Meal Plan'!$E$5:$E$504,TEXT(DATE(PlanYear,10,1),"yyyy-mm"))</f>
        <v>0</v>
      </c>
      <c r="F57" s="25">
        <f>SUMIFS('Food Waste'!$L$5:$L$154,'Food Waste'!$D$5:$D$154,TEXT(DATE(PlanYear,10,1),"yyyy-mm"))</f>
        <v>0</v>
      </c>
      <c r="G57" s="25">
        <f>IFERROR(SUMIFS('Grocery Spending'!$K$5:$K$404,'Grocery Spending'!$E$5:$E$404,TEXT(DATE(PlanYear,10,1),"yyyy-mm"))/HouseMembers/DAY(DATE(PlanYear,11,0)),"")</f>
        <v>0</v>
      </c>
      <c r="H57" s="18">
        <f>COUNTIFS('Meal Plan'!$E$5:$E$504,TEXT(DATE(PlanYear,10,1),"yyyy-mm"),'Meal Plan'!$AD$5:$AD$504,0)</f>
        <v>0</v>
      </c>
      <c r="I57" s="18">
        <f>COUNTIFS('Grocery Spending'!$E$5:$E$404,TEXT(DATE(PlanYear,10,1),"yyyy-mm"))</f>
        <v>0</v>
      </c>
    </row>
    <row r="58" spans="1:10">
      <c r="A58" s="57">
        <f>DATE(PlanYear,11,1)</f>
        <v>0</v>
      </c>
      <c r="B58" s="25">
        <f>SUMIFS('Grocery Spending'!$K$5:$K$404,'Grocery Spending'!$E$5:$E$404,TEXT(DATE(PlanYear,11,1),"yyyy-mm"))</f>
        <v>0</v>
      </c>
      <c r="C58" s="25">
        <f>MonthlyBudget</f>
        <v>0</v>
      </c>
      <c r="D58" s="25">
        <f>MonthlyBudget-SUMIFS('Grocery Spending'!$K$5:$K$404,'Grocery Spending'!$E$5:$E$404,TEXT(DATE(PlanYear,11,1),"yyyy-mm"))</f>
        <v>0</v>
      </c>
      <c r="E58" s="18">
        <f>SUMIFS('Meal Plan'!$AD$5:$AD$504,'Meal Plan'!$E$5:$E$504,TEXT(DATE(PlanYear,11,1),"yyyy-mm"))</f>
        <v>0</v>
      </c>
      <c r="F58" s="25">
        <f>SUMIFS('Food Waste'!$L$5:$L$154,'Food Waste'!$D$5:$D$154,TEXT(DATE(PlanYear,11,1),"yyyy-mm"))</f>
        <v>0</v>
      </c>
      <c r="G58" s="25">
        <f>IFERROR(SUMIFS('Grocery Spending'!$K$5:$K$404,'Grocery Spending'!$E$5:$E$404,TEXT(DATE(PlanYear,11,1),"yyyy-mm"))/HouseMembers/DAY(DATE(PlanYear,12,0)),"")</f>
        <v>0</v>
      </c>
      <c r="H58" s="18">
        <f>COUNTIFS('Meal Plan'!$E$5:$E$504,TEXT(DATE(PlanYear,11,1),"yyyy-mm"),'Meal Plan'!$AD$5:$AD$504,0)</f>
        <v>0</v>
      </c>
      <c r="I58" s="18">
        <f>COUNTIFS('Grocery Spending'!$E$5:$E$404,TEXT(DATE(PlanYear,11,1),"yyyy-mm"))</f>
        <v>0</v>
      </c>
    </row>
    <row r="59" spans="1:10">
      <c r="A59" s="57">
        <f>DATE(PlanYear,12,1)</f>
        <v>0</v>
      </c>
      <c r="B59" s="25">
        <f>SUMIFS('Grocery Spending'!$K$5:$K$404,'Grocery Spending'!$E$5:$E$404,TEXT(DATE(PlanYear,12,1),"yyyy-mm"))</f>
        <v>0</v>
      </c>
      <c r="C59" s="25">
        <f>MonthlyBudget</f>
        <v>0</v>
      </c>
      <c r="D59" s="25">
        <f>MonthlyBudget-SUMIFS('Grocery Spending'!$K$5:$K$404,'Grocery Spending'!$E$5:$E$404,TEXT(DATE(PlanYear,12,1),"yyyy-mm"))</f>
        <v>0</v>
      </c>
      <c r="E59" s="18">
        <f>SUMIFS('Meal Plan'!$AD$5:$AD$504,'Meal Plan'!$E$5:$E$504,TEXT(DATE(PlanYear,12,1),"yyyy-mm"))</f>
        <v>0</v>
      </c>
      <c r="F59" s="25">
        <f>SUMIFS('Food Waste'!$L$5:$L$154,'Food Waste'!$D$5:$D$154,TEXT(DATE(PlanYear,12,1),"yyyy-mm"))</f>
        <v>0</v>
      </c>
      <c r="G59" s="25">
        <f>IFERROR(SUMIFS('Grocery Spending'!$K$5:$K$404,'Grocery Spending'!$E$5:$E$404,TEXT(DATE(PlanYear,12,1),"yyyy-mm"))/HouseMembers/DAY(DATE(PlanYear,13,0)),"")</f>
        <v>0</v>
      </c>
      <c r="H59" s="18">
        <f>COUNTIFS('Meal Plan'!$E$5:$E$504,TEXT(DATE(PlanYear,12,1),"yyyy-mm"),'Meal Plan'!$AD$5:$AD$504,0)</f>
        <v>0</v>
      </c>
      <c r="I59" s="18">
        <f>COUNTIFS('Grocery Spending'!$E$5:$E$404,TEXT(DATE(PlanYear,12,1),"yyyy-mm"))</f>
        <v>0</v>
      </c>
    </row>
    <row r="60" spans="1:10">
      <c r="A60" s="48" t="s">
        <v>1282</v>
      </c>
      <c r="B60" s="26">
        <f>SUM(B48:B59)</f>
        <v>0</v>
      </c>
      <c r="C60" s="26">
        <f>SUM(C48:C59)</f>
        <v>0</v>
      </c>
      <c r="D60" s="26">
        <f>SUM(D48:D59)</f>
        <v>0</v>
      </c>
      <c r="E60" s="58">
        <f>SUM(E48:E59)</f>
        <v>0</v>
      </c>
      <c r="F60" s="26">
        <f>SUM(F48:F59)</f>
        <v>0</v>
      </c>
      <c r="G60" s="26">
        <f>IFERROR(AVERAGE(G48:G59),0)</f>
        <v>0</v>
      </c>
      <c r="H60" s="58">
        <f>SUM(H48:H59)</f>
        <v>0</v>
      </c>
      <c r="I60" s="58">
        <f>SUM(I48:I59)</f>
        <v>0</v>
      </c>
    </row>
    <row r="62" spans="1:10" ht="20" customHeight="1">
      <c r="A62" s="7" t="s">
        <v>1731</v>
      </c>
      <c r="B62" s="7"/>
      <c r="C62" s="7"/>
      <c r="D62" s="7"/>
      <c r="E62" s="7"/>
      <c r="F62" s="7"/>
      <c r="G62" s="7"/>
      <c r="H62" s="7"/>
      <c r="I62" s="7"/>
      <c r="J62" s="7"/>
    </row>
    <row r="63" spans="1:10" ht="26" customHeight="1">
      <c r="A63" s="8" t="s">
        <v>1059</v>
      </c>
      <c r="B63" s="9" t="s">
        <v>1732</v>
      </c>
      <c r="C63" s="9" t="s">
        <v>1278</v>
      </c>
      <c r="D63" s="9" t="s">
        <v>1733</v>
      </c>
      <c r="E63" s="9" t="s">
        <v>1734</v>
      </c>
      <c r="F63" s="9" t="s">
        <v>1292</v>
      </c>
    </row>
    <row r="64" spans="1:10">
      <c r="A64" s="17">
        <f>IFERROR(INDEX(Stores!$B$5:$B$44,MATCH(1,Stores!$U$5:$U$44,0)),"")</f>
        <v>0</v>
      </c>
      <c r="B64" s="18">
        <f>IF(A64="","",COUNTIFS('Grocery Spending'!$F$5:$F$404,A64))</f>
        <v>0</v>
      </c>
      <c r="C64" s="25">
        <f>IF(A64="","",SUMIFS('Grocery Spending'!$K$5:$K$404,'Grocery Spending'!$F$5:$F$404,A64))</f>
        <v>0</v>
      </c>
      <c r="D64" s="25">
        <f>IF(A64="","",IFERROR(SUMIFS('Grocery Spending'!$K$5:$K$404,'Grocery Spending'!$F$5:$F$404,A64)/COUNTIFS('Grocery Spending'!$F$5:$F$404,A64),""))</f>
        <v>0</v>
      </c>
      <c r="E64" s="50">
        <f>IF(A64="","",IFERROR(SUMIFS('Grocery Spending'!$K$5:$K$404,'Grocery Spending'!$F$5:$F$404,A64)/SUM('Grocery Spending'!$K$5:$K$404),""))</f>
        <v>0</v>
      </c>
      <c r="F64" s="17">
        <f>IF(A64="","",IFERROR(INDEX(Stores!$M$5:$M$44,MATCH(A64,Stores!$B$5:$B$44,0)),""))</f>
        <v>0</v>
      </c>
    </row>
    <row r="65" spans="1:10">
      <c r="A65" s="17">
        <f>IFERROR(INDEX(Stores!$B$5:$B$44,MATCH(2,Stores!$U$5:$U$44,0)),"")</f>
        <v>0</v>
      </c>
      <c r="B65" s="18">
        <f>IF(A65="","",COUNTIFS('Grocery Spending'!$F$5:$F$404,A65))</f>
        <v>0</v>
      </c>
      <c r="C65" s="25">
        <f>IF(A65="","",SUMIFS('Grocery Spending'!$K$5:$K$404,'Grocery Spending'!$F$5:$F$404,A65))</f>
        <v>0</v>
      </c>
      <c r="D65" s="25">
        <f>IF(A65="","",IFERROR(SUMIFS('Grocery Spending'!$K$5:$K$404,'Grocery Spending'!$F$5:$F$404,A65)/COUNTIFS('Grocery Spending'!$F$5:$F$404,A65),""))</f>
        <v>0</v>
      </c>
      <c r="E65" s="50">
        <f>IF(A65="","",IFERROR(SUMIFS('Grocery Spending'!$K$5:$K$404,'Grocery Spending'!$F$5:$F$404,A65)/SUM('Grocery Spending'!$K$5:$K$404),""))</f>
        <v>0</v>
      </c>
      <c r="F65" s="17">
        <f>IF(A65="","",IFERROR(INDEX(Stores!$M$5:$M$44,MATCH(A65,Stores!$B$5:$B$44,0)),""))</f>
        <v>0</v>
      </c>
    </row>
    <row r="66" spans="1:10">
      <c r="A66" s="17">
        <f>IFERROR(INDEX(Stores!$B$5:$B$44,MATCH(3,Stores!$U$5:$U$44,0)),"")</f>
        <v>0</v>
      </c>
      <c r="B66" s="18">
        <f>IF(A66="","",COUNTIFS('Grocery Spending'!$F$5:$F$404,A66))</f>
        <v>0</v>
      </c>
      <c r="C66" s="25">
        <f>IF(A66="","",SUMIFS('Grocery Spending'!$K$5:$K$404,'Grocery Spending'!$F$5:$F$404,A66))</f>
        <v>0</v>
      </c>
      <c r="D66" s="25">
        <f>IF(A66="","",IFERROR(SUMIFS('Grocery Spending'!$K$5:$K$404,'Grocery Spending'!$F$5:$F$404,A66)/COUNTIFS('Grocery Spending'!$F$5:$F$404,A66),""))</f>
        <v>0</v>
      </c>
      <c r="E66" s="50">
        <f>IF(A66="","",IFERROR(SUMIFS('Grocery Spending'!$K$5:$K$404,'Grocery Spending'!$F$5:$F$404,A66)/SUM('Grocery Spending'!$K$5:$K$404),""))</f>
        <v>0</v>
      </c>
      <c r="F66" s="17">
        <f>IF(A66="","",IFERROR(INDEX(Stores!$M$5:$M$44,MATCH(A66,Stores!$B$5:$B$44,0)),""))</f>
        <v>0</v>
      </c>
    </row>
    <row r="67" spans="1:10">
      <c r="A67" s="17">
        <f>IFERROR(INDEX(Stores!$B$5:$B$44,MATCH(4,Stores!$U$5:$U$44,0)),"")</f>
        <v>0</v>
      </c>
      <c r="B67" s="18">
        <f>IF(A67="","",COUNTIFS('Grocery Spending'!$F$5:$F$404,A67))</f>
        <v>0</v>
      </c>
      <c r="C67" s="25">
        <f>IF(A67="","",SUMIFS('Grocery Spending'!$K$5:$K$404,'Grocery Spending'!$F$5:$F$404,A67))</f>
        <v>0</v>
      </c>
      <c r="D67" s="25">
        <f>IF(A67="","",IFERROR(SUMIFS('Grocery Spending'!$K$5:$K$404,'Grocery Spending'!$F$5:$F$404,A67)/COUNTIFS('Grocery Spending'!$F$5:$F$404,A67),""))</f>
        <v>0</v>
      </c>
      <c r="E67" s="50">
        <f>IF(A67="","",IFERROR(SUMIFS('Grocery Spending'!$K$5:$K$404,'Grocery Spending'!$F$5:$F$404,A67)/SUM('Grocery Spending'!$K$5:$K$404),""))</f>
        <v>0</v>
      </c>
      <c r="F67" s="17">
        <f>IF(A67="","",IFERROR(INDEX(Stores!$M$5:$M$44,MATCH(A67,Stores!$B$5:$B$44,0)),""))</f>
        <v>0</v>
      </c>
    </row>
    <row r="68" spans="1:10">
      <c r="A68" s="17">
        <f>IFERROR(INDEX(Stores!$B$5:$B$44,MATCH(5,Stores!$U$5:$U$44,0)),"")</f>
        <v>0</v>
      </c>
      <c r="B68" s="18">
        <f>IF(A68="","",COUNTIFS('Grocery Spending'!$F$5:$F$404,A68))</f>
        <v>0</v>
      </c>
      <c r="C68" s="25">
        <f>IF(A68="","",SUMIFS('Grocery Spending'!$K$5:$K$404,'Grocery Spending'!$F$5:$F$404,A68))</f>
        <v>0</v>
      </c>
      <c r="D68" s="25">
        <f>IF(A68="","",IFERROR(SUMIFS('Grocery Spending'!$K$5:$K$404,'Grocery Spending'!$F$5:$F$404,A68)/COUNTIFS('Grocery Spending'!$F$5:$F$404,A68),""))</f>
        <v>0</v>
      </c>
      <c r="E68" s="50">
        <f>IF(A68="","",IFERROR(SUMIFS('Grocery Spending'!$K$5:$K$404,'Grocery Spending'!$F$5:$F$404,A68)/SUM('Grocery Spending'!$K$5:$K$404),""))</f>
        <v>0</v>
      </c>
      <c r="F68" s="17">
        <f>IF(A68="","",IFERROR(INDEX(Stores!$M$5:$M$44,MATCH(A68,Stores!$B$5:$B$44,0)),""))</f>
        <v>0</v>
      </c>
    </row>
    <row r="69" spans="1:10">
      <c r="A69" s="17">
        <f>IFERROR(INDEX(Stores!$B$5:$B$44,MATCH(6,Stores!$U$5:$U$44,0)),"")</f>
        <v>0</v>
      </c>
      <c r="B69" s="18">
        <f>IF(A69="","",COUNTIFS('Grocery Spending'!$F$5:$F$404,A69))</f>
        <v>0</v>
      </c>
      <c r="C69" s="25">
        <f>IF(A69="","",SUMIFS('Grocery Spending'!$K$5:$K$404,'Grocery Spending'!$F$5:$F$404,A69))</f>
        <v>0</v>
      </c>
      <c r="D69" s="25">
        <f>IF(A69="","",IFERROR(SUMIFS('Grocery Spending'!$K$5:$K$404,'Grocery Spending'!$F$5:$F$404,A69)/COUNTIFS('Grocery Spending'!$F$5:$F$404,A69),""))</f>
        <v>0</v>
      </c>
      <c r="E69" s="50">
        <f>IF(A69="","",IFERROR(SUMIFS('Grocery Spending'!$K$5:$K$404,'Grocery Spending'!$F$5:$F$404,A69)/SUM('Grocery Spending'!$K$5:$K$404),""))</f>
        <v>0</v>
      </c>
      <c r="F69" s="17">
        <f>IF(A69="","",IFERROR(INDEX(Stores!$M$5:$M$44,MATCH(A69,Stores!$B$5:$B$44,0)),""))</f>
        <v>0</v>
      </c>
    </row>
    <row r="70" spans="1:10">
      <c r="A70" s="17">
        <f>IFERROR(INDEX(Stores!$B$5:$B$44,MATCH(7,Stores!$U$5:$U$44,0)),"")</f>
        <v>0</v>
      </c>
      <c r="B70" s="18">
        <f>IF(A70="","",COUNTIFS('Grocery Spending'!$F$5:$F$404,A70))</f>
        <v>0</v>
      </c>
      <c r="C70" s="25">
        <f>IF(A70="","",SUMIFS('Grocery Spending'!$K$5:$K$404,'Grocery Spending'!$F$5:$F$404,A70))</f>
        <v>0</v>
      </c>
      <c r="D70" s="25">
        <f>IF(A70="","",IFERROR(SUMIFS('Grocery Spending'!$K$5:$K$404,'Grocery Spending'!$F$5:$F$404,A70)/COUNTIFS('Grocery Spending'!$F$5:$F$404,A70),""))</f>
        <v>0</v>
      </c>
      <c r="E70" s="50">
        <f>IF(A70="","",IFERROR(SUMIFS('Grocery Spending'!$K$5:$K$404,'Grocery Spending'!$F$5:$F$404,A70)/SUM('Grocery Spending'!$K$5:$K$404),""))</f>
        <v>0</v>
      </c>
      <c r="F70" s="17">
        <f>IF(A70="","",IFERROR(INDEX(Stores!$M$5:$M$44,MATCH(A70,Stores!$B$5:$B$44,0)),""))</f>
        <v>0</v>
      </c>
    </row>
    <row r="71" spans="1:10">
      <c r="A71" s="17">
        <f>IFERROR(INDEX(Stores!$B$5:$B$44,MATCH(8,Stores!$U$5:$U$44,0)),"")</f>
        <v>0</v>
      </c>
      <c r="B71" s="18">
        <f>IF(A71="","",COUNTIFS('Grocery Spending'!$F$5:$F$404,A71))</f>
        <v>0</v>
      </c>
      <c r="C71" s="25">
        <f>IF(A71="","",SUMIFS('Grocery Spending'!$K$5:$K$404,'Grocery Spending'!$F$5:$F$404,A71))</f>
        <v>0</v>
      </c>
      <c r="D71" s="25">
        <f>IF(A71="","",IFERROR(SUMIFS('Grocery Spending'!$K$5:$K$404,'Grocery Spending'!$F$5:$F$404,A71)/COUNTIFS('Grocery Spending'!$F$5:$F$404,A71),""))</f>
        <v>0</v>
      </c>
      <c r="E71" s="50">
        <f>IF(A71="","",IFERROR(SUMIFS('Grocery Spending'!$K$5:$K$404,'Grocery Spending'!$F$5:$F$404,A71)/SUM('Grocery Spending'!$K$5:$K$404),""))</f>
        <v>0</v>
      </c>
      <c r="F71" s="17">
        <f>IF(A71="","",IFERROR(INDEX(Stores!$M$5:$M$44,MATCH(A71,Stores!$B$5:$B$44,0)),""))</f>
        <v>0</v>
      </c>
    </row>
    <row r="73" spans="1:10" ht="46" customHeight="1">
      <c r="A73" s="6" t="s">
        <v>1735</v>
      </c>
      <c r="B73" s="6"/>
      <c r="C73" s="6"/>
      <c r="D73" s="6"/>
      <c r="E73" s="6"/>
      <c r="F73" s="6"/>
      <c r="G73" s="6"/>
      <c r="H73" s="6"/>
      <c r="I73" s="6"/>
      <c r="J73" s="6"/>
    </row>
  </sheetData>
  <sheetProtection password="EC7C" sheet="1" objects="1" scenarios="1" formatCells="0" formatColumns="0" formatRows="0" insertRows="0" insertHyperlinks="0" deleteRows="0" autoFilter="0"/>
  <mergeCells count="30">
    <mergeCell ref="A1:G1"/>
    <mergeCell ref="H1:J1"/>
    <mergeCell ref="A2:J2"/>
    <mergeCell ref="A3:B3"/>
    <mergeCell ref="C3:D3"/>
    <mergeCell ref="E3:F3"/>
    <mergeCell ref="G3:H3"/>
    <mergeCell ref="I3:J3"/>
    <mergeCell ref="D5:J5"/>
    <mergeCell ref="A7:B7"/>
    <mergeCell ref="A8:B8"/>
    <mergeCell ref="A9:B9"/>
    <mergeCell ref="C7:D7"/>
    <mergeCell ref="C8:D8"/>
    <mergeCell ref="C9:D9"/>
    <mergeCell ref="E7:F7"/>
    <mergeCell ref="E8:F8"/>
    <mergeCell ref="E9:F9"/>
    <mergeCell ref="G7:H7"/>
    <mergeCell ref="G8:H8"/>
    <mergeCell ref="G9:H9"/>
    <mergeCell ref="I7:J7"/>
    <mergeCell ref="I8:J8"/>
    <mergeCell ref="I9:J9"/>
    <mergeCell ref="A11:J11"/>
    <mergeCell ref="A25:J25"/>
    <mergeCell ref="A37:J37"/>
    <mergeCell ref="A46:J46"/>
    <mergeCell ref="A62:J62"/>
    <mergeCell ref="A73:J73"/>
  </mergeCells>
  <conditionalFormatting sqref="B48:B59">
    <cfRule type="dataBar" priority="3">
      <dataBar>
        <cfvo type="min" val="0"/>
        <cfvo type="max" val="0"/>
        <color rgb="FF4E8A63"/>
      </dataBar>
    </cfRule>
  </conditionalFormatting>
  <conditionalFormatting sqref="D48:D59">
    <cfRule type="cellIs" dxfId="2" priority="4" operator="lessThan">
      <formula>0</formula>
    </cfRule>
  </conditionalFormatting>
  <conditionalFormatting sqref="E13:E22">
    <cfRule type="cellIs" dxfId="2" priority="1" operator="greaterThan">
      <formula>0.1</formula>
    </cfRule>
    <cfRule type="cellIs" dxfId="1" priority="2" operator="lessThan">
      <formula>-0.1</formula>
    </cfRule>
  </conditionalFormatting>
  <dataValidations count="1">
    <dataValidation type="list" allowBlank="1" showInputMessage="1" showErrorMessage="1" sqref="B5">
      <formula1>MonthList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&amp;L&amp;"Calibri,Bold"&amp;12&amp;C&amp;"Calibri,Bold"&amp;11Reports&amp;R&amp;"Calibri,Italic"&amp;9Automated Meal Planner &amp; Grocery List Spreadsheet</oddHeader>
    <oddFooter>&amp;L&amp;"Calibri,Italic"&amp;8Novality Store - v1.0.0&amp;C&amp;"Calibri,Italic"&amp;8Page &amp;P of &amp;N&amp;R&amp;"Calibri,Italic"&amp;8&amp;D</oddFooter>
  </headerFooter>
</worksheet>
</file>

<file path=xl/worksheets/sheet33.xml><?xml version="1.0" encoding="utf-8"?>
<worksheet xmlns="http://schemas.openxmlformats.org/spreadsheetml/2006/main" xmlns:r="http://schemas.openxmlformats.org/officeDocument/2006/relationships">
  <sheetPr>
    <tabColor rgb="FFE2EFE6"/>
    <pageSetUpPr fitToPage="1"/>
  </sheetPr>
  <dimension ref="A1:F33"/>
  <sheetViews>
    <sheetView showGridLines="0" workbookViewId="0"/>
  </sheetViews>
  <sheetFormatPr defaultRowHeight="15"/>
  <cols>
    <col min="1" max="1" width="14.7109375" customWidth="1"/>
    <col min="2" max="2" width="34.7109375" customWidth="1"/>
    <col min="3" max="3" width="30.7109375" customWidth="1"/>
    <col min="4" max="4" width="12.7109375" customWidth="1"/>
    <col min="5" max="6" width="14.7109375" customWidth="1"/>
    <col min="1" max="1" width="14.7109375" customWidth="1"/>
    <col min="2" max="2" width="34.7109375" customWidth="1"/>
    <col min="3" max="3" width="30.7109375" customWidth="1"/>
    <col min="4" max="4" width="12.7109375" customWidth="1"/>
    <col min="5" max="5" width="16.7109375" customWidth="1"/>
    <col min="6" max="6" width="10.7109375" customWidth="1"/>
    <col min="1" max="1" width="34.7109375" customWidth="1"/>
    <col min="2" max="2" width="14.7109375" customWidth="1"/>
    <col min="3" max="3" width="12.7109375" customWidth="1"/>
    <col min="4" max="4" width="16.7109375" customWidth="1"/>
    <col min="5" max="5" width="10.7109375" customWidth="1"/>
    <col min="1" max="1" width="34.7109375" customWidth="1"/>
    <col min="2" max="2" width="14.7109375" customWidth="1"/>
    <col min="3" max="3" width="14.7109375" customWidth="1"/>
    <col min="4" max="4" width="12.7109375" customWidth="1"/>
    <col min="5" max="5" width="10.7109375" customWidth="1"/>
  </cols>
  <sheetData>
    <row r="1" spans="1:6" ht="34" customHeight="1">
      <c r="A1" s="2" t="s">
        <v>1736</v>
      </c>
      <c r="B1" s="2"/>
      <c r="C1" s="2"/>
      <c r="D1" s="3" t="s">
        <v>1</v>
      </c>
      <c r="E1" s="3"/>
      <c r="F1" s="3"/>
    </row>
    <row r="2" spans="1:6" ht="18" customHeight="1">
      <c r="A2" s="4"/>
      <c r="B2" s="4"/>
      <c r="C2" s="4"/>
      <c r="D2" s="4"/>
      <c r="E2" s="4"/>
      <c r="F2" s="4"/>
    </row>
    <row r="3" spans="1:6" ht="16" customHeight="1">
      <c r="A3" s="5" t="s">
        <v>3</v>
      </c>
      <c r="B3" s="5"/>
      <c r="C3" s="5" t="s">
        <v>4</v>
      </c>
      <c r="D3" s="5"/>
      <c r="E3" s="5" t="s">
        <v>5</v>
      </c>
      <c r="F3" s="5"/>
    </row>
    <row r="5" spans="1:6">
      <c r="A5" s="59">
        <f>HouseName&amp;" - week of "&amp;TEXT(WeekPick,"d mmmm yyyy")</f>
        <v>0</v>
      </c>
      <c r="B5" s="59"/>
      <c r="C5" s="14">
        <f>"Planned cost "&amp;TEXT(SUMIFS('Meal Plan'!$T$5:$T$504,'Meal Plan'!$B$5:$B$504,"&gt;="&amp;WeekPick,'Meal Plan'!$B$5:$B$504,"&lt;="&amp;WeekPick+6),"0.00")&amp;"   |   Shopping day: "&amp;ShoppingDay&amp;"   |   Prep day: "&amp;PrepDay</f>
        <v>0</v>
      </c>
      <c r="D5" s="14"/>
      <c r="E5" s="14"/>
      <c r="F5" s="14"/>
    </row>
    <row r="7" spans="1:6" ht="26" customHeight="1">
      <c r="A7" s="8" t="s">
        <v>135</v>
      </c>
      <c r="B7" s="9" t="s">
        <v>137</v>
      </c>
      <c r="C7" s="9" t="s">
        <v>167</v>
      </c>
      <c r="D7" s="9" t="s">
        <v>138</v>
      </c>
      <c r="E7" s="9" t="s">
        <v>173</v>
      </c>
      <c r="F7" s="9" t="s">
        <v>476</v>
      </c>
    </row>
    <row r="8" spans="1:6" ht="30" customHeight="1">
      <c r="A8" s="60">
        <f>WeekPick+0</f>
        <v>0</v>
      </c>
      <c r="B8" s="61">
        <f>IFERROR(INDEX('Meal Plan'!$H$5:$H$504,MATCH(TEXT(A8,"yyyy-mm-dd")&amp;"|Dinner",'Meal Plan'!$AE$5:$AE$504,0)),"")</f>
        <v>0</v>
      </c>
      <c r="C8" s="61">
        <f>IFERROR(INDEX('Meal Plan'!$H$5:$H$504,MATCH(TEXT(A8,"yyyy-mm-dd")&amp;"|Lunch",'Meal Plan'!$AE$5:$AE$504,0)),"")</f>
        <v>0</v>
      </c>
      <c r="D8" s="62">
        <f>IF(SUMIFS('Meal Plan'!$T$5:$T$504,'Meal Plan'!$B$5:$B$504,A8)=0,"",SUMIFS('Meal Plan'!$T$5:$T$504,'Meal Plan'!$B$5:$B$504,A8))</f>
        <v>0</v>
      </c>
      <c r="E8" s="63">
        <f>IFERROR(INDEX('Meal Plan'!$O$5:$O$504,MATCH(TEXT(A8,"yyyy-mm-dd")&amp;"|Dinner",'Meal Plan'!$AE$5:$AE$504,0)),"")</f>
        <v>0</v>
      </c>
      <c r="F8" s="64"/>
    </row>
    <row r="9" spans="1:6" ht="30" customHeight="1">
      <c r="A9" s="60">
        <f>WeekPick+1</f>
        <v>0</v>
      </c>
      <c r="B9" s="61">
        <f>IFERROR(INDEX('Meal Plan'!$H$5:$H$504,MATCH(TEXT(A9,"yyyy-mm-dd")&amp;"|Dinner",'Meal Plan'!$AE$5:$AE$504,0)),"")</f>
        <v>0</v>
      </c>
      <c r="C9" s="61">
        <f>IFERROR(INDEX('Meal Plan'!$H$5:$H$504,MATCH(TEXT(A9,"yyyy-mm-dd")&amp;"|Lunch",'Meal Plan'!$AE$5:$AE$504,0)),"")</f>
        <v>0</v>
      </c>
      <c r="D9" s="62">
        <f>IF(SUMIFS('Meal Plan'!$T$5:$T$504,'Meal Plan'!$B$5:$B$504,A9)=0,"",SUMIFS('Meal Plan'!$T$5:$T$504,'Meal Plan'!$B$5:$B$504,A9))</f>
        <v>0</v>
      </c>
      <c r="E9" s="63">
        <f>IFERROR(INDEX('Meal Plan'!$O$5:$O$504,MATCH(TEXT(A9,"yyyy-mm-dd")&amp;"|Dinner",'Meal Plan'!$AE$5:$AE$504,0)),"")</f>
        <v>0</v>
      </c>
      <c r="F9" s="64"/>
    </row>
    <row r="10" spans="1:6" ht="30" customHeight="1">
      <c r="A10" s="60">
        <f>WeekPick+2</f>
        <v>0</v>
      </c>
      <c r="B10" s="61">
        <f>IFERROR(INDEX('Meal Plan'!$H$5:$H$504,MATCH(TEXT(A10,"yyyy-mm-dd")&amp;"|Dinner",'Meal Plan'!$AE$5:$AE$504,0)),"")</f>
        <v>0</v>
      </c>
      <c r="C10" s="61">
        <f>IFERROR(INDEX('Meal Plan'!$H$5:$H$504,MATCH(TEXT(A10,"yyyy-mm-dd")&amp;"|Lunch",'Meal Plan'!$AE$5:$AE$504,0)),"")</f>
        <v>0</v>
      </c>
      <c r="D10" s="62">
        <f>IF(SUMIFS('Meal Plan'!$T$5:$T$504,'Meal Plan'!$B$5:$B$504,A10)=0,"",SUMIFS('Meal Plan'!$T$5:$T$504,'Meal Plan'!$B$5:$B$504,A10))</f>
        <v>0</v>
      </c>
      <c r="E10" s="63">
        <f>IFERROR(INDEX('Meal Plan'!$O$5:$O$504,MATCH(TEXT(A10,"yyyy-mm-dd")&amp;"|Dinner",'Meal Plan'!$AE$5:$AE$504,0)),"")</f>
        <v>0</v>
      </c>
      <c r="F10" s="64"/>
    </row>
    <row r="11" spans="1:6" ht="30" customHeight="1">
      <c r="A11" s="60">
        <f>WeekPick+3</f>
        <v>0</v>
      </c>
      <c r="B11" s="61">
        <f>IFERROR(INDEX('Meal Plan'!$H$5:$H$504,MATCH(TEXT(A11,"yyyy-mm-dd")&amp;"|Dinner",'Meal Plan'!$AE$5:$AE$504,0)),"")</f>
        <v>0</v>
      </c>
      <c r="C11" s="61">
        <f>IFERROR(INDEX('Meal Plan'!$H$5:$H$504,MATCH(TEXT(A11,"yyyy-mm-dd")&amp;"|Lunch",'Meal Plan'!$AE$5:$AE$504,0)),"")</f>
        <v>0</v>
      </c>
      <c r="D11" s="62">
        <f>IF(SUMIFS('Meal Plan'!$T$5:$T$504,'Meal Plan'!$B$5:$B$504,A11)=0,"",SUMIFS('Meal Plan'!$T$5:$T$504,'Meal Plan'!$B$5:$B$504,A11))</f>
        <v>0</v>
      </c>
      <c r="E11" s="63">
        <f>IFERROR(INDEX('Meal Plan'!$O$5:$O$504,MATCH(TEXT(A11,"yyyy-mm-dd")&amp;"|Dinner",'Meal Plan'!$AE$5:$AE$504,0)),"")</f>
        <v>0</v>
      </c>
      <c r="F11" s="64"/>
    </row>
    <row r="12" spans="1:6" ht="30" customHeight="1">
      <c r="A12" s="60">
        <f>WeekPick+4</f>
        <v>0</v>
      </c>
      <c r="B12" s="61">
        <f>IFERROR(INDEX('Meal Plan'!$H$5:$H$504,MATCH(TEXT(A12,"yyyy-mm-dd")&amp;"|Dinner",'Meal Plan'!$AE$5:$AE$504,0)),"")</f>
        <v>0</v>
      </c>
      <c r="C12" s="61">
        <f>IFERROR(INDEX('Meal Plan'!$H$5:$H$504,MATCH(TEXT(A12,"yyyy-mm-dd")&amp;"|Lunch",'Meal Plan'!$AE$5:$AE$504,0)),"")</f>
        <v>0</v>
      </c>
      <c r="D12" s="62">
        <f>IF(SUMIFS('Meal Plan'!$T$5:$T$504,'Meal Plan'!$B$5:$B$504,A12)=0,"",SUMIFS('Meal Plan'!$T$5:$T$504,'Meal Plan'!$B$5:$B$504,A12))</f>
        <v>0</v>
      </c>
      <c r="E12" s="63">
        <f>IFERROR(INDEX('Meal Plan'!$O$5:$O$504,MATCH(TEXT(A12,"yyyy-mm-dd")&amp;"|Dinner",'Meal Plan'!$AE$5:$AE$504,0)),"")</f>
        <v>0</v>
      </c>
      <c r="F12" s="64"/>
    </row>
    <row r="13" spans="1:6" ht="30" customHeight="1">
      <c r="A13" s="60">
        <f>WeekPick+5</f>
        <v>0</v>
      </c>
      <c r="B13" s="61">
        <f>IFERROR(INDEX('Meal Plan'!$H$5:$H$504,MATCH(TEXT(A13,"yyyy-mm-dd")&amp;"|Dinner",'Meal Plan'!$AE$5:$AE$504,0)),"")</f>
        <v>0</v>
      </c>
      <c r="C13" s="61">
        <f>IFERROR(INDEX('Meal Plan'!$H$5:$H$504,MATCH(TEXT(A13,"yyyy-mm-dd")&amp;"|Lunch",'Meal Plan'!$AE$5:$AE$504,0)),"")</f>
        <v>0</v>
      </c>
      <c r="D13" s="62">
        <f>IF(SUMIFS('Meal Plan'!$T$5:$T$504,'Meal Plan'!$B$5:$B$504,A13)=0,"",SUMIFS('Meal Plan'!$T$5:$T$504,'Meal Plan'!$B$5:$B$504,A13))</f>
        <v>0</v>
      </c>
      <c r="E13" s="63">
        <f>IFERROR(INDEX('Meal Plan'!$O$5:$O$504,MATCH(TEXT(A13,"yyyy-mm-dd")&amp;"|Dinner",'Meal Plan'!$AE$5:$AE$504,0)),"")</f>
        <v>0</v>
      </c>
      <c r="F13" s="64"/>
    </row>
    <row r="14" spans="1:6" ht="30" customHeight="1">
      <c r="A14" s="60">
        <f>WeekPick+6</f>
        <v>0</v>
      </c>
      <c r="B14" s="61">
        <f>IFERROR(INDEX('Meal Plan'!$H$5:$H$504,MATCH(TEXT(A14,"yyyy-mm-dd")&amp;"|Dinner",'Meal Plan'!$AE$5:$AE$504,0)),"")</f>
        <v>0</v>
      </c>
      <c r="C14" s="61">
        <f>IFERROR(INDEX('Meal Plan'!$H$5:$H$504,MATCH(TEXT(A14,"yyyy-mm-dd")&amp;"|Lunch",'Meal Plan'!$AE$5:$AE$504,0)),"")</f>
        <v>0</v>
      </c>
      <c r="D14" s="62">
        <f>IF(SUMIFS('Meal Plan'!$T$5:$T$504,'Meal Plan'!$B$5:$B$504,A14)=0,"",SUMIFS('Meal Plan'!$T$5:$T$504,'Meal Plan'!$B$5:$B$504,A14))</f>
        <v>0</v>
      </c>
      <c r="E14" s="63">
        <f>IFERROR(INDEX('Meal Plan'!$O$5:$O$504,MATCH(TEXT(A14,"yyyy-mm-dd")&amp;"|Dinner",'Meal Plan'!$AE$5:$AE$504,0)),"")</f>
        <v>0</v>
      </c>
      <c r="F14" s="64"/>
    </row>
    <row r="15" spans="1:6">
      <c r="A15" s="48" t="s">
        <v>164</v>
      </c>
      <c r="B15" s="48"/>
      <c r="C15" s="48"/>
      <c r="D15" s="26">
        <f>SUM(D8:D14)</f>
        <v>0</v>
      </c>
      <c r="E15" s="53"/>
      <c r="F15" s="53"/>
    </row>
    <row r="17" spans="1:6" ht="20" customHeight="1">
      <c r="A17" s="7" t="s">
        <v>180</v>
      </c>
      <c r="B17" s="7"/>
      <c r="C17" s="7"/>
      <c r="D17" s="7"/>
      <c r="E17" s="7"/>
      <c r="F17" s="7"/>
    </row>
    <row r="18" spans="1:6" ht="26" customHeight="1">
      <c r="A18" s="8" t="s">
        <v>1194</v>
      </c>
      <c r="B18" s="9" t="s">
        <v>1737</v>
      </c>
      <c r="C18" s="9" t="s">
        <v>1479</v>
      </c>
      <c r="D18" s="9" t="s">
        <v>1738</v>
      </c>
      <c r="E18" s="9" t="s">
        <v>476</v>
      </c>
    </row>
    <row r="19" spans="1:6">
      <c r="A19" s="63">
        <f>IFERROR(INDEX('Meal Prep'!$B$5:$B$124,MATCH(1,'Meal Prep'!$V$5:$V$124,0)),"")</f>
        <v>0</v>
      </c>
      <c r="B19" s="65">
        <f>IFERROR(INDEX('Meal Prep'!$C$5:$C$124,MATCH(1,'Meal Prep'!$V$5:$V$124,0)),"")</f>
        <v>0</v>
      </c>
      <c r="C19" s="66">
        <f>IFERROR(INDEX('Meal Prep'!$I$5:$I$124,MATCH(1,'Meal Prep'!$V$5:$V$124,0)),"")</f>
        <v>0</v>
      </c>
      <c r="D19" s="63">
        <f>IFERROR(INDEX('Meal Prep'!$S$5:$S$124,MATCH(1,'Meal Prep'!$V$5:$V$124,0)),"")</f>
        <v>0</v>
      </c>
      <c r="E19" s="64"/>
    </row>
    <row r="20" spans="1:6">
      <c r="A20" s="63">
        <f>IFERROR(INDEX('Meal Prep'!$B$5:$B$124,MATCH(2,'Meal Prep'!$V$5:$V$124,0)),"")</f>
        <v>0</v>
      </c>
      <c r="B20" s="65">
        <f>IFERROR(INDEX('Meal Prep'!$C$5:$C$124,MATCH(2,'Meal Prep'!$V$5:$V$124,0)),"")</f>
        <v>0</v>
      </c>
      <c r="C20" s="66">
        <f>IFERROR(INDEX('Meal Prep'!$I$5:$I$124,MATCH(2,'Meal Prep'!$V$5:$V$124,0)),"")</f>
        <v>0</v>
      </c>
      <c r="D20" s="63">
        <f>IFERROR(INDEX('Meal Prep'!$S$5:$S$124,MATCH(2,'Meal Prep'!$V$5:$V$124,0)),"")</f>
        <v>0</v>
      </c>
      <c r="E20" s="64"/>
    </row>
    <row r="21" spans="1:6">
      <c r="A21" s="63">
        <f>IFERROR(INDEX('Meal Prep'!$B$5:$B$124,MATCH(3,'Meal Prep'!$V$5:$V$124,0)),"")</f>
        <v>0</v>
      </c>
      <c r="B21" s="65">
        <f>IFERROR(INDEX('Meal Prep'!$C$5:$C$124,MATCH(3,'Meal Prep'!$V$5:$V$124,0)),"")</f>
        <v>0</v>
      </c>
      <c r="C21" s="66">
        <f>IFERROR(INDEX('Meal Prep'!$I$5:$I$124,MATCH(3,'Meal Prep'!$V$5:$V$124,0)),"")</f>
        <v>0</v>
      </c>
      <c r="D21" s="63">
        <f>IFERROR(INDEX('Meal Prep'!$S$5:$S$124,MATCH(3,'Meal Prep'!$V$5:$V$124,0)),"")</f>
        <v>0</v>
      </c>
      <c r="E21" s="64"/>
    </row>
    <row r="22" spans="1:6">
      <c r="A22" s="63">
        <f>IFERROR(INDEX('Meal Prep'!$B$5:$B$124,MATCH(4,'Meal Prep'!$V$5:$V$124,0)),"")</f>
        <v>0</v>
      </c>
      <c r="B22" s="65">
        <f>IFERROR(INDEX('Meal Prep'!$C$5:$C$124,MATCH(4,'Meal Prep'!$V$5:$V$124,0)),"")</f>
        <v>0</v>
      </c>
      <c r="C22" s="66">
        <f>IFERROR(INDEX('Meal Prep'!$I$5:$I$124,MATCH(4,'Meal Prep'!$V$5:$V$124,0)),"")</f>
        <v>0</v>
      </c>
      <c r="D22" s="63">
        <f>IFERROR(INDEX('Meal Prep'!$S$5:$S$124,MATCH(4,'Meal Prep'!$V$5:$V$124,0)),"")</f>
        <v>0</v>
      </c>
      <c r="E22" s="64"/>
    </row>
    <row r="23" spans="1:6">
      <c r="A23" s="63">
        <f>IFERROR(INDEX('Meal Prep'!$B$5:$B$124,MATCH(5,'Meal Prep'!$V$5:$V$124,0)),"")</f>
        <v>0</v>
      </c>
      <c r="B23" s="65">
        <f>IFERROR(INDEX('Meal Prep'!$C$5:$C$124,MATCH(5,'Meal Prep'!$V$5:$V$124,0)),"")</f>
        <v>0</v>
      </c>
      <c r="C23" s="66">
        <f>IFERROR(INDEX('Meal Prep'!$I$5:$I$124,MATCH(5,'Meal Prep'!$V$5:$V$124,0)),"")</f>
        <v>0</v>
      </c>
      <c r="D23" s="63">
        <f>IFERROR(INDEX('Meal Prep'!$S$5:$S$124,MATCH(5,'Meal Prep'!$V$5:$V$124,0)),"")</f>
        <v>0</v>
      </c>
      <c r="E23" s="64"/>
    </row>
    <row r="25" spans="1:6" ht="20" customHeight="1">
      <c r="A25" s="7" t="s">
        <v>1739</v>
      </c>
      <c r="B25" s="7"/>
      <c r="C25" s="7"/>
      <c r="D25" s="7"/>
      <c r="E25" s="7"/>
      <c r="F25" s="7"/>
    </row>
    <row r="26" spans="1:6" ht="26" customHeight="1">
      <c r="A26" s="8" t="s">
        <v>1740</v>
      </c>
      <c r="B26" s="9" t="s">
        <v>12</v>
      </c>
      <c r="C26" s="9" t="s">
        <v>1481</v>
      </c>
      <c r="D26" s="9" t="s">
        <v>1479</v>
      </c>
      <c r="E26" s="9" t="s">
        <v>476</v>
      </c>
    </row>
    <row r="27" spans="1:6">
      <c r="A27" s="63">
        <f>IFERROR(INDEX(Leftovers!$B$5:$B$124,MATCH(1,Leftovers!$P$5:$P$124,0)),"")</f>
        <v>0</v>
      </c>
      <c r="B27" s="63">
        <f>IFERROR(INDEX(Leftovers!$G$5:$G$124,MATCH(1,Leftovers!$P$5:$P$124,0)),"")</f>
        <v>0</v>
      </c>
      <c r="C27" s="65">
        <f>IFERROR(INDEX(Leftovers!$J$5:$J$124,MATCH(1,Leftovers!$P$5:$P$124,0)),"")</f>
        <v>0</v>
      </c>
      <c r="D27" s="66">
        <f>IFERROR(INDEX(Leftovers!$F$5:$F$124,MATCH(1,Leftovers!$P$5:$P$124,0)),"")</f>
        <v>0</v>
      </c>
      <c r="E27" s="64"/>
    </row>
    <row r="28" spans="1:6">
      <c r="A28" s="63">
        <f>IFERROR(INDEX(Leftovers!$B$5:$B$124,MATCH(2,Leftovers!$P$5:$P$124,0)),"")</f>
        <v>0</v>
      </c>
      <c r="B28" s="63">
        <f>IFERROR(INDEX(Leftovers!$G$5:$G$124,MATCH(2,Leftovers!$P$5:$P$124,0)),"")</f>
        <v>0</v>
      </c>
      <c r="C28" s="65">
        <f>IFERROR(INDEX(Leftovers!$J$5:$J$124,MATCH(2,Leftovers!$P$5:$P$124,0)),"")</f>
        <v>0</v>
      </c>
      <c r="D28" s="66">
        <f>IFERROR(INDEX(Leftovers!$F$5:$F$124,MATCH(2,Leftovers!$P$5:$P$124,0)),"")</f>
        <v>0</v>
      </c>
      <c r="E28" s="64"/>
    </row>
    <row r="29" spans="1:6">
      <c r="A29" s="63">
        <f>IFERROR(INDEX(Leftovers!$B$5:$B$124,MATCH(3,Leftovers!$P$5:$P$124,0)),"")</f>
        <v>0</v>
      </c>
      <c r="B29" s="63">
        <f>IFERROR(INDEX(Leftovers!$G$5:$G$124,MATCH(3,Leftovers!$P$5:$P$124,0)),"")</f>
        <v>0</v>
      </c>
      <c r="C29" s="65">
        <f>IFERROR(INDEX(Leftovers!$J$5:$J$124,MATCH(3,Leftovers!$P$5:$P$124,0)),"")</f>
        <v>0</v>
      </c>
      <c r="D29" s="66">
        <f>IFERROR(INDEX(Leftovers!$F$5:$F$124,MATCH(3,Leftovers!$P$5:$P$124,0)),"")</f>
        <v>0</v>
      </c>
      <c r="E29" s="64"/>
    </row>
    <row r="30" spans="1:6">
      <c r="A30" s="63">
        <f>IFERROR(INDEX(Leftovers!$B$5:$B$124,MATCH(4,Leftovers!$P$5:$P$124,0)),"")</f>
        <v>0</v>
      </c>
      <c r="B30" s="63">
        <f>IFERROR(INDEX(Leftovers!$G$5:$G$124,MATCH(4,Leftovers!$P$5:$P$124,0)),"")</f>
        <v>0</v>
      </c>
      <c r="C30" s="65">
        <f>IFERROR(INDEX(Leftovers!$J$5:$J$124,MATCH(4,Leftovers!$P$5:$P$124,0)),"")</f>
        <v>0</v>
      </c>
      <c r="D30" s="66">
        <f>IFERROR(INDEX(Leftovers!$F$5:$F$124,MATCH(4,Leftovers!$P$5:$P$124,0)),"")</f>
        <v>0</v>
      </c>
      <c r="E30" s="64"/>
    </row>
    <row r="31" spans="1:6">
      <c r="A31" s="63">
        <f>IFERROR(INDEX(Leftovers!$B$5:$B$124,MATCH(5,Leftovers!$P$5:$P$124,0)),"")</f>
        <v>0</v>
      </c>
      <c r="B31" s="63">
        <f>IFERROR(INDEX(Leftovers!$G$5:$G$124,MATCH(5,Leftovers!$P$5:$P$124,0)),"")</f>
        <v>0</v>
      </c>
      <c r="C31" s="65">
        <f>IFERROR(INDEX(Leftovers!$J$5:$J$124,MATCH(5,Leftovers!$P$5:$P$124,0)),"")</f>
        <v>0</v>
      </c>
      <c r="D31" s="66">
        <f>IFERROR(INDEX(Leftovers!$F$5:$F$124,MATCH(5,Leftovers!$P$5:$P$124,0)),"")</f>
        <v>0</v>
      </c>
      <c r="E31" s="64"/>
    </row>
    <row r="33" spans="1:6">
      <c r="A33" s="14">
        <f>"Automated Meal Planner &amp; Grocery List Spreadsheet  |  "&amp;HouseName&amp;"  |  "&amp;TEXT(TODAY(),"d mmm yyyy")</f>
        <v>0</v>
      </c>
      <c r="B33" s="14"/>
      <c r="C33" s="14"/>
      <c r="D33" s="14"/>
      <c r="E33" s="14"/>
      <c r="F33" s="14"/>
    </row>
  </sheetData>
  <sheetProtection password="EC7C" sheet="1" objects="1" scenarios="1" formatCells="0" formatColumns="0" formatRows="0" insertRows="0" insertHyperlinks="0" deleteRows="0" autoFilter="0"/>
  <mergeCells count="13">
    <mergeCell ref="A1:C1"/>
    <mergeCell ref="D1:F1"/>
    <mergeCell ref="A2:F2"/>
    <mergeCell ref="A3:B3"/>
    <mergeCell ref="C3:D3"/>
    <mergeCell ref="E3:F3"/>
    <mergeCell ref="A5:B5"/>
    <mergeCell ref="C5:F5"/>
    <mergeCell ref="A15:C15"/>
    <mergeCell ref="E15:F15"/>
    <mergeCell ref="A17:F17"/>
    <mergeCell ref="A25:F25"/>
    <mergeCell ref="A33:F33"/>
  </mergeCell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&amp;L&amp;"Calibri,Bold"&amp;12&amp;C&amp;"Calibri,Bold"&amp;11Print Week&amp;R&amp;"Calibri,Italic"&amp;9Automated Meal Planner &amp; Grocery List Spreadsheet</oddHeader>
    <oddFooter>&amp;L&amp;"Calibri,Italic"&amp;8Novality Store - v1.0.0&amp;C&amp;"Calibri,Italic"&amp;8Page &amp;P of &amp;N&amp;R&amp;"Calibri,Italic"&amp;8&amp;D</oddFooter>
  </headerFooter>
</worksheet>
</file>

<file path=xl/worksheets/sheet34.xml><?xml version="1.0" encoding="utf-8"?>
<worksheet xmlns="http://schemas.openxmlformats.org/spreadsheetml/2006/main" xmlns:r="http://schemas.openxmlformats.org/officeDocument/2006/relationships">
  <sheetPr>
    <tabColor rgb="FFD9703C"/>
    <pageSetUpPr fitToPage="1"/>
  </sheetPr>
  <dimension ref="A1:F63"/>
  <sheetViews>
    <sheetView showGridLines="0" workbookViewId="0"/>
  </sheetViews>
  <sheetFormatPr defaultRowHeight="15"/>
  <cols>
    <col min="1" max="1" width="6.7109375" customWidth="1"/>
    <col min="2" max="2" width="30.7109375" customWidth="1"/>
    <col min="3" max="3" width="18.7109375" customWidth="1"/>
    <col min="4" max="4" width="14.7109375" customWidth="1"/>
    <col min="5" max="5" width="12.7109375" customWidth="1"/>
    <col min="6" max="6" width="10.7109375" customWidth="1"/>
    <col min="1" max="1" width="6.7109375" customWidth="1"/>
    <col min="2" max="2" width="30.7109375" customWidth="1"/>
    <col min="3" max="3" width="18.7109375" customWidth="1"/>
    <col min="4" max="4" width="14.7109375" customWidth="1"/>
    <col min="5" max="5" width="12.7109375" customWidth="1"/>
    <col min="6" max="6" width="14.7109375" customWidth="1"/>
  </cols>
  <sheetData>
    <row r="1" spans="1:6" ht="34" customHeight="1">
      <c r="A1" s="2" t="s">
        <v>1741</v>
      </c>
      <c r="B1" s="2"/>
      <c r="C1" s="2"/>
      <c r="D1" s="3" t="s">
        <v>1</v>
      </c>
      <c r="E1" s="3"/>
      <c r="F1" s="3"/>
    </row>
    <row r="2" spans="1:6" ht="18" customHeight="1">
      <c r="A2" s="4"/>
      <c r="B2" s="4"/>
      <c r="C2" s="4"/>
      <c r="D2" s="4"/>
      <c r="E2" s="4"/>
      <c r="F2" s="4"/>
    </row>
    <row r="3" spans="1:6" ht="16" customHeight="1">
      <c r="A3" s="5" t="s">
        <v>3</v>
      </c>
      <c r="B3" s="5"/>
      <c r="C3" s="5" t="s">
        <v>4</v>
      </c>
      <c r="D3" s="5"/>
      <c r="E3" s="5" t="s">
        <v>5</v>
      </c>
      <c r="F3" s="5"/>
    </row>
    <row r="5" spans="1:6">
      <c r="A5" s="59">
        <f>HouseName&amp;" - "&amp;TEXT(ShopFrom,"d mmm")&amp;" to "&amp;TEXT(ShopTo,"d mmm")</f>
        <v>0</v>
      </c>
      <c r="B5" s="59"/>
      <c r="C5" s="59"/>
      <c r="D5" s="14">
        <f>"Estimated "&amp;TEXT(SUM('Grocery List'!$O$5:$O$304),"0.00")&amp;"  |  budget "&amp;TEXT(WeeklyBudget,"0.00")</f>
        <v>0</v>
      </c>
      <c r="E5" s="14"/>
      <c r="F5" s="14"/>
    </row>
    <row r="7" spans="1:6" ht="26" customHeight="1">
      <c r="A7" s="8" t="s">
        <v>1742</v>
      </c>
      <c r="B7" s="9" t="s">
        <v>1058</v>
      </c>
      <c r="C7" s="9" t="s">
        <v>425</v>
      </c>
      <c r="D7" s="9" t="s">
        <v>1166</v>
      </c>
      <c r="E7" s="9" t="s">
        <v>138</v>
      </c>
      <c r="F7" s="9" t="s">
        <v>1059</v>
      </c>
    </row>
    <row r="8" spans="1:6" ht="18" customHeight="1">
      <c r="A8" s="64"/>
      <c r="B8" s="63">
        <f>IFERROR(INDEX('Grocery List'!$B$5:$B$304,MATCH(1,'Grocery List'!$R$5:$R$304,0)),"")</f>
        <v>0</v>
      </c>
      <c r="C8" s="63">
        <f>IFERROR(INDEX('Grocery List'!$D$5:$D$304,MATCH(1,'Grocery List'!$R$5:$R$304,0)),"")</f>
        <v>0</v>
      </c>
      <c r="D8" s="63">
        <f>IFERROR(IF(INDEX('Grocery List'!$N$5:$N$304,MATCH(1,'Grocery List'!$R$5:$R$304,0))="","",ROUND(INDEX('Grocery List'!$N$5:$N$304,MATCH(1,'Grocery List'!$R$5:$R$304,0)),0)&amp;" "&amp;INDEX('Grocery List'!$G$5:$G$304,MATCH(1,'Grocery List'!$R$5:$R$304,0))),"")</f>
        <v>0</v>
      </c>
      <c r="E8" s="62">
        <f>IFERROR(INDEX('Grocery List'!$O$5:$O$304,MATCH(1,'Grocery List'!$R$5:$R$304,0)),"")</f>
        <v>0</v>
      </c>
      <c r="F8" s="63">
        <f>IFERROR(INDEX('Grocery List'!$E$5:$E$304,MATCH(1,'Grocery List'!$R$5:$R$304,0)),"")</f>
        <v>0</v>
      </c>
    </row>
    <row r="9" spans="1:6" ht="18" customHeight="1">
      <c r="A9" s="64"/>
      <c r="B9" s="63">
        <f>IFERROR(INDEX('Grocery List'!$B$5:$B$304,MATCH(2,'Grocery List'!$R$5:$R$304,0)),"")</f>
        <v>0</v>
      </c>
      <c r="C9" s="63">
        <f>IFERROR(INDEX('Grocery List'!$D$5:$D$304,MATCH(2,'Grocery List'!$R$5:$R$304,0)),"")</f>
        <v>0</v>
      </c>
      <c r="D9" s="63">
        <f>IFERROR(IF(INDEX('Grocery List'!$N$5:$N$304,MATCH(2,'Grocery List'!$R$5:$R$304,0))="","",ROUND(INDEX('Grocery List'!$N$5:$N$304,MATCH(2,'Grocery List'!$R$5:$R$304,0)),0)&amp;" "&amp;INDEX('Grocery List'!$G$5:$G$304,MATCH(2,'Grocery List'!$R$5:$R$304,0))),"")</f>
        <v>0</v>
      </c>
      <c r="E9" s="62">
        <f>IFERROR(INDEX('Grocery List'!$O$5:$O$304,MATCH(2,'Grocery List'!$R$5:$R$304,0)),"")</f>
        <v>0</v>
      </c>
      <c r="F9" s="63">
        <f>IFERROR(INDEX('Grocery List'!$E$5:$E$304,MATCH(2,'Grocery List'!$R$5:$R$304,0)),"")</f>
        <v>0</v>
      </c>
    </row>
    <row r="10" spans="1:6" ht="18" customHeight="1">
      <c r="A10" s="64"/>
      <c r="B10" s="63">
        <f>IFERROR(INDEX('Grocery List'!$B$5:$B$304,MATCH(3,'Grocery List'!$R$5:$R$304,0)),"")</f>
        <v>0</v>
      </c>
      <c r="C10" s="63">
        <f>IFERROR(INDEX('Grocery List'!$D$5:$D$304,MATCH(3,'Grocery List'!$R$5:$R$304,0)),"")</f>
        <v>0</v>
      </c>
      <c r="D10" s="63">
        <f>IFERROR(IF(INDEX('Grocery List'!$N$5:$N$304,MATCH(3,'Grocery List'!$R$5:$R$304,0))="","",ROUND(INDEX('Grocery List'!$N$5:$N$304,MATCH(3,'Grocery List'!$R$5:$R$304,0)),0)&amp;" "&amp;INDEX('Grocery List'!$G$5:$G$304,MATCH(3,'Grocery List'!$R$5:$R$304,0))),"")</f>
        <v>0</v>
      </c>
      <c r="E10" s="62">
        <f>IFERROR(INDEX('Grocery List'!$O$5:$O$304,MATCH(3,'Grocery List'!$R$5:$R$304,0)),"")</f>
        <v>0</v>
      </c>
      <c r="F10" s="63">
        <f>IFERROR(INDEX('Grocery List'!$E$5:$E$304,MATCH(3,'Grocery List'!$R$5:$R$304,0)),"")</f>
        <v>0</v>
      </c>
    </row>
    <row r="11" spans="1:6" ht="18" customHeight="1">
      <c r="A11" s="64"/>
      <c r="B11" s="63">
        <f>IFERROR(INDEX('Grocery List'!$B$5:$B$304,MATCH(4,'Grocery List'!$R$5:$R$304,0)),"")</f>
        <v>0</v>
      </c>
      <c r="C11" s="63">
        <f>IFERROR(INDEX('Grocery List'!$D$5:$D$304,MATCH(4,'Grocery List'!$R$5:$R$304,0)),"")</f>
        <v>0</v>
      </c>
      <c r="D11" s="63">
        <f>IFERROR(IF(INDEX('Grocery List'!$N$5:$N$304,MATCH(4,'Grocery List'!$R$5:$R$304,0))="","",ROUND(INDEX('Grocery List'!$N$5:$N$304,MATCH(4,'Grocery List'!$R$5:$R$304,0)),0)&amp;" "&amp;INDEX('Grocery List'!$G$5:$G$304,MATCH(4,'Grocery List'!$R$5:$R$304,0))),"")</f>
        <v>0</v>
      </c>
      <c r="E11" s="62">
        <f>IFERROR(INDEX('Grocery List'!$O$5:$O$304,MATCH(4,'Grocery List'!$R$5:$R$304,0)),"")</f>
        <v>0</v>
      </c>
      <c r="F11" s="63">
        <f>IFERROR(INDEX('Grocery List'!$E$5:$E$304,MATCH(4,'Grocery List'!$R$5:$R$304,0)),"")</f>
        <v>0</v>
      </c>
    </row>
    <row r="12" spans="1:6" ht="18" customHeight="1">
      <c r="A12" s="64"/>
      <c r="B12" s="63">
        <f>IFERROR(INDEX('Grocery List'!$B$5:$B$304,MATCH(5,'Grocery List'!$R$5:$R$304,0)),"")</f>
        <v>0</v>
      </c>
      <c r="C12" s="63">
        <f>IFERROR(INDEX('Grocery List'!$D$5:$D$304,MATCH(5,'Grocery List'!$R$5:$R$304,0)),"")</f>
        <v>0</v>
      </c>
      <c r="D12" s="63">
        <f>IFERROR(IF(INDEX('Grocery List'!$N$5:$N$304,MATCH(5,'Grocery List'!$R$5:$R$304,0))="","",ROUND(INDEX('Grocery List'!$N$5:$N$304,MATCH(5,'Grocery List'!$R$5:$R$304,0)),0)&amp;" "&amp;INDEX('Grocery List'!$G$5:$G$304,MATCH(5,'Grocery List'!$R$5:$R$304,0))),"")</f>
        <v>0</v>
      </c>
      <c r="E12" s="62">
        <f>IFERROR(INDEX('Grocery List'!$O$5:$O$304,MATCH(5,'Grocery List'!$R$5:$R$304,0)),"")</f>
        <v>0</v>
      </c>
      <c r="F12" s="63">
        <f>IFERROR(INDEX('Grocery List'!$E$5:$E$304,MATCH(5,'Grocery List'!$R$5:$R$304,0)),"")</f>
        <v>0</v>
      </c>
    </row>
    <row r="13" spans="1:6" ht="18" customHeight="1">
      <c r="A13" s="64"/>
      <c r="B13" s="63">
        <f>IFERROR(INDEX('Grocery List'!$B$5:$B$304,MATCH(6,'Grocery List'!$R$5:$R$304,0)),"")</f>
        <v>0</v>
      </c>
      <c r="C13" s="63">
        <f>IFERROR(INDEX('Grocery List'!$D$5:$D$304,MATCH(6,'Grocery List'!$R$5:$R$304,0)),"")</f>
        <v>0</v>
      </c>
      <c r="D13" s="63">
        <f>IFERROR(IF(INDEX('Grocery List'!$N$5:$N$304,MATCH(6,'Grocery List'!$R$5:$R$304,0))="","",ROUND(INDEX('Grocery List'!$N$5:$N$304,MATCH(6,'Grocery List'!$R$5:$R$304,0)),0)&amp;" "&amp;INDEX('Grocery List'!$G$5:$G$304,MATCH(6,'Grocery List'!$R$5:$R$304,0))),"")</f>
        <v>0</v>
      </c>
      <c r="E13" s="62">
        <f>IFERROR(INDEX('Grocery List'!$O$5:$O$304,MATCH(6,'Grocery List'!$R$5:$R$304,0)),"")</f>
        <v>0</v>
      </c>
      <c r="F13" s="63">
        <f>IFERROR(INDEX('Grocery List'!$E$5:$E$304,MATCH(6,'Grocery List'!$R$5:$R$304,0)),"")</f>
        <v>0</v>
      </c>
    </row>
    <row r="14" spans="1:6" ht="18" customHeight="1">
      <c r="A14" s="64"/>
      <c r="B14" s="63">
        <f>IFERROR(INDEX('Grocery List'!$B$5:$B$304,MATCH(7,'Grocery List'!$R$5:$R$304,0)),"")</f>
        <v>0</v>
      </c>
      <c r="C14" s="63">
        <f>IFERROR(INDEX('Grocery List'!$D$5:$D$304,MATCH(7,'Grocery List'!$R$5:$R$304,0)),"")</f>
        <v>0</v>
      </c>
      <c r="D14" s="63">
        <f>IFERROR(IF(INDEX('Grocery List'!$N$5:$N$304,MATCH(7,'Grocery List'!$R$5:$R$304,0))="","",ROUND(INDEX('Grocery List'!$N$5:$N$304,MATCH(7,'Grocery List'!$R$5:$R$304,0)),0)&amp;" "&amp;INDEX('Grocery List'!$G$5:$G$304,MATCH(7,'Grocery List'!$R$5:$R$304,0))),"")</f>
        <v>0</v>
      </c>
      <c r="E14" s="62">
        <f>IFERROR(INDEX('Grocery List'!$O$5:$O$304,MATCH(7,'Grocery List'!$R$5:$R$304,0)),"")</f>
        <v>0</v>
      </c>
      <c r="F14" s="63">
        <f>IFERROR(INDEX('Grocery List'!$E$5:$E$304,MATCH(7,'Grocery List'!$R$5:$R$304,0)),"")</f>
        <v>0</v>
      </c>
    </row>
    <row r="15" spans="1:6" ht="18" customHeight="1">
      <c r="A15" s="64"/>
      <c r="B15" s="63">
        <f>IFERROR(INDEX('Grocery List'!$B$5:$B$304,MATCH(8,'Grocery List'!$R$5:$R$304,0)),"")</f>
        <v>0</v>
      </c>
      <c r="C15" s="63">
        <f>IFERROR(INDEX('Grocery List'!$D$5:$D$304,MATCH(8,'Grocery List'!$R$5:$R$304,0)),"")</f>
        <v>0</v>
      </c>
      <c r="D15" s="63">
        <f>IFERROR(IF(INDEX('Grocery List'!$N$5:$N$304,MATCH(8,'Grocery List'!$R$5:$R$304,0))="","",ROUND(INDEX('Grocery List'!$N$5:$N$304,MATCH(8,'Grocery List'!$R$5:$R$304,0)),0)&amp;" "&amp;INDEX('Grocery List'!$G$5:$G$304,MATCH(8,'Grocery List'!$R$5:$R$304,0))),"")</f>
        <v>0</v>
      </c>
      <c r="E15" s="62">
        <f>IFERROR(INDEX('Grocery List'!$O$5:$O$304,MATCH(8,'Grocery List'!$R$5:$R$304,0)),"")</f>
        <v>0</v>
      </c>
      <c r="F15" s="63">
        <f>IFERROR(INDEX('Grocery List'!$E$5:$E$304,MATCH(8,'Grocery List'!$R$5:$R$304,0)),"")</f>
        <v>0</v>
      </c>
    </row>
    <row r="16" spans="1:6" ht="18" customHeight="1">
      <c r="A16" s="64"/>
      <c r="B16" s="63">
        <f>IFERROR(INDEX('Grocery List'!$B$5:$B$304,MATCH(9,'Grocery List'!$R$5:$R$304,0)),"")</f>
        <v>0</v>
      </c>
      <c r="C16" s="63">
        <f>IFERROR(INDEX('Grocery List'!$D$5:$D$304,MATCH(9,'Grocery List'!$R$5:$R$304,0)),"")</f>
        <v>0</v>
      </c>
      <c r="D16" s="63">
        <f>IFERROR(IF(INDEX('Grocery List'!$N$5:$N$304,MATCH(9,'Grocery List'!$R$5:$R$304,0))="","",ROUND(INDEX('Grocery List'!$N$5:$N$304,MATCH(9,'Grocery List'!$R$5:$R$304,0)),0)&amp;" "&amp;INDEX('Grocery List'!$G$5:$G$304,MATCH(9,'Grocery List'!$R$5:$R$304,0))),"")</f>
        <v>0</v>
      </c>
      <c r="E16" s="62">
        <f>IFERROR(INDEX('Grocery List'!$O$5:$O$304,MATCH(9,'Grocery List'!$R$5:$R$304,0)),"")</f>
        <v>0</v>
      </c>
      <c r="F16" s="63">
        <f>IFERROR(INDEX('Grocery List'!$E$5:$E$304,MATCH(9,'Grocery List'!$R$5:$R$304,0)),"")</f>
        <v>0</v>
      </c>
    </row>
    <row r="17" spans="1:6" ht="18" customHeight="1">
      <c r="A17" s="64"/>
      <c r="B17" s="63">
        <f>IFERROR(INDEX('Grocery List'!$B$5:$B$304,MATCH(10,'Grocery List'!$R$5:$R$304,0)),"")</f>
        <v>0</v>
      </c>
      <c r="C17" s="63">
        <f>IFERROR(INDEX('Grocery List'!$D$5:$D$304,MATCH(10,'Grocery List'!$R$5:$R$304,0)),"")</f>
        <v>0</v>
      </c>
      <c r="D17" s="63">
        <f>IFERROR(IF(INDEX('Grocery List'!$N$5:$N$304,MATCH(10,'Grocery List'!$R$5:$R$304,0))="","",ROUND(INDEX('Grocery List'!$N$5:$N$304,MATCH(10,'Grocery List'!$R$5:$R$304,0)),0)&amp;" "&amp;INDEX('Grocery List'!$G$5:$G$304,MATCH(10,'Grocery List'!$R$5:$R$304,0))),"")</f>
        <v>0</v>
      </c>
      <c r="E17" s="62">
        <f>IFERROR(INDEX('Grocery List'!$O$5:$O$304,MATCH(10,'Grocery List'!$R$5:$R$304,0)),"")</f>
        <v>0</v>
      </c>
      <c r="F17" s="63">
        <f>IFERROR(INDEX('Grocery List'!$E$5:$E$304,MATCH(10,'Grocery List'!$R$5:$R$304,0)),"")</f>
        <v>0</v>
      </c>
    </row>
    <row r="18" spans="1:6" ht="18" customHeight="1">
      <c r="A18" s="64"/>
      <c r="B18" s="63">
        <f>IFERROR(INDEX('Grocery List'!$B$5:$B$304,MATCH(11,'Grocery List'!$R$5:$R$304,0)),"")</f>
        <v>0</v>
      </c>
      <c r="C18" s="63">
        <f>IFERROR(INDEX('Grocery List'!$D$5:$D$304,MATCH(11,'Grocery List'!$R$5:$R$304,0)),"")</f>
        <v>0</v>
      </c>
      <c r="D18" s="63">
        <f>IFERROR(IF(INDEX('Grocery List'!$N$5:$N$304,MATCH(11,'Grocery List'!$R$5:$R$304,0))="","",ROUND(INDEX('Grocery List'!$N$5:$N$304,MATCH(11,'Grocery List'!$R$5:$R$304,0)),0)&amp;" "&amp;INDEX('Grocery List'!$G$5:$G$304,MATCH(11,'Grocery List'!$R$5:$R$304,0))),"")</f>
        <v>0</v>
      </c>
      <c r="E18" s="62">
        <f>IFERROR(INDEX('Grocery List'!$O$5:$O$304,MATCH(11,'Grocery List'!$R$5:$R$304,0)),"")</f>
        <v>0</v>
      </c>
      <c r="F18" s="63">
        <f>IFERROR(INDEX('Grocery List'!$E$5:$E$304,MATCH(11,'Grocery List'!$R$5:$R$304,0)),"")</f>
        <v>0</v>
      </c>
    </row>
    <row r="19" spans="1:6" ht="18" customHeight="1">
      <c r="A19" s="64"/>
      <c r="B19" s="63">
        <f>IFERROR(INDEX('Grocery List'!$B$5:$B$304,MATCH(12,'Grocery List'!$R$5:$R$304,0)),"")</f>
        <v>0</v>
      </c>
      <c r="C19" s="63">
        <f>IFERROR(INDEX('Grocery List'!$D$5:$D$304,MATCH(12,'Grocery List'!$R$5:$R$304,0)),"")</f>
        <v>0</v>
      </c>
      <c r="D19" s="63">
        <f>IFERROR(IF(INDEX('Grocery List'!$N$5:$N$304,MATCH(12,'Grocery List'!$R$5:$R$304,0))="","",ROUND(INDEX('Grocery List'!$N$5:$N$304,MATCH(12,'Grocery List'!$R$5:$R$304,0)),0)&amp;" "&amp;INDEX('Grocery List'!$G$5:$G$304,MATCH(12,'Grocery List'!$R$5:$R$304,0))),"")</f>
        <v>0</v>
      </c>
      <c r="E19" s="62">
        <f>IFERROR(INDEX('Grocery List'!$O$5:$O$304,MATCH(12,'Grocery List'!$R$5:$R$304,0)),"")</f>
        <v>0</v>
      </c>
      <c r="F19" s="63">
        <f>IFERROR(INDEX('Grocery List'!$E$5:$E$304,MATCH(12,'Grocery List'!$R$5:$R$304,0)),"")</f>
        <v>0</v>
      </c>
    </row>
    <row r="20" spans="1:6" ht="18" customHeight="1">
      <c r="A20" s="64"/>
      <c r="B20" s="63">
        <f>IFERROR(INDEX('Grocery List'!$B$5:$B$304,MATCH(13,'Grocery List'!$R$5:$R$304,0)),"")</f>
        <v>0</v>
      </c>
      <c r="C20" s="63">
        <f>IFERROR(INDEX('Grocery List'!$D$5:$D$304,MATCH(13,'Grocery List'!$R$5:$R$304,0)),"")</f>
        <v>0</v>
      </c>
      <c r="D20" s="63">
        <f>IFERROR(IF(INDEX('Grocery List'!$N$5:$N$304,MATCH(13,'Grocery List'!$R$5:$R$304,0))="","",ROUND(INDEX('Grocery List'!$N$5:$N$304,MATCH(13,'Grocery List'!$R$5:$R$304,0)),0)&amp;" "&amp;INDEX('Grocery List'!$G$5:$G$304,MATCH(13,'Grocery List'!$R$5:$R$304,0))),"")</f>
        <v>0</v>
      </c>
      <c r="E20" s="62">
        <f>IFERROR(INDEX('Grocery List'!$O$5:$O$304,MATCH(13,'Grocery List'!$R$5:$R$304,0)),"")</f>
        <v>0</v>
      </c>
      <c r="F20" s="63">
        <f>IFERROR(INDEX('Grocery List'!$E$5:$E$304,MATCH(13,'Grocery List'!$R$5:$R$304,0)),"")</f>
        <v>0</v>
      </c>
    </row>
    <row r="21" spans="1:6" ht="18" customHeight="1">
      <c r="A21" s="64"/>
      <c r="B21" s="63">
        <f>IFERROR(INDEX('Grocery List'!$B$5:$B$304,MATCH(14,'Grocery List'!$R$5:$R$304,0)),"")</f>
        <v>0</v>
      </c>
      <c r="C21" s="63">
        <f>IFERROR(INDEX('Grocery List'!$D$5:$D$304,MATCH(14,'Grocery List'!$R$5:$R$304,0)),"")</f>
        <v>0</v>
      </c>
      <c r="D21" s="63">
        <f>IFERROR(IF(INDEX('Grocery List'!$N$5:$N$304,MATCH(14,'Grocery List'!$R$5:$R$304,0))="","",ROUND(INDEX('Grocery List'!$N$5:$N$304,MATCH(14,'Grocery List'!$R$5:$R$304,0)),0)&amp;" "&amp;INDEX('Grocery List'!$G$5:$G$304,MATCH(14,'Grocery List'!$R$5:$R$304,0))),"")</f>
        <v>0</v>
      </c>
      <c r="E21" s="62">
        <f>IFERROR(INDEX('Grocery List'!$O$5:$O$304,MATCH(14,'Grocery List'!$R$5:$R$304,0)),"")</f>
        <v>0</v>
      </c>
      <c r="F21" s="63">
        <f>IFERROR(INDEX('Grocery List'!$E$5:$E$304,MATCH(14,'Grocery List'!$R$5:$R$304,0)),"")</f>
        <v>0</v>
      </c>
    </row>
    <row r="22" spans="1:6" ht="18" customHeight="1">
      <c r="A22" s="64"/>
      <c r="B22" s="63">
        <f>IFERROR(INDEX('Grocery List'!$B$5:$B$304,MATCH(15,'Grocery List'!$R$5:$R$304,0)),"")</f>
        <v>0</v>
      </c>
      <c r="C22" s="63">
        <f>IFERROR(INDEX('Grocery List'!$D$5:$D$304,MATCH(15,'Grocery List'!$R$5:$R$304,0)),"")</f>
        <v>0</v>
      </c>
      <c r="D22" s="63">
        <f>IFERROR(IF(INDEX('Grocery List'!$N$5:$N$304,MATCH(15,'Grocery List'!$R$5:$R$304,0))="","",ROUND(INDEX('Grocery List'!$N$5:$N$304,MATCH(15,'Grocery List'!$R$5:$R$304,0)),0)&amp;" "&amp;INDEX('Grocery List'!$G$5:$G$304,MATCH(15,'Grocery List'!$R$5:$R$304,0))),"")</f>
        <v>0</v>
      </c>
      <c r="E22" s="62">
        <f>IFERROR(INDEX('Grocery List'!$O$5:$O$304,MATCH(15,'Grocery List'!$R$5:$R$304,0)),"")</f>
        <v>0</v>
      </c>
      <c r="F22" s="63">
        <f>IFERROR(INDEX('Grocery List'!$E$5:$E$304,MATCH(15,'Grocery List'!$R$5:$R$304,0)),"")</f>
        <v>0</v>
      </c>
    </row>
    <row r="23" spans="1:6" ht="18" customHeight="1">
      <c r="A23" s="64"/>
      <c r="B23" s="63">
        <f>IFERROR(INDEX('Grocery List'!$B$5:$B$304,MATCH(16,'Grocery List'!$R$5:$R$304,0)),"")</f>
        <v>0</v>
      </c>
      <c r="C23" s="63">
        <f>IFERROR(INDEX('Grocery List'!$D$5:$D$304,MATCH(16,'Grocery List'!$R$5:$R$304,0)),"")</f>
        <v>0</v>
      </c>
      <c r="D23" s="63">
        <f>IFERROR(IF(INDEX('Grocery List'!$N$5:$N$304,MATCH(16,'Grocery List'!$R$5:$R$304,0))="","",ROUND(INDEX('Grocery List'!$N$5:$N$304,MATCH(16,'Grocery List'!$R$5:$R$304,0)),0)&amp;" "&amp;INDEX('Grocery List'!$G$5:$G$304,MATCH(16,'Grocery List'!$R$5:$R$304,0))),"")</f>
        <v>0</v>
      </c>
      <c r="E23" s="62">
        <f>IFERROR(INDEX('Grocery List'!$O$5:$O$304,MATCH(16,'Grocery List'!$R$5:$R$304,0)),"")</f>
        <v>0</v>
      </c>
      <c r="F23" s="63">
        <f>IFERROR(INDEX('Grocery List'!$E$5:$E$304,MATCH(16,'Grocery List'!$R$5:$R$304,0)),"")</f>
        <v>0</v>
      </c>
    </row>
    <row r="24" spans="1:6" ht="18" customHeight="1">
      <c r="A24" s="64"/>
      <c r="B24" s="63">
        <f>IFERROR(INDEX('Grocery List'!$B$5:$B$304,MATCH(17,'Grocery List'!$R$5:$R$304,0)),"")</f>
        <v>0</v>
      </c>
      <c r="C24" s="63">
        <f>IFERROR(INDEX('Grocery List'!$D$5:$D$304,MATCH(17,'Grocery List'!$R$5:$R$304,0)),"")</f>
        <v>0</v>
      </c>
      <c r="D24" s="63">
        <f>IFERROR(IF(INDEX('Grocery List'!$N$5:$N$304,MATCH(17,'Grocery List'!$R$5:$R$304,0))="","",ROUND(INDEX('Grocery List'!$N$5:$N$304,MATCH(17,'Grocery List'!$R$5:$R$304,0)),0)&amp;" "&amp;INDEX('Grocery List'!$G$5:$G$304,MATCH(17,'Grocery List'!$R$5:$R$304,0))),"")</f>
        <v>0</v>
      </c>
      <c r="E24" s="62">
        <f>IFERROR(INDEX('Grocery List'!$O$5:$O$304,MATCH(17,'Grocery List'!$R$5:$R$304,0)),"")</f>
        <v>0</v>
      </c>
      <c r="F24" s="63">
        <f>IFERROR(INDEX('Grocery List'!$E$5:$E$304,MATCH(17,'Grocery List'!$R$5:$R$304,0)),"")</f>
        <v>0</v>
      </c>
    </row>
    <row r="25" spans="1:6" ht="18" customHeight="1">
      <c r="A25" s="64"/>
      <c r="B25" s="63">
        <f>IFERROR(INDEX('Grocery List'!$B$5:$B$304,MATCH(18,'Grocery List'!$R$5:$R$304,0)),"")</f>
        <v>0</v>
      </c>
      <c r="C25" s="63">
        <f>IFERROR(INDEX('Grocery List'!$D$5:$D$304,MATCH(18,'Grocery List'!$R$5:$R$304,0)),"")</f>
        <v>0</v>
      </c>
      <c r="D25" s="63">
        <f>IFERROR(IF(INDEX('Grocery List'!$N$5:$N$304,MATCH(18,'Grocery List'!$R$5:$R$304,0))="","",ROUND(INDEX('Grocery List'!$N$5:$N$304,MATCH(18,'Grocery List'!$R$5:$R$304,0)),0)&amp;" "&amp;INDEX('Grocery List'!$G$5:$G$304,MATCH(18,'Grocery List'!$R$5:$R$304,0))),"")</f>
        <v>0</v>
      </c>
      <c r="E25" s="62">
        <f>IFERROR(INDEX('Grocery List'!$O$5:$O$304,MATCH(18,'Grocery List'!$R$5:$R$304,0)),"")</f>
        <v>0</v>
      </c>
      <c r="F25" s="63">
        <f>IFERROR(INDEX('Grocery List'!$E$5:$E$304,MATCH(18,'Grocery List'!$R$5:$R$304,0)),"")</f>
        <v>0</v>
      </c>
    </row>
    <row r="26" spans="1:6" ht="18" customHeight="1">
      <c r="A26" s="64"/>
      <c r="B26" s="63">
        <f>IFERROR(INDEX('Grocery List'!$B$5:$B$304,MATCH(19,'Grocery List'!$R$5:$R$304,0)),"")</f>
        <v>0</v>
      </c>
      <c r="C26" s="63">
        <f>IFERROR(INDEX('Grocery List'!$D$5:$D$304,MATCH(19,'Grocery List'!$R$5:$R$304,0)),"")</f>
        <v>0</v>
      </c>
      <c r="D26" s="63">
        <f>IFERROR(IF(INDEX('Grocery List'!$N$5:$N$304,MATCH(19,'Grocery List'!$R$5:$R$304,0))="","",ROUND(INDEX('Grocery List'!$N$5:$N$304,MATCH(19,'Grocery List'!$R$5:$R$304,0)),0)&amp;" "&amp;INDEX('Grocery List'!$G$5:$G$304,MATCH(19,'Grocery List'!$R$5:$R$304,0))),"")</f>
        <v>0</v>
      </c>
      <c r="E26" s="62">
        <f>IFERROR(INDEX('Grocery List'!$O$5:$O$304,MATCH(19,'Grocery List'!$R$5:$R$304,0)),"")</f>
        <v>0</v>
      </c>
      <c r="F26" s="63">
        <f>IFERROR(INDEX('Grocery List'!$E$5:$E$304,MATCH(19,'Grocery List'!$R$5:$R$304,0)),"")</f>
        <v>0</v>
      </c>
    </row>
    <row r="27" spans="1:6" ht="18" customHeight="1">
      <c r="A27" s="64"/>
      <c r="B27" s="63">
        <f>IFERROR(INDEX('Grocery List'!$B$5:$B$304,MATCH(20,'Grocery List'!$R$5:$R$304,0)),"")</f>
        <v>0</v>
      </c>
      <c r="C27" s="63">
        <f>IFERROR(INDEX('Grocery List'!$D$5:$D$304,MATCH(20,'Grocery List'!$R$5:$R$304,0)),"")</f>
        <v>0</v>
      </c>
      <c r="D27" s="63">
        <f>IFERROR(IF(INDEX('Grocery List'!$N$5:$N$304,MATCH(20,'Grocery List'!$R$5:$R$304,0))="","",ROUND(INDEX('Grocery List'!$N$5:$N$304,MATCH(20,'Grocery List'!$R$5:$R$304,0)),0)&amp;" "&amp;INDEX('Grocery List'!$G$5:$G$304,MATCH(20,'Grocery List'!$R$5:$R$304,0))),"")</f>
        <v>0</v>
      </c>
      <c r="E27" s="62">
        <f>IFERROR(INDEX('Grocery List'!$O$5:$O$304,MATCH(20,'Grocery List'!$R$5:$R$304,0)),"")</f>
        <v>0</v>
      </c>
      <c r="F27" s="63">
        <f>IFERROR(INDEX('Grocery List'!$E$5:$E$304,MATCH(20,'Grocery List'!$R$5:$R$304,0)),"")</f>
        <v>0</v>
      </c>
    </row>
    <row r="28" spans="1:6" ht="18" customHeight="1">
      <c r="A28" s="64"/>
      <c r="B28" s="63">
        <f>IFERROR(INDEX('Grocery List'!$B$5:$B$304,MATCH(21,'Grocery List'!$R$5:$R$304,0)),"")</f>
        <v>0</v>
      </c>
      <c r="C28" s="63">
        <f>IFERROR(INDEX('Grocery List'!$D$5:$D$304,MATCH(21,'Grocery List'!$R$5:$R$304,0)),"")</f>
        <v>0</v>
      </c>
      <c r="D28" s="63">
        <f>IFERROR(IF(INDEX('Grocery List'!$N$5:$N$304,MATCH(21,'Grocery List'!$R$5:$R$304,0))="","",ROUND(INDEX('Grocery List'!$N$5:$N$304,MATCH(21,'Grocery List'!$R$5:$R$304,0)),0)&amp;" "&amp;INDEX('Grocery List'!$G$5:$G$304,MATCH(21,'Grocery List'!$R$5:$R$304,0))),"")</f>
        <v>0</v>
      </c>
      <c r="E28" s="62">
        <f>IFERROR(INDEX('Grocery List'!$O$5:$O$304,MATCH(21,'Grocery List'!$R$5:$R$304,0)),"")</f>
        <v>0</v>
      </c>
      <c r="F28" s="63">
        <f>IFERROR(INDEX('Grocery List'!$E$5:$E$304,MATCH(21,'Grocery List'!$R$5:$R$304,0)),"")</f>
        <v>0</v>
      </c>
    </row>
    <row r="29" spans="1:6" ht="18" customHeight="1">
      <c r="A29" s="64"/>
      <c r="B29" s="63">
        <f>IFERROR(INDEX('Grocery List'!$B$5:$B$304,MATCH(22,'Grocery List'!$R$5:$R$304,0)),"")</f>
        <v>0</v>
      </c>
      <c r="C29" s="63">
        <f>IFERROR(INDEX('Grocery List'!$D$5:$D$304,MATCH(22,'Grocery List'!$R$5:$R$304,0)),"")</f>
        <v>0</v>
      </c>
      <c r="D29" s="63">
        <f>IFERROR(IF(INDEX('Grocery List'!$N$5:$N$304,MATCH(22,'Grocery List'!$R$5:$R$304,0))="","",ROUND(INDEX('Grocery List'!$N$5:$N$304,MATCH(22,'Grocery List'!$R$5:$R$304,0)),0)&amp;" "&amp;INDEX('Grocery List'!$G$5:$G$304,MATCH(22,'Grocery List'!$R$5:$R$304,0))),"")</f>
        <v>0</v>
      </c>
      <c r="E29" s="62">
        <f>IFERROR(INDEX('Grocery List'!$O$5:$O$304,MATCH(22,'Grocery List'!$R$5:$R$304,0)),"")</f>
        <v>0</v>
      </c>
      <c r="F29" s="63">
        <f>IFERROR(INDEX('Grocery List'!$E$5:$E$304,MATCH(22,'Grocery List'!$R$5:$R$304,0)),"")</f>
        <v>0</v>
      </c>
    </row>
    <row r="30" spans="1:6" ht="18" customHeight="1">
      <c r="A30" s="64"/>
      <c r="B30" s="63">
        <f>IFERROR(INDEX('Grocery List'!$B$5:$B$304,MATCH(23,'Grocery List'!$R$5:$R$304,0)),"")</f>
        <v>0</v>
      </c>
      <c r="C30" s="63">
        <f>IFERROR(INDEX('Grocery List'!$D$5:$D$304,MATCH(23,'Grocery List'!$R$5:$R$304,0)),"")</f>
        <v>0</v>
      </c>
      <c r="D30" s="63">
        <f>IFERROR(IF(INDEX('Grocery List'!$N$5:$N$304,MATCH(23,'Grocery List'!$R$5:$R$304,0))="","",ROUND(INDEX('Grocery List'!$N$5:$N$304,MATCH(23,'Grocery List'!$R$5:$R$304,0)),0)&amp;" "&amp;INDEX('Grocery List'!$G$5:$G$304,MATCH(23,'Grocery List'!$R$5:$R$304,0))),"")</f>
        <v>0</v>
      </c>
      <c r="E30" s="62">
        <f>IFERROR(INDEX('Grocery List'!$O$5:$O$304,MATCH(23,'Grocery List'!$R$5:$R$304,0)),"")</f>
        <v>0</v>
      </c>
      <c r="F30" s="63">
        <f>IFERROR(INDEX('Grocery List'!$E$5:$E$304,MATCH(23,'Grocery List'!$R$5:$R$304,0)),"")</f>
        <v>0</v>
      </c>
    </row>
    <row r="31" spans="1:6" ht="18" customHeight="1">
      <c r="A31" s="64"/>
      <c r="B31" s="63">
        <f>IFERROR(INDEX('Grocery List'!$B$5:$B$304,MATCH(24,'Grocery List'!$R$5:$R$304,0)),"")</f>
        <v>0</v>
      </c>
      <c r="C31" s="63">
        <f>IFERROR(INDEX('Grocery List'!$D$5:$D$304,MATCH(24,'Grocery List'!$R$5:$R$304,0)),"")</f>
        <v>0</v>
      </c>
      <c r="D31" s="63">
        <f>IFERROR(IF(INDEX('Grocery List'!$N$5:$N$304,MATCH(24,'Grocery List'!$R$5:$R$304,0))="","",ROUND(INDEX('Grocery List'!$N$5:$N$304,MATCH(24,'Grocery List'!$R$5:$R$304,0)),0)&amp;" "&amp;INDEX('Grocery List'!$G$5:$G$304,MATCH(24,'Grocery List'!$R$5:$R$304,0))),"")</f>
        <v>0</v>
      </c>
      <c r="E31" s="62">
        <f>IFERROR(INDEX('Grocery List'!$O$5:$O$304,MATCH(24,'Grocery List'!$R$5:$R$304,0)),"")</f>
        <v>0</v>
      </c>
      <c r="F31" s="63">
        <f>IFERROR(INDEX('Grocery List'!$E$5:$E$304,MATCH(24,'Grocery List'!$R$5:$R$304,0)),"")</f>
        <v>0</v>
      </c>
    </row>
    <row r="32" spans="1:6" ht="18" customHeight="1">
      <c r="A32" s="64"/>
      <c r="B32" s="63">
        <f>IFERROR(INDEX('Grocery List'!$B$5:$B$304,MATCH(25,'Grocery List'!$R$5:$R$304,0)),"")</f>
        <v>0</v>
      </c>
      <c r="C32" s="63">
        <f>IFERROR(INDEX('Grocery List'!$D$5:$D$304,MATCH(25,'Grocery List'!$R$5:$R$304,0)),"")</f>
        <v>0</v>
      </c>
      <c r="D32" s="63">
        <f>IFERROR(IF(INDEX('Grocery List'!$N$5:$N$304,MATCH(25,'Grocery List'!$R$5:$R$304,0))="","",ROUND(INDEX('Grocery List'!$N$5:$N$304,MATCH(25,'Grocery List'!$R$5:$R$304,0)),0)&amp;" "&amp;INDEX('Grocery List'!$G$5:$G$304,MATCH(25,'Grocery List'!$R$5:$R$304,0))),"")</f>
        <v>0</v>
      </c>
      <c r="E32" s="62">
        <f>IFERROR(INDEX('Grocery List'!$O$5:$O$304,MATCH(25,'Grocery List'!$R$5:$R$304,0)),"")</f>
        <v>0</v>
      </c>
      <c r="F32" s="63">
        <f>IFERROR(INDEX('Grocery List'!$E$5:$E$304,MATCH(25,'Grocery List'!$R$5:$R$304,0)),"")</f>
        <v>0</v>
      </c>
    </row>
    <row r="33" spans="1:6" ht="18" customHeight="1">
      <c r="A33" s="64"/>
      <c r="B33" s="63">
        <f>IFERROR(INDEX('Grocery List'!$B$5:$B$304,MATCH(26,'Grocery List'!$R$5:$R$304,0)),"")</f>
        <v>0</v>
      </c>
      <c r="C33" s="63">
        <f>IFERROR(INDEX('Grocery List'!$D$5:$D$304,MATCH(26,'Grocery List'!$R$5:$R$304,0)),"")</f>
        <v>0</v>
      </c>
      <c r="D33" s="63">
        <f>IFERROR(IF(INDEX('Grocery List'!$N$5:$N$304,MATCH(26,'Grocery List'!$R$5:$R$304,0))="","",ROUND(INDEX('Grocery List'!$N$5:$N$304,MATCH(26,'Grocery List'!$R$5:$R$304,0)),0)&amp;" "&amp;INDEX('Grocery List'!$G$5:$G$304,MATCH(26,'Grocery List'!$R$5:$R$304,0))),"")</f>
        <v>0</v>
      </c>
      <c r="E33" s="62">
        <f>IFERROR(INDEX('Grocery List'!$O$5:$O$304,MATCH(26,'Grocery List'!$R$5:$R$304,0)),"")</f>
        <v>0</v>
      </c>
      <c r="F33" s="63">
        <f>IFERROR(INDEX('Grocery List'!$E$5:$E$304,MATCH(26,'Grocery List'!$R$5:$R$304,0)),"")</f>
        <v>0</v>
      </c>
    </row>
    <row r="34" spans="1:6" ht="18" customHeight="1">
      <c r="A34" s="64"/>
      <c r="B34" s="63">
        <f>IFERROR(INDEX('Grocery List'!$B$5:$B$304,MATCH(27,'Grocery List'!$R$5:$R$304,0)),"")</f>
        <v>0</v>
      </c>
      <c r="C34" s="63">
        <f>IFERROR(INDEX('Grocery List'!$D$5:$D$304,MATCH(27,'Grocery List'!$R$5:$R$304,0)),"")</f>
        <v>0</v>
      </c>
      <c r="D34" s="63">
        <f>IFERROR(IF(INDEX('Grocery List'!$N$5:$N$304,MATCH(27,'Grocery List'!$R$5:$R$304,0))="","",ROUND(INDEX('Grocery List'!$N$5:$N$304,MATCH(27,'Grocery List'!$R$5:$R$304,0)),0)&amp;" "&amp;INDEX('Grocery List'!$G$5:$G$304,MATCH(27,'Grocery List'!$R$5:$R$304,0))),"")</f>
        <v>0</v>
      </c>
      <c r="E34" s="62">
        <f>IFERROR(INDEX('Grocery List'!$O$5:$O$304,MATCH(27,'Grocery List'!$R$5:$R$304,0)),"")</f>
        <v>0</v>
      </c>
      <c r="F34" s="63">
        <f>IFERROR(INDEX('Grocery List'!$E$5:$E$304,MATCH(27,'Grocery List'!$R$5:$R$304,0)),"")</f>
        <v>0</v>
      </c>
    </row>
    <row r="35" spans="1:6" ht="18" customHeight="1">
      <c r="A35" s="64"/>
      <c r="B35" s="63">
        <f>IFERROR(INDEX('Grocery List'!$B$5:$B$304,MATCH(28,'Grocery List'!$R$5:$R$304,0)),"")</f>
        <v>0</v>
      </c>
      <c r="C35" s="63">
        <f>IFERROR(INDEX('Grocery List'!$D$5:$D$304,MATCH(28,'Grocery List'!$R$5:$R$304,0)),"")</f>
        <v>0</v>
      </c>
      <c r="D35" s="63">
        <f>IFERROR(IF(INDEX('Grocery List'!$N$5:$N$304,MATCH(28,'Grocery List'!$R$5:$R$304,0))="","",ROUND(INDEX('Grocery List'!$N$5:$N$304,MATCH(28,'Grocery List'!$R$5:$R$304,0)),0)&amp;" "&amp;INDEX('Grocery List'!$G$5:$G$304,MATCH(28,'Grocery List'!$R$5:$R$304,0))),"")</f>
        <v>0</v>
      </c>
      <c r="E35" s="62">
        <f>IFERROR(INDEX('Grocery List'!$O$5:$O$304,MATCH(28,'Grocery List'!$R$5:$R$304,0)),"")</f>
        <v>0</v>
      </c>
      <c r="F35" s="63">
        <f>IFERROR(INDEX('Grocery List'!$E$5:$E$304,MATCH(28,'Grocery List'!$R$5:$R$304,0)),"")</f>
        <v>0</v>
      </c>
    </row>
    <row r="36" spans="1:6" ht="18" customHeight="1">
      <c r="A36" s="64"/>
      <c r="B36" s="63">
        <f>IFERROR(INDEX('Grocery List'!$B$5:$B$304,MATCH(29,'Grocery List'!$R$5:$R$304,0)),"")</f>
        <v>0</v>
      </c>
      <c r="C36" s="63">
        <f>IFERROR(INDEX('Grocery List'!$D$5:$D$304,MATCH(29,'Grocery List'!$R$5:$R$304,0)),"")</f>
        <v>0</v>
      </c>
      <c r="D36" s="63">
        <f>IFERROR(IF(INDEX('Grocery List'!$N$5:$N$304,MATCH(29,'Grocery List'!$R$5:$R$304,0))="","",ROUND(INDEX('Grocery List'!$N$5:$N$304,MATCH(29,'Grocery List'!$R$5:$R$304,0)),0)&amp;" "&amp;INDEX('Grocery List'!$G$5:$G$304,MATCH(29,'Grocery List'!$R$5:$R$304,0))),"")</f>
        <v>0</v>
      </c>
      <c r="E36" s="62">
        <f>IFERROR(INDEX('Grocery List'!$O$5:$O$304,MATCH(29,'Grocery List'!$R$5:$R$304,0)),"")</f>
        <v>0</v>
      </c>
      <c r="F36" s="63">
        <f>IFERROR(INDEX('Grocery List'!$E$5:$E$304,MATCH(29,'Grocery List'!$R$5:$R$304,0)),"")</f>
        <v>0</v>
      </c>
    </row>
    <row r="37" spans="1:6" ht="18" customHeight="1">
      <c r="A37" s="64"/>
      <c r="B37" s="63">
        <f>IFERROR(INDEX('Grocery List'!$B$5:$B$304,MATCH(30,'Grocery List'!$R$5:$R$304,0)),"")</f>
        <v>0</v>
      </c>
      <c r="C37" s="63">
        <f>IFERROR(INDEX('Grocery List'!$D$5:$D$304,MATCH(30,'Grocery List'!$R$5:$R$304,0)),"")</f>
        <v>0</v>
      </c>
      <c r="D37" s="63">
        <f>IFERROR(IF(INDEX('Grocery List'!$N$5:$N$304,MATCH(30,'Grocery List'!$R$5:$R$304,0))="","",ROUND(INDEX('Grocery List'!$N$5:$N$304,MATCH(30,'Grocery List'!$R$5:$R$304,0)),0)&amp;" "&amp;INDEX('Grocery List'!$G$5:$G$304,MATCH(30,'Grocery List'!$R$5:$R$304,0))),"")</f>
        <v>0</v>
      </c>
      <c r="E37" s="62">
        <f>IFERROR(INDEX('Grocery List'!$O$5:$O$304,MATCH(30,'Grocery List'!$R$5:$R$304,0)),"")</f>
        <v>0</v>
      </c>
      <c r="F37" s="63">
        <f>IFERROR(INDEX('Grocery List'!$E$5:$E$304,MATCH(30,'Grocery List'!$R$5:$R$304,0)),"")</f>
        <v>0</v>
      </c>
    </row>
    <row r="38" spans="1:6" ht="18" customHeight="1">
      <c r="A38" s="64"/>
      <c r="B38" s="63">
        <f>IFERROR(INDEX('Grocery List'!$B$5:$B$304,MATCH(31,'Grocery List'!$R$5:$R$304,0)),"")</f>
        <v>0</v>
      </c>
      <c r="C38" s="63">
        <f>IFERROR(INDEX('Grocery List'!$D$5:$D$304,MATCH(31,'Grocery List'!$R$5:$R$304,0)),"")</f>
        <v>0</v>
      </c>
      <c r="D38" s="63">
        <f>IFERROR(IF(INDEX('Grocery List'!$N$5:$N$304,MATCH(31,'Grocery List'!$R$5:$R$304,0))="","",ROUND(INDEX('Grocery List'!$N$5:$N$304,MATCH(31,'Grocery List'!$R$5:$R$304,0)),0)&amp;" "&amp;INDEX('Grocery List'!$G$5:$G$304,MATCH(31,'Grocery List'!$R$5:$R$304,0))),"")</f>
        <v>0</v>
      </c>
      <c r="E38" s="62">
        <f>IFERROR(INDEX('Grocery List'!$O$5:$O$304,MATCH(31,'Grocery List'!$R$5:$R$304,0)),"")</f>
        <v>0</v>
      </c>
      <c r="F38" s="63">
        <f>IFERROR(INDEX('Grocery List'!$E$5:$E$304,MATCH(31,'Grocery List'!$R$5:$R$304,0)),"")</f>
        <v>0</v>
      </c>
    </row>
    <row r="39" spans="1:6" ht="18" customHeight="1">
      <c r="A39" s="64"/>
      <c r="B39" s="63">
        <f>IFERROR(INDEX('Grocery List'!$B$5:$B$304,MATCH(32,'Grocery List'!$R$5:$R$304,0)),"")</f>
        <v>0</v>
      </c>
      <c r="C39" s="63">
        <f>IFERROR(INDEX('Grocery List'!$D$5:$D$304,MATCH(32,'Grocery List'!$R$5:$R$304,0)),"")</f>
        <v>0</v>
      </c>
      <c r="D39" s="63">
        <f>IFERROR(IF(INDEX('Grocery List'!$N$5:$N$304,MATCH(32,'Grocery List'!$R$5:$R$304,0))="","",ROUND(INDEX('Grocery List'!$N$5:$N$304,MATCH(32,'Grocery List'!$R$5:$R$304,0)),0)&amp;" "&amp;INDEX('Grocery List'!$G$5:$G$304,MATCH(32,'Grocery List'!$R$5:$R$304,0))),"")</f>
        <v>0</v>
      </c>
      <c r="E39" s="62">
        <f>IFERROR(INDEX('Grocery List'!$O$5:$O$304,MATCH(32,'Grocery List'!$R$5:$R$304,0)),"")</f>
        <v>0</v>
      </c>
      <c r="F39" s="63">
        <f>IFERROR(INDEX('Grocery List'!$E$5:$E$304,MATCH(32,'Grocery List'!$R$5:$R$304,0)),"")</f>
        <v>0</v>
      </c>
    </row>
    <row r="40" spans="1:6" ht="18" customHeight="1">
      <c r="A40" s="64"/>
      <c r="B40" s="63">
        <f>IFERROR(INDEX('Grocery List'!$B$5:$B$304,MATCH(33,'Grocery List'!$R$5:$R$304,0)),"")</f>
        <v>0</v>
      </c>
      <c r="C40" s="63">
        <f>IFERROR(INDEX('Grocery List'!$D$5:$D$304,MATCH(33,'Grocery List'!$R$5:$R$304,0)),"")</f>
        <v>0</v>
      </c>
      <c r="D40" s="63">
        <f>IFERROR(IF(INDEX('Grocery List'!$N$5:$N$304,MATCH(33,'Grocery List'!$R$5:$R$304,0))="","",ROUND(INDEX('Grocery List'!$N$5:$N$304,MATCH(33,'Grocery List'!$R$5:$R$304,0)),0)&amp;" "&amp;INDEX('Grocery List'!$G$5:$G$304,MATCH(33,'Grocery List'!$R$5:$R$304,0))),"")</f>
        <v>0</v>
      </c>
      <c r="E40" s="62">
        <f>IFERROR(INDEX('Grocery List'!$O$5:$O$304,MATCH(33,'Grocery List'!$R$5:$R$304,0)),"")</f>
        <v>0</v>
      </c>
      <c r="F40" s="63">
        <f>IFERROR(INDEX('Grocery List'!$E$5:$E$304,MATCH(33,'Grocery List'!$R$5:$R$304,0)),"")</f>
        <v>0</v>
      </c>
    </row>
    <row r="41" spans="1:6" ht="18" customHeight="1">
      <c r="A41" s="64"/>
      <c r="B41" s="63">
        <f>IFERROR(INDEX('Grocery List'!$B$5:$B$304,MATCH(34,'Grocery List'!$R$5:$R$304,0)),"")</f>
        <v>0</v>
      </c>
      <c r="C41" s="63">
        <f>IFERROR(INDEX('Grocery List'!$D$5:$D$304,MATCH(34,'Grocery List'!$R$5:$R$304,0)),"")</f>
        <v>0</v>
      </c>
      <c r="D41" s="63">
        <f>IFERROR(IF(INDEX('Grocery List'!$N$5:$N$304,MATCH(34,'Grocery List'!$R$5:$R$304,0))="","",ROUND(INDEX('Grocery List'!$N$5:$N$304,MATCH(34,'Grocery List'!$R$5:$R$304,0)),0)&amp;" "&amp;INDEX('Grocery List'!$G$5:$G$304,MATCH(34,'Grocery List'!$R$5:$R$304,0))),"")</f>
        <v>0</v>
      </c>
      <c r="E41" s="62">
        <f>IFERROR(INDEX('Grocery List'!$O$5:$O$304,MATCH(34,'Grocery List'!$R$5:$R$304,0)),"")</f>
        <v>0</v>
      </c>
      <c r="F41" s="63">
        <f>IFERROR(INDEX('Grocery List'!$E$5:$E$304,MATCH(34,'Grocery List'!$R$5:$R$304,0)),"")</f>
        <v>0</v>
      </c>
    </row>
    <row r="42" spans="1:6" ht="18" customHeight="1">
      <c r="A42" s="64"/>
      <c r="B42" s="63">
        <f>IFERROR(INDEX('Grocery List'!$B$5:$B$304,MATCH(35,'Grocery List'!$R$5:$R$304,0)),"")</f>
        <v>0</v>
      </c>
      <c r="C42" s="63">
        <f>IFERROR(INDEX('Grocery List'!$D$5:$D$304,MATCH(35,'Grocery List'!$R$5:$R$304,0)),"")</f>
        <v>0</v>
      </c>
      <c r="D42" s="63">
        <f>IFERROR(IF(INDEX('Grocery List'!$N$5:$N$304,MATCH(35,'Grocery List'!$R$5:$R$304,0))="","",ROUND(INDEX('Grocery List'!$N$5:$N$304,MATCH(35,'Grocery List'!$R$5:$R$304,0)),0)&amp;" "&amp;INDEX('Grocery List'!$G$5:$G$304,MATCH(35,'Grocery List'!$R$5:$R$304,0))),"")</f>
        <v>0</v>
      </c>
      <c r="E42" s="62">
        <f>IFERROR(INDEX('Grocery List'!$O$5:$O$304,MATCH(35,'Grocery List'!$R$5:$R$304,0)),"")</f>
        <v>0</v>
      </c>
      <c r="F42" s="63">
        <f>IFERROR(INDEX('Grocery List'!$E$5:$E$304,MATCH(35,'Grocery List'!$R$5:$R$304,0)),"")</f>
        <v>0</v>
      </c>
    </row>
    <row r="43" spans="1:6" ht="18" customHeight="1">
      <c r="A43" s="64"/>
      <c r="B43" s="63">
        <f>IFERROR(INDEX('Grocery List'!$B$5:$B$304,MATCH(36,'Grocery List'!$R$5:$R$304,0)),"")</f>
        <v>0</v>
      </c>
      <c r="C43" s="63">
        <f>IFERROR(INDEX('Grocery List'!$D$5:$D$304,MATCH(36,'Grocery List'!$R$5:$R$304,0)),"")</f>
        <v>0</v>
      </c>
      <c r="D43" s="63">
        <f>IFERROR(IF(INDEX('Grocery List'!$N$5:$N$304,MATCH(36,'Grocery List'!$R$5:$R$304,0))="","",ROUND(INDEX('Grocery List'!$N$5:$N$304,MATCH(36,'Grocery List'!$R$5:$R$304,0)),0)&amp;" "&amp;INDEX('Grocery List'!$G$5:$G$304,MATCH(36,'Grocery List'!$R$5:$R$304,0))),"")</f>
        <v>0</v>
      </c>
      <c r="E43" s="62">
        <f>IFERROR(INDEX('Grocery List'!$O$5:$O$304,MATCH(36,'Grocery List'!$R$5:$R$304,0)),"")</f>
        <v>0</v>
      </c>
      <c r="F43" s="63">
        <f>IFERROR(INDEX('Grocery List'!$E$5:$E$304,MATCH(36,'Grocery List'!$R$5:$R$304,0)),"")</f>
        <v>0</v>
      </c>
    </row>
    <row r="44" spans="1:6" ht="18" customHeight="1">
      <c r="A44" s="64"/>
      <c r="B44" s="63">
        <f>IFERROR(INDEX('Grocery List'!$B$5:$B$304,MATCH(37,'Grocery List'!$R$5:$R$304,0)),"")</f>
        <v>0</v>
      </c>
      <c r="C44" s="63">
        <f>IFERROR(INDEX('Grocery List'!$D$5:$D$304,MATCH(37,'Grocery List'!$R$5:$R$304,0)),"")</f>
        <v>0</v>
      </c>
      <c r="D44" s="63">
        <f>IFERROR(IF(INDEX('Grocery List'!$N$5:$N$304,MATCH(37,'Grocery List'!$R$5:$R$304,0))="","",ROUND(INDEX('Grocery List'!$N$5:$N$304,MATCH(37,'Grocery List'!$R$5:$R$304,0)),0)&amp;" "&amp;INDEX('Grocery List'!$G$5:$G$304,MATCH(37,'Grocery List'!$R$5:$R$304,0))),"")</f>
        <v>0</v>
      </c>
      <c r="E44" s="62">
        <f>IFERROR(INDEX('Grocery List'!$O$5:$O$304,MATCH(37,'Grocery List'!$R$5:$R$304,0)),"")</f>
        <v>0</v>
      </c>
      <c r="F44" s="63">
        <f>IFERROR(INDEX('Grocery List'!$E$5:$E$304,MATCH(37,'Grocery List'!$R$5:$R$304,0)),"")</f>
        <v>0</v>
      </c>
    </row>
    <row r="45" spans="1:6" ht="18" customHeight="1">
      <c r="A45" s="64"/>
      <c r="B45" s="63">
        <f>IFERROR(INDEX('Grocery List'!$B$5:$B$304,MATCH(38,'Grocery List'!$R$5:$R$304,0)),"")</f>
        <v>0</v>
      </c>
      <c r="C45" s="63">
        <f>IFERROR(INDEX('Grocery List'!$D$5:$D$304,MATCH(38,'Grocery List'!$R$5:$R$304,0)),"")</f>
        <v>0</v>
      </c>
      <c r="D45" s="63">
        <f>IFERROR(IF(INDEX('Grocery List'!$N$5:$N$304,MATCH(38,'Grocery List'!$R$5:$R$304,0))="","",ROUND(INDEX('Grocery List'!$N$5:$N$304,MATCH(38,'Grocery List'!$R$5:$R$304,0)),0)&amp;" "&amp;INDEX('Grocery List'!$G$5:$G$304,MATCH(38,'Grocery List'!$R$5:$R$304,0))),"")</f>
        <v>0</v>
      </c>
      <c r="E45" s="62">
        <f>IFERROR(INDEX('Grocery List'!$O$5:$O$304,MATCH(38,'Grocery List'!$R$5:$R$304,0)),"")</f>
        <v>0</v>
      </c>
      <c r="F45" s="63">
        <f>IFERROR(INDEX('Grocery List'!$E$5:$E$304,MATCH(38,'Grocery List'!$R$5:$R$304,0)),"")</f>
        <v>0</v>
      </c>
    </row>
    <row r="46" spans="1:6" ht="18" customHeight="1">
      <c r="A46" s="64"/>
      <c r="B46" s="63">
        <f>IFERROR(INDEX('Grocery List'!$B$5:$B$304,MATCH(39,'Grocery List'!$R$5:$R$304,0)),"")</f>
        <v>0</v>
      </c>
      <c r="C46" s="63">
        <f>IFERROR(INDEX('Grocery List'!$D$5:$D$304,MATCH(39,'Grocery List'!$R$5:$R$304,0)),"")</f>
        <v>0</v>
      </c>
      <c r="D46" s="63">
        <f>IFERROR(IF(INDEX('Grocery List'!$N$5:$N$304,MATCH(39,'Grocery List'!$R$5:$R$304,0))="","",ROUND(INDEX('Grocery List'!$N$5:$N$304,MATCH(39,'Grocery List'!$R$5:$R$304,0)),0)&amp;" "&amp;INDEX('Grocery List'!$G$5:$G$304,MATCH(39,'Grocery List'!$R$5:$R$304,0))),"")</f>
        <v>0</v>
      </c>
      <c r="E46" s="62">
        <f>IFERROR(INDEX('Grocery List'!$O$5:$O$304,MATCH(39,'Grocery List'!$R$5:$R$304,0)),"")</f>
        <v>0</v>
      </c>
      <c r="F46" s="63">
        <f>IFERROR(INDEX('Grocery List'!$E$5:$E$304,MATCH(39,'Grocery List'!$R$5:$R$304,0)),"")</f>
        <v>0</v>
      </c>
    </row>
    <row r="47" spans="1:6" ht="18" customHeight="1">
      <c r="A47" s="64"/>
      <c r="B47" s="63">
        <f>IFERROR(INDEX('Grocery List'!$B$5:$B$304,MATCH(40,'Grocery List'!$R$5:$R$304,0)),"")</f>
        <v>0</v>
      </c>
      <c r="C47" s="63">
        <f>IFERROR(INDEX('Grocery List'!$D$5:$D$304,MATCH(40,'Grocery List'!$R$5:$R$304,0)),"")</f>
        <v>0</v>
      </c>
      <c r="D47" s="63">
        <f>IFERROR(IF(INDEX('Grocery List'!$N$5:$N$304,MATCH(40,'Grocery List'!$R$5:$R$304,0))="","",ROUND(INDEX('Grocery List'!$N$5:$N$304,MATCH(40,'Grocery List'!$R$5:$R$304,0)),0)&amp;" "&amp;INDEX('Grocery List'!$G$5:$G$304,MATCH(40,'Grocery List'!$R$5:$R$304,0))),"")</f>
        <v>0</v>
      </c>
      <c r="E47" s="62">
        <f>IFERROR(INDEX('Grocery List'!$O$5:$O$304,MATCH(40,'Grocery List'!$R$5:$R$304,0)),"")</f>
        <v>0</v>
      </c>
      <c r="F47" s="63">
        <f>IFERROR(INDEX('Grocery List'!$E$5:$E$304,MATCH(40,'Grocery List'!$R$5:$R$304,0)),"")</f>
        <v>0</v>
      </c>
    </row>
    <row r="48" spans="1:6" ht="18" customHeight="1">
      <c r="A48" s="64"/>
      <c r="B48" s="63">
        <f>IFERROR(INDEX('Grocery List'!$B$5:$B$304,MATCH(41,'Grocery List'!$R$5:$R$304,0)),"")</f>
        <v>0</v>
      </c>
      <c r="C48" s="63">
        <f>IFERROR(INDEX('Grocery List'!$D$5:$D$304,MATCH(41,'Grocery List'!$R$5:$R$304,0)),"")</f>
        <v>0</v>
      </c>
      <c r="D48" s="63">
        <f>IFERROR(IF(INDEX('Grocery List'!$N$5:$N$304,MATCH(41,'Grocery List'!$R$5:$R$304,0))="","",ROUND(INDEX('Grocery List'!$N$5:$N$304,MATCH(41,'Grocery List'!$R$5:$R$304,0)),0)&amp;" "&amp;INDEX('Grocery List'!$G$5:$G$304,MATCH(41,'Grocery List'!$R$5:$R$304,0))),"")</f>
        <v>0</v>
      </c>
      <c r="E48" s="62">
        <f>IFERROR(INDEX('Grocery List'!$O$5:$O$304,MATCH(41,'Grocery List'!$R$5:$R$304,0)),"")</f>
        <v>0</v>
      </c>
      <c r="F48" s="63">
        <f>IFERROR(INDEX('Grocery List'!$E$5:$E$304,MATCH(41,'Grocery List'!$R$5:$R$304,0)),"")</f>
        <v>0</v>
      </c>
    </row>
    <row r="49" spans="1:6" ht="18" customHeight="1">
      <c r="A49" s="64"/>
      <c r="B49" s="63">
        <f>IFERROR(INDEX('Grocery List'!$B$5:$B$304,MATCH(42,'Grocery List'!$R$5:$R$304,0)),"")</f>
        <v>0</v>
      </c>
      <c r="C49" s="63">
        <f>IFERROR(INDEX('Grocery List'!$D$5:$D$304,MATCH(42,'Grocery List'!$R$5:$R$304,0)),"")</f>
        <v>0</v>
      </c>
      <c r="D49" s="63">
        <f>IFERROR(IF(INDEX('Grocery List'!$N$5:$N$304,MATCH(42,'Grocery List'!$R$5:$R$304,0))="","",ROUND(INDEX('Grocery List'!$N$5:$N$304,MATCH(42,'Grocery List'!$R$5:$R$304,0)),0)&amp;" "&amp;INDEX('Grocery List'!$G$5:$G$304,MATCH(42,'Grocery List'!$R$5:$R$304,0))),"")</f>
        <v>0</v>
      </c>
      <c r="E49" s="62">
        <f>IFERROR(INDEX('Grocery List'!$O$5:$O$304,MATCH(42,'Grocery List'!$R$5:$R$304,0)),"")</f>
        <v>0</v>
      </c>
      <c r="F49" s="63">
        <f>IFERROR(INDEX('Grocery List'!$E$5:$E$304,MATCH(42,'Grocery List'!$R$5:$R$304,0)),"")</f>
        <v>0</v>
      </c>
    </row>
    <row r="50" spans="1:6" ht="18" customHeight="1">
      <c r="A50" s="64"/>
      <c r="B50" s="63">
        <f>IFERROR(INDEX('Grocery List'!$B$5:$B$304,MATCH(43,'Grocery List'!$R$5:$R$304,0)),"")</f>
        <v>0</v>
      </c>
      <c r="C50" s="63">
        <f>IFERROR(INDEX('Grocery List'!$D$5:$D$304,MATCH(43,'Grocery List'!$R$5:$R$304,0)),"")</f>
        <v>0</v>
      </c>
      <c r="D50" s="63">
        <f>IFERROR(IF(INDEX('Grocery List'!$N$5:$N$304,MATCH(43,'Grocery List'!$R$5:$R$304,0))="","",ROUND(INDEX('Grocery List'!$N$5:$N$304,MATCH(43,'Grocery List'!$R$5:$R$304,0)),0)&amp;" "&amp;INDEX('Grocery List'!$G$5:$G$304,MATCH(43,'Grocery List'!$R$5:$R$304,0))),"")</f>
        <v>0</v>
      </c>
      <c r="E50" s="62">
        <f>IFERROR(INDEX('Grocery List'!$O$5:$O$304,MATCH(43,'Grocery List'!$R$5:$R$304,0)),"")</f>
        <v>0</v>
      </c>
      <c r="F50" s="63">
        <f>IFERROR(INDEX('Grocery List'!$E$5:$E$304,MATCH(43,'Grocery List'!$R$5:$R$304,0)),"")</f>
        <v>0</v>
      </c>
    </row>
    <row r="51" spans="1:6" ht="18" customHeight="1">
      <c r="A51" s="64"/>
      <c r="B51" s="63">
        <f>IFERROR(INDEX('Grocery List'!$B$5:$B$304,MATCH(44,'Grocery List'!$R$5:$R$304,0)),"")</f>
        <v>0</v>
      </c>
      <c r="C51" s="63">
        <f>IFERROR(INDEX('Grocery List'!$D$5:$D$304,MATCH(44,'Grocery List'!$R$5:$R$304,0)),"")</f>
        <v>0</v>
      </c>
      <c r="D51" s="63">
        <f>IFERROR(IF(INDEX('Grocery List'!$N$5:$N$304,MATCH(44,'Grocery List'!$R$5:$R$304,0))="","",ROUND(INDEX('Grocery List'!$N$5:$N$304,MATCH(44,'Grocery List'!$R$5:$R$304,0)),0)&amp;" "&amp;INDEX('Grocery List'!$G$5:$G$304,MATCH(44,'Grocery List'!$R$5:$R$304,0))),"")</f>
        <v>0</v>
      </c>
      <c r="E51" s="62">
        <f>IFERROR(INDEX('Grocery List'!$O$5:$O$304,MATCH(44,'Grocery List'!$R$5:$R$304,0)),"")</f>
        <v>0</v>
      </c>
      <c r="F51" s="63">
        <f>IFERROR(INDEX('Grocery List'!$E$5:$E$304,MATCH(44,'Grocery List'!$R$5:$R$304,0)),"")</f>
        <v>0</v>
      </c>
    </row>
    <row r="52" spans="1:6" ht="18" customHeight="1">
      <c r="A52" s="64"/>
      <c r="B52" s="63">
        <f>IFERROR(INDEX('Grocery List'!$B$5:$B$304,MATCH(45,'Grocery List'!$R$5:$R$304,0)),"")</f>
        <v>0</v>
      </c>
      <c r="C52" s="63">
        <f>IFERROR(INDEX('Grocery List'!$D$5:$D$304,MATCH(45,'Grocery List'!$R$5:$R$304,0)),"")</f>
        <v>0</v>
      </c>
      <c r="D52" s="63">
        <f>IFERROR(IF(INDEX('Grocery List'!$N$5:$N$304,MATCH(45,'Grocery List'!$R$5:$R$304,0))="","",ROUND(INDEX('Grocery List'!$N$5:$N$304,MATCH(45,'Grocery List'!$R$5:$R$304,0)),0)&amp;" "&amp;INDEX('Grocery List'!$G$5:$G$304,MATCH(45,'Grocery List'!$R$5:$R$304,0))),"")</f>
        <v>0</v>
      </c>
      <c r="E52" s="62">
        <f>IFERROR(INDEX('Grocery List'!$O$5:$O$304,MATCH(45,'Grocery List'!$R$5:$R$304,0)),"")</f>
        <v>0</v>
      </c>
      <c r="F52" s="63">
        <f>IFERROR(INDEX('Grocery List'!$E$5:$E$304,MATCH(45,'Grocery List'!$R$5:$R$304,0)),"")</f>
        <v>0</v>
      </c>
    </row>
    <row r="53" spans="1:6">
      <c r="A53" s="48" t="s">
        <v>1708</v>
      </c>
      <c r="B53" s="48"/>
      <c r="C53" s="48"/>
      <c r="D53" s="48"/>
      <c r="E53" s="26">
        <f>SUM(E8:E52)</f>
        <v>0</v>
      </c>
      <c r="F53" s="53"/>
    </row>
    <row r="55" spans="1:6" ht="20" customHeight="1">
      <c r="A55" s="7" t="s">
        <v>1743</v>
      </c>
      <c r="B55" s="7"/>
      <c r="C55" s="7"/>
      <c r="D55" s="7"/>
      <c r="E55" s="7"/>
      <c r="F55" s="7"/>
    </row>
    <row r="56" spans="1:6" ht="20" customHeight="1">
      <c r="A56" s="64"/>
      <c r="B56" s="67"/>
      <c r="C56" s="67"/>
      <c r="D56" s="67"/>
      <c r="E56" s="67"/>
      <c r="F56" s="67"/>
    </row>
    <row r="57" spans="1:6" ht="20" customHeight="1">
      <c r="A57" s="64"/>
      <c r="B57" s="67"/>
      <c r="C57" s="67"/>
      <c r="D57" s="67"/>
      <c r="E57" s="67"/>
      <c r="F57" s="67"/>
    </row>
    <row r="58" spans="1:6" ht="20" customHeight="1">
      <c r="A58" s="64"/>
      <c r="B58" s="67"/>
      <c r="C58" s="67"/>
      <c r="D58" s="67"/>
      <c r="E58" s="67"/>
      <c r="F58" s="67"/>
    </row>
    <row r="59" spans="1:6" ht="20" customHeight="1">
      <c r="A59" s="64"/>
      <c r="B59" s="67"/>
      <c r="C59" s="67"/>
      <c r="D59" s="67"/>
      <c r="E59" s="67"/>
      <c r="F59" s="67"/>
    </row>
    <row r="60" spans="1:6" ht="20" customHeight="1">
      <c r="A60" s="64"/>
      <c r="B60" s="67"/>
      <c r="C60" s="67"/>
      <c r="D60" s="67"/>
      <c r="E60" s="67"/>
      <c r="F60" s="67"/>
    </row>
    <row r="61" spans="1:6" ht="20" customHeight="1">
      <c r="A61" s="64"/>
      <c r="B61" s="67"/>
      <c r="C61" s="67"/>
      <c r="D61" s="67"/>
      <c r="E61" s="67"/>
      <c r="F61" s="67"/>
    </row>
    <row r="63" spans="1:6">
      <c r="A63" s="14" t="s">
        <v>1744</v>
      </c>
      <c r="B63" s="14"/>
      <c r="C63" s="14"/>
      <c r="D63" s="14"/>
      <c r="E63" s="14"/>
      <c r="F63" s="14"/>
    </row>
  </sheetData>
  <sheetProtection password="EC7C" sheet="1" objects="1" scenarios="1" formatCells="0" formatColumns="0" formatRows="0" insertRows="0" insertHyperlinks="0" deleteRows="0" autoFilter="0"/>
  <mergeCells count="23">
    <mergeCell ref="A1:C1"/>
    <mergeCell ref="D1:F1"/>
    <mergeCell ref="A2:F2"/>
    <mergeCell ref="A3:B3"/>
    <mergeCell ref="C3:D3"/>
    <mergeCell ref="E3:F3"/>
    <mergeCell ref="A5:C5"/>
    <mergeCell ref="D5:F5"/>
    <mergeCell ref="A53:D53"/>
    <mergeCell ref="A55:F55"/>
    <mergeCell ref="B56:D56"/>
    <mergeCell ref="E56:F56"/>
    <mergeCell ref="B57:D57"/>
    <mergeCell ref="E57:F57"/>
    <mergeCell ref="B58:D58"/>
    <mergeCell ref="E58:F58"/>
    <mergeCell ref="B59:D59"/>
    <mergeCell ref="E59:F59"/>
    <mergeCell ref="B60:D60"/>
    <mergeCell ref="E60:F60"/>
    <mergeCell ref="B61:D61"/>
    <mergeCell ref="E61:F61"/>
    <mergeCell ref="A63:F63"/>
  </mergeCell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&amp;L&amp;"Calibri,Bold"&amp;12&amp;C&amp;"Calibri,Bold"&amp;11Print Shopping&amp;R&amp;"Calibri,Italic"&amp;9Automated Meal Planner &amp; Grocery List Spreadsheet</oddHeader>
    <oddFooter>&amp;L&amp;"Calibri,Italic"&amp;8Novality Store - v1.0.0&amp;C&amp;"Calibri,Italic"&amp;8Page &amp;P of &amp;N&amp;R&amp;"Calibri,Italic"&amp;8&amp;D</oddFooter>
  </headerFooter>
</worksheet>
</file>

<file path=xl/worksheets/sheet35.xml><?xml version="1.0" encoding="utf-8"?>
<worksheet xmlns="http://schemas.openxmlformats.org/spreadsheetml/2006/main" xmlns:r="http://schemas.openxmlformats.org/officeDocument/2006/relationships">
  <sheetPr>
    <tabColor rgb="FFFBE9DC"/>
    <pageSetUpPr fitToPage="1"/>
  </sheetPr>
  <dimension ref="A1:H37"/>
  <sheetViews>
    <sheetView showGridLines="0" workbookViewId="0"/>
  </sheetViews>
  <sheetFormatPr defaultRowHeight="15"/>
  <cols>
    <col min="1" max="1" width="26.7109375" customWidth="1"/>
    <col min="2" max="2" width="14.7109375" customWidth="1"/>
    <col min="3" max="3" width="12.7109375" customWidth="1"/>
    <col min="4" max="4" width="22.7109375" customWidth="1"/>
    <col min="5" max="6" width="16.7109375" customWidth="1"/>
    <col min="8" max="8" width="0" hidden="1" customWidth="1"/>
    <col min="1" max="1" width="26.7109375" customWidth="1"/>
    <col min="2" max="2" width="14.7109375" customWidth="1"/>
    <col min="3" max="3" width="12.7109375" customWidth="1"/>
    <col min="4" max="4" width="22.7109375" customWidth="1"/>
    <col min="5" max="5" width="12.7109375" customWidth="1"/>
  </cols>
  <sheetData>
    <row r="1" spans="1:8" ht="34" customHeight="1">
      <c r="A1" s="2" t="s">
        <v>1745</v>
      </c>
      <c r="B1" s="2"/>
      <c r="C1" s="2"/>
      <c r="D1" s="3" t="s">
        <v>1</v>
      </c>
      <c r="E1" s="3"/>
      <c r="F1" s="3"/>
    </row>
    <row r="2" spans="1:8" ht="18" customHeight="1">
      <c r="A2" s="4"/>
      <c r="B2" s="4"/>
      <c r="C2" s="4"/>
      <c r="D2" s="4"/>
      <c r="E2" s="4"/>
      <c r="F2" s="4"/>
    </row>
    <row r="3" spans="1:8" ht="16" customHeight="1">
      <c r="A3" s="5" t="s">
        <v>3</v>
      </c>
      <c r="B3" s="5"/>
      <c r="C3" s="5" t="s">
        <v>4</v>
      </c>
      <c r="D3" s="5"/>
      <c r="E3" s="5" t="s">
        <v>5</v>
      </c>
      <c r="F3" s="5"/>
    </row>
    <row r="5" spans="1:8">
      <c r="A5" s="11" t="s">
        <v>762</v>
      </c>
      <c r="B5" s="32" t="s">
        <v>887</v>
      </c>
      <c r="C5" s="16" t="s">
        <v>1746</v>
      </c>
      <c r="D5" s="35">
        <v>4</v>
      </c>
      <c r="E5" s="12" t="s">
        <v>1747</v>
      </c>
      <c r="F5" s="12"/>
    </row>
    <row r="6" spans="1:8">
      <c r="H6" s="45">
        <f>IFERROR(CardPeople/INDEX(Recipes!$G$5:$G$204,MATCH(CardRecipe,Recipes!$A$5:$A$204,0)),1)</f>
        <v>0</v>
      </c>
    </row>
    <row r="7" spans="1:8" ht="30" customHeight="1">
      <c r="A7" s="59">
        <f>IFERROR(INDEX(Recipes!$B$5:$B$204,MATCH(CardRecipe,Recipes!$A$5:$A$204,0)),"Choose a recipe above")</f>
        <v>0</v>
      </c>
      <c r="B7" s="59"/>
      <c r="C7" s="59"/>
      <c r="D7" s="59"/>
      <c r="E7" s="59"/>
      <c r="F7" s="59"/>
    </row>
    <row r="8" spans="1:8">
      <c r="A8" s="14">
        <f>IFERROR(INDEX(Recipes!$C$5:$C$204,MATCH(CardRecipe,Recipes!$A$5:$A$204,0))&amp;"  |  "&amp;INDEX(Recipes!$E$5:$E$204,MATCH(CardRecipe,Recipes!$A$5:$A$204,0))&amp;"  |  serves "&amp;TEXT(CardPeople,"0")&amp;"  |  "&amp;TEXT(INDEX(Recipes!$J$5:$J$204,MATCH(CardRecipe,Recipes!$A$5:$A$204,0)),"0")&amp;" minutes  |  "&amp;TEXT(INDEX(Recipes!$AD$5:$AD$204,MATCH(CardRecipe,Recipes!$A$5:$A$204,0))*1,"0.00")&amp;" a serving","")</f>
        <v>0</v>
      </c>
      <c r="B8" s="14"/>
      <c r="C8" s="14"/>
      <c r="D8" s="14"/>
      <c r="E8" s="14"/>
      <c r="F8" s="14"/>
    </row>
    <row r="10" spans="1:8" ht="26" customHeight="1">
      <c r="A10" s="8" t="s">
        <v>870</v>
      </c>
      <c r="B10" s="9" t="s">
        <v>1389</v>
      </c>
      <c r="C10" s="9" t="s">
        <v>664</v>
      </c>
      <c r="D10" s="9" t="s">
        <v>318</v>
      </c>
      <c r="E10" s="9" t="s">
        <v>874</v>
      </c>
    </row>
    <row r="11" spans="1:8" ht="18" customHeight="1">
      <c r="A11" s="63">
        <f>IFERROR(INDEX('Recipe Ingredients'!$D$5:$D$1204,MATCH(CardRecipe&amp;"#"&amp;1,'Recipe Ingredients'!$Z$5:$Z$1204,0)),"")</f>
        <v>0</v>
      </c>
      <c r="B11" s="66">
        <f>IFERROR(ROUND(INDEX('Recipe Ingredients'!$E$5:$E$1204,MATCH(CardRecipe&amp;"#"&amp;1,'Recipe Ingredients'!$Z$5:$Z$1204,0))*CardFactor,2),"")</f>
        <v>0</v>
      </c>
      <c r="C11" s="63">
        <f>IFERROR(INDEX('Recipe Ingredients'!$F$5:$F$1204,MATCH(CardRecipe&amp;"#"&amp;1,'Recipe Ingredients'!$Z$5:$Z$1204,0)),"")</f>
        <v>0</v>
      </c>
      <c r="D11" s="63">
        <f>IFERROR(INDEX('Recipe Ingredients'!$G$5:$G$1204,MATCH(CardRecipe&amp;"#"&amp;1,'Recipe Ingredients'!$Z$5:$Z$1204,0)),"")</f>
        <v>0</v>
      </c>
      <c r="E11" s="63">
        <f>IFERROR(INDEX('Recipe Ingredients'!$I$5:$I$1204,MATCH(CardRecipe&amp;"#"&amp;1,'Recipe Ingredients'!$Z$5:$Z$1204,0)),"")</f>
        <v>0</v>
      </c>
    </row>
    <row r="12" spans="1:8" ht="18" customHeight="1">
      <c r="A12" s="63">
        <f>IFERROR(INDEX('Recipe Ingredients'!$D$5:$D$1204,MATCH(CardRecipe&amp;"#"&amp;2,'Recipe Ingredients'!$Z$5:$Z$1204,0)),"")</f>
        <v>0</v>
      </c>
      <c r="B12" s="66">
        <f>IFERROR(ROUND(INDEX('Recipe Ingredients'!$E$5:$E$1204,MATCH(CardRecipe&amp;"#"&amp;2,'Recipe Ingredients'!$Z$5:$Z$1204,0))*CardFactor,2),"")</f>
        <v>0</v>
      </c>
      <c r="C12" s="63">
        <f>IFERROR(INDEX('Recipe Ingredients'!$F$5:$F$1204,MATCH(CardRecipe&amp;"#"&amp;2,'Recipe Ingredients'!$Z$5:$Z$1204,0)),"")</f>
        <v>0</v>
      </c>
      <c r="D12" s="63">
        <f>IFERROR(INDEX('Recipe Ingredients'!$G$5:$G$1204,MATCH(CardRecipe&amp;"#"&amp;2,'Recipe Ingredients'!$Z$5:$Z$1204,0)),"")</f>
        <v>0</v>
      </c>
      <c r="E12" s="63">
        <f>IFERROR(INDEX('Recipe Ingredients'!$I$5:$I$1204,MATCH(CardRecipe&amp;"#"&amp;2,'Recipe Ingredients'!$Z$5:$Z$1204,0)),"")</f>
        <v>0</v>
      </c>
    </row>
    <row r="13" spans="1:8" ht="18" customHeight="1">
      <c r="A13" s="63">
        <f>IFERROR(INDEX('Recipe Ingredients'!$D$5:$D$1204,MATCH(CardRecipe&amp;"#"&amp;3,'Recipe Ingredients'!$Z$5:$Z$1204,0)),"")</f>
        <v>0</v>
      </c>
      <c r="B13" s="66">
        <f>IFERROR(ROUND(INDEX('Recipe Ingredients'!$E$5:$E$1204,MATCH(CardRecipe&amp;"#"&amp;3,'Recipe Ingredients'!$Z$5:$Z$1204,0))*CardFactor,2),"")</f>
        <v>0</v>
      </c>
      <c r="C13" s="63">
        <f>IFERROR(INDEX('Recipe Ingredients'!$F$5:$F$1204,MATCH(CardRecipe&amp;"#"&amp;3,'Recipe Ingredients'!$Z$5:$Z$1204,0)),"")</f>
        <v>0</v>
      </c>
      <c r="D13" s="63">
        <f>IFERROR(INDEX('Recipe Ingredients'!$G$5:$G$1204,MATCH(CardRecipe&amp;"#"&amp;3,'Recipe Ingredients'!$Z$5:$Z$1204,0)),"")</f>
        <v>0</v>
      </c>
      <c r="E13" s="63">
        <f>IFERROR(INDEX('Recipe Ingredients'!$I$5:$I$1204,MATCH(CardRecipe&amp;"#"&amp;3,'Recipe Ingredients'!$Z$5:$Z$1204,0)),"")</f>
        <v>0</v>
      </c>
    </row>
    <row r="14" spans="1:8" ht="18" customHeight="1">
      <c r="A14" s="63">
        <f>IFERROR(INDEX('Recipe Ingredients'!$D$5:$D$1204,MATCH(CardRecipe&amp;"#"&amp;4,'Recipe Ingredients'!$Z$5:$Z$1204,0)),"")</f>
        <v>0</v>
      </c>
      <c r="B14" s="66">
        <f>IFERROR(ROUND(INDEX('Recipe Ingredients'!$E$5:$E$1204,MATCH(CardRecipe&amp;"#"&amp;4,'Recipe Ingredients'!$Z$5:$Z$1204,0))*CardFactor,2),"")</f>
        <v>0</v>
      </c>
      <c r="C14" s="63">
        <f>IFERROR(INDEX('Recipe Ingredients'!$F$5:$F$1204,MATCH(CardRecipe&amp;"#"&amp;4,'Recipe Ingredients'!$Z$5:$Z$1204,0)),"")</f>
        <v>0</v>
      </c>
      <c r="D14" s="63">
        <f>IFERROR(INDEX('Recipe Ingredients'!$G$5:$G$1204,MATCH(CardRecipe&amp;"#"&amp;4,'Recipe Ingredients'!$Z$5:$Z$1204,0)),"")</f>
        <v>0</v>
      </c>
      <c r="E14" s="63">
        <f>IFERROR(INDEX('Recipe Ingredients'!$I$5:$I$1204,MATCH(CardRecipe&amp;"#"&amp;4,'Recipe Ingredients'!$Z$5:$Z$1204,0)),"")</f>
        <v>0</v>
      </c>
    </row>
    <row r="15" spans="1:8" ht="18" customHeight="1">
      <c r="A15" s="63">
        <f>IFERROR(INDEX('Recipe Ingredients'!$D$5:$D$1204,MATCH(CardRecipe&amp;"#"&amp;5,'Recipe Ingredients'!$Z$5:$Z$1204,0)),"")</f>
        <v>0</v>
      </c>
      <c r="B15" s="66">
        <f>IFERROR(ROUND(INDEX('Recipe Ingredients'!$E$5:$E$1204,MATCH(CardRecipe&amp;"#"&amp;5,'Recipe Ingredients'!$Z$5:$Z$1204,0))*CardFactor,2),"")</f>
        <v>0</v>
      </c>
      <c r="C15" s="63">
        <f>IFERROR(INDEX('Recipe Ingredients'!$F$5:$F$1204,MATCH(CardRecipe&amp;"#"&amp;5,'Recipe Ingredients'!$Z$5:$Z$1204,0)),"")</f>
        <v>0</v>
      </c>
      <c r="D15" s="63">
        <f>IFERROR(INDEX('Recipe Ingredients'!$G$5:$G$1204,MATCH(CardRecipe&amp;"#"&amp;5,'Recipe Ingredients'!$Z$5:$Z$1204,0)),"")</f>
        <v>0</v>
      </c>
      <c r="E15" s="63">
        <f>IFERROR(INDEX('Recipe Ingredients'!$I$5:$I$1204,MATCH(CardRecipe&amp;"#"&amp;5,'Recipe Ingredients'!$Z$5:$Z$1204,0)),"")</f>
        <v>0</v>
      </c>
    </row>
    <row r="16" spans="1:8" ht="18" customHeight="1">
      <c r="A16" s="63">
        <f>IFERROR(INDEX('Recipe Ingredients'!$D$5:$D$1204,MATCH(CardRecipe&amp;"#"&amp;6,'Recipe Ingredients'!$Z$5:$Z$1204,0)),"")</f>
        <v>0</v>
      </c>
      <c r="B16" s="66">
        <f>IFERROR(ROUND(INDEX('Recipe Ingredients'!$E$5:$E$1204,MATCH(CardRecipe&amp;"#"&amp;6,'Recipe Ingredients'!$Z$5:$Z$1204,0))*CardFactor,2),"")</f>
        <v>0</v>
      </c>
      <c r="C16" s="63">
        <f>IFERROR(INDEX('Recipe Ingredients'!$F$5:$F$1204,MATCH(CardRecipe&amp;"#"&amp;6,'Recipe Ingredients'!$Z$5:$Z$1204,0)),"")</f>
        <v>0</v>
      </c>
      <c r="D16" s="63">
        <f>IFERROR(INDEX('Recipe Ingredients'!$G$5:$G$1204,MATCH(CardRecipe&amp;"#"&amp;6,'Recipe Ingredients'!$Z$5:$Z$1204,0)),"")</f>
        <v>0</v>
      </c>
      <c r="E16" s="63">
        <f>IFERROR(INDEX('Recipe Ingredients'!$I$5:$I$1204,MATCH(CardRecipe&amp;"#"&amp;6,'Recipe Ingredients'!$Z$5:$Z$1204,0)),"")</f>
        <v>0</v>
      </c>
    </row>
    <row r="17" spans="1:6" ht="18" customHeight="1">
      <c r="A17" s="63">
        <f>IFERROR(INDEX('Recipe Ingredients'!$D$5:$D$1204,MATCH(CardRecipe&amp;"#"&amp;7,'Recipe Ingredients'!$Z$5:$Z$1204,0)),"")</f>
        <v>0</v>
      </c>
      <c r="B17" s="66">
        <f>IFERROR(ROUND(INDEX('Recipe Ingredients'!$E$5:$E$1204,MATCH(CardRecipe&amp;"#"&amp;7,'Recipe Ingredients'!$Z$5:$Z$1204,0))*CardFactor,2),"")</f>
        <v>0</v>
      </c>
      <c r="C17" s="63">
        <f>IFERROR(INDEX('Recipe Ingredients'!$F$5:$F$1204,MATCH(CardRecipe&amp;"#"&amp;7,'Recipe Ingredients'!$Z$5:$Z$1204,0)),"")</f>
        <v>0</v>
      </c>
      <c r="D17" s="63">
        <f>IFERROR(INDEX('Recipe Ingredients'!$G$5:$G$1204,MATCH(CardRecipe&amp;"#"&amp;7,'Recipe Ingredients'!$Z$5:$Z$1204,0)),"")</f>
        <v>0</v>
      </c>
      <c r="E17" s="63">
        <f>IFERROR(INDEX('Recipe Ingredients'!$I$5:$I$1204,MATCH(CardRecipe&amp;"#"&amp;7,'Recipe Ingredients'!$Z$5:$Z$1204,0)),"")</f>
        <v>0</v>
      </c>
    </row>
    <row r="18" spans="1:6" ht="18" customHeight="1">
      <c r="A18" s="63">
        <f>IFERROR(INDEX('Recipe Ingredients'!$D$5:$D$1204,MATCH(CardRecipe&amp;"#"&amp;8,'Recipe Ingredients'!$Z$5:$Z$1204,0)),"")</f>
        <v>0</v>
      </c>
      <c r="B18" s="66">
        <f>IFERROR(ROUND(INDEX('Recipe Ingredients'!$E$5:$E$1204,MATCH(CardRecipe&amp;"#"&amp;8,'Recipe Ingredients'!$Z$5:$Z$1204,0))*CardFactor,2),"")</f>
        <v>0</v>
      </c>
      <c r="C18" s="63">
        <f>IFERROR(INDEX('Recipe Ingredients'!$F$5:$F$1204,MATCH(CardRecipe&amp;"#"&amp;8,'Recipe Ingredients'!$Z$5:$Z$1204,0)),"")</f>
        <v>0</v>
      </c>
      <c r="D18" s="63">
        <f>IFERROR(INDEX('Recipe Ingredients'!$G$5:$G$1204,MATCH(CardRecipe&amp;"#"&amp;8,'Recipe Ingredients'!$Z$5:$Z$1204,0)),"")</f>
        <v>0</v>
      </c>
      <c r="E18" s="63">
        <f>IFERROR(INDEX('Recipe Ingredients'!$I$5:$I$1204,MATCH(CardRecipe&amp;"#"&amp;8,'Recipe Ingredients'!$Z$5:$Z$1204,0)),"")</f>
        <v>0</v>
      </c>
    </row>
    <row r="19" spans="1:6" ht="18" customHeight="1">
      <c r="A19" s="63">
        <f>IFERROR(INDEX('Recipe Ingredients'!$D$5:$D$1204,MATCH(CardRecipe&amp;"#"&amp;9,'Recipe Ingredients'!$Z$5:$Z$1204,0)),"")</f>
        <v>0</v>
      </c>
      <c r="B19" s="66">
        <f>IFERROR(ROUND(INDEX('Recipe Ingredients'!$E$5:$E$1204,MATCH(CardRecipe&amp;"#"&amp;9,'Recipe Ingredients'!$Z$5:$Z$1204,0))*CardFactor,2),"")</f>
        <v>0</v>
      </c>
      <c r="C19" s="63">
        <f>IFERROR(INDEX('Recipe Ingredients'!$F$5:$F$1204,MATCH(CardRecipe&amp;"#"&amp;9,'Recipe Ingredients'!$Z$5:$Z$1204,0)),"")</f>
        <v>0</v>
      </c>
      <c r="D19" s="63">
        <f>IFERROR(INDEX('Recipe Ingredients'!$G$5:$G$1204,MATCH(CardRecipe&amp;"#"&amp;9,'Recipe Ingredients'!$Z$5:$Z$1204,0)),"")</f>
        <v>0</v>
      </c>
      <c r="E19" s="63">
        <f>IFERROR(INDEX('Recipe Ingredients'!$I$5:$I$1204,MATCH(CardRecipe&amp;"#"&amp;9,'Recipe Ingredients'!$Z$5:$Z$1204,0)),"")</f>
        <v>0</v>
      </c>
    </row>
    <row r="20" spans="1:6" ht="18" customHeight="1">
      <c r="A20" s="63">
        <f>IFERROR(INDEX('Recipe Ingredients'!$D$5:$D$1204,MATCH(CardRecipe&amp;"#"&amp;10,'Recipe Ingredients'!$Z$5:$Z$1204,0)),"")</f>
        <v>0</v>
      </c>
      <c r="B20" s="66">
        <f>IFERROR(ROUND(INDEX('Recipe Ingredients'!$E$5:$E$1204,MATCH(CardRecipe&amp;"#"&amp;10,'Recipe Ingredients'!$Z$5:$Z$1204,0))*CardFactor,2),"")</f>
        <v>0</v>
      </c>
      <c r="C20" s="63">
        <f>IFERROR(INDEX('Recipe Ingredients'!$F$5:$F$1204,MATCH(CardRecipe&amp;"#"&amp;10,'Recipe Ingredients'!$Z$5:$Z$1204,0)),"")</f>
        <v>0</v>
      </c>
      <c r="D20" s="63">
        <f>IFERROR(INDEX('Recipe Ingredients'!$G$5:$G$1204,MATCH(CardRecipe&amp;"#"&amp;10,'Recipe Ingredients'!$Z$5:$Z$1204,0)),"")</f>
        <v>0</v>
      </c>
      <c r="E20" s="63">
        <f>IFERROR(INDEX('Recipe Ingredients'!$I$5:$I$1204,MATCH(CardRecipe&amp;"#"&amp;10,'Recipe Ingredients'!$Z$5:$Z$1204,0)),"")</f>
        <v>0</v>
      </c>
    </row>
    <row r="21" spans="1:6" ht="18" customHeight="1">
      <c r="A21" s="63">
        <f>IFERROR(INDEX('Recipe Ingredients'!$D$5:$D$1204,MATCH(CardRecipe&amp;"#"&amp;11,'Recipe Ingredients'!$Z$5:$Z$1204,0)),"")</f>
        <v>0</v>
      </c>
      <c r="B21" s="66">
        <f>IFERROR(ROUND(INDEX('Recipe Ingredients'!$E$5:$E$1204,MATCH(CardRecipe&amp;"#"&amp;11,'Recipe Ingredients'!$Z$5:$Z$1204,0))*CardFactor,2),"")</f>
        <v>0</v>
      </c>
      <c r="C21" s="63">
        <f>IFERROR(INDEX('Recipe Ingredients'!$F$5:$F$1204,MATCH(CardRecipe&amp;"#"&amp;11,'Recipe Ingredients'!$Z$5:$Z$1204,0)),"")</f>
        <v>0</v>
      </c>
      <c r="D21" s="63">
        <f>IFERROR(INDEX('Recipe Ingredients'!$G$5:$G$1204,MATCH(CardRecipe&amp;"#"&amp;11,'Recipe Ingredients'!$Z$5:$Z$1204,0)),"")</f>
        <v>0</v>
      </c>
      <c r="E21" s="63">
        <f>IFERROR(INDEX('Recipe Ingredients'!$I$5:$I$1204,MATCH(CardRecipe&amp;"#"&amp;11,'Recipe Ingredients'!$Z$5:$Z$1204,0)),"")</f>
        <v>0</v>
      </c>
    </row>
    <row r="22" spans="1:6" ht="18" customHeight="1">
      <c r="A22" s="63">
        <f>IFERROR(INDEX('Recipe Ingredients'!$D$5:$D$1204,MATCH(CardRecipe&amp;"#"&amp;12,'Recipe Ingredients'!$Z$5:$Z$1204,0)),"")</f>
        <v>0</v>
      </c>
      <c r="B22" s="66">
        <f>IFERROR(ROUND(INDEX('Recipe Ingredients'!$E$5:$E$1204,MATCH(CardRecipe&amp;"#"&amp;12,'Recipe Ingredients'!$Z$5:$Z$1204,0))*CardFactor,2),"")</f>
        <v>0</v>
      </c>
      <c r="C22" s="63">
        <f>IFERROR(INDEX('Recipe Ingredients'!$F$5:$F$1204,MATCH(CardRecipe&amp;"#"&amp;12,'Recipe Ingredients'!$Z$5:$Z$1204,0)),"")</f>
        <v>0</v>
      </c>
      <c r="D22" s="63">
        <f>IFERROR(INDEX('Recipe Ingredients'!$G$5:$G$1204,MATCH(CardRecipe&amp;"#"&amp;12,'Recipe Ingredients'!$Z$5:$Z$1204,0)),"")</f>
        <v>0</v>
      </c>
      <c r="E22" s="63">
        <f>IFERROR(INDEX('Recipe Ingredients'!$I$5:$I$1204,MATCH(CardRecipe&amp;"#"&amp;12,'Recipe Ingredients'!$Z$5:$Z$1204,0)),"")</f>
        <v>0</v>
      </c>
    </row>
    <row r="23" spans="1:6" ht="18" customHeight="1">
      <c r="A23" s="63">
        <f>IFERROR(INDEX('Recipe Ingredients'!$D$5:$D$1204,MATCH(CardRecipe&amp;"#"&amp;13,'Recipe Ingredients'!$Z$5:$Z$1204,0)),"")</f>
        <v>0</v>
      </c>
      <c r="B23" s="66">
        <f>IFERROR(ROUND(INDEX('Recipe Ingredients'!$E$5:$E$1204,MATCH(CardRecipe&amp;"#"&amp;13,'Recipe Ingredients'!$Z$5:$Z$1204,0))*CardFactor,2),"")</f>
        <v>0</v>
      </c>
      <c r="C23" s="63">
        <f>IFERROR(INDEX('Recipe Ingredients'!$F$5:$F$1204,MATCH(CardRecipe&amp;"#"&amp;13,'Recipe Ingredients'!$Z$5:$Z$1204,0)),"")</f>
        <v>0</v>
      </c>
      <c r="D23" s="63">
        <f>IFERROR(INDEX('Recipe Ingredients'!$G$5:$G$1204,MATCH(CardRecipe&amp;"#"&amp;13,'Recipe Ingredients'!$Z$5:$Z$1204,0)),"")</f>
        <v>0</v>
      </c>
      <c r="E23" s="63">
        <f>IFERROR(INDEX('Recipe Ingredients'!$I$5:$I$1204,MATCH(CardRecipe&amp;"#"&amp;13,'Recipe Ingredients'!$Z$5:$Z$1204,0)),"")</f>
        <v>0</v>
      </c>
    </row>
    <row r="24" spans="1:6" ht="18" customHeight="1">
      <c r="A24" s="63">
        <f>IFERROR(INDEX('Recipe Ingredients'!$D$5:$D$1204,MATCH(CardRecipe&amp;"#"&amp;14,'Recipe Ingredients'!$Z$5:$Z$1204,0)),"")</f>
        <v>0</v>
      </c>
      <c r="B24" s="66">
        <f>IFERROR(ROUND(INDEX('Recipe Ingredients'!$E$5:$E$1204,MATCH(CardRecipe&amp;"#"&amp;14,'Recipe Ingredients'!$Z$5:$Z$1204,0))*CardFactor,2),"")</f>
        <v>0</v>
      </c>
      <c r="C24" s="63">
        <f>IFERROR(INDEX('Recipe Ingredients'!$F$5:$F$1204,MATCH(CardRecipe&amp;"#"&amp;14,'Recipe Ingredients'!$Z$5:$Z$1204,0)),"")</f>
        <v>0</v>
      </c>
      <c r="D24" s="63">
        <f>IFERROR(INDEX('Recipe Ingredients'!$G$5:$G$1204,MATCH(CardRecipe&amp;"#"&amp;14,'Recipe Ingredients'!$Z$5:$Z$1204,0)),"")</f>
        <v>0</v>
      </c>
      <c r="E24" s="63">
        <f>IFERROR(INDEX('Recipe Ingredients'!$I$5:$I$1204,MATCH(CardRecipe&amp;"#"&amp;14,'Recipe Ingredients'!$Z$5:$Z$1204,0)),"")</f>
        <v>0</v>
      </c>
    </row>
    <row r="25" spans="1:6" ht="18" customHeight="1">
      <c r="A25" s="63">
        <f>IFERROR(INDEX('Recipe Ingredients'!$D$5:$D$1204,MATCH(CardRecipe&amp;"#"&amp;15,'Recipe Ingredients'!$Z$5:$Z$1204,0)),"")</f>
        <v>0</v>
      </c>
      <c r="B25" s="66">
        <f>IFERROR(ROUND(INDEX('Recipe Ingredients'!$E$5:$E$1204,MATCH(CardRecipe&amp;"#"&amp;15,'Recipe Ingredients'!$Z$5:$Z$1204,0))*CardFactor,2),"")</f>
        <v>0</v>
      </c>
      <c r="C25" s="63">
        <f>IFERROR(INDEX('Recipe Ingredients'!$F$5:$F$1204,MATCH(CardRecipe&amp;"#"&amp;15,'Recipe Ingredients'!$Z$5:$Z$1204,0)),"")</f>
        <v>0</v>
      </c>
      <c r="D25" s="63">
        <f>IFERROR(INDEX('Recipe Ingredients'!$G$5:$G$1204,MATCH(CardRecipe&amp;"#"&amp;15,'Recipe Ingredients'!$Z$5:$Z$1204,0)),"")</f>
        <v>0</v>
      </c>
      <c r="E25" s="63">
        <f>IFERROR(INDEX('Recipe Ingredients'!$I$5:$I$1204,MATCH(CardRecipe&amp;"#"&amp;15,'Recipe Ingredients'!$Z$5:$Z$1204,0)),"")</f>
        <v>0</v>
      </c>
    </row>
    <row r="26" spans="1:6" ht="18" customHeight="1">
      <c r="A26" s="63">
        <f>IFERROR(INDEX('Recipe Ingredients'!$D$5:$D$1204,MATCH(CardRecipe&amp;"#"&amp;16,'Recipe Ingredients'!$Z$5:$Z$1204,0)),"")</f>
        <v>0</v>
      </c>
      <c r="B26" s="66">
        <f>IFERROR(ROUND(INDEX('Recipe Ingredients'!$E$5:$E$1204,MATCH(CardRecipe&amp;"#"&amp;16,'Recipe Ingredients'!$Z$5:$Z$1204,0))*CardFactor,2),"")</f>
        <v>0</v>
      </c>
      <c r="C26" s="63">
        <f>IFERROR(INDEX('Recipe Ingredients'!$F$5:$F$1204,MATCH(CardRecipe&amp;"#"&amp;16,'Recipe Ingredients'!$Z$5:$Z$1204,0)),"")</f>
        <v>0</v>
      </c>
      <c r="D26" s="63">
        <f>IFERROR(INDEX('Recipe Ingredients'!$G$5:$G$1204,MATCH(CardRecipe&amp;"#"&amp;16,'Recipe Ingredients'!$Z$5:$Z$1204,0)),"")</f>
        <v>0</v>
      </c>
      <c r="E26" s="63">
        <f>IFERROR(INDEX('Recipe Ingredients'!$I$5:$I$1204,MATCH(CardRecipe&amp;"#"&amp;16,'Recipe Ingredients'!$Z$5:$Z$1204,0)),"")</f>
        <v>0</v>
      </c>
    </row>
    <row r="28" spans="1:6" ht="20" customHeight="1">
      <c r="A28" s="7" t="s">
        <v>771</v>
      </c>
      <c r="B28" s="7"/>
      <c r="C28" s="7"/>
      <c r="D28" s="7"/>
      <c r="E28" s="7"/>
      <c r="F28" s="7"/>
    </row>
    <row r="29" spans="1:6" ht="90" customHeight="1">
      <c r="A29" s="61">
        <f>IFERROR(INDEX(Recipes!$AA$5:$AA$204,MATCH(CardRecipe,Recipes!$A$5:$A$204,0)),"")</f>
        <v>0</v>
      </c>
      <c r="B29" s="61"/>
      <c r="C29" s="61"/>
      <c r="D29" s="61"/>
      <c r="E29" s="61"/>
      <c r="F29" s="61"/>
    </row>
    <row r="31" spans="1:6" ht="20" customHeight="1">
      <c r="A31" s="7" t="s">
        <v>1748</v>
      </c>
      <c r="B31" s="7"/>
      <c r="C31" s="7"/>
      <c r="D31" s="7"/>
      <c r="E31" s="7"/>
      <c r="F31" s="7"/>
    </row>
    <row r="32" spans="1:6" ht="26" customHeight="1">
      <c r="A32" s="8" t="s">
        <v>138</v>
      </c>
      <c r="B32" s="9" t="s">
        <v>881</v>
      </c>
      <c r="C32" s="9" t="s">
        <v>253</v>
      </c>
      <c r="D32" s="9" t="s">
        <v>789</v>
      </c>
      <c r="E32" s="9" t="s">
        <v>255</v>
      </c>
      <c r="F32" s="9" t="s">
        <v>256</v>
      </c>
    </row>
    <row r="33" spans="1:6">
      <c r="A33" s="62">
        <f>IFERROR(INDEX(Recipes!$AD$5:$AD$204,MATCH(CardRecipe,Recipes!$A$5:$A$204,0)),"")</f>
        <v>0</v>
      </c>
      <c r="B33" s="68">
        <f>IFERROR(INDEX(Recipes!$AE$5:$AE$204,MATCH(CardRecipe,Recipes!$A$5:$A$204,0)),"")</f>
        <v>0</v>
      </c>
      <c r="C33" s="66">
        <f>IFERROR(INDEX(Recipes!$AF$5:$AF$204,MATCH(CardRecipe,Recipes!$A$5:$A$204,0)),"")</f>
        <v>0</v>
      </c>
      <c r="D33" s="66">
        <f>IFERROR(INDEX(Recipes!$AG$5:$AG$204,MATCH(CardRecipe,Recipes!$A$5:$A$204,0)),"")</f>
        <v>0</v>
      </c>
      <c r="E33" s="66">
        <f>IFERROR(INDEX(Recipes!$AH$5:$AH$204,MATCH(CardRecipe,Recipes!$A$5:$A$204,0)),"")</f>
        <v>0</v>
      </c>
      <c r="F33" s="66">
        <f>IFERROR(INDEX(Recipes!$AI$5:$AI$204,MATCH(CardRecipe,Recipes!$A$5:$A$204,0)),"")</f>
        <v>0</v>
      </c>
    </row>
    <row r="35" spans="1:6" ht="32" customHeight="1">
      <c r="A35" s="6">
        <f>IFERROR("Allergens: "&amp;INDEX(Recipes!$AJ$5:$AJ$204,MATCH(CardRecipe,Recipes!$A$5:$A$204,0))&amp;"   |   Notes: "&amp;INDEX(Recipes!$BD$5:$BD$204,MATCH(CardRecipe,Recipes!$A$5:$A$204,0)),"")</f>
        <v>0</v>
      </c>
      <c r="B35" s="6"/>
      <c r="C35" s="6"/>
      <c r="D35" s="6"/>
      <c r="E35" s="6"/>
      <c r="F35" s="6"/>
    </row>
    <row r="37" spans="1:6">
      <c r="A37" s="14">
        <f>HouseName&amp;"  |  Automated Meal Planner &amp; Grocery List Spreadsheet  |  "&amp;TEXT(TODAY(),"d mmm yyyy")</f>
        <v>0</v>
      </c>
      <c r="B37" s="14"/>
      <c r="C37" s="14"/>
      <c r="D37" s="14"/>
      <c r="E37" s="14"/>
      <c r="F37" s="14"/>
    </row>
  </sheetData>
  <sheetProtection password="EC7C" sheet="1" objects="1" scenarios="1" formatCells="0" formatColumns="0" formatRows="0" insertRows="0" insertHyperlinks="0" deleteRows="0" autoFilter="0"/>
  <mergeCells count="14">
    <mergeCell ref="A1:C1"/>
    <mergeCell ref="D1:F1"/>
    <mergeCell ref="A2:F2"/>
    <mergeCell ref="A3:B3"/>
    <mergeCell ref="C3:D3"/>
    <mergeCell ref="E3:F3"/>
    <mergeCell ref="E5:F5"/>
    <mergeCell ref="A7:F7"/>
    <mergeCell ref="A8:F8"/>
    <mergeCell ref="A28:F28"/>
    <mergeCell ref="A29:F29"/>
    <mergeCell ref="A31:F31"/>
    <mergeCell ref="A35:F35"/>
    <mergeCell ref="A37:F37"/>
  </mergeCells>
  <dataValidations count="2">
    <dataValidation type="list" allowBlank="1" showInputMessage="1" showErrorMessage="1" sqref="B5">
      <formula1>RecipeIDs</formula1>
    </dataValidation>
    <dataValidation type="whole" allowBlank="1" showInputMessage="1" showErrorMessage="1" errorTitle="Check the value" error="Enter a number between 1 and 200." sqref="D5">
      <formula1>1</formula1>
      <formula2>200</formula2>
    </dataValidation>
  </dataValidation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&amp;L&amp;"Calibri,Bold"&amp;12&amp;C&amp;"Calibri,Bold"&amp;11Print Recipe&amp;R&amp;"Calibri,Italic"&amp;9Automated Meal Planner &amp; Grocery List Spreadsheet</oddHeader>
    <oddFooter>&amp;L&amp;"Calibri,Italic"&amp;8Novality Store - v1.0.0&amp;C&amp;"Calibri,Italic"&amp;8Page &amp;P of &amp;N&amp;R&amp;"Calibri,Italic"&amp;8&amp;D</oddFooter>
  </headerFooter>
</worksheet>
</file>

<file path=xl/worksheets/sheet36.xml><?xml version="1.0" encoding="utf-8"?>
<worksheet xmlns="http://schemas.openxmlformats.org/spreadsheetml/2006/main" xmlns:r="http://schemas.openxmlformats.org/officeDocument/2006/relationships">
  <sheetPr>
    <tabColor rgb="FF1E2C22"/>
    <pageSetUpPr fitToPage="1"/>
  </sheetPr>
  <dimension ref="A1:H102"/>
  <sheetViews>
    <sheetView showGridLines="0" workbookViewId="0">
      <pane ySplit="4" topLeftCell="A5" activePane="bottomLeft" state="frozen"/>
      <selection pane="bottomLeft"/>
    </sheetView>
  </sheetViews>
  <sheetFormatPr defaultRowHeight="15"/>
  <cols>
    <col min="1" max="1" width="24.7109375" customWidth="1"/>
    <col min="2" max="8" width="16.7109375" customWidth="1"/>
    <col min="1" max="1" width="24.7109375" customWidth="1"/>
    <col min="2" max="2" width="16.7109375" customWidth="1"/>
    <col min="1" max="1" width="24.7109375" customWidth="1"/>
    <col min="2" max="2" width="16.7109375" customWidth="1"/>
    <col min="1" max="1" width="24.7109375" customWidth="1"/>
    <col min="2" max="2" width="16.7109375" customWidth="1"/>
  </cols>
  <sheetData>
    <row r="1" spans="1:8" ht="34" customHeight="1">
      <c r="A1" s="2" t="s">
        <v>1749</v>
      </c>
      <c r="B1" s="2"/>
      <c r="C1" s="2"/>
      <c r="D1" s="2"/>
      <c r="E1" s="2"/>
      <c r="F1" s="3" t="s">
        <v>1</v>
      </c>
      <c r="G1" s="3"/>
      <c r="H1" s="3"/>
    </row>
    <row r="2" spans="1:8" ht="18" customHeight="1">
      <c r="A2" s="4" t="s">
        <v>1750</v>
      </c>
      <c r="B2" s="4"/>
      <c r="C2" s="4"/>
      <c r="D2" s="4"/>
      <c r="E2" s="4"/>
      <c r="F2" s="4"/>
      <c r="G2" s="4"/>
      <c r="H2" s="4"/>
    </row>
    <row r="3" spans="1:8" ht="16" customHeight="1">
      <c r="A3" s="5" t="s">
        <v>3</v>
      </c>
      <c r="B3" s="5"/>
      <c r="C3" s="5" t="s">
        <v>4</v>
      </c>
      <c r="D3" s="5"/>
      <c r="E3" s="5" t="s">
        <v>5</v>
      </c>
      <c r="F3" s="5"/>
      <c r="G3" s="5" t="s">
        <v>6</v>
      </c>
      <c r="H3" s="5"/>
    </row>
    <row r="5" spans="1:8" ht="44" customHeight="1">
      <c r="A5" s="6" t="s">
        <v>1751</v>
      </c>
      <c r="B5" s="6"/>
      <c r="C5" s="6"/>
      <c r="D5" s="6"/>
      <c r="E5" s="6"/>
      <c r="F5" s="6"/>
      <c r="G5" s="6"/>
      <c r="H5" s="6"/>
    </row>
    <row r="7" spans="1:8" ht="20" customHeight="1">
      <c r="A7" s="7" t="s">
        <v>1752</v>
      </c>
      <c r="B7" s="7"/>
      <c r="C7" s="7"/>
      <c r="D7" s="7"/>
      <c r="E7" s="7"/>
      <c r="F7" s="7"/>
      <c r="G7" s="7"/>
      <c r="H7" s="7"/>
    </row>
    <row r="8" spans="1:8" ht="32" customHeight="1">
      <c r="A8" s="11" t="s">
        <v>1753</v>
      </c>
      <c r="B8" s="12" t="s">
        <v>1754</v>
      </c>
      <c r="C8" s="12"/>
      <c r="D8" s="12"/>
      <c r="E8" s="12"/>
      <c r="F8" s="12"/>
      <c r="G8" s="12"/>
      <c r="H8" s="12"/>
    </row>
    <row r="9" spans="1:8" ht="32" customHeight="1">
      <c r="A9" s="11" t="s">
        <v>1755</v>
      </c>
      <c r="B9" s="12" t="s">
        <v>1756</v>
      </c>
      <c r="C9" s="12"/>
      <c r="D9" s="12"/>
      <c r="E9" s="12"/>
      <c r="F9" s="12"/>
      <c r="G9" s="12"/>
      <c r="H9" s="12"/>
    </row>
    <row r="10" spans="1:8" ht="32" customHeight="1">
      <c r="A10" s="11" t="s">
        <v>1757</v>
      </c>
      <c r="B10" s="12" t="s">
        <v>1758</v>
      </c>
      <c r="C10" s="12"/>
      <c r="D10" s="12"/>
      <c r="E10" s="12"/>
      <c r="F10" s="12"/>
      <c r="G10" s="12"/>
      <c r="H10" s="12"/>
    </row>
    <row r="11" spans="1:8" ht="32" customHeight="1">
      <c r="A11" s="11" t="s">
        <v>1759</v>
      </c>
      <c r="B11" s="12" t="s">
        <v>1760</v>
      </c>
      <c r="C11" s="12"/>
      <c r="D11" s="12"/>
      <c r="E11" s="12"/>
      <c r="F11" s="12"/>
      <c r="G11" s="12"/>
      <c r="H11" s="12"/>
    </row>
    <row r="12" spans="1:8" ht="32" customHeight="1">
      <c r="A12" s="11" t="s">
        <v>1761</v>
      </c>
      <c r="B12" s="12" t="s">
        <v>1762</v>
      </c>
      <c r="C12" s="12"/>
      <c r="D12" s="12"/>
      <c r="E12" s="12"/>
      <c r="F12" s="12"/>
      <c r="G12" s="12"/>
      <c r="H12" s="12"/>
    </row>
    <row r="13" spans="1:8" ht="32" customHeight="1">
      <c r="A13" s="11" t="s">
        <v>1763</v>
      </c>
      <c r="B13" s="12" t="s">
        <v>1764</v>
      </c>
      <c r="C13" s="12"/>
      <c r="D13" s="12"/>
      <c r="E13" s="12"/>
      <c r="F13" s="12"/>
      <c r="G13" s="12"/>
      <c r="H13" s="12"/>
    </row>
    <row r="14" spans="1:8" ht="32" customHeight="1">
      <c r="A14" s="11" t="s">
        <v>1765</v>
      </c>
      <c r="B14" s="12" t="s">
        <v>1766</v>
      </c>
      <c r="C14" s="12"/>
      <c r="D14" s="12"/>
      <c r="E14" s="12"/>
      <c r="F14" s="12"/>
      <c r="G14" s="12"/>
      <c r="H14" s="12"/>
    </row>
    <row r="16" spans="1:8" ht="20" customHeight="1">
      <c r="A16" s="7" t="s">
        <v>1767</v>
      </c>
      <c r="B16" s="7"/>
      <c r="C16" s="7"/>
      <c r="D16" s="7"/>
      <c r="E16" s="7"/>
      <c r="F16" s="7"/>
      <c r="G16" s="7"/>
      <c r="H16" s="7"/>
    </row>
    <row r="17" spans="1:8" ht="26" customHeight="1">
      <c r="A17" s="8" t="s">
        <v>47</v>
      </c>
      <c r="B17" s="9" t="s">
        <v>1768</v>
      </c>
    </row>
    <row r="18" spans="1:8" ht="24" customHeight="1">
      <c r="A18" s="11" t="s">
        <v>1769</v>
      </c>
      <c r="B18" s="12" t="s">
        <v>1770</v>
      </c>
      <c r="C18" s="12"/>
      <c r="D18" s="12"/>
      <c r="E18" s="12"/>
      <c r="F18" s="12"/>
      <c r="G18" s="12"/>
      <c r="H18" s="12"/>
    </row>
    <row r="19" spans="1:8" ht="24" customHeight="1">
      <c r="A19" s="11" t="s">
        <v>49</v>
      </c>
      <c r="B19" s="12" t="s">
        <v>1771</v>
      </c>
      <c r="C19" s="12"/>
      <c r="D19" s="12"/>
      <c r="E19" s="12"/>
      <c r="F19" s="12"/>
      <c r="G19" s="12"/>
      <c r="H19" s="12"/>
    </row>
    <row r="20" spans="1:8" ht="24" customHeight="1">
      <c r="A20" s="11" t="s">
        <v>51</v>
      </c>
      <c r="B20" s="12" t="s">
        <v>1772</v>
      </c>
      <c r="C20" s="12"/>
      <c r="D20" s="12"/>
      <c r="E20" s="12"/>
      <c r="F20" s="12"/>
      <c r="G20" s="12"/>
      <c r="H20" s="12"/>
    </row>
    <row r="21" spans="1:8" ht="24" customHeight="1">
      <c r="A21" s="11" t="s">
        <v>53</v>
      </c>
      <c r="B21" s="12" t="s">
        <v>1773</v>
      </c>
      <c r="C21" s="12"/>
      <c r="D21" s="12"/>
      <c r="E21" s="12"/>
      <c r="F21" s="12"/>
      <c r="G21" s="12"/>
      <c r="H21" s="12"/>
    </row>
    <row r="22" spans="1:8" ht="24" customHeight="1">
      <c r="A22" s="11" t="s">
        <v>15</v>
      </c>
      <c r="B22" s="12" t="s">
        <v>1774</v>
      </c>
      <c r="C22" s="12"/>
      <c r="D22" s="12"/>
      <c r="E22" s="12"/>
      <c r="F22" s="12"/>
      <c r="G22" s="12"/>
      <c r="H22" s="12"/>
    </row>
    <row r="23" spans="1:8" ht="24" customHeight="1">
      <c r="A23" s="11" t="s">
        <v>56</v>
      </c>
      <c r="B23" s="12" t="s">
        <v>1775</v>
      </c>
      <c r="C23" s="12"/>
      <c r="D23" s="12"/>
      <c r="E23" s="12"/>
      <c r="F23" s="12"/>
      <c r="G23" s="12"/>
      <c r="H23" s="12"/>
    </row>
    <row r="24" spans="1:8" ht="24" customHeight="1">
      <c r="A24" s="11" t="s">
        <v>18</v>
      </c>
      <c r="B24" s="12" t="s">
        <v>1776</v>
      </c>
      <c r="C24" s="12"/>
      <c r="D24" s="12"/>
      <c r="E24" s="12"/>
      <c r="F24" s="12"/>
      <c r="G24" s="12"/>
      <c r="H24" s="12"/>
    </row>
    <row r="25" spans="1:8" ht="24" customHeight="1">
      <c r="A25" s="11" t="s">
        <v>59</v>
      </c>
      <c r="B25" s="12" t="s">
        <v>1777</v>
      </c>
      <c r="C25" s="12"/>
      <c r="D25" s="12"/>
      <c r="E25" s="12"/>
      <c r="F25" s="12"/>
      <c r="G25" s="12"/>
      <c r="H25" s="12"/>
    </row>
    <row r="26" spans="1:8" ht="24" customHeight="1">
      <c r="A26" s="11" t="s">
        <v>61</v>
      </c>
      <c r="B26" s="12" t="s">
        <v>1778</v>
      </c>
      <c r="C26" s="12"/>
      <c r="D26" s="12"/>
      <c r="E26" s="12"/>
      <c r="F26" s="12"/>
      <c r="G26" s="12"/>
      <c r="H26" s="12"/>
    </row>
    <row r="27" spans="1:8" ht="24" customHeight="1">
      <c r="A27" s="11" t="s">
        <v>21</v>
      </c>
      <c r="B27" s="12" t="s">
        <v>1779</v>
      </c>
      <c r="C27" s="12"/>
      <c r="D27" s="12"/>
      <c r="E27" s="12"/>
      <c r="F27" s="12"/>
      <c r="G27" s="12"/>
      <c r="H27" s="12"/>
    </row>
    <row r="28" spans="1:8" ht="24" customHeight="1">
      <c r="A28" s="11" t="s">
        <v>30</v>
      </c>
      <c r="B28" s="12" t="s">
        <v>1780</v>
      </c>
      <c r="C28" s="12"/>
      <c r="D28" s="12"/>
      <c r="E28" s="12"/>
      <c r="F28" s="12"/>
      <c r="G28" s="12"/>
      <c r="H28" s="12"/>
    </row>
    <row r="29" spans="1:8" ht="24" customHeight="1">
      <c r="A29" s="11" t="s">
        <v>65</v>
      </c>
      <c r="B29" s="12" t="s">
        <v>1781</v>
      </c>
      <c r="C29" s="12"/>
      <c r="D29" s="12"/>
      <c r="E29" s="12"/>
      <c r="F29" s="12"/>
      <c r="G29" s="12"/>
      <c r="H29" s="12"/>
    </row>
    <row r="30" spans="1:8" ht="24" customHeight="1">
      <c r="A30" s="11" t="s">
        <v>27</v>
      </c>
      <c r="B30" s="12" t="s">
        <v>1782</v>
      </c>
      <c r="C30" s="12"/>
      <c r="D30" s="12"/>
      <c r="E30" s="12"/>
      <c r="F30" s="12"/>
      <c r="G30" s="12"/>
      <c r="H30" s="12"/>
    </row>
    <row r="31" spans="1:8" ht="24" customHeight="1">
      <c r="A31" s="11" t="s">
        <v>68</v>
      </c>
      <c r="B31" s="12" t="s">
        <v>1783</v>
      </c>
      <c r="C31" s="12"/>
      <c r="D31" s="12"/>
      <c r="E31" s="12"/>
      <c r="F31" s="12"/>
      <c r="G31" s="12"/>
      <c r="H31" s="12"/>
    </row>
    <row r="32" spans="1:8" ht="24" customHeight="1">
      <c r="A32" s="11" t="s">
        <v>70</v>
      </c>
      <c r="B32" s="12" t="s">
        <v>1784</v>
      </c>
      <c r="C32" s="12"/>
      <c r="D32" s="12"/>
      <c r="E32" s="12"/>
      <c r="F32" s="12"/>
      <c r="G32" s="12"/>
      <c r="H32" s="12"/>
    </row>
    <row r="33" spans="1:8" ht="24" customHeight="1">
      <c r="A33" s="11" t="s">
        <v>72</v>
      </c>
      <c r="B33" s="12" t="s">
        <v>1785</v>
      </c>
      <c r="C33" s="12"/>
      <c r="D33" s="12"/>
      <c r="E33" s="12"/>
      <c r="F33" s="12"/>
      <c r="G33" s="12"/>
      <c r="H33" s="12"/>
    </row>
    <row r="34" spans="1:8" ht="24" customHeight="1">
      <c r="A34" s="11" t="s">
        <v>74</v>
      </c>
      <c r="B34" s="12" t="s">
        <v>1786</v>
      </c>
      <c r="C34" s="12"/>
      <c r="D34" s="12"/>
      <c r="E34" s="12"/>
      <c r="F34" s="12"/>
      <c r="G34" s="12"/>
      <c r="H34" s="12"/>
    </row>
    <row r="35" spans="1:8" ht="24" customHeight="1">
      <c r="A35" s="11" t="s">
        <v>1223</v>
      </c>
      <c r="B35" s="12" t="s">
        <v>1787</v>
      </c>
      <c r="C35" s="12"/>
      <c r="D35" s="12"/>
      <c r="E35" s="12"/>
      <c r="F35" s="12"/>
      <c r="G35" s="12"/>
      <c r="H35" s="12"/>
    </row>
    <row r="36" spans="1:8" ht="24" customHeight="1">
      <c r="A36" s="11" t="s">
        <v>1788</v>
      </c>
      <c r="B36" s="12" t="s">
        <v>1789</v>
      </c>
      <c r="C36" s="12"/>
      <c r="D36" s="12"/>
      <c r="E36" s="12"/>
      <c r="F36" s="12"/>
      <c r="G36" s="12"/>
      <c r="H36" s="12"/>
    </row>
    <row r="37" spans="1:8" ht="24" customHeight="1">
      <c r="A37" s="11" t="s">
        <v>141</v>
      </c>
      <c r="B37" s="12" t="s">
        <v>1790</v>
      </c>
      <c r="C37" s="12"/>
      <c r="D37" s="12"/>
      <c r="E37" s="12"/>
      <c r="F37" s="12"/>
      <c r="G37" s="12"/>
      <c r="H37" s="12"/>
    </row>
    <row r="38" spans="1:8" ht="24" customHeight="1">
      <c r="A38" s="11" t="s">
        <v>1791</v>
      </c>
      <c r="B38" s="12" t="s">
        <v>1792</v>
      </c>
      <c r="C38" s="12"/>
      <c r="D38" s="12"/>
      <c r="E38" s="12"/>
      <c r="F38" s="12"/>
      <c r="G38" s="12"/>
      <c r="H38" s="12"/>
    </row>
    <row r="39" spans="1:8" ht="24" customHeight="1">
      <c r="A39" s="11" t="s">
        <v>1793</v>
      </c>
      <c r="B39" s="12" t="s">
        <v>1794</v>
      </c>
      <c r="C39" s="12"/>
      <c r="D39" s="12"/>
      <c r="E39" s="12"/>
      <c r="F39" s="12"/>
      <c r="G39" s="12"/>
      <c r="H39" s="12"/>
    </row>
    <row r="40" spans="1:8" ht="24" customHeight="1">
      <c r="A40" s="11" t="s">
        <v>1795</v>
      </c>
      <c r="B40" s="12" t="s">
        <v>1796</v>
      </c>
      <c r="C40" s="12"/>
      <c r="D40" s="12"/>
      <c r="E40" s="12"/>
      <c r="F40" s="12"/>
      <c r="G40" s="12"/>
      <c r="H40" s="12"/>
    </row>
    <row r="41" spans="1:8" ht="24" customHeight="1">
      <c r="A41" s="11" t="s">
        <v>1797</v>
      </c>
      <c r="B41" s="12" t="s">
        <v>1798</v>
      </c>
      <c r="C41" s="12"/>
      <c r="D41" s="12"/>
      <c r="E41" s="12"/>
      <c r="F41" s="12"/>
      <c r="G41" s="12"/>
      <c r="H41" s="12"/>
    </row>
    <row r="42" spans="1:8" ht="24" customHeight="1">
      <c r="A42" s="11" t="s">
        <v>1470</v>
      </c>
      <c r="B42" s="12" t="s">
        <v>1799</v>
      </c>
      <c r="C42" s="12"/>
      <c r="D42" s="12"/>
      <c r="E42" s="12"/>
      <c r="F42" s="12"/>
      <c r="G42" s="12"/>
      <c r="H42" s="12"/>
    </row>
    <row r="43" spans="1:8" ht="24" customHeight="1">
      <c r="A43" s="11" t="s">
        <v>76</v>
      </c>
      <c r="B43" s="12" t="s">
        <v>1800</v>
      </c>
      <c r="C43" s="12"/>
      <c r="D43" s="12"/>
      <c r="E43" s="12"/>
      <c r="F43" s="12"/>
      <c r="G43" s="12"/>
      <c r="H43" s="12"/>
    </row>
    <row r="44" spans="1:8" ht="24" customHeight="1">
      <c r="A44" s="11" t="s">
        <v>78</v>
      </c>
      <c r="B44" s="12" t="s">
        <v>1801</v>
      </c>
      <c r="C44" s="12"/>
      <c r="D44" s="12"/>
      <c r="E44" s="12"/>
      <c r="F44" s="12"/>
      <c r="G44" s="12"/>
      <c r="H44" s="12"/>
    </row>
    <row r="45" spans="1:8" ht="24" customHeight="1">
      <c r="A45" s="11" t="s">
        <v>80</v>
      </c>
      <c r="B45" s="12" t="s">
        <v>1802</v>
      </c>
      <c r="C45" s="12"/>
      <c r="D45" s="12"/>
      <c r="E45" s="12"/>
      <c r="F45" s="12"/>
      <c r="G45" s="12"/>
      <c r="H45" s="12"/>
    </row>
    <row r="46" spans="1:8" ht="24" customHeight="1">
      <c r="A46" s="11" t="s">
        <v>82</v>
      </c>
      <c r="B46" s="12" t="s">
        <v>1803</v>
      </c>
      <c r="C46" s="12"/>
      <c r="D46" s="12"/>
      <c r="E46" s="12"/>
      <c r="F46" s="12"/>
      <c r="G46" s="12"/>
      <c r="H46" s="12"/>
    </row>
    <row r="47" spans="1:8" ht="24" customHeight="1">
      <c r="A47" s="11" t="s">
        <v>84</v>
      </c>
      <c r="B47" s="12" t="s">
        <v>1804</v>
      </c>
      <c r="C47" s="12"/>
      <c r="D47" s="12"/>
      <c r="E47" s="12"/>
      <c r="F47" s="12"/>
      <c r="G47" s="12"/>
      <c r="H47" s="12"/>
    </row>
    <row r="48" spans="1:8" ht="24" customHeight="1">
      <c r="A48" s="11" t="s">
        <v>1805</v>
      </c>
      <c r="B48" s="12" t="s">
        <v>1806</v>
      </c>
      <c r="C48" s="12"/>
      <c r="D48" s="12"/>
      <c r="E48" s="12"/>
      <c r="F48" s="12"/>
      <c r="G48" s="12"/>
      <c r="H48" s="12"/>
    </row>
    <row r="49" spans="1:8" ht="24" customHeight="1">
      <c r="A49" s="11" t="s">
        <v>1807</v>
      </c>
      <c r="B49" s="12" t="s">
        <v>1808</v>
      </c>
      <c r="C49" s="12"/>
      <c r="D49" s="12"/>
      <c r="E49" s="12"/>
      <c r="F49" s="12"/>
      <c r="G49" s="12"/>
      <c r="H49" s="12"/>
    </row>
    <row r="50" spans="1:8" ht="24" customHeight="1">
      <c r="A50" s="11" t="s">
        <v>1809</v>
      </c>
      <c r="B50" s="12" t="s">
        <v>1810</v>
      </c>
      <c r="C50" s="12"/>
      <c r="D50" s="12"/>
      <c r="E50" s="12"/>
      <c r="F50" s="12"/>
      <c r="G50" s="12"/>
      <c r="H50" s="12"/>
    </row>
    <row r="51" spans="1:8" ht="24" customHeight="1">
      <c r="A51" s="11" t="s">
        <v>1811</v>
      </c>
      <c r="B51" s="12" t="s">
        <v>1812</v>
      </c>
      <c r="C51" s="12"/>
      <c r="D51" s="12"/>
      <c r="E51" s="12"/>
      <c r="F51" s="12"/>
      <c r="G51" s="12"/>
      <c r="H51" s="12"/>
    </row>
    <row r="52" spans="1:8" ht="24" customHeight="1">
      <c r="A52" s="11" t="s">
        <v>1813</v>
      </c>
      <c r="B52" s="12" t="s">
        <v>1814</v>
      </c>
      <c r="C52" s="12"/>
      <c r="D52" s="12"/>
      <c r="E52" s="12"/>
      <c r="F52" s="12"/>
      <c r="G52" s="12"/>
      <c r="H52" s="12"/>
    </row>
    <row r="54" spans="1:8" ht="20" customHeight="1">
      <c r="A54" s="7" t="s">
        <v>1815</v>
      </c>
      <c r="B54" s="7"/>
      <c r="C54" s="7"/>
      <c r="D54" s="7"/>
      <c r="E54" s="7"/>
      <c r="F54" s="7"/>
      <c r="G54" s="7"/>
      <c r="H54" s="7"/>
    </row>
    <row r="55" spans="1:8" ht="30" customHeight="1">
      <c r="A55" s="11" t="s">
        <v>1816</v>
      </c>
      <c r="B55" s="12" t="s">
        <v>1817</v>
      </c>
      <c r="C55" s="12"/>
      <c r="D55" s="12"/>
      <c r="E55" s="12"/>
      <c r="F55" s="12"/>
      <c r="G55" s="12"/>
      <c r="H55" s="12"/>
    </row>
    <row r="56" spans="1:8" ht="30" customHeight="1">
      <c r="A56" s="11" t="s">
        <v>1818</v>
      </c>
      <c r="B56" s="12" t="s">
        <v>1819</v>
      </c>
      <c r="C56" s="12"/>
      <c r="D56" s="12"/>
      <c r="E56" s="12"/>
      <c r="F56" s="12"/>
      <c r="G56" s="12"/>
      <c r="H56" s="12"/>
    </row>
    <row r="57" spans="1:8" ht="30" customHeight="1">
      <c r="A57" s="11" t="s">
        <v>1820</v>
      </c>
      <c r="B57" s="12" t="s">
        <v>1821</v>
      </c>
      <c r="C57" s="12"/>
      <c r="D57" s="12"/>
      <c r="E57" s="12"/>
      <c r="F57" s="12"/>
      <c r="G57" s="12"/>
      <c r="H57" s="12"/>
    </row>
    <row r="58" spans="1:8" ht="30" customHeight="1">
      <c r="A58" s="11" t="s">
        <v>1822</v>
      </c>
      <c r="B58" s="12" t="s">
        <v>1823</v>
      </c>
      <c r="C58" s="12"/>
      <c r="D58" s="12"/>
      <c r="E58" s="12"/>
      <c r="F58" s="12"/>
      <c r="G58" s="12"/>
      <c r="H58" s="12"/>
    </row>
    <row r="59" spans="1:8" ht="30" customHeight="1">
      <c r="A59" s="11" t="s">
        <v>1824</v>
      </c>
      <c r="B59" s="12" t="s">
        <v>1825</v>
      </c>
      <c r="C59" s="12"/>
      <c r="D59" s="12"/>
      <c r="E59" s="12"/>
      <c r="F59" s="12"/>
      <c r="G59" s="12"/>
      <c r="H59" s="12"/>
    </row>
    <row r="60" spans="1:8" ht="30" customHeight="1">
      <c r="A60" s="11" t="s">
        <v>1826</v>
      </c>
      <c r="B60" s="12" t="s">
        <v>1827</v>
      </c>
      <c r="C60" s="12"/>
      <c r="D60" s="12"/>
      <c r="E60" s="12"/>
      <c r="F60" s="12"/>
      <c r="G60" s="12"/>
      <c r="H60" s="12"/>
    </row>
    <row r="61" spans="1:8" ht="30" customHeight="1">
      <c r="A61" s="11" t="s">
        <v>1828</v>
      </c>
      <c r="B61" s="12" t="s">
        <v>1829</v>
      </c>
      <c r="C61" s="12"/>
      <c r="D61" s="12"/>
      <c r="E61" s="12"/>
      <c r="F61" s="12"/>
      <c r="G61" s="12"/>
      <c r="H61" s="12"/>
    </row>
    <row r="62" spans="1:8" ht="30" customHeight="1">
      <c r="A62" s="6" t="s">
        <v>1830</v>
      </c>
      <c r="B62" s="6"/>
      <c r="C62" s="6"/>
      <c r="D62" s="6"/>
      <c r="E62" s="6"/>
      <c r="F62" s="6"/>
      <c r="G62" s="6"/>
      <c r="H62" s="6"/>
    </row>
    <row r="64" spans="1:8" ht="20" customHeight="1">
      <c r="A64" s="7" t="s">
        <v>1831</v>
      </c>
      <c r="B64" s="7"/>
      <c r="C64" s="7"/>
      <c r="D64" s="7"/>
      <c r="E64" s="7"/>
      <c r="F64" s="7"/>
      <c r="G64" s="7"/>
      <c r="H64" s="7"/>
    </row>
    <row r="65" spans="1:8" ht="26" customHeight="1">
      <c r="A65" s="8" t="s">
        <v>1832</v>
      </c>
      <c r="B65" s="9" t="s">
        <v>1833</v>
      </c>
    </row>
    <row r="66" spans="1:8" ht="32" customHeight="1">
      <c r="A66" s="11" t="s">
        <v>1834</v>
      </c>
      <c r="B66" s="12" t="s">
        <v>1835</v>
      </c>
      <c r="C66" s="12"/>
      <c r="D66" s="12"/>
      <c r="E66" s="12"/>
      <c r="F66" s="12"/>
      <c r="G66" s="12"/>
      <c r="H66" s="12"/>
    </row>
    <row r="67" spans="1:8" ht="32" customHeight="1">
      <c r="A67" s="11" t="s">
        <v>1836</v>
      </c>
      <c r="B67" s="12" t="s">
        <v>1837</v>
      </c>
      <c r="C67" s="12"/>
      <c r="D67" s="12"/>
      <c r="E67" s="12"/>
      <c r="F67" s="12"/>
      <c r="G67" s="12"/>
      <c r="H67" s="12"/>
    </row>
    <row r="68" spans="1:8" ht="32" customHeight="1">
      <c r="A68" s="11" t="s">
        <v>1838</v>
      </c>
      <c r="B68" s="12" t="s">
        <v>1839</v>
      </c>
      <c r="C68" s="12"/>
      <c r="D68" s="12"/>
      <c r="E68" s="12"/>
      <c r="F68" s="12"/>
      <c r="G68" s="12"/>
      <c r="H68" s="12"/>
    </row>
    <row r="69" spans="1:8" ht="32" customHeight="1">
      <c r="A69" s="11" t="s">
        <v>1840</v>
      </c>
      <c r="B69" s="12" t="s">
        <v>1841</v>
      </c>
      <c r="C69" s="12"/>
      <c r="D69" s="12"/>
      <c r="E69" s="12"/>
      <c r="F69" s="12"/>
      <c r="G69" s="12"/>
      <c r="H69" s="12"/>
    </row>
    <row r="70" spans="1:8" ht="32" customHeight="1">
      <c r="A70" s="11" t="s">
        <v>1842</v>
      </c>
      <c r="B70" s="12" t="s">
        <v>1843</v>
      </c>
      <c r="C70" s="12"/>
      <c r="D70" s="12"/>
      <c r="E70" s="12"/>
      <c r="F70" s="12"/>
      <c r="G70" s="12"/>
      <c r="H70" s="12"/>
    </row>
    <row r="71" spans="1:8" ht="32" customHeight="1">
      <c r="A71" s="11" t="s">
        <v>1844</v>
      </c>
      <c r="B71" s="12" t="s">
        <v>1845</v>
      </c>
      <c r="C71" s="12"/>
      <c r="D71" s="12"/>
      <c r="E71" s="12"/>
      <c r="F71" s="12"/>
      <c r="G71" s="12"/>
      <c r="H71" s="12"/>
    </row>
    <row r="72" spans="1:8" ht="32" customHeight="1">
      <c r="A72" s="11" t="s">
        <v>1846</v>
      </c>
      <c r="B72" s="12" t="s">
        <v>1847</v>
      </c>
      <c r="C72" s="12"/>
      <c r="D72" s="12"/>
      <c r="E72" s="12"/>
      <c r="F72" s="12"/>
      <c r="G72" s="12"/>
      <c r="H72" s="12"/>
    </row>
    <row r="74" spans="1:8" ht="20" customHeight="1">
      <c r="A74" s="7" t="s">
        <v>1848</v>
      </c>
      <c r="B74" s="7"/>
      <c r="C74" s="7"/>
      <c r="D74" s="7"/>
      <c r="E74" s="7"/>
      <c r="F74" s="7"/>
      <c r="G74" s="7"/>
      <c r="H74" s="7"/>
    </row>
    <row r="75" spans="1:8" ht="30" customHeight="1">
      <c r="A75" s="12" t="s">
        <v>1849</v>
      </c>
      <c r="B75" s="12"/>
      <c r="C75" s="12"/>
      <c r="D75" s="12"/>
      <c r="E75" s="12"/>
      <c r="F75" s="12"/>
      <c r="G75" s="12"/>
      <c r="H75" s="12"/>
    </row>
    <row r="76" spans="1:8" ht="30" customHeight="1">
      <c r="A76" s="12" t="s">
        <v>1850</v>
      </c>
      <c r="B76" s="12"/>
      <c r="C76" s="12"/>
      <c r="D76" s="12"/>
      <c r="E76" s="12"/>
      <c r="F76" s="12"/>
      <c r="G76" s="12"/>
      <c r="H76" s="12"/>
    </row>
    <row r="77" spans="1:8" ht="30" customHeight="1">
      <c r="A77" s="12" t="s">
        <v>1851</v>
      </c>
      <c r="B77" s="12"/>
      <c r="C77" s="12"/>
      <c r="D77" s="12"/>
      <c r="E77" s="12"/>
      <c r="F77" s="12"/>
      <c r="G77" s="12"/>
      <c r="H77" s="12"/>
    </row>
    <row r="78" spans="1:8" ht="30" customHeight="1">
      <c r="A78" s="12" t="s">
        <v>1852</v>
      </c>
      <c r="B78" s="12"/>
      <c r="C78" s="12"/>
      <c r="D78" s="12"/>
      <c r="E78" s="12"/>
      <c r="F78" s="12"/>
      <c r="G78" s="12"/>
      <c r="H78" s="12"/>
    </row>
    <row r="79" spans="1:8" ht="30" customHeight="1">
      <c r="A79" s="12" t="s">
        <v>1853</v>
      </c>
      <c r="B79" s="12"/>
      <c r="C79" s="12"/>
      <c r="D79" s="12"/>
      <c r="E79" s="12"/>
      <c r="F79" s="12"/>
      <c r="G79" s="12"/>
      <c r="H79" s="12"/>
    </row>
    <row r="81" spans="1:8" ht="20" customHeight="1">
      <c r="A81" s="7" t="s">
        <v>1854</v>
      </c>
      <c r="B81" s="7"/>
      <c r="C81" s="7"/>
      <c r="D81" s="7"/>
      <c r="E81" s="7"/>
      <c r="F81" s="7"/>
      <c r="G81" s="7"/>
      <c r="H81" s="7"/>
    </row>
    <row r="82" spans="1:8" ht="26" customHeight="1">
      <c r="A82" s="8" t="s">
        <v>1855</v>
      </c>
      <c r="B82" s="9" t="s">
        <v>1768</v>
      </c>
    </row>
    <row r="83" spans="1:8" ht="22" customHeight="1">
      <c r="A83" s="11" t="s">
        <v>1856</v>
      </c>
      <c r="B83" s="12" t="s">
        <v>1857</v>
      </c>
      <c r="C83" s="12"/>
      <c r="D83" s="12"/>
      <c r="E83" s="12"/>
      <c r="F83" s="12"/>
      <c r="G83" s="12"/>
      <c r="H83" s="12"/>
    </row>
    <row r="84" spans="1:8" ht="22" customHeight="1">
      <c r="A84" s="11" t="s">
        <v>1858</v>
      </c>
      <c r="B84" s="12" t="s">
        <v>1859</v>
      </c>
      <c r="C84" s="12"/>
      <c r="D84" s="12"/>
      <c r="E84" s="12"/>
      <c r="F84" s="12"/>
      <c r="G84" s="12"/>
      <c r="H84" s="12"/>
    </row>
    <row r="85" spans="1:8" ht="22" customHeight="1">
      <c r="A85" s="11" t="s">
        <v>1860</v>
      </c>
      <c r="B85" s="12" t="s">
        <v>1861</v>
      </c>
      <c r="C85" s="12"/>
      <c r="D85" s="12"/>
      <c r="E85" s="12"/>
      <c r="F85" s="12"/>
      <c r="G85" s="12"/>
      <c r="H85" s="12"/>
    </row>
    <row r="86" spans="1:8" ht="22" customHeight="1">
      <c r="A86" s="11" t="s">
        <v>1862</v>
      </c>
      <c r="B86" s="12" t="s">
        <v>1863</v>
      </c>
      <c r="C86" s="12"/>
      <c r="D86" s="12"/>
      <c r="E86" s="12"/>
      <c r="F86" s="12"/>
      <c r="G86" s="12"/>
      <c r="H86" s="12"/>
    </row>
    <row r="87" spans="1:8" ht="22" customHeight="1">
      <c r="A87" s="11" t="s">
        <v>1864</v>
      </c>
      <c r="B87" s="12" t="s">
        <v>1865</v>
      </c>
      <c r="C87" s="12"/>
      <c r="D87" s="12"/>
      <c r="E87" s="12"/>
      <c r="F87" s="12"/>
      <c r="G87" s="12"/>
      <c r="H87" s="12"/>
    </row>
    <row r="88" spans="1:8" ht="22" customHeight="1">
      <c r="A88" s="11" t="s">
        <v>1866</v>
      </c>
      <c r="B88" s="12" t="s">
        <v>1867</v>
      </c>
      <c r="C88" s="12"/>
      <c r="D88" s="12"/>
      <c r="E88" s="12"/>
      <c r="F88" s="12"/>
      <c r="G88" s="12"/>
      <c r="H88" s="12"/>
    </row>
    <row r="89" spans="1:8" ht="22" customHeight="1">
      <c r="A89" s="11" t="s">
        <v>1868</v>
      </c>
      <c r="B89" s="12" t="s">
        <v>1869</v>
      </c>
      <c r="C89" s="12"/>
      <c r="D89" s="12"/>
      <c r="E89" s="12"/>
      <c r="F89" s="12"/>
      <c r="G89" s="12"/>
      <c r="H89" s="12"/>
    </row>
    <row r="91" spans="1:8" ht="20" customHeight="1">
      <c r="A91" s="7" t="s">
        <v>1870</v>
      </c>
      <c r="B91" s="7"/>
      <c r="C91" s="7"/>
      <c r="D91" s="7"/>
      <c r="E91" s="7"/>
      <c r="F91" s="7"/>
      <c r="G91" s="7"/>
      <c r="H91" s="7"/>
    </row>
    <row r="92" spans="1:8" ht="20" customHeight="1">
      <c r="A92" s="13" t="s">
        <v>1871</v>
      </c>
      <c r="B92" s="13"/>
      <c r="C92" s="13"/>
      <c r="D92" s="13"/>
      <c r="E92" s="13"/>
      <c r="F92" s="13"/>
      <c r="G92" s="13"/>
      <c r="H92" s="13"/>
    </row>
    <row r="93" spans="1:8" ht="20" customHeight="1">
      <c r="A93" s="13" t="s">
        <v>1872</v>
      </c>
      <c r="B93" s="13"/>
      <c r="C93" s="13"/>
      <c r="D93" s="13"/>
      <c r="E93" s="13"/>
      <c r="F93" s="13"/>
      <c r="G93" s="13"/>
      <c r="H93" s="13"/>
    </row>
    <row r="94" spans="1:8" ht="20" customHeight="1">
      <c r="A94" s="13" t="s">
        <v>1873</v>
      </c>
      <c r="B94" s="13"/>
      <c r="C94" s="13"/>
      <c r="D94" s="13"/>
      <c r="E94" s="13"/>
      <c r="F94" s="13"/>
      <c r="G94" s="13"/>
      <c r="H94" s="13"/>
    </row>
    <row r="95" spans="1:8" ht="20" customHeight="1">
      <c r="A95" s="13" t="s">
        <v>1874</v>
      </c>
      <c r="B95" s="13"/>
      <c r="C95" s="13"/>
      <c r="D95" s="13"/>
      <c r="E95" s="13"/>
      <c r="F95" s="13"/>
      <c r="G95" s="13"/>
      <c r="H95" s="13"/>
    </row>
    <row r="97" spans="1:8" ht="20" customHeight="1">
      <c r="A97" s="7" t="s">
        <v>1875</v>
      </c>
      <c r="B97" s="7"/>
      <c r="C97" s="7"/>
      <c r="D97" s="7"/>
      <c r="E97" s="7"/>
      <c r="F97" s="7"/>
      <c r="G97" s="7"/>
      <c r="H97" s="7"/>
    </row>
    <row r="98" spans="1:8" ht="20" customHeight="1">
      <c r="A98" s="13" t="s">
        <v>1876</v>
      </c>
      <c r="B98" s="13"/>
      <c r="C98" s="13"/>
      <c r="D98" s="13"/>
      <c r="E98" s="13"/>
      <c r="F98" s="13"/>
      <c r="G98" s="13"/>
      <c r="H98" s="13"/>
    </row>
    <row r="99" spans="1:8" ht="20" customHeight="1">
      <c r="A99" s="13" t="s">
        <v>1877</v>
      </c>
      <c r="B99" s="13"/>
      <c r="C99" s="13"/>
      <c r="D99" s="13"/>
      <c r="E99" s="13"/>
      <c r="F99" s="13"/>
      <c r="G99" s="13"/>
      <c r="H99" s="13"/>
    </row>
    <row r="100" spans="1:8" ht="20" customHeight="1">
      <c r="A100" s="13" t="s">
        <v>1878</v>
      </c>
      <c r="B100" s="13"/>
      <c r="C100" s="13"/>
      <c r="D100" s="13"/>
      <c r="E100" s="13"/>
      <c r="F100" s="13"/>
      <c r="G100" s="13"/>
      <c r="H100" s="13"/>
    </row>
    <row r="102" spans="1:8" ht="36" customHeight="1">
      <c r="A102" s="6" t="s">
        <v>1879</v>
      </c>
      <c r="B102" s="6"/>
      <c r="C102" s="6"/>
      <c r="D102" s="6"/>
      <c r="E102" s="6"/>
      <c r="F102" s="6"/>
      <c r="G102" s="6"/>
      <c r="H102" s="6"/>
    </row>
  </sheetData>
  <sheetProtection password="EC7C" sheet="1" objects="1" scenarios="1" formatCells="0" formatColumns="0" formatRows="0" insertRows="0" insertHyperlinks="0" deleteRows="0" autoFilter="0"/>
  <mergeCells count="93">
    <mergeCell ref="A1:E1"/>
    <mergeCell ref="F1:H1"/>
    <mergeCell ref="A2:H2"/>
    <mergeCell ref="A3:B3"/>
    <mergeCell ref="C3:D3"/>
    <mergeCell ref="E3:F3"/>
    <mergeCell ref="G3:H3"/>
    <mergeCell ref="A5:H5"/>
    <mergeCell ref="A7:H7"/>
    <mergeCell ref="B8:H8"/>
    <mergeCell ref="B9:H9"/>
    <mergeCell ref="B10:H10"/>
    <mergeCell ref="B11:H11"/>
    <mergeCell ref="B12:H12"/>
    <mergeCell ref="B13:H13"/>
    <mergeCell ref="B14:H14"/>
    <mergeCell ref="A16:H16"/>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 ref="B49:H49"/>
    <mergeCell ref="B50:H50"/>
    <mergeCell ref="B51:H51"/>
    <mergeCell ref="B52:H52"/>
    <mergeCell ref="A54:H54"/>
    <mergeCell ref="B55:H55"/>
    <mergeCell ref="B56:H56"/>
    <mergeCell ref="B57:H57"/>
    <mergeCell ref="B58:H58"/>
    <mergeCell ref="B59:H59"/>
    <mergeCell ref="B60:H60"/>
    <mergeCell ref="B61:H61"/>
    <mergeCell ref="A62:H62"/>
    <mergeCell ref="A64:H64"/>
    <mergeCell ref="B66:H66"/>
    <mergeCell ref="B67:H67"/>
    <mergeCell ref="B68:H68"/>
    <mergeCell ref="B69:H69"/>
    <mergeCell ref="B70:H70"/>
    <mergeCell ref="B71:H71"/>
    <mergeCell ref="B72:H72"/>
    <mergeCell ref="A74:H74"/>
    <mergeCell ref="A75:H75"/>
    <mergeCell ref="A76:H76"/>
    <mergeCell ref="A77:H77"/>
    <mergeCell ref="A78:H78"/>
    <mergeCell ref="A79:H79"/>
    <mergeCell ref="A81:H81"/>
    <mergeCell ref="B83:H83"/>
    <mergeCell ref="B84:H84"/>
    <mergeCell ref="B85:H85"/>
    <mergeCell ref="B86:H86"/>
    <mergeCell ref="B87:H87"/>
    <mergeCell ref="B88:H88"/>
    <mergeCell ref="B89:H89"/>
    <mergeCell ref="A91:H91"/>
    <mergeCell ref="A92:H92"/>
    <mergeCell ref="A93:H93"/>
    <mergeCell ref="A94:H94"/>
    <mergeCell ref="A95:H95"/>
    <mergeCell ref="A97:H97"/>
    <mergeCell ref="A98:H98"/>
    <mergeCell ref="A99:H99"/>
    <mergeCell ref="A100:H100"/>
    <mergeCell ref="A102:H102"/>
  </mergeCells>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&amp;L&amp;"Calibri,Bold"&amp;12&amp;C&amp;"Calibri,Bold"&amp;11Help&amp;R&amp;"Calibri,Italic"&amp;9Automated Meal Planner &amp; Grocery List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179</vt:i4>
      </vt:variant>
    </vt:vector>
  </HeadingPairs>
  <TitlesOfParts>
    <vt:vector size="215" baseType="lpstr">
      <vt:lpstr>Start Here</vt:lpstr>
      <vt:lpstr>Dashboard</vt:lpstr>
      <vt:lpstr>Weekly Planner</vt:lpstr>
      <vt:lpstr>Monthly Planner</vt:lpstr>
      <vt:lpstr>Settings</vt:lpstr>
      <vt:lpstr>Lists</vt:lpstr>
      <vt:lpstr>Household</vt:lpstr>
      <vt:lpstr>Recipes</vt:lpstr>
      <vt:lpstr>Recipe Ingredients</vt:lpstr>
      <vt:lpstr>Ingredients</vt:lpstr>
      <vt:lpstr>Meal Plan</vt:lpstr>
      <vt:lpstr>Grocery List</vt:lpstr>
      <vt:lpstr>Pantry</vt:lpstr>
      <vt:lpstr>Staples</vt:lpstr>
      <vt:lpstr>Leftovers</vt:lpstr>
      <vt:lpstr>Food Waste</vt:lpstr>
      <vt:lpstr>Meal Prep</vt:lpstr>
      <vt:lpstr>Dietary Filters</vt:lpstr>
      <vt:lpstr>Nutrition</vt:lpstr>
      <vt:lpstr>Budget</vt:lpstr>
      <vt:lpstr>Recipe Costs</vt:lpstr>
      <vt:lpstr>Converter</vt:lpstr>
      <vt:lpstr>Rotation</vt:lpstr>
      <vt:lpstr>Food Safety</vt:lpstr>
      <vt:lpstr>Fridge &amp; Freezer</vt:lpstr>
      <vt:lpstr>Grocery Spending</vt:lpstr>
      <vt:lpstr>Store Prices</vt:lpstr>
      <vt:lpstr>Stores</vt:lpstr>
      <vt:lpstr>Events</vt:lpstr>
      <vt:lpstr>Goals</vt:lpstr>
      <vt:lpstr>Sustainability</vt:lpstr>
      <vt:lpstr>Reports</vt:lpstr>
      <vt:lpstr>Print Week</vt:lpstr>
      <vt:lpstr>Print Shopping</vt:lpstr>
      <vt:lpstr>Print Recipe</vt:lpstr>
      <vt:lpstr>Help</vt:lpstr>
      <vt:lpstr>ActiveList</vt:lpstr>
      <vt:lpstr>AgeGroupList</vt:lpstr>
      <vt:lpstr>AisleList</vt:lpstr>
      <vt:lpstr>AllergenList</vt:lpstr>
      <vt:lpstr>AnnualBudget</vt:lpstr>
      <vt:lpstr>BoughtLunch</vt:lpstr>
      <vt:lpstr>BudgetLineList</vt:lpstr>
      <vt:lpstr>CalorieTarget</vt:lpstr>
      <vt:lpstr>CarbTarget</vt:lpstr>
      <vt:lpstr>CardFactor</vt:lpstr>
      <vt:lpstr>CardPeople</vt:lpstr>
      <vt:lpstr>CardRecipe</vt:lpstr>
      <vt:lpstr>ContainerList</vt:lpstr>
      <vt:lpstr>CookingMethodList</vt:lpstr>
      <vt:lpstr>CuisineList</vt:lpstr>
      <vt:lpstr>DashKey</vt:lpstr>
      <vt:lpstr>DashMonth</vt:lpstr>
      <vt:lpstr>DashWeek</vt:lpstr>
      <vt:lpstr>DefaultServings</vt:lpstr>
      <vt:lpstr>DietList</vt:lpstr>
      <vt:lpstr>DifficultyList</vt:lpstr>
      <vt:lpstr>DirectionList</vt:lpstr>
      <vt:lpstr>DisposalList</vt:lpstr>
      <vt:lpstr>EatingOutBudget</vt:lpstr>
      <vt:lpstr>EventNames</vt:lpstr>
      <vt:lpstr>EventPrefix</vt:lpstr>
      <vt:lpstr>EventStatusList</vt:lpstr>
      <vt:lpstr>EventTypeList</vt:lpstr>
      <vt:lpstr>ExpiryWarningDays</vt:lpstr>
      <vt:lpstr>FatTarget</vt:lpstr>
      <vt:lpstr>FibreTarget</vt:lpstr>
      <vt:lpstr>FilterAllergen</vt:lpstr>
      <vt:lpstr>FilterCategory</vt:lpstr>
      <vt:lpstr>FilterCost</vt:lpstr>
      <vt:lpstr>FilterDiet</vt:lpstr>
      <vt:lpstr>FilterMethod</vt:lpstr>
      <vt:lpstr>FilterTime</vt:lpstr>
      <vt:lpstr>FreezerDays</vt:lpstr>
      <vt:lpstr>FrequencyList</vt:lpstr>
      <vt:lpstr>GoalCategoryList</vt:lpstr>
      <vt:lpstr>GoalNames</vt:lpstr>
      <vt:lpstr>GoalStatusList</vt:lpstr>
      <vt:lpstr>GroceryCategoryList</vt:lpstr>
      <vt:lpstr>GroceryPrefix</vt:lpstr>
      <vt:lpstr>HomeCookedTarget</vt:lpstr>
      <vt:lpstr>HouseCook</vt:lpstr>
      <vt:lpstr>HouseEmail</vt:lpstr>
      <vt:lpstr>HouseMembers</vt:lpstr>
      <vt:lpstr>HouseName</vt:lpstr>
      <vt:lpstr>HouseNotes</vt:lpstr>
      <vt:lpstr>HouseTown</vt:lpstr>
      <vt:lpstr>IngredientIDs</vt:lpstr>
      <vt:lpstr>IngredientNames</vt:lpstr>
      <vt:lpstr>IngredientPrefix</vt:lpstr>
      <vt:lpstr>LeftoverDays</vt:lpstr>
      <vt:lpstr>LeftoverItems</vt:lpstr>
      <vt:lpstr>LeftoverPrefix</vt:lpstr>
      <vt:lpstr>LeftoverStatusList</vt:lpstr>
      <vt:lpstr>LowStockDays</vt:lpstr>
      <vt:lpstr>MainStore</vt:lpstr>
      <vt:lpstr>MealPrefix</vt:lpstr>
      <vt:lpstr>MealSlotList</vt:lpstr>
      <vt:lpstr>MealStatusList</vt:lpstr>
      <vt:lpstr>MeasureList</vt:lpstr>
      <vt:lpstr>MeasureSystem</vt:lpstr>
      <vt:lpstr>MemberNames</vt:lpstr>
      <vt:lpstr>MemberRoleList</vt:lpstr>
      <vt:lpstr>MonthList</vt:lpstr>
      <vt:lpstr>MonthlyBudget</vt:lpstr>
      <vt:lpstr>NewRecipeTarget</vt:lpstr>
      <vt:lpstr>PackedLunchTarget</vt:lpstr>
      <vt:lpstr>PantryItems</vt:lpstr>
      <vt:lpstr>PantryPrefix</vt:lpstr>
      <vt:lpstr>PaymentList</vt:lpstr>
      <vt:lpstr>PlanDates</vt:lpstr>
      <vt:lpstr>PlanKeys</vt:lpstr>
      <vt:lpstr>PlanMonthName</vt:lpstr>
      <vt:lpstr>PlanMonthStart</vt:lpstr>
      <vt:lpstr>PlanRecipes</vt:lpstr>
      <vt:lpstr>PlanStart</vt:lpstr>
      <vt:lpstr>PlanYear</vt:lpstr>
      <vt:lpstr>PortionSizeList</vt:lpstr>
      <vt:lpstr>PrepDay</vt:lpstr>
      <vt:lpstr>PrepJobs</vt:lpstr>
      <vt:lpstr>PrepLeadDays</vt:lpstr>
      <vt:lpstr>PrepStatusList</vt:lpstr>
      <vt:lpstr>PrepTaskList</vt:lpstr>
      <vt:lpstr>PriceLevelList</vt:lpstr>
      <vt:lpstr>'Events'!Print_Area</vt:lpstr>
      <vt:lpstr>'Food Waste'!Print_Area</vt:lpstr>
      <vt:lpstr>'Goals'!Print_Area</vt:lpstr>
      <vt:lpstr>'Grocery List'!Print_Area</vt:lpstr>
      <vt:lpstr>'Grocery Spending'!Print_Area</vt:lpstr>
      <vt:lpstr>'Household'!Print_Area</vt:lpstr>
      <vt:lpstr>'Ingredients'!Print_Area</vt:lpstr>
      <vt:lpstr>'Leftovers'!Print_Area</vt:lpstr>
      <vt:lpstr>'Meal Plan'!Print_Area</vt:lpstr>
      <vt:lpstr>'Meal Prep'!Print_Area</vt:lpstr>
      <vt:lpstr>'Monthly Planner'!Print_Area</vt:lpstr>
      <vt:lpstr>'Pantry'!Print_Area</vt:lpstr>
      <vt:lpstr>'Print Recipe'!Print_Area</vt:lpstr>
      <vt:lpstr>'Print Shopping'!Print_Area</vt:lpstr>
      <vt:lpstr>'Print Week'!Print_Area</vt:lpstr>
      <vt:lpstr>'Recipe Ingredients'!Print_Area</vt:lpstr>
      <vt:lpstr>'Recipes'!Print_Area</vt:lpstr>
      <vt:lpstr>'Staples'!Print_Area</vt:lpstr>
      <vt:lpstr>'Store Prices'!Print_Area</vt:lpstr>
      <vt:lpstr>'Stores'!Print_Area</vt:lpstr>
      <vt:lpstr>'Weekly Planner'!Print_Area</vt:lpstr>
      <vt:lpstr>'Events'!Print_Titles</vt:lpstr>
      <vt:lpstr>'Food Waste'!Print_Titles</vt:lpstr>
      <vt:lpstr>'Goals'!Print_Titles</vt:lpstr>
      <vt:lpstr>'Grocery List'!Print_Titles</vt:lpstr>
      <vt:lpstr>'Grocery Spending'!Print_Titles</vt:lpstr>
      <vt:lpstr>'Household'!Print_Titles</vt:lpstr>
      <vt:lpstr>'Ingredients'!Print_Titles</vt:lpstr>
      <vt:lpstr>'Leftovers'!Print_Titles</vt:lpstr>
      <vt:lpstr>'Meal Plan'!Print_Titles</vt:lpstr>
      <vt:lpstr>'Meal Prep'!Print_Titles</vt:lpstr>
      <vt:lpstr>'Pantry'!Print_Titles</vt:lpstr>
      <vt:lpstr>'Recipe Ingredients'!Print_Titles</vt:lpstr>
      <vt:lpstr>'Recipes'!Print_Titles</vt:lpstr>
      <vt:lpstr>'Staples'!Print_Titles</vt:lpstr>
      <vt:lpstr>'Store Prices'!Print_Titles</vt:lpstr>
      <vt:lpstr>'Stores'!Print_Titles</vt:lpstr>
      <vt:lpstr>PriorityList</vt:lpstr>
      <vt:lpstr>ProteinTarget</vt:lpstr>
      <vt:lpstr>RatingList</vt:lpstr>
      <vt:lpstr>RecipeCategoryList</vt:lpstr>
      <vt:lpstr>RecipeIDs</vt:lpstr>
      <vt:lpstr>RecipeNames</vt:lpstr>
      <vt:lpstr>RecipePrefix</vt:lpstr>
      <vt:lpstr>ReportMonth</vt:lpstr>
      <vt:lpstr>ReportMonths</vt:lpstr>
      <vt:lpstr>ReportStart</vt:lpstr>
      <vt:lpstr>RotationGapDays</vt:lpstr>
      <vt:lpstr>RoundingList</vt:lpstr>
      <vt:lpstr>RoundingRule</vt:lpstr>
      <vt:lpstr>ScaleFactor</vt:lpstr>
      <vt:lpstr>ScalePeople</vt:lpstr>
      <vt:lpstr>ScaleRecipe</vt:lpstr>
      <vt:lpstr>SeasonList</vt:lpstr>
      <vt:lpstr>ShopFrom</vt:lpstr>
      <vt:lpstr>ShoppingDay</vt:lpstr>
      <vt:lpstr>ShoppingStatusList</vt:lpstr>
      <vt:lpstr>ShopTo</vt:lpstr>
      <vt:lpstr>SodiumLimit</vt:lpstr>
      <vt:lpstr>SpendCategoryList</vt:lpstr>
      <vt:lpstr>SpendMonths</vt:lpstr>
      <vt:lpstr>SpendPrefix</vt:lpstr>
      <vt:lpstr>SpendTypeList</vt:lpstr>
      <vt:lpstr>SpiceLevelList</vt:lpstr>
      <vt:lpstr>StapleNames</vt:lpstr>
      <vt:lpstr>StorageList</vt:lpstr>
      <vt:lpstr>StoreNames</vt:lpstr>
      <vt:lpstr>StoreTypeList</vt:lpstr>
      <vt:lpstr>SugarLimit</vt:lpstr>
      <vt:lpstr>SystemList</vt:lpstr>
      <vt:lpstr>TakeawayCost</vt:lpstr>
      <vt:lpstr>TakeawayLimit</vt:lpstr>
      <vt:lpstr>TaskStatusList</vt:lpstr>
      <vt:lpstr>TextureList</vt:lpstr>
      <vt:lpstr>UnitBases</vt:lpstr>
      <vt:lpstr>UnitFactors</vt:lpstr>
      <vt:lpstr>UnitKinds</vt:lpstr>
      <vt:lpstr>UnitList</vt:lpstr>
      <vt:lpstr>UnitNames</vt:lpstr>
      <vt:lpstr>WasteActionList</vt:lpstr>
      <vt:lpstr>WasteCostTarget</vt:lpstr>
      <vt:lpstr>WasteReasonList</vt:lpstr>
      <vt:lpstr>WasteTarget</vt:lpstr>
      <vt:lpstr>WaterTarget</vt:lpstr>
      <vt:lpstr>WeekdayList</vt:lpstr>
      <vt:lpstr>WeeklyBudget</vt:lpstr>
      <vt:lpstr>WeekPick</vt:lpstr>
      <vt:lpstr>WeekStart</vt:lpstr>
      <vt:lpstr>WeekStartList</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Automated Meal Planner &amp; Grocery List Spreadsheet</dc:title>
  <dc:subject>Meal planning, grocery lists and food budgeting</dc:subject>
  <dc:creator>Novality Store</dc:creator>
  <cp:keywords>meal planner, weekly meal planner, monthly meal planner, recipe organizer, grocery list, shopping list, pantry inventory, food budget, meal prep, nutrition tracker, spreadsheet template</cp:keywords>
  <dc:description>Automated Meal Planner &amp; Grocery List Spreadsheet.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Household spreadsheet template</cp:category>
  <cp:contentStatus>Final</cp:contentStatus>
</cp:coreProperties>
</file>